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700" tabRatio="763"/>
  </bookViews>
  <sheets>
    <sheet name="Capa" sheetId="34" r:id="rId1"/>
    <sheet name="Dados" sheetId="35" r:id="rId2"/>
    <sheet name="Resumo_Orçamento" sheetId="38" r:id="rId3"/>
    <sheet name="Orçamento" sheetId="39" r:id="rId4"/>
    <sheet name="Memória_Orçamento" sheetId="64" r:id="rId5"/>
    <sheet name="Cronograma" sheetId="54" r:id="rId6"/>
    <sheet name="Curva ABC Serviços" sheetId="55" r:id="rId7"/>
    <sheet name="Canteiro Id" sheetId="28" r:id="rId8"/>
    <sheet name="Canteiro Qtd" sheetId="41" r:id="rId9"/>
    <sheet name="MC Transporte" sheetId="50" r:id="rId10"/>
    <sheet name="Adm Local" sheetId="42" r:id="rId11"/>
    <sheet name="Histograma MO" sheetId="43" r:id="rId12"/>
    <sheet name="Mobilização MO" sheetId="46" r:id="rId13"/>
    <sheet name="Histograma EQP" sheetId="57" r:id="rId14"/>
    <sheet name="Mobilização EQP" sheetId="49" r:id="rId15"/>
    <sheet name="Planilha1" sheetId="65" state="hidden" r:id="rId16"/>
    <sheet name="Composições Principais" sheetId="16" r:id="rId17"/>
    <sheet name="Composições Auxiliares" sheetId="52" r:id="rId18"/>
    <sheet name="Materiais" sheetId="2" r:id="rId19"/>
    <sheet name="Mão de Obra" sheetId="11" r:id="rId20"/>
    <sheet name="Equipamentos" sheetId="4" r:id="rId21"/>
    <sheet name="BDI" sheetId="23" r:id="rId22"/>
    <sheet name="Cotações" sheetId="58" r:id="rId23"/>
    <sheet name="Materiais_Base" sheetId="61" state="hidden" r:id="rId24"/>
    <sheet name="Mão de Obra_Base" sheetId="62" state="hidden" r:id="rId25"/>
    <sheet name="Equipamentos_base" sheetId="63" state="hidden" r:id="rId26"/>
  </sheets>
  <externalReferences>
    <externalReference r:id="rId27"/>
  </externalReferences>
  <definedNames>
    <definedName name="_xlnm._FilterDatabase" localSheetId="18" hidden="1">Materiais!$A$4:$G$1417</definedName>
    <definedName name="_xlnm._FilterDatabase" localSheetId="19" hidden="1">'Mão de Obra'!$A$4:$N$95</definedName>
    <definedName name="_xlnm._FilterDatabase" localSheetId="20" hidden="1">Equipamentos!$A$4:$M$367</definedName>
    <definedName name="_xlnm.Print_Area" localSheetId="10">'Adm Local'!$A$1:$AR$125</definedName>
    <definedName name="_xlnm.Print_Area" localSheetId="21">BDI!$A$1:$I$35</definedName>
    <definedName name="_xlnm.Print_Area" localSheetId="7">'Canteiro Id'!$A$1:$AR$75</definedName>
    <definedName name="_xlnm.Print_Area" localSheetId="8">'Canteiro Qtd'!$A$1:$AR$68</definedName>
    <definedName name="_xlnm.Print_Area" localSheetId="17">'Composições Auxiliares'!$A$1:$L$1287</definedName>
    <definedName name="_xlnm.Print_Area" localSheetId="16">'Composições Principais'!$A$1:$L$1967</definedName>
    <definedName name="_xlnm.Print_Area" localSheetId="22">Cotações!$A$1:$BQ$63</definedName>
    <definedName name="_xlnm.Print_Area" localSheetId="5">Cronograma!$A$1:$BT$48</definedName>
    <definedName name="_xlnm.Print_Area" localSheetId="1">Dados!$A$1:$AR$30</definedName>
    <definedName name="_xlnm.Print_Area" localSheetId="20">Equipamentos!$A$1:$M$367</definedName>
    <definedName name="_xlnm.Print_Area" localSheetId="13">'Histograma EQP'!$A$1:$CN$651</definedName>
    <definedName name="_xlnm.Print_Area" localSheetId="11">'Histograma MO'!$A$1:$CN$646</definedName>
    <definedName name="_xlnm.Print_Area" localSheetId="19">'Mão de Obra'!$A$1:$N$95</definedName>
    <definedName name="_xlnm.Print_Area" localSheetId="18">Materiais!$A$1:$G$1417</definedName>
    <definedName name="_xlnm.Print_Area" localSheetId="9">'MC Transporte'!$A$1:$BK$34</definedName>
    <definedName name="_xlnm.Print_Area" localSheetId="4">Memória_Orçamento!$A$1:$AB$3150</definedName>
    <definedName name="_xlnm.Print_Area" localSheetId="14">'Mobilização EQP'!$A$1:$BQ$57</definedName>
    <definedName name="_xlnm.Print_Area" localSheetId="3">Orçamento!$A$1:$AR$151</definedName>
    <definedName name="_xlnm.Print_Area" localSheetId="2">Resumo_Orçamento!$A$1:$AR$28</definedName>
    <definedName name="Tabela10">#REF!</definedName>
    <definedName name="Tabela4">#REF!</definedName>
    <definedName name="Tabela55">#REF!</definedName>
    <definedName name="_xlnm.Print_Titles" localSheetId="10">'Adm Local'!$1:$13</definedName>
    <definedName name="_xlnm.Print_Titles" localSheetId="21">BDI!$1:$3</definedName>
    <definedName name="_xlnm.Print_Titles" localSheetId="7">'Canteiro Id'!$1:$14</definedName>
    <definedName name="_xlnm.Print_Titles" localSheetId="8">'Canteiro Qtd'!$1:$14</definedName>
    <definedName name="_xlnm.Print_Titles" localSheetId="17">'Composições Auxiliares'!$1:$12</definedName>
    <definedName name="_xlnm.Print_Titles" localSheetId="16">'Composições Principais'!$1:$13</definedName>
    <definedName name="_xlnm.Print_Titles" localSheetId="22">Cotações!$1:$16</definedName>
    <definedName name="_xlnm.Print_Titles" localSheetId="5">Cronograma!$1:$15</definedName>
    <definedName name="_xlnm.Print_Titles" localSheetId="6">'Curva ABC Serviços'!$1:$15</definedName>
    <definedName name="_xlnm.Print_Titles" localSheetId="1">Dados!$1:$13</definedName>
    <definedName name="_xlnm.Print_Titles" localSheetId="20">Equipamentos!$1:$4</definedName>
    <definedName name="_xlnm.Print_Titles" localSheetId="13">'Histograma EQP'!$1:$15</definedName>
    <definedName name="_xlnm.Print_Titles" localSheetId="11">'Histograma MO'!$1:$15</definedName>
    <definedName name="_xlnm.Print_Titles" localSheetId="19">'Mão de Obra'!$1:$4</definedName>
    <definedName name="_xlnm.Print_Titles" localSheetId="18">Materiais!$1:$4</definedName>
    <definedName name="_xlnm.Print_Titles" localSheetId="9">'MC Transporte'!$1:$17</definedName>
    <definedName name="_xlnm.Print_Titles" localSheetId="4">Memória_Orçamento!$1:$9</definedName>
    <definedName name="_xlnm.Print_Titles" localSheetId="14">'Mobilização EQP'!$1:$14</definedName>
    <definedName name="_xlnm.Print_Titles" localSheetId="3">Orçamento!$1:$15</definedName>
    <definedName name="_xlnm.Print_Titles" localSheetId="2">Resumo_Orçamento!$1:$13</definedName>
    <definedName name="un" localSheetId="10">[1]Composições_SICRO!#REF!</definedName>
    <definedName name="un" localSheetId="8">[1]Composições_SICRO!#REF!</definedName>
    <definedName name="un" localSheetId="0">Capa!#REF!</definedName>
    <definedName name="un" localSheetId="5">[1]Composições_SICRO!#REF!</definedName>
    <definedName name="un" localSheetId="6">[1]Composições_SICRO!#REF!</definedName>
    <definedName name="un" localSheetId="1">Dados!#REF!</definedName>
    <definedName name="un" localSheetId="13">[1]Composições_SICRO!#REF!</definedName>
    <definedName name="un" localSheetId="11">[1]Composições_SICRO!#REF!</definedName>
    <definedName name="un" localSheetId="9">[1]Composições_SICRO!#REF!</definedName>
    <definedName name="un" localSheetId="14">[1]Composições_SICRO!#REF!</definedName>
    <definedName name="un" localSheetId="12">[1]Composições_SICRO!#REF!</definedName>
    <definedName name="un" localSheetId="3">Orçamento!#REF!</definedName>
    <definedName name="un" localSheetId="2">Resumo_Orçamento!#REF!</definedName>
    <definedName name="un">[1]Composições_SICRO!#REF!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<sst xmlns="http://schemas.openxmlformats.org/spreadsheetml/2006/main" count="50449" uniqueCount="19009">
  <si>
    <t>PLANILHA ORÇAMENTÁRIA E COMPOSIÇÕES DE CUSTOS</t>
  </si>
  <si>
    <t>PROJETO EXECUTIVO DE ENGENHARIA, ESTUDOS E ORÇAMENTOS PARA CONSTRUÇÃO DE PONTE RODOVIÁRIA EM CONCRETO ARMADO SOBRE O CÓRREGO IRETAN, ESTRADA VICINAL 14ª LINHA (LADO NASCENTE), COORDENADAS: 22°14'28.18"S, 54º04'37.28"O, LOCALIZADA NO MUNICÍPIO DE DEODÁPOLIS/MS</t>
  </si>
  <si>
    <t>MUNICÍPIO:</t>
  </si>
  <si>
    <t>RODOVIA/ESTRADA:</t>
  </si>
  <si>
    <t>LOCAL:</t>
  </si>
  <si>
    <t>COORDENADAS UTM:</t>
  </si>
  <si>
    <t>ÁREA:</t>
  </si>
  <si>
    <t>m²</t>
  </si>
  <si>
    <t>COMPRIMENTO:</t>
  </si>
  <si>
    <t>m</t>
  </si>
  <si>
    <t>LARGURA:</t>
  </si>
  <si>
    <t>BDI:</t>
  </si>
  <si>
    <t>MATERIAL</t>
  </si>
  <si>
    <t>SERVIÇO</t>
  </si>
  <si>
    <t>PRAZO DE EXECUÇÃO:</t>
  </si>
  <si>
    <t>dias</t>
  </si>
  <si>
    <t>SISTEMA/REFERÊNCIA:</t>
  </si>
  <si>
    <t>OBJETO:</t>
  </si>
  <si>
    <t>CONSTRUÇÃO DE PONTE RODOVIÁRIA EM CONCRETO ARMADO</t>
  </si>
  <si>
    <t>DEODÁPOLIS/MS</t>
  </si>
  <si>
    <t>ESTRADA VICINAL 14ª LINHA (LADO NASCENTE)</t>
  </si>
  <si>
    <t>PONTE SOBRE O CÓRREGO IRETAN</t>
  </si>
  <si>
    <t>COORDENADAS:</t>
  </si>
  <si>
    <t>22°14'28.18"S, 54º04'37.28"O</t>
  </si>
  <si>
    <t>INSUMO</t>
  </si>
  <si>
    <t>SEM DESONERAÇÃO SICRO (JANEIRO/2026)</t>
  </si>
  <si>
    <t>NÃO DESONERADO SINAPI (JANEIRO/2026)</t>
  </si>
  <si>
    <t>ESCONSIDADE:</t>
  </si>
  <si>
    <t>0º</t>
  </si>
  <si>
    <t>INCLINAÇÃO:</t>
  </si>
  <si>
    <t>DISTÂNCIA DE TRANSPORTE</t>
  </si>
  <si>
    <t>ITEM</t>
  </si>
  <si>
    <t>DESLOCAMENTO</t>
  </si>
  <si>
    <t>RODOVIA PAVIMENTADA</t>
  </si>
  <si>
    <t>REVESTIMENTO PRIMÁRIO</t>
  </si>
  <si>
    <t>LEITO NATURAL</t>
  </si>
  <si>
    <t>MOBILIZAÇÃO:</t>
  </si>
  <si>
    <t>Campo Grande/MS ao Canteiro de Obras</t>
  </si>
  <si>
    <t>Km</t>
  </si>
  <si>
    <t>MATERIAIS BÁSICOS:</t>
  </si>
  <si>
    <t>CIMENTO:</t>
  </si>
  <si>
    <t>Material entregue no Canteiro de Obras</t>
  </si>
  <si>
    <t>AÇO CA-50:</t>
  </si>
  <si>
    <t>Dourados/MS ao Canteiro de Obras</t>
  </si>
  <si>
    <t>MADEIRA:</t>
  </si>
  <si>
    <t>Deodápolis/MS ao Canteiro de Obras</t>
  </si>
  <si>
    <t>MATERIAIS AGREGADOS:</t>
  </si>
  <si>
    <t>AREIA:</t>
  </si>
  <si>
    <t>Naviraí/MS ao Canteiro de Obras</t>
  </si>
  <si>
    <t>BRITA 1:</t>
  </si>
  <si>
    <t>Itaporã/MS ao Canteiro de Obras</t>
  </si>
  <si>
    <t>BRITA 2:</t>
  </si>
  <si>
    <t>RESUMO DA PLANILHA ORÇAMENTÁRIA</t>
  </si>
  <si>
    <t>Item</t>
  </si>
  <si>
    <t>Fonte</t>
  </si>
  <si>
    <t>Código</t>
  </si>
  <si>
    <t>Descrição</t>
  </si>
  <si>
    <t>Preço Total</t>
  </si>
  <si>
    <t>Serv. Prel. (%)</t>
  </si>
  <si>
    <t>7</t>
  </si>
  <si>
    <t>Mob.e Desmob (%)</t>
  </si>
  <si>
    <t>Infraestrutura (%)</t>
  </si>
  <si>
    <t>1</t>
  </si>
  <si>
    <t>2</t>
  </si>
  <si>
    <t>3</t>
  </si>
  <si>
    <t>4</t>
  </si>
  <si>
    <t>5</t>
  </si>
  <si>
    <t>Adm. Local (%)</t>
  </si>
  <si>
    <t>TOTAL GERAL</t>
  </si>
  <si>
    <t>CUSTO / m²</t>
  </si>
  <si>
    <t>B.D.I. (20,70%):</t>
  </si>
  <si>
    <t>PLANILHA ORÇAMENTÁRIA</t>
  </si>
  <si>
    <t>DMT</t>
  </si>
  <si>
    <t>Un.</t>
  </si>
  <si>
    <t>Quantidade</t>
  </si>
  <si>
    <t>Preço Unitário</t>
  </si>
  <si>
    <t>6</t>
  </si>
  <si>
    <t>SERVIÇOS PRELIMINARES</t>
  </si>
  <si>
    <t>CANTEIRO DE OBRAS</t>
  </si>
  <si>
    <t>COMPOSIÇÃO</t>
  </si>
  <si>
    <t>IMT0000099</t>
  </si>
  <si>
    <t>Instalação dos canteiros de obras e acampamentos</t>
  </si>
  <si>
    <t>un</t>
  </si>
  <si>
    <t>ok</t>
  </si>
  <si>
    <t>PLACA DA OBRA</t>
  </si>
  <si>
    <t>SINAPI</t>
  </si>
  <si>
    <t>Fornecimento e instalação de placa de obra com chapa galvanizada e estrutura de madeira - AF_03/2022_PS</t>
  </si>
  <si>
    <t>MOBILIZAÇÃO E DESMOBILIZAÇÃO</t>
  </si>
  <si>
    <t>IMT0000156</t>
  </si>
  <si>
    <t>Mobilização e desmobilização de equipamentos</t>
  </si>
  <si>
    <t>IMT9900195</t>
  </si>
  <si>
    <t>Mobilização de pessoal e debandas</t>
  </si>
  <si>
    <t>IMT9900196</t>
  </si>
  <si>
    <t>Desmobilização de pessoal e debandas</t>
  </si>
  <si>
    <t>0</t>
  </si>
  <si>
    <t>INFRAESTRUTURA</t>
  </si>
  <si>
    <t>FUNDAÇÃO - ESTACAS METÁLICAS + REFORÇO DAS ESTACAS (ENCONTRO 01 E ALAS)</t>
  </si>
  <si>
    <t>SICRO</t>
  </si>
  <si>
    <t>Escavação, carga e transporte de material de 1ª categoria - DMT de 50 a 200 m - caminho de serviço em leito natural - com escavadeira e caminhão basculante de 14 m³</t>
  </si>
  <si>
    <t>m³</t>
  </si>
  <si>
    <t>Armação em aço CA-50 - fornecimento, preparo e colocação</t>
  </si>
  <si>
    <t>kg</t>
  </si>
  <si>
    <t>Estacas trilho TR 68 - fornecimento e cravação</t>
  </si>
  <si>
    <t>Esgotamento de água com bomba submersa</t>
  </si>
  <si>
    <t>h</t>
  </si>
  <si>
    <t>FUNDAÇÃO - ESTACAS METÁLICAS + REFORÇO DAS ESTACAS (ENCONTRO 02 E ALAS)</t>
  </si>
  <si>
    <t>MESOESTRUTURA</t>
  </si>
  <si>
    <t>ENCONTROS/CORTINAS 01 + ALAS + CONSOLOS</t>
  </si>
  <si>
    <t>Concreto fck = 30 Mpa - confecção em betoneira e lançamento manual - areia e brita comerciais</t>
  </si>
  <si>
    <t>Concreto magro - confecção em betoneira e lançamento manual - areia e brita comerciais</t>
  </si>
  <si>
    <t>Formas de compensado resinado 12 mm - uso geral - utilização de 2 vezes - confecção, instalação e retirada</t>
  </si>
  <si>
    <t>Plataforma de trabalho em aço tubular apoiada no solo - altura de 4 a 6 m - utilização de 100 vezes - fornecimento, instalação e retirada</t>
  </si>
  <si>
    <t>Reaterro e compactação com soquete vibratório</t>
  </si>
  <si>
    <t>Enrocamento de pedra jogada - pedra de mão comercial - fornecimento e assentamento</t>
  </si>
  <si>
    <t>Adensamento de concreto por vibrador de imersão</t>
  </si>
  <si>
    <t>ENCONTROS/CORTINAS 02 + ALAS + CONSOLOS</t>
  </si>
  <si>
    <t>PLACA DE ATRITO 01</t>
  </si>
  <si>
    <t>PLACA DE ATRITO 02</t>
  </si>
  <si>
    <t>TIRANTES (PLACA DE ATRITO 01)</t>
  </si>
  <si>
    <t>AGC5030001</t>
  </si>
  <si>
    <t>Tirante</t>
  </si>
  <si>
    <t>TIRANTES (PLACA DE ATRITO 02)</t>
  </si>
  <si>
    <t>ARTICULAÇÃO FREYSSINET</t>
  </si>
  <si>
    <t>SUPERESTRUTURA</t>
  </si>
  <si>
    <t>LAJE DO TABULEIRO</t>
  </si>
  <si>
    <t>TRANSVERSINA DOS ENCONTROS + CONSOLOS</t>
  </si>
  <si>
    <t>BARREIRAS DE CONCRETO (TIPO NEW JERSEY)</t>
  </si>
  <si>
    <t>VIGA LONGARINA PRÉ-MOLDADA</t>
  </si>
  <si>
    <t>Concreto fck = 40 MPa - confecção em betoneira e lançamento manual - areia e brita comerciais</t>
  </si>
  <si>
    <t>Armação em aço CA-60 - fornecimento, preparo e colocação</t>
  </si>
  <si>
    <t>Cordoalha CP 190 RB D = 12,7 mm - fornecimento e instalação</t>
  </si>
  <si>
    <t>Lançamento de viga pré-moldada de até 500 kN com utilização de guindaste</t>
  </si>
  <si>
    <t>PLACA DE APROXIMAÇÃO</t>
  </si>
  <si>
    <t>BERÇO DE CONCRETO PARA VIGA LONGARINA</t>
  </si>
  <si>
    <t>SERVIÇOS COMPLEMENTARES</t>
  </si>
  <si>
    <t>SINALIZAÇÃO E SEGURANÇA</t>
  </si>
  <si>
    <t>Placa de aço - película I + III - fornecimento e implantação</t>
  </si>
  <si>
    <t>Suporte para placa de sinalização em madeira de lei tratada 8 x 8 cm - fornecimento e implantação</t>
  </si>
  <si>
    <t>Pintura de faixa com tinta acrílica emulsionada em água - espessura de 0,3 mm</t>
  </si>
  <si>
    <t>DRENAGEM</t>
  </si>
  <si>
    <t>Dreno de PVC D = 100 mm - fornecimento e instalação</t>
  </si>
  <si>
    <t>ESCAVAÇÃO (ABERTURA DO CANAL DO RIO)</t>
  </si>
  <si>
    <t>ADMINISTRAÇÃO LOCAL</t>
  </si>
  <si>
    <t>PARCELA FIXA</t>
  </si>
  <si>
    <t>GERÊNCIA TÉCNICA</t>
  </si>
  <si>
    <t>Engenheiro - mensalista</t>
  </si>
  <si>
    <t>mês</t>
  </si>
  <si>
    <t>Veículo leve - 53 kW (sem motorista)</t>
  </si>
  <si>
    <t>GERÊNCIA ADMINISTRATIVA</t>
  </si>
  <si>
    <t>Vigia - mensalista</t>
  </si>
  <si>
    <t>PARCELA VINCULADA</t>
  </si>
  <si>
    <t>EQUIPE DE TOPOGRAFIA</t>
  </si>
  <si>
    <t>Topógrafo - mensalista</t>
  </si>
  <si>
    <t>Auxiliar de topografia - mensalista</t>
  </si>
  <si>
    <t>Veículo tipo van furgão com capacidade de 1,38 t - 100 kW</t>
  </si>
  <si>
    <t>EQUIPE DE MEDICINA E SEGURANÇA DO TRABALHO</t>
  </si>
  <si>
    <t>Técnico de segurança do trabalho - mensalista</t>
  </si>
  <si>
    <t>PARCELA VARIÁVEL</t>
  </si>
  <si>
    <t>EQUIPE DE FRENTE DE SERVIÇO</t>
  </si>
  <si>
    <t>Auxiliar administrativo - mensalista</t>
  </si>
  <si>
    <t>LABORATÓRIO DE CONCRETO</t>
  </si>
  <si>
    <t>Laboratorista - mensalista</t>
  </si>
  <si>
    <t>Auxiliar de laboratório - mensalista</t>
  </si>
  <si>
    <t>MANUTENÇÃO DO CANTEIRO DE OBRAS</t>
  </si>
  <si>
    <t>Manutenção do canteiro de obras e acampamentos</t>
  </si>
  <si>
    <t>DESPESAS DIVERSAS</t>
  </si>
  <si>
    <t>Despesas diversas</t>
  </si>
  <si>
    <t>RESUMO PONTE</t>
  </si>
  <si>
    <t>Concreto + Forma + Aço</t>
  </si>
  <si>
    <t>Aditivo</t>
  </si>
  <si>
    <t>Areia</t>
  </si>
  <si>
    <t>Brita 1</t>
  </si>
  <si>
    <t>Brita 2</t>
  </si>
  <si>
    <t>Cimento</t>
  </si>
  <si>
    <t>Concreto fck = 15 Mpa - confecção em betoneira e lançamento manual - areia e brita comerciais</t>
  </si>
  <si>
    <t>Concreto fck = 20 MPa - confecção em central dosadora de 30 m³/h - areia e brita comerciais</t>
  </si>
  <si>
    <t>Concreto para bombeamento fck = 30 MPa - confecção em central dosadora de 30 m³/h - areia e brita comerciais</t>
  </si>
  <si>
    <t>Concreto fck = 30 MPa - confecção em central dosadora de 30 m³/h - areia e brita comerciais</t>
  </si>
  <si>
    <t>Concreto para bombeamento fck = 40 MPa - confecção em central dosadora de 30 m³/h - areia e brita comerciais</t>
  </si>
  <si>
    <t>AGE5010027</t>
  </si>
  <si>
    <t>Argamassa para estaca raiz com D = 25 cm</t>
  </si>
  <si>
    <t>AGE5010028</t>
  </si>
  <si>
    <t>Argamassa para estaca raiz com D = 31 cm</t>
  </si>
  <si>
    <t>AGE5010029</t>
  </si>
  <si>
    <t>Argamassa para estaca raiz com D = 41 cm</t>
  </si>
  <si>
    <t>Escoramento com pontaletes D = 15 cm - utilização 1 vez - confecção e instalação</t>
  </si>
  <si>
    <t>Estacas duplo trilho TR 68 - com emenda - fornecimento e cravação</t>
  </si>
  <si>
    <t>PONTE:</t>
  </si>
  <si>
    <t>Ponte sobre o Córrego Iretan</t>
  </si>
  <si>
    <t>Estrada Vicinal 14ª Linha</t>
  </si>
  <si>
    <t>TRECHO:</t>
  </si>
  <si>
    <t>Entrº MS-178 (B) / Entrº MS-185 - Código trecho: 339EMS0606</t>
  </si>
  <si>
    <t>SUB-TRECHO:</t>
  </si>
  <si>
    <t>Entrº BR-267 (Maracaju) - Ponte sobre o Rio Santa Maria</t>
  </si>
  <si>
    <t>Deodápolis/MS</t>
  </si>
  <si>
    <t>QUANTITATIVOS - MEMÓRIA DE CÁLCULO</t>
  </si>
  <si>
    <t>6.1.1. - Instalação do Canteiro de Obras</t>
  </si>
  <si>
    <t>N. de Canteiros (un.)</t>
  </si>
  <si>
    <t>Número de Obras (un.)</t>
  </si>
  <si>
    <t>Quantidade de Canteiros (un)</t>
  </si>
  <si>
    <t>Ncanteiro = (Número de Canteiros)*(Número de Obras) = 1,00 un</t>
  </si>
  <si>
    <t>Resumo - Item 6.1.1.</t>
  </si>
  <si>
    <t>Instalação do Canteiro de Obras (un)</t>
  </si>
  <si>
    <t>6.2.1. - Placa de Obra em Chapa de Aço Galvanizado</t>
  </si>
  <si>
    <t>PLACA DE OBRA</t>
  </si>
  <si>
    <t>A (m)</t>
  </si>
  <si>
    <t>B (m)</t>
  </si>
  <si>
    <t>Quantidade de Placas (un.)</t>
  </si>
  <si>
    <t>Área de Placa (m²)</t>
  </si>
  <si>
    <t>Comprimento</t>
  </si>
  <si>
    <t>Altura</t>
  </si>
  <si>
    <t>Placa de Obra = A*B*(Quantidade de Placas) = 8,00m²</t>
  </si>
  <si>
    <t>Resumo - Item 6.2.1.</t>
  </si>
  <si>
    <t>Placa de Obra (m²)</t>
  </si>
  <si>
    <t>7.1.1. - Mobilização de Desmobilização de  Equipamentos</t>
  </si>
  <si>
    <t>N. de Mob. e Desmob. (un.)</t>
  </si>
  <si>
    <t>Mob. e Desmob. (un)</t>
  </si>
  <si>
    <t>Nmob_equip = (Número de Mobilização e Desmobilização)*(Número de Obras) = 1,00 un</t>
  </si>
  <si>
    <t>Resumo - Item 7.1.1.</t>
  </si>
  <si>
    <t>Mobilização e Desmobilização de Equipamentos (un)</t>
  </si>
  <si>
    <t>7.1.2. - Mobilização de Pessoal e Debandas</t>
  </si>
  <si>
    <t>MOBILIZAÇÃO DE PESSOAL E DEBANDAS</t>
  </si>
  <si>
    <t>Prazo da Obra (mês)</t>
  </si>
  <si>
    <t>Mob. de Pessoal (un)</t>
  </si>
  <si>
    <t>Nmob_mo = (Prazo da Obra)*(Número de Obras) = 4,00 un</t>
  </si>
  <si>
    <t>Resumo - Item 7.1.2.</t>
  </si>
  <si>
    <t>Mobilização de Pessoal e Debandas (un)</t>
  </si>
  <si>
    <t>7.1.3. - Desmobilização de Pessoal e Debandas</t>
  </si>
  <si>
    <t>DESMOBILIZAÇÃO DE PESSOAL E DEBANDAS</t>
  </si>
  <si>
    <t>Desmob. de Pessoal (un)</t>
  </si>
  <si>
    <t>Ndesmob_mo = (Prazo da Obra)*(Número de Obras) = 4,00 un</t>
  </si>
  <si>
    <t>Resumo - Item 7.1.3.</t>
  </si>
  <si>
    <t>Desmobilização de Pessoal e Debandas (un)</t>
  </si>
  <si>
    <t>1.1.1. -  Volume de Escavação com Esgotamento - Material de 1ª Categoria</t>
  </si>
  <si>
    <t>ESCAVAÇÃO - ALA 01</t>
  </si>
  <si>
    <t>C (m)</t>
  </si>
  <si>
    <t>D (m)</t>
  </si>
  <si>
    <t>E (m)</t>
  </si>
  <si>
    <t>F (m)</t>
  </si>
  <si>
    <t>Volume de Escavação (m³)</t>
  </si>
  <si>
    <r>
      <rPr>
        <sz val="11"/>
        <color theme="1"/>
        <rFont val="Calibri"/>
        <charset val="134"/>
        <scheme val="minor"/>
      </rPr>
      <t>Largura</t>
    </r>
    <r>
      <rPr>
        <vertAlign val="subscript"/>
        <sz val="11"/>
        <color theme="1"/>
        <rFont val="Calibri"/>
        <charset val="134"/>
        <scheme val="minor"/>
      </rPr>
      <t>escavação</t>
    </r>
  </si>
  <si>
    <r>
      <rPr>
        <sz val="11"/>
        <color theme="1"/>
        <rFont val="Calibri"/>
        <charset val="134"/>
        <scheme val="minor"/>
      </rPr>
      <t>Largura</t>
    </r>
    <r>
      <rPr>
        <vertAlign val="subscript"/>
        <sz val="11"/>
        <color theme="1"/>
        <rFont val="Calibri"/>
        <charset val="134"/>
        <scheme val="minor"/>
      </rPr>
      <t>ala</t>
    </r>
  </si>
  <si>
    <r>
      <rPr>
        <sz val="11"/>
        <color theme="1"/>
        <rFont val="Calibri"/>
        <charset val="134"/>
        <scheme val="minor"/>
      </rPr>
      <t>Comp.</t>
    </r>
    <r>
      <rPr>
        <vertAlign val="subscript"/>
        <sz val="11"/>
        <color theme="1"/>
        <rFont val="Calibri"/>
        <charset val="134"/>
        <scheme val="minor"/>
      </rPr>
      <t>ala</t>
    </r>
  </si>
  <si>
    <r>
      <rPr>
        <sz val="11"/>
        <color theme="1"/>
        <rFont val="Calibri"/>
        <charset val="134"/>
        <scheme val="minor"/>
      </rPr>
      <t>Altura</t>
    </r>
    <r>
      <rPr>
        <vertAlign val="subscript"/>
        <sz val="11"/>
        <color theme="1"/>
        <rFont val="Calibri"/>
        <charset val="134"/>
        <scheme val="minor"/>
      </rPr>
      <t>escavação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</si>
  <si>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(A+B+C)*(D+E)*F = 18,000m³</t>
    </r>
  </si>
  <si>
    <t>ESCAVAÇÃO - ALA 02</t>
  </si>
  <si>
    <t>G (m)</t>
  </si>
  <si>
    <t>H (m)</t>
  </si>
  <si>
    <t>I (m)</t>
  </si>
  <si>
    <t>J (m)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</si>
  <si>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(F+G+H)*(I+J)*F = 18,000m³</t>
    </r>
  </si>
  <si>
    <t>ESCAVAÇÃO - ENCONTRO 01</t>
  </si>
  <si>
    <t>K (m)</t>
  </si>
  <si>
    <t>L (m)</t>
  </si>
  <si>
    <t>M (m)</t>
  </si>
  <si>
    <t>N (m)</t>
  </si>
  <si>
    <r>
      <rPr>
        <sz val="11"/>
        <color theme="1"/>
        <rFont val="Calibri"/>
        <charset val="134"/>
        <scheme val="minor"/>
      </rPr>
      <t>Largura</t>
    </r>
    <r>
      <rPr>
        <vertAlign val="subscript"/>
        <sz val="11"/>
        <color theme="1"/>
        <rFont val="Calibri"/>
        <charset val="134"/>
        <scheme val="minor"/>
      </rPr>
      <t>cortina</t>
    </r>
  </si>
  <si>
    <r>
      <rPr>
        <sz val="11"/>
        <color theme="1"/>
        <rFont val="Calibri"/>
        <charset val="134"/>
        <scheme val="minor"/>
      </rPr>
      <t>Comp.</t>
    </r>
    <r>
      <rPr>
        <vertAlign val="subscript"/>
        <sz val="11"/>
        <color theme="1"/>
        <rFont val="Calibri"/>
        <charset val="134"/>
        <scheme val="minor"/>
      </rPr>
      <t>cortina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</si>
  <si>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(K+L+M)*N*F = 21,600m³</t>
    </r>
  </si>
  <si>
    <t>Resumo - Item 1.1.1.</t>
  </si>
  <si>
    <t>Volume de Escavação com Esgotamento (m³)</t>
  </si>
  <si>
    <t>1.1.2. -  Volume de Escavação sem Esgotamento - Material de 1ª Categoria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</si>
  <si>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(A+B+C)*(D+E)*F = 30,218m³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</si>
  <si>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(F+G+H)*(I+J)*F = 30,218m³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</si>
  <si>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(K+L+M)*N*F = 30,600m³</t>
    </r>
  </si>
  <si>
    <t>Resumo - Item 1.1.2.</t>
  </si>
  <si>
    <t>Volume de Escavação sem Esgotamento (m³)</t>
  </si>
  <si>
    <t>1.1.3. - Aço CA-50</t>
  </si>
  <si>
    <t>ENCONTRO 01 E ALAS</t>
  </si>
  <si>
    <t>AÇO</t>
  </si>
  <si>
    <t>N.</t>
  </si>
  <si>
    <t>DIAM</t>
  </si>
  <si>
    <t>Q</t>
  </si>
  <si>
    <t>C. UNIT.</t>
  </si>
  <si>
    <t>C. TOTAL</t>
  </si>
  <si>
    <t>(mm)</t>
  </si>
  <si>
    <t>(un)</t>
  </si>
  <si>
    <t>(cm)</t>
  </si>
  <si>
    <t>(m)</t>
  </si>
  <si>
    <t>CA-50</t>
  </si>
  <si>
    <t>Resumo - Item 1.1.3.</t>
  </si>
  <si>
    <t>Aço CA-50 (kg)</t>
  </si>
  <si>
    <t>1.1.4. Estaca 1xTR-68 para 45tf</t>
  </si>
  <si>
    <t>Resumo - Item 1.1.4.</t>
  </si>
  <si>
    <t>Estaca 1xTR-68 para 45tf (m)</t>
  </si>
  <si>
    <t>1.1.5. Esgotamento com bomba submersa</t>
  </si>
  <si>
    <t>Vol. de Esc.</t>
  </si>
  <si>
    <t>Cap. Bomb.</t>
  </si>
  <si>
    <t>T. Total</t>
  </si>
  <si>
    <t>(m³)</t>
  </si>
  <si>
    <t>(m³/h)</t>
  </si>
  <si>
    <t>(h)</t>
  </si>
  <si>
    <t>Resumo - Item 1.1.5.</t>
  </si>
  <si>
    <t>Esgotamento com bomba submersa (h)</t>
  </si>
  <si>
    <t>1.2.1. -  Volume de Escavação com Esgotamento - Material de 1ª Categoria</t>
  </si>
  <si>
    <t>ESCAVAÇÃO - ALA 03</t>
  </si>
  <si>
    <t>ESCAVAÇÃO - ALA 04</t>
  </si>
  <si>
    <t>ESCAVAÇÃO - ENCONTRO 02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</si>
  <si>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(K+L+M)*N*F = 21,000m³</t>
    </r>
  </si>
  <si>
    <t>Resumo - Item 1.2.1.</t>
  </si>
  <si>
    <t>1.2.2. -  Volume de Escavação sem Esgotamento - Material de 1ª Categoria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</si>
  <si>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(A+B+C)*(D+E)*F = 34,540m³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</si>
  <si>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(F+G+H)*(I+J)*F = 34,540m³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</si>
  <si>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(K+L+M)*N*F = 34,830m³</t>
    </r>
  </si>
  <si>
    <t>Resumo - Item 1.2.2.</t>
  </si>
  <si>
    <t>1.2.3. - Aço CA-50</t>
  </si>
  <si>
    <t>ENCONTRO 02 E ALAS</t>
  </si>
  <si>
    <t>Resumo - Item 1.2.3.</t>
  </si>
  <si>
    <t>1.2.4. Estaca 1xTR-68 para 45tf</t>
  </si>
  <si>
    <t>Resumo - Item 1.2.4.</t>
  </si>
  <si>
    <t>1.2.5. Esgotamento com bomba submersa</t>
  </si>
  <si>
    <t>Resumo - Item 1.2.5.</t>
  </si>
  <si>
    <t>2.1.1.Volume de Concreto Estrutural fck = 30MPa - Encontro/Cortina 01 + Alas + Consolos</t>
  </si>
  <si>
    <t>ALA 01</t>
  </si>
  <si>
    <t>Volume de Concreto (m³)</t>
  </si>
  <si>
    <t>Largura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</si>
  <si>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conc;estrutural</t>
    </r>
    <r>
      <rPr>
        <sz val="10"/>
        <color theme="1"/>
        <rFont val="Calibri"/>
        <charset val="134"/>
        <scheme val="minor"/>
      </rPr>
      <t xml:space="preserve"> = A*B*C = 9,984m³</t>
    </r>
  </si>
  <si>
    <t>ALA 02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</si>
  <si>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conc;estrutural</t>
    </r>
    <r>
      <rPr>
        <sz val="10"/>
        <color theme="1"/>
        <rFont val="Calibri"/>
        <charset val="134"/>
        <scheme val="minor"/>
      </rPr>
      <t xml:space="preserve"> = J*K*L = 9,984m³</t>
    </r>
  </si>
  <si>
    <t>ENCONTRO 01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</si>
  <si>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</t>
    </r>
    <r>
      <rPr>
        <sz val="10"/>
        <color theme="1"/>
        <rFont val="Calibri"/>
        <charset val="134"/>
        <scheme val="minor"/>
      </rPr>
      <t xml:space="preserve"> = D*E*G = 12,000m³</t>
    </r>
  </si>
  <si>
    <t>CONSOLO 01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</si>
  <si>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</t>
    </r>
    <r>
      <rPr>
        <sz val="10"/>
        <color theme="1"/>
        <rFont val="Calibri"/>
        <charset val="134"/>
        <scheme val="minor"/>
      </rPr>
      <t xml:space="preserve"> = ((((H+I)+I)*F)/2)*D = 1,650m³</t>
    </r>
  </si>
  <si>
    <t>Resumo - Item 2.1.1</t>
  </si>
  <si>
    <t>Volume de Concreto Estrutural fck = 30MPa (m³)</t>
  </si>
  <si>
    <t>2.1.2.Volume de Concreto Não Estrutural fck = 15MPa - Encontro/Cortina 01 + Alas + Consolos</t>
  </si>
  <si>
    <t>Volume de Concreto Regularização (m³)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</si>
  <si>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conc;magro</t>
    </r>
    <r>
      <rPr>
        <sz val="10"/>
        <color theme="1"/>
        <rFont val="Calibri"/>
        <charset val="134"/>
        <scheme val="minor"/>
      </rPr>
      <t xml:space="preserve"> = (B+0,2)*A*0,05 = 0,120m³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</si>
  <si>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conc;magro</t>
    </r>
    <r>
      <rPr>
        <sz val="10"/>
        <color theme="1"/>
        <rFont val="Calibri"/>
        <charset val="134"/>
        <scheme val="minor"/>
      </rPr>
      <t xml:space="preserve"> = (K+0,2)*J*0,05 = 0,120m³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</si>
  <si>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conc;magro</t>
    </r>
    <r>
      <rPr>
        <sz val="10"/>
        <color theme="1"/>
        <rFont val="Calibri"/>
        <charset val="134"/>
        <scheme val="minor"/>
      </rPr>
      <t xml:space="preserve"> = (E+0,2)*D*0,05 = 0,180m³</t>
    </r>
  </si>
  <si>
    <t>Resumo - Item 2.1.2</t>
  </si>
  <si>
    <t>Volume de Concreto Não Estrutural fck = 15MPa (m³)</t>
  </si>
  <si>
    <t>2.1.3.- Formas - Encontro/Cortina 01 + Alas + Consolos</t>
  </si>
  <si>
    <t>Forma (m²)</t>
  </si>
  <si>
    <t>Forma = (A+B+A)*C = 52,416m²</t>
  </si>
  <si>
    <t>Forma = (J+K+J)*L = 52,416m²</t>
  </si>
  <si>
    <t>Forma = (D*G)+(D*(G-H-I)) = 55,200m²</t>
  </si>
  <si>
    <r>
      <rPr>
        <sz val="9"/>
        <color theme="1"/>
        <rFont val="Calibri"/>
        <charset val="134"/>
        <scheme val="minor"/>
      </rPr>
      <t>Forma = (((((H+I)+I)*F)/2)*2)+((((H</t>
    </r>
    <r>
      <rPr>
        <vertAlign val="superscript"/>
        <sz val="9"/>
        <color theme="1"/>
        <rFont val="Calibri"/>
        <charset val="134"/>
        <scheme val="minor"/>
      </rPr>
      <t>2</t>
    </r>
    <r>
      <rPr>
        <sz val="9"/>
        <color theme="1"/>
        <rFont val="Calibri"/>
        <charset val="134"/>
        <scheme val="minor"/>
      </rPr>
      <t>+F</t>
    </r>
    <r>
      <rPr>
        <vertAlign val="superscript"/>
        <sz val="9"/>
        <color theme="1"/>
        <rFont val="Calibri"/>
        <charset val="134"/>
        <scheme val="minor"/>
      </rPr>
      <t>2</t>
    </r>
    <r>
      <rPr>
        <sz val="9"/>
        <color theme="1"/>
        <rFont val="Calibri"/>
        <charset val="134"/>
        <scheme val="minor"/>
      </rPr>
      <t>)0,5)+I)*D) = 6,593m²</t>
    </r>
  </si>
  <si>
    <t>Resumo - Item 2.1.3</t>
  </si>
  <si>
    <t>Formas - Encontro 01 + Alas + Consolos (m²)</t>
  </si>
  <si>
    <t>2.1.4. - Aço CA-50 - Encontro/Cortina 01 + Alas + Consolos</t>
  </si>
  <si>
    <t>ENCONTRO 01 - CORTINAS + ALAS + CONSOLOS</t>
  </si>
  <si>
    <t>Resumo - Item 2.1.4.</t>
  </si>
  <si>
    <t>2.1.5. - Plataforma de Trabalho em Aço Tubular (Encontro/Cortina 01 + Alas + Consolos)</t>
  </si>
  <si>
    <t>PLATAFORMA - ALA 01</t>
  </si>
  <si>
    <t>O (m)</t>
  </si>
  <si>
    <t>Volume de Plataforma (m³)</t>
  </si>
  <si>
    <r>
      <rPr>
        <sz val="10"/>
        <color theme="1"/>
        <rFont val="Calibri"/>
        <charset val="134"/>
        <scheme val="minor"/>
      </rPr>
      <t>Largura</t>
    </r>
    <r>
      <rPr>
        <vertAlign val="subscript"/>
        <sz val="10"/>
        <color theme="1"/>
        <rFont val="Calibri"/>
        <charset val="134"/>
        <scheme val="minor"/>
      </rPr>
      <t>plataforma</t>
    </r>
  </si>
  <si>
    <r>
      <rPr>
        <sz val="11"/>
        <color theme="1"/>
        <rFont val="Calibri"/>
        <charset val="134"/>
        <scheme val="minor"/>
      </rPr>
      <t>Altura</t>
    </r>
    <r>
      <rPr>
        <vertAlign val="subscript"/>
        <sz val="9"/>
        <color theme="1"/>
        <rFont val="Calibri"/>
        <charset val="134"/>
        <scheme val="minor"/>
      </rPr>
      <t>plataforma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</si>
  <si>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plataforma</t>
    </r>
    <r>
      <rPr>
        <sz val="10"/>
        <color theme="1"/>
        <rFont val="Calibri"/>
        <charset val="134"/>
        <scheme val="minor"/>
      </rPr>
      <t xml:space="preserve"> = (A+B+C)*(D+E)*O = 65,520m³</t>
    </r>
  </si>
  <si>
    <t>PLATAFORMA - ALA 02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</si>
  <si>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plataforma</t>
    </r>
    <r>
      <rPr>
        <sz val="10"/>
        <color theme="1"/>
        <rFont val="Calibri"/>
        <charset val="134"/>
        <scheme val="minor"/>
      </rPr>
      <t xml:space="preserve"> = (F+G+H)*(I+J)*O = 65,520m³</t>
    </r>
  </si>
  <si>
    <t>PLATAFORMA - ENCONTRO 01</t>
  </si>
  <si>
    <t>P (m)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</si>
  <si>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plataforma</t>
    </r>
    <r>
      <rPr>
        <sz val="10"/>
        <color theme="1"/>
        <rFont val="Calibri"/>
        <charset val="134"/>
        <scheme val="minor"/>
      </rPr>
      <t xml:space="preserve"> = (K+L+M)*N*O = 58,800m³</t>
    </r>
  </si>
  <si>
    <t>Resumo - Item 2.1.5.</t>
  </si>
  <si>
    <t>Volume de Plataforma de Trabalho em Aço Tubular (m³)</t>
  </si>
  <si>
    <t>2.1.6.-  Volume de Reaterro e Compactação - Encontro/Cortina 01 + Alas + Consolos</t>
  </si>
  <si>
    <t>REATERRO E COMPACTAÇÃO - ALA 01</t>
  </si>
  <si>
    <t>Volume de Reaterro (m³)</t>
  </si>
  <si>
    <r>
      <rPr>
        <sz val="11"/>
        <color theme="1"/>
        <rFont val="Calibri"/>
        <charset val="134"/>
        <scheme val="minor"/>
      </rPr>
      <t>Largura</t>
    </r>
    <r>
      <rPr>
        <vertAlign val="subscript"/>
        <sz val="11"/>
        <color theme="1"/>
        <rFont val="Calibri"/>
        <charset val="134"/>
        <scheme val="minor"/>
      </rPr>
      <t>reaterro</t>
    </r>
  </si>
  <si>
    <r>
      <rPr>
        <sz val="11"/>
        <color theme="1"/>
        <rFont val="Calibri"/>
        <charset val="134"/>
        <scheme val="minor"/>
      </rPr>
      <t>Altura</t>
    </r>
    <r>
      <rPr>
        <vertAlign val="subscript"/>
        <sz val="11"/>
        <color theme="1"/>
        <rFont val="Calibri"/>
        <charset val="134"/>
        <scheme val="minor"/>
      </rPr>
      <t>1; reaterro</t>
    </r>
  </si>
  <si>
    <r>
      <rPr>
        <sz val="11"/>
        <color theme="1"/>
        <rFont val="Calibri"/>
        <charset val="134"/>
        <scheme val="minor"/>
      </rPr>
      <t>Altura</t>
    </r>
    <r>
      <rPr>
        <vertAlign val="subscript"/>
        <sz val="11"/>
        <color theme="1"/>
        <rFont val="Calibri"/>
        <charset val="134"/>
        <scheme val="minor"/>
      </rPr>
      <t>2; reaterro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</si>
  <si>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reaterro</t>
    </r>
    <r>
      <rPr>
        <sz val="10"/>
        <color theme="1"/>
        <rFont val="Calibri"/>
        <charset val="134"/>
        <scheme val="minor"/>
      </rPr>
      <t xml:space="preserve"> = ((A+B)*D*L)+((A+B)*D*(M/2))+(A*C*L)+(A*C*(M/2)) = 16,970m³</t>
    </r>
  </si>
  <si>
    <t>REATERRO E COMPACTAÇÃO - ALA 02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</si>
  <si>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reaterro</t>
    </r>
    <r>
      <rPr>
        <sz val="10"/>
        <color theme="1"/>
        <rFont val="Calibri"/>
        <charset val="134"/>
        <scheme val="minor"/>
      </rPr>
      <t xml:space="preserve"> = ((E+F)*H*L)+((E+F)*H*(M/2))+(E*G*L)+(E*G*(M/2)) = 16,970m³</t>
    </r>
  </si>
  <si>
    <t>REATERRO E COMPACTAÇÃO - CORTINA 01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</si>
  <si>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reaterro</t>
    </r>
    <r>
      <rPr>
        <sz val="10"/>
        <color theme="1"/>
        <rFont val="Calibri"/>
        <charset val="134"/>
        <scheme val="minor"/>
      </rPr>
      <t xml:space="preserve"> = (J*K*L)+(J*K*(M/2)) = 18,180m³</t>
    </r>
  </si>
  <si>
    <t>Resumo - Item 2.1.6.</t>
  </si>
  <si>
    <t>Volume de Reaterro e Compactação (m³)</t>
  </si>
  <si>
    <t>2.1.7.-  Volume de Enrocamento de Pedra Jogada - Encontro/Cortina 01 + Alas + Consolos</t>
  </si>
  <si>
    <t>ENROCAMENTO - ALA 01</t>
  </si>
  <si>
    <t>Volume de Enrocamento (m³)</t>
  </si>
  <si>
    <r>
      <rPr>
        <sz val="8"/>
        <color theme="1"/>
        <rFont val="Calibri"/>
        <charset val="134"/>
        <scheme val="minor"/>
      </rPr>
      <t>Espessura</t>
    </r>
    <r>
      <rPr>
        <vertAlign val="subscript"/>
        <sz val="8"/>
        <color theme="1"/>
        <rFont val="Calibri"/>
        <charset val="134"/>
        <scheme val="minor"/>
      </rPr>
      <t>enrocamento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</si>
  <si>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enrocamento</t>
    </r>
    <r>
      <rPr>
        <sz val="10"/>
        <color theme="1"/>
        <rFont val="Calibri"/>
        <charset val="134"/>
        <scheme val="minor"/>
      </rPr>
      <t xml:space="preserve"> = ((A</t>
    </r>
    <r>
      <rPr>
        <vertAlign val="superscript"/>
        <sz val="10"/>
        <color theme="1"/>
        <rFont val="Calibri"/>
        <charset val="134"/>
        <scheme val="minor"/>
      </rPr>
      <t>2</t>
    </r>
    <r>
      <rPr>
        <sz val="10"/>
        <color theme="1"/>
        <rFont val="Calibri"/>
        <charset val="134"/>
        <scheme val="minor"/>
      </rPr>
      <t>+M</t>
    </r>
    <r>
      <rPr>
        <vertAlign val="superscript"/>
        <sz val="10"/>
        <color theme="1"/>
        <rFont val="Calibri"/>
        <charset val="134"/>
        <scheme val="minor"/>
      </rPr>
      <t>2</t>
    </r>
    <r>
      <rPr>
        <sz val="10"/>
        <color theme="1"/>
        <rFont val="Calibri"/>
        <charset val="134"/>
        <scheme val="minor"/>
      </rPr>
      <t>)</t>
    </r>
    <r>
      <rPr>
        <vertAlign val="superscript"/>
        <sz val="10"/>
        <color theme="1"/>
        <rFont val="Calibri"/>
        <charset val="134"/>
        <scheme val="minor"/>
      </rPr>
      <t>0,5</t>
    </r>
    <r>
      <rPr>
        <sz val="10"/>
        <color theme="1"/>
        <rFont val="Calibri"/>
        <charset val="134"/>
        <scheme val="minor"/>
      </rPr>
      <t>)*N*(C+D) = 1,000m³</t>
    </r>
  </si>
  <si>
    <t>ENROCAMENTO - ALA 02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</si>
  <si>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enrocamento</t>
    </r>
    <r>
      <rPr>
        <sz val="10"/>
        <color theme="1"/>
        <rFont val="Calibri"/>
        <charset val="134"/>
        <scheme val="minor"/>
      </rPr>
      <t xml:space="preserve"> = ((E</t>
    </r>
    <r>
      <rPr>
        <vertAlign val="superscript"/>
        <sz val="10"/>
        <color theme="1"/>
        <rFont val="Calibri"/>
        <charset val="134"/>
        <scheme val="minor"/>
      </rPr>
      <t>2</t>
    </r>
    <r>
      <rPr>
        <sz val="10"/>
        <color theme="1"/>
        <rFont val="Calibri"/>
        <charset val="134"/>
        <scheme val="minor"/>
      </rPr>
      <t>+M</t>
    </r>
    <r>
      <rPr>
        <vertAlign val="superscript"/>
        <sz val="10"/>
        <color theme="1"/>
        <rFont val="Calibri"/>
        <charset val="134"/>
        <scheme val="minor"/>
      </rPr>
      <t>2</t>
    </r>
    <r>
      <rPr>
        <sz val="10"/>
        <color theme="1"/>
        <rFont val="Calibri"/>
        <charset val="134"/>
        <scheme val="minor"/>
      </rPr>
      <t>)</t>
    </r>
    <r>
      <rPr>
        <vertAlign val="superscript"/>
        <sz val="10"/>
        <color theme="1"/>
        <rFont val="Calibri"/>
        <charset val="134"/>
        <scheme val="minor"/>
      </rPr>
      <t>0,5</t>
    </r>
    <r>
      <rPr>
        <sz val="10"/>
        <color theme="1"/>
        <rFont val="Calibri"/>
        <charset val="134"/>
        <scheme val="minor"/>
      </rPr>
      <t>)*N*(G+H) = 1,000m³</t>
    </r>
  </si>
  <si>
    <t>ENROCAMENTO - CORTINA 01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</si>
  <si>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enrocamento</t>
    </r>
    <r>
      <rPr>
        <sz val="10"/>
        <color theme="1"/>
        <rFont val="Calibri"/>
        <charset val="134"/>
        <scheme val="minor"/>
      </rPr>
      <t xml:space="preserve"> = ((J</t>
    </r>
    <r>
      <rPr>
        <vertAlign val="superscript"/>
        <sz val="10"/>
        <color theme="1"/>
        <rFont val="Calibri"/>
        <charset val="134"/>
        <scheme val="minor"/>
      </rPr>
      <t>2</t>
    </r>
    <r>
      <rPr>
        <sz val="10"/>
        <color theme="1"/>
        <rFont val="Calibri"/>
        <charset val="134"/>
        <scheme val="minor"/>
      </rPr>
      <t>+M</t>
    </r>
    <r>
      <rPr>
        <vertAlign val="superscript"/>
        <sz val="10"/>
        <color theme="1"/>
        <rFont val="Calibri"/>
        <charset val="134"/>
        <scheme val="minor"/>
      </rPr>
      <t>2</t>
    </r>
    <r>
      <rPr>
        <sz val="10"/>
        <color theme="1"/>
        <rFont val="Calibri"/>
        <charset val="134"/>
        <scheme val="minor"/>
      </rPr>
      <t>)</t>
    </r>
    <r>
      <rPr>
        <vertAlign val="superscript"/>
        <sz val="10"/>
        <color theme="1"/>
        <rFont val="Calibri"/>
        <charset val="134"/>
        <scheme val="minor"/>
      </rPr>
      <t>0,5</t>
    </r>
    <r>
      <rPr>
        <sz val="10"/>
        <color theme="1"/>
        <rFont val="Calibri"/>
        <charset val="134"/>
        <scheme val="minor"/>
      </rPr>
      <t>)*N*L = 1,160m³</t>
    </r>
  </si>
  <si>
    <t>Resumo - Item 2.1.7.</t>
  </si>
  <si>
    <t>Enrocamento de Pedra Jogada (m³)</t>
  </si>
  <si>
    <t>2.1.8.Volume de Adensamento de Concreto - Encontro/Consolo 01 + Alas + Consolos</t>
  </si>
  <si>
    <t>Volume de Adensamento (m³)</t>
  </si>
  <si>
    <t>Resumo - Item 2.1.8</t>
  </si>
  <si>
    <t>Volume de Adensamento de Concreto (m³)</t>
  </si>
  <si>
    <t>2.2.1.Volume de Concreto Estrutural fck = 30MPa - Encontro/Cortina 02 + Alas + Consolos</t>
  </si>
  <si>
    <t>ALA 03</t>
  </si>
  <si>
    <t>ALA 04</t>
  </si>
  <si>
    <t>ENCONTRO 02</t>
  </si>
  <si>
    <t>CONSOLO 02</t>
  </si>
  <si>
    <t>Resumo - Item 2.2.1</t>
  </si>
  <si>
    <t>2.2.2.Volume de Concreto Não Estrutural fck = 15MPa - Encontro/Cortina 02 + Alas + Consolos</t>
  </si>
  <si>
    <t>Resumo - Item 2.2.2</t>
  </si>
  <si>
    <t>2.2.3.- Formas - Encontro/Cortina 02 + Alas + Consolos</t>
  </si>
  <si>
    <t>Resumo - Item 2.2.3</t>
  </si>
  <si>
    <t>2.2.4. - Aço CA-50 - Encontro/Cortina 02 + Alas + Consolos</t>
  </si>
  <si>
    <t>ENCONTRO 02 - CORTINAS + ALAS + CONSOLOS</t>
  </si>
  <si>
    <t>Resumo - Item 2.2.4.</t>
  </si>
  <si>
    <t>2.2.5. - Plataforma de Trabalho em Aço Tubular (Encontro/Cortina 02 + Alas + Consolos)</t>
  </si>
  <si>
    <t>PLATAFORMA - ALA 03</t>
  </si>
  <si>
    <t>PLATAFORMA - ALA 04</t>
  </si>
  <si>
    <t>PLATAFORMA - ENCONTRO 02</t>
  </si>
  <si>
    <t>Resumo - Item 2.2.5.</t>
  </si>
  <si>
    <t>2.2.6.-  Volume de Reaterro e Compactação - Encontro/Cortina 02 + Alas + Consolos</t>
  </si>
  <si>
    <t>REATERRO E COMPACTAÇÃO - ALA 03</t>
  </si>
  <si>
    <t>REATERRO E COMPACTAÇÃO - ALA 04</t>
  </si>
  <si>
    <t>REATERRO E COMPACTAÇÃO - CORTINA 02</t>
  </si>
  <si>
    <t>Resumo - Item 2.2.6.</t>
  </si>
  <si>
    <t>2.2.7.-  Volume de Enrocamento de Pedra Jogada - Encontro/Cortina 02 + Alas + Consolos</t>
  </si>
  <si>
    <t>ENROCAMENTO - ALA 03</t>
  </si>
  <si>
    <t>ENROCAMENTO - ALA 04</t>
  </si>
  <si>
    <t>ENROCAMENTO - CORTINA 02</t>
  </si>
  <si>
    <t>Resumo - Item 2.2.7.</t>
  </si>
  <si>
    <t>2.2.8.Volume de Adensamento de Concreto - Encontro/Cortina 02 + Alas + Consolos</t>
  </si>
  <si>
    <t>Resumo - Item 2.2.8.</t>
  </si>
  <si>
    <t>2.3.1.Volume de Concreto Estrutural fck = 30MPa - Placa de Atrito 01</t>
  </si>
  <si>
    <t>Número de Placas (un.)</t>
  </si>
  <si>
    <r>
      <rPr>
        <sz val="11"/>
        <color theme="1"/>
        <rFont val="Calibri"/>
        <charset val="134"/>
        <scheme val="minor"/>
      </rPr>
      <t>Altura</t>
    </r>
    <r>
      <rPr>
        <vertAlign val="subscript"/>
        <sz val="11"/>
        <color theme="1"/>
        <rFont val="Calibri"/>
        <charset val="134"/>
        <scheme val="minor"/>
      </rPr>
      <t>1</t>
    </r>
  </si>
  <si>
    <r>
      <rPr>
        <sz val="11"/>
        <color theme="1"/>
        <rFont val="Calibri"/>
        <charset val="134"/>
        <scheme val="minor"/>
      </rPr>
      <t>Altura</t>
    </r>
    <r>
      <rPr>
        <vertAlign val="subscript"/>
        <sz val="11"/>
        <color theme="1"/>
        <rFont val="Calibri"/>
        <charset val="134"/>
        <scheme val="minor"/>
      </rPr>
      <t>2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</si>
  <si>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conc;estrutural</t>
    </r>
    <r>
      <rPr>
        <sz val="10"/>
        <color theme="1"/>
        <rFont val="Calibri"/>
        <charset val="134"/>
        <scheme val="minor"/>
      </rPr>
      <t xml:space="preserve"> = A*B*D*(Número de Placas) = 4,80m³</t>
    </r>
  </si>
  <si>
    <t>Resumo - Item 2.3.1.</t>
  </si>
  <si>
    <t>2.3.2.Volume de Concreto Não Estrutural fck = 15MPa - Placa de Atrito 01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</si>
  <si>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conc;magro</t>
    </r>
    <r>
      <rPr>
        <sz val="10"/>
        <color theme="1"/>
        <rFont val="Calibri"/>
        <charset val="134"/>
        <scheme val="minor"/>
      </rPr>
      <t xml:space="preserve"> = A*B*C*(Número de Placas) = 1,20m³</t>
    </r>
  </si>
  <si>
    <t>Resumo - Item 2.3.2.</t>
  </si>
  <si>
    <t>2.3.3. Formas - Placa de Atrito 01</t>
  </si>
  <si>
    <t>Forma = (A+B+A+B)*D*(Número de Placas) = 4,00m²</t>
  </si>
  <si>
    <t>Resumo - Item 2.3.3</t>
  </si>
  <si>
    <t>Formas - Placa de Atrito 01 (m²)</t>
  </si>
  <si>
    <t>2.3.4. - Aço CA-50 - Placa de Atrito 01</t>
  </si>
  <si>
    <t>Resumo - Item 2.3.4.</t>
  </si>
  <si>
    <t>2.3.5. -  Volume de Escavação sem Esgotamento - Material de 1ª Categoria - Placa de Atrito 01</t>
  </si>
  <si>
    <t>ESCAVAÇÃO - PLACA DE ATRITO (INÍCIO DA PONTE)</t>
  </si>
  <si>
    <r>
      <rPr>
        <sz val="11"/>
        <color theme="1"/>
        <rFont val="Calibri"/>
        <charset val="134"/>
        <scheme val="minor"/>
      </rPr>
      <t>Comp.</t>
    </r>
    <r>
      <rPr>
        <vertAlign val="subscript"/>
        <sz val="9"/>
        <color theme="1"/>
        <rFont val="Calibri"/>
        <charset val="134"/>
        <scheme val="minor"/>
      </rPr>
      <t>escavação</t>
    </r>
  </si>
  <si>
    <r>
      <rPr>
        <sz val="11"/>
        <color theme="1"/>
        <rFont val="Calibri"/>
        <charset val="134"/>
        <scheme val="minor"/>
      </rPr>
      <t>Altura</t>
    </r>
    <r>
      <rPr>
        <vertAlign val="subscript"/>
        <sz val="9"/>
        <color theme="1"/>
        <rFont val="Calibri"/>
        <charset val="134"/>
        <scheme val="minor"/>
      </rPr>
      <t>escavação</t>
    </r>
  </si>
  <si>
    <r>
      <rPr>
        <sz val="11"/>
        <color theme="1"/>
        <rFont val="Calibri"/>
        <charset val="134"/>
        <scheme val="minor"/>
      </rPr>
      <t>Largura</t>
    </r>
    <r>
      <rPr>
        <vertAlign val="subscript"/>
        <sz val="9"/>
        <color theme="1"/>
        <rFont val="Calibri"/>
        <charset val="134"/>
        <scheme val="minor"/>
      </rPr>
      <t>escavação</t>
    </r>
  </si>
  <si>
    <r>
      <rPr>
        <sz val="11"/>
        <color theme="1"/>
        <rFont val="Calibri"/>
        <charset val="134"/>
        <scheme val="minor"/>
      </rPr>
      <t>Largura</t>
    </r>
    <r>
      <rPr>
        <vertAlign val="subscript"/>
        <sz val="11"/>
        <color theme="1"/>
        <rFont val="Calibri"/>
        <charset val="134"/>
        <scheme val="minor"/>
      </rPr>
      <t>placa</t>
    </r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</si>
  <si>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(B+C)*A*0,5*(D+E+F) = 27,950m³</t>
    </r>
  </si>
  <si>
    <t>Resumo - Item 2.3.5.</t>
  </si>
  <si>
    <t>2.3.6.Volume de Adensamento de Concreto - Placa de Atrito 01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</si>
  <si>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</t>
    </r>
    <r>
      <rPr>
        <sz val="10"/>
        <color theme="1"/>
        <rFont val="Calibri"/>
        <charset val="134"/>
        <scheme val="minor"/>
      </rPr>
      <t xml:space="preserve"> = A*B*D*(Número de Placas) = 4,80m³</t>
    </r>
  </si>
  <si>
    <t>Resumo - Item 2.3.6.</t>
  </si>
  <si>
    <t>2.4.1.Volume de Concreto Estrutural fck = 30MPa - Placa de Atrito 02</t>
  </si>
  <si>
    <t>Resumo - Item 2.4.1.</t>
  </si>
  <si>
    <t>2.4.2.Volume de Concreto Não Estrutural fck = 15MPa - Placa de Atrito 02</t>
  </si>
  <si>
    <t>Resumo - Item 2.4.2.</t>
  </si>
  <si>
    <t>2.4.3. Formas - Placa de Atrito 02</t>
  </si>
  <si>
    <t>Resumo - Item 2.4.3</t>
  </si>
  <si>
    <t>Formas - Placa de Atrito 02 (m²)</t>
  </si>
  <si>
    <t>2.4.4. - Aço CA-50 - Placa de Atrito 02</t>
  </si>
  <si>
    <t>Resumo - Item 2.4.4.</t>
  </si>
  <si>
    <t>2.4.5. -  Volume de Escavação sem Esgotamento - Material de 1ª Categoria - Placa de Atrito 02</t>
  </si>
  <si>
    <t>ESCAVAÇÃO - PLACA DE ATRITO (FINAL DA PONTE)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</si>
  <si>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escavação</t>
    </r>
    <r>
      <rPr>
        <sz val="10"/>
        <color theme="1"/>
        <rFont val="Calibri"/>
        <charset val="134"/>
        <scheme val="minor"/>
      </rPr>
      <t xml:space="preserve"> = (B+C)*A*0,5*(D+E+F) = 59,360m³</t>
    </r>
  </si>
  <si>
    <t>Resumo - Item 2.4.5.</t>
  </si>
  <si>
    <t>2.4.6.Volume de Adensamento de Concreto - Placa de Atrito 02</t>
  </si>
  <si>
    <t>Resumo - Item 2.4.6.</t>
  </si>
  <si>
    <t>2.5.1.Tirantes - Placa de Atrito 01</t>
  </si>
  <si>
    <t>TIRANTE 01</t>
  </si>
  <si>
    <t>N. de Tirantes por Placa (un.)</t>
  </si>
  <si>
    <t>Quantidade de Tirantes (un)</t>
  </si>
  <si>
    <r>
      <rPr>
        <sz val="10"/>
        <color theme="1"/>
        <rFont val="Calibri"/>
        <charset val="134"/>
        <scheme val="minor"/>
      </rPr>
      <t>N</t>
    </r>
    <r>
      <rPr>
        <vertAlign val="subscript"/>
        <sz val="10"/>
        <color theme="1"/>
        <rFont val="Calibri"/>
        <charset val="134"/>
        <scheme val="minor"/>
      </rPr>
      <t>tirante</t>
    </r>
    <r>
      <rPr>
        <sz val="10"/>
        <color theme="1"/>
        <rFont val="Calibri"/>
        <charset val="134"/>
        <scheme val="minor"/>
      </rPr>
      <t xml:space="preserve"> = (Número de Tirantes por Placa)*(Número de Placas) = 5,00 un</t>
    </r>
  </si>
  <si>
    <t>Resumo - Item 2.5.1.</t>
  </si>
  <si>
    <t>Tirantes - Placa de Atrito 01</t>
  </si>
  <si>
    <t>2.6.1.Tirantes - Placa de Atrito 02</t>
  </si>
  <si>
    <t>TIRANTE 02</t>
  </si>
  <si>
    <t>Resumo - Item 2.6.1.</t>
  </si>
  <si>
    <t>Tirantes - Placa de Atrito 02</t>
  </si>
  <si>
    <t>2.7.1.Volume de Concreto Estrutural fck = 30MPa - Articulação Freyssinet</t>
  </si>
  <si>
    <t>Articulação Freyssinet (Viga Pré-Moldada)</t>
  </si>
  <si>
    <t>ARTICULAÇÃO FREYSSINET - (VIGA PRÉ-MOLDADA)</t>
  </si>
  <si>
    <t>Nº de Arti- culações (un.)</t>
  </si>
  <si>
    <t>Vconc = A*B*C*(Nº de Articulações) = 0,08m³</t>
  </si>
  <si>
    <t>Articulação Freyssinet (Placa de Aproximação)</t>
  </si>
  <si>
    <t>ARTICULAÇÃO FREYSSINET - (PLACA DE APROXIMAÇÃO)</t>
  </si>
  <si>
    <t>Vconc = A*B*C*(Nº de Articulações) = 0,04m³</t>
  </si>
  <si>
    <t>Resumo - Item 2.7.1.</t>
  </si>
  <si>
    <t>2.7.2. Formas - Articulação Freyssinet</t>
  </si>
  <si>
    <t>Forma = (A+A+B+B)*C*(Nº de Articulações) = 0,51m²</t>
  </si>
  <si>
    <t>Resumo - Item 2.7.2.</t>
  </si>
  <si>
    <t>Formas - Articulação Freyssinet (m²)</t>
  </si>
  <si>
    <t>2.7.3. - Aço CA-50 - Articulação Freyssinet</t>
  </si>
  <si>
    <t>Resumo - Item 2.7.3.</t>
  </si>
  <si>
    <t>2.7.4.Volume de Adensamento de Concreto - Articulação Freyssinet</t>
  </si>
  <si>
    <t>Resumo - Item 2.7.4.</t>
  </si>
  <si>
    <t>3.1.1.Volume de Concreto Estrutural fck = 30MPa - Laje do Tabuleiro</t>
  </si>
  <si>
    <r>
      <rPr>
        <sz val="11"/>
        <color theme="1"/>
        <rFont val="Calibri"/>
        <charset val="134"/>
        <scheme val="minor"/>
      </rPr>
      <t>C</t>
    </r>
    <r>
      <rPr>
        <vertAlign val="subscript"/>
        <sz val="11"/>
        <color theme="1"/>
        <rFont val="Calibri"/>
        <charset val="134"/>
        <scheme val="minor"/>
      </rPr>
      <t>1</t>
    </r>
    <r>
      <rPr>
        <sz val="11"/>
        <color theme="1"/>
        <rFont val="Calibri"/>
        <charset val="134"/>
        <scheme val="minor"/>
      </rPr>
      <t xml:space="preserve"> (m)</t>
    </r>
  </si>
  <si>
    <r>
      <rPr>
        <sz val="11"/>
        <color theme="1"/>
        <rFont val="Calibri"/>
        <charset val="134"/>
        <scheme val="minor"/>
      </rPr>
      <t>C</t>
    </r>
    <r>
      <rPr>
        <vertAlign val="subscript"/>
        <sz val="11"/>
        <color theme="1"/>
        <rFont val="Calibri"/>
        <charset val="134"/>
        <scheme val="minor"/>
      </rPr>
      <t>2</t>
    </r>
    <r>
      <rPr>
        <sz val="11"/>
        <color theme="1"/>
        <rFont val="Calibri"/>
        <charset val="134"/>
        <scheme val="minor"/>
      </rPr>
      <t xml:space="preserve"> (m)</t>
    </r>
  </si>
  <si>
    <t>Vconc = ((((C1+C2)+C1)*(B/2))/2)*2*A = 15,75m³</t>
  </si>
  <si>
    <t>Resumo - Item 3.1.1.</t>
  </si>
  <si>
    <t>3.1.2. Formas - Laje do Tabuleiro</t>
  </si>
  <si>
    <t>Forma = (((((C1+C2)+C1)*(B/2))/2)*2*2)+((A*C1)*2) = 6,60m²</t>
  </si>
  <si>
    <t>Resumo - Item 3.1.2.</t>
  </si>
  <si>
    <t>Formas - Laje do Tabuleiro (m²)</t>
  </si>
  <si>
    <t>3.1.3. - Aço CA-50 - Laje do Tabuleiro</t>
  </si>
  <si>
    <t>Resumo - Item 3.1.3.</t>
  </si>
  <si>
    <t>3.1.4.Volume de Adensamento de Concreto - Laje do Tabuleiro</t>
  </si>
  <si>
    <t>Resumo - Item 3.1.4.</t>
  </si>
  <si>
    <t>3.2.1.- Volume de Concreto Estrutural fck = 30MPa - Transversinas dos Encontros + Consolos</t>
  </si>
  <si>
    <r>
      <rPr>
        <sz val="11"/>
        <color theme="1"/>
        <rFont val="Calibri"/>
        <charset val="134"/>
        <scheme val="minor"/>
      </rPr>
      <t>Largura</t>
    </r>
    <r>
      <rPr>
        <vertAlign val="subscript"/>
        <sz val="11"/>
        <color theme="1"/>
        <rFont val="Calibri"/>
        <charset val="134"/>
        <scheme val="minor"/>
      </rPr>
      <t>1</t>
    </r>
  </si>
  <si>
    <r>
      <rPr>
        <sz val="11"/>
        <color theme="1"/>
        <rFont val="Calibri"/>
        <charset val="134"/>
        <scheme val="minor"/>
      </rPr>
      <t>Largura</t>
    </r>
    <r>
      <rPr>
        <vertAlign val="subscript"/>
        <sz val="11"/>
        <color theme="1"/>
        <rFont val="Calibri"/>
        <charset val="134"/>
        <scheme val="minor"/>
      </rPr>
      <t>2</t>
    </r>
  </si>
  <si>
    <r>
      <rPr>
        <sz val="11"/>
        <color theme="1"/>
        <rFont val="Calibri"/>
        <charset val="134"/>
        <scheme val="minor"/>
      </rPr>
      <t>Altura</t>
    </r>
    <r>
      <rPr>
        <vertAlign val="subscript"/>
        <sz val="11"/>
        <color theme="1"/>
        <rFont val="Calibri"/>
        <charset val="134"/>
        <scheme val="minor"/>
      </rPr>
      <t>3</t>
    </r>
  </si>
  <si>
    <r>
      <rPr>
        <sz val="11"/>
        <color theme="1"/>
        <rFont val="Calibri"/>
        <charset val="134"/>
        <scheme val="minor"/>
      </rPr>
      <t>Altura</t>
    </r>
    <r>
      <rPr>
        <vertAlign val="subscript"/>
        <sz val="11"/>
        <color theme="1"/>
        <rFont val="Calibri"/>
        <charset val="134"/>
        <scheme val="minor"/>
      </rPr>
      <t>4</t>
    </r>
  </si>
  <si>
    <t>Número de Transversinas do Encontro + Consolos (un.)</t>
  </si>
  <si>
    <r>
      <rPr>
        <sz val="10"/>
        <color theme="1"/>
        <rFont val="Calibri"/>
        <charset val="134"/>
        <scheme val="minor"/>
      </rPr>
      <t>V</t>
    </r>
    <r>
      <rPr>
        <vertAlign val="subscript"/>
        <sz val="10"/>
        <color theme="1"/>
        <rFont val="Calibri"/>
        <charset val="134"/>
        <scheme val="minor"/>
      </rPr>
      <t>conc</t>
    </r>
    <r>
      <rPr>
        <sz val="10"/>
        <color theme="1"/>
        <rFont val="Calibri"/>
        <charset val="134"/>
        <scheme val="minor"/>
      </rPr>
      <t xml:space="preserve"> = (((D+E+F+G)*B)+((((E+F)+F)*C)/2))*A*(Número de Transversinas) = 6,76m³</t>
    </r>
  </si>
  <si>
    <t>Resumo - Item 3.2.1.</t>
  </si>
  <si>
    <t>3.2.2.- Formas - Transversinas dos Encontros + Consolos</t>
  </si>
  <si>
    <r>
      <rPr>
        <sz val="9"/>
        <color theme="1"/>
        <rFont val="Calibri"/>
        <charset val="134"/>
        <scheme val="minor"/>
      </rPr>
      <t>Forma = (((((D+E+F+G)*B)+((((E+F)+F)*C)/2))*2)+((D+E+F+G)*A)+((((E</t>
    </r>
    <r>
      <rPr>
        <vertAlign val="superscript"/>
        <sz val="9"/>
        <color theme="1"/>
        <rFont val="Calibri"/>
        <charset val="134"/>
        <scheme val="minor"/>
      </rPr>
      <t>2</t>
    </r>
    <r>
      <rPr>
        <sz val="9"/>
        <color theme="1"/>
        <rFont val="Calibri"/>
        <charset val="134"/>
        <scheme val="minor"/>
      </rPr>
      <t>+C</t>
    </r>
    <r>
      <rPr>
        <vertAlign val="superscript"/>
        <sz val="9"/>
        <color theme="1"/>
        <rFont val="Calibri"/>
        <charset val="134"/>
        <scheme val="minor"/>
      </rPr>
      <t>2</t>
    </r>
    <r>
      <rPr>
        <sz val="9"/>
        <color theme="1"/>
        <rFont val="Calibri"/>
        <charset val="134"/>
        <scheme val="minor"/>
      </rPr>
      <t>)</t>
    </r>
    <r>
      <rPr>
        <vertAlign val="superscript"/>
        <sz val="9"/>
        <color theme="1"/>
        <rFont val="Calibri"/>
        <charset val="134"/>
        <scheme val="minor"/>
      </rPr>
      <t>0,5</t>
    </r>
    <r>
      <rPr>
        <sz val="9"/>
        <color theme="1"/>
        <rFont val="Calibri"/>
        <charset val="134"/>
        <scheme val="minor"/>
      </rPr>
      <t>)+D+F+G)*A)+(B*A))*(Número de Transversinas)</t>
    </r>
  </si>
  <si>
    <t>Forma = 34,23m²</t>
  </si>
  <si>
    <t>Resumo - Item 3.2.2.</t>
  </si>
  <si>
    <t>Formas - Transversinas dos Encontros + Consolos (m²)</t>
  </si>
  <si>
    <t>3.2.3. - Aço CA-50 - Transversinas dos Encontros + Consolos</t>
  </si>
  <si>
    <t>Resumo - Item 3.2.3.</t>
  </si>
  <si>
    <t>3.2.4.- Volume de Adensamento de Concreto - Transversinas dos Encontros + Consolos</t>
  </si>
  <si>
    <t>Resumo - Item 3.2.4.</t>
  </si>
  <si>
    <t>3.3.1.- Volume de Concreto Estrutural fck = 30MPa - Barreiras de Concreto (Tipo New Jersey - modificadas para altura de 40cm)</t>
  </si>
  <si>
    <r>
      <rPr>
        <sz val="11"/>
        <color theme="1"/>
        <rFont val="Calibri"/>
        <charset val="134"/>
        <scheme val="minor"/>
      </rPr>
      <t>Largura</t>
    </r>
    <r>
      <rPr>
        <vertAlign val="subscript"/>
        <sz val="11"/>
        <color theme="1"/>
        <rFont val="Calibri"/>
        <charset val="134"/>
        <scheme val="minor"/>
      </rPr>
      <t>3</t>
    </r>
  </si>
  <si>
    <t>Número de Módulos (un.)</t>
  </si>
  <si>
    <t>Vconc = ((A*F)+(((F+E)*B)/2)+(((E+D)*C)/2))*H*(Número de Módulos) = 3,15m³</t>
  </si>
  <si>
    <t>Resumo - Item 3.3.1.</t>
  </si>
  <si>
    <t>3.3.2.- Formas - Barreiras de Concreto (Tipo New Jersey - modificadas para altura de 40cm)</t>
  </si>
  <si>
    <t>Resumo - Item 3.3.2.</t>
  </si>
  <si>
    <t>Formas - Barreiras de Concreto (m²)</t>
  </si>
  <si>
    <t>3.3.3. - Aço CA-50 - Barreiras de Concreto (Tipo New Jersey - modificadas para altura de 40cm)</t>
  </si>
  <si>
    <t>BARREIRAS DE CONCRETO</t>
  </si>
  <si>
    <t>Resumo - Item 3.3.3.</t>
  </si>
  <si>
    <t>3.3.4.- Volume de Adensamento de Concreto - Barreiras de Concreto (Tipo New Jersey - modificadas para altura de 40cm)</t>
  </si>
  <si>
    <t>Resumo - Item 3.3.4.</t>
  </si>
  <si>
    <t>3.4.1. Volume de Concreto Estrutural fck = 40MPa - Viga Pré-moldada PCT 14,20/45</t>
  </si>
  <si>
    <t>Largura1</t>
  </si>
  <si>
    <t>Largura2</t>
  </si>
  <si>
    <t>Largura3</t>
  </si>
  <si>
    <t>Altura1</t>
  </si>
  <si>
    <t>Altura2</t>
  </si>
  <si>
    <t>Número de Vigas (un.)</t>
  </si>
  <si>
    <t>Vconc = (((A+B+C)*E)+(B*D))*F*(Número de Vigas) = 21,650m³</t>
  </si>
  <si>
    <t>Resumo - Item 3.4.1.</t>
  </si>
  <si>
    <t>Volume de Concreto Estrutural fck = 40MPa (m³)</t>
  </si>
  <si>
    <t>3.4.2. Formas - Viga Pré-moldada PCT 14,20/45</t>
  </si>
  <si>
    <t>Forma = (((((A+B+C)*E)+(B*D))*2)+((E+A+D+B+D+C+E)*F))*(Número de Vigas) = 209,800m²</t>
  </si>
  <si>
    <t>Resumo - Item 3.4.2.</t>
  </si>
  <si>
    <t>Formas - Viga Pré-moldada PCT 14,20/45 (m²)</t>
  </si>
  <si>
    <t>3.4.3. - Aço CA-50 - Viga Pré-moldada PCT 14,20/45 (kg)</t>
  </si>
  <si>
    <t>VIGA PRÉ-MOLDADA PCT 14,20/45</t>
  </si>
  <si>
    <t>3.4.4. - Aço CA-60 - Viga Pré-moldada PCT 14,20/45 (kg)</t>
  </si>
  <si>
    <t>CA-60</t>
  </si>
  <si>
    <t>Aço CA-60 (kg)</t>
  </si>
  <si>
    <r>
      <rPr>
        <b/>
        <sz val="11"/>
        <color theme="1"/>
        <rFont val="Calibri"/>
        <charset val="134"/>
        <scheme val="minor"/>
      </rPr>
      <t xml:space="preserve">3.4.5. - Cordoalha CP 190 RB D = </t>
    </r>
    <r>
      <rPr>
        <b/>
        <sz val="12.1"/>
        <color theme="1"/>
        <rFont val="Calibri"/>
        <charset val="134"/>
      </rPr>
      <t xml:space="preserve">12,7mm </t>
    </r>
    <r>
      <rPr>
        <b/>
        <sz val="11"/>
        <color theme="1"/>
        <rFont val="Calibri"/>
        <charset val="134"/>
        <scheme val="minor"/>
      </rPr>
      <t>- Viga Pré-moldada PCT 14,20/45 (kg)</t>
    </r>
  </si>
  <si>
    <t>CP 190 RB</t>
  </si>
  <si>
    <t>Resumo - Item 3.4.5.</t>
  </si>
  <si>
    <t>3.4.6. Lançamento de vigas pré-moldadas - Viga Pré-moldada PCT 14,20/45 (kg)</t>
  </si>
  <si>
    <t>N. de Vigas por Vão (un.)</t>
  </si>
  <si>
    <t>Número de Vãos (un.)</t>
  </si>
  <si>
    <t>Quantidade de Vigas (un)</t>
  </si>
  <si>
    <t>Nvigas = (Número de Vigas por Vão)*(Número de Vãos) = 4,00 un</t>
  </si>
  <si>
    <t>Resumo - Item 3.4.6.</t>
  </si>
  <si>
    <t>Lançamento de Vigas Pré-Moldadas (un)</t>
  </si>
  <si>
    <t>3.4.7. Volume de Adensamento de Concreto - Viga Pré-moldada PCT 14,20/45</t>
  </si>
  <si>
    <t>Resumo - Item 3.4.7.</t>
  </si>
  <si>
    <t>3.5.1. Volume de Concreto Estrutural fck = 30MPa - Placa de Aproximação</t>
  </si>
  <si>
    <r>
      <rPr>
        <sz val="11"/>
        <color theme="1"/>
        <rFont val="Calibri"/>
        <charset val="134"/>
        <scheme val="minor"/>
      </rPr>
      <t>Comprimento</t>
    </r>
    <r>
      <rPr>
        <vertAlign val="subscript"/>
        <sz val="11"/>
        <color theme="1"/>
        <rFont val="Calibri"/>
        <charset val="134"/>
        <scheme val="minor"/>
      </rPr>
      <t>1</t>
    </r>
  </si>
  <si>
    <r>
      <rPr>
        <sz val="11"/>
        <color theme="1"/>
        <rFont val="Calibri"/>
        <charset val="134"/>
        <scheme val="minor"/>
      </rPr>
      <t>Comprimento</t>
    </r>
    <r>
      <rPr>
        <vertAlign val="subscript"/>
        <sz val="11"/>
        <color theme="1"/>
        <rFont val="Calibri"/>
        <charset val="134"/>
        <scheme val="minor"/>
      </rPr>
      <t>2</t>
    </r>
  </si>
  <si>
    <r>
      <rPr>
        <sz val="11"/>
        <color theme="1"/>
        <rFont val="Calibri"/>
        <charset val="134"/>
        <scheme val="minor"/>
      </rPr>
      <t>Comprimento</t>
    </r>
    <r>
      <rPr>
        <vertAlign val="subscript"/>
        <sz val="11"/>
        <color theme="1"/>
        <rFont val="Calibri"/>
        <charset val="134"/>
        <scheme val="minor"/>
      </rPr>
      <t>3</t>
    </r>
  </si>
  <si>
    <t>Número de placas (un.)</t>
  </si>
  <si>
    <t>Vconc;estrutural = (((A+B+C)*E)+((((A+B)+A)*F)/2))*D*(Número de Placas) = 13,62m³</t>
  </si>
  <si>
    <t>Resumo - Item 3.5.1.</t>
  </si>
  <si>
    <t>3.5.2. Volume de Concreto Não Estrutural fck = 15MPa - Placa de Aproximação</t>
  </si>
  <si>
    <t>Vconc;magro = ((A+B+C)*G)*D*(Número de Placas) = 2,40m³</t>
  </si>
  <si>
    <t>Resumo - Item 3.5.2.</t>
  </si>
  <si>
    <t>3.5.3. Formas - Placa de Aproximação</t>
  </si>
  <si>
    <t>Forma = ((((A+B+C)*E)+((((A+B)+A)*F)/2))*2)+((E+F)*D)+(E*D)*(Número de Placas) = 14,14m²</t>
  </si>
  <si>
    <t>Resumo - Item 3.5.3.</t>
  </si>
  <si>
    <t>Formas - Placa de Aproximação (m²)</t>
  </si>
  <si>
    <t>3.5.4. - Aço CA-50 - Placa de Aproximação (kg)</t>
  </si>
  <si>
    <t>Resumo - Item 3.5.4.</t>
  </si>
  <si>
    <t>3.5.5. Volume de Adensamento de Concreto - Placa de Aproximação</t>
  </si>
  <si>
    <t>Resumo - Item 3.5.5.</t>
  </si>
  <si>
    <t>3.6.1.Volume de Concreto Não Estrutural fck = 15MPa - Berço de Concreto para Viga Longarina</t>
  </si>
  <si>
    <t>Nº de Berços (un.)</t>
  </si>
  <si>
    <t>Vconc = A*B*C*(Nº de Berços) = 2,90m³</t>
  </si>
  <si>
    <t>Resumo - Item 3.6.1.</t>
  </si>
  <si>
    <t>3.6.2.Formas - Berço de Concreto para Viga Longarina</t>
  </si>
  <si>
    <t>Forma = (A+A+B+B)*C*(Nº de Articulações) = 12,00m²</t>
  </si>
  <si>
    <t>Resumo - Item 3.6.2.</t>
  </si>
  <si>
    <t>Formas - Berço de Concreto para Viga Longarina (m²)</t>
  </si>
  <si>
    <t>4.2.1. Placas de Sinalização</t>
  </si>
  <si>
    <t>PLACAS DE SINALIZAÇÃO</t>
  </si>
  <si>
    <t>Modelo</t>
  </si>
  <si>
    <t>Nº de Placas (un.)</t>
  </si>
  <si>
    <t>Área (m²)</t>
  </si>
  <si>
    <t>A-22</t>
  </si>
  <si>
    <t>C-1</t>
  </si>
  <si>
    <t>C-2</t>
  </si>
  <si>
    <t>R-19-3</t>
  </si>
  <si>
    <t>C-3</t>
  </si>
  <si>
    <t>Identificação</t>
  </si>
  <si>
    <t>C-4</t>
  </si>
  <si>
    <t>Delineador</t>
  </si>
  <si>
    <t>C-5</t>
  </si>
  <si>
    <t>Placas de Sinalização = (C-1)+(C-2)+(C-3)+(C-4)+(C-5) = 10,17m²</t>
  </si>
  <si>
    <t>Resumo - Item 4.2.1.</t>
  </si>
  <si>
    <t>Placas de Sinalização (m²)</t>
  </si>
  <si>
    <t>4.2.2. Suporte para Placas de Sinalização</t>
  </si>
  <si>
    <t>Nº Sup. por Placa (un.)</t>
  </si>
  <si>
    <t>Suporte para Placas de Sinalização = (C-1)+(C-2)+(C-3)+(C-4)+(C-5) = 18,00un</t>
  </si>
  <si>
    <t>Resumo - Item 4.2.2.</t>
  </si>
  <si>
    <t>Suporte para Placas de Sinalização (un)</t>
  </si>
  <si>
    <t>4.2.3. Pintura de Faixa com Tinta Acrílica</t>
  </si>
  <si>
    <t>Pintura de Faixa Amarela</t>
  </si>
  <si>
    <t>PINTURA DE FAIXA AMARELA</t>
  </si>
  <si>
    <t>Nº de Faixas (un.)</t>
  </si>
  <si>
    <r>
      <rPr>
        <sz val="11"/>
        <color theme="1"/>
        <rFont val="Calibri"/>
        <charset val="134"/>
        <scheme val="minor"/>
      </rPr>
      <t>Largura</t>
    </r>
    <r>
      <rPr>
        <vertAlign val="subscript"/>
        <sz val="11"/>
        <color theme="1"/>
        <rFont val="Calibri"/>
        <charset val="134"/>
        <scheme val="minor"/>
      </rPr>
      <t>faixa</t>
    </r>
  </si>
  <si>
    <t>Comprimentofaixa</t>
  </si>
  <si>
    <t>Área de Pintura = A*B*(Número de Faixas) = 4,50m²</t>
  </si>
  <si>
    <t>Pintura de Faixa de Bordo</t>
  </si>
  <si>
    <t>PINTURA DE FAIXA DE BORDO</t>
  </si>
  <si>
    <t>Área de Pintura = A*B*(Número de Faixas) = 3,00m²</t>
  </si>
  <si>
    <t>Resumo - Item 4.2.3.</t>
  </si>
  <si>
    <t>Pintura de Faixa com Tinta Acrílica (m²)</t>
  </si>
  <si>
    <t>4.3.1. Dreno de PVC - Laje do Tabuleiro</t>
  </si>
  <si>
    <t>DRENO DE PVC - LAJE DO TABULEIRO</t>
  </si>
  <si>
    <t>Nº de Drenos (un.)</t>
  </si>
  <si>
    <t>Diâmetro</t>
  </si>
  <si>
    <t>Ndrenos = (Nº de Drenos) = 10,00un</t>
  </si>
  <si>
    <t>Resumo - Item 4.3.1.</t>
  </si>
  <si>
    <t>Dreno de PVC - Laje do Tabuleiro (un)</t>
  </si>
  <si>
    <t>4.4.1. -  Volume de Escavação sem Esgotamento - Abertura do Canal do Rio (Material de 1ª Categoria)</t>
  </si>
  <si>
    <t>ESCAVAÇÃO SEM ESGOTAMENTO</t>
  </si>
  <si>
    <t>A (m²)</t>
  </si>
  <si>
    <t>Área Escav.</t>
  </si>
  <si>
    <t>Comp. Escav.</t>
  </si>
  <si>
    <t>Vescavação = Área da Escavação * Comprimento da Escavação = 181,793m³</t>
  </si>
  <si>
    <t>Resumo - Item 4.4.1.</t>
  </si>
  <si>
    <t>CRONOGRAMA FÍSICO-FINANCEIRO</t>
  </si>
  <si>
    <t>FONTE</t>
  </si>
  <si>
    <t>CÓDIGO</t>
  </si>
  <si>
    <t>DESCRIÇÃO</t>
  </si>
  <si>
    <t>PREÇO TOTAL</t>
  </si>
  <si>
    <t>%</t>
  </si>
  <si>
    <t>1º MÊS (30 DIAS)</t>
  </si>
  <si>
    <t>2º MÊS (30 DIAS)</t>
  </si>
  <si>
    <t>3º MÊS (30 DIAS)</t>
  </si>
  <si>
    <t>4º MÊS (30 DIAS)</t>
  </si>
  <si>
    <t>6.1</t>
  </si>
  <si>
    <t>6.2</t>
  </si>
  <si>
    <t>7.1</t>
  </si>
  <si>
    <t>1.1</t>
  </si>
  <si>
    <t>1.2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</si>
  <si>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</si>
  <si>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</si>
  <si>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</si>
  <si>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</si>
  <si>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</si>
  <si>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</si>
  <si>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</si>
  <si>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</si>
  <si>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</si>
  <si>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</si>
  <si>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3.4</t>
  </si>
  <si>
    <t>3.5</t>
  </si>
  <si>
    <t>3.6</t>
  </si>
  <si>
    <t>4.2</t>
  </si>
  <si>
    <t>4.3</t>
  </si>
  <si>
    <t>4.4</t>
  </si>
  <si>
    <t>5.1</t>
  </si>
  <si>
    <t>TOTAL MENSAL</t>
  </si>
  <si>
    <t>TOTAL ACUMULADO</t>
  </si>
  <si>
    <t>UNID.</t>
  </si>
  <si>
    <t>QUANTIDADE</t>
  </si>
  <si>
    <t>PREÇO UNITÁRIO</t>
  </si>
  <si>
    <t>% ACUM.</t>
  </si>
  <si>
    <t>CLASSIFICAÇÃO</t>
  </si>
  <si>
    <t>1.3</t>
  </si>
  <si>
    <t>1.4</t>
  </si>
  <si>
    <t>1.5</t>
  </si>
  <si>
    <t>1.6</t>
  </si>
  <si>
    <t>1.7</t>
  </si>
  <si>
    <t>1.8</t>
  </si>
  <si>
    <t>P9827</t>
  </si>
  <si>
    <t>1.9</t>
  </si>
  <si>
    <t>1.10</t>
  </si>
  <si>
    <t>P9876</t>
  </si>
  <si>
    <t>1.11</t>
  </si>
  <si>
    <t>E9093</t>
  </si>
  <si>
    <t>1.12</t>
  </si>
  <si>
    <t>1.13</t>
  </si>
  <si>
    <t>1.14</t>
  </si>
  <si>
    <t>1.15</t>
  </si>
  <si>
    <t>1.16</t>
  </si>
  <si>
    <t>1.17</t>
  </si>
  <si>
    <t>P9812</t>
  </si>
  <si>
    <t>1.18</t>
  </si>
  <si>
    <t>P9806</t>
  </si>
  <si>
    <t>1.19</t>
  </si>
  <si>
    <t>1.20</t>
  </si>
  <si>
    <t>1.21</t>
  </si>
  <si>
    <t>1.22</t>
  </si>
  <si>
    <t>E9125</t>
  </si>
  <si>
    <t>1.23</t>
  </si>
  <si>
    <t>1.24</t>
  </si>
  <si>
    <t>1.25</t>
  </si>
  <si>
    <t>1.26</t>
  </si>
  <si>
    <t>P9950</t>
  </si>
  <si>
    <t>1.27</t>
  </si>
  <si>
    <t>1.28</t>
  </si>
  <si>
    <t>1.29</t>
  </si>
  <si>
    <t>1.30</t>
  </si>
  <si>
    <t>P9949</t>
  </si>
  <si>
    <t>1.31</t>
  </si>
  <si>
    <t>P9833</t>
  </si>
  <si>
    <t>1.32</t>
  </si>
  <si>
    <t>1.33</t>
  </si>
  <si>
    <t>1.34</t>
  </si>
  <si>
    <t>P9858</t>
  </si>
  <si>
    <t>1.35</t>
  </si>
  <si>
    <t>1.36</t>
  </si>
  <si>
    <t>1.37</t>
  </si>
  <si>
    <t>CANTEIRO DE OBRAS - IDENTIFICAÇÃO</t>
  </si>
  <si>
    <t>A - PREMISSAS DA OBRA:</t>
  </si>
  <si>
    <t>2 - MÃO DE OBRA ORDINÁRA MÉDIA NO PERÍODO DO EMPREENDIMENTO:</t>
  </si>
  <si>
    <t>(FUNCIONÁRIOS/MÊS)</t>
  </si>
  <si>
    <t>3 - MÃO DE OBRA PARCELA FIXA DA ADMINISTRAÇÃO LOCAL:</t>
  </si>
  <si>
    <t>4 - MÃO DE OBRA PARCELA VINCULADA DA ADMINISTRAÇÃO LOCAL:</t>
  </si>
  <si>
    <t>5 - MÃO DE OBRA PARCELA VARIÁVEL DA ADMINISTRAÇÃO LOCAL:</t>
  </si>
  <si>
    <t>DISTÂNCIA ENTRE O CANTEIRO E A CIDADE MAIS PRÓXIMA (PAVIMENTADO):</t>
  </si>
  <si>
    <t>km</t>
  </si>
  <si>
    <t>DISTÂNCIA ENTRE O CANTEIRO E A CIDADE MAIS PRÓXIMA (NÃO PAVIMENTADO):</t>
  </si>
  <si>
    <t>UNIDADE DA FEDERAÇÃO:</t>
  </si>
  <si>
    <t>MATO GROSSO DO SUL</t>
  </si>
  <si>
    <t>MÊS-BASE:</t>
  </si>
  <si>
    <r>
      <rPr>
        <b/>
        <sz val="7"/>
        <color theme="1"/>
        <rFont val="Calibri"/>
        <charset val="134"/>
        <scheme val="minor"/>
      </rPr>
      <t xml:space="preserve">B - CLASSIFICAÇÃO DA OBRA: </t>
    </r>
    <r>
      <rPr>
        <sz val="7"/>
        <color theme="1"/>
        <rFont val="Calibri"/>
        <charset val="134"/>
        <scheme val="minor"/>
      </rPr>
      <t>VER TABELA 02 - CLASSIFICAÇÃO DAS FAMÍLIAS DE SERVIÇOS NAS OBRAS DE ARTE ESPECIAIS</t>
    </r>
  </si>
  <si>
    <t>CONSTRUÇÃO DE OBRA DE ARTE ESPECIAL DE PEQUENO PORTE (150,00m / ano)</t>
  </si>
  <si>
    <r>
      <rPr>
        <b/>
        <sz val="7"/>
        <color theme="1"/>
        <rFont val="Calibri"/>
        <charset val="134"/>
        <scheme val="minor"/>
      </rPr>
      <t xml:space="preserve">C - CARACTERIZAÇÃO DA MÃO DE OBRA: </t>
    </r>
    <r>
      <rPr>
        <sz val="7"/>
        <color theme="1"/>
        <rFont val="Calibri"/>
        <charset val="134"/>
        <scheme val="minor"/>
      </rPr>
      <t>ITEM 9.4 - QUANTIDADE DE FUNCIONÁRIOS NOS CANTEIROS, DEVE-SE APLICAR O COEFICIENTE DE 1,33 SOBRE A MÃO DE OBRA ORDINÁRIA E A PARCELA VARIÁVEL DA ADMINISTRAÇÃO LOCAL PARA DETERMINAÇÃO DA QUANTIDADE MÁXIMA DE FUNCIONÁRIOS/MÊS</t>
    </r>
  </si>
  <si>
    <r>
      <rPr>
        <sz val="7"/>
        <color theme="1"/>
        <rFont val="Calibri"/>
        <charset val="134"/>
        <scheme val="minor"/>
      </rPr>
      <t>NÚMERO DE FUNCIONÁRIOS DA MÃO DE OBRA ORDINÁRIA NO MÊS DE PICO (</t>
    </r>
    <r>
      <rPr>
        <b/>
        <sz val="7"/>
        <color theme="1"/>
        <rFont val="Calibri"/>
        <charset val="134"/>
        <scheme val="minor"/>
      </rPr>
      <t>Nmo</t>
    </r>
    <r>
      <rPr>
        <sz val="7"/>
        <color theme="1"/>
        <rFont val="Calibri"/>
        <charset val="134"/>
        <scheme val="minor"/>
      </rPr>
      <t>)</t>
    </r>
  </si>
  <si>
    <t>FUNCIONÁRIOS/MÊS</t>
  </si>
  <si>
    <r>
      <rPr>
        <sz val="7"/>
        <color theme="1"/>
        <rFont val="Calibri"/>
        <charset val="134"/>
        <scheme val="minor"/>
      </rPr>
      <t>NÚMERO DE FUNCIONÁRIOS DA PARCELA VARIÁVEL NO MÊS DE PICO (</t>
    </r>
    <r>
      <rPr>
        <b/>
        <sz val="7"/>
        <color theme="1"/>
        <rFont val="Calibri"/>
        <charset val="134"/>
        <scheme val="minor"/>
      </rPr>
      <t>Npv</t>
    </r>
    <r>
      <rPr>
        <sz val="7"/>
        <color theme="1"/>
        <rFont val="Calibri"/>
        <charset val="134"/>
        <scheme val="minor"/>
      </rPr>
      <t>)</t>
    </r>
  </si>
  <si>
    <r>
      <rPr>
        <sz val="7"/>
        <color theme="1"/>
        <rFont val="Calibri"/>
        <charset val="134"/>
        <scheme val="minor"/>
      </rPr>
      <t>NÚMERO DE FUNCIONÁRIOS DA PARCELA FIXA DA ADMINISTRAÇÃO LOCAL (</t>
    </r>
    <r>
      <rPr>
        <b/>
        <sz val="7"/>
        <color theme="1"/>
        <rFont val="Calibri"/>
        <charset val="134"/>
        <scheme val="minor"/>
      </rPr>
      <t>Npf</t>
    </r>
    <r>
      <rPr>
        <sz val="7"/>
        <color theme="1"/>
        <rFont val="Calibri"/>
        <charset val="134"/>
        <scheme val="minor"/>
      </rPr>
      <t>)</t>
    </r>
  </si>
  <si>
    <t>Npf =</t>
  </si>
  <si>
    <r>
      <rPr>
        <sz val="7"/>
        <color theme="1"/>
        <rFont val="Calibri"/>
        <charset val="134"/>
        <scheme val="minor"/>
      </rPr>
      <t>NÚMERO DE FUNCIONÁRIOS DAS PARCELAS FIXA E VINCULADA (</t>
    </r>
    <r>
      <rPr>
        <b/>
        <sz val="7"/>
        <color theme="1"/>
        <rFont val="Calibri"/>
        <charset val="134"/>
        <scheme val="minor"/>
      </rPr>
      <t>Npf-v</t>
    </r>
    <r>
      <rPr>
        <sz val="7"/>
        <color theme="1"/>
        <rFont val="Calibri"/>
        <charset val="134"/>
        <scheme val="minor"/>
      </rPr>
      <t>)</t>
    </r>
  </si>
  <si>
    <t>Npf-v =</t>
  </si>
  <si>
    <r>
      <rPr>
        <sz val="7"/>
        <color theme="1"/>
        <rFont val="Calibri"/>
        <charset val="134"/>
        <scheme val="minor"/>
      </rPr>
      <t>NÚMERO DE FUNCIONÁRIOS ALOJADOS NO CANTEIRO DE OBRAS (</t>
    </r>
    <r>
      <rPr>
        <b/>
        <sz val="7"/>
        <color theme="1"/>
        <rFont val="Calibri"/>
        <charset val="134"/>
        <scheme val="minor"/>
      </rPr>
      <t>Nfa</t>
    </r>
    <r>
      <rPr>
        <sz val="7"/>
        <color theme="1"/>
        <rFont val="Calibri"/>
        <charset val="134"/>
        <scheme val="minor"/>
      </rPr>
      <t>)</t>
    </r>
  </si>
  <si>
    <t>Nfa =</t>
  </si>
  <si>
    <r>
      <rPr>
        <sz val="7"/>
        <color theme="1"/>
        <rFont val="Calibri"/>
        <charset val="134"/>
        <scheme val="minor"/>
      </rPr>
      <t>NÚMERO MÁXIMO DE FUNCIONÁRIOS (</t>
    </r>
    <r>
      <rPr>
        <b/>
        <sz val="7"/>
        <color theme="1"/>
        <rFont val="Calibri"/>
        <charset val="134"/>
        <scheme val="minor"/>
      </rPr>
      <t>Nmax</t>
    </r>
    <r>
      <rPr>
        <sz val="7"/>
        <color theme="1"/>
        <rFont val="Calibri"/>
        <charset val="134"/>
        <scheme val="minor"/>
      </rPr>
      <t>)</t>
    </r>
  </si>
  <si>
    <t>Nmax =</t>
  </si>
  <si>
    <t>D - FATOR DE PRODUÇÃO DE CONSTRUÇÃO (k1)</t>
  </si>
  <si>
    <t>PADRÃO DE CONSTRUÇÃO PROVISÓRIO</t>
  </si>
  <si>
    <t>k1 =</t>
  </si>
  <si>
    <r>
      <rPr>
        <b/>
        <sz val="7"/>
        <color theme="1"/>
        <rFont val="Calibri"/>
        <charset val="134"/>
        <scheme val="minor"/>
      </rPr>
      <t xml:space="preserve">D - FATOR DE MOBILIÁRIO E APARELHAGEM (k2): </t>
    </r>
    <r>
      <rPr>
        <sz val="7"/>
        <color theme="1"/>
        <rFont val="Calibri"/>
        <charset val="134"/>
        <scheme val="minor"/>
      </rPr>
      <t>VER TABELA 76 - FATOR DE AJUSTE DE MOBILIÁRIO E APARELHAGEM DAS INSTALAÇÕES DOS CANTEIROS-TIPO</t>
    </r>
  </si>
  <si>
    <t>CONSTRUÇÃO OU RECUPERAÇÃO, REFORÇO E ALARGAMENTO DE OBRAS DE ARTE ESPECIAIS DE PEQUENO PORTE</t>
  </si>
  <si>
    <t>k2 =</t>
  </si>
  <si>
    <r>
      <rPr>
        <b/>
        <sz val="7"/>
        <color theme="1"/>
        <rFont val="Calibri"/>
        <charset val="134"/>
        <scheme val="minor"/>
      </rPr>
      <t xml:space="preserve">E - FATOR DE DISTÂNCIA DO CANTEIRO AOS CENTROS FORNECEDORES (k3) : </t>
    </r>
    <r>
      <rPr>
        <sz val="7"/>
        <color theme="1"/>
        <rFont val="Calibri"/>
        <charset val="134"/>
        <scheme val="minor"/>
      </rPr>
      <t>VER TABELA 59 - FATORES DE AJUSTE DA DISTÂNCIA DO CANTEIRO AOS CENTROS FORNECEDORES</t>
    </r>
  </si>
  <si>
    <t>DISTÂNCIA DO CANTEIRO AO FORNECEDOR (DT):</t>
  </si>
  <si>
    <t>LEITO NATURAL (LN):</t>
  </si>
  <si>
    <t>REVESTIMENTO PRIMÁRIO (RP):</t>
  </si>
  <si>
    <t>PAVIMENTADA (P):</t>
  </si>
  <si>
    <t>FATOR DE DISTÂNCIA AOS CENTROS FORNECEDORES</t>
  </si>
  <si>
    <t>k3 =</t>
  </si>
  <si>
    <t>F - CUSTO MÉDIO DA CONSTRUÇÃO CIVIL (CMCC)</t>
  </si>
  <si>
    <t>CMCC (SEM DESONERAÇÃO DA FOLHA DE PAGAMENTO)</t>
  </si>
  <si>
    <t>https://biblioteca.ibge.gov.br/index.php/biblioteca-catalogo?view=detalhes&amp;id=7242</t>
  </si>
  <si>
    <t>CANTEIRO DE OBRAS - QUANTIFICAÇÃO</t>
  </si>
  <si>
    <t>F - DIMENSIONAMENTO DAS INSTALAÇÕES COM UTILIZAÇÃO DE CONTAINER (CCi x QCi)</t>
  </si>
  <si>
    <t>INSTALAÇÕES</t>
  </si>
  <si>
    <t>CONTAINER</t>
  </si>
  <si>
    <t>CÓD.</t>
  </si>
  <si>
    <t>Qtde</t>
  </si>
  <si>
    <t>ÁREA DE REF.</t>
  </si>
  <si>
    <t>V. AQUISIÇÃO</t>
  </si>
  <si>
    <t>CUSTO</t>
  </si>
  <si>
    <t>ESCRITÓRIO</t>
  </si>
  <si>
    <t>M0059</t>
  </si>
  <si>
    <t>SEÇÃO TÉCNICA</t>
  </si>
  <si>
    <t>ALMOXARIFADO E DEPÓSITO DE CIMENTO</t>
  </si>
  <si>
    <t>M0042</t>
  </si>
  <si>
    <t>LOCAL PARA REFEIÇÃO</t>
  </si>
  <si>
    <t>M0058</t>
  </si>
  <si>
    <t>COZINHA</t>
  </si>
  <si>
    <t>M0057</t>
  </si>
  <si>
    <t>ALOJAMENTO</t>
  </si>
  <si>
    <t>INSTALAÇÕES SANITÁRIAS E VESTIÁRIO</t>
  </si>
  <si>
    <t>M0041</t>
  </si>
  <si>
    <t>AMBULATÓRIO</t>
  </si>
  <si>
    <t>LABORATÓRIO</t>
  </si>
  <si>
    <t>GUARITA</t>
  </si>
  <si>
    <t>M0071</t>
  </si>
  <si>
    <t>TOTAL =</t>
  </si>
  <si>
    <t>CCO =</t>
  </si>
  <si>
    <t>G. - CANTEIRO PRINCIPAL - CONSTRUÇÃO DE OBRA DE ARTE ESPECIAL DE PEQUENO PORTE</t>
  </si>
  <si>
    <t>G.1 - DIMENSIONAMENTO DAS ÁREAS VARIÁVEIS</t>
  </si>
  <si>
    <t>EQUAÇÕES DE DIMENSIONAMENTO DAS ÁREAS</t>
  </si>
  <si>
    <t>CÁLCULO</t>
  </si>
  <si>
    <t>ESCRITÓRIO E SEÇÃO TÉCNICA</t>
  </si>
  <si>
    <t>Ae-st = 57,95 + 4,5 X (Npf-v)</t>
  </si>
  <si>
    <t>REFEITÓRIO E COZINHA</t>
  </si>
  <si>
    <t>ALr-c = 1,55 X 50%(Nmax)</t>
  </si>
  <si>
    <t>ALOJAMENTOS E RESIDÊNCIAS</t>
  </si>
  <si>
    <t>Aal = 3,11 X 50%(Nmo + Npv)</t>
  </si>
  <si>
    <t>AI-v = 0,77 X (Nmo + Npv)</t>
  </si>
  <si>
    <t>INSTALAÇÕES ADICIONAIS</t>
  </si>
  <si>
    <t>Aamb = 0,25 X (Nmax)</t>
  </si>
  <si>
    <t>RESIDÊNCIAS</t>
  </si>
  <si>
    <t>Ares = 8,46 X (Npf-v)</t>
  </si>
  <si>
    <t>G.2 - ÁREAS FIXAS DE REFERÊNCIA DO CANTEIRO PRINCIPAL: INSTALAÇÕES E ÁREA DE REFERÊNCIA PARA O CANTEIRO DE OBRA DE ARTE ESPECIAIS</t>
  </si>
  <si>
    <t>ÁREAS COBERTAS</t>
  </si>
  <si>
    <t>ÁREA TOTAL DO TERRENO (VER TABELA 74 - RELAÇÃO ENTRE AS ÁREAS COBERTAS EDIFICADAS E AS ÁREAS TOTAIS DOS TERRENOS NOS CANTEIROS-TIPOS DE INTERVENÇÕES PONTUAIS)</t>
  </si>
  <si>
    <t>OBRA DE CONSTRUÇÃO DE OBRA DE ARTE ESPECIAL DE PEQUENO PORTE =&gt;</t>
  </si>
  <si>
    <t>FEAT =</t>
  </si>
  <si>
    <r>
      <rPr>
        <b/>
        <sz val="7"/>
        <color theme="1"/>
        <rFont val="Calibri"/>
        <charset val="134"/>
        <scheme val="minor"/>
      </rPr>
      <t>G.3 - CUSTO DAS INSTALAÇÕES COM UTILIZAÇÃO DE CONTAINER (</t>
    </r>
    <r>
      <rPr>
        <b/>
        <sz val="7"/>
        <color theme="1"/>
        <rFont val="Calibri"/>
        <charset val="134"/>
      </rPr>
      <t>Σ</t>
    </r>
    <r>
      <rPr>
        <b/>
        <sz val="7"/>
        <color theme="1"/>
        <rFont val="Calibri"/>
        <charset val="134"/>
        <scheme val="minor"/>
      </rPr>
      <t>CCi x QCi)</t>
    </r>
  </si>
  <si>
    <t>CUSTO MENSAL</t>
  </si>
  <si>
    <t>UTILIZAÇÃO</t>
  </si>
  <si>
    <t>CUSTO TOTAL</t>
  </si>
  <si>
    <t>ALMOXARIFADO E DEPÓSITO DE CIMENTO E LABORATÓRIO</t>
  </si>
  <si>
    <t>ESCRITÓRIO, SEÇÃO TÉCNICA, ALOJAMENTO, RESIDÊNCIA E AMBULATÓRIO</t>
  </si>
  <si>
    <t>ONDE:</t>
  </si>
  <si>
    <r>
      <rPr>
        <b/>
        <sz val="7"/>
        <color theme="1"/>
        <rFont val="Calibri"/>
        <charset val="134"/>
        <scheme val="minor"/>
      </rPr>
      <t>P =</t>
    </r>
    <r>
      <rPr>
        <sz val="7"/>
        <color theme="1"/>
        <rFont val="Calibri"/>
        <charset val="134"/>
        <scheme val="minor"/>
      </rPr>
      <t xml:space="preserve"> PRAZO DA OBRA (MESES)</t>
    </r>
    <r>
      <rPr>
        <b/>
        <sz val="7"/>
        <color theme="1"/>
        <rFont val="Calibri"/>
        <charset val="134"/>
        <scheme val="minor"/>
      </rPr>
      <t xml:space="preserve"> =</t>
    </r>
  </si>
  <si>
    <r>
      <rPr>
        <b/>
        <sz val="7"/>
        <color theme="1"/>
        <rFont val="Calibri"/>
        <charset val="134"/>
        <scheme val="minor"/>
      </rPr>
      <t>K2 =</t>
    </r>
    <r>
      <rPr>
        <sz val="7"/>
        <color theme="1"/>
        <rFont val="Calibri"/>
        <charset val="134"/>
        <scheme val="minor"/>
      </rPr>
      <t xml:space="preserve"> FATOR DE MOBILIÁRIO E APARELHAGEM</t>
    </r>
    <r>
      <rPr>
        <b/>
        <sz val="7"/>
        <color theme="1"/>
        <rFont val="Calibri"/>
        <charset val="134"/>
        <scheme val="minor"/>
      </rPr>
      <t xml:space="preserve"> =</t>
    </r>
  </si>
  <si>
    <r>
      <rPr>
        <b/>
        <sz val="7"/>
        <color theme="1"/>
        <rFont val="Calibri"/>
        <charset val="134"/>
        <scheme val="minor"/>
      </rPr>
      <t>QEMi =</t>
    </r>
    <r>
      <rPr>
        <sz val="7"/>
        <color theme="1"/>
        <rFont val="Calibri"/>
        <charset val="134"/>
        <scheme val="minor"/>
      </rPr>
      <t xml:space="preserve"> QUANTIDADE DE ESTRUTURAS MODULARES NO CANTEIRO</t>
    </r>
    <r>
      <rPr>
        <b/>
        <sz val="7"/>
        <color theme="1"/>
        <rFont val="Calibri"/>
        <charset val="134"/>
        <scheme val="minor"/>
      </rPr>
      <t xml:space="preserve"> =</t>
    </r>
  </si>
  <si>
    <r>
      <rPr>
        <b/>
        <sz val="7"/>
        <color theme="1"/>
        <rFont val="Calibri"/>
        <charset val="134"/>
        <scheme val="minor"/>
      </rPr>
      <t xml:space="preserve">CEMi = </t>
    </r>
    <r>
      <rPr>
        <sz val="7"/>
        <color theme="1"/>
        <rFont val="Calibri"/>
        <charset val="134"/>
        <scheme val="minor"/>
      </rPr>
      <t>CUSTO DAS ESTRUTURAS MODULARES NO CANTEIRO (R$) =</t>
    </r>
  </si>
  <si>
    <r>
      <rPr>
        <b/>
        <sz val="7"/>
        <color theme="1"/>
        <rFont val="Calibri"/>
        <charset val="134"/>
        <scheme val="minor"/>
      </rPr>
      <t>AT =</t>
    </r>
    <r>
      <rPr>
        <sz val="7"/>
        <color theme="1"/>
        <rFont val="Calibri"/>
        <charset val="134"/>
        <scheme val="minor"/>
      </rPr>
      <t xml:space="preserve"> ÁREA TOTAL DO TERRENO</t>
    </r>
    <r>
      <rPr>
        <b/>
        <sz val="7"/>
        <color theme="1"/>
        <rFont val="Calibri"/>
        <charset val="134"/>
        <scheme val="minor"/>
      </rPr>
      <t xml:space="preserve"> </t>
    </r>
    <r>
      <rPr>
        <sz val="7"/>
        <color theme="1"/>
        <rFont val="Calibri"/>
        <charset val="134"/>
        <scheme val="minor"/>
      </rPr>
      <t>(M²) =</t>
    </r>
  </si>
  <si>
    <r>
      <rPr>
        <b/>
        <sz val="7"/>
        <color theme="1"/>
        <rFont val="Calibri"/>
        <charset val="134"/>
        <scheme val="minor"/>
      </rPr>
      <t>FEAT =</t>
    </r>
    <r>
      <rPr>
        <sz val="7"/>
        <color theme="1"/>
        <rFont val="Calibri"/>
        <charset val="134"/>
        <scheme val="minor"/>
      </rPr>
      <t xml:space="preserve"> FATOR DE EQUIVALÊNCIA DE ÁREAS TOTAIS</t>
    </r>
    <r>
      <rPr>
        <b/>
        <sz val="7"/>
        <color theme="1"/>
        <rFont val="Calibri"/>
        <charset val="134"/>
        <scheme val="minor"/>
      </rPr>
      <t xml:space="preserve"> =</t>
    </r>
  </si>
  <si>
    <r>
      <rPr>
        <b/>
        <sz val="7"/>
        <color theme="1"/>
        <rFont val="Calibri"/>
        <charset val="134"/>
        <scheme val="minor"/>
      </rPr>
      <t xml:space="preserve">CMCC = </t>
    </r>
    <r>
      <rPr>
        <sz val="7"/>
        <color theme="1"/>
        <rFont val="Calibri"/>
        <charset val="134"/>
        <scheme val="minor"/>
      </rPr>
      <t>CUSTO MÉDIO DA CONSTRUÇÃO CIVIL POR METRO QUADRADO</t>
    </r>
    <r>
      <rPr>
        <b/>
        <sz val="7"/>
        <color theme="1"/>
        <rFont val="Calibri"/>
        <charset val="134"/>
        <scheme val="minor"/>
      </rPr>
      <t xml:space="preserve"> </t>
    </r>
    <r>
      <rPr>
        <sz val="7"/>
        <color theme="1"/>
        <rFont val="Calibri"/>
        <charset val="134"/>
        <scheme val="minor"/>
      </rPr>
      <t>(R$/M²) =</t>
    </r>
  </si>
  <si>
    <t>CIP = CUSTO TOTAL DO CANTEIRO DE OBRAS PARA INTERVENÇÕES PONTUAIS EXCLUSIVAMENTE EM ESTRUTURAS MODULARES =</t>
  </si>
  <si>
    <t>CUSTO TOTAL DO CANTEIRO =</t>
  </si>
  <si>
    <t>1. CÁLCULO DO MOMENTO DE TRANSPORTE</t>
  </si>
  <si>
    <t>DESCRIÇÃO DO EQUIPAMENTO</t>
  </si>
  <si>
    <t>QTDE.</t>
  </si>
  <si>
    <t>T/UNID.</t>
  </si>
  <si>
    <t>TOTAL</t>
  </si>
  <si>
    <t>DESLOCAMENTO - ORIGEM</t>
  </si>
  <si>
    <t>ROD. PAV.</t>
  </si>
  <si>
    <t>REVEST. PRIMÁRIO</t>
  </si>
  <si>
    <t>TERRENO NATURAL</t>
  </si>
  <si>
    <t>KM</t>
  </si>
  <si>
    <t>TKM</t>
  </si>
  <si>
    <t>1.1.</t>
  </si>
  <si>
    <t>MATERIAL BÁSICO</t>
  </si>
  <si>
    <t>1.1.1</t>
  </si>
  <si>
    <t>M0424</t>
  </si>
  <si>
    <t>CIMENTO - CONCRETO MAGRO</t>
  </si>
  <si>
    <t>1.1.2</t>
  </si>
  <si>
    <t>CIMENTO - CONCRETO FCK 30MPA</t>
  </si>
  <si>
    <t>1.1.3</t>
  </si>
  <si>
    <t>CIMENTO - CONCRETO FCK 40MPA</t>
  </si>
  <si>
    <t>1.1.4</t>
  </si>
  <si>
    <t>M0004</t>
  </si>
  <si>
    <t>AÇO CA-50</t>
  </si>
  <si>
    <t>1.1.5</t>
  </si>
  <si>
    <t>FORMA - MADEIRA</t>
  </si>
  <si>
    <t>SUB-TOTAL (MATERIAL BÁSICO)</t>
  </si>
  <si>
    <t>1.2.</t>
  </si>
  <si>
    <t>MATERIAL AGREGADO</t>
  </si>
  <si>
    <t>1.2.1</t>
  </si>
  <si>
    <t>M0082</t>
  </si>
  <si>
    <t>AREIA - CONCRETO MAGRO</t>
  </si>
  <si>
    <t>1.2.2</t>
  </si>
  <si>
    <t>M0192</t>
  </si>
  <si>
    <t>BRITA 2 - CONCRETO MAGRO</t>
  </si>
  <si>
    <t>1.2.3</t>
  </si>
  <si>
    <t>AREIA - CONCRETO FCK 30 MPA</t>
  </si>
  <si>
    <t>1.2.4</t>
  </si>
  <si>
    <t>M0191</t>
  </si>
  <si>
    <t>BRITA 1 - CONCRETO FCK 30 MPA</t>
  </si>
  <si>
    <t>1.2.5</t>
  </si>
  <si>
    <t>BRITA 2 - CONCRETO FCK 30 MPA</t>
  </si>
  <si>
    <t>1.2.6</t>
  </si>
  <si>
    <t>AREIA - CONCRETO FCK 40 MPA</t>
  </si>
  <si>
    <t>1.2.7</t>
  </si>
  <si>
    <t>BRITA 1 - CONCRETO FCK 40 MPA</t>
  </si>
  <si>
    <t>1.2.8</t>
  </si>
  <si>
    <t>BRITA 2 - CONCRETO FCK 40 MPA</t>
  </si>
  <si>
    <t>PARCELA FIXA DA ADMINISTRAÇÃO LOCAL</t>
  </si>
  <si>
    <t>DISCRIMINAÇÃO</t>
  </si>
  <si>
    <t>OCUP. PROD.</t>
  </si>
  <si>
    <t>UNID. PROD.</t>
  </si>
  <si>
    <t>QTDE. PROD. (% MÊS)</t>
  </si>
  <si>
    <t>CUSTO UNIT. (R$/MÊS)</t>
  </si>
  <si>
    <t>CUSTO TOTAL (R$)</t>
  </si>
  <si>
    <t>1.</t>
  </si>
  <si>
    <t>GERAL</t>
  </si>
  <si>
    <t>MÃO DE OBRA</t>
  </si>
  <si>
    <t>UN.</t>
  </si>
  <si>
    <t>VEÍCULOS</t>
  </si>
  <si>
    <t>CUSTO PRODUTIVO</t>
  </si>
  <si>
    <t>OPER.</t>
  </si>
  <si>
    <t>IMPROD.</t>
  </si>
  <si>
    <t>PRODUTIVO</t>
  </si>
  <si>
    <t>IMPRODUTIVO</t>
  </si>
  <si>
    <t>2.</t>
  </si>
  <si>
    <t>PARCELA VINCULADA DA ADMINISTRAÇÃO LOCAL</t>
  </si>
  <si>
    <t>3.</t>
  </si>
  <si>
    <t>PARCELA VARIÁVEL DA ADMINISTRAÇÃO LOCAL</t>
  </si>
  <si>
    <t>4.</t>
  </si>
  <si>
    <t>DIMENSIONAMENTO DE EQUIPES DE LABORATÓRIO DE CONCRETO PARA OBRAS DE ARTES ESPECIAIS</t>
  </si>
  <si>
    <t>UNIDADE</t>
  </si>
  <si>
    <t>Qp</t>
  </si>
  <si>
    <t>Qe</t>
  </si>
  <si>
    <t>ELc</t>
  </si>
  <si>
    <t>5.</t>
  </si>
  <si>
    <t>INFRAESTRUTURA, MESOESTRUTURA E SUPERESTRUTURA</t>
  </si>
  <si>
    <t>TOTAL DE EQUIPES DE LABORATÓRIO DE CONCRETO PARA OBRAS DE ARTES ESPECIAIS</t>
  </si>
  <si>
    <t>QTDE</t>
  </si>
  <si>
    <t>COEF. PROPOR.</t>
  </si>
  <si>
    <t>6.</t>
  </si>
  <si>
    <t>MANUTENÇÃO DO CANTEIRO DE OBRAS E ACAMPAMENTOS</t>
  </si>
  <si>
    <t>P9952</t>
  </si>
  <si>
    <t>P9954</t>
  </si>
  <si>
    <t>P9953</t>
  </si>
  <si>
    <t>CÁLCULO DO COEFICIENTE DE PROPORCIONALIDADE</t>
  </si>
  <si>
    <t>ÁREA DAS INSTALAÇÕES COBERTAS REFERENCIAIS DO CANTEIRO DE OBRAS (ACr) =</t>
  </si>
  <si>
    <t>ÁREA DAS INSTALAÇÕES COBERTAS PREVISTAS EM PROJETO DO CANTEIRO DE OBRAS (ACp) =</t>
  </si>
  <si>
    <t xml:space="preserve">COEFICIENTE DE PROPORCIONALIDADE DE ÁREAS DAS INST. COBERTAS DO CANT. DE OBRAS (Cac) = </t>
  </si>
  <si>
    <t>RESUMO DAS PARCELAS DA ADMINISTRAÇÃO LOCAL</t>
  </si>
  <si>
    <t>CUSTO UNITÁRIO</t>
  </si>
  <si>
    <t>7.</t>
  </si>
  <si>
    <t>MÊS</t>
  </si>
  <si>
    <t>8.</t>
  </si>
  <si>
    <t>9.</t>
  </si>
  <si>
    <t>EQUIPE X MÊS</t>
  </si>
  <si>
    <t>10.</t>
  </si>
  <si>
    <t>SUBTOTAL DO ITEM ADMINISTRAÇÃO LOCAL</t>
  </si>
  <si>
    <t>11.</t>
  </si>
  <si>
    <t>TOTAL DA ADMINISTRAÇÃO LOCAL</t>
  </si>
  <si>
    <t>HISTOGRAMA DE MÃO DE OBRA</t>
  </si>
  <si>
    <t>CÓD. MO</t>
  </si>
  <si>
    <t>DESCRIÇÃO MÃO DE OBRA</t>
  </si>
  <si>
    <t>QTDE. PREVISTA</t>
  </si>
  <si>
    <t>PROD. EQUIPE</t>
  </si>
  <si>
    <t>QTDE. NECESSÁRIA</t>
  </si>
  <si>
    <t>JORNADA MÊS</t>
  </si>
  <si>
    <t>Qtde. neces. (mês)</t>
  </si>
  <si>
    <t>6.2.1</t>
  </si>
  <si>
    <t>SIN_MO_88316</t>
  </si>
  <si>
    <t>Servente com encargos complementares</t>
  </si>
  <si>
    <t/>
  </si>
  <si>
    <t>SIN_MO_88262</t>
  </si>
  <si>
    <t>Carpinteiro de formas com encargos complementares</t>
  </si>
  <si>
    <t>P9824</t>
  </si>
  <si>
    <t>Servente</t>
  </si>
  <si>
    <t>P9801</t>
  </si>
  <si>
    <t>Ajudante</t>
  </si>
  <si>
    <t>P9805</t>
  </si>
  <si>
    <t>Armador</t>
  </si>
  <si>
    <t>P9807</t>
  </si>
  <si>
    <t>Bombeiro hidráulico</t>
  </si>
  <si>
    <t>P9810</t>
  </si>
  <si>
    <t>Eletricista</t>
  </si>
  <si>
    <t>2.1.1</t>
  </si>
  <si>
    <t>P9821</t>
  </si>
  <si>
    <t>Pedreiro</t>
  </si>
  <si>
    <t>2.1.2</t>
  </si>
  <si>
    <t>2.1.3</t>
  </si>
  <si>
    <t>P9808</t>
  </si>
  <si>
    <t>Carpinteiro</t>
  </si>
  <si>
    <t>2.1.4</t>
  </si>
  <si>
    <t>2.1.5</t>
  </si>
  <si>
    <t>P9830</t>
  </si>
  <si>
    <t>Montador</t>
  </si>
  <si>
    <t>2.1.6</t>
  </si>
  <si>
    <t>2.1.7</t>
  </si>
  <si>
    <t>2.1.8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</si>
  <si>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</si>
  <si>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</si>
  <si>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</si>
  <si>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</si>
  <si>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</si>
  <si>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</si>
  <si>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</si>
  <si>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</si>
  <si>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2.3.1</t>
  </si>
  <si>
    <t>2.3.2</t>
  </si>
  <si>
    <t>2.3.3</t>
  </si>
  <si>
    <t>2.3.4</t>
  </si>
  <si>
    <t>2.3.5</t>
  </si>
  <si>
    <t>2.3.6</t>
  </si>
  <si>
    <t>2.4.1</t>
  </si>
  <si>
    <t>2.4.2</t>
  </si>
  <si>
    <t>2.4.3</t>
  </si>
  <si>
    <t>2.4.4</t>
  </si>
  <si>
    <t>2.4.5</t>
  </si>
  <si>
    <t>2.4.6</t>
  </si>
  <si>
    <t>2.5.1</t>
  </si>
  <si>
    <t>2.6.1</t>
  </si>
  <si>
    <t>2.7.1</t>
  </si>
  <si>
    <t>2.7.2</t>
  </si>
  <si>
    <t>2.7.3</t>
  </si>
  <si>
    <t>2.7.4</t>
  </si>
  <si>
    <t>3.1.1</t>
  </si>
  <si>
    <t>3.1.2</t>
  </si>
  <si>
    <t>3.1.3</t>
  </si>
  <si>
    <t>3.1.4</t>
  </si>
  <si>
    <t>3.2.1</t>
  </si>
  <si>
    <t>3.2.2</t>
  </si>
  <si>
    <t>3.2.3</t>
  </si>
  <si>
    <t>3.2.4</t>
  </si>
  <si>
    <t>3.3.1</t>
  </si>
  <si>
    <t>3.3.2</t>
  </si>
  <si>
    <t>3.3.3</t>
  </si>
  <si>
    <t>3.3.4</t>
  </si>
  <si>
    <t>3.4.1</t>
  </si>
  <si>
    <t>3.4.2</t>
  </si>
  <si>
    <t>3.4.3</t>
  </si>
  <si>
    <t>3.4.4</t>
  </si>
  <si>
    <t>3.4.5</t>
  </si>
  <si>
    <t>3.4.6</t>
  </si>
  <si>
    <t>3.4.7</t>
  </si>
  <si>
    <t>3.5.1</t>
  </si>
  <si>
    <t>3.5.2</t>
  </si>
  <si>
    <t>3.5.3</t>
  </si>
  <si>
    <t>3.5.4</t>
  </si>
  <si>
    <t>3.5.5</t>
  </si>
  <si>
    <t>3.6.1</t>
  </si>
  <si>
    <t>3.6.2</t>
  </si>
  <si>
    <t>4.2.1</t>
  </si>
  <si>
    <t>4.2.2</t>
  </si>
  <si>
    <t>P9822</t>
  </si>
  <si>
    <t>Pintor</t>
  </si>
  <si>
    <t>4.2.3</t>
  </si>
  <si>
    <t>P9853</t>
  </si>
  <si>
    <t>Pré-marcador</t>
  </si>
  <si>
    <t>4.3.1</t>
  </si>
  <si>
    <t>4.4.1</t>
  </si>
  <si>
    <t>Aux</t>
  </si>
  <si>
    <t>QTDE. TOTAL NECES. (MÊS)</t>
  </si>
  <si>
    <t>QTDE ADOTADA</t>
  </si>
  <si>
    <t>TOTAL 1º MÊS (30 DIAS)</t>
  </si>
  <si>
    <t>TOTAL 2º MÊS (30 DIAS)</t>
  </si>
  <si>
    <t>TOTAL 3º MÊS (30 DIAS)</t>
  </si>
  <si>
    <t>TOTAL 4º MÊS (30 DIAS)</t>
  </si>
  <si>
    <t>PESSOAL</t>
  </si>
  <si>
    <t>MESES</t>
  </si>
  <si>
    <t>DEBANDA</t>
  </si>
  <si>
    <t>FU</t>
  </si>
  <si>
    <t>(MÊS)</t>
  </si>
  <si>
    <t>MOD</t>
  </si>
  <si>
    <t>DESMOB</t>
  </si>
  <si>
    <t>1.1.1.1</t>
  </si>
  <si>
    <t>Gerência técnica - Engenheiro</t>
  </si>
  <si>
    <t>1.1.1.2</t>
  </si>
  <si>
    <t>Gerência técnica - Técnico em Meio Ambiente</t>
  </si>
  <si>
    <t>1.1.1.3</t>
  </si>
  <si>
    <t>Gerência administrativa</t>
  </si>
  <si>
    <t>1.1.2.1</t>
  </si>
  <si>
    <t>Equipe de obra de arte especial - Mobilização com o veículo do encarregado</t>
  </si>
  <si>
    <t>1.1.2.2</t>
  </si>
  <si>
    <t>Equipe de topografia - Mobilização com a van</t>
  </si>
  <si>
    <t>1.1.2.3</t>
  </si>
  <si>
    <t>Equipe de medicina e segurança do trabalho</t>
  </si>
  <si>
    <t>1.1.3.1</t>
  </si>
  <si>
    <t>Equipe de acomp de frentes de serviços - Sem atividades</t>
  </si>
  <si>
    <t>1.1.3.2</t>
  </si>
  <si>
    <t>Equipe de controle tecnológico - Mobilização com a van</t>
  </si>
  <si>
    <t>PARCELA DE MÃO DE OBRA ORDINÁRIA</t>
  </si>
  <si>
    <t>1.1.4.1</t>
  </si>
  <si>
    <t>Funcionários da mão de obra ordinária</t>
  </si>
  <si>
    <t>TOTAL DE MOBILIZAÇÃO, DESMOBILIZAÇÃO E DEBANDAS</t>
  </si>
  <si>
    <t>TOTAL DE MESES</t>
  </si>
  <si>
    <t>TOTAL DE DEBANDAS POR MÊS (TOTAL / (PRAZO - MÊS DE MOB./DESMOB.))</t>
  </si>
  <si>
    <t>E9667</t>
  </si>
  <si>
    <t>Caminhão basculante com capacidade de 14 m³ - 210 kW</t>
  </si>
  <si>
    <t>E9515</t>
  </si>
  <si>
    <t>Escavadeira hidráulica sobre esteiras com caçamba com capacidade de 1,56 m³ - 118 kW</t>
  </si>
  <si>
    <t>E9502</t>
  </si>
  <si>
    <t>Bate-estaca de gravidade para 6 t - 119 kW</t>
  </si>
  <si>
    <t>E9630</t>
  </si>
  <si>
    <t>Bomba submersível com capacidade de 75 m³/h - 3,6 kW</t>
  </si>
  <si>
    <t>E9764</t>
  </si>
  <si>
    <t>Grupo gerador - 7,2 kVA</t>
  </si>
  <si>
    <t>E9010</t>
  </si>
  <si>
    <t>Balança plataforma digital à bateria, com mesa de 75 x 75 cm e capacidade de 500 kg</t>
  </si>
  <si>
    <t>E9519</t>
  </si>
  <si>
    <t>Betoneira com motor a gasolina com capacidade de 600 l - 10 kW</t>
  </si>
  <si>
    <t>E9071</t>
  </si>
  <si>
    <t>Transportador manual carrinho de mão com capacidade de 80 l</t>
  </si>
  <si>
    <t>E9064</t>
  </si>
  <si>
    <t>Transportador manual gerica com capacidade de 180 l</t>
  </si>
  <si>
    <t>E9066</t>
  </si>
  <si>
    <t>Grupo gerador - 14 kVA</t>
  </si>
  <si>
    <t>E9535</t>
  </si>
  <si>
    <t>Serra circular com bancada - D = 30 cm - 4 kW</t>
  </si>
  <si>
    <t>E9647</t>
  </si>
  <si>
    <t>Compactador manual com soquete vibratório - 4,10 kW</t>
  </si>
  <si>
    <t>E9069</t>
  </si>
  <si>
    <t>Vibrador de imersão para concreto - 4,10 kW</t>
  </si>
  <si>
    <t>E9717</t>
  </si>
  <si>
    <t>Máquina policorte - 2,20 kW</t>
  </si>
  <si>
    <t>E9094</t>
  </si>
  <si>
    <t>Guindaste móvel sobre pneus com 6 eixos com capacidade máxima de 350 t - 450 kW</t>
  </si>
  <si>
    <t>E9687</t>
  </si>
  <si>
    <t>Caminhão carroceria com capacidade de 5 t - 120 kW</t>
  </si>
  <si>
    <t>E9644</t>
  </si>
  <si>
    <t>Caminhão demarcador de faixas com sistema de pintura a frio - 28 kW/129 kW</t>
  </si>
  <si>
    <t>1. MOBILIZAÇÃO DE EQUIPAMENTOS</t>
  </si>
  <si>
    <t>1.1 EQUIPAMENTOS RODANTES</t>
  </si>
  <si>
    <t>CÓD. EQUIP. TRANSP.</t>
  </si>
  <si>
    <t>VELOCIDADE MÉDIA DE TRANSPORTE</t>
  </si>
  <si>
    <t>TEMPO DE VIAGEM (h)</t>
  </si>
  <si>
    <t>FATOR DE UTILIZ.</t>
  </si>
  <si>
    <t>FATOR k</t>
  </si>
  <si>
    <t>CUSTO HORÁRIO PROD.</t>
  </si>
  <si>
    <t>CUSTO TOTAL POR MOB.</t>
  </si>
  <si>
    <t>E9512</t>
  </si>
  <si>
    <t>1.1.6</t>
  </si>
  <si>
    <t>TOTAL DO SUBITEM 1.1</t>
  </si>
  <si>
    <t>1.2 EQUIPAMENTOS PESADOS</t>
  </si>
  <si>
    <t>E9665</t>
  </si>
  <si>
    <t>E9666</t>
  </si>
  <si>
    <t>TOTAL DO SUBITEM 1.2</t>
  </si>
  <si>
    <t>1.3 EQUIPAMENTOS PEQUENO PORTE</t>
  </si>
  <si>
    <t>1.3.1</t>
  </si>
  <si>
    <t>E9041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</si>
  <si>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</si>
  <si>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</si>
  <si>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</si>
  <si>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</si>
  <si>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</si>
  <si>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</si>
  <si>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</si>
  <si>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</si>
  <si>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</si>
  <si>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</si>
  <si>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TOTAL DO SUBITEM 1.3</t>
  </si>
  <si>
    <t>CUSTO TOTAL:</t>
  </si>
  <si>
    <t>TOTAL MOBILIZAÇÃO E DESMOBILIZAÇÃO DE EQUIPAMENTOS:</t>
  </si>
  <si>
    <t>Descrição do Serviço</t>
  </si>
  <si>
    <t>Unidade</t>
  </si>
  <si>
    <t>Custo Unitário
(R$)</t>
  </si>
  <si>
    <t>Índice FIC</t>
  </si>
  <si>
    <t>Custo FIC
(R$)</t>
  </si>
  <si>
    <t>Prod. Equipe</t>
  </si>
  <si>
    <t>0307731</t>
  </si>
  <si>
    <t>Aparelho de apoio de neoprene fretado para estruturas moldadas no local - fornecimento e instalação</t>
  </si>
  <si>
    <t>dm³</t>
  </si>
  <si>
    <t>0307732</t>
  </si>
  <si>
    <t>Aparelho de apoio de neoprene fretado para estruturas pré-moldadas - fornecimento e instalação</t>
  </si>
  <si>
    <t>0308308</t>
  </si>
  <si>
    <t>Aparelho de apoio metálico elastomérico fixo com capacidade de 1.500 kN - fornecimento e instalação</t>
  </si>
  <si>
    <t>0308313</t>
  </si>
  <si>
    <t>Aparelho de apoio metálico elastomérico fixo com capacidade de 10.000 kN - fornecimento e instalação</t>
  </si>
  <si>
    <t>0308309</t>
  </si>
  <si>
    <t>Aparelho de apoio metálico elastomérico fixo com capacidade de 2.500 kN - fornecimento e instalação</t>
  </si>
  <si>
    <t>0308310</t>
  </si>
  <si>
    <t>Aparelho de apoio metálico elastomérico fixo com capacidade de 4.000 kN - fornecimento e instalação</t>
  </si>
  <si>
    <t>0308311</t>
  </si>
  <si>
    <t>Aparelho de apoio metálico elastomérico fixo com capacidade de 5.500 kN - fornecimento e instalação</t>
  </si>
  <si>
    <t>0308312</t>
  </si>
  <si>
    <t>Aparelho de apoio metálico elastomérico fixo com capacidade de 7.500 kN - fornecimento e instalação</t>
  </si>
  <si>
    <t>0308307</t>
  </si>
  <si>
    <t>Aparelho de apoio metálico elastomérico fixo com capacidade de 700 kN - fornecimento e instalação</t>
  </si>
  <si>
    <t>0308322</t>
  </si>
  <si>
    <t>Aparelho de apoio metálico elastomérico multidirecional com capacidade de 1.500 kN - fornecimento e instalação</t>
  </si>
  <si>
    <t>0308327</t>
  </si>
  <si>
    <t>Aparelho de apoio metálico elastomérico multidirecional com capacidade de 10.000 kN - fornecimento e instalação</t>
  </si>
  <si>
    <t>0308323</t>
  </si>
  <si>
    <t>Aparelho de apoio metálico elastomérico multidirecional com capacidade de 2.500 kN - fornecimento e instalação</t>
  </si>
  <si>
    <t>0308324</t>
  </si>
  <si>
    <t>Aparelho de apoio metálico elastomérico multidirecional com capacidade de 4.000 kN - fornecimento e instalação</t>
  </si>
  <si>
    <t>0308325</t>
  </si>
  <si>
    <t>Aparelho de apoio metálico elastomérico multidirecional com capacidade de 5.500 kN - fornecimento e instalação</t>
  </si>
  <si>
    <t>0308326</t>
  </si>
  <si>
    <t>Aparelho de apoio metálico elastomérico multidirecional com capacidade de 7.500 kN - fornecimento e instalação</t>
  </si>
  <si>
    <t>0308321</t>
  </si>
  <si>
    <t>Aparelho de apoio metálico elastomérico multidirecional com capacidade de 700 kN - fornecimento e instalação</t>
  </si>
  <si>
    <t>0308315</t>
  </si>
  <si>
    <t>Aparelho de apoio metálico elastomérico unidirecional com capacidade de 1.500 kN - fornecimento e instalação</t>
  </si>
  <si>
    <t>0308320</t>
  </si>
  <si>
    <t>Aparelho de apoio metálico elastomérico unidirecional com capacidade de 10.000 kN - fornecimento e instalação</t>
  </si>
  <si>
    <t>0308316</t>
  </si>
  <si>
    <t>Aparelho de apoio metálico elastomérico unidirecional com capacidade de 2.500 kN - fornecimento e instalação</t>
  </si>
  <si>
    <t>0308317</t>
  </si>
  <si>
    <t>Aparelho de apoio metálico elastomérico unidirecional com capacidade de 4.000 kN - fornecimento e instalação</t>
  </si>
  <si>
    <t>0308318</t>
  </si>
  <si>
    <t>Aparelho de apoio metálico elastomérico unidirecional com capacidade de 5.500 kN - fornecimento e instalação</t>
  </si>
  <si>
    <t>0308319</t>
  </si>
  <si>
    <t>Aparelho de apoio metálico elastomérico unidirecional com capacidade de 7.500 kN - fornecimento e instalação</t>
  </si>
  <si>
    <t>0308314</t>
  </si>
  <si>
    <t>Aparelho de apoio metálico elastomérico unidirecional com capacidade de 700 kN - fornecimento e instalação</t>
  </si>
  <si>
    <t>0308250</t>
  </si>
  <si>
    <t>Aparelho de apoio metálico esférico fixo com capacidade de 1.000 kN - fornecimento e instalação</t>
  </si>
  <si>
    <t>0308251</t>
  </si>
  <si>
    <t>Aparelho de apoio metálico esférico fixo com capacidade de 1.500 kN - fornecimento e instalação</t>
  </si>
  <si>
    <t>0308268</t>
  </si>
  <si>
    <t>Aparelho de apoio metálico esférico fixo com capacidade de 10.000 kN - fornecimento e instalação</t>
  </si>
  <si>
    <t>0308252</t>
  </si>
  <si>
    <t>Aparelho de apoio metálico esférico fixo com capacidade de 2.000 kN - fornecimento e instalação</t>
  </si>
  <si>
    <t>0308253</t>
  </si>
  <si>
    <t>Aparelho de apoio metálico esférico fixo com capacidade de 2.500 kN - fornecimento e instalação</t>
  </si>
  <si>
    <t>0308254</t>
  </si>
  <si>
    <t>Aparelho de apoio metálico esférico fixo com capacidade de 3.000 kN - fornecimento e instalação</t>
  </si>
  <si>
    <t>0308255</t>
  </si>
  <si>
    <t>Aparelho de apoio metálico esférico fixo com capacidade de 3.500 kN - fornecimento e instalação</t>
  </si>
  <si>
    <t>0308256</t>
  </si>
  <si>
    <t>Aparelho de apoio metálico esférico fixo com capacidade de 4.000 kN - fornecimento e instalação</t>
  </si>
  <si>
    <t>0308257</t>
  </si>
  <si>
    <t>Aparelho de apoio metálico esférico fixo com capacidade de 4.500 kN - fornecimento e instalação</t>
  </si>
  <si>
    <t>0308258</t>
  </si>
  <si>
    <t>Aparelho de apoio metálico esférico fixo com capacidade de 5.000 kN - fornecimento e instalação</t>
  </si>
  <si>
    <t>0308259</t>
  </si>
  <si>
    <t>Aparelho de apoio metálico esférico fixo com capacidade de 5.500 kN - fornecimento e instalação</t>
  </si>
  <si>
    <t>0308260</t>
  </si>
  <si>
    <t>Aparelho de apoio metálico esférico fixo com capacidade de 6.000 kN - fornecimento e instalação</t>
  </si>
  <si>
    <t>0308261</t>
  </si>
  <si>
    <t>Aparelho de apoio metálico esférico fixo com capacidade de 6.500 kN - fornecimento e instalação</t>
  </si>
  <si>
    <t>0308262</t>
  </si>
  <si>
    <t>Aparelho de apoio metálico esférico fixo com capacidade de 7.000 kN - fornecimento e instalação</t>
  </si>
  <si>
    <t>0308263</t>
  </si>
  <si>
    <t>Aparelho de apoio metálico esférico fixo com capacidade de 7.500 kN - fornecimento e instalação</t>
  </si>
  <si>
    <t>0308264</t>
  </si>
  <si>
    <t>Aparelho de apoio metálico esférico fixo com capacidade de 8.000 kN - fornecimento e instalação</t>
  </si>
  <si>
    <t>0308265</t>
  </si>
  <si>
    <t>Aparelho de apoio metálico esférico fixo com capacidade de 8.500 kN - fornecimento e instalação</t>
  </si>
  <si>
    <t>0308266</t>
  </si>
  <si>
    <t>Aparelho de apoio metálico esférico fixo com capacidade de 9.000 kN - fornecimento e instalação</t>
  </si>
  <si>
    <t>0308267</t>
  </si>
  <si>
    <t>Aparelho de apoio metálico esférico fixo com capacidade de 9.500 kN - fornecimento e instalação</t>
  </si>
  <si>
    <t>0308288</t>
  </si>
  <si>
    <t>Aparelho de apoio metálico esférico multidirecional com capacidade de 1.000 kN - fornecimento e instalação</t>
  </si>
  <si>
    <t>0308289</t>
  </si>
  <si>
    <t>Aparelho de apoio metálico esférico multidirecional com capacidade de 1.500 kN - fornecimento e instalação</t>
  </si>
  <si>
    <t>0308306</t>
  </si>
  <si>
    <t>Aparelho de apoio metálico esférico multidirecional com capacidade de 10.000 kN - fornecimento e instalação</t>
  </si>
  <si>
    <t>0308290</t>
  </si>
  <si>
    <t>Aparelho de apoio metálico esférico multidirecional com capacidade de 2.000 kN - fornecimento e instalação</t>
  </si>
  <si>
    <t>0308291</t>
  </si>
  <si>
    <t>Aparelho de apoio metálico esférico multidirecional com capacidade de 2.500 kN - fornecimento e instalação</t>
  </si>
  <si>
    <t>0308292</t>
  </si>
  <si>
    <t>Aparelho de apoio metálico esférico multidirecional com capacidade de 3.000 kN - fornecimento e instalação</t>
  </si>
  <si>
    <t>0308293</t>
  </si>
  <si>
    <t>Aparelho de apoio metálico esférico multidirecional com capacidade de 3.500 kN - fornecimento e instalação</t>
  </si>
  <si>
    <t>0308294</t>
  </si>
  <si>
    <t>Aparelho de apoio metálico esférico multidirecional com capacidade de 4.000 kN - fornecimento e instalação</t>
  </si>
  <si>
    <t>0308295</t>
  </si>
  <si>
    <t>Aparelho de apoio metálico esférico multidirecional com capacidade de 4.500 kN - fornecimento e instalação</t>
  </si>
  <si>
    <t>0308296</t>
  </si>
  <si>
    <t>Aparelho de apoio metálico esférico multidirecional com capacidade de 5.000 kN - fornecimento e instalação</t>
  </si>
  <si>
    <t>0308297</t>
  </si>
  <si>
    <t>Aparelho de apoio metálico esférico multidirecional com capacidade de 5.500 kN - fornecimento e instalação</t>
  </si>
  <si>
    <t>0308298</t>
  </si>
  <si>
    <t>Aparelho de apoio metálico esférico multidirecional com capacidade de 6.000 kN - fornecimento e instalação</t>
  </si>
  <si>
    <t>0308299</t>
  </si>
  <si>
    <t>Aparelho de apoio metálico esférico multidirecional com capacidade de 6.500 kN - fornecimento e instalação</t>
  </si>
  <si>
    <t>0308300</t>
  </si>
  <si>
    <t>Aparelho de apoio metálico esférico multidirecional com capacidade de 7.000 kN - fornecimento e instalação</t>
  </si>
  <si>
    <t>0308301</t>
  </si>
  <si>
    <t>Aparelho de apoio metálico esférico multidirecional com capacidade de 7.500 kN - fornecimento e instalação</t>
  </si>
  <si>
    <t>0308302</t>
  </si>
  <si>
    <t>Aparelho de apoio metálico esférico multidirecional com capacidade de 8.000 kN - fornecimento e instalação</t>
  </si>
  <si>
    <t>0308303</t>
  </si>
  <si>
    <t>Aparelho de apoio metálico esférico multidirecional com capacidade de 8.500 kN - fornecimento e instalação</t>
  </si>
  <si>
    <t>0308304</t>
  </si>
  <si>
    <t>Aparelho de apoio metálico esférico multidirecional com capacidade de 9.000 kN - fornecimento e instalação</t>
  </si>
  <si>
    <t>0308305</t>
  </si>
  <si>
    <t>Aparelho de apoio metálico esférico multidirecional com capacidade de 9.500 kN - fornecimento e instalação</t>
  </si>
  <si>
    <t>0308269</t>
  </si>
  <si>
    <t>Aparelho de apoio metálico esférico unidirecional com capacidade de 1.000 kN - fornecimento e instalação</t>
  </si>
  <si>
    <t>0308270</t>
  </si>
  <si>
    <t>Aparelho de apoio metálico esférico unidirecional com capacidade de 1.500 kN - fornecimento e instalação</t>
  </si>
  <si>
    <t>0308287</t>
  </si>
  <si>
    <t>Aparelho de apoio metálico esférico unidirecional com capacidade de 10.000 kN - fornecimento e instalação</t>
  </si>
  <si>
    <t>0308271</t>
  </si>
  <si>
    <t>Aparelho de apoio metálico esférico unidirecional com capacidade de 2.000 kN - fornecimento e instalação</t>
  </si>
  <si>
    <t>0308272</t>
  </si>
  <si>
    <t>Aparelho de apoio metálico esférico unidirecional com capacidade de 2.500 kN - fornecimento e instalação</t>
  </si>
  <si>
    <t>0308273</t>
  </si>
  <si>
    <t>Aparelho de apoio metálico esférico unidirecional com capacidade de 3.000 kN - fornecimento e instalação</t>
  </si>
  <si>
    <t>0308274</t>
  </si>
  <si>
    <t>Aparelho de apoio metálico esférico unidirecional com capacidade de 3.500 kN - fornecimento e instalação</t>
  </si>
  <si>
    <t>0308275</t>
  </si>
  <si>
    <t>Aparelho de apoio metálico esférico unidirecional com capacidade de 4.000 kN - fornecimento e instalação</t>
  </si>
  <si>
    <t>0308276</t>
  </si>
  <si>
    <t>Aparelho de apoio metálico esférico unidirecional com capacidade de 4.500 kN - fornecimento e instalação</t>
  </si>
  <si>
    <t>0308277</t>
  </si>
  <si>
    <t>Aparelho de apoio metálico esférico unidirecional com capacidade de 5.000 kN - fornecimento e instalação</t>
  </si>
  <si>
    <t>0308278</t>
  </si>
  <si>
    <t>Aparelho de apoio metálico esférico unidirecional com capacidade de 5.500 kN - fornecimento e instalação</t>
  </si>
  <si>
    <t>0308279</t>
  </si>
  <si>
    <t>Aparelho de apoio metálico esférico unidirecional com capacidade de 6.000 kN - fornecimento e instalação</t>
  </si>
  <si>
    <t>0308280</t>
  </si>
  <si>
    <t>Aparelho de apoio metálico esférico unidirecional com capacidade de 6.500 kN - fornecimento e instalação</t>
  </si>
  <si>
    <t>0308281</t>
  </si>
  <si>
    <t>Aparelho de apoio metálico esférico unidirecional com capacidade de 7.000 kN - fornecimento e instalação</t>
  </si>
  <si>
    <t>0308282</t>
  </si>
  <si>
    <t>Aparelho de apoio metálico esférico unidirecional com capacidade de 7.500 kN - fornecimento e instalação</t>
  </si>
  <si>
    <t>0308283</t>
  </si>
  <si>
    <t>Aparelho de apoio metálico esférico unidirecional com capacidade de 8.000 kN - fornecimento e instalação</t>
  </si>
  <si>
    <t>0308284</t>
  </si>
  <si>
    <t>Aparelho de apoio metálico esférico unidirecional com capacidade de 8.500 kN - fornecimento e instalação</t>
  </si>
  <si>
    <t>0308285</t>
  </si>
  <si>
    <t>Aparelho de apoio metálico esférico unidirecional com capacidade de 9.000 kN - fornecimento e instalação</t>
  </si>
  <si>
    <t>0308286</t>
  </si>
  <si>
    <t>Aparelho de apoio metálico esférico unidirecional com capacidade de 9.500 kN - fornecimento e instalação</t>
  </si>
  <si>
    <t>0307733</t>
  </si>
  <si>
    <t>Junta de dilatação em elastômero e perfil VV - L = 20 mm e H = 40 mm - fornecimento e instalação</t>
  </si>
  <si>
    <t>0307734</t>
  </si>
  <si>
    <t>Junta de dilatação em elastômero e perfil VV - L = 25 mm e H = 50 mm - fornecimento e instalação</t>
  </si>
  <si>
    <t>0307735</t>
  </si>
  <si>
    <t>Junta de dilatação em elastômero e perfil VV - L = 35 mm e H = 60 mm - fornecimento e instalação</t>
  </si>
  <si>
    <t>0307736</t>
  </si>
  <si>
    <t>Junta de dilatação em elastômero e perfil VV - L = 40 mm e H = 70 mm - fornecimento e instalação</t>
  </si>
  <si>
    <t>0307737</t>
  </si>
  <si>
    <t>Junta de dilatação em elastômero e perfil VV - L = 50 mm e H = 80 mm - fornecimento e instalação</t>
  </si>
  <si>
    <t>0307730</t>
  </si>
  <si>
    <t>Junta de dilatação em perfil extrudado de borracha vulcanizada</t>
  </si>
  <si>
    <t>0307084</t>
  </si>
  <si>
    <t>Lábios poliméricos em junta de pavimento de concreto - L = 20 mm e H = 30 mm - confecção e assentamento</t>
  </si>
  <si>
    <t>0407818</t>
  </si>
  <si>
    <t>Armação em aço CA-25 - fornecimento, preparo e colocação</t>
  </si>
  <si>
    <t>0407819</t>
  </si>
  <si>
    <t>0407820</t>
  </si>
  <si>
    <t>0407740</t>
  </si>
  <si>
    <t>Chumbador tipo espera em aço CA-25 para fixação de estrutura metálica em concreto - fornecimento e instalação</t>
  </si>
  <si>
    <t>0408037</t>
  </si>
  <si>
    <t>Luva de emenda com rosca cônica para aço CA-50 - D = 12,5 mm - fornecimento e instalação</t>
  </si>
  <si>
    <t>0408038</t>
  </si>
  <si>
    <t>Luva de emenda com rosca cônica para aço CA-50 - D = 16 mm - fornecimento e instalação</t>
  </si>
  <si>
    <t>0408039</t>
  </si>
  <si>
    <t>Luva de emenda com rosca cônica para aço CA-50 - D = 20 mm - fornecimento e instalação</t>
  </si>
  <si>
    <t>0408041</t>
  </si>
  <si>
    <t>Luva de emenda com rosca cônica para aço CA-50 - D = 25 mm - fornecimento e instalação</t>
  </si>
  <si>
    <t>0408042</t>
  </si>
  <si>
    <t>Luva de emenda com rosca cônica para aço CA-50 - D = 32 mm - fornecimento e instalação</t>
  </si>
  <si>
    <t>0408031</t>
  </si>
  <si>
    <t>Luva de emenda prensada para aço CA-50 - D = 12,5 mm - fornecimento e instalação</t>
  </si>
  <si>
    <t>0408032</t>
  </si>
  <si>
    <t>Luva de emenda prensada para aço CA-50 - D = 16 mm - fornecimento e instalação</t>
  </si>
  <si>
    <t>0408033</t>
  </si>
  <si>
    <t>Luva de emenda prensada para aço CA-50 - D = 20 mm - fornecimento e instalação</t>
  </si>
  <si>
    <t>0408035</t>
  </si>
  <si>
    <t>Luva de emenda prensada para aço CA-50 - D = 25 mm - fornecimento e instalação</t>
  </si>
  <si>
    <t>0408036</t>
  </si>
  <si>
    <t>Luva de emenda prensada para aço CA-50 - D = 32 mm - fornecimento e instalação</t>
  </si>
  <si>
    <t>0408067</t>
  </si>
  <si>
    <t>Tela de aço eletrossoldada - fornecimento, preparo e colocação</t>
  </si>
  <si>
    <t>0407743</t>
  </si>
  <si>
    <t>Treliça nervurada três barras longitudinais interligadas por duas diagonais sinusoidal - fornecimento e instalação</t>
  </si>
  <si>
    <t>0607137</t>
  </si>
  <si>
    <t>Arco metálico galvanizado tipo MP 152S - arco alto - vão = 10,08 m e altura = 6,12 m - aterro rodoviário mínimo = 0,90 m e máximo = 5,00 m - areia e brita comerciais</t>
  </si>
  <si>
    <t>0606785</t>
  </si>
  <si>
    <t>Arco metálico galvanizado tipo MP 152S - arco alto - vão = 10,08 m e altura = 6,12 m - aterro rodoviário mínimo = 0,90 m e máximo = 5,00 m - areia extraída e brita produzida</t>
  </si>
  <si>
    <t>0607139</t>
  </si>
  <si>
    <t>Arco metálico galvanizado tipo MP 152S - arco alto - vão = 10,31 m e altura = 6,17 m - aterro rodoviário mínimo = 0,90 m e máximo = 4,90 m - areia e brita comerciais</t>
  </si>
  <si>
    <t>0606787</t>
  </si>
  <si>
    <t>Arco metálico galvanizado tipo MP 152S - arco alto - vão = 10,31 m e altura = 6,17 m - aterro rodoviário mínimo = 0,90 m e máximo = 4,90 m - areia extraída e brita produzida</t>
  </si>
  <si>
    <t>0607140</t>
  </si>
  <si>
    <t>Arco metálico galvanizado tipo MP 152S - arco alto - vão = 10,36 m e altura = 5,38 m - aterro rodoviário mínimo = 1,20 m e máximo = 3,60 m - areia e brita comerciais</t>
  </si>
  <si>
    <t>0606788</t>
  </si>
  <si>
    <t>Arco metálico galvanizado tipo MP 152S - arco alto - vão = 10,36 m e altura = 5,38 m - aterro rodoviário mínimo = 1,20 m e máximo = 3,60 m - areia extraída e brita produzida</t>
  </si>
  <si>
    <t>0607141</t>
  </si>
  <si>
    <t>Arco metálico galvanizado tipo MP 152S - arco alto - vão = 10,54 m e altura = 6,05 m - aterro rodoviário mínimo = 1,20 m e máximo = 4,20 m - areia e brita comerciais</t>
  </si>
  <si>
    <t>0606789</t>
  </si>
  <si>
    <t>Arco metálico galvanizado tipo MP 152S - arco alto - vão = 10,54 m e altura = 6,05 m - aterro rodoviário mínimo = 1,20 m e máximo = 4,20 m - areia extraída e brita produzida</t>
  </si>
  <si>
    <t>0607144</t>
  </si>
  <si>
    <t>Arco metálico galvanizado tipo MP 152S - arco alto - vão = 10,57 m e altura = 5,41 m - aterro rodoviário mínimo = 1,20 m e máximo = 4,10 m - areia e brita comerciais</t>
  </si>
  <si>
    <t>0606792</t>
  </si>
  <si>
    <t>Arco metálico galvanizado tipo MP 152S - arco alto - vão = 10,57 m e altura = 5,41 m - aterro rodoviário mínimo = 1,20 m e máximo = 4,10 m - areia extraída e brita produzida</t>
  </si>
  <si>
    <t>0607142</t>
  </si>
  <si>
    <t>Arco metálico galvanizado tipo MP 152S - arco alto - vão = 10,74 m e altura = 6,48 m - aterro rodoviário mínimo = 1,20 m e máximo = 4,70 m - areia e brita comerciais</t>
  </si>
  <si>
    <t>0606790</t>
  </si>
  <si>
    <t>Arco metálico galvanizado tipo MP 152S - arco alto - vão = 10,74 m e altura = 6,48 m - aterro rodoviário mínimo = 1,20 m e máximo = 4,70 m - areia extraída e brita produzida</t>
  </si>
  <si>
    <t>0607145</t>
  </si>
  <si>
    <t>Arco metálico galvanizado tipo MP 152S - arco alto - vão = 10,77 m e altura = 6,10 m - aterro rodoviário mínimo = 1,20 m e máximo = 4,70 m - areia e brita comerciais</t>
  </si>
  <si>
    <t>0606793</t>
  </si>
  <si>
    <t>Arco metálico galvanizado tipo MP 152S - arco alto - vão = 10,77 m e altura = 6,10 m - aterro rodoviário mínimo = 1,20 m e máximo = 4,70 m - areia extraída e brita produzida</t>
  </si>
  <si>
    <t>0607146</t>
  </si>
  <si>
    <t>Arco metálico galvanizado tipo MP 152S - arco alto - vão = 10,97 m e altura = 6,53 m - aterro rodoviário mínimo = 1,20 m e máximo = 4,70 m - areia e brita comerciais</t>
  </si>
  <si>
    <t>0606794</t>
  </si>
  <si>
    <t>Arco metálico galvanizado tipo MP 152S - arco alto - vão = 10,97 m e altura = 6,53 m - aterro rodoviário mínimo = 1,20 m e máximo = 4,70 m - areia extraída e brita produzida</t>
  </si>
  <si>
    <t>0607143</t>
  </si>
  <si>
    <t>Arco metálico galvanizado tipo MP 152S - arco alto - vão = 11,35 m e altura = 7,12 m - aterro rodoviário mínimo = 1,20 m e máximo = 4,70 m - areia e brita comerciais</t>
  </si>
  <si>
    <t>0606791</t>
  </si>
  <si>
    <t>Arco metálico galvanizado tipo MP 152S - arco alto - vão = 11,35 m e altura = 7,12 m - aterro rodoviário mínimo = 1,20 m e máximo = 4,70 m - areia extraída e brita produzida</t>
  </si>
  <si>
    <t>0607147</t>
  </si>
  <si>
    <t>Arco metálico galvanizado tipo MP 152S - arco alto - vão = 11,58 m e altura = 7,16 m - aterro rodoviário mínimo = 1,20 m e máximo = 6,40 m - areia e brita comerciais</t>
  </si>
  <si>
    <t>0606795</t>
  </si>
  <si>
    <t>Arco metálico galvanizado tipo MP 152S - arco alto - vão = 11,58 m e altura = 7,16 m - aterro rodoviário mínimo = 1,20 m e máximo = 6,40 m - areia extraída e brita produzida</t>
  </si>
  <si>
    <t>0607112</t>
  </si>
  <si>
    <t>Arco metálico galvanizado tipo MP 152S - arco alto - vão = 6,12 m e altura = 2,77 m - aterro rodoviário mínimo = 0,75 m e máximo = 5,40 m - areia e brita comerciais</t>
  </si>
  <si>
    <t>0606760</t>
  </si>
  <si>
    <t>Arco metálico galvanizado tipo MP 152S - arco alto - vão = 6,12 m e altura = 2,77 m - aterro rodoviário mínimo = 0,75 m e máximo = 5,40 m - areia extraída e brita produzida</t>
  </si>
  <si>
    <t>0607113</t>
  </si>
  <si>
    <t>Arco metálico galvanizado tipo MP 152S - arco alto - vão = 6,30 m e altura = 3,68 m - aterro rodoviário mínimo = 0,75 m e máximo = 7,50 m - areia e brita comerciais</t>
  </si>
  <si>
    <t>0606761</t>
  </si>
  <si>
    <t>Arco metálico galvanizado tipo MP 152S - arco alto - vão = 6,30 m e altura = 3,68 m - aterro rodoviário mínimo = 0,75 m e máximo = 7,50 m - areia extraída e brita produzida</t>
  </si>
  <si>
    <t>0606762</t>
  </si>
  <si>
    <t>Arco metálico galvanizado tipo MP 152S - arco alto - vão = 6,55 m e altura = 3,56 m - aterro rodoviário mínimo = 0,75 m e máximo = 4,9 m - areia extraída e brita produzida</t>
  </si>
  <si>
    <t>0607114</t>
  </si>
  <si>
    <t>Arco metálico galvanizado tipo MP 152S - arco alto - vão = 6,55 m e altura = 3,56 m - aterro rodoviário mínimo = 0,75 m e máximo = 4,90 m - areia e brita comerciais</t>
  </si>
  <si>
    <t>0607116</t>
  </si>
  <si>
    <t>Arco metálico galvanizado tipo MP 152S - arco alto - vão = 6,78 m e altura = 3,61 m - aterro rodoviário mínimo = 0,75 m e máximo = 4,80 m - areia e brita comerciais</t>
  </si>
  <si>
    <t>0606764</t>
  </si>
  <si>
    <t>Arco metálico galvanizado tipo MP 152S - arco alto - vão = 6,78 m e altura = 3,61 m - aterro rodoviário mínimo = 0,75 m e máximo = 4,80 m - areia extraída e brita produzida</t>
  </si>
  <si>
    <t>0607115</t>
  </si>
  <si>
    <t>Arco metálico galvanizado tipo MP 152S - arco alto - vão = 6,96 m e altura = 4,42 m - aterro rodoviário mínimo = 0,75 m e máximo = 8,10 m - areia e brita comerciais</t>
  </si>
  <si>
    <t>0606763</t>
  </si>
  <si>
    <t>Arco metálico galvanizado tipo MP 152S - arco alto - vão = 6,96 m e altura = 4,42 m - aterro rodoviário mínimo = 0,75 m e máximo = 8,10 m - areia extraída e brita produzida</t>
  </si>
  <si>
    <t>0607117</t>
  </si>
  <si>
    <t>Arco metálico galvanizado tipo MP 152S - arco alto - vão = 6,99 m e altura = 4,27 m - aterro rodoviário mínimo = 0,75 m e máximo = 5,70 m - areia e brita comerciais</t>
  </si>
  <si>
    <t>0606765</t>
  </si>
  <si>
    <t>Arco metálico galvanizado tipo MP 152S - arco alto - vão = 6,99 m e altura = 4,27 m - aterro rodoviário mínimo = 0,75 m e máximo = 5,70 m - areia extraída e brita produzida</t>
  </si>
  <si>
    <t>0607118</t>
  </si>
  <si>
    <t>Arco metálico galvanizado tipo MP 152S - arco alto - vão = 7,01 m e altura = 3,63 m - aterro rodoviário mínimo = 0,75 m e máximo = 4,60 m - areia e brita comerciais</t>
  </si>
  <si>
    <t>0606766</t>
  </si>
  <si>
    <t>Arco metálico galvanizado tipo MP 152S - arco alto - vão = 7,01 m e altura = 3,63 m - aterro rodoviário mínimo = 0,75 m e máximo = 4,60 m - areia extraída e brita produzida</t>
  </si>
  <si>
    <t>0607120</t>
  </si>
  <si>
    <t>Arco metálico galvanizado tipo MP 152S - arco alto - vão = 7,24 m e altura = 3,68 m - aterro rodoviário mínimo = 0,90 m e máximo = 4,4 m - areia e brita comerciais</t>
  </si>
  <si>
    <t>0606768</t>
  </si>
  <si>
    <t>Arco metálico galvanizado tipo MP 152S - arco alto - vão = 7,24 m e altura = 3,68 m - aterro rodoviário mínimo = 0,90 m e máximo = 4,40 m - areia extraída e brita produzida</t>
  </si>
  <si>
    <t>0607119</t>
  </si>
  <si>
    <t>Arco metálico galvanizado tipo MP 152S - arco alto - vão = 7,42 m e altura = 4,52 m - aterro rodoviário mínimo = 0,90 m e máximo = 6,40 m - areia e brita comerciais</t>
  </si>
  <si>
    <t>0606767</t>
  </si>
  <si>
    <t>Arco metálico galvanizado tipo MP 152S - arco alto - vão = 7,42 m e altura = 4,52 m - aterro rodoviário mínimo = 0,90 m e máximo = 6,40 m - areia extraída e brita produzida</t>
  </si>
  <si>
    <t>0607121</t>
  </si>
  <si>
    <t>Arco metálico galvanizado tipo MP 152S - arco alto - vão = 7,47 m e altura = 4,19 m - aterro rodoviário mínimo = 0,90 m e máximo = 4,30 m - areia e brita comerciais</t>
  </si>
  <si>
    <t>0606769</t>
  </si>
  <si>
    <t>Arco metálico galvanizado tipo MP 152S - arco alto - vão = 7,47 m e altura = 4,19 m - aterro rodoviário mínimo = 0,90 m e máximo = 4,30 m - areia extraída e brita produzida</t>
  </si>
  <si>
    <t>0607123</t>
  </si>
  <si>
    <t>Arco metálico galvanizado tipo MP 152S - arco alto - vão = 7,67 m e altura = 3,99 m - aterro rodoviário mínimo = 0,90 m e máximo = 4,10 m - areia e brita comerciais</t>
  </si>
  <si>
    <t>0606771</t>
  </si>
  <si>
    <t>Arco metálico galvanizado tipo MP 152S - arco alto - vão = 7,67 m e altura = 3,99 m - aterro rodoviário mínimo = 0,90 m e máximo = 4,10 m - areia extraída e brita produzida</t>
  </si>
  <si>
    <t>0607122</t>
  </si>
  <si>
    <t>Arco metálico galvanizado tipo MP 152S - arco alto - vão = 7,85 m e altura = 4,60 m - aterro rodoviário mínimo = 0,90 m e máximo = 6,00 m - areia e brita comerciais</t>
  </si>
  <si>
    <t>0606770</t>
  </si>
  <si>
    <t>Arco metálico galvanizado tipo MP 152S - arco alto - vão = 7,85 m e altura = 4,60 m - aterro rodoviário mínimo = 0,90 m e máximo = 6,00 m - areia extraída e brita produzida</t>
  </si>
  <si>
    <t>0607125</t>
  </si>
  <si>
    <t>Arco metálico galvanizado tipo MP 152S - arco alto - vão = 7,90 m e altura = 4,04 m - aterro rodoviário mínimo = 0,90 m e máximo = 4,00 m - areia e brita comerciais</t>
  </si>
  <si>
    <t>0606773</t>
  </si>
  <si>
    <t>Arco metálico galvanizado tipo MP 152S - arco alto - vão = 7,90 m e altura = 4,04 m - aterro rodoviário mínimo = 0,90 m e máximo = 4,00 m - areia extraída e brita produzida</t>
  </si>
  <si>
    <t>0607124</t>
  </si>
  <si>
    <t>Arco metálico galvanizado tipo MP 152S - arco alto - vão = 8,08 m e altura = 4,65 m - aterro rodoviário mínimo = 0,90 m e máximo = 5,80 m - areia e brita comerciais</t>
  </si>
  <si>
    <t>0606772</t>
  </si>
  <si>
    <t>Arco metálico galvanizado tipo MP 152S - arco alto - vão = 8,08 m e altura = 4,65 m - aterro rodoviário mínimo = 0,90 m e máximo = 5,80 m - areia extraída e brita produzida</t>
  </si>
  <si>
    <t>0607126</t>
  </si>
  <si>
    <t>Arco metálico galvanizado tipo MP 152S - arco alto - vão = 8,31 m e altura = 4,70 m - aterro rodoviário mínimo = 0,90 m e máximo = 5,60 m - areia e brita comerciais</t>
  </si>
  <si>
    <t>0606774</t>
  </si>
  <si>
    <t>Arco metálico galvanizado tipo MP 152S - arco alto - vão = 8,31 m e altura = 4,70 m - aterro rodoviário mínimo = 0,90 m e máximo = 5,60 m - areia extraída e brita produzida</t>
  </si>
  <si>
    <t>0607127</t>
  </si>
  <si>
    <t>Arco metálico galvanizado tipo MP 152S - arco alto - vão = 8,36 m e altura = 4,11 m - aterro rodoviário mínimo = 0,90 m e máximo = 3,70 m - areia e brita comerciais</t>
  </si>
  <si>
    <t>0606775</t>
  </si>
  <si>
    <t>Arco metálico galvanizado tipo MP 152S - arco alto - vão = 8,36 m e altura = 4,11 m - aterro rodoviário mínimo = 0,90 m e máximo = 3,70 m - areia extraída e brita produzida</t>
  </si>
  <si>
    <t>0607129</t>
  </si>
  <si>
    <t>Arco metálico galvanizado tipo MP 152S - arco alto - vão = 8,59 m e altura = 4,39 m - aterro rodoviário mínimo = 0,90 m e máximo = 3,60 m - areia e brita comerciais</t>
  </si>
  <si>
    <t>0606777</t>
  </si>
  <si>
    <t>Arco metálico galvanizado tipo MP 152S - arco alto - vão = 8,59 m e altura = 4,39 m - aterro rodoviário mínimo = 0,90 m e máximo = 3,60 m - areia extraída e brita produzida</t>
  </si>
  <si>
    <t>0607128</t>
  </si>
  <si>
    <t>Arco metálico galvanizado tipo MP 152S - arco alto - vão = 8,97 m e altura = 5,00 m - aterro rodoviário mínimo = 0,90 m e máximo = 5,80 m - areia e brita comerciais</t>
  </si>
  <si>
    <t>0606776</t>
  </si>
  <si>
    <t>Arco metálico galvanizado tipo MP 152S - arco alto - vão = 8,97 m e altura = 5,00 m - aterro rodoviário mínimo = 0,90 m e máximo = 5,80 m - areia extraída e brita produzida</t>
  </si>
  <si>
    <t>0607130</t>
  </si>
  <si>
    <t>Arco metálico galvanizado tipo MP 152S - arco alto - vão = 9,17 m e altura = 5,49 m - aterro rodoviário mínimo = 0,90 m e máximo = 5,60 m - areia e brita comerciais</t>
  </si>
  <si>
    <t>0606778</t>
  </si>
  <si>
    <t>Arco metálico galvanizado tipo MP 152S - arco alto - vão = 9,17 m e altura = 5,49 m - aterro rodoviário mínimo = 0,90 m e máximo = 5,60 m - areia extraída e brita produzida</t>
  </si>
  <si>
    <t>0607131</t>
  </si>
  <si>
    <t>Arco metálico galvanizado tipo MP 152S - arco alto - vão = 9,22 m e altura = 4,70 m - aterro rodoviário mínimo = 0,90 m e máximo = 4,10 m - areia e brita comerciais</t>
  </si>
  <si>
    <t>0606779</t>
  </si>
  <si>
    <t>Arco metálico galvanizado tipo MP 152S - arco alto - vão = 9,22 m e altura = 4,70 m - aterro rodoviário mínimo = 0,90 m e máximo = 4,10 m - areia extraída e brita produzida</t>
  </si>
  <si>
    <t>0607133</t>
  </si>
  <si>
    <t>Arco metálico galvanizado tipo MP 152S - arco alto - vão = 9,45 m e altura = 4,75 m - aterro rodoviário mínimo = 0,90 m e máximo = 4,00 m - areia e brita comerciais</t>
  </si>
  <si>
    <t>0606781</t>
  </si>
  <si>
    <t>Arco metálico galvanizado tipo MP 152S - arco alto - vão = 9,45 m e altura = 4,75 m - aterro rodoviário mínimo = 0,90 m e máximo = 4,00 m - areia extraída e brita produzida</t>
  </si>
  <si>
    <t>0607132</t>
  </si>
  <si>
    <t>Arco metálico galvanizado tipo MP 152S - arco alto - vão = 9,63 m e altura = 5,59 m - aterro rodoviário mínimo = 0,90 m e máximo = 5,30 m - areia e brita comerciais</t>
  </si>
  <si>
    <t>0606780</t>
  </si>
  <si>
    <t>Arco metálico galvanizado tipo MP 152S - arco alto - vão = 9,63 m e altura = 5,59 m - aterro rodoviário mínimo = 0,90 m e máximo = 5,30 m - areia extraída e brita produzida</t>
  </si>
  <si>
    <t>0607134</t>
  </si>
  <si>
    <t>Arco metálico galvanizado tipo MP 152S - arco alto - vão = 9,65 m e altura = 5,41 m - aterro rodoviário mínimo = 0,90 m e máximo = 4,70 m - areia e brita comerciais</t>
  </si>
  <si>
    <t>0606782</t>
  </si>
  <si>
    <t>Arco metálico galvanizado tipo MP 152S - arco alto - vão = 9,65 m e altura = 5,41 m - aterro rodoviário mínimo = 0,90 m e máximo = 4,70 m - areia extraída e brita produzida</t>
  </si>
  <si>
    <t>0607136</t>
  </si>
  <si>
    <t>Arco metálico galvanizado tipo MP 152S - arco alto - vão = 9,68 m e altura = 5,23 m - aterro rodoviário mínimo = 0,90 m e máximo = 3,90 m - areia e brita comerciais</t>
  </si>
  <si>
    <t>0606784</t>
  </si>
  <si>
    <t>Arco metálico galvanizado tipo MP 152S - arco alto - vão = 9,68 m e altura = 5,23 m - aterro rodoviário mínimo = 0,90 m e máximo = 3,90 m - areia extraída e brita produzida</t>
  </si>
  <si>
    <t>0607135</t>
  </si>
  <si>
    <t>Arco metálico galvanizado tipo MP 152S - arco alto - vão = 9,86 m e altura = 6,07 m - aterro rodoviário mínimo = 0,90 m e máximo = 5,20 m - areia e brita comerciais</t>
  </si>
  <si>
    <t>0606783</t>
  </si>
  <si>
    <t>Arco metálico galvanizado tipo MP 152S - arco alto - vão = 9,86 m e altura = 6,07 m - aterro rodoviário mínimo = 0,90 m e máximo = 5,20 m - areia extraída e brita produzida</t>
  </si>
  <si>
    <t>0607138</t>
  </si>
  <si>
    <t>Arco metálico galvanizado tipo MP 152S - arco alto - vão = 9,91 m e altura = 5,28 m - aterro rodoviário mínimo = 0,90 m e máximo = 3,80 m - areia e brita comerciais</t>
  </si>
  <si>
    <t>0606786</t>
  </si>
  <si>
    <t>Arco metálico galvanizado tipo MP 152S - arco alto - vão = 9,91 m e altura = 5,28 m - aterro rodoviário mínimo = 0,90 m e máximo = 3,80 m - areia extraída e brita produzida</t>
  </si>
  <si>
    <t>0606842</t>
  </si>
  <si>
    <t>Arco metálico galvanizado tipo MP 152S - ovoide - vão = 7,21 m e altura = 7,82 m - aterro rodoviário mínimo = 0,75 m e máximo = 6,70 m - areia e brita comerciais</t>
  </si>
  <si>
    <t>0606832</t>
  </si>
  <si>
    <t>Arco metálico galvanizado tipo MP 152S - ovoide - vão = 7,21 m e altura = 7,82 m - aterro rodoviário mínimo = 0,75 m e máximo = 6,70 m - areia extraída e brita produzida</t>
  </si>
  <si>
    <t>0606843</t>
  </si>
  <si>
    <t>Arco metálico galvanizado tipo MP 152S - ovoide - vão = 7,31 m e altura = 7,87 m - aterro rodoviário mínimo = 0,90 m e máximo = 6,80 m - areia e brita comerciais</t>
  </si>
  <si>
    <t>0606833</t>
  </si>
  <si>
    <t>Arco metálico galvanizado tipo MP 152S - ovoide - vão = 7,31 m e altura = 7,87 m - aterro rodoviário mínimo = 0,90 m e máximo = 6,80 m - areia extraída e brita produzida</t>
  </si>
  <si>
    <t>0606845</t>
  </si>
  <si>
    <t>Arco metálico galvanizado tipo MP 152S - ovoide - vão = 7,57 m e altura = 8,44 m - aterro rodoviário mínimo = 0,90 m e máximo = 5,60 m - areia e brita comerciais</t>
  </si>
  <si>
    <t>0606835</t>
  </si>
  <si>
    <t>Arco metálico galvanizado tipo MP 152S - ovoide - vão = 7,57 m e altura = 8,44 m - aterro rodoviário mínimo = 0,90 m e máximo = 5,60 m - areia extraída e brita produzida</t>
  </si>
  <si>
    <t>0606844</t>
  </si>
  <si>
    <t>Arco metálico galvanizado tipo MP 152S - ovoide - vão = 7,77 m e altura = 7,90 m - aterro rodoviário mínimo = 0,90 m e máximo = 6,80 m - areia e brita comerciais</t>
  </si>
  <si>
    <t>0606834</t>
  </si>
  <si>
    <t>Arco metálico galvanizado tipo MP 152S - ovoide - vão = 7,77 m e altura = 7,90 m - aterro rodoviário mínimo = 0,90 m e máximo = 6,80 m - areia extraída e brita produzida</t>
  </si>
  <si>
    <t>0606847</t>
  </si>
  <si>
    <t>Arco metálico galvanizado tipo MP 152S - ovoide - vão = 8,13 m e altura = 8,01 m - aterro rodoviário mínimo = 0,90 m e máximo = 3,50 m - areia e brita comerciais</t>
  </si>
  <si>
    <t>0606837</t>
  </si>
  <si>
    <t>Arco metálico galvanizado tipo MP 152S - ovoide - vão = 8,13 m e altura = 8,01 m - aterro rodoviário mínimo = 0,90 m e máximo = 3,50 m - areia extraída e brita produzida</t>
  </si>
  <si>
    <t>0606846</t>
  </si>
  <si>
    <t>Arco metálico galvanizado tipo MP 152S - ovoide - vão = 8,36 m e altura = 8,23 m - aterro rodoviário mínimo = 0,90 m e máximo = 4,30 m - areia e brita comerciais</t>
  </si>
  <si>
    <t>0606836</t>
  </si>
  <si>
    <t>Arco metálico galvanizado tipo MP 152S - ovoide - vão = 8,36 m e altura = 8,23 m - aterro rodoviário mínimo = 0,90 m e máximo = 4,30 m - areia extraída e brita produzida</t>
  </si>
  <si>
    <t>0606848</t>
  </si>
  <si>
    <t>Arco metálico galvanizado tipo MP 152S - ovoide - vão = 8,56 m e altura = 8,48 m - aterro rodoviário mínimo = 0,90 m e máximo = 5,30 m - areia e brita comerciais</t>
  </si>
  <si>
    <t>0606838</t>
  </si>
  <si>
    <t>Arco metálico galvanizado tipo MP 152S - ovoide - vão = 8,56 m e altura = 8,48 m - aterro rodoviário mínimo = 0,90 m e máximo = 5,30 m - areia extraída e brita produzida</t>
  </si>
  <si>
    <t>0606849</t>
  </si>
  <si>
    <t>Arco metálico galvanizado tipo MP 152S - ovoide - vão = 8,71 m e altura = 9,32 m - aterro rodoviário mínimo = 0,90 m e máximo = 6,00 m - areia e brita comerciais</t>
  </si>
  <si>
    <t>0606839</t>
  </si>
  <si>
    <t>Arco metálico galvanizado tipo MP 152S - ovoide - vão = 8,71 m e altura = 9,32 m - aterro rodoviário mínimo = 0,90 m e máximo = 6,00 m - areia extraída e brita produzida</t>
  </si>
  <si>
    <t>0606850</t>
  </si>
  <si>
    <t>Arco metálico galvanizado tipo MP 152S - ovoide - vão = 9,15 m e altura = 9,04 m - aterro rodoviário mínimo = 0,90 m e máximo = 4,70 m - areia e brita comerciais</t>
  </si>
  <si>
    <t>0606840</t>
  </si>
  <si>
    <t>Arco metálico galvanizado tipo MP 152S - ovoide - vão = 9,15 m e altura = 9,04 m - aterro rodoviário mínimo = 0,90 m e máximo = 4,70 m - areia extraída e brita produzida</t>
  </si>
  <si>
    <t>0606851</t>
  </si>
  <si>
    <t>Arco metálico galvanizado tipo MP 152S - ovoide - vão = 9,15 m e altura = 9,50 m - aterro rodoviário mínimo = 0,90 m e máximo = 5,70 m - areia e brita comerciais</t>
  </si>
  <si>
    <t>0606841</t>
  </si>
  <si>
    <t>Arco metálico galvanizado tipo MP 152S - ovoide - vão = 9,15 m e altura = 9,50 m - aterro rodoviário mínimo = 0,90 m e máximo = 5,70 m - areia extraída e brita produzida</t>
  </si>
  <si>
    <t>0605604</t>
  </si>
  <si>
    <t>Argamassa de solo-cimento com 10% de cimento e material de jazida - preparo e injeção em tunnel liner</t>
  </si>
  <si>
    <t>0605695</t>
  </si>
  <si>
    <t>Bueiro metálico com chapas múltiplas MP 100 com revestimento em epóxi - D = 0,60 m - brita comercial</t>
  </si>
  <si>
    <t>0605607</t>
  </si>
  <si>
    <t>Bueiro metálico com chapas múltiplas MP 100 com revestimento em epóxi - D = 0,60 m - brita produzida</t>
  </si>
  <si>
    <t>0605696</t>
  </si>
  <si>
    <t>Bueiro metálico com chapas múltiplas MP 100 com revestimento em epóxi - D = 0,70 m - brita comercial</t>
  </si>
  <si>
    <t>0605608</t>
  </si>
  <si>
    <t>Bueiro metálico com chapas múltiplas MP 100 com revestimento em epóxi - D = 0,70 m - brita produzida</t>
  </si>
  <si>
    <t>0605697</t>
  </si>
  <si>
    <t>Bueiro metálico com chapas múltiplas MP 100 com revestimento em epóxi - D = 0,80 m - brita comercial</t>
  </si>
  <si>
    <t>0605609</t>
  </si>
  <si>
    <t>Bueiro metálico com chapas múltiplas MP 100 com revestimento em epóxi - D = 0,80 m - brita produzida</t>
  </si>
  <si>
    <t>0605698</t>
  </si>
  <si>
    <t>Bueiro metálico com chapas múltiplas MP 100 com revestimento em epóxi - D = 0,90 m - brita comercial</t>
  </si>
  <si>
    <t>0605610</t>
  </si>
  <si>
    <t>Bueiro metálico com chapas múltiplas MP 100 com revestimento em epóxi - D = 0,90 m - brita produzida</t>
  </si>
  <si>
    <t>0605699</t>
  </si>
  <si>
    <t>Bueiro metálico com chapas múltiplas MP 100 com revestimento em epóxi - D = 1,00 m - brita comercial</t>
  </si>
  <si>
    <t>0605611</t>
  </si>
  <si>
    <t>Bueiro metálico com chapas múltiplas MP 100 com revestimento em epóxi - D = 1,00 m - brita produzida</t>
  </si>
  <si>
    <t>0605700</t>
  </si>
  <si>
    <t>Bueiro metálico com chapas múltiplas MP 100 com revestimento em epóxi - D = 1,10 m - brita comercial</t>
  </si>
  <si>
    <t>0605612</t>
  </si>
  <si>
    <t>Bueiro metálico com chapas múltiplas MP 100 com revestimento em epóxi - D = 1,10 m - brita produzida</t>
  </si>
  <si>
    <t>0605701</t>
  </si>
  <si>
    <t>Bueiro metálico com chapas múltiplas MP 100 com revestimento em epóxi - D = 1,20 m - brita comercial</t>
  </si>
  <si>
    <t>0605613</t>
  </si>
  <si>
    <t>Bueiro metálico com chapas múltiplas MP 100 com revestimento em epóxi - D = 1,20 m - brita produzida</t>
  </si>
  <si>
    <t>0605702</t>
  </si>
  <si>
    <t>Bueiro metálico com chapas múltiplas MP 100 com revestimento em epóxi - D = 1,30 m - brita comercial</t>
  </si>
  <si>
    <t>0605614</t>
  </si>
  <si>
    <t>Bueiro metálico com chapas múltiplas MP 100 com revestimento em epóxi - D = 1,30 m - brita produzida</t>
  </si>
  <si>
    <t>0605703</t>
  </si>
  <si>
    <t>Bueiro metálico com chapas múltiplas MP 100 com revestimento em epóxi - D = 1,40 m - brita comercial</t>
  </si>
  <si>
    <t>0605615</t>
  </si>
  <si>
    <t>Bueiro metálico com chapas múltiplas MP 100 com revestimento em epóxi - D = 1,40 m - brita produzida</t>
  </si>
  <si>
    <t>0605704</t>
  </si>
  <si>
    <t>Bueiro metálico com chapas múltiplas MP 100 com revestimento em epóxi - D = 1,50 m - brita comercial</t>
  </si>
  <si>
    <t>0605616</t>
  </si>
  <si>
    <t>Bueiro metálico com chapas múltiplas MP 100 com revestimento em epóxi - D = 1,50 m - brita produzida</t>
  </si>
  <si>
    <t>0605705</t>
  </si>
  <si>
    <t>Bueiro metálico com chapas múltiplas MP 100 com revestimento em epóxi - D = 1,60 m - brita comercial</t>
  </si>
  <si>
    <t>0605617</t>
  </si>
  <si>
    <t>Bueiro metálico com chapas múltiplas MP 100 com revestimento em epóxi - D = 1,60 m - brita produzida</t>
  </si>
  <si>
    <t>0605706</t>
  </si>
  <si>
    <t>Bueiro metálico com chapas múltiplas MP 100 com revestimento em epóxi - D = 1,70 m - brita comercial</t>
  </si>
  <si>
    <t>0605618</t>
  </si>
  <si>
    <t>Bueiro metálico com chapas múltiplas MP 100 com revestimento em epóxi - D = 1,70 m - brita produzida</t>
  </si>
  <si>
    <t>0605707</t>
  </si>
  <si>
    <t>Bueiro metálico com chapas múltiplas MP 100 com revestimento em epóxi - D = 1,80 m - brita comercial</t>
  </si>
  <si>
    <t>0605619</t>
  </si>
  <si>
    <t>Bueiro metálico com chapas múltiplas MP 100 com revestimento em epóxi - D = 1,80 m - brita produzida</t>
  </si>
  <si>
    <t>0605708</t>
  </si>
  <si>
    <t>Bueiro metálico com chapas múltiplas MP 100 com revestimento em epóxi - D = 1,90 m - brita comercial</t>
  </si>
  <si>
    <t>0605620</t>
  </si>
  <si>
    <t>Bueiro metálico com chapas múltiplas MP 100 com revestimento em epóxi - D = 1,90 m - brita produzida</t>
  </si>
  <si>
    <t>0605709</t>
  </si>
  <si>
    <t>Bueiro metálico com chapas múltiplas MP 100 com revestimento em epóxi - D = 2,00 m - brita comercial</t>
  </si>
  <si>
    <t>0605621</t>
  </si>
  <si>
    <t>Bueiro metálico com chapas múltiplas MP 100 com revestimento em epóxi - D = 2,00 m - brita produzida</t>
  </si>
  <si>
    <t>0605710</t>
  </si>
  <si>
    <t>Bueiro metálico com chapas múltiplas MP 100 com revestimento em epóxi - D = 2,10 m - brita comercial</t>
  </si>
  <si>
    <t>0605622</t>
  </si>
  <si>
    <t>Bueiro metálico com chapas múltiplas MP 100 com revestimento em epóxi - D = 2,10 m - brita produzida</t>
  </si>
  <si>
    <t>0605711</t>
  </si>
  <si>
    <t>Bueiro metálico com chapas múltiplas MP 100 com revestimento em epóxi - D = 2,20 m - brita comercial</t>
  </si>
  <si>
    <t>0605623</t>
  </si>
  <si>
    <t>Bueiro metálico com chapas múltiplas MP 100 com revestimento em epóxi - D = 2,20 m - brita produzida</t>
  </si>
  <si>
    <t>0605712</t>
  </si>
  <si>
    <t>Bueiro metálico com chapas múltiplas MP 100 com revestimento em epóxi - D = 2,30 m - brita comercial</t>
  </si>
  <si>
    <t>0605624</t>
  </si>
  <si>
    <t>Bueiro metálico com chapas múltiplas MP 100 com revestimento em epóxi - D = 2,30 m - brita produzida</t>
  </si>
  <si>
    <t>0605713</t>
  </si>
  <si>
    <t>Bueiro metálico com chapas múltiplas MP 100 com revestimento em epóxi - D = 2,40 m - brita comercial</t>
  </si>
  <si>
    <t>0605625</t>
  </si>
  <si>
    <t>Bueiro metálico com chapas múltiplas MP 100 com revestimento em epóxi - D = 2,40 m - brita produzida</t>
  </si>
  <si>
    <t>0605714</t>
  </si>
  <si>
    <t>Bueiro metálico com chapas múltiplas MP 100 com revestimento em epóxi - D = 2,50 m - brita comercial</t>
  </si>
  <si>
    <t>0605626</t>
  </si>
  <si>
    <t>Bueiro metálico com chapas múltiplas MP 100 com revestimento em epóxi - D = 2,50 m - brita produzida</t>
  </si>
  <si>
    <t>0605715</t>
  </si>
  <si>
    <t>Bueiro metálico com chapas múltiplas MP 100 com revestimento em epóxi - D = 2,60 m - brita comercial</t>
  </si>
  <si>
    <t>0605627</t>
  </si>
  <si>
    <t>Bueiro metálico com chapas múltiplas MP 100 com revestimento em epóxi - D = 2,60 m - brita produzida</t>
  </si>
  <si>
    <t>0605716</t>
  </si>
  <si>
    <t>Bueiro metálico com chapas múltiplas MP 100 com revestimento em epóxi - D = 2,70 m - brita comercial</t>
  </si>
  <si>
    <t>0605628</t>
  </si>
  <si>
    <t>Bueiro metálico com chapas múltiplas MP 100 com revestimento em epóxi - D = 2,70 m - brita produzida</t>
  </si>
  <si>
    <t>0605717</t>
  </si>
  <si>
    <t>Bueiro metálico com chapas múltiplas MP 100 com revestimento em epóxi - D = 2,80 m - brita comercial</t>
  </si>
  <si>
    <t>0605629</t>
  </si>
  <si>
    <t>Bueiro metálico com chapas múltiplas MP 100 com revestimento em epóxi - D = 2,80 m - brita produzida</t>
  </si>
  <si>
    <t>0605651</t>
  </si>
  <si>
    <t>Bueiro metálico com chapas múltiplas MP 100 galvanizadas - D = 0,60 m - brita comercial</t>
  </si>
  <si>
    <t>0605460</t>
  </si>
  <si>
    <t>Bueiro metálico com chapas múltiplas MP 100 galvanizadas - D = 0,60 m - brita produzida</t>
  </si>
  <si>
    <t>0605652</t>
  </si>
  <si>
    <t>Bueiro metálico com chapas múltiplas MP 100 galvanizadas - D = 0,70 m - brita comercial</t>
  </si>
  <si>
    <t>0605461</t>
  </si>
  <si>
    <t>Bueiro metálico com chapas múltiplas MP 100 galvanizadas - D = 0,70 m - brita produzida</t>
  </si>
  <si>
    <t>0605653</t>
  </si>
  <si>
    <t>Bueiro metálico com chapas múltiplas MP 100 galvanizadas - D = 0,80 m - brita comercial</t>
  </si>
  <si>
    <t>0605462</t>
  </si>
  <si>
    <t>Bueiro metálico com chapas múltiplas MP 100 galvanizadas - D = 0,80 m - brita produzida</t>
  </si>
  <si>
    <t>0605654</t>
  </si>
  <si>
    <t>Bueiro metálico com chapas múltiplas MP 100 galvanizadas - D = 0,90 m - brita comercial</t>
  </si>
  <si>
    <t>0605463</t>
  </si>
  <si>
    <t>Bueiro metálico com chapas múltiplas MP 100 galvanizadas - D = 0,90 m - brita produzida</t>
  </si>
  <si>
    <t>0605655</t>
  </si>
  <si>
    <t>Bueiro metálico com chapas múltiplas MP 100 galvanizadas - D = 1,00 m - brita comercial</t>
  </si>
  <si>
    <t>0605464</t>
  </si>
  <si>
    <t>Bueiro metálico com chapas múltiplas MP 100 galvanizadas - D = 1,00 m - brita produzida</t>
  </si>
  <si>
    <t>0605656</t>
  </si>
  <si>
    <t>Bueiro metálico com chapas múltiplas MP 100 galvanizadas - D = 1,10 m - brita comercial</t>
  </si>
  <si>
    <t>0605465</t>
  </si>
  <si>
    <t>Bueiro metálico com chapas múltiplas MP 100 galvanizadas - D = 1,10 m - brita produzida</t>
  </si>
  <si>
    <t>0605657</t>
  </si>
  <si>
    <t>Bueiro metálico com chapas múltiplas MP 100 galvanizadas - D = 1,20 m - brita comercial</t>
  </si>
  <si>
    <t>0605466</t>
  </si>
  <si>
    <t>Bueiro metálico com chapas múltiplas MP 100 galvanizadas - D = 1,20 m - brita produzida</t>
  </si>
  <si>
    <t>0605658</t>
  </si>
  <si>
    <t>Bueiro metálico com chapas múltiplas MP 100 galvanizadas - D = 1,30 m - brita comercial</t>
  </si>
  <si>
    <t>0605467</t>
  </si>
  <si>
    <t>Bueiro metálico com chapas múltiplas MP 100 galvanizadas - D = 1,30 m - brita produzida</t>
  </si>
  <si>
    <t>0605659</t>
  </si>
  <si>
    <t>Bueiro metálico com chapas múltiplas MP 100 galvanizadas - D = 1,40 m - brita comercial</t>
  </si>
  <si>
    <t>0605468</t>
  </si>
  <si>
    <t>Bueiro metálico com chapas múltiplas MP 100 galvanizadas - D = 1,40 m - brita produzida</t>
  </si>
  <si>
    <t>0605660</t>
  </si>
  <si>
    <t>Bueiro metálico com chapas múltiplas MP 100 galvanizadas - D = 1,50 m - brita comercial</t>
  </si>
  <si>
    <t>0605469</t>
  </si>
  <si>
    <t>Bueiro metálico com chapas múltiplas MP 100 galvanizadas - D = 1,50 m - brita produzida</t>
  </si>
  <si>
    <t>0605661</t>
  </si>
  <si>
    <t>Bueiro metálico com chapas múltiplas MP 100 galvanizadas - D = 1,60 m - brita comercial</t>
  </si>
  <si>
    <t>0605470</t>
  </si>
  <si>
    <t>Bueiro metálico com chapas múltiplas MP 100 galvanizadas - D = 1,60 m - brita produzida</t>
  </si>
  <si>
    <t>0605662</t>
  </si>
  <si>
    <t>Bueiro metálico com chapas múltiplas MP 100 galvanizadas - D = 1,70 m - brita comercial</t>
  </si>
  <si>
    <t>0605471</t>
  </si>
  <si>
    <t>Bueiro metálico com chapas múltiplas MP 100 galvanizadas - D = 1,70 m - brita produzida</t>
  </si>
  <si>
    <t>0605663</t>
  </si>
  <si>
    <t>Bueiro metálico com chapas múltiplas MP 100 galvanizadas - D = 1,80 m - brita comercial</t>
  </si>
  <si>
    <t>0605472</t>
  </si>
  <si>
    <t>Bueiro metálico com chapas múltiplas MP 100 galvanizadas - D = 1,80 m - brita produzida</t>
  </si>
  <si>
    <t>0605664</t>
  </si>
  <si>
    <t>Bueiro metálico com chapas múltiplas MP 100 galvanizadas - D = 1,90 m - brita comercial</t>
  </si>
  <si>
    <t>0605473</t>
  </si>
  <si>
    <t>Bueiro metálico com chapas múltiplas MP 100 galvanizadas - D = 1,90 m - brita produzida</t>
  </si>
  <si>
    <t>0605665</t>
  </si>
  <si>
    <t>Bueiro metálico com chapas múltiplas MP 100 galvanizadas - D = 2,00 m - brita comercial</t>
  </si>
  <si>
    <t>0605474</t>
  </si>
  <si>
    <t>Bueiro metálico com chapas múltiplas MP 100 galvanizadas - D = 2,00 m - brita produzida</t>
  </si>
  <si>
    <t>0605666</t>
  </si>
  <si>
    <t>Bueiro metálico com chapas múltiplas MP 100 galvanizadas - D = 2,10 m - brita comercial</t>
  </si>
  <si>
    <t>0605475</t>
  </si>
  <si>
    <t>Bueiro metálico com chapas múltiplas MP 100 galvanizadas - D = 2,10 m - brita produzida</t>
  </si>
  <si>
    <t>0605667</t>
  </si>
  <si>
    <t>Bueiro metálico com chapas múltiplas MP 100 galvanizadas - D = 2,20 m - brita comercial</t>
  </si>
  <si>
    <t>0605476</t>
  </si>
  <si>
    <t>Bueiro metálico com chapas múltiplas MP 100 galvanizadas - D = 2,20 m - brita produzida</t>
  </si>
  <si>
    <t>0605668</t>
  </si>
  <si>
    <t>Bueiro metálico com chapas múltiplas MP 100 galvanizadas - D = 2,30 m - brita comercial</t>
  </si>
  <si>
    <t>0605477</t>
  </si>
  <si>
    <t>Bueiro metálico com chapas múltiplas MP 100 galvanizadas - D = 2,30 m - brita produzida</t>
  </si>
  <si>
    <t>0605669</t>
  </si>
  <si>
    <t>Bueiro metálico com chapas múltiplas MP 100 galvanizadas - D = 2,40 m - brita comercial</t>
  </si>
  <si>
    <t>0605478</t>
  </si>
  <si>
    <t>Bueiro metálico com chapas múltiplas MP 100 galvanizadas - D = 2,40 m - brita produzida</t>
  </si>
  <si>
    <t>0605670</t>
  </si>
  <si>
    <t>Bueiro metálico com chapas múltiplas MP 100 galvanizadas - D = 2,50 m - brita comercial</t>
  </si>
  <si>
    <t>0605479</t>
  </si>
  <si>
    <t>Bueiro metálico com chapas múltiplas MP 100 galvanizadas - D = 2,50 m - brita produzida</t>
  </si>
  <si>
    <t>0605671</t>
  </si>
  <si>
    <t>Bueiro metálico com chapas múltiplas MP 100 galvanizadas - D = 2,60 m - brita comercial</t>
  </si>
  <si>
    <t>0605480</t>
  </si>
  <si>
    <t>Bueiro metálico com chapas múltiplas MP 100 galvanizadas - D = 2,60 m - brita produzida</t>
  </si>
  <si>
    <t>0605672</t>
  </si>
  <si>
    <t>Bueiro metálico com chapas múltiplas MP 100 galvanizadas - D = 2,70 m - brita comercial</t>
  </si>
  <si>
    <t>0605481</t>
  </si>
  <si>
    <t>Bueiro metálico com chapas múltiplas MP 100 galvanizadas - D = 2,70 m - brita produzida</t>
  </si>
  <si>
    <t>0605673</t>
  </si>
  <si>
    <t>Bueiro metálico com chapas múltiplas MP 100 galvanizadas - D = 2,80 m - brita comercial</t>
  </si>
  <si>
    <t>0605482</t>
  </si>
  <si>
    <t>Bueiro metálico com chapas múltiplas MP 100 galvanizadas - D = 2,80 m - brita produzida</t>
  </si>
  <si>
    <t>0605718</t>
  </si>
  <si>
    <t>Bueiro metálico com chapas múltiplas MP 152 com revestimento em epóxi - D = 1,50 m - brita comercial</t>
  </si>
  <si>
    <t>0605630</t>
  </si>
  <si>
    <t>Bueiro metálico com chapas múltiplas MP 152 com revestimento em epóxi - D = 1,50 m - brita produzida</t>
  </si>
  <si>
    <t>0605719</t>
  </si>
  <si>
    <t>Bueiro metálico com chapas múltiplas MP 152 com revestimento em epóxi - D = 1,80 m - brita comercial</t>
  </si>
  <si>
    <t>0605631</t>
  </si>
  <si>
    <t>Bueiro metálico com chapas múltiplas MP 152 com revestimento em epóxi - D = 1,80 m - brita produzida</t>
  </si>
  <si>
    <t>0605720</t>
  </si>
  <si>
    <t>Bueiro metálico com chapas múltiplas MP 152 com revestimento em epóxi - D = 1,90 m - brita comercial</t>
  </si>
  <si>
    <t>0605632</t>
  </si>
  <si>
    <t>Bueiro metálico com chapas múltiplas MP 152 com revestimento em epóxi - D = 1,90 m - brita produzida</t>
  </si>
  <si>
    <t>0605721</t>
  </si>
  <si>
    <t>Bueiro metálico com chapas múltiplas MP 152 com revestimento em epóxi - D = 2,15 m - brita comercial</t>
  </si>
  <si>
    <t>0605633</t>
  </si>
  <si>
    <t>Bueiro metálico com chapas múltiplas MP 152 com revestimento em epóxi - D = 2,15 m - brita produzida</t>
  </si>
  <si>
    <t>0605722</t>
  </si>
  <si>
    <t>Bueiro metálico com chapas múltiplas MP 152 com revestimento em epóxi - D = 2,30 m - brita comercial</t>
  </si>
  <si>
    <t>0605634</t>
  </si>
  <si>
    <t>Bueiro metálico com chapas múltiplas MP 152 com revestimento em epóxi - D = 2,30 m - brita produzida</t>
  </si>
  <si>
    <t>0605723</t>
  </si>
  <si>
    <t>Bueiro metálico com chapas múltiplas MP 152 com revestimento em epóxi - D = 2,65 m - brita comercial</t>
  </si>
  <si>
    <t>0605635</t>
  </si>
  <si>
    <t>Bueiro metálico com chapas múltiplas MP 152 com revestimento em epóxi - D = 2,65 m - brita produzida</t>
  </si>
  <si>
    <t>0605724</t>
  </si>
  <si>
    <t>Bueiro metálico com chapas múltiplas MP 152 com revestimento em epóxi - D = 3,05 m - brita comercial</t>
  </si>
  <si>
    <t>0605636</t>
  </si>
  <si>
    <t>Bueiro metálico com chapas múltiplas MP 152 com revestimento em epóxi - D = 3,05 m - brita produzida</t>
  </si>
  <si>
    <t>0605725</t>
  </si>
  <si>
    <t>Bueiro metálico com chapas múltiplas MP 152 com revestimento em epóxi - D = 3,20 m - brita comercial</t>
  </si>
  <si>
    <t>0605637</t>
  </si>
  <si>
    <t>Bueiro metálico com chapas múltiplas MP 152 com revestimento em epóxi - D = 3,20 m - brita produzida</t>
  </si>
  <si>
    <t>0605726</t>
  </si>
  <si>
    <t>Bueiro metálico com chapas múltiplas MP 152 com revestimento em epóxi - D = 3,40 m - brita comercial</t>
  </si>
  <si>
    <t>0605638</t>
  </si>
  <si>
    <t>Bueiro metálico com chapas múltiplas MP 152 com revestimento em epóxi - D = 3,40 m - brita produzida</t>
  </si>
  <si>
    <t>0605727</t>
  </si>
  <si>
    <t>Bueiro metálico com chapas múltiplas MP 152 com revestimento em epóxi - D = 3,65 m - brita comercial</t>
  </si>
  <si>
    <t>0605639</t>
  </si>
  <si>
    <t>Bueiro metálico com chapas múltiplas MP 152 com revestimento em epóxi - D = 3,65 m - brita produzida</t>
  </si>
  <si>
    <t>0605728</t>
  </si>
  <si>
    <t>Bueiro metálico com chapas múltiplas MP 152 com revestimento em epóxi - D = 3,80 m - brita comercial</t>
  </si>
  <si>
    <t>0605640</t>
  </si>
  <si>
    <t>Bueiro metálico com chapas múltiplas MP 152 com revestimento em epóxi - D = 3,80 m - brita produzida</t>
  </si>
  <si>
    <t>0605729</t>
  </si>
  <si>
    <t>Bueiro metálico com chapas múltiplas MP 152 com revestimento em epóxi - D = 4,20 m - brita comercial</t>
  </si>
  <si>
    <t>0605641</t>
  </si>
  <si>
    <t>Bueiro metálico com chapas múltiplas MP 152 com revestimento em epóxi - D = 4,20 m - brita produzida</t>
  </si>
  <si>
    <t>0605730</t>
  </si>
  <si>
    <t>Bueiro metálico com chapas múltiplas MP 152 com revestimento em epóxi - D = 4,60 m - brita comercial</t>
  </si>
  <si>
    <t>0605642</t>
  </si>
  <si>
    <t>Bueiro metálico com chapas múltiplas MP 152 com revestimento em epóxi - D = 4,60 m - brita produzida</t>
  </si>
  <si>
    <t>0605731</t>
  </si>
  <si>
    <t>Bueiro metálico com chapas múltiplas MP 152 com revestimento em epóxi - D = 4,80 m - brita comercial</t>
  </si>
  <si>
    <t>0605643</t>
  </si>
  <si>
    <t>Bueiro metálico com chapas múltiplas MP 152 com revestimento em epóxi - D = 4,80 m - brita produzida</t>
  </si>
  <si>
    <t>0605732</t>
  </si>
  <si>
    <t>Bueiro metálico com chapas múltiplas MP 152 com revestimento em epóxi - D = 5,00 m - brita comercial</t>
  </si>
  <si>
    <t>0605644</t>
  </si>
  <si>
    <t>Bueiro metálico com chapas múltiplas MP 152 com revestimento em epóxi - D = 5,00 m - brita produzida</t>
  </si>
  <si>
    <t>0605733</t>
  </si>
  <si>
    <t>Bueiro metálico com chapas múltiplas MP 152 com revestimento em epóxi - D = 5,35 m - brita comercial</t>
  </si>
  <si>
    <t>0605645</t>
  </si>
  <si>
    <t>Bueiro metálico com chapas múltiplas MP 152 com revestimento em epóxi - D = 5,35 m - brita produzida</t>
  </si>
  <si>
    <t>0605734</t>
  </si>
  <si>
    <t>Bueiro metálico com chapas múltiplas MP 152 com revestimento em epóxi - D = 5,70 m - brita comercial</t>
  </si>
  <si>
    <t>0605646</t>
  </si>
  <si>
    <t>Bueiro metálico com chapas múltiplas MP 152 com revestimento em epóxi - D = 5,70 m - brita produzida</t>
  </si>
  <si>
    <t>0605735</t>
  </si>
  <si>
    <t>Bueiro metálico com chapas múltiplas MP 152 com revestimento em epóxi - D = 6,10 m - brita comercial</t>
  </si>
  <si>
    <t>0605647</t>
  </si>
  <si>
    <t>Bueiro metálico com chapas múltiplas MP 152 com revestimento em epóxi - D = 6,10 m - brita produzida</t>
  </si>
  <si>
    <t>0605736</t>
  </si>
  <si>
    <t>Bueiro metálico com chapas múltiplas MP 152 com revestimento em epóxi - D = 6,50 m - brita comercial</t>
  </si>
  <si>
    <t>0605648</t>
  </si>
  <si>
    <t>Bueiro metálico com chapas múltiplas MP 152 com revestimento em epóxi - D = 6,50 m - brita produzida</t>
  </si>
  <si>
    <t>0605737</t>
  </si>
  <si>
    <t>Bueiro metálico com chapas múltiplas MP 152 com revestimento em epóxi - D = 6,85 m - brita comercial</t>
  </si>
  <si>
    <t>0605649</t>
  </si>
  <si>
    <t>Bueiro metálico com chapas múltiplas MP 152 com revestimento em epóxi - D = 6,85 m - brita produzida</t>
  </si>
  <si>
    <t>0605738</t>
  </si>
  <si>
    <t>Bueiro metálico com chapas múltiplas MP 152 com revestimento em epóxi - D = 7,25 m - brita comercial</t>
  </si>
  <si>
    <t>0605650</t>
  </si>
  <si>
    <t>Bueiro metálico com chapas múltiplas MP 152 com revestimento em epóxi - D = 7,25 m - brita produzida</t>
  </si>
  <si>
    <t>0605674</t>
  </si>
  <si>
    <t>Bueiro metálico com chapas múltiplas MP 152 galvanizadas - D = 1,50 m - brita comercial</t>
  </si>
  <si>
    <t>0605483</t>
  </si>
  <si>
    <t>Bueiro metálico com chapas múltiplas MP 152 galvanizadas - D = 1,50 m - brita produzida</t>
  </si>
  <si>
    <t>0605675</t>
  </si>
  <si>
    <t>Bueiro metálico com chapas múltiplas MP 152 galvanizadas - D = 1,80 m - brita comercial</t>
  </si>
  <si>
    <t>0605484</t>
  </si>
  <si>
    <t>Bueiro metálico com chapas múltiplas MP 152 galvanizadas - D = 1,80 m - brita produzida</t>
  </si>
  <si>
    <t>0605676</t>
  </si>
  <si>
    <t>Bueiro metálico com chapas múltiplas MP 152 galvanizadas - D = 1,90 m - brita comercial</t>
  </si>
  <si>
    <t>0605485</t>
  </si>
  <si>
    <t>Bueiro metálico com chapas múltiplas MP 152 galvanizadas - D = 1,90 m - brita produzida</t>
  </si>
  <si>
    <t>0605677</t>
  </si>
  <si>
    <t>Bueiro metálico com chapas múltiplas MP 152 galvanizadas - D = 2,15 m - brita comercial</t>
  </si>
  <si>
    <t>0605486</t>
  </si>
  <si>
    <t>Bueiro metálico com chapas múltiplas MP 152 galvanizadas - D = 2,15 m - brita produzida</t>
  </si>
  <si>
    <t>0605678</t>
  </si>
  <si>
    <t>Bueiro metálico com chapas múltiplas MP 152 galvanizadas - D = 2,30 m - brita comercial</t>
  </si>
  <si>
    <t>0605487</t>
  </si>
  <si>
    <t>Bueiro metálico com chapas múltiplas MP 152 galvanizadas - D = 2,30 m - brita produzida</t>
  </si>
  <si>
    <t>0605679</t>
  </si>
  <si>
    <t>Bueiro metálico com chapas múltiplas MP 152 galvanizadas - D = 2,65 m - brita comercial</t>
  </si>
  <si>
    <t>0605488</t>
  </si>
  <si>
    <t>Bueiro metálico com chapas múltiplas MP 152 galvanizadas - D = 2,65 m - brita produzida</t>
  </si>
  <si>
    <t>0605680</t>
  </si>
  <si>
    <t>Bueiro metálico com chapas múltiplas MP 152 galvanizadas - D = 3,05 m - brita comercial</t>
  </si>
  <si>
    <t>0605489</t>
  </si>
  <si>
    <t>Bueiro metálico com chapas múltiplas MP 152 galvanizadas - D = 3,05 m - brita produzida</t>
  </si>
  <si>
    <t>0605681</t>
  </si>
  <si>
    <t>Bueiro metálico com chapas múltiplas MP 152 galvanizadas - D = 3,20 m - brita comercial</t>
  </si>
  <si>
    <t>0605490</t>
  </si>
  <si>
    <t>Bueiro metálico com chapas múltiplas MP 152 galvanizadas - D = 3,20 m - brita produzida</t>
  </si>
  <si>
    <t>0605682</t>
  </si>
  <si>
    <t>Bueiro metálico com chapas múltiplas MP 152 galvanizadas - D = 3,40 m - brita comercial</t>
  </si>
  <si>
    <t>0605491</t>
  </si>
  <si>
    <t>Bueiro metálico com chapas múltiplas MP 152 galvanizadas - D = 3,40 m - brita produzida</t>
  </si>
  <si>
    <t>0605683</t>
  </si>
  <si>
    <t>Bueiro metálico com chapas múltiplas MP 152 galvanizadas - D = 3,65 m - brita comercial</t>
  </si>
  <si>
    <t>0605492</t>
  </si>
  <si>
    <t>Bueiro metálico com chapas múltiplas MP 152 galvanizadas - D = 3,65 m - brita produzida</t>
  </si>
  <si>
    <t>0605684</t>
  </si>
  <si>
    <t>Bueiro metálico com chapas múltiplas MP 152 galvanizadas - D = 3,80 m - brita comercial</t>
  </si>
  <si>
    <t>0605493</t>
  </si>
  <si>
    <t>Bueiro metálico com chapas múltiplas MP 152 galvanizadas - D = 3,80 m - brita produzida</t>
  </si>
  <si>
    <t>0605685</t>
  </si>
  <si>
    <t>Bueiro metálico com chapas múltiplas MP 152 galvanizadas - D = 4,20 m - brita comercial</t>
  </si>
  <si>
    <t>0605494</t>
  </si>
  <si>
    <t>Bueiro metálico com chapas múltiplas MP 152 galvanizadas - D = 4,20 m - brita produzida</t>
  </si>
  <si>
    <t>0605686</t>
  </si>
  <si>
    <t>Bueiro metálico com chapas múltiplas MP 152 galvanizadas - D = 4,60 m - brita comercial</t>
  </si>
  <si>
    <t>0605495</t>
  </si>
  <si>
    <t>Bueiro metálico com chapas múltiplas MP 152 galvanizadas - D = 4,60 m - brita produzida</t>
  </si>
  <si>
    <t>0605687</t>
  </si>
  <si>
    <t>Bueiro metálico com chapas múltiplas MP 152 galvanizadas - D = 4,80 m - brita comercial</t>
  </si>
  <si>
    <t>0605496</t>
  </si>
  <si>
    <t>Bueiro metálico com chapas múltiplas MP 152 galvanizadas - D = 4,80 m - brita produzida</t>
  </si>
  <si>
    <t>0605688</t>
  </si>
  <si>
    <t>Bueiro metálico com chapas múltiplas MP 152 galvanizadas - D = 5,00 m - brita comercial</t>
  </si>
  <si>
    <t>0605497</t>
  </si>
  <si>
    <t>Bueiro metálico com chapas múltiplas MP 152 galvanizadas - D = 5,00 m - brita produzida</t>
  </si>
  <si>
    <t>0605689</t>
  </si>
  <si>
    <t>Bueiro metálico com chapas múltiplas MP 152 galvanizadas - D = 5,35 m - brita comercial</t>
  </si>
  <si>
    <t>0605498</t>
  </si>
  <si>
    <t>Bueiro metálico com chapas múltiplas MP 152 galvanizadas - D = 5,35 m - brita produzida</t>
  </si>
  <si>
    <t>0605690</t>
  </si>
  <si>
    <t>Bueiro metálico com chapas múltiplas MP 152 galvanizadas - D = 5,70 m - brita comercial</t>
  </si>
  <si>
    <t>0605499</t>
  </si>
  <si>
    <t>Bueiro metálico com chapas múltiplas MP 152 galvanizadas - D = 5,70 m - brita produzida</t>
  </si>
  <si>
    <t>0605691</t>
  </si>
  <si>
    <t>Bueiro metálico com chapas múltiplas MP 152 galvanizadas - D = 6,10 m - brita comercial</t>
  </si>
  <si>
    <t>0605500</t>
  </si>
  <si>
    <t>Bueiro metálico com chapas múltiplas MP 152 galvanizadas - D = 6,10 m - brita produzida</t>
  </si>
  <si>
    <t>0605692</t>
  </si>
  <si>
    <t>Bueiro metálico com chapas múltiplas MP 152 galvanizadas - D = 6,50 m - brita comercial</t>
  </si>
  <si>
    <t>0605501</t>
  </si>
  <si>
    <t>Bueiro metálico com chapas múltiplas MP 152 galvanizadas - D = 6,50 m - brita produzida</t>
  </si>
  <si>
    <t>0605693</t>
  </si>
  <si>
    <t>Bueiro metálico com chapas múltiplas MP 152 galvanizadas - D = 6,85 m - brita comercial</t>
  </si>
  <si>
    <t>0605502</t>
  </si>
  <si>
    <t>Bueiro metálico com chapas múltiplas MP 152 galvanizadas - D = 6,85 m - brita produzida</t>
  </si>
  <si>
    <t>0605694</t>
  </si>
  <si>
    <t>Bueiro metálico com chapas múltiplas MP 152 galvanizadas - D = 7,25 m - brita comercial</t>
  </si>
  <si>
    <t>0605503</t>
  </si>
  <si>
    <t>Bueiro metálico com chapas múltiplas MP 152 galvanizadas - D = 7,25 m - brita produzida</t>
  </si>
  <si>
    <t>0606433</t>
  </si>
  <si>
    <t>Bueiro metálico com chapas múltiplas MP 152 galvanizadas - lenticular - vão = 1,95 m e altura = 1,40 m - aterro rodoviário mínimo = 0,60 m e máximo = 8,40 m - brita comercial</t>
  </si>
  <si>
    <t>0606343</t>
  </si>
  <si>
    <t>Bueiro metálico com chapas múltiplas MP 152 galvanizadas - lenticular - vão = 1,95 m e altura = 1,40 m - aterro rodoviário mínimo = 0,60 m e máximo = 8,40 m - brita produzida</t>
  </si>
  <si>
    <t>0606434</t>
  </si>
  <si>
    <t>Bueiro metálico com chapas múltiplas MP 152 galvanizadas - lenticular - vão = 2,15 m e altura = 1,50 m - aterro rodoviário mínimo = 0,60 m e máximo = 7,50 m - brita comercial</t>
  </si>
  <si>
    <t>0606344</t>
  </si>
  <si>
    <t>Bueiro metálico com chapas múltiplas MP 152 galvanizadas - lenticular - vão = 2,15 m e altura = 1,50 m - aterro rodoviário mínimo = 0,60 m e máximo = 7,50 m - brita produzida</t>
  </si>
  <si>
    <t>0606435</t>
  </si>
  <si>
    <t>Bueiro metálico com chapas múltiplas MP 152 galvanizadas - lenticular - vão = 2,30 m e altura = 1,60 m - aterro rodoviário mínimo = 0,60 m e máximo = 7,20 m - brita comercial</t>
  </si>
  <si>
    <t>0606345</t>
  </si>
  <si>
    <t>Bueiro metálico com chapas múltiplas MP 152 galvanizadas - lenticular - vão = 2,30 m e altura = 1,60 m - aterro rodoviário mínimo = 0,60 m e máximo = 7,20 m - brita produzida</t>
  </si>
  <si>
    <t>0606436</t>
  </si>
  <si>
    <t>Bueiro metálico com chapas múltiplas MP 152 galvanizadas - lenticular - vão = 2,55 m e altura = 1,65 m - aterro rodoviário mínimo = 0,60 m e máximo = 6,50 m - brita comercial</t>
  </si>
  <si>
    <t>0606346</t>
  </si>
  <si>
    <t>Bueiro metálico com chapas múltiplas MP 152 galvanizadas - lenticular - vão = 2,55 m e altura = 1,65 m - aterro rodoviário mínimo = 0,60 m e máximo = 6,50 m - brita produzida</t>
  </si>
  <si>
    <t>0606437</t>
  </si>
  <si>
    <t>Bueiro metálico com chapas múltiplas MP 152 galvanizadas - lenticular - vão = 2,70 m e altura = 1,85 m - aterro rodoviário mínimo = 0,60 m e máximo = 6,60 m - brita comercial</t>
  </si>
  <si>
    <t>0606347</t>
  </si>
  <si>
    <t>Bueiro metálico com chapas múltiplas MP 152 galvanizadas - lenticular - vão = 2,70 m e altura = 1,85 m - aterro rodoviário mínimo = 0,60 m e máximo = 6,60 m - brita produzida</t>
  </si>
  <si>
    <t>0606438</t>
  </si>
  <si>
    <t>Bueiro metálico com chapas múltiplas MP 152 galvanizadas - lenticular - vão = 2,75 m e altura = 1,90 m - aterro rodoviário mínimo = 0,60 m e máximo = 6,50 m - brita comercial</t>
  </si>
  <si>
    <t>0606348</t>
  </si>
  <si>
    <t>Bueiro metálico com chapas múltiplas MP 152 galvanizadas - lenticular - vão = 2,75 m e altura = 1,90 m - aterro rodoviário mínimo = 0,60 m e máximo = 6,50 m - brita produzida</t>
  </si>
  <si>
    <t>0606439</t>
  </si>
  <si>
    <t>Bueiro metálico com chapas múltiplas MP 152 galvanizadas - lenticular - vão = 3,00 m e altura = 2,00 m - aterro rodoviário mínimo = 0,60 m e máximo = 6,00 m - brita comercial</t>
  </si>
  <si>
    <t>0606349</t>
  </si>
  <si>
    <t>Bueiro metálico com chapas múltiplas MP 152 galvanizadas - lenticular - vão = 3,00 m e altura = 2,00 m - aterro rodoviário mínimo = 0,60 m e máximo = 6,00 m - brita produzida</t>
  </si>
  <si>
    <t>0606440</t>
  </si>
  <si>
    <t>Bueiro metálico com chapas múltiplas MP 152 galvanizadas - lenticular - vão = 3,20 m e altura = 2,10 m - aterro rodoviário mínimo = 0,60 m e máximo = 5,60 m - brita comercial</t>
  </si>
  <si>
    <t>0606350</t>
  </si>
  <si>
    <t>Bueiro metálico com chapas múltiplas MP 152 galvanizadas - lenticular - vão = 3,20 m e altura = 2,10 m - aterro rodoviário mínimo = 0,60 m e máximo = 5,60 m - brita produzida</t>
  </si>
  <si>
    <t>0606441</t>
  </si>
  <si>
    <t>Bueiro metálico com chapas múltiplas MP 152 galvanizadas - lenticular - vão = 3,35 m e altura = 2,15 m - aterro rodoviário mínimo = 0,60 m e máximo = 5,30 m - brita comercial</t>
  </si>
  <si>
    <t>0606351</t>
  </si>
  <si>
    <t>Bueiro metálico com chapas múltiplas MP 152 galvanizadas - lenticular - vão = 3,35 m e altura = 2,15 m - aterro rodoviário mínimo = 0,60 m e máximo = 5,30 m - brita produzida</t>
  </si>
  <si>
    <t>0606442</t>
  </si>
  <si>
    <t>Bueiro metálico com chapas múltiplas MP 152 galvanizadas - lenticular - vão = 3,55 m e altura = 2,25 m - aterro rodoviário mínimo = 0,60 m e máximo = 5,00 m - brita comercial</t>
  </si>
  <si>
    <t>0606352</t>
  </si>
  <si>
    <t>Bueiro metálico com chapas múltiplas MP 152 galvanizadas - lenticular - vão = 3,55 m e altura = 2,25 m - aterro rodoviário mínimo = 0,60 m e máximo = 5,00 m - brita produzida</t>
  </si>
  <si>
    <t>0606443</t>
  </si>
  <si>
    <t>Bueiro metálico com chapas múltiplas MP 152 galvanizadas - lenticular - vão = 3,70 m e altura = 2,35 m - aterro rodoviário mínimo = 0,60 m e máximo = 4,90 m - brita comercial</t>
  </si>
  <si>
    <t>0606353</t>
  </si>
  <si>
    <t>Bueiro metálico com chapas múltiplas MP 152 galvanizadas - lenticular - vão = 3,70 m e altura = 2,35 m - aterro rodoviário mínimo = 0,60 m e máximo = 4,90 m - brita produzida</t>
  </si>
  <si>
    <t>0606444</t>
  </si>
  <si>
    <t>Bueiro metálico com chapas múltiplas MP 152 galvanizadas - lenticular - vão = 3,90 m e altura = 2,45 m - aterro rodoviário mínimo = 0,60 m e máximo = 4,60 m - brita comercial</t>
  </si>
  <si>
    <t>0606354</t>
  </si>
  <si>
    <t>Bueiro metálico com chapas múltiplas MP 152 galvanizadas - lenticular - vão = 3,90 m e altura = 2,45 m - aterro rodoviário mínimo = 0,60 m e máximo = 4,60 m - brita produzida</t>
  </si>
  <si>
    <t>0606445</t>
  </si>
  <si>
    <t>Bueiro metálico com chapas múltiplas MP 152 galvanizadas - lenticular - vão = 4,00 m e altura = 2,55 m - aterro rodoviário mínimo = 0,60 m e máximo = 4,50 m - brita comercial</t>
  </si>
  <si>
    <t>0606355</t>
  </si>
  <si>
    <t>Bueiro metálico com chapas múltiplas MP 152 galvanizadas - lenticular - vão = 4,00 m e altura = 2,55 m - aterro rodoviário mínimo = 0,60 m e máximo = 4,50 m - brita produzida</t>
  </si>
  <si>
    <t>0606446</t>
  </si>
  <si>
    <t>Bueiro metálico com chapas múltiplas MP 152 galvanizadas - lenticular - vão = 4,15 m e altura = 2,80 m - aterro rodoviário mínimo = 0,60 m e máximo = 6,80 m - brita comercial</t>
  </si>
  <si>
    <t>0606356</t>
  </si>
  <si>
    <t>Bueiro metálico com chapas múltiplas MP 152 galvanizadas - lenticular - vão = 4,15 m e altura = 2,80 m - aterro rodoviário mínimo = 0,60 m e máximo = 6,80 m - brita produzida</t>
  </si>
  <si>
    <t>0606447</t>
  </si>
  <si>
    <t>Bueiro metálico com chapas múltiplas MP 152 galvanizadas - lenticular - vão = 4,40 m e altura = 2,90 m - aterro rodoviário mínimo = 0,60 m e máximo = 6,40 m - brita comercial</t>
  </si>
  <si>
    <t>0606357</t>
  </si>
  <si>
    <t>Bueiro metálico com chapas múltiplas MP 152 galvanizadas - lenticular - vão = 4,40 m e altura = 2,90 m - aterro rodoviário mínimo = 0,60 m e máximo = 6,40 m - brita produzida</t>
  </si>
  <si>
    <t>0606448</t>
  </si>
  <si>
    <t>Bueiro metálico com chapas múltiplas MP 152 galvanizadas - lenticular - vão = 4,60 m e altura = 3,00 m - aterro rodoviário mínimo = 0,60 m e máximo = 6,10 m - brita comercial</t>
  </si>
  <si>
    <t>0606358</t>
  </si>
  <si>
    <t>Bueiro metálico com chapas múltiplas MP 152 galvanizadas - lenticular - vão = 4,60 m e altura = 3,00 m - aterro rodoviário mínimo = 0,60 m e máximo = 6,10 m - brita produzida</t>
  </si>
  <si>
    <t>0606449</t>
  </si>
  <si>
    <t>Bueiro metálico com chapas múltiplas MP 152 galvanizadas - lenticular - vão = 4,80 m e altura = 3,05 m - aterro rodoviário mínimo = 0,60 m e máximo = 5,80 m - brita comercial</t>
  </si>
  <si>
    <t>0606359</t>
  </si>
  <si>
    <t>Bueiro metálico com chapas múltiplas MP 152 galvanizadas - lenticular - vão = 4,80 m e altura = 3,05 m - aterro rodoviário mínimo = 0,60 m e máximo = 5,80 m - brita produzida</t>
  </si>
  <si>
    <t>0606450</t>
  </si>
  <si>
    <t>Bueiro metálico com chapas múltiplas MP 152 galvanizadas - lenticular - vão = 5,05 m e altura = 3,15 m - aterro rodoviário mínimo = 0,90 m e máximo = 5,50 m - brita comercial</t>
  </si>
  <si>
    <t>0606360</t>
  </si>
  <si>
    <t>Bueiro metálico com chapas múltiplas MP 152 galvanizadas - lenticular - vão = 5,05 m e altura = 3,15 m - aterro rodoviário mínimo = 0,90 m e máximo = 5,50 m - brita produzida</t>
  </si>
  <si>
    <t>0606451</t>
  </si>
  <si>
    <t>Bueiro metálico com chapas múltiplas MP 152 galvanizadas - lenticular - vão = 5,25 m e altura = 3,25 m - aterro rodoviário mínimo = 0,90 m e máximo = 5,30 m - brita comercial</t>
  </si>
  <si>
    <t>0606361</t>
  </si>
  <si>
    <t>Bueiro metálico com chapas múltiplas MP 152 galvanizadas - lenticular - vão = 5,25 m e altura = 3,25 m - aterro rodoviário mínimo = 0,90 m e máximo = 5,30 m - brita produzida</t>
  </si>
  <si>
    <t>0606452</t>
  </si>
  <si>
    <t>Bueiro metálico com chapas múltiplas MP 152 galvanizadas - lenticular - vão = 5,45 m e altura = 3,35 m - aterro rodoviário mínimo = 0,90 m e máximo = 5,10 m - brita comercial</t>
  </si>
  <si>
    <t>0606362</t>
  </si>
  <si>
    <t>Bueiro metálico com chapas múltiplas MP 152 galvanizadas - lenticular - vão = 5,45 m e altura = 3,35 m - aterro rodoviário mínimo = 0,90 m e máximo = 5,10 m - brita produzida</t>
  </si>
  <si>
    <t>0606453</t>
  </si>
  <si>
    <t>Bueiro metálico com chapas múltiplas MP 152 galvanizadas - lenticular - vão = 5,60 m e altura = 3,40 m - aterro rodoviário mínimo = 0,90 m e máximo = 4,90 m - brita comercial</t>
  </si>
  <si>
    <t>0606363</t>
  </si>
  <si>
    <t>Bueiro metálico com chapas múltiplas MP 152 galvanizadas - lenticular - vão = 5,60 m e altura = 3,40 m - aterro rodoviário mínimo = 0,90 m e máximo = 4,90 m - brita produzida</t>
  </si>
  <si>
    <t>0606454</t>
  </si>
  <si>
    <t>Bueiro metálico com chapas múltiplas MP 152 galvanizadas - lenticular - vão = 5,80 m e altura = 3,50 m - aterro rodoviário mínimo = 0,90 m e máximo = 4,70 m - brita comercial</t>
  </si>
  <si>
    <t>0606364</t>
  </si>
  <si>
    <t>Bueiro metálico com chapas múltiplas MP 152 galvanizadas - lenticular - vão = 5,80 m e altura = 3,50 m - aterro rodoviário mínimo = 0,90 m e máximo = 4,70 m - brita produzida</t>
  </si>
  <si>
    <t>0606455</t>
  </si>
  <si>
    <t>Bueiro metálico com chapas múltiplas MP 152 galvanizadas - lenticular - vão = 5,90 m e altura = 3,55 m - aterro rodoviário mínimo = 0,90 m e máximo = 4,70 m - brita comercial</t>
  </si>
  <si>
    <t>0606365</t>
  </si>
  <si>
    <t>Bueiro metálico com chapas múltiplas MP 152 galvanizadas - lenticular - vão = 5,90 m e altura = 3,55 m - aterro rodoviário mínimo = 0,90 m e máximo = 4,70 m - brita produzida</t>
  </si>
  <si>
    <t>0606456</t>
  </si>
  <si>
    <t>Bueiro metálico com chapas múltiplas MP 152 galvanizadas - lenticular - vão = 6,10 m e altura = 3,65 m - aterro rodoviário mínimo = 0,90 m e máximo = 4,50 m - brita comercial</t>
  </si>
  <si>
    <t>0606366</t>
  </si>
  <si>
    <t>Bueiro metálico com chapas múltiplas MP 152 galvanizadas - lenticular - vão = 6,10 m e altura = 3,65 m - aterro rodoviário mínimo = 0,90 m e máximo = 4,50 m - brita produzida</t>
  </si>
  <si>
    <t>0606457</t>
  </si>
  <si>
    <t>Bueiro metálico com chapas múltiplas MP 152 galvanizadas - lenticular - vão = 6,25 m e altura = 3,65 m - aterro rodoviário mínimo = 0,90 m e máximo = 4,30 m - brita comercial</t>
  </si>
  <si>
    <t>0606367</t>
  </si>
  <si>
    <t>Bueiro metálico com chapas múltiplas MP 152 galvanizadas - lenticular - vão = 6,25 m e altura = 3,65 m - aterro rodoviário mínimo = 0,90 m e máximo = 4,30 m - brita produzida</t>
  </si>
  <si>
    <t>0606458</t>
  </si>
  <si>
    <t>Bueiro metálico com chapas múltiplas MP 152 galvanizadas - lenticular - vão = 6,40 m e altura = 3,75 m - aterro rodoviário mínimo = 0,90 m e máximo = 4,30 m - brita comercial</t>
  </si>
  <si>
    <t>0606368</t>
  </si>
  <si>
    <t>Bueiro metálico com chapas múltiplas MP 152 galvanizadas - lenticular - vão = 6,40 m e altura = 3,75 m - aterro rodoviário mínimo = 0,90 m e máximo = 4,30 m - brita produzida</t>
  </si>
  <si>
    <t>0606459</t>
  </si>
  <si>
    <t>Bueiro metálico com chapas múltiplas MP 152 galvanizadas - lenticular - vão = 6,60 m e altura = 3,85 m - aterro rodoviário mínimo = 0,90 m e máximo = 4,10 m - brita comercial</t>
  </si>
  <si>
    <t>0606369</t>
  </si>
  <si>
    <t>Bueiro metálico com chapas múltiplas MP 152 galvanizadas - lenticular - vão = 6,60 m e altura = 3,85 m - aterro rodoviário mínimo = 0,90 m e máximo = 4,10 m - brita produzida</t>
  </si>
  <si>
    <t>0606479</t>
  </si>
  <si>
    <t>Bueiro metálico com chapas múltiplas MP 152 galvanizadas - passagem de gado - vão = 2,20 m e altura = 2,25 m -aterro rodoviário mínimo = 0,30 m e máximo = 8,90 m - brita comercial</t>
  </si>
  <si>
    <t>0606460</t>
  </si>
  <si>
    <t>Bueiro metálico com chapas múltiplas MP 152 galvanizadas - passagem de gado - vão = 2,20 m e altura = 2,25 m -aterro rodoviário mínimo = 0,30 m e máximo = 8,90 m - brita produzida</t>
  </si>
  <si>
    <t>0606480</t>
  </si>
  <si>
    <t>Bueiro metálico com chapas múltiplas MP 152 galvanizadas - passagem de gado - vão = 2,90 m e altura = 3,10 m - aterro rodoviário mínimo = 0,60 m e máximo = 11,40 m - brita comercial</t>
  </si>
  <si>
    <t>0606461</t>
  </si>
  <si>
    <t>Bueiro metálico com chapas múltiplas MP 152 galvanizadas - passagem de gado - vão = 2,90 m e altura = 3,10 m - aterro rodoviário mínimo = 0,60 m e máximo = 11,40 m - brita produzida</t>
  </si>
  <si>
    <t>0606481</t>
  </si>
  <si>
    <t>Bueiro metálico com chapas múltiplas MP 152 galvanizadas - passagem inferior - vão = 3,70 m e altura = 3,50 m - aterro rodoviário mínimo = 0,60 m e máximo = 10,30 m - brita comercial</t>
  </si>
  <si>
    <t>0606462</t>
  </si>
  <si>
    <t>Bueiro metálico com chapas múltiplas MP 152 galvanizadas - passagem inferior - vão = 3,70 m e altura = 3,50 m - aterro rodoviário mínimo = 0,60 m e máximo = 10,30 m - brita produzida</t>
  </si>
  <si>
    <t>0606482</t>
  </si>
  <si>
    <t>Bueiro metálico com chapas múltiplas MP 152 galvanizadas - passagem inferior - vão = 3,90 m e altura = 3,60 m - aterro rodoviário mínimo = 0,60 m e máximo = 9,80 m - brita comercial</t>
  </si>
  <si>
    <t>0606463</t>
  </si>
  <si>
    <t>Bueiro metálico com chapas múltiplas MP 152 galvanizadas - passagem inferior - vão = 3,90 m e altura = 3,60 m - aterro rodoviário mínimo = 0,60 m e máximo = 9,80 m - brita produzida</t>
  </si>
  <si>
    <t>0606483</t>
  </si>
  <si>
    <t>Bueiro metálico com chapas múltiplas MP 152 galvanizadas - passagem inferior - vão = 4,00 m e altura = 3,75 m - aterro rodoviário mínimo = 0,60 m e máximo = 9,50 m - brita comercial</t>
  </si>
  <si>
    <t>0606464</t>
  </si>
  <si>
    <t>Bueiro metálico com chapas múltiplas MP 152 galvanizadas - passagem inferior - vão = 4,00 m e altura = 3,75 m - aterro rodoviário mínimo = 0,60 m e máximo = 9,50 m - brita produzida</t>
  </si>
  <si>
    <t>0606484</t>
  </si>
  <si>
    <t>Bueiro metálico com chapas múltiplas MP 152 galvanizadas - passagem inferior - vão = 4,20 m e altura = 3,90 m - aterro rodoviário mínimo = 0,60 m e máximo = 9,10 m - brita comercial</t>
  </si>
  <si>
    <t>0606465</t>
  </si>
  <si>
    <t>Bueiro metálico com chapas múltiplas MP 152 galvanizadas - passagem inferior - vão = 4,20 m e altura = 3,90 m - aterro rodoviário mínimo = 0,60 m e máximo = 9,10 m - brita produzida</t>
  </si>
  <si>
    <t>0606485</t>
  </si>
  <si>
    <t>Bueiro metálico com chapas múltiplas MP 152 galvanizadas - passagem inferior - vão = 4,25 m e altura = 4,10 m - aterro rodoviário mínimo = 0,60 m e máximo = 8,90 m - brita comercial</t>
  </si>
  <si>
    <t>0606466</t>
  </si>
  <si>
    <t>Bueiro metálico com chapas múltiplas MP 152 galvanizadas - passagem inferior - vão = 4,25 m e altura = 4,10 m - aterro rodoviário mínimo = 0,60 m e máximo = 8,90 m - brita produzida</t>
  </si>
  <si>
    <t>0606486</t>
  </si>
  <si>
    <t>Bueiro metálico com chapas múltiplas MP 152 galvanizadas - passagem inferior - vão = 4,40 m e altura = 4,25 m - aterro rodoviário mínimo = 0,60 m e máximo = 8,60 m - brita comercial</t>
  </si>
  <si>
    <t>0606467</t>
  </si>
  <si>
    <t>Bueiro metálico com chapas múltiplas MP 152 galvanizadas - passagem inferior - vão = 4,40 m e altura = 4,25 m - aterro rodoviário mínimo = 0,60 m e máximo = 8,60 m - brita produzida</t>
  </si>
  <si>
    <t>0606487</t>
  </si>
  <si>
    <t>Bueiro metálico com chapas múltiplas MP 152 galvanizadas - passagem inferior - vão = 4,50 m e altura = 4,40 m - aterro rodoviário mínimo = 0,60 m e máximo = 8,40 m - brita comercial</t>
  </si>
  <si>
    <t>0606468</t>
  </si>
  <si>
    <t>Bueiro metálico com chapas múltiplas MP 152 galvanizadas - passagem inferior - vão = 4,50 m e altura = 4,40 m - aterro rodoviário mínimo = 0,60 m e máximo = 8,40 m - brita produzida</t>
  </si>
  <si>
    <t>0606488</t>
  </si>
  <si>
    <t>Bueiro metálico com chapas múltiplas MP 152 galvanizadas - passagem inferior - vão = 4,70 m e altura = 4,50 m - aterro rodoviário mínimo = 0,60 m e máximo = 8,90 m - brita comercial</t>
  </si>
  <si>
    <t>0606469</t>
  </si>
  <si>
    <t>Bueiro metálico com chapas múltiplas MP 152 galvanizadas - passagem inferior - vão = 4,70 m e altura = 4,50 m - aterro rodoviário mínimo = 0,60 m e máximo = 8,90 m - brita produzida</t>
  </si>
  <si>
    <t>0606489</t>
  </si>
  <si>
    <t>Bueiro metálico com chapas múltiplas MP 152 galvanizadas - passagem inferior - vão = 4,80 m e altura = 4,75 m - aterro rodoviário mínimo = 0,90 m e máximo = 9,00 m - brita comercial</t>
  </si>
  <si>
    <t>0606470</t>
  </si>
  <si>
    <t>Bueiro metálico com chapas múltiplas MP 152 galvanizadas - passagem inferior - vão = 4,80 m e altura = 4,75 m - aterro rodoviário mínimo = 0,90 m e máximo = 9,00 m - brita produzida</t>
  </si>
  <si>
    <t>0606490</t>
  </si>
  <si>
    <t>Bueiro metálico com chapas múltiplas MP 152 galvanizadas - passagem inferior - vão = 5,00 m e altura = 4,85 m - aterro rodoviário mínimo = 0,90 m e máximo = 8,60 m - brita comercial</t>
  </si>
  <si>
    <t>0606471</t>
  </si>
  <si>
    <t>Bueiro metálico com chapas múltiplas MP 152 galvanizadas - passagem inferior - vão = 5,00 m e altura = 4,85 m - aterro rodoviário mínimo = 0,90 m e máximo = 8,60 m - brita produzida</t>
  </si>
  <si>
    <t>0606491</t>
  </si>
  <si>
    <t>Bueiro metálico com chapas múltiplas MP 152 galvanizadas - passagem inferior - vão = 5,15 m e altura = 4,90 m - aterro rodoviário mínimo = 0,90 m e máximo = 8,50 m - brita comercial</t>
  </si>
  <si>
    <t>0606472</t>
  </si>
  <si>
    <t>Bueiro metálico com chapas múltiplas MP 152 galvanizadas - passagem inferior - vão = 5,15 m e altura = 4,90 m - aterro rodoviário mínimo = 0,90 m e máximo = 8,50 m - brita produzida</t>
  </si>
  <si>
    <t>0606492</t>
  </si>
  <si>
    <t>Bueiro metálico com chapas múltiplas MP 152 galvanizadas - passagem inferior - vão = 5,25 m e altura = 5,00 m - aterro rodoviário mínimo = 0,90 m e máximo = 8,40 m - brita comercial</t>
  </si>
  <si>
    <t>0606473</t>
  </si>
  <si>
    <t>Bueiro metálico com chapas múltiplas MP 152 galvanizadas - passagem inferior - vão = 5,25 m e altura = 5,00 m - aterro rodoviário mínimo = 0,90 m e máximo = 8,40 m - brita produzida</t>
  </si>
  <si>
    <t>0606493</t>
  </si>
  <si>
    <t>Bueiro metálico com chapas múltiplas MP 152 galvanizadas - passagem inferior - vão = 5,30 m e altura = 5,30 m - aterro rodoviário mínimo = 0,90 m e máximo = 9,60 m - brita comercial</t>
  </si>
  <si>
    <t>0606474</t>
  </si>
  <si>
    <t>Bueiro metálico com chapas múltiplas MP 152 galvanizadas - passagem inferior - vão = 5,30 m e altura = 5,30 m - aterro rodoviário mínimo = 0,90 m e máximo = 9,60 m - brita produzida</t>
  </si>
  <si>
    <t>0606494</t>
  </si>
  <si>
    <t>Bueiro metálico com chapas múltiplas MP 152 galvanizadas - passagem inferior - vão = 5,65 m e altura = 5,25 m - aterro rodoviário mínimo = 0,90 m e máximo = 9,00 m - brita comercial</t>
  </si>
  <si>
    <t>0606475</t>
  </si>
  <si>
    <t>Bueiro metálico com chapas múltiplas MP 152 galvanizadas - passagem inferior - vão = 5,65 m e altura = 5,25 m - aterro rodoviário mínimo = 0,90 m e máximo = 9,00 m - brita produzida</t>
  </si>
  <si>
    <t>0606495</t>
  </si>
  <si>
    <t>Bueiro metálico com chapas múltiplas MP 152 galvanizadas - passagem inferior - vão = 5,85 m e altura = 5,30 m - aterro rodoviário mínimo = 0,90 m e máximo = 8,40 m - brita comercial</t>
  </si>
  <si>
    <t>0606476</t>
  </si>
  <si>
    <t>Bueiro metálico com chapas múltiplas MP 152 galvanizadas - passagem inferior - vão = 5,85 m e altura = 5,30 m - aterro rodoviário mínimo = 0,90 m e máximo = 8,40 m - brita produzida</t>
  </si>
  <si>
    <t>0606496</t>
  </si>
  <si>
    <t>Bueiro metálico com chapas múltiplas MP 152 galvanizadas - passagem inferior - vão = 6,00 m e altura = 5,45 m - aterro rodoviário mínimo = 0,90 m e máximo = 8,30 m - brita comercial</t>
  </si>
  <si>
    <t>0606477</t>
  </si>
  <si>
    <t>Bueiro metálico com chapas múltiplas MP 152 galvanizadas - passagem inferior - vão = 6,00 m e altura = 5,45 m - aterro rodoviário mínimo = 0,90 m e máximo = 8,30 m - brita produzida</t>
  </si>
  <si>
    <t>0606497</t>
  </si>
  <si>
    <t>Bueiro metálico com chapas múltiplas MP 152 galvanizadas - passagem inferior - vão = 6,25 m e altura = 5,50 m - aterro rodoviário mínimo = 0,90 m e máximo = 7,90 m - brita comercial</t>
  </si>
  <si>
    <t>0606478</t>
  </si>
  <si>
    <t>Bueiro metálico com chapas múltiplas MP 152 galvanizadas - passagem inferior - vão = 6,25 m e altura = 5,50 m - aterro rodoviário mínimo = 0,90 m e máximo = 7,90 m - brita produzida</t>
  </si>
  <si>
    <t>0605835</t>
  </si>
  <si>
    <t>Bueiro metálico sem interrupção de tráfego - D = 1,20 m - chapa com epóxi - escavado em material de 1ª categoria - aterro ferroviário máximo = 12,90 m</t>
  </si>
  <si>
    <t>0605571</t>
  </si>
  <si>
    <t>Bueiro metálico sem interrupção de tráfego - D = 1,20 m - chapa com epóxi - escavado em material de 1ª categoria - aterro rodoviário máximo = 9,00 m</t>
  </si>
  <si>
    <t>0605850</t>
  </si>
  <si>
    <t>Bueiro metálico sem interrupção de tráfego - D = 1,20 m - chapa com epóxi - escavado em material de 2ª categoria - aterro ferroviário máximo = 12,90 m</t>
  </si>
  <si>
    <t>0605582</t>
  </si>
  <si>
    <t>Bueiro metálico sem interrupção de tráfego - D = 1,20 m - chapa com epóxi - escavado em material de 2ª categoria - aterro rodoviário máximo = 9,00 m</t>
  </si>
  <si>
    <t>0605889</t>
  </si>
  <si>
    <t>Bueiro metálico sem interrupção de tráfego - D = 1,20 m - chapa com epóxi - escavado em material de 3ª categoria - aterro ferroviário máximo = 12,90 m</t>
  </si>
  <si>
    <t>0605593</t>
  </si>
  <si>
    <t>Bueiro metálico sem interrupção de tráfego - D = 1,20 m - chapa com epóxi - escavado em material de 3ª categoria - aterro rodoviário máximo = 9,00 m</t>
  </si>
  <si>
    <t>0605739</t>
  </si>
  <si>
    <t>Bueiro metálico sem interrupção de tráfego - D = 1,20 m - chapa galvanizada - escavado em material de 1ª categoria - aterro ferroviário máximo = 12,90 m</t>
  </si>
  <si>
    <t>0605504</t>
  </si>
  <si>
    <t>Bueiro metálico sem interrupção de tráfego - D = 1,20 m - chapa galvanizada - escavado em material de 1ª categoria - aterro rodoviário máximo = 9,00 m</t>
  </si>
  <si>
    <t>0605781</t>
  </si>
  <si>
    <t>Bueiro metálico sem interrupção de tráfego - D = 1,20 m - chapa galvanizada - escavado em material de 2ª categoria - aterro ferroviário máximo = 12,90 m</t>
  </si>
  <si>
    <t>0605524</t>
  </si>
  <si>
    <t>Bueiro metálico sem interrupção de tráfego - D = 1,20 m - chapa galvanizada - escavado em material de 2ª categoria - aterro rodoviário máximo = 9,00 m</t>
  </si>
  <si>
    <t>0605815</t>
  </si>
  <si>
    <t>Bueiro metálico sem interrupção de tráfego - D = 1,20 m - chapa galvanizada - escavado em material de 3ª categoria - aterro ferroviário máximo = 12,90 m</t>
  </si>
  <si>
    <t>0605544</t>
  </si>
  <si>
    <t>Bueiro metálico sem interrupção de tráfego - D = 1,20 m - chapa galvanizada - escavado em material de 3ª categoria - aterro rodoviário máximo = 9,00 m</t>
  </si>
  <si>
    <t>0605836</t>
  </si>
  <si>
    <t>Bueiro metálico sem interrupção de tráfego - D = 1,40 m - chapa com epóxi - escavado em material de 1ª categoria - aterro ferroviário máximo = 11,00 m</t>
  </si>
  <si>
    <t>0605572</t>
  </si>
  <si>
    <t>Bueiro metálico sem interrupção de tráfego - D = 1,40 m - chapa com epóxi - escavado em material de 1ª categoria - aterro rodoviário máximo = 7,70 m</t>
  </si>
  <si>
    <t>0605851</t>
  </si>
  <si>
    <t>Bueiro metálico sem interrupção de tráfego - D = 1,40 m - chapa com epóxi - escavado em material de 2ª categoria - aterro ferroviário máximo = 11,00 m</t>
  </si>
  <si>
    <t>0605583</t>
  </si>
  <si>
    <t>Bueiro metálico sem interrupção de tráfego - D = 1,40 m - chapa com epóxi - escavado em material de 2ª categoria - aterro rodoviário máximo = 7,70 m</t>
  </si>
  <si>
    <t>0605890</t>
  </si>
  <si>
    <t>Bueiro metálico sem interrupção de tráfego - D = 1,40 m - chapa com epóxi - escavado em material de 3ª categoria - aterro ferroviário máximo = 11,00 m</t>
  </si>
  <si>
    <t>0605594</t>
  </si>
  <si>
    <t>Bueiro metálico sem interrupção de tráfego - D = 1,40 m - chapa com epóxi - escavado em material de 3ª categoria - aterro rodoviário máximo = 7,70 m</t>
  </si>
  <si>
    <t>0605740</t>
  </si>
  <si>
    <t>Bueiro metálico sem interrupção de tráfego - D = 1,40 m - chapa galvanizada - escavado em material de 1ª categoria - aterro ferroviário máximo = 11,00 m</t>
  </si>
  <si>
    <t>0605505</t>
  </si>
  <si>
    <t>Bueiro metálico sem interrupção de tráfego - D = 1,40 m - chapa galvanizada - escavado em material de 1ª categoria - aterro rodoviário máximo = 7,70 m</t>
  </si>
  <si>
    <t>0605782</t>
  </si>
  <si>
    <t>Bueiro metálico sem interrupção de tráfego - D = 1,40 m - chapa galvanizada - escavado em material de 2ª categoria - aterro ferroviário máximo = 11,00 m</t>
  </si>
  <si>
    <t>0605525</t>
  </si>
  <si>
    <t>Bueiro metálico sem interrupção de tráfego - D = 1,40 m - chapa galvanizada - escavado em material de 2ª categoria - aterro rodoviário máximo = 7,70 m</t>
  </si>
  <si>
    <t>0605816</t>
  </si>
  <si>
    <t>Bueiro metálico sem interrupção de tráfego - D = 1,40 m - chapa galvanizada - escavado em material de 3ª categoria - aterro ferroviário máximo = 11,00 m</t>
  </si>
  <si>
    <t>0605545</t>
  </si>
  <si>
    <t>Bueiro metálico sem interrupção de tráfego - D = 1,40 m - chapa galvanizada - escavado em material de 3ª categoria - aterro rodoviário máximo = 7,70 m</t>
  </si>
  <si>
    <t>0605837</t>
  </si>
  <si>
    <t>Bueiro metálico sem interrupção de tráfego - D = 1,60 m - chapa com epóxi - escavado em material de 1ª categoria - aterro ferroviário máximo = 9,60 m</t>
  </si>
  <si>
    <t>0605573</t>
  </si>
  <si>
    <t>Bueiro metálico sem interrupção de tráfego - D = 1,60 m - chapa com epóxi - escavado em material de 1ª categoria - aterro rodoviário máximo = 6,70 m</t>
  </si>
  <si>
    <t>0605852</t>
  </si>
  <si>
    <t>Bueiro metálico sem interrupção de tráfego - D = 1,60 m - chapa com epóxi - escavado em material de 2ª categoria - aterro ferroviário máximo = 9,60 m</t>
  </si>
  <si>
    <t>0605584</t>
  </si>
  <si>
    <t>Bueiro metálico sem interrupção de tráfego - D = 1,60 m - chapa com epóxi - escavado em material de 2ª categoria - aterro rodoviário máximo = 6,70 m</t>
  </si>
  <si>
    <t>0605891</t>
  </si>
  <si>
    <t>Bueiro metálico sem interrupção de tráfego - D = 1,60 m - chapa com epóxi - escavado em material de 3ª categoria - aterro ferroviário máximo = 9,60 m</t>
  </si>
  <si>
    <t>0605595</t>
  </si>
  <si>
    <t>Bueiro metálico sem interrupção de tráfego - D = 1,60 m - chapa com epóxi - escavado em material de 3ª categoria - aterro rodoviário máximo = 6,70 m</t>
  </si>
  <si>
    <t>0605741</t>
  </si>
  <si>
    <t>Bueiro metálico sem interrupção de tráfego - D = 1,60 m - chapa galvanizada - escavado em material de 1ª categoria - aterro ferroviário máximo = 9,60 m</t>
  </si>
  <si>
    <t>0605506</t>
  </si>
  <si>
    <t>Bueiro metálico sem interrupção de tráfego - D = 1,60 m - chapa galvanizada - escavado em material de 1ª categoria - aterro rodoviário máximo = 6,70 m</t>
  </si>
  <si>
    <t>0605783</t>
  </si>
  <si>
    <t>Bueiro metálico sem interrupção de tráfego - D = 1,60 m - chapa galvanizada - escavado em material de 2ª categoria - aterro ferroviário máximo = 9,60 m</t>
  </si>
  <si>
    <t>0605526</t>
  </si>
  <si>
    <t>Bueiro metálico sem interrupção de tráfego - D = 1,60 m - chapa galvanizada - escavado em material de 2ª categoria - aterro rodoviário máximo = 6,70 m</t>
  </si>
  <si>
    <t>0605817</t>
  </si>
  <si>
    <t>Bueiro metálico sem interrupção de tráfego - D = 1,60 m - chapa galvanizada - escavado em material de 3ª categoria - aterro ferroviário máximo = 9,60 m</t>
  </si>
  <si>
    <t>0605546</t>
  </si>
  <si>
    <t>Bueiro metálico sem interrupção de tráfego - D = 1,60 m - chapa galvanizada - escavado em material de 3ª categoria - aterro rodoviário máximo = 6,70 m</t>
  </si>
  <si>
    <t>0605838</t>
  </si>
  <si>
    <t>Bueiro metálico sem interrupção de tráfego - D = 1,80 m - chapa com epóxi - escavado em material de 1ª categoria - aterro ferroviário máximo = 8,00 m</t>
  </si>
  <si>
    <t>0605574</t>
  </si>
  <si>
    <t>Bueiro metálico sem interrupção de tráfego - D = 1,80 m - chapa com epóxi - escavado em material de 1ª categoria - aterro rodoviário máximo = 6,00 m</t>
  </si>
  <si>
    <t>0605853</t>
  </si>
  <si>
    <t>Bueiro metálico sem interrupção de tráfego - D = 1,80 m - chapa com epóxi - escavado em material de 2ª categoria - aterro ferroviário máximo = 8,00 m</t>
  </si>
  <si>
    <t>0605585</t>
  </si>
  <si>
    <t>Bueiro metálico sem interrupção de tráfego - D = 1,80 m - chapa com epóxi - escavado em material de 2ª categoria - aterro rodoviário máximo = 6,00 m</t>
  </si>
  <si>
    <t>0605892</t>
  </si>
  <si>
    <t>Bueiro metálico sem interrupção de tráfego - D = 1,80 m - chapa com epóxi - escavado em material de 3ª categoria - aterro ferroviário máximo = 8,00 m</t>
  </si>
  <si>
    <t>0605596</t>
  </si>
  <si>
    <t>Bueiro metálico sem interrupção de tráfego - D = 1,80 m - chapa com epóxi - escavado em material de 3ª categoria - aterro rodoviário máximo = 6,00 m</t>
  </si>
  <si>
    <t>0605742</t>
  </si>
  <si>
    <t>Bueiro metálico sem interrupção de tráfego - D = 1,80 m - chapa galvanizada - escavado em material de 1ª categoria - aterro ferroviário máximo = 8,00 m</t>
  </si>
  <si>
    <t>0605507</t>
  </si>
  <si>
    <t>Bueiro metálico sem interrupção de tráfego - D = 1,80 m - chapa galvanizada - escavado em material de 1ª categoria - aterro rodoviário máximo = 6,00 m</t>
  </si>
  <si>
    <t>0605784</t>
  </si>
  <si>
    <t>Bueiro metálico sem interrupção de tráfego - D = 1,80 m - chapa galvanizada - escavado em material de 2ª categoria - aterro ferroviário máximo = 8,00 m</t>
  </si>
  <si>
    <t>0605527</t>
  </si>
  <si>
    <t>Bueiro metálico sem interrupção de tráfego - D = 1,80 m - chapa galvanizada - escavado em material de 2ª categoria - aterro rodoviário máximo = 6,00 m</t>
  </si>
  <si>
    <t>0605818</t>
  </si>
  <si>
    <t>Bueiro metálico sem interrupção de tráfego - D = 1,80 m - chapa galvanizada - escavado em material de 3ª categoria - aterro ferroviário máximo = 8,00 m</t>
  </si>
  <si>
    <t>0605547</t>
  </si>
  <si>
    <t>Bueiro metálico sem interrupção de tráfego - D = 1,80 m - chapa galvanizada - escavado em material de 3ª categoria - aterro rodoviário máximo = 6,00 m</t>
  </si>
  <si>
    <t>0605839</t>
  </si>
  <si>
    <t>Bueiro metálico sem interrupção de tráfego - D = 2,00 m - chapa com epóxi - escavado em material de 1ª categoria - aterro ferroviário máximo = 6,90 m</t>
  </si>
  <si>
    <t>0605575</t>
  </si>
  <si>
    <t>Bueiro metálico sem interrupção de tráfego - D = 2,00 m - chapa com epóxi - escavado em material de 1ª categoria - aterro rodoviário máximo = 5,40 m</t>
  </si>
  <si>
    <t>0605854</t>
  </si>
  <si>
    <t>Bueiro metálico sem interrupção de tráfego - D = 2,00 m - chapa com epóxi - escavado em material de 2ª categoria - aterro ferroviário máximo = 6,90 m</t>
  </si>
  <si>
    <t>0605586</t>
  </si>
  <si>
    <t>Bueiro metálico sem interrupção de tráfego - D = 2,00 m - chapa com epóxi - escavado em material de 2ª categoria - aterro rodoviário máximo = 5,40 m</t>
  </si>
  <si>
    <t>0605893</t>
  </si>
  <si>
    <t>Bueiro metálico sem interrupção de tráfego - D = 2,00 m - chapa com epóxi - escavado em material de 3ª categoria - aterro ferroviário máximo = 6,90 m</t>
  </si>
  <si>
    <t>0605597</t>
  </si>
  <si>
    <t>Bueiro metálico sem interrupção de tráfego - D = 2,00 m - chapa com epóxi - escavado em material de 3ª categoria - aterro rodoviário máximo = 5,40 m</t>
  </si>
  <si>
    <t>0605743</t>
  </si>
  <si>
    <t>Bueiro metálico sem interrupção de tráfego - D = 2,00 m - chapa galvanizada - escavado em material de 1ª categoria - aterro ferroviário máximo = 6,90 m</t>
  </si>
  <si>
    <t>0605508</t>
  </si>
  <si>
    <t>Bueiro metálico sem interrupção de tráfego - D = 2,00 m - chapa galvanizada - escavado em material de 1ª categoria - aterro rodoviário máximo = 5,40 m</t>
  </si>
  <si>
    <t>0605785</t>
  </si>
  <si>
    <t>Bueiro metálico sem interrupção de tráfego - D = 2,00 m - chapa galvanizada - escavado em material de 2ª categoria - aterro ferroviário máximo = 6,90 m</t>
  </si>
  <si>
    <t>0605528</t>
  </si>
  <si>
    <t>Bueiro metálico sem interrupção de tráfego - D = 2,00 m - chapa galvanizada - escavado em material de 2ª categoria - aterro rodoviário máximo = 5,40 m</t>
  </si>
  <si>
    <t>0605819</t>
  </si>
  <si>
    <t>Bueiro metálico sem interrupção de tráfego - D = 2,00 m - chapa galvanizada - escavado em material de 3ª categoria - aterro ferroviário máximo = 6,90 m</t>
  </si>
  <si>
    <t>0605548</t>
  </si>
  <si>
    <t>Bueiro metálico sem interrupção de tráfego - D = 2,00 m - chapa galvanizada - escavado em material de 3ª categoria - aterro rodoviário máximo = 5,40 m</t>
  </si>
  <si>
    <t>0605840</t>
  </si>
  <si>
    <t>Bueiro metálico sem interrupção de tráfego - D = 2,20 m - chapa com epóxi - escavado em material de 1ª categoria - aterro ferroviário máximo = 7,90 m</t>
  </si>
  <si>
    <t>0605576</t>
  </si>
  <si>
    <t>Bueiro metálico sem interrupção de tráfego - D = 2,20 m - chapa com epóxi - escavado em material de 1ª categoria - aterro rodoviário máximo = 4,90 m</t>
  </si>
  <si>
    <t>0605855</t>
  </si>
  <si>
    <t>Bueiro metálico sem interrupção de tráfego - D = 2,20 m - chapa com epóxi - escavado em material de 2ª categoria - aterro ferroviário máximo = 7,90 m</t>
  </si>
  <si>
    <t>0605587</t>
  </si>
  <si>
    <t>Bueiro metálico sem interrupção de tráfego - D = 2,20 m - chapa com epóxi - escavado em material de 2ª categoria - aterro rodoviário máximo = 4,90 m</t>
  </si>
  <si>
    <t>0605898</t>
  </si>
  <si>
    <t>Bueiro metálico sem interrupção de tráfego - D = 2,20 m - chapa com epóxi - escavado em material de 3ª categoria - aterro ferroviário máximo = 7,90 m</t>
  </si>
  <si>
    <t>0605598</t>
  </si>
  <si>
    <t>Bueiro metálico sem interrupção de tráfego - D = 2,20 m - chapa com epóxi - escavado em material de 3ª categoria - aterro rodoviário máximo = 4,90 m</t>
  </si>
  <si>
    <t>0605744</t>
  </si>
  <si>
    <t>Bueiro metálico sem interrupção de tráfego - D = 2,20 m - chapa galvanizada - escavado em material de 1ª categoria - aterro ferroviário máximo = 7,90 m</t>
  </si>
  <si>
    <t>0605509</t>
  </si>
  <si>
    <t>Bueiro metálico sem interrupção de tráfego - D = 2,20 m - chapa galvanizada - escavado em material de 1ª categoria - aterro rodoviário máximo = 4,90 m</t>
  </si>
  <si>
    <t>0605787</t>
  </si>
  <si>
    <t>Bueiro metálico sem interrupção de tráfego - D = 2,20 m - chapa galvanizada - escavado em material de 2ª categoria - aterro ferroviário máximo = 7,90 m</t>
  </si>
  <si>
    <t>0605529</t>
  </si>
  <si>
    <t>Bueiro metálico sem interrupção de tráfego - D = 2,20 m - chapa galvanizada - escavado em material de 2ª categoria - aterro rodoviário máximo = 4,90 m</t>
  </si>
  <si>
    <t>0605820</t>
  </si>
  <si>
    <t>Bueiro metálico sem interrupção de tráfego - D = 2,20 m - chapa galvanizada - escavado em material de 3ª categoria - aterro ferroviário máximo = 7,90 m</t>
  </si>
  <si>
    <t>0605549</t>
  </si>
  <si>
    <t>Bueiro metálico sem interrupção de tráfego - D = 2,20 m - chapa galvanizada - escavado em material de 3ª categoria - aterro rodoviário máximo = 4,90 m</t>
  </si>
  <si>
    <t>0605841</t>
  </si>
  <si>
    <t>Bueiro metálico sem interrupção de tráfego - D = 2,40 m - chapa com epóxi - escavado em material de 1ª categoria - aterro ferroviário máximo = 7,00 m</t>
  </si>
  <si>
    <t>0605577</t>
  </si>
  <si>
    <t>Bueiro metálico sem interrupção de tráfego - D = 2,40 m - chapa com epóxi - escavado em material de 1ª categoria - aterro rodoviário máximo = 4,50 m</t>
  </si>
  <si>
    <t>0605856</t>
  </si>
  <si>
    <t>Bueiro metálico sem interrupção de tráfego - D = 2,40 m - chapa com epóxi - escavado em material de 2ª categoria - aterro ferroviário máximo = 7,00 m</t>
  </si>
  <si>
    <t>0605588</t>
  </si>
  <si>
    <t>Bueiro metálico sem interrupção de tráfego - D = 2,40 m - chapa com epóxi - escavado em material de 2ª categoria - aterro rodoviário máximo = 4,50 m</t>
  </si>
  <si>
    <t>0605899</t>
  </si>
  <si>
    <t>Bueiro metálico sem interrupção de tráfego - D = 2,40 m - chapa com epóxi - escavado em material de 3ª categoria - aterro ferroviário máximo = 7,00 m</t>
  </si>
  <si>
    <t>0605599</t>
  </si>
  <si>
    <t>Bueiro metálico sem interrupção de tráfego - D = 2,40 m - chapa com epóxi - escavado em material de 3ª categoria - aterro rodoviário máximo = 4,50 m</t>
  </si>
  <si>
    <t>0605745</t>
  </si>
  <si>
    <t>Bueiro metálico sem interrupção de tráfego - D = 2,40 m - chapa galvanizada - escavado em material de 1ª categoria - aterro ferroviário máximo = 7,00 m</t>
  </si>
  <si>
    <t>0605510</t>
  </si>
  <si>
    <t>Bueiro metálico sem interrupção de tráfego - D = 2,40 m - chapa galvanizada - escavado em material de 1ª categoria - aterro rodoviário máximo = 4,50 m</t>
  </si>
  <si>
    <t>0605788</t>
  </si>
  <si>
    <t>Bueiro metálico sem interrupção de tráfego - D = 2,40 m - chapa galvanizada - escavado em material de 2ª categoria - aterro ferroviário máximo = 7,00 m</t>
  </si>
  <si>
    <t>0605530</t>
  </si>
  <si>
    <t>Bueiro metálico sem interrupção de tráfego - D = 2,40 m - chapa galvanizada - escavado em material de 2ª categoria - aterro rodoviário máximo = 4,50 m</t>
  </si>
  <si>
    <t>0605821</t>
  </si>
  <si>
    <t>Bueiro metálico sem interrupção de tráfego - D = 2,40 m - chapa galvanizada - escavado em material de 3ª categoria - aterro ferroviário máximo = 7,00 m</t>
  </si>
  <si>
    <t>0605550</t>
  </si>
  <si>
    <t>Bueiro metálico sem interrupção de tráfego - D = 2,40 m - chapa galvanizada - escavado em material de 3ª categoria - aterro rodoviário máximo = 4,50 m</t>
  </si>
  <si>
    <t>0605842</t>
  </si>
  <si>
    <t>Bueiro metálico sem interrupção de tráfego - D = 2,60 m - chapa com epóxi - escavado em material de 1ª categoria - aterro ferroviário máximo = 6,40 m</t>
  </si>
  <si>
    <t>0605578</t>
  </si>
  <si>
    <t>Bueiro metálico sem interrupção de tráfego - D = 2,60 m - chapa com epóxi - escavado em material de 1ª categoria - aterro rodoviário máximo = 4,10 m</t>
  </si>
  <si>
    <t>0605857</t>
  </si>
  <si>
    <t>Bueiro metálico sem interrupção de tráfego - D = 2,60 m - chapa com epóxi - escavado em material de 2ª categoria - aterro ferroviário máximo = 6,40 m</t>
  </si>
  <si>
    <t>0605589</t>
  </si>
  <si>
    <t>Bueiro metálico sem interrupção de tráfego - D = 2,60 m - chapa com epóxi - escavado em material de 2ª categoria - aterro rodoviário máximo = 4,10 m</t>
  </si>
  <si>
    <t>0605900</t>
  </si>
  <si>
    <t>Bueiro metálico sem interrupção de tráfego - D = 2,60 m - chapa com epóxi - escavado em material de 3ª categoria - aterro ferroviário máximo = 6,40 m</t>
  </si>
  <si>
    <t>0605600</t>
  </si>
  <si>
    <t>Bueiro metálico sem interrupção de tráfego - D = 2,60 m - chapa com epóxi - escavado em material de 3ª categoria - aterro rodoviário máximo = 4,10 m</t>
  </si>
  <si>
    <t>0605746</t>
  </si>
  <si>
    <t>Bueiro metálico sem interrupção de tráfego - D = 2,60 m - chapa galvanizada - escavado em material de 1ª categoria - aterro ferroviário máximo = 6,40 m</t>
  </si>
  <si>
    <t>0605511</t>
  </si>
  <si>
    <t>Bueiro metálico sem interrupção de tráfego - D = 2,60 m - chapa galvanizada - escavado em material de 1ª categoria - aterro rodoviário máximo = 4,10 m</t>
  </si>
  <si>
    <t>0605789</t>
  </si>
  <si>
    <t>Bueiro metálico sem interrupção de tráfego - D = 2,60 m - chapa galvanizada - escavado em material de 2ª categoria - aterro ferroviário máximo = 6,40 m</t>
  </si>
  <si>
    <t>0605531</t>
  </si>
  <si>
    <t>Bueiro metálico sem interrupção de tráfego - D = 2,60 m - chapa galvanizada - escavado em material de 2ª categoria - aterro rodoviário máximo = 4,10 m</t>
  </si>
  <si>
    <t>0605822</t>
  </si>
  <si>
    <t>Bueiro metálico sem interrupção de tráfego - D = 2,60 m - chapa galvanizada - escavado em material de 3ª categoria - aterro ferroviário máximo = 6,40 m</t>
  </si>
  <si>
    <t>0605551</t>
  </si>
  <si>
    <t>Bueiro metálico sem interrupção de tráfego - D = 2,60 m - chapa galvanizada - escavado em material de 3ª categoria - aterro rodoviário máximo = 4,10 m</t>
  </si>
  <si>
    <t>0605843</t>
  </si>
  <si>
    <t>Bueiro metálico sem interrupção de tráfego - D = 2,80 m - chapa com epóxi - escavado em material de 1ª categoria - aterro ferroviário máximo = 5,50 m</t>
  </si>
  <si>
    <t>0605579</t>
  </si>
  <si>
    <t>Bueiro metálico sem interrupção de tráfego - D = 2,80 m - chapa com epóxi - escavado em material de 1ª categoria - aterro rodoviário máximo = 3,80 m</t>
  </si>
  <si>
    <t>0605858</t>
  </si>
  <si>
    <t>Bueiro metálico sem interrupção de tráfego - D = 2,80 m - chapa com epóxi - escavado em material de 2ª categoria - aterro ferroviário máximo = 5,50 m</t>
  </si>
  <si>
    <t>0605590</t>
  </si>
  <si>
    <t>Bueiro metálico sem interrupção de tráfego - D = 2,80 m - chapa com epóxi - escavado em material de 2ª categoria - aterro rodoviário máximo = 3,80 m</t>
  </si>
  <si>
    <t>0605901</t>
  </si>
  <si>
    <t>Bueiro metálico sem interrupção de tráfego - D = 2,80 m - chapa com epóxi - escavado em material de 3ª categoria - aterro ferroviário máximo = 5,50 m</t>
  </si>
  <si>
    <t>0605601</t>
  </si>
  <si>
    <t>Bueiro metálico sem interrupção de tráfego - D = 2,80 m - chapa com epóxi - escavado em material de 3ª categoria - aterro rodoviário máximo = 3,80 m</t>
  </si>
  <si>
    <t>0605747</t>
  </si>
  <si>
    <t>Bueiro metálico sem interrupção de tráfego - D = 2,80 m - chapa galvanizada - escavado em material de 1ª categoria - aterro ferroviário máximo = 5,50 m</t>
  </si>
  <si>
    <t>0605512</t>
  </si>
  <si>
    <t>Bueiro metálico sem interrupção de tráfego - D = 2,80 m - chapa galvanizada - escavado em material de 1ª categoria - aterro rodoviário máximo = 3,80 m</t>
  </si>
  <si>
    <t>0605790</t>
  </si>
  <si>
    <t>Bueiro metálico sem interrupção de tráfego - D = 2,80 m - chapa galvanizada - escavado em material de 2ª categoria - aterro ferroviário máximo = 5,50 m</t>
  </si>
  <si>
    <t>0605532</t>
  </si>
  <si>
    <t>Bueiro metálico sem interrupção de tráfego - D = 2,80 m - chapa galvanizada - escavado em material de 2ª categoria - aterro rodoviário máximo = 3,80 m</t>
  </si>
  <si>
    <t>0605823</t>
  </si>
  <si>
    <t>Bueiro metálico sem interrupção de tráfego - D = 2,80 m - chapa galvanizada - escavado em material de 3ª categoria - aterro ferroviário máximo = 5,50 m</t>
  </si>
  <si>
    <t>0605552</t>
  </si>
  <si>
    <t>Bueiro metálico sem interrupção de tráfego - D = 2,80 m - chapa galvanizada - escavado em material de 3ª categoria - aterro rodoviário máximo = 3,80 m</t>
  </si>
  <si>
    <t>0605844</t>
  </si>
  <si>
    <t>Bueiro metálico sem interrupção de tráfego - D = 3,00 m - chapa com epóxi - escavado em material de 1ª categoria - aterro ferroviário máximo = 4,70 m</t>
  </si>
  <si>
    <t>0605580</t>
  </si>
  <si>
    <t>Bueiro metálico sem interrupção de tráfego - D = 3,00 m - chapa com epóxi - escavado em material de 1ª categoria - aterro rodoviário máximo = 3,60 m</t>
  </si>
  <si>
    <t>0605887</t>
  </si>
  <si>
    <t>Bueiro metálico sem interrupção de tráfego - D = 3,00 m - chapa com epóxi - escavado em material de 2ª categoria - aterro ferroviário máximo = 4,70 m</t>
  </si>
  <si>
    <t>0605591</t>
  </si>
  <si>
    <t>Bueiro metálico sem interrupção de tráfego - D = 3,00 m - chapa com epóxi - escavado em material de 2ª categoria - aterro rodoviário máximo = 3,60 m</t>
  </si>
  <si>
    <t>0605902</t>
  </si>
  <si>
    <t>Bueiro metálico sem interrupção de tráfego - D = 3,00 m - chapa com epóxi - escavado em material de 3ª categoria - aterro ferroviário máximo = 4,70 m</t>
  </si>
  <si>
    <t>0605602</t>
  </si>
  <si>
    <t>Bueiro metálico sem interrupção de tráfego - D = 3,00 m - chapa com epóxi - escavado em material de 3ª categoria - aterro rodoviário máximo = 3,60 m</t>
  </si>
  <si>
    <t>0605748</t>
  </si>
  <si>
    <t>Bueiro metálico sem interrupção de tráfego - D = 3,00 m - chapa galvanizada - escavado em material de 1ª categoria - aterro ferroviário máximo = 4,70 m</t>
  </si>
  <si>
    <t>0605513</t>
  </si>
  <si>
    <t>Bueiro metálico sem interrupção de tráfego - D = 3,00 m - chapa galvanizada - escavado em material de 1ª categoria - aterro rodoviário máximo = 3,60 m</t>
  </si>
  <si>
    <t>0605804</t>
  </si>
  <si>
    <t>Bueiro metálico sem interrupção de tráfego - D = 3,00 m - chapa galvanizada - escavado em material de 2ª categoria - aterro ferroviário máximo = 4,70 m</t>
  </si>
  <si>
    <t>0605533</t>
  </si>
  <si>
    <t>Bueiro metálico sem interrupção de tráfego - D = 3,00 m - chapa galvanizada - escavado em material de 2ª categoria - aterro rodoviário máximo = 3,60 m</t>
  </si>
  <si>
    <t>0605824</t>
  </si>
  <si>
    <t>Bueiro metálico sem interrupção de tráfego - D = 3,00 m - chapa galvanizada - escavado em material de 3ª categoria - aterro ferroviário máximo = 4,70 m</t>
  </si>
  <si>
    <t>0605553</t>
  </si>
  <si>
    <t>Bueiro metálico sem interrupção de tráfego - D = 3,00 m - chapa galvanizada - escavado em material de 3ª categoria - aterro rodoviário máximo = 3,60 m</t>
  </si>
  <si>
    <t>0605845</t>
  </si>
  <si>
    <t>Bueiro metálico sem interrupção de tráfego - D = 3,20 m - chapa com epóxi - escavado em material de 1ª categoria - aterro ferroviário máximo = 4,00 m</t>
  </si>
  <si>
    <t>0605581</t>
  </si>
  <si>
    <t>Bueiro metálico sem interrupção de tráfego - D = 3,20 m - chapa com epóxi - escavado em material de 1ª categoria - aterro rodoviário máximo = 4,80 m</t>
  </si>
  <si>
    <t>0605888</t>
  </si>
  <si>
    <t>Bueiro metálico sem interrupção de tráfego - D = 3,20 m - chapa com epóxi - escavado em material de 2ª categoria - aterro ferroviário máximo = 4,00 m</t>
  </si>
  <si>
    <t>0605592</t>
  </si>
  <si>
    <t>Bueiro metálico sem interrupção de tráfego - D = 3,20 m - chapa com epóxi - escavado em material de 2ª categoria - aterro rodoviário máximo = 4,80 m</t>
  </si>
  <si>
    <t>0605903</t>
  </si>
  <si>
    <t>Bueiro metálico sem interrupção de tráfego - D = 3,20 m - chapa com epóxi - escavado em material de 3ª categoria - aterro ferroviário máximo = 4,00 m</t>
  </si>
  <si>
    <t>0605603</t>
  </si>
  <si>
    <t>Bueiro metálico sem interrupção de tráfego - D = 3,20 m - chapa com epóxi - escavado em material de 3ª categoria - aterro rodoviário máximo = 4,80 m</t>
  </si>
  <si>
    <t>0605771</t>
  </si>
  <si>
    <t>Bueiro metálico sem interrupção de tráfego - D = 3,20 m - chapa galvanizada - escavado em material de 1ª categoria - aterro ferroviário máximo = 4,00 m</t>
  </si>
  <si>
    <t>0605514</t>
  </si>
  <si>
    <t>Bueiro metálico sem interrupção de tráfego - D = 3,20 m - chapa galvanizada - escavado em material de 1ª categoria - aterro rodoviário máximo = 4,80 m</t>
  </si>
  <si>
    <t>0605805</t>
  </si>
  <si>
    <t>Bueiro metálico sem interrupção de tráfego - D = 3,20 m - chapa galvanizada - escavado em material de 2ª categoria - aterro ferroviário máximo = 4,00 m</t>
  </si>
  <si>
    <t>0605534</t>
  </si>
  <si>
    <t>Bueiro metálico sem interrupção de tráfego - D = 3,20 m - chapa galvanizada - escavado em material de 2ª categoria - aterro rodoviário máximo = 4,80 m</t>
  </si>
  <si>
    <t>0605825</t>
  </si>
  <si>
    <t>Bueiro metálico sem interrupção de tráfego - D = 3,20 m - chapa galvanizada - escavado em material de 3ª categoria - aterro ferroviário máximo = 4,00 m</t>
  </si>
  <si>
    <t>0605554</t>
  </si>
  <si>
    <t>Bueiro metálico sem interrupção de tráfego - D = 3,20 m - chapa galvanizada - escavado em material de 3ª categoria - aterro rodoviário máximo = 4,80 m</t>
  </si>
  <si>
    <t>0605772</t>
  </si>
  <si>
    <t>Bueiro metálico sem interrupção de tráfego - D = 3,40 m - chapa galvanizada - escavado em material de 1ª categoria - aterro ferroviário máximo = 7,00 m</t>
  </si>
  <si>
    <t>0605515</t>
  </si>
  <si>
    <t>Bueiro metálico sem interrupção de tráfego - D = 3,40 m - chapa galvanizada - escavado em material de 1ª categoria - aterro rodoviário máximo = 4,50 m</t>
  </si>
  <si>
    <t>0605806</t>
  </si>
  <si>
    <t>Bueiro metálico sem interrupção de tráfego - D = 3,40 m - chapa galvanizada - escavado em material de 2ª categoria - aterro ferroviário máximo = 7,00 m</t>
  </si>
  <si>
    <t>0605535</t>
  </si>
  <si>
    <t>Bueiro metálico sem interrupção de tráfego - D = 3,40 m - chapa galvanizada - escavado em material de 2ª categoria - aterro rodoviário máximo = 4,50 m</t>
  </si>
  <si>
    <t>0605826</t>
  </si>
  <si>
    <t>Bueiro metálico sem interrupção de tráfego - D = 3,40 m - chapa galvanizada - escavado em material de 3ª categoria - aterro ferroviário máximo = 7,00 m</t>
  </si>
  <si>
    <t>0605555</t>
  </si>
  <si>
    <t>Bueiro metálico sem interrupção de tráfego - D = 3,40 m - chapa galvanizada - escavado em material de 3ª categoria - aterro rodoviário máximo = 4,50 m</t>
  </si>
  <si>
    <t>0605773</t>
  </si>
  <si>
    <t>Bueiro metálico sem interrupção de tráfego - D = 3,60 m - chapa galvanizada - escavado em material de 1ª categoria - aterro ferroviário máximo = 6,60 m</t>
  </si>
  <si>
    <t>0605516</t>
  </si>
  <si>
    <t>Bueiro metálico sem interrupção de tráfego - D = 3,60 m - chapa galvanizada - escavado em material de 1ª categoria - aterro rodoviário máximo = 4,30 m</t>
  </si>
  <si>
    <t>0605807</t>
  </si>
  <si>
    <t>Bueiro metálico sem interrupção de tráfego - D = 3,60 m - chapa galvanizada - escavado em material de 2ª categoria - aterro ferroviário máximo = 6,60 m</t>
  </si>
  <si>
    <t>0605536</t>
  </si>
  <si>
    <t>Bueiro metálico sem interrupção de tráfego - D = 3,60 m - chapa galvanizada - escavado em material de 2ª categoria - aterro rodoviário máximo = 4,30 m</t>
  </si>
  <si>
    <t>0605827</t>
  </si>
  <si>
    <t>Bueiro metálico sem interrupção de tráfego - D = 3,60 m - chapa galvanizada - escavado em material de 3ª categoria - aterro ferroviário máximo = 6,60 m</t>
  </si>
  <si>
    <t>0605556</t>
  </si>
  <si>
    <t>Bueiro metálico sem interrupção de tráfego - D = 3,60 m - chapa galvanizada - escavado em material de 3ª categoria - aterro rodoviário máximo = 4,30 m</t>
  </si>
  <si>
    <t>0605774</t>
  </si>
  <si>
    <t>Bueiro metálico sem interrupção de tráfego - D = 3,80 m - chapa galvanizada - escavado em material de 1ª categoria - aterro ferroviário máximo = 6,20 m</t>
  </si>
  <si>
    <t>0605517</t>
  </si>
  <si>
    <t>Bueiro metálico sem interrupção de tráfego - D = 3,80 m - chapa galvanizada - escavado em material de 1ª categoria - aterro rodoviário máximo = 4,00 m</t>
  </si>
  <si>
    <t>0605808</t>
  </si>
  <si>
    <t>Bueiro metálico sem interrupção de tráfego - D = 3,80 m - chapa galvanizada - escavado em material de 2ª categoria - aterro ferroviário máximo = 6,20 m</t>
  </si>
  <si>
    <t>0605537</t>
  </si>
  <si>
    <t>Bueiro metálico sem interrupção de tráfego - D = 3,80 m - chapa galvanizada - escavado em material de 2ª categoria - aterro rodoviário máximo = 4,00 m</t>
  </si>
  <si>
    <t>0605828</t>
  </si>
  <si>
    <t>Bueiro metálico sem interrupção de tráfego - D = 3,80 m - chapa galvanizada - escavado em material de 3ª categoria - aterro ferroviário máximo = 6,20 m</t>
  </si>
  <si>
    <t>0605557</t>
  </si>
  <si>
    <t>Bueiro metálico sem interrupção de tráfego - D = 3,80 m - chapa galvanizada - escavado em material de 3ª categoria - aterro rodoviário máximo = 4,00 m</t>
  </si>
  <si>
    <t>0605775</t>
  </si>
  <si>
    <t>Bueiro metálico sem interrupção de tráfego - D = 4,00 m - chapa galvanizada - escavado em material de 1ª categoria - aterro ferroviário máximo = 5,10 m</t>
  </si>
  <si>
    <t>0605518</t>
  </si>
  <si>
    <t>Bueiro metálico sem interrupção de tráfego - D = 4,00 m - chapa galvanizada - escavado em material de 1ª categoria - aterro rodoviário máximo = 3,10 m</t>
  </si>
  <si>
    <t>0605809</t>
  </si>
  <si>
    <t>Bueiro metálico sem interrupção de tráfego - D = 4,00 m - chapa galvanizada - escavado em material de 2ª categoria - aterro ferroviário máximo = 5,10 m</t>
  </si>
  <si>
    <t>0605538</t>
  </si>
  <si>
    <t>Bueiro metálico sem interrupção de tráfego - D = 4,00 m - chapa galvanizada - escavado em material de 2ª categoria - aterro rodoviário máximo = 3,10 m</t>
  </si>
  <si>
    <t>0605829</t>
  </si>
  <si>
    <t>Bueiro metálico sem interrupção de tráfego - D = 4,00 m - chapa galvanizada - escavado em material de 3ª categoria - aterro ferroviário máximo = 5,10 m</t>
  </si>
  <si>
    <t>0605558</t>
  </si>
  <si>
    <t>Bueiro metálico sem interrupção de tráfego - D = 4,00 m - chapa galvanizada - escavado em material de 3ª categoria - aterro rodoviário máximo = 3,10 m</t>
  </si>
  <si>
    <t>0605776</t>
  </si>
  <si>
    <t>Bueiro metálico sem interrupção de tráfego - D = 4,20 m - chapa galvanizada - escavado em material de 1ª categoria - aterro ferroviário máximo = 4,80 m</t>
  </si>
  <si>
    <t>0605519</t>
  </si>
  <si>
    <t>Bueiro metálico sem interrupção de tráfego - D = 4,20 m - chapa galvanizada - escavado em material de 1ª categoria - aterro rodoviário máximo = 4,40 m</t>
  </si>
  <si>
    <t>0605810</t>
  </si>
  <si>
    <t>Bueiro metálico sem interrupção de tráfego - D = 4,20 m - chapa galvanizada - escavado em material de 2ª categoria - aterro ferroviário máximo = 4,80 m</t>
  </si>
  <si>
    <t>0605539</t>
  </si>
  <si>
    <t>Bueiro metálico sem interrupção de tráfego - D = 4,20 m - chapa galvanizada - escavado em material de 2ª categoria - aterro rodoviário máximo = 4,40 m</t>
  </si>
  <si>
    <t>0605830</t>
  </si>
  <si>
    <t>Bueiro metálico sem interrupção de tráfego - D = 4,20 m - chapa galvanizada - escavado em material de 3ª categoria - aterro ferroviário máximo = 4,80 m</t>
  </si>
  <si>
    <t>0605559</t>
  </si>
  <si>
    <t>Bueiro metálico sem interrupção de tráfego - D = 4,20 m - chapa galvanizada - escavado em material de 3ª categoria - aterro rodoviário máximo = 4,40 m</t>
  </si>
  <si>
    <t>0605777</t>
  </si>
  <si>
    <t>Bueiro metálico sem interrupção de tráfego - D = 4,40 m - chapa galvanizada - escavado em material de 1ª categoria - aterro ferroviário máximo = 4,20 m</t>
  </si>
  <si>
    <t>0605520</t>
  </si>
  <si>
    <t>Bueiro metálico sem interrupção de tráfego - D = 4,40 m - chapa galvanizada - escavado em material de 1ª categoria - aterro rodoviário máximo = 4,20 m</t>
  </si>
  <si>
    <t>0605811</t>
  </si>
  <si>
    <t>Bueiro metálico sem interrupção de tráfego - D = 4,40 m - chapa galvanizada - escavado em material de 2ª categoria - aterro ferroviário máximo = 4,20 m</t>
  </si>
  <si>
    <t>0605540</t>
  </si>
  <si>
    <t>Bueiro metálico sem interrupção de tráfego - D = 4,40 m - chapa galvanizada - escavado em material de 2ª categoria - aterro rodoviário máximo = 4,20 m</t>
  </si>
  <si>
    <t>0605831</t>
  </si>
  <si>
    <t>Bueiro metálico sem interrupção de tráfego - D = 4,40 m - chapa galvanizada - escavado em material de 3ª categoria - aterro ferroviário máximo = 4,20 m</t>
  </si>
  <si>
    <t>0605560</t>
  </si>
  <si>
    <t>Bueiro metálico sem interrupção de tráfego - D = 4,40 m - chapa galvanizada - escavado em material de 3ª categoria - aterro rodoviário máximo = 4,20 m</t>
  </si>
  <si>
    <t>0605778</t>
  </si>
  <si>
    <t>Bueiro metálico sem interrupção de tráfego - D = 4,60 m - chapa galvanizada - escavado em material de 1ª categoria - aterro ferroviário máximo = 4,00 m</t>
  </si>
  <si>
    <t>0605521</t>
  </si>
  <si>
    <t>Bueiro metálico sem interrupção de tráfego - D = 4,60 m - chapa galvanizada - escavado em material de 1ª categoria - aterro rodoviário máximo = 4,00 m</t>
  </si>
  <si>
    <t>0605812</t>
  </si>
  <si>
    <t>Bueiro metálico sem interrupção de tráfego - D = 4,60 m - chapa galvanizada - escavado em material de 2ª categoria - aterro ferroviário máximo = 4,00 m</t>
  </si>
  <si>
    <t>0605541</t>
  </si>
  <si>
    <t>Bueiro metálico sem interrupção de tráfego - D = 4,60 m - chapa galvanizada - escavado em material de 2ª categoria - aterro rodoviário máximo = 4,00 m</t>
  </si>
  <si>
    <t>0605832</t>
  </si>
  <si>
    <t>Bueiro metálico sem interrupção de tráfego - D = 4,60 m - chapa galvanizada - escavado em material de 3ª categoria - aterro ferroviário máximo = 4,00 m</t>
  </si>
  <si>
    <t>0605561</t>
  </si>
  <si>
    <t>Bueiro metálico sem interrupção de tráfego - D = 4,60 m - chapa galvanizada - escavado em material de 3ª categoria - aterro rodoviário máximo = 4,00 m</t>
  </si>
  <si>
    <t>0605779</t>
  </si>
  <si>
    <t>Bueiro metálico sem interrupção de tráfego - D = 4,80 m - chapa galvanizada - escavado em material de 1ª categoria - aterro ferroviário máximo = 5,10 m</t>
  </si>
  <si>
    <t>0605522</t>
  </si>
  <si>
    <t>Bueiro metálico sem interrupção de tráfego - D = 4,80 m - chapa galvanizada - escavado em material de 1ª categoria - aterro rodoviário máximo = 5,50 m</t>
  </si>
  <si>
    <t>0605813</t>
  </si>
  <si>
    <t>Bueiro metálico sem interrupção de tráfego - D = 4,80 m - chapa galvanizada - escavado em material de 2ª categoria - aterro ferroviário máximo = 5,10 m</t>
  </si>
  <si>
    <t>0605542</t>
  </si>
  <si>
    <t>Bueiro metálico sem interrupção de tráfego - D = 4,80 m - chapa galvanizada - escavado em material de 2ª categoria - aterro rodoviário máximo = 5,50 m</t>
  </si>
  <si>
    <t>0605833</t>
  </si>
  <si>
    <t>Bueiro metálico sem interrupção de tráfego - D = 4,80 m - chapa galvanizada - escavado em material de 3ª categoria - aterro ferroviário máximo = 5,10 m</t>
  </si>
  <si>
    <t>0605562</t>
  </si>
  <si>
    <t>Bueiro metálico sem interrupção de tráfego - D = 4,80 m - chapa galvanizada - escavado em material de 3ª categoria - aterro rodoviário máximo = 5,50 m</t>
  </si>
  <si>
    <t>0605780</t>
  </si>
  <si>
    <t>Bueiro metálico sem interrupção de tráfego - D = 5,00 m - chapa galvanizada - escavado em material de 1ª categoria - aterro ferroviário máximo = 4,80 m</t>
  </si>
  <si>
    <t>0605523</t>
  </si>
  <si>
    <t>Bueiro metálico sem interrupção de tráfego - D = 5,00 m - chapa galvanizada - escavado em material de 1ª categoria - aterro rodoviário máximo = 5,30 m</t>
  </si>
  <si>
    <t>0605814</t>
  </si>
  <si>
    <t>Bueiro metálico sem interrupção de tráfego - D = 5,00 m - chapa galvanizada - escavado em material de 2ª categoria - aterro ferroviário máximo = 4,80 m</t>
  </si>
  <si>
    <t>0605543</t>
  </si>
  <si>
    <t>Bueiro metálico sem interrupção de tráfego - D = 5,00 m - chapa galvanizada - escavado em material de 2ª categoria - aterro rodoviário máximo = 5,30 m</t>
  </si>
  <si>
    <t>0605834</t>
  </si>
  <si>
    <t>Bueiro metálico sem interrupção de tráfego - D = 5,00 m - chapa galvanizada - escavado em material de 3ª categoria - aterro ferroviário máximo = 4,80 m</t>
  </si>
  <si>
    <t>0605563</t>
  </si>
  <si>
    <t>Bueiro metálico sem interrupção de tráfego - D = 5,00 m - chapa galvanizada - escavado em material de 3ª categoria - aterro rodoviário máximo = 5,30 m</t>
  </si>
  <si>
    <t>0605606</t>
  </si>
  <si>
    <t>Sistema de escoramento telescópico regulável para tunnel liner</t>
  </si>
  <si>
    <t>0705314</t>
  </si>
  <si>
    <t>Boca de BDCC 1,50 x 1,50 m - esconsidade 0° - areia e brita comerciais</t>
  </si>
  <si>
    <t>0705312</t>
  </si>
  <si>
    <t>Boca de BDCC 1,50 x 1,50 m - esconsidade 0° - areia extraída e brita produzida</t>
  </si>
  <si>
    <t>0705316</t>
  </si>
  <si>
    <t>Boca de BDCC 1,50 x 1,50 m - esconsidade 15° - areia e brita comerciais</t>
  </si>
  <si>
    <t>0705315</t>
  </si>
  <si>
    <t>Boca de BDCC 1,50 x 1,50 m - esconsidade 15° - areia extraída e brita produzida</t>
  </si>
  <si>
    <t>0705318</t>
  </si>
  <si>
    <t>Boca de BDCC 1,50 x 1,50 m - esconsidade 30° - areia e brita comerciais</t>
  </si>
  <si>
    <t>0705317</t>
  </si>
  <si>
    <t>Boca de BDCC 1,50 x 1,50 m - esconsidade 30° - areia extraída e brita produzida</t>
  </si>
  <si>
    <t>0705320</t>
  </si>
  <si>
    <t>Boca de BDCC 1,50 x 1,50 m - esconsidade 45° - areia e brita comerciais</t>
  </si>
  <si>
    <t>0705319</t>
  </si>
  <si>
    <t>Boca de BDCC 1,50 x 1,50 m - esconsidade 45° - areia extraída e brita produzida</t>
  </si>
  <si>
    <t>0705322</t>
  </si>
  <si>
    <t>Boca de BDCC 2,00 x 2,00 m - esconsidade 0° - areia e brita comerciais</t>
  </si>
  <si>
    <t>0705321</t>
  </si>
  <si>
    <t>Boca de BDCC 2,00 x 2,00 m - esconsidade 0° - areia extraída e brita produzida</t>
  </si>
  <si>
    <t>0705324</t>
  </si>
  <si>
    <t>Boca de BDCC 2,00 x 2,00 m - esconsidade 15° - areia e brita comerciais</t>
  </si>
  <si>
    <t>0705323</t>
  </si>
  <si>
    <t>Boca de BDCC 2,00 x 2,00 m - esconsidade 15° - areia extraída e brita produzida</t>
  </si>
  <si>
    <t>0705326</t>
  </si>
  <si>
    <t>Boca de BDCC 2,00 x 2,00 m - esconsidade 30° - areia e brita comerciais</t>
  </si>
  <si>
    <t>0705325</t>
  </si>
  <si>
    <t>Boca de BDCC 2,00 x 2,00 m - esconsidade 30° - areia extraída e brita produzida</t>
  </si>
  <si>
    <t>0705328</t>
  </si>
  <si>
    <t>Boca de BDCC 2,00 x 2,00 m - esconsidade 45° - areia e brita comerciais</t>
  </si>
  <si>
    <t>0705327</t>
  </si>
  <si>
    <t>Boca de BDCC 2,00 x 2,00 m - esconsidade 45° - areia extraída e brita produzida</t>
  </si>
  <si>
    <t>0705330</t>
  </si>
  <si>
    <t>Boca de BDCC 2,50 x 2,50 m - esconsidade 0° - areia e brita comerciais</t>
  </si>
  <si>
    <t>0705329</t>
  </si>
  <si>
    <t>Boca de BDCC 2,50 x 2,50 m - esconsidade 0° - areia extraída e brita produzida</t>
  </si>
  <si>
    <t>0705332</t>
  </si>
  <si>
    <t>Boca de BDCC 2,50 x 2,50 m - esconsidade 15° - areia e brita comerciais</t>
  </si>
  <si>
    <t>0705331</t>
  </si>
  <si>
    <t>Boca de BDCC 2,50 x 2,50 m - esconsidade 15° - areia extraída e brita produzida</t>
  </si>
  <si>
    <t>0705334</t>
  </si>
  <si>
    <t>Boca de BDCC 2,50 x 2,50 m - esconsidade 30° - areia e brita comerciais</t>
  </si>
  <si>
    <t>0705333</t>
  </si>
  <si>
    <t>Boca de BDCC 2,50 x 2,50 m - esconsidade 30° - areia extraída e brita produzida</t>
  </si>
  <si>
    <t>0705336</t>
  </si>
  <si>
    <t>Boca de BDCC 2,50 x 2,50 m - esconsidade 45° - areia e brita comerciais</t>
  </si>
  <si>
    <t>0705335</t>
  </si>
  <si>
    <t>Boca de BDCC 2,50 x 2,50 m - esconsidade 45° - areia extraída e brita produzida</t>
  </si>
  <si>
    <t>0705338</t>
  </si>
  <si>
    <t>Boca de BDCC 3,00 x 3,00 m - esconsidade 0° - areia e brita comerciais</t>
  </si>
  <si>
    <t>0705337</t>
  </si>
  <si>
    <t>Boca de BDCC 3,00 x 3,00 m - esconsidade 0° - areia extraída e brita produzida</t>
  </si>
  <si>
    <t>0705340</t>
  </si>
  <si>
    <t>Boca de BDCC 3,00 x 3,00 m - esconsidade 15° - areia e brita comerciais</t>
  </si>
  <si>
    <t>0705339</t>
  </si>
  <si>
    <t>Boca de BDCC 3,00 x 3,00 m - esconsidade 15° - areia extraída e brita produzida</t>
  </si>
  <si>
    <t>0705342</t>
  </si>
  <si>
    <t>Boca de BDCC 3,00 x 3,00 m - esconsidade 30° - areia e brita comerciais</t>
  </si>
  <si>
    <t>0705341</t>
  </si>
  <si>
    <t>Boca de BDCC 3,00 x 3,00 m - esconsidade 30° - areia extraída e brita produzida</t>
  </si>
  <si>
    <t>0705344</t>
  </si>
  <si>
    <t>Boca de BDCC 3,00 x 3,00 m - esconsidade 45° - areia e brita comerciais</t>
  </si>
  <si>
    <t>0705343</t>
  </si>
  <si>
    <t>Boca de BDCC 3,00 x 3,00 m - esconsidade 45° - areia extraída e brita produzida</t>
  </si>
  <si>
    <t>0705225</t>
  </si>
  <si>
    <t>Boca de BSCC 1,50 x 1,50 m - esconsidade 0° - areia e brita comerciais</t>
  </si>
  <si>
    <t>0705224</t>
  </si>
  <si>
    <t>Boca de BSCC 1,50 x 1,50 m - esconsidade 0° - areia extraída e brita produzida</t>
  </si>
  <si>
    <t>0705227</t>
  </si>
  <si>
    <t>Boca de BSCC 1,50 x 1,50 m - esconsidade 15° - areia e brita comerciais</t>
  </si>
  <si>
    <t>0705226</t>
  </si>
  <si>
    <t>Boca de BSCC 1,50 x 1,50 m - esconsidade 15° - areia extraída e brita produzida</t>
  </si>
  <si>
    <t>0705229</t>
  </si>
  <si>
    <t>Boca de BSCC 1,50 x 1,50 m - esconsidade 30° - areia e brita comerciais</t>
  </si>
  <si>
    <t>0705228</t>
  </si>
  <si>
    <t>Boca de BSCC 1,50 x 1,50 m - esconsidade 30° - areia extraída e brita produzida</t>
  </si>
  <si>
    <t>0705231</t>
  </si>
  <si>
    <t>Boca de BSCC 1,50 x 1,50 m - esconsidade 45° - areia e brita comerciais</t>
  </si>
  <si>
    <t>0705230</t>
  </si>
  <si>
    <t>Boca de BSCC 1,50 x 1,50 m - esconsidade 45° - areia extraída e brita produzida</t>
  </si>
  <si>
    <t>0705233</t>
  </si>
  <si>
    <t>Boca de BSCC 2,00 x 2,00 m - esconsidade 0° - areia e brita comerciais</t>
  </si>
  <si>
    <t>0705232</t>
  </si>
  <si>
    <t>Boca de BSCC 2,00 x 2,00 m - esconsidade 0° - areia extraída e brita produzida</t>
  </si>
  <si>
    <t>0705235</t>
  </si>
  <si>
    <t>Boca de BSCC 2,00 x 2,00 m - esconsidade 15° - areia e brita comerciais</t>
  </si>
  <si>
    <t>0705234</t>
  </si>
  <si>
    <t>Boca de BSCC 2,00 x 2,00 m - esconsidade 15° - areia extraída e brita produzida</t>
  </si>
  <si>
    <t>0705237</t>
  </si>
  <si>
    <t>Boca de BSCC 2,00 x 2,00 m - esconsidade 30° - areia e brita comerciais</t>
  </si>
  <si>
    <t>0705236</t>
  </si>
  <si>
    <t>Boca de BSCC 2,00 x 2,00 m - esconsidade 30° - areia extraída e brita produzida</t>
  </si>
  <si>
    <t>0705239</t>
  </si>
  <si>
    <t>Boca de BSCC 2,00 x 2,00 m - esconsidade 45° - areia e brita comerciais</t>
  </si>
  <si>
    <t>0705238</t>
  </si>
  <si>
    <t>Boca de BSCC 2,00 x 2,00 m - esconsidade 45° - areia extraída e brita produzida</t>
  </si>
  <si>
    <t>0705241</t>
  </si>
  <si>
    <t>Boca de BSCC 2,50 x 2,50 m - esconsidade 0° - areia e brita comerciais</t>
  </si>
  <si>
    <t>0705240</t>
  </si>
  <si>
    <t>Boca de BSCC 2,50 x 2,50 m - esconsidade 0° - areia extraída e brita produzida</t>
  </si>
  <si>
    <t>0705243</t>
  </si>
  <si>
    <t>Boca de BSCC 2,50 x 2,50 m - esconsidade 15° - areia e brita comerciais</t>
  </si>
  <si>
    <t>0705242</t>
  </si>
  <si>
    <t>Boca de BSCC 2,50 x 2,50 m - esconsidade 15° - areia extraída e brita produzida</t>
  </si>
  <si>
    <t>0705245</t>
  </si>
  <si>
    <t>Boca de BSCC 2,50 x 2,50 m - esconsidade 30° - areia e brita comerciais</t>
  </si>
  <si>
    <t>0705244</t>
  </si>
  <si>
    <t>Boca de BSCC 2,50 x 2,50 m - esconsidade 30° - areia extraída e brita produzida</t>
  </si>
  <si>
    <t>0705247</t>
  </si>
  <si>
    <t>Boca de BSCC 2,50 x 2,50 m - esconsidade 45° - areia e brita comerciais</t>
  </si>
  <si>
    <t>0705246</t>
  </si>
  <si>
    <t>Boca de BSCC 2,50 x 2,50 m - esconsidade 45° - areia extraída e brita produzida</t>
  </si>
  <si>
    <t>0705249</t>
  </si>
  <si>
    <t>Boca de BSCC 3,00 x 3,00 m - esconsidade 0° - areia e brita comerciais</t>
  </si>
  <si>
    <t>0705248</t>
  </si>
  <si>
    <t>Boca de BSCC 3,00 x 3,00 m - esconsidade 0° - areia extraída e brita produzida</t>
  </si>
  <si>
    <t>0705251</t>
  </si>
  <si>
    <t>Boca de BSCC 3,00 x 3,00 m - esconsidade 15° - areia e brita comerciais</t>
  </si>
  <si>
    <t>0705250</t>
  </si>
  <si>
    <t>Boca de BSCC 3,00 x 3,00 m - esconsidade 15° - areia extraída e brita produzida</t>
  </si>
  <si>
    <t>0705253</t>
  </si>
  <si>
    <t>Boca de BSCC 3,00 x 3,00 m - esconsidade 30° - areia e brita comerciais</t>
  </si>
  <si>
    <t>0705252</t>
  </si>
  <si>
    <t>Boca de BSCC 3,00 x 3,00 m - esconsidade 30° - areia extraída e brita produzida</t>
  </si>
  <si>
    <t>0705255</t>
  </si>
  <si>
    <t>Boca de BSCC 3,00 x 3,00 m - esconsidade 45° - areia e brita comerciais</t>
  </si>
  <si>
    <t>0705254</t>
  </si>
  <si>
    <t>Boca de BSCC 3,00 x 3,00 m - esconsidade 45° - areia extraída e brita produzida</t>
  </si>
  <si>
    <t>0705403</t>
  </si>
  <si>
    <t>Boca de BTCC 1,50 x 1,50 m - esconsidade 0° - areia e brita comerciais</t>
  </si>
  <si>
    <t>0705402</t>
  </si>
  <si>
    <t>Boca de BTCC 1,50 x 1,50 m - esconsidade 0° - areia extraída e brita produzida</t>
  </si>
  <si>
    <t>0705405</t>
  </si>
  <si>
    <t>Boca de BTCC 1,50 x 1,50 m - esconsidade 15° - areia e brita comerciais</t>
  </si>
  <si>
    <t>0705404</t>
  </si>
  <si>
    <t>Boca de BTCC 1,50 x 1,50 m - esconsidade 15° - areia extraída e brita produzida</t>
  </si>
  <si>
    <t>0705407</t>
  </si>
  <si>
    <t>Boca de BTCC 1,50 x 1,50 m - esconsidade 30° - areia e brita comerciais</t>
  </si>
  <si>
    <t>0705406</t>
  </si>
  <si>
    <t>Boca de BTCC 1,50 x 1,50 m - esconsidade 30° - areia extraída e brita produzida</t>
  </si>
  <si>
    <t>0705409</t>
  </si>
  <si>
    <t>Boca de BTCC 1,50 x 1,50 m - esconsidade 45° - areia e brita comerciais</t>
  </si>
  <si>
    <t>0705408</t>
  </si>
  <si>
    <t>Boca de BTCC 1,50 x 1,50 m - esconsidade 45° - areia extraída e brita produzida</t>
  </si>
  <si>
    <t>0705411</t>
  </si>
  <si>
    <t>Boca de BTCC 2,00 x 2,00 m - esconsidade 0° - areia e brita comerciais</t>
  </si>
  <si>
    <t>0705410</t>
  </si>
  <si>
    <t>Boca de BTCC 2,00 x 2,00 m - esconsidade 0° - areia extraída e brita produzida</t>
  </si>
  <si>
    <t>0705413</t>
  </si>
  <si>
    <t>Boca de BTCC 2,00 x 2,00 m - esconsidade 15° - areia e brita comerciais</t>
  </si>
  <si>
    <t>0705412</t>
  </si>
  <si>
    <t>Boca de BTCC 2,00 x 2,00 m - esconsidade 15° - areia extraída e brita produzida</t>
  </si>
  <si>
    <t>0705415</t>
  </si>
  <si>
    <t>Boca de BTCC 2,00 x 2,00 m - esconsidade 30° - areia e brita comerciais</t>
  </si>
  <si>
    <t>0705414</t>
  </si>
  <si>
    <t>Boca de BTCC 2,00 x 2,00 m - esconsidade 30° - areia extraída e brita produzida</t>
  </si>
  <si>
    <t>0705417</t>
  </si>
  <si>
    <t>Boca de BTCC 2,00 x 2,00 m - esconsidade 45° - areia e brita comerciais</t>
  </si>
  <si>
    <t>0705416</t>
  </si>
  <si>
    <t>Boca de BTCC 2,00 x 2,00 m - esconsidade 45° - areia extraída e brita produzida</t>
  </si>
  <si>
    <t>0705419</t>
  </si>
  <si>
    <t>Boca de BTCC 2,50 x 2,50 m - esconsidade 0° - areia e brita comerciais</t>
  </si>
  <si>
    <t>0705418</t>
  </si>
  <si>
    <t>Boca de BTCC 2,50 x 2,50 m - esconsidade 0° - areia extraída e brita produzida</t>
  </si>
  <si>
    <t>0705421</t>
  </si>
  <si>
    <t>Boca de BTCC 2,50 x 2,50 m - esconsidade 15° - areia e brita comerciais</t>
  </si>
  <si>
    <t>0705420</t>
  </si>
  <si>
    <t>Boca de BTCC 2,50 x 2,50 m - esconsidade 15° - areia extraída e brita produzida</t>
  </si>
  <si>
    <t>0705423</t>
  </si>
  <si>
    <t>Boca de BTCC 2,50 x 2,50 m - esconsidade 30° - areia e brita comerciais</t>
  </si>
  <si>
    <t>0705422</t>
  </si>
  <si>
    <t>Boca de BTCC 2,50 x 2,50 m - esconsidade 30° - areia extraída e brita produzida</t>
  </si>
  <si>
    <t>0705425</t>
  </si>
  <si>
    <t>Boca de BTCC 2,50 x 2,50 m - esconsidade 45° - areia e brita comerciais</t>
  </si>
  <si>
    <t>0705424</t>
  </si>
  <si>
    <t>Boca de BTCC 2,50 x 2,50 m - esconsidade 45° - areia extraída e brita produzida</t>
  </si>
  <si>
    <t>0705427</t>
  </si>
  <si>
    <t>Boca de BTCC 3,00 x 3,00 m - esconsidade 0° - areia e brita comerciais</t>
  </si>
  <si>
    <t>0705426</t>
  </si>
  <si>
    <t>Boca de BTCC 3,00 x 3,00 m - esconsidade 0° - areia extraída e brita produzida</t>
  </si>
  <si>
    <t>0705429</t>
  </si>
  <si>
    <t>Boca de BTCC 3,00 x 3,00 m - esconsidade 15° - areia e brita comerciais</t>
  </si>
  <si>
    <t>0705428</t>
  </si>
  <si>
    <t>Boca de BTCC 3,00 x 3,00 m - esconsidade 15° - areia extraída e brita produzida</t>
  </si>
  <si>
    <t>0705431</t>
  </si>
  <si>
    <t>Boca de BTCC 3,00 x 3,00 m - esconsidade 30° - areia e brita comerciais</t>
  </si>
  <si>
    <t>0705430</t>
  </si>
  <si>
    <t>Boca de BTCC 3,00 x 3,00 m - esconsidade 30° - areia extraída e brita produzida</t>
  </si>
  <si>
    <t>0705433</t>
  </si>
  <si>
    <t>Boca de BTCC 3,00 x 3,00 m - esconsidade 45° - areia e brita comerciais</t>
  </si>
  <si>
    <t>0705432</t>
  </si>
  <si>
    <t>Boca de BTCC 3,00 x 3,00 m - esconsidade 45° - areia extraída e brita produzida</t>
  </si>
  <si>
    <t>0705257</t>
  </si>
  <si>
    <t>Corpo de BDCC 1,50 x 1,50 m - moldado no local - altura do aterro 0,00 a 1,00 m - areia e brita comerciais</t>
  </si>
  <si>
    <t>0705256</t>
  </si>
  <si>
    <t>Corpo de BDCC 1,50 x 1,50 m - moldado no local - altura do aterro 0,00 a 1,00 m - areia extraída e brita produzida</t>
  </si>
  <si>
    <t>0705259</t>
  </si>
  <si>
    <t>Corpo de BDCC 1,50 x 1,50 m - moldado no local - altura do aterro 1,00 a 2,50 m - areia e brita comerciais</t>
  </si>
  <si>
    <t>0705258</t>
  </si>
  <si>
    <t>Corpo de BDCC 1,50 x 1,50 m - moldado no local - altura do aterro 1,00 a 2,50 m - areia extraída e brita produzida</t>
  </si>
  <si>
    <t>0705267</t>
  </si>
  <si>
    <t>Corpo de BDCC 1,50 x 1,50 m - moldado no local - altura do aterro 10,00 a 12,50 m - areia e brita comerciais</t>
  </si>
  <si>
    <t>0705266</t>
  </si>
  <si>
    <t>Corpo de BDCC 1,50 x 1,50 m - moldado no local - altura do aterro 10,00 a 12,50 m - areia extraída e brita produzida</t>
  </si>
  <si>
    <t>0705269</t>
  </si>
  <si>
    <t>Corpo de BDCC 1,50 x 1,50 m - moldado no local - altura do aterro 12,50 a 15,00 m - areia e brita comerciais</t>
  </si>
  <si>
    <t>0705268</t>
  </si>
  <si>
    <t>Corpo de BDCC 1,50 x 1,50 m - moldado no local - altura do aterro 12,50 a 15,00 m - areia extraída e brita produzida</t>
  </si>
  <si>
    <t>0705261</t>
  </si>
  <si>
    <t>Corpo de BDCC 1,50 x 1,50 m - moldado no local - altura do aterro 2,50 a 5,00 m - areia e brita comerciais</t>
  </si>
  <si>
    <t>0705260</t>
  </si>
  <si>
    <t>Corpo de BDCC 1,50 x 1,50 m - moldado no local - altura do aterro 2,50 a 5,00 m - areia extraída e brita produzida</t>
  </si>
  <si>
    <t>0705263</t>
  </si>
  <si>
    <t>Corpo de BDCC 1,50 x 1,50 m - moldado no local - altura do aterro 5,00 a 7,50 m - areia e brita comerciais</t>
  </si>
  <si>
    <t>0705262</t>
  </si>
  <si>
    <t>Corpo de BDCC 1,50 x 1,50 m - moldado no local - altura do aterro 5,00 a 7,50 m - areia extraída e brita produzida</t>
  </si>
  <si>
    <t>0705265</t>
  </si>
  <si>
    <t>Corpo de BDCC 1,50 x 1,50 m - moldado no local - altura do aterro 7,50 a 10,00 m - areia e brita comerciais</t>
  </si>
  <si>
    <t>0705264</t>
  </si>
  <si>
    <t>Corpo de BDCC 1,50 x 1,50 m - moldado no local - altura do aterro 7,50 a 10,00 m - areia extraída e brita produzida</t>
  </si>
  <si>
    <t>0705271</t>
  </si>
  <si>
    <t>Corpo de BDCC 2,00 x 2,00 m - moldado no local - altura do aterro 0,00 a 1,00 m - areia e brita comerciais</t>
  </si>
  <si>
    <t>0705270</t>
  </si>
  <si>
    <t>Corpo de BDCC 2,00 x 2,00 m - moldado no local - altura do aterro 0,00 a 1,00 m - areia extraída e brita produzida</t>
  </si>
  <si>
    <t>0705273</t>
  </si>
  <si>
    <t>Corpo de BDCC 2,00 x 2,00 m - moldado no local - altura do aterro 1,00 a 2,50 m - areia e brita comerciais</t>
  </si>
  <si>
    <t>0705272</t>
  </si>
  <si>
    <t>Corpo de BDCC 2,00 x 2,00 m - moldado no local - altura do aterro 1,00 a 2,50 m - areia extraída e brita produzida</t>
  </si>
  <si>
    <t>0705281</t>
  </si>
  <si>
    <t>Corpo de BDCC 2,00 x 2,00 m - moldado no local - altura do aterro 10,00 a 12,50 m - areia e brita comerciais</t>
  </si>
  <si>
    <t>0705280</t>
  </si>
  <si>
    <t>Corpo de BDCC 2,00 x 2,00 m - moldado no local - altura do aterro 10,00 a 12,50 m - areia extraída e brita produzida</t>
  </si>
  <si>
    <t>0705283</t>
  </si>
  <si>
    <t>Corpo de BDCC 2,00 x 2,00 m - moldado no local - altura do aterro 12,50 a 15,00 m - areia e brita comerciais</t>
  </si>
  <si>
    <t>0705282</t>
  </si>
  <si>
    <t>Corpo de BDCC 2,00 x 2,00 m - moldado no local - altura do aterro 12,50 a 15,00 m - areia extraída e brita produzida</t>
  </si>
  <si>
    <t>0705275</t>
  </si>
  <si>
    <t>Corpo de BDCC 2,00 x 2,00 m - moldado no local - altura do aterro 2,50 a 5,00 m - areia e brita comerciais</t>
  </si>
  <si>
    <t>0705274</t>
  </si>
  <si>
    <t>Corpo de BDCC 2,00 x 2,00 m - moldado no local - altura do aterro 2,50 a 5,00 m - areia extraída e brita produzida</t>
  </si>
  <si>
    <t>0705277</t>
  </si>
  <si>
    <t>Corpo de BDCC 2,00 x 2,00 m - moldado no local - altura do aterro 5,00 a 7,50 m - areia e brita comerciais</t>
  </si>
  <si>
    <t>0705276</t>
  </si>
  <si>
    <t>Corpo de BDCC 2,00 x 2,00 m - moldado no local - altura do aterro 5,00 a 7,50 m - areia extraída e brita produzida</t>
  </si>
  <si>
    <t>0705279</t>
  </si>
  <si>
    <t>Corpo de BDCC 2,00 x 2,00 m - moldado no local - altura do aterro 7,50 a 10,00 m - areia e brita comerciais</t>
  </si>
  <si>
    <t>0705278</t>
  </si>
  <si>
    <t>Corpo de BDCC 2,00 x 2,00 m - moldado no local - altura do aterro 7,50 a 10,00 m - areia extraída e brita produzida</t>
  </si>
  <si>
    <t>0705285</t>
  </si>
  <si>
    <t>Corpo de BDCC 2,50 x 2,50 m - moldado no local - altura do aterro 0,00 a 1,00 m - areia e brita comerciais</t>
  </si>
  <si>
    <t>0705284</t>
  </si>
  <si>
    <t>Corpo de BDCC 2,50 x 2,50 m - moldado no local - altura do aterro 0,00 a 1,00 m - areia extraída e brita produzida</t>
  </si>
  <si>
    <t>0705287</t>
  </si>
  <si>
    <t>Corpo de BDCC 2,50 x 2,50 m - moldado no local - altura do aterro 1,00 a 2,50 m - areia e brita comerciais</t>
  </si>
  <si>
    <t>0705286</t>
  </si>
  <si>
    <t>Corpo de BDCC 2,50 x 2,50 m - moldado no local - altura do aterro 1,00 a 2,50 m - areia extraída e brita produzida</t>
  </si>
  <si>
    <t>0705295</t>
  </si>
  <si>
    <t>Corpo de BDCC 2,50 x 2,50 m - moldado no local - altura do aterro 10,00 a 12,50 m - areia e brita comerciais</t>
  </si>
  <si>
    <t>0705294</t>
  </si>
  <si>
    <t>Corpo de BDCC 2,50 x 2,50 m - moldado no local - altura do aterro 10,00 a 12,50 m - areia extraída e brita produzida</t>
  </si>
  <si>
    <t>0705297</t>
  </si>
  <si>
    <t>Corpo de BDCC 2,50 x 2,50 m - moldado no local - altura do aterro 12,50 a 15,00 m - areia e brita comerciais</t>
  </si>
  <si>
    <t>0705296</t>
  </si>
  <si>
    <t>Corpo de BDCC 2,50 x 2,50 m - moldado no local - altura do aterro 12,50 a 15,00 m - areia extraída e brita produzida</t>
  </si>
  <si>
    <t>0705289</t>
  </si>
  <si>
    <t>Corpo de BDCC 2,50 x 2,50 m - moldado no local - altura do aterro 2,50 a 5,00 m - areia e brita comerciais</t>
  </si>
  <si>
    <t>0705288</t>
  </si>
  <si>
    <t>Corpo de BDCC 2,50 x 2,50 m - moldado no local - altura do aterro 2,50 a 5,00 m - areia extraída e brita produzida</t>
  </si>
  <si>
    <t>0705291</t>
  </si>
  <si>
    <t>Corpo de BDCC 2,50 x 2,50 m - moldado no local - altura do aterro 5,00 a 7,50 m - areia e brita comerciais</t>
  </si>
  <si>
    <t>0705290</t>
  </si>
  <si>
    <t>Corpo de BDCC 2,50 x 2,50 m - moldado no local - altura do aterro 5,00 a 7,50 m - areia extraída e brita produzida</t>
  </si>
  <si>
    <t>0705293</t>
  </si>
  <si>
    <t>Corpo de BDCC 2,50 x 2,50 m - moldado no local - altura do aterro 7,50 a 10,00 m - areia e brita comerciais</t>
  </si>
  <si>
    <t>0705292</t>
  </si>
  <si>
    <t>Corpo de BDCC 2,50 x 2,50 m - moldado no local - altura do aterro 7,50 a 10,00 m - areia extraída e brita produzida</t>
  </si>
  <si>
    <t>0705299</t>
  </si>
  <si>
    <t>Corpo de BDCC 3,00 x 3,00 m - moldado no local - altura do aterro 0,00 a 1,00 m - areia e brita comerciais</t>
  </si>
  <si>
    <t>0705298</t>
  </si>
  <si>
    <t>Corpo de BDCC 3,00 x 3,00 m - moldado no local - altura do aterro 0,00 a 1,00 m - areia extraída e brita produzida</t>
  </si>
  <si>
    <t>0705301</t>
  </si>
  <si>
    <t>Corpo de BDCC 3,00 x 3,00 m - moldado no local - altura do aterro 1,00 a 2,50 m - areia e brita comerciais</t>
  </si>
  <si>
    <t>0705300</t>
  </si>
  <si>
    <t>Corpo de BDCC 3,00 x 3,00 m - moldado no local - altura do aterro 1,00 a 2,50 m - areia extraída e brita produzida</t>
  </si>
  <si>
    <t>0705309</t>
  </si>
  <si>
    <t>Corpo de BDCC 3,00 x 3,00 m - moldado no local - altura do aterro 10,00 a 12,50 m - areia e brita comerciais</t>
  </si>
  <si>
    <t>0705308</t>
  </si>
  <si>
    <t>Corpo de BDCC 3,00 x 3,00 m - moldado no local - altura do aterro 10,00 a 12,50 m - areia extraída e brita produzida</t>
  </si>
  <si>
    <t>0705311</t>
  </si>
  <si>
    <t>Corpo de BDCC 3,00 x 3,00 m - moldado no local - altura do aterro 12,50 a 15,00 m - areia e brita comerciais</t>
  </si>
  <si>
    <t>0705310</t>
  </si>
  <si>
    <t>Corpo de BDCC 3,00 x 3,00 m - moldado no local - altura do aterro 12,50 a 15,00 m - areia extraída e brita produzida</t>
  </si>
  <si>
    <t>0705303</t>
  </si>
  <si>
    <t>Corpo de BDCC 3,00 x 3,00 m - moldado no local - altura do aterro 2,50 a 5,00 m - areia e brita comerciais</t>
  </si>
  <si>
    <t>0705302</t>
  </si>
  <si>
    <t>Corpo de BDCC 3,00 x 3,00 m - moldado no local - altura do aterro 2,50 a 5,00 m - areia extraída e brita produzida</t>
  </si>
  <si>
    <t>0705305</t>
  </si>
  <si>
    <t>Corpo de BDCC 3,00 x 3,00 m - moldado no local - altura do aterro 5,00 a 7,50 m - areia e brita comerciais</t>
  </si>
  <si>
    <t>0705304</t>
  </si>
  <si>
    <t>Corpo de BDCC 3,00 x 3,00 m - moldado no local - altura do aterro 5,00 a 7,50 m - areia extraída e brita produzida</t>
  </si>
  <si>
    <t>0705307</t>
  </si>
  <si>
    <t>Corpo de BDCC 3,00 x 3,00 m - moldado no local - altura do aterro 7,50 a 10,00 m - areia e brita comerciais</t>
  </si>
  <si>
    <t>0705306</t>
  </si>
  <si>
    <t>Corpo de BDCC 3,00 x 3,00 m - moldado no local - altura do aterro 7,50 a 10,00 m - areia extraída e brita produzida</t>
  </si>
  <si>
    <t>0705169</t>
  </si>
  <si>
    <t>Corpo de BSCC 1,50 x 1,50 m - moldado no local - altura do aterro 0,00 a 1,00 m - areia e brita comerciais</t>
  </si>
  <si>
    <t>0705168</t>
  </si>
  <si>
    <t>Corpo de BSCC 1,50 x 1,50 m - moldado no local - altura do aterro 0,00 a 1,00 m - areia extraída e brita produzida</t>
  </si>
  <si>
    <t>0705171</t>
  </si>
  <si>
    <t>Corpo de BSCC 1,50 x 1,50 m - moldado no local - altura do aterro 1,00 a 2,50 m - areia e brita comerciais</t>
  </si>
  <si>
    <t>0705170</t>
  </si>
  <si>
    <t>Corpo de BSCC 1,50 x 1,50 m - moldado no local - altura do aterro 1,00 a 2,50 m - areia extraída e brita produzida</t>
  </si>
  <si>
    <t>0705179</t>
  </si>
  <si>
    <t>Corpo de BSCC 1,50 x 1,50 m - moldado no local - altura do aterro 10,00 a 12,50 m - areia e brita comerciais</t>
  </si>
  <si>
    <t>0705178</t>
  </si>
  <si>
    <t>Corpo de BSCC 1,50 x 1,50 m - moldado no local - altura do aterro 10,00 a 12,50 m - areia extraída e brita produzida</t>
  </si>
  <si>
    <t>0705181</t>
  </si>
  <si>
    <t>Corpo de BSCC 1,50 x 1,50 m - moldado no local - altura do aterro 12,50 a 15,00 m - areia e brita comerciais</t>
  </si>
  <si>
    <t>0705180</t>
  </si>
  <si>
    <t>Corpo de BSCC 1,50 x 1,50 m - moldado no local - altura do aterro 12,50 a 15,00 m - areia extraída e brita produzida</t>
  </si>
  <si>
    <t>0705173</t>
  </si>
  <si>
    <t>Corpo de BSCC 1,50 x 1,50 m - moldado no local - altura do aterro 2,50 a 5,00 m - areia e brita comerciais</t>
  </si>
  <si>
    <t>0705172</t>
  </si>
  <si>
    <t>Corpo de BSCC 1,50 x 1,50 m - moldado no local - altura do aterro 2,50 a 5,00 m - areia extraída e brita produzida</t>
  </si>
  <si>
    <t>0705175</t>
  </si>
  <si>
    <t>Corpo de BSCC 1,50 x 1,50 m - moldado no local - altura do aterro 5,00 a 7,50 m - areia e brita comerciais</t>
  </si>
  <si>
    <t>0705174</t>
  </si>
  <si>
    <t>Corpo de BSCC 1,50 x 1,50 m - moldado no local - altura do aterro 5,00 a 7,50 m - areia extraída e brita produzida</t>
  </si>
  <si>
    <t>0705177</t>
  </si>
  <si>
    <t>Corpo de BSCC 1,50 x 1,50 m - moldado no local - altura do aterro 7,50 a 10,00 m - areia e brita comerciais</t>
  </si>
  <si>
    <t>0705176</t>
  </si>
  <si>
    <t>Corpo de BSCC 1,50 x 1,50 m - moldado no local - altura do aterro 7,50 a 10,00 m - areia extraída e brita produzida</t>
  </si>
  <si>
    <t>0705183</t>
  </si>
  <si>
    <t>Corpo de BSCC 2,00 x 2,00 m - moldado no local - altura do aterro 0,00 a 1,00 m - areia e brita comerciais</t>
  </si>
  <si>
    <t>0705182</t>
  </si>
  <si>
    <t>Corpo de BSCC 2,00 x 2,00 m - moldado no local - altura do aterro 0,00 a 1,00 m - areia extraída e brita produzida</t>
  </si>
  <si>
    <t>0705185</t>
  </si>
  <si>
    <t>Corpo de BSCC 2,00 x 2,00 m - moldado no local - altura do aterro 1,00 a 2,50 m - areia e brita comerciais</t>
  </si>
  <si>
    <t>0705184</t>
  </si>
  <si>
    <t>Corpo de BSCC 2,00 x 2,00 m - moldado no local - altura do aterro 1,00 a 2,50 m - areia extraída e brita produzida</t>
  </si>
  <si>
    <t>0705193</t>
  </si>
  <si>
    <t>Corpo de BSCC 2,00 x 2,00 m - moldado no local - altura do aterro 10,00 a 12,50 m - areia e brita comerciais</t>
  </si>
  <si>
    <t>0705192</t>
  </si>
  <si>
    <t>Corpo de BSCC 2,00 x 2,00 m - moldado no local - altura do aterro 10,00 a 12,50 m - areia extraída e brita produzida</t>
  </si>
  <si>
    <t>0705195</t>
  </si>
  <si>
    <t>Corpo de BSCC 2,00 x 2,00 m - moldado no local - altura do aterro 12,50 a 15,00 m - areia e brita comerciais</t>
  </si>
  <si>
    <t>0705194</t>
  </si>
  <si>
    <t>Corpo de BSCC 2,00 x 2,00 m - moldado no local - altura do aterro 12,50 a 15,00 m - areia extraída e brita produzida</t>
  </si>
  <si>
    <t>0705187</t>
  </si>
  <si>
    <t>Corpo de BSCC 2,00 x 2,00 m - moldado no local - altura do aterro 2,50 a 5,00 m - areia e brita comerciais</t>
  </si>
  <si>
    <t>0705186</t>
  </si>
  <si>
    <t>Corpo de BSCC 2,00 x 2,00 m - moldado no local - altura do aterro 2,50 a 5,00 m - areia extraída e brita produzida</t>
  </si>
  <si>
    <t>0705189</t>
  </si>
  <si>
    <t>Corpo de BSCC 2,00 x 2,00 m - moldado no local - altura do aterro 5,00 a 7,50 m - areia e brita comerciais</t>
  </si>
  <si>
    <t>0705188</t>
  </si>
  <si>
    <t>Corpo de BSCC 2,00 x 2,00 m - moldado no local - altura do aterro 5,00 a 7,50 m - areia extraída e brita produzida</t>
  </si>
  <si>
    <t>0705191</t>
  </si>
  <si>
    <t>Corpo de BSCC 2,00 x 2,00 m - moldado no local - altura do aterro 7,50 a 10,00 m - areia e brita comerciais</t>
  </si>
  <si>
    <t>0705190</t>
  </si>
  <si>
    <t>Corpo de BSCC 2,00 x 2,00 m - moldado no local - altura do aterro 7,50 a 10,00 m - areia extraída e brita produzida</t>
  </si>
  <si>
    <t>0705197</t>
  </si>
  <si>
    <t>Corpo de BSCC 2,50 x 2,50 m - moldado no local - altura do aterro 0,00 a 1,00 m - areia e brita comerciais</t>
  </si>
  <si>
    <t>0705196</t>
  </si>
  <si>
    <t>Corpo de BSCC 2,50 x 2,50 m - moldado no local - altura do aterro 0,00 a 1,00 m - areia extraída e brita produzida</t>
  </si>
  <si>
    <t>0705199</t>
  </si>
  <si>
    <t>Corpo de BSCC 2,50 x 2,50 m - moldado no local - altura do aterro 1,00 a 2,50 m - areia e brita comerciais</t>
  </si>
  <si>
    <t>0705198</t>
  </si>
  <si>
    <t>Corpo de BSCC 2,50 x 2,50 m - moldado no local - altura do aterro 1,00 a 2,50 m - areia extraída e brita produzida</t>
  </si>
  <si>
    <t>0705207</t>
  </si>
  <si>
    <t>Corpo de BSCC 2,50 x 2,50 m - moldado no local - altura do aterro 10,00 a 12,50 m - areia e brita comerciais</t>
  </si>
  <si>
    <t>0705206</t>
  </si>
  <si>
    <t>Corpo de BSCC 2,50 x 2,50 m - moldado no local - altura do aterro 10,00 a 12,50 m - areia extraída e brita produzida</t>
  </si>
  <si>
    <t>0705209</t>
  </si>
  <si>
    <t>Corpo de BSCC 2,50 x 2,50 m - moldado no local - altura do aterro 12,50 a 15,00 m - areia e brita comerciais</t>
  </si>
  <si>
    <t>0705208</t>
  </si>
  <si>
    <t>Corpo de BSCC 2,50 x 2,50 m - moldado no local - altura do aterro 12,50 a 15,00 m - areia extraída e brita produzida</t>
  </si>
  <si>
    <t>0705201</t>
  </si>
  <si>
    <t>Corpo de BSCC 2,50 x 2,50 m - moldado no local - altura do aterro 2,50 a 5,00 m - areia e brita comerciais</t>
  </si>
  <si>
    <t>0705200</t>
  </si>
  <si>
    <t>Corpo de BSCC 2,50 x 2,50 m - moldado no local - altura do aterro 2,50 a 5,00 m - areia extraída e brita produzida</t>
  </si>
  <si>
    <t>0705203</t>
  </si>
  <si>
    <t>Corpo de BSCC 2,50 x 2,50 m - moldado no local - altura do aterro 5,00 a 7,50 m - areia e brita comerciais</t>
  </si>
  <si>
    <t>0705202</t>
  </si>
  <si>
    <t>Corpo de BSCC 2,50 x 2,50 m - moldado no local - altura do aterro 5,00 a 7,50 m - areia extraída e brita produzida</t>
  </si>
  <si>
    <t>0705205</t>
  </si>
  <si>
    <t>Corpo de BSCC 2,50 x 2,50 m - moldado no local - altura do aterro 7,50 a 10,00 m - areia e brita comerciais</t>
  </si>
  <si>
    <t>0705204</t>
  </si>
  <si>
    <t>Corpo de BSCC 2,50 x 2,50 m - moldado no local - altura do aterro 7,50 a 10,00 m - areia extraída e brita produzida</t>
  </si>
  <si>
    <t>0705211</t>
  </si>
  <si>
    <t>Corpo de BSCC 3,00 x 3,00 m - moldado no local - altura do aterro 0,00 a 1,00 m - areia e brita comerciais</t>
  </si>
  <si>
    <t>0705210</t>
  </si>
  <si>
    <t>Corpo de BSCC 3,00 x 3,00 m - moldado no local - altura do aterro 0,00 a 1,00 m - areia extraída e brita produzida</t>
  </si>
  <si>
    <t>0705213</t>
  </si>
  <si>
    <t>Corpo de BSCC 3,00 x 3,00 m - moldado no local - altura do aterro 1,00 a 2,50 m - areia e brita comerciais</t>
  </si>
  <si>
    <t>0705212</t>
  </si>
  <si>
    <t>Corpo de BSCC 3,00 x 3,00 m - moldado no local - altura do aterro 1,00 a 2,50 m - areia extraída e brita produzida</t>
  </si>
  <si>
    <t>0705221</t>
  </si>
  <si>
    <t>Corpo de BSCC 3,00 x 3,00 m - moldado no local - altura do aterro 10,00 a 12,50 m - areia e brita comerciais</t>
  </si>
  <si>
    <t>0705220</t>
  </si>
  <si>
    <t>Corpo de BSCC 3,00 x 3,00 m - moldado no local - altura do aterro 10,00 a 12,50 m - areia extraída e brita produzida</t>
  </si>
  <si>
    <t>0705223</t>
  </si>
  <si>
    <t>Corpo de BSCC 3,00 x 3,00 m - moldado no local - altura do aterro 12,50 a 15,00 m - areia e brita comerciais</t>
  </si>
  <si>
    <t>0705222</t>
  </si>
  <si>
    <t>Corpo de BSCC 3,00 x 3,00 m - moldado no local - altura do aterro 12,50 a 15,00 m - areia extraída e brita produzida</t>
  </si>
  <si>
    <t>0705215</t>
  </si>
  <si>
    <t>Corpo de BSCC 3,00 x 3,00 m - moldado no local - altura do aterro 2,50 a 5,00 m - areia e brita comerciais</t>
  </si>
  <si>
    <t>0705214</t>
  </si>
  <si>
    <t>Corpo de BSCC 3,00 x 3,00 m - moldado no local - altura do aterro 2,50 a 5,00 m - areia extraída e brita produzida</t>
  </si>
  <si>
    <t>0705217</t>
  </si>
  <si>
    <t>Corpo de BSCC 3,00 x 3,00 m - moldado no local - altura do aterro 5,00 a 7,50 m - areia e brita comerciais</t>
  </si>
  <si>
    <t>0705216</t>
  </si>
  <si>
    <t>Corpo de BSCC 3,00 x 3,00 m - moldado no local - altura do aterro 5,00 a 7,50 m - areia extraída e brita produzida</t>
  </si>
  <si>
    <t>0705219</t>
  </si>
  <si>
    <t>Corpo de BSCC 3,00 x 3,00 m - moldado no local - altura do aterro 7,50 a 10,00 m - areia e brita comerciais</t>
  </si>
  <si>
    <t>0705218</t>
  </si>
  <si>
    <t>Corpo de BSCC 3,00 x 3,00 m - moldado no local - altura do aterro 7,50 a 10,00 m - areia extraída e brita produzida</t>
  </si>
  <si>
    <t>0705346</t>
  </si>
  <si>
    <t>Corpo de BTCC 1,50 x 1,50 m - moldado no local - altura do aterro 0,00 a 1,00 m - areia e brita comerciais</t>
  </si>
  <si>
    <t>0705345</t>
  </si>
  <si>
    <t>Corpo de BTCC 1,50 x 1,50 m - moldado no local - altura do aterro 0,00 a 1,00 m - areia extraída e brita produzida</t>
  </si>
  <si>
    <t>0705348</t>
  </si>
  <si>
    <t>Corpo de BTCC 1,50 x 1,50 m - moldado no local - altura do aterro 1,00 a 2,50 m - areia e brita comerciais</t>
  </si>
  <si>
    <t>0705347</t>
  </si>
  <si>
    <t>Corpo de BTCC 1,50 x 1,50 m - moldado no local - altura do aterro 1,00 a 2,50 m - areia extraída e brita produzida</t>
  </si>
  <si>
    <t>0705356</t>
  </si>
  <si>
    <t>Corpo de BTCC 1,50 x 1,50 m - moldado no local - altura do aterro 10,00 a 12,50 m - areia e brita comerciais</t>
  </si>
  <si>
    <t>0705355</t>
  </si>
  <si>
    <t>Corpo de BTCC 1,50 x 1,50 m - moldado no local - altura do aterro 10,00 a 12,50 m - areia extraída e brita produzida</t>
  </si>
  <si>
    <t>0705358</t>
  </si>
  <si>
    <t>Corpo de BTCC 1,50 x 1,50 m - moldado no local - altura do aterro 12,50 a 15,00 m - areia e brita comerciais</t>
  </si>
  <si>
    <t>0705357</t>
  </si>
  <si>
    <t>Corpo de BTCC 1,50 x 1,50 m - moldado no local - altura do aterro 12,50 a 15,00 m - areia extraída e brita produzida</t>
  </si>
  <si>
    <t>0705350</t>
  </si>
  <si>
    <t>Corpo de BTCC 1,50 x 1,50 m - moldado no local - altura do aterro 2,50 a 5,00 m - areia e brita comerciais</t>
  </si>
  <si>
    <t>0705349</t>
  </si>
  <si>
    <t>Corpo de BTCC 1,50 x 1,50 m - moldado no local - altura do aterro 2,50 a 5,00 m - areia extraída e brita produzida</t>
  </si>
  <si>
    <t>0705352</t>
  </si>
  <si>
    <t>Corpo de BTCC 1,50 x 1,50 m - moldado no local - altura do aterro 5,00 a 7,50 m - areia e brita comerciais</t>
  </si>
  <si>
    <t>0705351</t>
  </si>
  <si>
    <t>Corpo de BTCC 1,50 x 1,50 m - moldado no local - altura do aterro 5,00 a 7,50 m - areia extraída e brita produzida</t>
  </si>
  <si>
    <t>0705354</t>
  </si>
  <si>
    <t>Corpo de BTCC 1,50 x 1,50 m - moldado no local - altura do aterro 7,50 a 10,00 m - areia e brita comerciais</t>
  </si>
  <si>
    <t>0705353</t>
  </si>
  <si>
    <t>Corpo de BTCC 1,50 x 1,50 m - moldado no local - altura do aterro 7,50 a 10,00 m - areia extraída e brita produzida</t>
  </si>
  <si>
    <t>0705360</t>
  </si>
  <si>
    <t>Corpo de BTCC 2,00 x 2,00 m - moldado no local - altura do aterro 0,00 a 1,00 m - areia e brita comerciais</t>
  </si>
  <si>
    <t>0705359</t>
  </si>
  <si>
    <t>Corpo de BTCC 2,00 x 2,00 m - moldado no local - altura do aterro 0,00 a 1,00 m - areia extraída e brita produzida</t>
  </si>
  <si>
    <t>0705362</t>
  </si>
  <si>
    <t>Corpo de BTCC 2,00 x 2,00 m - moldado no local - altura do aterro 1,00 a 2,50 m - areia e brita comerciais</t>
  </si>
  <si>
    <t>0705361</t>
  </si>
  <si>
    <t>Corpo de BTCC 2,00 x 2,00 m - moldado no local - altura do aterro 1,00 a 2,50 m - areia extraída e brita produzida</t>
  </si>
  <si>
    <t>0705370</t>
  </si>
  <si>
    <t>Corpo de BTCC 2,00 x 2,00 m - moldado no local - altura do aterro 10,00 a 12,50 m - areia e brita comerciais</t>
  </si>
  <si>
    <t>0705369</t>
  </si>
  <si>
    <t>Corpo de BTCC 2,00 x 2,00 m - moldado no local - altura do aterro 10,00 a 12,50 m - areia extraída e brita produzida</t>
  </si>
  <si>
    <t>0705372</t>
  </si>
  <si>
    <t>Corpo de BTCC 2,00 x 2,00 m - moldado no local - altura do aterro 12,50 a 15,00 m - areia e brita comerciais</t>
  </si>
  <si>
    <t>0705371</t>
  </si>
  <si>
    <t>Corpo de BTCC 2,00 x 2,00 m - moldado no local - altura do aterro 12,50 a 15,00 m - areia extraída e brita produzida</t>
  </si>
  <si>
    <t>0705364</t>
  </si>
  <si>
    <t>Corpo de BTCC 2,00 x 2,00 m - moldado no local - altura do aterro 2,50 a 5,00 m - areia e brita comerciais</t>
  </si>
  <si>
    <t>0705363</t>
  </si>
  <si>
    <t>Corpo de BTCC 2,00 x 2,00 m - moldado no local - altura do aterro 2,50 a 5,00 m - areia extraída e brita produzida</t>
  </si>
  <si>
    <t>0705366</t>
  </si>
  <si>
    <t>Corpo de BTCC 2,00 x 2,00 m - moldado no local - altura do aterro 5,00 a 7,50 m - areia e brita comerciais</t>
  </si>
  <si>
    <t>0705365</t>
  </si>
  <si>
    <t>Corpo de BTCC 2,00 x 2,00 m - moldado no local - altura do aterro 5,00 a 7,50 m - areia extraída e brita produzida</t>
  </si>
  <si>
    <t>0705368</t>
  </si>
  <si>
    <t>Corpo de BTCC 2,00 x 2,00 m - moldado no local - altura do aterro 7,50 a 10,00 m - areia e brita comerciais</t>
  </si>
  <si>
    <t>0705367</t>
  </si>
  <si>
    <t>Corpo de BTCC 2,00 x 2,00 m - moldado no local - altura do aterro 7,50 a 10,00 m - areia extraída e brita produzida</t>
  </si>
  <si>
    <t>0705374</t>
  </si>
  <si>
    <t>Corpo de BTCC 2,50 x 2,50 m - moldado no local - altura do aterro 0,00 a 1,00 m - areia e brita comerciais</t>
  </si>
  <si>
    <t>0705373</t>
  </si>
  <si>
    <t>Corpo de BTCC 2,50 x 2,50 m - moldado no local - altura do aterro 0,00 a 1,00 m - areia extraída e brita produzida</t>
  </si>
  <si>
    <t>0705376</t>
  </si>
  <si>
    <t>Corpo de BTCC 2,50 x 2,50 m - moldado no local - altura do aterro 1,00 a 2,50 m - areia e brita comerciais</t>
  </si>
  <si>
    <t>0705375</t>
  </si>
  <si>
    <t>Corpo de BTCC 2,50 x 2,50 m - moldado no local - altura do aterro 1,00 a 2,50 m - areia extraída e brita produzida</t>
  </si>
  <si>
    <t>0705384</t>
  </si>
  <si>
    <t>Corpo de BTCC 2,50 x 2,50 m - moldado no local - altura do aterro 10,00 a 12,50 m - areia e brita comerciais</t>
  </si>
  <si>
    <t>0705383</t>
  </si>
  <si>
    <t>Corpo de BTCC 2,50 x 2,50 m - moldado no local - altura do aterro 10,00 a 12,50 m - areia extraída e brita produzida</t>
  </si>
  <si>
    <t>0705386</t>
  </si>
  <si>
    <t>Corpo de BTCC 2,50 x 2,50 m - moldado no local - altura do aterro 12,50 a 15,00 m - areia e brita comerciais</t>
  </si>
  <si>
    <t>0705385</t>
  </si>
  <si>
    <t>Corpo de BTCC 2,50 x 2,50 m - moldado no local - altura do aterro 12,50 a 15,00 m - areia extraída e brita produzida</t>
  </si>
  <si>
    <t>0705378</t>
  </si>
  <si>
    <t>Corpo de BTCC 2,50 x 2,50 m - moldado no local - altura do aterro 2,50 a 5,00 m - areia e brita comerciais</t>
  </si>
  <si>
    <t>0705377</t>
  </si>
  <si>
    <t>Corpo de BTCC 2,50 x 2,50 m - moldado no local - altura do aterro 2,50 a 5,00 m - areia extraída e brita produzida</t>
  </si>
  <si>
    <t>0705380</t>
  </si>
  <si>
    <t>Corpo de BTCC 2,50 x 2,50 m - moldado no local - altura do aterro 5,00 a 7,50 m - areia e brita comerciais</t>
  </si>
  <si>
    <t>0705379</t>
  </si>
  <si>
    <t>Corpo de BTCC 2,50 x 2,50 m - moldado no local - altura do aterro 5,00 a 7,50 m - areia extraída e brita produzida</t>
  </si>
  <si>
    <t>0705382</t>
  </si>
  <si>
    <t>Corpo de BTCC 2,50 x 2,50 m - moldado no local - altura do aterro 7,50 a 10,00 m - areia e brita comerciais</t>
  </si>
  <si>
    <t>0705381</t>
  </si>
  <si>
    <t>Corpo de BTCC 2,50 x 2,50 m - moldado no local - altura do aterro 7,50 a 10,00 m - areia extraída e brita produzida</t>
  </si>
  <si>
    <t>0705388</t>
  </si>
  <si>
    <t>Corpo de BTCC 3,00 x 3,00 m - moldado no local - altura do aterro 0,00 a 1,00 m - areia e brita comerciais</t>
  </si>
  <si>
    <t>0705387</t>
  </si>
  <si>
    <t>Corpo de BTCC 3,00 x 3,00 m - moldado no local - altura do aterro 0,00 a 1,00 m - areia extraída e brita produzida</t>
  </si>
  <si>
    <t>0705390</t>
  </si>
  <si>
    <t>Corpo de BTCC 3,00 x 3,00 m - moldado no local - altura do aterro 1,00 a 2,50 m - areia e brita comerciais</t>
  </si>
  <si>
    <t>0705389</t>
  </si>
  <si>
    <t>Corpo de BTCC 3,00 x 3,00 m - moldado no local - altura do aterro 1,00 a 2,50 m - areia extraída e brita produzida</t>
  </si>
  <si>
    <t>0705399</t>
  </si>
  <si>
    <t>Corpo de BTCC 3,00 x 3,00 m - moldado no local - altura do aterro 10,00 a 12,50 m - areia e brita comerciais</t>
  </si>
  <si>
    <t>0705398</t>
  </si>
  <si>
    <t>Corpo de BTCC 3,00 x 3,00 m - moldado no local - altura do aterro 10,00 a 12,50 m - areia extraída e brita produzida</t>
  </si>
  <si>
    <t>0705401</t>
  </si>
  <si>
    <t>Corpo de BTCC 3,00 x 3,00 m - moldado no local - altura do aterro 12,50 a 15,00 m - areia e brita comerciais</t>
  </si>
  <si>
    <t>0705400</t>
  </si>
  <si>
    <t>Corpo de BTCC 3,00 x 3,00 m - moldado no local - altura do aterro 12,50 a 15,00 m - areia extraída e brita produzida</t>
  </si>
  <si>
    <t>0705392</t>
  </si>
  <si>
    <t>Corpo de BTCC 3,00 x 3,00 m - moldado no local - altura do aterro 2,50 a 5,00 m - areia e brita comerciais</t>
  </si>
  <si>
    <t>0705391</t>
  </si>
  <si>
    <t>Corpo de BTCC 3,00 x 3,00 m - moldado no local - altura do aterro 2,50 a 5,00 m - areia extraída e brita produzida</t>
  </si>
  <si>
    <t>0705395</t>
  </si>
  <si>
    <t>Corpo de BTCC 3,00 x 3,00 m - moldado no local - altura do aterro 5,00 a 7,50 m - areia e brita comerciais</t>
  </si>
  <si>
    <t>0705394</t>
  </si>
  <si>
    <t>Corpo de BTCC 3,00 x 3,00 m - moldado no local - altura do aterro 5,00 a 7,50 m - areia extraída e brita produzida</t>
  </si>
  <si>
    <t>0705397</t>
  </si>
  <si>
    <t>Corpo de BTCC 3,00 x 3,00 m - moldado no local - altura do aterro 7,50 a 10,00 m - areia e brita comerciais</t>
  </si>
  <si>
    <t>0705396</t>
  </si>
  <si>
    <t>Corpo de BTCC 3,00 x 3,00 m - moldado no local - altura do aterro 7,50 a 10,00 m - areia extraída e brita produzida</t>
  </si>
  <si>
    <t>0804213</t>
  </si>
  <si>
    <t>Boca de BDTC D = 0,80 m - esconsidade 0° - areia e brita comerciais - alas retas</t>
  </si>
  <si>
    <t>0804212</t>
  </si>
  <si>
    <t>Boca de BDTC D = 0,80 m - esconsidade 0° - areia extraída e brita produzida - alas retas</t>
  </si>
  <si>
    <t>0804217</t>
  </si>
  <si>
    <t>Boca de BDTC D = 0,80 m - esconsidade 10° - areia e brita comerciais - alas retas</t>
  </si>
  <si>
    <t>0804216</t>
  </si>
  <si>
    <t>Boca de BDTC D = 0,80 m - esconsidade 10° - areia extraída e brita produzida - alas retas</t>
  </si>
  <si>
    <t>0804219</t>
  </si>
  <si>
    <t>Boca de BDTC D = 0,80 m - esconsidade 15° - areia e brita comerciais - alas retas</t>
  </si>
  <si>
    <t>0804218</t>
  </si>
  <si>
    <t>Boca de BDTC D = 0,80 m - esconsidade 15° - areia extraída e brita produzida - alas retas</t>
  </si>
  <si>
    <t>0804221</t>
  </si>
  <si>
    <t>Boca de BDTC D = 0,80 m - esconsidade 20° - areia e brita comerciais - alas retas</t>
  </si>
  <si>
    <t>0804220</t>
  </si>
  <si>
    <t>Boca de BDTC D = 0,80 m - esconsidade 20° - areia extraída e brita produzida - alas retas</t>
  </si>
  <si>
    <t>0804223</t>
  </si>
  <si>
    <t>Boca de BDTC D = 0,80 m - esconsidade 25° - areia e brita comerciais - alas retas</t>
  </si>
  <si>
    <t>0804222</t>
  </si>
  <si>
    <t>Boca de BDTC D = 0,80 m - esconsidade 25° - areia extraída e brita produzida - alas retas</t>
  </si>
  <si>
    <t>0804225</t>
  </si>
  <si>
    <t>Boca de BDTC D = 0,80 m - esconsidade 30° - areia e brita comerciais - alas retas</t>
  </si>
  <si>
    <t>0804224</t>
  </si>
  <si>
    <t>Boca de BDTC D = 0,80 m - esconsidade 30° - areia extraída e brita produzida - alas retas</t>
  </si>
  <si>
    <t>0804227</t>
  </si>
  <si>
    <t>Boca de BDTC D = 0,80 m - esconsidade 35° - areia e brita comerciais - alas retas</t>
  </si>
  <si>
    <t>0804226</t>
  </si>
  <si>
    <t>Boca de BDTC D = 0,80 m - esconsidade 35° - areia extraída e brita produzida - alas retas</t>
  </si>
  <si>
    <t>0804229</t>
  </si>
  <si>
    <t>Boca de BDTC D = 0,80 m - esconsidade 40° - areia e brita comerciais - alas retas</t>
  </si>
  <si>
    <t>0804228</t>
  </si>
  <si>
    <t>Boca de BDTC D = 0,80 m - esconsidade 40° - areia extraída e brita produzida - alas retas</t>
  </si>
  <si>
    <t>0804231</t>
  </si>
  <si>
    <t>Boca de BDTC D = 0,80 m - esconsidade 45° - areia e brita comerciais - alas retas</t>
  </si>
  <si>
    <t>0804230</t>
  </si>
  <si>
    <t>Boca de BDTC D = 0,80 m - esconsidade 45° - areia extraída e brita produzida - alas retas</t>
  </si>
  <si>
    <t>0804215</t>
  </si>
  <si>
    <t>Boca de BDTC D = 0,80 m - esconsidade 5° - areia e brita comerciais - alas retas</t>
  </si>
  <si>
    <t>0804214</t>
  </si>
  <si>
    <t>Boca de BDTC D = 0,80 m - esconsidade 5° - areia extraída e brita produzida - alas retas</t>
  </si>
  <si>
    <t>0804417</t>
  </si>
  <si>
    <t>Boca de BDTC D = 1,00 m - esconsidade 0° - areia e brita comerciais - alas esconsas</t>
  </si>
  <si>
    <t>0804233</t>
  </si>
  <si>
    <t>Boca de BDTC D = 1,00 m - esconsidade 0° - areia e brita comerciais - alas retas</t>
  </si>
  <si>
    <t>0804416</t>
  </si>
  <si>
    <t>Boca de BDTC D = 1,00 m - esconsidade 0° - areia extraída e brita produzida - alas esconsas</t>
  </si>
  <si>
    <t>0804232</t>
  </si>
  <si>
    <t>Boca de BDTC D = 1,00 m - esconsidade 0° - areia extraída e brita produzida - alas retas</t>
  </si>
  <si>
    <t>0804237</t>
  </si>
  <si>
    <t>Boca de BDTC D = 1,00 m - esconsidade 10° - areia e brita comerciais - alas retas</t>
  </si>
  <si>
    <t>0804236</t>
  </si>
  <si>
    <t>Boca de BDTC D = 1,00 m - esconsidade 10° - areia extraída e brita produzida - alas retas</t>
  </si>
  <si>
    <t>0804419</t>
  </si>
  <si>
    <t>Boca de BDTC D = 1,00 m - esconsidade 15° - areia e brita comerciais - alas esconsas</t>
  </si>
  <si>
    <t>0804239</t>
  </si>
  <si>
    <t>Boca de BDTC D = 1,00 m - esconsidade 15° - areia e brita comerciais - alas retas</t>
  </si>
  <si>
    <t>0804418</t>
  </si>
  <si>
    <t>Boca de BDTC D = 1,00 m - esconsidade 15° - areia extraída e brita produzida - alas esconsas</t>
  </si>
  <si>
    <t>0804238</t>
  </si>
  <si>
    <t>Boca de BDTC D = 1,00 m - esconsidade 15° - areia extraída e brita produzida - alas retas</t>
  </si>
  <si>
    <t>0804241</t>
  </si>
  <si>
    <t>Boca de BDTC D = 1,00 m - esconsidade 20° - areia e brita comerciais - alas retas</t>
  </si>
  <si>
    <t>0804240</t>
  </si>
  <si>
    <t>Boca de BDTC D = 1,00 m - esconsidade 20° - areia extraída e brita produzida - alas retas</t>
  </si>
  <si>
    <t>0804243</t>
  </si>
  <si>
    <t>Boca de BDTC D = 1,00 m - esconsidade 25° - areia e brita comerciais - alas retas</t>
  </si>
  <si>
    <t>0804242</t>
  </si>
  <si>
    <t>Boca de BDTC D = 1,00 m - esconsidade 25° - areia extraída e brita produzida - alas retas</t>
  </si>
  <si>
    <t>0804421</t>
  </si>
  <si>
    <t>Boca de BDTC D = 1,00 m - esconsidade 30° - areia e brita comerciais - alas esconsas</t>
  </si>
  <si>
    <t>0804245</t>
  </si>
  <si>
    <t>Boca de BDTC D = 1,00 m - esconsidade 30° - areia e brita comerciais - alas retas</t>
  </si>
  <si>
    <t>0804420</t>
  </si>
  <si>
    <t>Boca de BDTC D = 1,00 m - esconsidade 30° - areia extraída e brita produzida - alas esconsas</t>
  </si>
  <si>
    <t>0804244</t>
  </si>
  <si>
    <t>Boca de BDTC D = 1,00 m - esconsidade 30° - areia extraída e brita produzida - alas retas</t>
  </si>
  <si>
    <t>0804247</t>
  </si>
  <si>
    <t>Boca de BDTC D = 1,00 m - esconsidade 35° - areia e brita comerciais - alas retas</t>
  </si>
  <si>
    <t>0804246</t>
  </si>
  <si>
    <t>Boca de BDTC D = 1,00 m - esconsidade 35° - areia extraída e brita produzida - alas retas</t>
  </si>
  <si>
    <t>0804249</t>
  </si>
  <si>
    <t>Boca de BDTC D = 1,00 m - esconsidade 40° - areia e brita comerciais - alas retas</t>
  </si>
  <si>
    <t>0804248</t>
  </si>
  <si>
    <t>Boca de BDTC D = 1,00 m - esconsidade 40° - areia extraída e brita produzida - alas retas</t>
  </si>
  <si>
    <t>0804423</t>
  </si>
  <si>
    <t>Boca de BDTC D = 1,00 m - esconsidade 45° - areia e brita comerciais - alas esconsas</t>
  </si>
  <si>
    <t>0804251</t>
  </si>
  <si>
    <t>Boca de BDTC D = 1,00 m - esconsidade 45° - areia e brita comerciais - alas retas</t>
  </si>
  <si>
    <t>0804422</t>
  </si>
  <si>
    <t>Boca de BDTC D = 1,00 m - esconsidade 45° - areia extraída e brita produzida - alas esconsas</t>
  </si>
  <si>
    <t>0804250</t>
  </si>
  <si>
    <t>Boca de BDTC D = 1,00 m - esconsidade 45° - areia extraída e brita produzida - alas retas</t>
  </si>
  <si>
    <t>0804235</t>
  </si>
  <si>
    <t>Boca de BDTC D = 1,00 m - esconsidade 5° - areia e brita comerciais - alas retas</t>
  </si>
  <si>
    <t>0804234</t>
  </si>
  <si>
    <t>Boca de BDTC D = 1,00 m - esconsidade 5° - areia extraída e brita produzida - alas retas</t>
  </si>
  <si>
    <t>0804425</t>
  </si>
  <si>
    <t>Boca de BDTC D = 1,20 m - esconsidade 0° - areia e brita comerciais - alas esconsas</t>
  </si>
  <si>
    <t>0804253</t>
  </si>
  <si>
    <t>Boca de BDTC D = 1,20 m - esconsidade 0° - areia e brita comerciais - alas retas</t>
  </si>
  <si>
    <t>0804424</t>
  </si>
  <si>
    <t>Boca de BDTC D = 1,20 m - esconsidade 0° - areia extraída e brita produzida - alas esconsas</t>
  </si>
  <si>
    <t>0804252</t>
  </si>
  <si>
    <t>Boca de BDTC D = 1,20 m - esconsidade 0° - areia extraída e brita produzida - alas retas</t>
  </si>
  <si>
    <t>0804257</t>
  </si>
  <si>
    <t>Boca de BDTC D = 1,20 m - esconsidade 10° - areia e brita comerciais - alas retas</t>
  </si>
  <si>
    <t>0804256</t>
  </si>
  <si>
    <t>Boca de BDTC D = 1,20 m - esconsidade 10° - areia extraída e brita produzida - alas retas</t>
  </si>
  <si>
    <t>0804427</t>
  </si>
  <si>
    <t>Boca de BDTC D = 1,20 m - esconsidade 15° - areia e brita comerciais - alas esconsas</t>
  </si>
  <si>
    <t>0804259</t>
  </si>
  <si>
    <t>Boca de BDTC D = 1,20 m - esconsidade 15° - areia e brita comerciais - alas retas</t>
  </si>
  <si>
    <t>0804426</t>
  </si>
  <si>
    <t>Boca de BDTC D = 1,20 m - esconsidade 15° - areia extraída e brita produzida - alas esconsas</t>
  </si>
  <si>
    <t>0804258</t>
  </si>
  <si>
    <t>Boca de BDTC D = 1,20 m - esconsidade 15° - areia extraída e brita produzida - alas retas</t>
  </si>
  <si>
    <t>0804261</t>
  </si>
  <si>
    <t>Boca de BDTC D = 1,20 m - esconsidade 20° - areia e brita comerciais - alas retas</t>
  </si>
  <si>
    <t>0804260</t>
  </si>
  <si>
    <t>Boca de BDTC D = 1,20 m - esconsidade 20° - areia extraída e brita produzida - alas retas</t>
  </si>
  <si>
    <t>0804263</t>
  </si>
  <si>
    <t>Boca de BDTC D = 1,20 m - esconsidade 25° - areia e brita comerciais - alas retas</t>
  </si>
  <si>
    <t>0804262</t>
  </si>
  <si>
    <t>Boca de BDTC D = 1,20 m - esconsidade 25° - areia extraída e brita produzida - alas retas</t>
  </si>
  <si>
    <t>0804429</t>
  </si>
  <si>
    <t>Boca de BDTC D = 1,20 m - esconsidade 30° - areia e brita comerciais - alas esconsas</t>
  </si>
  <si>
    <t>0804265</t>
  </si>
  <si>
    <t>Boca de BDTC D = 1,20 m - esconsidade 30° - areia e brita comerciais - alas retas</t>
  </si>
  <si>
    <t>0804428</t>
  </si>
  <si>
    <t>Boca de BDTC D = 1,20 m - esconsidade 30° - areia extraída e brita produzida - alas esconsas</t>
  </si>
  <si>
    <t>0804264</t>
  </si>
  <si>
    <t>Boca de BDTC D = 1,20 m - esconsidade 30° - areia extraída e brita produzida - alas retas</t>
  </si>
  <si>
    <t>0804267</t>
  </si>
  <si>
    <t>Boca de BDTC D = 1,20 m - esconsidade 35° - areia e brita comerciais - alas retas</t>
  </si>
  <si>
    <t>0804266</t>
  </si>
  <si>
    <t>Boca de BDTC D = 1,20 m - esconsidade 35° - areia extraída e brita produzida - alas retas</t>
  </si>
  <si>
    <t>0804269</t>
  </si>
  <si>
    <t>Boca de BDTC D = 1,20 m - esconsidade 40° - areia e brita comerciais - alas retas</t>
  </si>
  <si>
    <t>0804268</t>
  </si>
  <si>
    <t>Boca de BDTC D = 1,20 m - esconsidade 40° - areia extraída e brita produzida - alas retas</t>
  </si>
  <si>
    <t>0804431</t>
  </si>
  <si>
    <t>Boca de BDTC D = 1,20 m - esconsidade 45° - areia e brita comerciais - alas esconsas</t>
  </si>
  <si>
    <t>0804271</t>
  </si>
  <si>
    <t>Boca de BDTC D = 1,20 m - esconsidade 45° - areia e brita comerciais - alas retas</t>
  </si>
  <si>
    <t>0804430</t>
  </si>
  <si>
    <t>Boca de BDTC D = 1,20 m - esconsidade 45° - areia extraída e brita produzida - alas esconsas</t>
  </si>
  <si>
    <t>0804270</t>
  </si>
  <si>
    <t>Boca de BDTC D = 1,20 m - esconsidade 45° - areia extraída e brita produzida - alas retas</t>
  </si>
  <si>
    <t>0804255</t>
  </si>
  <si>
    <t>Boca de BDTC D = 1,20 m - esconsidade 5° - areia e brita comerciais - alas retas</t>
  </si>
  <si>
    <t>0804254</t>
  </si>
  <si>
    <t>Boca de BDTC D = 1,20 m - esconsidade 5° - areia extraída e brita produzida - alas retas</t>
  </si>
  <si>
    <t>0804433</t>
  </si>
  <si>
    <t>Boca de BDTC D = 1,50 m - esconsidade 0° - areia e brita comerciais - alas esconsas</t>
  </si>
  <si>
    <t>0804273</t>
  </si>
  <si>
    <t>Boca de BDTC D = 1,50 m - esconsidade 0° - areia e brita comerciais - alas retas</t>
  </si>
  <si>
    <t>0804432</t>
  </si>
  <si>
    <t>Boca de BDTC D = 1,50 m - esconsidade 0° - areia extraída e brita produzida - alas esconsas</t>
  </si>
  <si>
    <t>0804272</t>
  </si>
  <si>
    <t>Boca de BDTC D = 1,50 m - esconsidade 0° - areia extraída e brita produzida - alas retas</t>
  </si>
  <si>
    <t>0804277</t>
  </si>
  <si>
    <t>Boca de BDTC D = 1,50 m - esconsidade 10° - areia e brita comerciais - alas retas</t>
  </si>
  <si>
    <t>0804276</t>
  </si>
  <si>
    <t>Boca de BDTC D = 1,50 m - esconsidade 10° - areia extraída e brita produzida - alas retas</t>
  </si>
  <si>
    <t>0804435</t>
  </si>
  <si>
    <t>Boca de BDTC D = 1,50 m - esconsidade 15° - areia e brita comerciais - alas esconsas</t>
  </si>
  <si>
    <t>0804279</t>
  </si>
  <si>
    <t>Boca de BDTC D = 1,50 m - esconsidade 15° - areia e brita comerciais - alas retas</t>
  </si>
  <si>
    <t>0804434</t>
  </si>
  <si>
    <t>Boca de BDTC D = 1,50 m - esconsidade 15° - areia extraída e brita produzida - alas esconsas</t>
  </si>
  <si>
    <t>0804278</t>
  </si>
  <si>
    <t>Boca de BDTC D = 1,50 m - esconsidade 15° - areia extraída e brita produzida - alas retas</t>
  </si>
  <si>
    <t>0804281</t>
  </si>
  <si>
    <t>Boca de BDTC D = 1,50 m - esconsidade 20° - areia e brita comerciais - alas retas</t>
  </si>
  <si>
    <t>0804280</t>
  </si>
  <si>
    <t>Boca de BDTC D = 1,50 m - esconsidade 20° - areia extraída e brita produzida - alas retas</t>
  </si>
  <si>
    <t>0804283</t>
  </si>
  <si>
    <t>Boca de BDTC D = 1,50 m - esconsidade 25° - areia e brita comerciais - alas retas</t>
  </si>
  <si>
    <t>0804282</t>
  </si>
  <si>
    <t>Boca de BDTC D = 1,50 m - esconsidade 25° - areia extraída e brita produzida - alas retas</t>
  </si>
  <si>
    <t>0804437</t>
  </si>
  <si>
    <t>Boca de BDTC D = 1,50 m - esconsidade 30° - areia e brita comerciais - alas esconsas</t>
  </si>
  <si>
    <t>0804285</t>
  </si>
  <si>
    <t>Boca de BDTC D = 1,50 m - esconsidade 30° - areia e brita comerciais - alas retas</t>
  </si>
  <si>
    <t>0804436</t>
  </si>
  <si>
    <t>Boca de BDTC D = 1,50 m - esconsidade 30° - areia extraída e brita produzida - alas esconsas</t>
  </si>
  <si>
    <t>0804284</t>
  </si>
  <si>
    <t>Boca de BDTC D = 1,50 m - esconsidade 30° - areia extraída e brita produzida - alas retas</t>
  </si>
  <si>
    <t>0804287</t>
  </si>
  <si>
    <t>Boca de BDTC D = 1,50 m - esconsidade 35° - areia e brita comerciais - alas retas</t>
  </si>
  <si>
    <t>0804286</t>
  </si>
  <si>
    <t>Boca de BDTC D = 1,50 m - esconsidade 35° - areia extraída e brita produzida - alas retas</t>
  </si>
  <si>
    <t>0804289</t>
  </si>
  <si>
    <t>Boca de BDTC D = 1,50 m - esconsidade 40° - areia e brita comerciais - alas retas</t>
  </si>
  <si>
    <t>0804288</t>
  </si>
  <si>
    <t>Boca de BDTC D = 1,50 m - esconsidade 40° - areia extraída e brita produzida - alas retas</t>
  </si>
  <si>
    <t>0804439</t>
  </si>
  <si>
    <t>Boca de BDTC D = 1,50 m - esconsidade 45° - areia e brita comerciais - alas esconsas</t>
  </si>
  <si>
    <t>0804291</t>
  </si>
  <si>
    <t>Boca de BDTC D = 1,50 m - esconsidade 45° - areia e brita comerciais - alas retas</t>
  </si>
  <si>
    <t>0804438</t>
  </si>
  <si>
    <t>Boca de BDTC D = 1,50 m - esconsidade 45° - areia extraída e brita produzida - alas esconsas</t>
  </si>
  <si>
    <t>0804290</t>
  </si>
  <si>
    <t>Boca de BDTC D = 1,50 m - esconsidade 45° - areia extraída e brita produzida - alas retas</t>
  </si>
  <si>
    <t>0804275</t>
  </si>
  <si>
    <t>Boca de BDTC D = 1,50 m - esconsidade 5° - areia e brita comerciais - alas retas</t>
  </si>
  <si>
    <t>0804274</t>
  </si>
  <si>
    <t>Boca de BDTC D = 1,50 m - esconsidade 5° - areia extraída e brita produzida - alas retas</t>
  </si>
  <si>
    <t>0804061</t>
  </si>
  <si>
    <t>Boca de BSTC D = 0,40 m - esconsidade 0° - areia e brita comerciais - alas retas</t>
  </si>
  <si>
    <t>0804060</t>
  </si>
  <si>
    <t>Boca de BSTC D = 0,40 m - esconsidade 0° - areia extraída e brita produzida - alas retas</t>
  </si>
  <si>
    <t>0804065</t>
  </si>
  <si>
    <t>Boca de BSTC D = 0,40 m - esconsidade 10° - areia e brita comerciais - alas retas</t>
  </si>
  <si>
    <t>0804064</t>
  </si>
  <si>
    <t>Boca de BSTC D = 0,40 m - esconsidade 10° - areia extraída e brita produzida - alas retas</t>
  </si>
  <si>
    <t>0804067</t>
  </si>
  <si>
    <t>Boca de BSTC D = 0,40 m - esconsidade 15° - areia e brita comerciais - alas retas</t>
  </si>
  <si>
    <t>0804066</t>
  </si>
  <si>
    <t>Boca de BSTC D = 0,40 m - esconsidade 15° - areia extraída e brita produzida - alas retas</t>
  </si>
  <si>
    <t>0804069</t>
  </si>
  <si>
    <t>Boca de BSTC D = 0,40 m - esconsidade 20° - areia e brita comerciais - alas retas</t>
  </si>
  <si>
    <t>0804068</t>
  </si>
  <si>
    <t>Boca de BSTC D = 0,40 m - esconsidade 20° - areia extraída e brita produzida - alas retas</t>
  </si>
  <si>
    <t>0804071</t>
  </si>
  <si>
    <t>Boca de BSTC D = 0,40 m - esconsidade 25° - areia e brita comerciais - alas retas</t>
  </si>
  <si>
    <t>0804070</t>
  </si>
  <si>
    <t>Boca de BSTC D = 0,40 m - esconsidade 25° - areia extraída e brita produzida - alas retas</t>
  </si>
  <si>
    <t>0804073</t>
  </si>
  <si>
    <t>Boca de BSTC D = 0,40 m - esconsidade 30° - areia e brita comerciais - alas retas</t>
  </si>
  <si>
    <t>0804072</t>
  </si>
  <si>
    <t>Boca de BSTC D = 0,40 m - esconsidade 30° - areia extraída e brita produzida - alas retas</t>
  </si>
  <si>
    <t>0804075</t>
  </si>
  <si>
    <t>Boca de BSTC D = 0,40 m - esconsidade 35° - areia e brita comerciais - alas retas</t>
  </si>
  <si>
    <t>0804074</t>
  </si>
  <si>
    <t>Boca de BSTC D = 0,40 m - esconsidade 35° - areia extraída e brita produzida - alas retas</t>
  </si>
  <si>
    <t>0804077</t>
  </si>
  <si>
    <t>Boca de BSTC D = 0,40 m - esconsidade 40° - areia e brita comerciais - alas retas</t>
  </si>
  <si>
    <t>0804076</t>
  </si>
  <si>
    <t>Boca de BSTC D = 0,40 m - esconsidade 40° - areia extraída e brita produzida - alas retas</t>
  </si>
  <si>
    <t>0804079</t>
  </si>
  <si>
    <t>Boca de BSTC D = 0,40 m - esconsidade 45° - areia e brita comerciais - alas retas</t>
  </si>
  <si>
    <t>0804078</t>
  </si>
  <si>
    <t>Boca de BSTC D = 0,40 m - esconsidade 45° - areia extraída e brita produzida - alas retas</t>
  </si>
  <si>
    <t>0804063</t>
  </si>
  <si>
    <t>Boca de BSTC D = 0,40 m - esconsidade 5° - areia e brita comerciais - alas retas</t>
  </si>
  <si>
    <t>0804062</t>
  </si>
  <si>
    <t>Boca de BSTC D = 0,40 m - esconsidade 5° - areia extraída e brita produzida - alas retas</t>
  </si>
  <si>
    <t>0804377</t>
  </si>
  <si>
    <t>Boca de BSTC D = 0,60 m - esconsidade 0° - areia e brita comerciais - alas esconsas</t>
  </si>
  <si>
    <t>0804081</t>
  </si>
  <si>
    <t>Boca de BSTC D = 0,60 m - esconsidade 0° - areia e brita comerciais - alas retas</t>
  </si>
  <si>
    <t>0804376</t>
  </si>
  <si>
    <t>Boca de BSTC D = 0,60 m - esconsidade 0° - areia extraída e brita produzida - alas esconsas</t>
  </si>
  <si>
    <t>0804080</t>
  </si>
  <si>
    <t>Boca de BSTC D = 0,60 m - esconsidade 0° - areia extraída e brita produzida - alas retas</t>
  </si>
  <si>
    <t>0804085</t>
  </si>
  <si>
    <t>Boca de BSTC D = 0,60 m - esconsidade 10° - areia e brita comerciais - alas retas</t>
  </si>
  <si>
    <t>0804084</t>
  </si>
  <si>
    <t>Boca de BSTC D = 0,60 m - esconsidade 10° - areia extraída e brita produzida - alas retas</t>
  </si>
  <si>
    <t>0804379</t>
  </si>
  <si>
    <t>Boca de BSTC D = 0,60 m - esconsidade 15° - areia e brita comerciais - alas esconsas</t>
  </si>
  <si>
    <t>0804087</t>
  </si>
  <si>
    <t>Boca de BSTC D = 0,60 m - esconsidade 15° - areia e brita comerciais - alas retas</t>
  </si>
  <si>
    <t>0804378</t>
  </si>
  <si>
    <t>Boca de BSTC D = 0,60 m - esconsidade 15° - areia extraída e brita produzida - alas esconsas</t>
  </si>
  <si>
    <t>0804086</t>
  </si>
  <si>
    <t>Boca de BSTC D = 0,60 m - esconsidade 15° - areia extraída e brita produzida - alas retas</t>
  </si>
  <si>
    <t>0804089</t>
  </si>
  <si>
    <t>Boca de BSTC D = 0,60 m - esconsidade 20° - areia e brita comerciais - alas retas</t>
  </si>
  <si>
    <t>0804088</t>
  </si>
  <si>
    <t>Boca de BSTC D = 0,60 m - esconsidade 20° - areia extraída e brita produzida - alas retas</t>
  </si>
  <si>
    <t>0804091</t>
  </si>
  <si>
    <t>Boca de BSTC D = 0,60 m - esconsidade 25° - areia e brita comerciais - alas retas</t>
  </si>
  <si>
    <t>0804090</t>
  </si>
  <si>
    <t>Boca de BSTC D = 0,60 m - esconsidade 25° - areia extraída e brita produzida - alas retas</t>
  </si>
  <si>
    <t>0804381</t>
  </si>
  <si>
    <t>Boca de BSTC D = 0,60 m - esconsidade 30° - areia e brita comerciais - alas esconsas</t>
  </si>
  <si>
    <t>0804093</t>
  </si>
  <si>
    <t>Boca de BSTC D = 0,60 m - esconsidade 30° - areia e brita comerciais - alas retas</t>
  </si>
  <si>
    <t>0804380</t>
  </si>
  <si>
    <t>Boca de BSTC D = 0,60 m - esconsidade 30° - areia extraída e brita produzida - alas esconsas</t>
  </si>
  <si>
    <t>0804092</t>
  </si>
  <si>
    <t>Boca de BSTC D = 0,60 m - esconsidade 30° - areia extraída e brita produzida - alas retas</t>
  </si>
  <si>
    <t>0804095</t>
  </si>
  <si>
    <t>Boca de BSTC D = 0,60 m - esconsidade 35° - areia e brita comerciais - alas retas</t>
  </si>
  <si>
    <t>0804094</t>
  </si>
  <si>
    <t>Boca de BSTC D = 0,60 m - esconsidade 35° - areia extraída e brita produzida - alas retas</t>
  </si>
  <si>
    <t>0804097</t>
  </si>
  <si>
    <t>Boca de BSTC D = 0,60 m - esconsidade 40° - areia e brita comerciais - alas retas</t>
  </si>
  <si>
    <t>0804096</t>
  </si>
  <si>
    <t>Boca de BSTC D = 0,60 m - esconsidade 40° - areia extraída e brita produzida - alas retas</t>
  </si>
  <si>
    <t>0804383</t>
  </si>
  <si>
    <t>Boca de BSTC D = 0,60 m - esconsidade 45° - areia e brita comerciais - alas esconsas</t>
  </si>
  <si>
    <t>0804099</t>
  </si>
  <si>
    <t>Boca de BSTC D = 0,60 m - esconsidade 45° - areia e brita comerciais - alas retas</t>
  </si>
  <si>
    <t>0804382</t>
  </si>
  <si>
    <t>Boca de BSTC D = 0,60 m - esconsidade 45° - areia extraída e brita produzida - alas esconsas</t>
  </si>
  <si>
    <t>0804098</t>
  </si>
  <si>
    <t>Boca de BSTC D = 0,60 m - esconsidade 45° - areia extraída e brita produzida - alas retas</t>
  </si>
  <si>
    <t>0804083</t>
  </si>
  <si>
    <t>Boca de BSTC D = 0,60 m - esconsidade 5° - areia e brita comerciais - alas retas</t>
  </si>
  <si>
    <t>0804082</t>
  </si>
  <si>
    <t>Boca de BSTC D = 0,60 m - esconsidade 5° - areia extraída e brita produzida - alas retas</t>
  </si>
  <si>
    <t>0804385</t>
  </si>
  <si>
    <t>Boca de BSTC D = 0,80 m - esconsidade 0° - areia e brita comerciais - alas esconsas</t>
  </si>
  <si>
    <t>0804101</t>
  </si>
  <si>
    <t>Boca de BSTC D = 0,80 m - esconsidade 0° - areia e brita comerciais - alas retas</t>
  </si>
  <si>
    <t>0804384</t>
  </si>
  <si>
    <t>Boca de BSTC D = 0,80 m - esconsidade 0° - areia extraída e brita produzida - alas esconsas</t>
  </si>
  <si>
    <t>0804100</t>
  </si>
  <si>
    <t>Boca de BSTC D = 0,80 m - esconsidade 0° - areia extraída e brita produzida - alas retas</t>
  </si>
  <si>
    <t>0804105</t>
  </si>
  <si>
    <t>Boca de BSTC D = 0,80 m - esconsidade 10° - areia e brita comerciais - alas retas</t>
  </si>
  <si>
    <t>0804104</t>
  </si>
  <si>
    <t>Boca de BSTC D = 0,80 m - esconsidade 10° - areia extraída e brita produzida - alas retas</t>
  </si>
  <si>
    <t>0804387</t>
  </si>
  <si>
    <t>Boca de BSTC D = 0,80 m - esconsidade 15° - areia e brita comerciais - alas esconsas</t>
  </si>
  <si>
    <t>0804107</t>
  </si>
  <si>
    <t>Boca de BSTC D = 0,80 m - esconsidade 15° - areia e brita comerciais - alas retas</t>
  </si>
  <si>
    <t>0804386</t>
  </si>
  <si>
    <t>Boca de BSTC D = 0,80 m - esconsidade 15° - areia extraída e brita produzida - alas esconsas</t>
  </si>
  <si>
    <t>0804106</t>
  </si>
  <si>
    <t>Boca de BSTC D = 0,80 m - esconsidade 15° - areia extraída e brita produzida - alas retas</t>
  </si>
  <si>
    <t>0804109</t>
  </si>
  <si>
    <t>Boca de BSTC D = 0,80 m - esconsidade 20° - areia e brita comerciais - alas retas</t>
  </si>
  <si>
    <t>0804108</t>
  </si>
  <si>
    <t>Boca de BSTC D = 0,80 m - esconsidade 20° - areia extraída e brita produzida - alas retas</t>
  </si>
  <si>
    <t>0804111</t>
  </si>
  <si>
    <t>Boca de BSTC D = 0,80 m - esconsidade 25° - areia e brita comerciais - alas retas</t>
  </si>
  <si>
    <t>0804110</t>
  </si>
  <si>
    <t>Boca de BSTC D = 0,80 m - esconsidade 25° - areia extraída e brita produzida - alas retas</t>
  </si>
  <si>
    <t>0804389</t>
  </si>
  <si>
    <t>Boca de BSTC D = 0,80 m - esconsidade 30° - areia e brita comerciais - alas esconsas</t>
  </si>
  <si>
    <t>0804113</t>
  </si>
  <si>
    <t>Boca de BSTC D = 0,80 m - esconsidade 30° - areia e brita comerciais - alas retas</t>
  </si>
  <si>
    <t>0804388</t>
  </si>
  <si>
    <t>Boca de BSTC D = 0,80 m - esconsidade 30° - areia extraída e brita produzida - alas esconsas</t>
  </si>
  <si>
    <t>0804112</t>
  </si>
  <si>
    <t>Boca de BSTC D = 0,80 m - esconsidade 30° - areia extraída e brita produzida - alas retas</t>
  </si>
  <si>
    <t>0804115</t>
  </si>
  <si>
    <t>Boca de BSTC D = 0,80 m - esconsidade 35° - areia e brita comerciais - alas retas</t>
  </si>
  <si>
    <t>0804114</t>
  </si>
  <si>
    <t>Boca de BSTC D = 0,80 m - esconsidade 35° - areia extraída e brita produzida - alas retas</t>
  </si>
  <si>
    <t>0804117</t>
  </si>
  <si>
    <t>Boca de BSTC D = 0,80 m - esconsidade 40° - areia e brita comerciais - alas retas</t>
  </si>
  <si>
    <t>0804116</t>
  </si>
  <si>
    <t>Boca de BSTC D = 0,80 m - esconsidade 40° - areia extraída e brita produzida - alas retas</t>
  </si>
  <si>
    <t>0804391</t>
  </si>
  <si>
    <t>Boca de BSTC D = 0,80 m - esconsidade 45° - areia e brita comerciais - alas esconsas</t>
  </si>
  <si>
    <t>0804119</t>
  </si>
  <si>
    <t>Boca de BSTC D = 0,80 m - esconsidade 45° - areia e brita comerciais - alas retas</t>
  </si>
  <si>
    <t>0804390</t>
  </si>
  <si>
    <t>Boca de BSTC D = 0,80 m - esconsidade 45° - areia extraída e brita produzida - alas esconsas</t>
  </si>
  <si>
    <t>0804118</t>
  </si>
  <si>
    <t>Boca de BSTC D = 0,80 m - esconsidade 45° - areia extraída e brita produzida - alas retas</t>
  </si>
  <si>
    <t>0804103</t>
  </si>
  <si>
    <t>Boca de BSTC D = 0,80 m - esconsidade 5° - areia e brita comerciais - alas retas</t>
  </si>
  <si>
    <t>0804102</t>
  </si>
  <si>
    <t>Boca de BSTC D = 0,80 m - esconsidade 5° - areia extraída e brita produzida - alas retas</t>
  </si>
  <si>
    <t>0804393</t>
  </si>
  <si>
    <t>Boca de BSTC D = 1,00 m - esconsidade 0° - areia e brita comerciais - alas esconsas</t>
  </si>
  <si>
    <t>0804121</t>
  </si>
  <si>
    <t>Boca de BSTC D = 1,00 m - esconsidade 0° - areia e brita comerciais - alas retas</t>
  </si>
  <si>
    <t>0804392</t>
  </si>
  <si>
    <t>Boca de BSTC D = 1,00 m - esconsidade 0° - areia extraída e brita produzida - alas esconsas</t>
  </si>
  <si>
    <t>0804120</t>
  </si>
  <si>
    <t>Boca de BSTC D = 1,00 m - esconsidade 0° - areia extraída e brita produzida - alas retas</t>
  </si>
  <si>
    <t>0804125</t>
  </si>
  <si>
    <t>Boca de BSTC D = 1,00 m - esconsidade 10° - areia e brita comerciais - alas retas</t>
  </si>
  <si>
    <t>0804124</t>
  </si>
  <si>
    <t>Boca de BSTC D = 1,00 m - esconsidade 10° - areia extraída e brita produzida - alas retas</t>
  </si>
  <si>
    <t>0804395</t>
  </si>
  <si>
    <t>Boca de BSTC D = 1,00 m - esconsidade 15° - areia e brita comerciais - alas esconsas</t>
  </si>
  <si>
    <t>0804127</t>
  </si>
  <si>
    <t>Boca de BSTC D = 1,00 m - esconsidade 15° - areia e brita comerciais - alas retas</t>
  </si>
  <si>
    <t>0804394</t>
  </si>
  <si>
    <t>Boca de BSTC D = 1,00 m - esconsidade 15° - areia extraída e brita produzida - alas esconsas</t>
  </si>
  <si>
    <t>0804126</t>
  </si>
  <si>
    <t>Boca de BSTC D = 1,00 m - esconsidade 15° - areia extraída e brita produzida - alas retas</t>
  </si>
  <si>
    <t>0804129</t>
  </si>
  <si>
    <t>Boca de BSTC D = 1,00 m - esconsidade 20° - areia e brita comerciais - alas retas</t>
  </si>
  <si>
    <t>0804128</t>
  </si>
  <si>
    <t>Boca de BSTC D = 1,00 m - esconsidade 20° - areia extraída e brita produzida - alas retas</t>
  </si>
  <si>
    <t>0804131</t>
  </si>
  <si>
    <t>Boca de BSTC D = 1,00 m - esconsidade 25° - areia e brita comerciais - alas retas</t>
  </si>
  <si>
    <t>0804130</t>
  </si>
  <si>
    <t>Boca de BSTC D = 1,00 m - esconsidade 25° - areia extraída e brita produzida - alas retas</t>
  </si>
  <si>
    <t>0804397</t>
  </si>
  <si>
    <t>Boca de BSTC D = 1,00 m - esconsidade 30° - areia e brita comerciais - alas esconsas</t>
  </si>
  <si>
    <t>0804133</t>
  </si>
  <si>
    <t>Boca de BSTC D = 1,00 m - esconsidade 30° - areia e brita comerciais - alas retas</t>
  </si>
  <si>
    <t>0804396</t>
  </si>
  <si>
    <t>Boca de BSTC D = 1,00 m - esconsidade 30° - areia extraída e brita produzida - alas esconsas</t>
  </si>
  <si>
    <t>0804132</t>
  </si>
  <si>
    <t>Boca de BSTC D = 1,00 m - esconsidade 30° - areia extraída e brita produzida - alas retas</t>
  </si>
  <si>
    <t>0804135</t>
  </si>
  <si>
    <t>Boca de BSTC D = 1,00 m - esconsidade 35° - areia e brita comerciais - alas retas</t>
  </si>
  <si>
    <t>0804134</t>
  </si>
  <si>
    <t>Boca de BSTC D = 1,00 m - esconsidade 35° - areia extraída e brita produzida - alas retas</t>
  </si>
  <si>
    <t>0804137</t>
  </si>
  <si>
    <t>Boca de BSTC D = 1,00 m - esconsidade 40° - areia e brita comerciais - alas retas</t>
  </si>
  <si>
    <t>0804136</t>
  </si>
  <si>
    <t>Boca de BSTC D = 1,00 m - esconsidade 40° - areia extraída e brita produzida - alas retas</t>
  </si>
  <si>
    <t>0804399</t>
  </si>
  <si>
    <t>Boca de BSTC D = 1,00 m - esconsidade 45° - areia e brita comerciais - alas esconsas</t>
  </si>
  <si>
    <t>0804139</t>
  </si>
  <si>
    <t>Boca de BSTC D = 1,00 m - esconsidade 45° - areia e brita comerciais - alas retas</t>
  </si>
  <si>
    <t>0804398</t>
  </si>
  <si>
    <t>Boca de BSTC D = 1,00 m - esconsidade 45° - areia extraída e brita produzida - alas esconsas</t>
  </si>
  <si>
    <t>0804138</t>
  </si>
  <si>
    <t>Boca de BSTC D = 1,00 m - esconsidade 45° - areia extraída e brita produzida - alas retas</t>
  </si>
  <si>
    <t>0804123</t>
  </si>
  <si>
    <t>Boca de BSTC D = 1,00 m - esconsidade 5° - areia e brita comerciais - alas retas</t>
  </si>
  <si>
    <t>0804122</t>
  </si>
  <si>
    <t>Boca de BSTC D = 1,00 m - esconsidade 5° - areia extraída e brita produzida - alas retas</t>
  </si>
  <si>
    <t>0804401</t>
  </si>
  <si>
    <t>Boca de BSTC D = 1,20 m - esconsidade 0° - areia e brita comerciais - alas esconsas</t>
  </si>
  <si>
    <t>0804141</t>
  </si>
  <si>
    <t>Boca de BSTC D = 1,20 m - esconsidade 0° - areia e brita comerciais - alas retas</t>
  </si>
  <si>
    <t>0804400</t>
  </si>
  <si>
    <t>Boca de BSTC D = 1,20 m - esconsidade 0° - areia extraída e brita produzida - alas esconsas</t>
  </si>
  <si>
    <t>0804140</t>
  </si>
  <si>
    <t>Boca de BSTC D = 1,20 m - esconsidade 0° - areia extraída e brita produzida - alas retas</t>
  </si>
  <si>
    <t>0804145</t>
  </si>
  <si>
    <t>Boca de BSTC D = 1,20 m - esconsidade 10° - areia e brita comerciais - alas retas</t>
  </si>
  <si>
    <t>0804144</t>
  </si>
  <si>
    <t>Boca de BSTC D = 1,20 m - esconsidade 10° - areia extraída e brita produzida - alas retas</t>
  </si>
  <si>
    <t>0804403</t>
  </si>
  <si>
    <t>Boca de BSTC D = 1,20 m - esconsidade 15° - areia e brita comerciais - alas esconsas</t>
  </si>
  <si>
    <t>0804147</t>
  </si>
  <si>
    <t>Boca de BSTC D = 1,20 m - esconsidade 15° - areia e brita comerciais - alas retas</t>
  </si>
  <si>
    <t>0804402</t>
  </si>
  <si>
    <t>Boca de BSTC D = 1,20 m - esconsidade 15° - areia extraída e brita produzida - alas esconsas</t>
  </si>
  <si>
    <t>0804146</t>
  </si>
  <si>
    <t>Boca de BSTC D = 1,20 m - esconsidade 15° - areia extraída e brita produzida - alas retas</t>
  </si>
  <si>
    <t>0804149</t>
  </si>
  <si>
    <t>Boca de BSTC D = 1,20 m - esconsidade 20° - areia e brita comerciais - alas retas</t>
  </si>
  <si>
    <t>0804148</t>
  </si>
  <si>
    <t>Boca de BSTC D = 1,20 m - esconsidade 20° - areia extraída e brita produzida - alas retas</t>
  </si>
  <si>
    <t>0804151</t>
  </si>
  <si>
    <t>Boca de BSTC D = 1,20 m - esconsidade 25° - areia e brita comerciais - alas retas</t>
  </si>
  <si>
    <t>0804150</t>
  </si>
  <si>
    <t>Boca de BSTC D = 1,20 m - esconsidade 25° - areia extraída e brita produzida - alas retas</t>
  </si>
  <si>
    <t>0804405</t>
  </si>
  <si>
    <t>Boca de BSTC D = 1,20 m - esconsidade 30° - areia e brita comerciais - alas esconsas</t>
  </si>
  <si>
    <t>0804153</t>
  </si>
  <si>
    <t>Boca de BSTC D = 1,20 m - esconsidade 30° - areia e brita comerciais - alas retas</t>
  </si>
  <si>
    <t>0804404</t>
  </si>
  <si>
    <t>Boca de BSTC D = 1,20 m - esconsidade 30° - areia extraída e brita produzida - alas esconsas</t>
  </si>
  <si>
    <t>0804152</t>
  </si>
  <si>
    <t>Boca de BSTC D = 1,20 m - esconsidade 30° - areia extraída e brita produzida - alas retas</t>
  </si>
  <si>
    <t>0804155</t>
  </si>
  <si>
    <t>Boca de BSTC D = 1,20 m - esconsidade 35° - areia e brita comerciais - alas retas</t>
  </si>
  <si>
    <t>0804154</t>
  </si>
  <si>
    <t>Boca de BSTC D = 1,20 m - esconsidade 35° - areia extraída e brita produzida - alas retas</t>
  </si>
  <si>
    <t>0804157</t>
  </si>
  <si>
    <t>Boca de BSTC D = 1,20 m - esconsidade 40° - areia e brita comerciais - alas retas</t>
  </si>
  <si>
    <t>0804156</t>
  </si>
  <si>
    <t>Boca de BSTC D = 1,20 m - esconsidade 40° - areia extraída e brita produzida - alas retas</t>
  </si>
  <si>
    <t>0804407</t>
  </si>
  <si>
    <t>Boca de BSTC D = 1,20 m - esconsidade 45° - areia e brita comerciais - alas esconsas</t>
  </si>
  <si>
    <t>0804159</t>
  </si>
  <si>
    <t>Boca de BSTC D = 1,20 m - esconsidade 45° - areia e brita comerciais - alas retas</t>
  </si>
  <si>
    <t>0804406</t>
  </si>
  <si>
    <t>Boca de BSTC D = 1,20 m - esconsidade 45° - areia extraída e brita produzida - alas esconsas</t>
  </si>
  <si>
    <t>0804158</t>
  </si>
  <si>
    <t>Boca de BSTC D = 1,20 m - esconsidade 45° - areia extraída e brita produzida - alas retas</t>
  </si>
  <si>
    <t>0804143</t>
  </si>
  <si>
    <t>Boca de BSTC D = 1,20 m - esconsidade 5° - areia e brita comerciais - alas retas</t>
  </si>
  <si>
    <t>0804142</t>
  </si>
  <si>
    <t>Boca de BSTC D = 1,20 m - esconsidade 5° - areia extraída e brita produzida - alas retas</t>
  </si>
  <si>
    <t>0804409</t>
  </si>
  <si>
    <t>Boca de BSTC D = 1,50 m - esconsidade 0° - areia e brita comerciais - alas esconsas</t>
  </si>
  <si>
    <t>0804161</t>
  </si>
  <si>
    <t>Boca de BSTC D = 1,50 m - esconsidade 0° - areia e brita comerciais - alas retas</t>
  </si>
  <si>
    <t>0804408</t>
  </si>
  <si>
    <t>Boca de BSTC D = 1,50 m - esconsidade 0° - areia extraída e brita produzida - alas esconsas</t>
  </si>
  <si>
    <t>0804160</t>
  </si>
  <si>
    <t>Boca de BSTC D = 1,50 m - esconsidade 0° - areia extraída e brita produzida - alas retas</t>
  </si>
  <si>
    <t>0804165</t>
  </si>
  <si>
    <t>Boca de BSTC D = 1,50 m - esconsidade 10° - areia e brita comerciais - alas retas</t>
  </si>
  <si>
    <t>0804164</t>
  </si>
  <si>
    <t>Boca de BSTC D = 1,50 m - esconsidade 10° - areia extraída e brita produzida - alas retas</t>
  </si>
  <si>
    <t>0804411</t>
  </si>
  <si>
    <t>Boca de BSTC D = 1,50 m - esconsidade 15° - areia e brita comerciais - alas esconsas</t>
  </si>
  <si>
    <t>0804167</t>
  </si>
  <si>
    <t>Boca de BSTC D = 1,50 m - esconsidade 15° - areia e brita comerciais - alas retas</t>
  </si>
  <si>
    <t>0804410</t>
  </si>
  <si>
    <t>Boca de BSTC D = 1,50 m - esconsidade 15° - areia extraída e brita produzida - alas esconsas</t>
  </si>
  <si>
    <t>0804166</t>
  </si>
  <si>
    <t>Boca de BSTC D = 1,50 m - esconsidade 15° - areia extraída e brita produzida - alas retas</t>
  </si>
  <si>
    <t>0804169</t>
  </si>
  <si>
    <t>Boca de BSTC D = 1,50 m - esconsidade 20° - areia e brita comerciais - alas retas</t>
  </si>
  <si>
    <t>0804168</t>
  </si>
  <si>
    <t>Boca de BSTC D = 1,50 m - esconsidade 20° - areia extraída e brita produzida - alas retas</t>
  </si>
  <si>
    <t>0804171</t>
  </si>
  <si>
    <t>Boca de BSTC D = 1,50 m - esconsidade 25° - areia e brita comerciais - alas retas</t>
  </si>
  <si>
    <t>0804170</t>
  </si>
  <si>
    <t>Boca de BSTC D = 1,50 m - esconsidade 25° - areia extraída e brita produzida - alas retas</t>
  </si>
  <si>
    <t>0804413</t>
  </si>
  <si>
    <t>Boca de BSTC D = 1,50 m - esconsidade 30° - areia e brita comerciais - alas esconsas</t>
  </si>
  <si>
    <t>0804173</t>
  </si>
  <si>
    <t>Boca de BSTC D = 1,50 m - esconsidade 30° - areia e brita comerciais - alas retas</t>
  </si>
  <si>
    <t>0804412</t>
  </si>
  <si>
    <t>Boca de BSTC D = 1,50 m - esconsidade 30° - areia extraída e brita produzida - alas esconsas</t>
  </si>
  <si>
    <t>0804172</t>
  </si>
  <si>
    <t>Boca de BSTC D = 1,50 m - esconsidade 30° - areia extraída e brita produzida - alas retas</t>
  </si>
  <si>
    <t>0804175</t>
  </si>
  <si>
    <t>Boca de BSTC D = 1,50 m - esconsidade 35° - areia e brita comerciais - alas retas</t>
  </si>
  <si>
    <t>0804174</t>
  </si>
  <si>
    <t>Boca de BSTC D = 1,50 m - esconsidade 35° - areia extraída e brita produzida - alas retas</t>
  </si>
  <si>
    <t>0804177</t>
  </si>
  <si>
    <t>Boca de BSTC D = 1,50 m - esconsidade 40° - areia e brita comerciais - alas retas</t>
  </si>
  <si>
    <t>0804176</t>
  </si>
  <si>
    <t>Boca de BSTC D = 1,50 m - esconsidade 40° - areia extraída e brita produzida - alas retas</t>
  </si>
  <si>
    <t>0804415</t>
  </si>
  <si>
    <t>Boca de BSTC D = 1,50 m - esconsidade 45° - areia e brita comerciais - alas esconsas</t>
  </si>
  <si>
    <t>0804179</t>
  </si>
  <si>
    <t>Boca de BSTC D = 1,50 m - esconsidade 45° - areia e brita comerciais - alas retas</t>
  </si>
  <si>
    <t>0804414</t>
  </si>
  <si>
    <t>Boca de BSTC D = 1,50 m - esconsidade 45° - areia extraída e brita produzida - alas esconsas</t>
  </si>
  <si>
    <t>0804178</t>
  </si>
  <si>
    <t>Boca de BSTC D = 1,50 m - esconsidade 45° - areia extraída e brita produzida - alas retas</t>
  </si>
  <si>
    <t>0804163</t>
  </si>
  <si>
    <t>Boca de BSTC D = 1,50 m - esconsidade 5° - areia e brita comerciais - alas retas</t>
  </si>
  <si>
    <t>0804162</t>
  </si>
  <si>
    <t>Boca de BSTC D = 1,50 m - esconsidade 5° - areia extraída e brita produzida - alas retas</t>
  </si>
  <si>
    <t>0804441</t>
  </si>
  <si>
    <t>Boca de BTTC D = 1,00 m - esconsidade 0° - areia e brita comerciais - alas esconsas</t>
  </si>
  <si>
    <t>0804317</t>
  </si>
  <si>
    <t>Boca de BTTC D = 1,00 m - esconsidade 0° - areia e brita comerciais - alas retas</t>
  </si>
  <si>
    <t>0804440</t>
  </si>
  <si>
    <t>Boca de BTTC D = 1,00 m - esconsidade 0° - areia extraída e brita produzida - alas esconsas</t>
  </si>
  <si>
    <t>0804316</t>
  </si>
  <si>
    <t>Boca de BTTC D = 1,00 m - esconsidade 0° - areia extraída e brita produzida - alas retas</t>
  </si>
  <si>
    <t>0804321</t>
  </si>
  <si>
    <t>Boca de BTTC D = 1,00 m - esconsidade 10° - areia e brita comerciais - alas retas</t>
  </si>
  <si>
    <t>0804320</t>
  </si>
  <si>
    <t>Boca de BTTC D = 1,00 m - esconsidade 10° - areia extraída e brita produzida - alas retas</t>
  </si>
  <si>
    <t>0804443</t>
  </si>
  <si>
    <t>Boca de BTTC D = 1,00 m - esconsidade 15° - areia e brita comerciais - alas esconsas</t>
  </si>
  <si>
    <t>0804323</t>
  </si>
  <si>
    <t>Boca de BTTC D = 1,00 m - esconsidade 15° - areia e brita comerciais - alas retas</t>
  </si>
  <si>
    <t>0804442</t>
  </si>
  <si>
    <t>Boca de BTTC D = 1,00 m - esconsidade 15° - areia extraída e brita produzida - alas esconsas</t>
  </si>
  <si>
    <t>0804322</t>
  </si>
  <si>
    <t>Boca de BTTC D = 1,00 m - esconsidade 15° - areia extraída e brita produzida - alas retas</t>
  </si>
  <si>
    <t>0804325</t>
  </si>
  <si>
    <t>Boca de BTTC D = 1,00 m - esconsidade 20° - areia e brita comerciais - alas retas</t>
  </si>
  <si>
    <t>0804324</t>
  </si>
  <si>
    <t>Boca de BTTC D = 1,00 m - esconsidade 20° - areia extraída e brita produzida - alas retas</t>
  </si>
  <si>
    <t>0804327</t>
  </si>
  <si>
    <t>Boca de BTTC D = 1,00 m - esconsidade 25° - areia e brita comerciais - alas retas</t>
  </si>
  <si>
    <t>0804326</t>
  </si>
  <si>
    <t>Boca de BTTC D = 1,00 m - esconsidade 25° - areia extraída e brita produzida - alas retas</t>
  </si>
  <si>
    <t>0804445</t>
  </si>
  <si>
    <t>Boca de BTTC D = 1,00 m - esconsidade 30° - areia e brita comerciais - alas esconsas</t>
  </si>
  <si>
    <t>0804329</t>
  </si>
  <si>
    <t>Boca de BTTC D = 1,00 m - esconsidade 30° - areia e brita comerciais - alas retas</t>
  </si>
  <si>
    <t>0804444</t>
  </si>
  <si>
    <t>Boca de BTTC D = 1,00 m - esconsidade 30° - areia extraída e brita produzida - alas esconsas</t>
  </si>
  <si>
    <t>0804328</t>
  </si>
  <si>
    <t>Boca de BTTC D = 1,00 m - esconsidade 30° - areia extraída e brita produzida - alas retas</t>
  </si>
  <si>
    <t>0804331</t>
  </si>
  <si>
    <t>Boca de BTTC D = 1,00 m - esconsidade 35° - areia e brita comerciais - alas retas</t>
  </si>
  <si>
    <t>0804330</t>
  </si>
  <si>
    <t>Boca de BTTC D = 1,00 m - esconsidade 35° - areia extraída e brita produzida - alas retas</t>
  </si>
  <si>
    <t>0804333</t>
  </si>
  <si>
    <t>Boca de BTTC D = 1,00 m - esconsidade 40° - areia e brita comerciais - alas retas</t>
  </si>
  <si>
    <t>0804332</t>
  </si>
  <si>
    <t>Boca de BTTC D = 1,00 m - esconsidade 40° - areia extraída e brita produzida - alas retas</t>
  </si>
  <si>
    <t>0804447</t>
  </si>
  <si>
    <t>Boca de BTTC D = 1,00 m - esconsidade 45° - areia e brita comerciais - alas esconsas</t>
  </si>
  <si>
    <t>0804335</t>
  </si>
  <si>
    <t>Boca de BTTC D = 1,00 m - esconsidade 45° - areia e brita comerciais - alas retas</t>
  </si>
  <si>
    <t>0804446</t>
  </si>
  <si>
    <t>Boca de BTTC D = 1,00 m - esconsidade 45° - areia extraída e brita produzida - alas esconsas</t>
  </si>
  <si>
    <t>0804334</t>
  </si>
  <si>
    <t>Boca de BTTC D = 1,00 m - esconsidade 45° - areia extraída e brita produzida - alas retas</t>
  </si>
  <si>
    <t>0804319</t>
  </si>
  <si>
    <t>Boca de BTTC D = 1,00 m - esconsidade 5° - areia e brita comerciais - alas retas</t>
  </si>
  <si>
    <t>0804318</t>
  </si>
  <si>
    <t>Boca de BTTC D = 1,00 m - esconsidade 5° - areia extraída e brita produzida - alas retas</t>
  </si>
  <si>
    <t>0804449</t>
  </si>
  <si>
    <t>Boca de BTTC D = 1,20 m - esconsidade 0° - areia e brita comerciais - alas esconsas</t>
  </si>
  <si>
    <t>0804337</t>
  </si>
  <si>
    <t>Boca de BTTC D = 1,20 m - esconsidade 0° - areia e brita comerciais - alas retas</t>
  </si>
  <si>
    <t>0804448</t>
  </si>
  <si>
    <t>Boca de BTTC D = 1,20 m - esconsidade 0° - areia extraída e brita produzida - alas esconsas</t>
  </si>
  <si>
    <t>0804336</t>
  </si>
  <si>
    <t>Boca de BTTC D = 1,20 m - esconsidade 0° - areia extraída e brita produzida - alas retas</t>
  </si>
  <si>
    <t>0804341</t>
  </si>
  <si>
    <t>Boca de BTTC D = 1,20 m - esconsidade 10° - areia e brita comerciais - alas retas</t>
  </si>
  <si>
    <t>0804340</t>
  </si>
  <si>
    <t>Boca de BTTC D = 1,20 m - esconsidade 10° - areia extraída e brita produzida - alas retas</t>
  </si>
  <si>
    <t>0804451</t>
  </si>
  <si>
    <t>Boca de BTTC D = 1,20 m - esconsidade 15° - areia e brita comerciais - alas esconsas</t>
  </si>
  <si>
    <t>0804343</t>
  </si>
  <si>
    <t>Boca de BTTC D = 1,20 m - esconsidade 15° - areia e brita comerciais - alas retas</t>
  </si>
  <si>
    <t>0804450</t>
  </si>
  <si>
    <t>Boca de BTTC D = 1,20 m - esconsidade 15° - areia extraída e brita produzida - alas esconsas</t>
  </si>
  <si>
    <t>0804342</t>
  </si>
  <si>
    <t>Boca de BTTC D = 1,20 m - esconsidade 15° - areia extraída e brita produzida - alas retas</t>
  </si>
  <si>
    <t>0804345</t>
  </si>
  <si>
    <t>Boca de BTTC D = 1,20 m - esconsidade 20° - areia e brita comerciais - alas retas</t>
  </si>
  <si>
    <t>0804344</t>
  </si>
  <si>
    <t>Boca de BTTC D = 1,20 m - esconsidade 20° - areia extraída e brita produzida - alas retas</t>
  </si>
  <si>
    <t>0804347</t>
  </si>
  <si>
    <t>Boca de BTTC D = 1,20 m - esconsidade 25° - areia e brita comerciais - alas retas</t>
  </si>
  <si>
    <t>0804346</t>
  </si>
  <si>
    <t>Boca de BTTC D = 1,20 m - esconsidade 25° - areia extraída e brita produzida - alas retas</t>
  </si>
  <si>
    <t>0804453</t>
  </si>
  <si>
    <t>Boca de BTTC D = 1,20 m - esconsidade 30° - areia e brita comerciais - alas esconsas</t>
  </si>
  <si>
    <t>0804349</t>
  </si>
  <si>
    <t>Boca de BTTC D = 1,20 m - esconsidade 30° - areia e brita comerciais - alas retas</t>
  </si>
  <si>
    <t>0804452</t>
  </si>
  <si>
    <t>Boca de BTTC D = 1,20 m - esconsidade 30° - areia extraída e brita produzida - alas esconsas</t>
  </si>
  <si>
    <t>0804348</t>
  </si>
  <si>
    <t>Boca de BTTC D = 1,20 m - esconsidade 30° - areia extraída e brita produzida - alas retas</t>
  </si>
  <si>
    <t>0804351</t>
  </si>
  <si>
    <t>Boca de BTTC D = 1,20 m - esconsidade 35° - areia e brita comerciais - alas retas</t>
  </si>
  <si>
    <t>0804350</t>
  </si>
  <si>
    <t>Boca de BTTC D = 1,20 m - esconsidade 35° - areia extraída e brita produzida - alas retas</t>
  </si>
  <si>
    <t>0804353</t>
  </si>
  <si>
    <t>Boca de BTTC D = 1,20 m - esconsidade 40° - areia e brita comerciais - alas retas</t>
  </si>
  <si>
    <t>0804352</t>
  </si>
  <si>
    <t>Boca de BTTC D = 1,20 m - esconsidade 40° - areia extraída e brita produzida - alas retas</t>
  </si>
  <si>
    <t>0804455</t>
  </si>
  <si>
    <t>Boca de BTTC D = 1,20 m - esconsidade 45° - areia e brita comerciais - alas esconsas</t>
  </si>
  <si>
    <t>0804355</t>
  </si>
  <si>
    <t>Boca de BTTC D = 1,20 m - esconsidade 45° - areia e brita comerciais - alas retas</t>
  </si>
  <si>
    <t>0804454</t>
  </si>
  <si>
    <t>Boca de BTTC D = 1,20 m - esconsidade 45° - areia extraída e brita produzida - alas esconsas</t>
  </si>
  <si>
    <t>0804354</t>
  </si>
  <si>
    <t>Boca de BTTC D = 1,20 m - esconsidade 45° - areia extraída e brita produzida - alas retas</t>
  </si>
  <si>
    <t>0804339</t>
  </si>
  <si>
    <t>Boca de BTTC D = 1,20 m - esconsidade 5° - areia e brita comerciais - alas retas</t>
  </si>
  <si>
    <t>0804338</t>
  </si>
  <si>
    <t>Boca de BTTC D = 1,20 m - esconsidade 5° - areia extraída e brita produzida - alas retas</t>
  </si>
  <si>
    <t>0804457</t>
  </si>
  <si>
    <t>Boca de BTTC D = 1,50 m - esconsidade 0° - areia e brita comerciais - alas esconsas</t>
  </si>
  <si>
    <t>0804357</t>
  </si>
  <si>
    <t>Boca de BTTC D = 1,50 m - esconsidade 0° - areia e brita comerciais - alas retas</t>
  </si>
  <si>
    <t>0804456</t>
  </si>
  <si>
    <t>Boca de BTTC D = 1,50 m - esconsidade 0° - areia extraída e brita produzida - alas esconsas</t>
  </si>
  <si>
    <t>0804356</t>
  </si>
  <si>
    <t>Boca de BTTC D = 1,50 m - esconsidade 0° - areia extraída e brita produzida - alas retas</t>
  </si>
  <si>
    <t>0804361</t>
  </si>
  <si>
    <t>Boca de BTTC D = 1,50 m - esconsidade 10° - areia e brita comerciais - alas retas</t>
  </si>
  <si>
    <t>0804360</t>
  </si>
  <si>
    <t>Boca de BTTC D = 1,50 m - esconsidade 10° - areia extraída e brita produzida - alas retas</t>
  </si>
  <si>
    <t>0804459</t>
  </si>
  <si>
    <t>Boca de BTTC D = 1,50 m - esconsidade 15° - areia e brita comerciais - alas esconsas</t>
  </si>
  <si>
    <t>0804363</t>
  </si>
  <si>
    <t>Boca de BTTC D = 1,50 m - esconsidade 15° - areia e brita comerciais - alas retas</t>
  </si>
  <si>
    <t>0804458</t>
  </si>
  <si>
    <t>Boca de BTTC D = 1,50 m - esconsidade 15° - areia extraída e brita produzida - alas esconsas</t>
  </si>
  <si>
    <t>0804362</t>
  </si>
  <si>
    <t>Boca de BTTC D = 1,50 m - esconsidade 15° - areia extraída e brita produzida - alas retas</t>
  </si>
  <si>
    <t>0804365</t>
  </si>
  <si>
    <t>Boca de BTTC D = 1,50 m - esconsidade 20° - areia e brita comerciais - alas retas</t>
  </si>
  <si>
    <t>0804364</t>
  </si>
  <si>
    <t>Boca de BTTC D = 1,50 m - esconsidade 20° - areia extraída e brita produzida - alas retas</t>
  </si>
  <si>
    <t>0804367</t>
  </si>
  <si>
    <t>Boca de BTTC D = 1,50 m - esconsidade 25° - areia e brita comerciais - alas retas</t>
  </si>
  <si>
    <t>0804366</t>
  </si>
  <si>
    <t>Boca de BTTC D = 1,50 m - esconsidade 25° - areia extraída e brita produzida - alas retas</t>
  </si>
  <si>
    <t>0804461</t>
  </si>
  <si>
    <t>Boca de BTTC D = 1,50 m - esconsidade 30° - areia e brita comerciais - alas esconsas</t>
  </si>
  <si>
    <t>0804369</t>
  </si>
  <si>
    <t>Boca de BTTC D = 1,50 m - esconsidade 30° - areia e brita comerciais - alas retas</t>
  </si>
  <si>
    <t>0804460</t>
  </si>
  <si>
    <t>Boca de BTTC D = 1,50 m - esconsidade 30° - areia extraída e brita produzida - alas esconsas</t>
  </si>
  <si>
    <t>0804371</t>
  </si>
  <si>
    <t>Boca de BTTC D = 1,50 m - esconsidade 35° - areia e brita comerciais - alas retas</t>
  </si>
  <si>
    <t>0804370</t>
  </si>
  <si>
    <t>Boca de BTTC D = 1,50 m - esconsidade 35° - areia extraída e brita produzida - alas retas</t>
  </si>
  <si>
    <t>0804373</t>
  </si>
  <si>
    <t>Boca de BTTC D = 1,50 m - esconsidade 40° - areia e brita comerciais - alas retas</t>
  </si>
  <si>
    <t>0804372</t>
  </si>
  <si>
    <t>Boca de BTTC D = 1,50 m - esconsidade 40° - areia extraída e brita produzida - alas retas</t>
  </si>
  <si>
    <t>0804463</t>
  </si>
  <si>
    <t>Boca de BTTC D = 1,50 m - esconsidade 45° - areia e brita comerciais - alas esconsas</t>
  </si>
  <si>
    <t>0804375</t>
  </si>
  <si>
    <t>Boca de BTTC D = 1,50 m - esconsidade 45° - areia e brita comerciais - alas retas</t>
  </si>
  <si>
    <t>0804462</t>
  </si>
  <si>
    <t>Boca de BTTC D = 1,50 m - esconsidade 45° - areia extraída e brita produzida - alas esconsas</t>
  </si>
  <si>
    <t>0804374</t>
  </si>
  <si>
    <t>Boca de BTTC D = 1,50 m - esconsidade 45° - areia extraída e brita produzida - alas retas</t>
  </si>
  <si>
    <t>0804359</t>
  </si>
  <si>
    <t>Boca de BTTC D = 1,50 m - esconsidade 5° - areia e brita comerciais - alas retas</t>
  </si>
  <si>
    <t>0804358</t>
  </si>
  <si>
    <t>Boca de BTTC D = 1,50 m - esconsidade 5° - areia extraída e brita produzida - alas retas</t>
  </si>
  <si>
    <t>0804368</t>
  </si>
  <si>
    <t>Boca de BTTC D = 1,50 m esconsidade 30° - areia extraída e brita produzida - alas retas</t>
  </si>
  <si>
    <t>0804465</t>
  </si>
  <si>
    <t>Confecção de tubos de concreto armado D = 0,60 m PA1 - areia e brita comerciais</t>
  </si>
  <si>
    <t>0804464</t>
  </si>
  <si>
    <t>Confecção de tubos de concreto armado D = 0,60 m PA1 - areia extraída e brita produzida</t>
  </si>
  <si>
    <t>0804475</t>
  </si>
  <si>
    <t>Confecção de tubos de concreto armado D = 0,60 m PA2 - areia e brita comerciais</t>
  </si>
  <si>
    <t>0804474</t>
  </si>
  <si>
    <t>Confecção de tubos de concreto armado D = 0,60 m PA2 - areia extraída e brita produzida</t>
  </si>
  <si>
    <t>0804485</t>
  </si>
  <si>
    <t>Confecção de tubos de concreto armado D = 0,60 m PA3 - areia e brita comerciais</t>
  </si>
  <si>
    <t>0804484</t>
  </si>
  <si>
    <t>Confecção de tubos de concreto armado D = 0,60 m PA3 - areia extraída e brita produzida</t>
  </si>
  <si>
    <t>0804495</t>
  </si>
  <si>
    <t>Confecção de tubos de concreto armado D = 0,60 m PA4 - areia e brita comerciais</t>
  </si>
  <si>
    <t>0804494</t>
  </si>
  <si>
    <t>Confecção de tubos de concreto armado D = 0,60 m PA4 - areia extraída e brita produzida</t>
  </si>
  <si>
    <t>0804467</t>
  </si>
  <si>
    <t>Confecção de tubos de concreto armado D = 0,80 m PA1 - areia e brita comerciais</t>
  </si>
  <si>
    <t>0804466</t>
  </si>
  <si>
    <t>Confecção de tubos de concreto armado D = 0,80 m PA1 - areia extraída e brita produzida</t>
  </si>
  <si>
    <t>0804477</t>
  </si>
  <si>
    <t>Confecção de tubos de concreto armado D = 0,80 m PA2 - areia e brita comerciais</t>
  </si>
  <si>
    <t>0804476</t>
  </si>
  <si>
    <t>Confecção de tubos de concreto armado D = 0,80 m PA2 - areia extraída e brita produzida</t>
  </si>
  <si>
    <t>0804487</t>
  </si>
  <si>
    <t>Confecção de tubos de concreto armado D = 0,80 m PA3 - areia e brita comerciais</t>
  </si>
  <si>
    <t>0804486</t>
  </si>
  <si>
    <t>Confecção de tubos de concreto armado D = 0,80 m PA3 - areia extraída e brita produzida</t>
  </si>
  <si>
    <t>0804497</t>
  </si>
  <si>
    <t>Confecção de tubos de concreto armado D = 0,80 m PA4 - areia e brita comerciais</t>
  </si>
  <si>
    <t>0804496</t>
  </si>
  <si>
    <t>Confecção de tubos de concreto armado D = 0,80 m PA4 - areia extraída e brita produzida</t>
  </si>
  <si>
    <t>0804469</t>
  </si>
  <si>
    <t>Confecção de tubos de concreto armado D = 1,00 m PA1 - areia e brita comerciais</t>
  </si>
  <si>
    <t>0804468</t>
  </si>
  <si>
    <t>Confecção de tubos de concreto armado D = 1,00 m PA1 - areia extraída e brita produzida</t>
  </si>
  <si>
    <t>0804479</t>
  </si>
  <si>
    <t>Confecção de tubos de concreto armado D = 1,00 m PA2 - areia e brita comerciais</t>
  </si>
  <si>
    <t>0804478</t>
  </si>
  <si>
    <t>Confecção de tubos de concreto armado D = 1,00 m PA2 - areia extraída e brita produzida</t>
  </si>
  <si>
    <t>0804489</t>
  </si>
  <si>
    <t>Confecção de tubos de concreto armado D = 1,00 m PA3 - areia e brita comerciais</t>
  </si>
  <si>
    <t>0804488</t>
  </si>
  <si>
    <t>Confecção de tubos de concreto armado D = 1,00 m PA3 - areia extraída e brita produzida</t>
  </si>
  <si>
    <t>0804499</t>
  </si>
  <si>
    <t>Confecção de tubos de concreto armado D = 1,00 m PA4 - areia e brita comerciais</t>
  </si>
  <si>
    <t>0804498</t>
  </si>
  <si>
    <t>Confecção de tubos de concreto armado D = 1,00 m PA4 - areia extraída e brita produzida</t>
  </si>
  <si>
    <t>0804471</t>
  </si>
  <si>
    <t>Confecção de tubos de concreto armado D = 1,20 m PA1 - areia e brita comerciais</t>
  </si>
  <si>
    <t>0804470</t>
  </si>
  <si>
    <t>Confecção de tubos de concreto armado D = 1,20 m PA1 - areia extraída e brita produzida</t>
  </si>
  <si>
    <t>0804481</t>
  </si>
  <si>
    <t>Confecção de tubos de concreto armado D = 1,20 m PA2 - areia e brita comerciais</t>
  </si>
  <si>
    <t>0804480</t>
  </si>
  <si>
    <t>Confecção de tubos de concreto armado D = 1,20 m PA2 - areia extraída e brita produzida</t>
  </si>
  <si>
    <t>0804491</t>
  </si>
  <si>
    <t>Confecção de tubos de concreto armado D = 1,20 m PA3 - areia e brita comerciais</t>
  </si>
  <si>
    <t>0804490</t>
  </si>
  <si>
    <t>Confecção de tubos de concreto armado D = 1,20 m PA3 - areia extraída e brita produzida</t>
  </si>
  <si>
    <t>0804501</t>
  </si>
  <si>
    <t>Confecção de tubos de concreto armado D = 1,20 m PA4 - areia e brita comerciais</t>
  </si>
  <si>
    <t>0804500</t>
  </si>
  <si>
    <t>Confecção de tubos de concreto armado D = 1,20 m PA4 - areia extraída e brita produzida</t>
  </si>
  <si>
    <t>0804473</t>
  </si>
  <si>
    <t>Confecção de tubos de concreto armado D = 1,50 m PA1 - areia e brita comerciais</t>
  </si>
  <si>
    <t>0804472</t>
  </si>
  <si>
    <t>Confecção de tubos de concreto armado D = 1,50 m PA1 - areia extraída e brita produzida</t>
  </si>
  <si>
    <t>0804483</t>
  </si>
  <si>
    <t>Confecção de tubos de concreto armado D = 1,50 m PA2 - areia e brita comerciais</t>
  </si>
  <si>
    <t>0804482</t>
  </si>
  <si>
    <t>Confecção de tubos de concreto armado D = 1,50 m PA2 - areia extraída e brita produzida</t>
  </si>
  <si>
    <t>0804493</t>
  </si>
  <si>
    <t>Confecção de tubos de concreto armado D = 1,50 m PA3 - areia e brita comerciais</t>
  </si>
  <si>
    <t>0804492</t>
  </si>
  <si>
    <t>Confecção de tubos de concreto armado D = 1,50 m PA3 - areia extraída e brita produzida</t>
  </si>
  <si>
    <t>0804503</t>
  </si>
  <si>
    <t>Confecção de tubos de concreto armado D = 1,50 m PA4 - areia e brita comerciais</t>
  </si>
  <si>
    <t>0804502</t>
  </si>
  <si>
    <t>Confecção de tubos de concreto armado D = 1,50 m PA4 - areia extraída e brita produzida</t>
  </si>
  <si>
    <t>0804180</t>
  </si>
  <si>
    <t>Corpo de BDTC D = 0,80 m PA1 - areia extraída e brita e pedra de mão produzidas</t>
  </si>
  <si>
    <t>0804181</t>
  </si>
  <si>
    <t>Corpo de BDTC D = 0,80 m PA1 - areia, brita e pedra de mão comerciais</t>
  </si>
  <si>
    <t>0804182</t>
  </si>
  <si>
    <t>Corpo de BDTC D = 0,80 m PA2 - areia extraída e brita e pedra de mão produzidas</t>
  </si>
  <si>
    <t>0804183</t>
  </si>
  <si>
    <t>Corpo de BDTC D = 0,80 m PA2 - areia, brita e pedra de mão comerciais</t>
  </si>
  <si>
    <t>0804184</t>
  </si>
  <si>
    <t>Corpo de BDTC D = 0,80 m PA3 - areia extraída e brita e pedra de mão produzidas</t>
  </si>
  <si>
    <t>0804185</t>
  </si>
  <si>
    <t>Corpo de BDTC D = 0,80 m PA3 - areia, brita e pedra de mão comerciais</t>
  </si>
  <si>
    <t>0804186</t>
  </si>
  <si>
    <t>Corpo de BDTC D = 0,80 m PA4 - areia extraída e brita e pedra de mão produzidas</t>
  </si>
  <si>
    <t>0804187</t>
  </si>
  <si>
    <t>Corpo de BDTC D = 0,80 m PA4 - areia, brita e pedra de mão comerciais</t>
  </si>
  <si>
    <t>0804188</t>
  </si>
  <si>
    <t>Corpo de BDTC D = 1,00 m PA1 - areia extraída e brita e pedra de mão produzidas</t>
  </si>
  <si>
    <t>0804189</t>
  </si>
  <si>
    <t>Corpo de BDTC D = 1,00 m PA1 - areia, brita e pedra de mão comerciais</t>
  </si>
  <si>
    <t>0804190</t>
  </si>
  <si>
    <t>Corpo de BDTC D = 1,00 m PA2 - areia extraída e brita e pedra de mão produzidas</t>
  </si>
  <si>
    <t>0804191</t>
  </si>
  <si>
    <t>Corpo de BDTC D = 1,00 m PA2 - areia, brita e pedra de mão comerciais</t>
  </si>
  <si>
    <t>0804192</t>
  </si>
  <si>
    <t>Corpo de BDTC D = 1,00 m PA3 - areia extraída e brita e pedra de mão produzidas</t>
  </si>
  <si>
    <t>0804193</t>
  </si>
  <si>
    <t>Corpo de BDTC D = 1,00 m PA3 - areia, brita e pedra de mão comerciais</t>
  </si>
  <si>
    <t>0804194</t>
  </si>
  <si>
    <t>Corpo de BDTC D = 1,00 m PA4 - areia extraída e brita e pedra de mão produzidas</t>
  </si>
  <si>
    <t>0804195</t>
  </si>
  <si>
    <t>Corpo de BDTC D = 1,00 m PA4 - areia, brita e pedra de mão comerciais</t>
  </si>
  <si>
    <t>0804196</t>
  </si>
  <si>
    <t>Corpo de BDTC D = 1,20 m PA1 - areia extraída e brita e pedra de mão produzidas</t>
  </si>
  <si>
    <t>0804197</t>
  </si>
  <si>
    <t>Corpo de BDTC D = 1,20 m PA1 - areia, brita e pedra de mão comerciais</t>
  </si>
  <si>
    <t>0804198</t>
  </si>
  <si>
    <t>Corpo de BDTC D = 1,20 m PA2 - areia extraída e brita e pedra de mão produzidas</t>
  </si>
  <si>
    <t>0804199</t>
  </si>
  <si>
    <t>Corpo de BDTC D = 1,20 m PA2 - areia, brita e pedra de mão comerciais</t>
  </si>
  <si>
    <t>0804200</t>
  </si>
  <si>
    <t>Corpo de BDTC D = 1,20 m PA3 - areia extraída e brita e pedra de mão produzidas</t>
  </si>
  <si>
    <t>0804201</t>
  </si>
  <si>
    <t>Corpo de BDTC D = 1,20 m PA3 - areia, brita e pedra de mão comerciais</t>
  </si>
  <si>
    <t>0804202</t>
  </si>
  <si>
    <t>Corpo de BDTC D = 1,20 m PA4 - areia extraída e brita e pedra de mão produzidas</t>
  </si>
  <si>
    <t>0804203</t>
  </si>
  <si>
    <t>Corpo de BDTC D = 1,20 m PA4 - areia, brita e pedra de mão comerciais</t>
  </si>
  <si>
    <t>0804204</t>
  </si>
  <si>
    <t>Corpo de BDTC D = 1,50 m PA1 - areia extraída e brita e pedra de mão produzidas</t>
  </si>
  <si>
    <t>0804205</t>
  </si>
  <si>
    <t>Corpo de BDTC D = 1,50 m PA1 - areia, brita e pedra de mão comerciais</t>
  </si>
  <si>
    <t>0804206</t>
  </si>
  <si>
    <t>Corpo de BDTC D = 1,50 m PA2 - areia extraída e brita e pedra de mão produzidas</t>
  </si>
  <si>
    <t>0804207</t>
  </si>
  <si>
    <t>Corpo de BDTC D = 1,50 m PA2 - areia, brita e pedra de mão comerciais</t>
  </si>
  <si>
    <t>0804208</t>
  </si>
  <si>
    <t>Corpo de BDTC D = 1,50 m PA3 - areia extraída e brita e pedra de mão produzidas</t>
  </si>
  <si>
    <t>0804209</t>
  </si>
  <si>
    <t>Corpo de BDTC D = 1,50 m PA3 - areia, brita e pedra de mão comerciais</t>
  </si>
  <si>
    <t>0804210</t>
  </si>
  <si>
    <t>Corpo de BDTC D = 1,50 m PA4 - areia extraída e brita e pedra de mão produzidas</t>
  </si>
  <si>
    <t>0804211</t>
  </si>
  <si>
    <t>Corpo de BDTC D = 1,50 m PA4 - areia, brita e pedra de mão comerciais</t>
  </si>
  <si>
    <t>0804012</t>
  </si>
  <si>
    <t>Corpo de BSTC D = 0,40 m PA1 - areia extraída e brita e pedra de mão produzidas</t>
  </si>
  <si>
    <t>0804013</t>
  </si>
  <si>
    <t>Corpo de BSTC D = 0,40 m PA1 - areia, brita e pedra de mão comerciais</t>
  </si>
  <si>
    <t>0804014</t>
  </si>
  <si>
    <t>Corpo de BSTC D = 0,40 m PA2 - areia extraída e brita e pedra de mão produzidas</t>
  </si>
  <si>
    <t>0804015</t>
  </si>
  <si>
    <t>Corpo de BSTC D = 0,40 m PA2 - areia, brita e pedra de mão comerciais</t>
  </si>
  <si>
    <t>0804016</t>
  </si>
  <si>
    <t>Corpo de BSTC D = 0,40 m PA3 - areia extraída e brita e pedra de mão produzidas</t>
  </si>
  <si>
    <t>0804017</t>
  </si>
  <si>
    <t>Corpo de BSTC D = 0,40 m PA3 - areia, brita e pedra de mão comerciais</t>
  </si>
  <si>
    <t>0804018</t>
  </si>
  <si>
    <t>Corpo de BSTC D = 0,40 m PA4 - areia extraída e brita e pedra de mão produzidas</t>
  </si>
  <si>
    <t>0804019</t>
  </si>
  <si>
    <t>Corpo de BSTC D = 0,40 m PA4 - areia, brita e pedra de mão comerciais</t>
  </si>
  <si>
    <t>0804020</t>
  </si>
  <si>
    <t>Corpo de BSTC D = 0,60 m PA1 - areia extraída e brita e pedra de mão produzidas</t>
  </si>
  <si>
    <t>0804021</t>
  </si>
  <si>
    <t>Corpo de BSTC D = 0,60 m PA1 - areia, brita e pedra de mão comerciais</t>
  </si>
  <si>
    <t>0804022</t>
  </si>
  <si>
    <t>Corpo de BSTC D = 0,60 m PA2 - areia extraída e brita e pedra de mão produzidas</t>
  </si>
  <si>
    <t>0804023</t>
  </si>
  <si>
    <t>Corpo de BSTC D = 0,60 m PA2 - areia, brita e pedra de mão comerciais</t>
  </si>
  <si>
    <t>0804024</t>
  </si>
  <si>
    <t>Corpo de BSTC D = 0,60 m PA3 - areia extraída e brita e pedra de mão produzidas</t>
  </si>
  <si>
    <t>0804025</t>
  </si>
  <si>
    <t>Corpo de BSTC D = 0,60 m PA3 - areia, brita e pedra de mão comerciais</t>
  </si>
  <si>
    <t>0804026</t>
  </si>
  <si>
    <t>Corpo de BSTC D = 0,60 m PA4 - areia extraída e brita e pedra de mão produzidas</t>
  </si>
  <si>
    <t>0804027</t>
  </si>
  <si>
    <t>Corpo de BSTC D = 0,60 m PA4 - areia, brita e pedra de mão comerciais</t>
  </si>
  <si>
    <t>0804028</t>
  </si>
  <si>
    <t>Corpo de BSTC D = 0,80 m PA1 - areia extraída e brita e pedra de mão produzidas</t>
  </si>
  <si>
    <t>0804029</t>
  </si>
  <si>
    <t>Corpo de BSTC D = 0,80 m PA1 - areia, brita e pedra de mão comerciais</t>
  </si>
  <si>
    <t>0804030</t>
  </si>
  <si>
    <t>Corpo de BSTC D = 0,80 m PA2 - areia extraída e brita e pedra de mão produzidas</t>
  </si>
  <si>
    <t>0804031</t>
  </si>
  <si>
    <t>Corpo de BSTC D = 0,80 m PA2 - areia, brita e pedra de mão comerciais</t>
  </si>
  <si>
    <t>0804032</t>
  </si>
  <si>
    <t>Corpo de BSTC D = 0,80 m PA3 - areia extraída e brita e pedra de mão produzidas</t>
  </si>
  <si>
    <t>0804033</t>
  </si>
  <si>
    <t>Corpo de BSTC D = 0,80 m PA3 - areia, brita e pedra de mão comerciais</t>
  </si>
  <si>
    <t>0804034</t>
  </si>
  <si>
    <t>Corpo de BSTC D = 0,80 m PA4 - areia extraída e brita e pedra de mão produzidas</t>
  </si>
  <si>
    <t>0804035</t>
  </si>
  <si>
    <t>Corpo de BSTC D = 0,80 m PA4 - areia, brita e pedra de mão comerciais</t>
  </si>
  <si>
    <t>0804036</t>
  </si>
  <si>
    <t>Corpo de BSTC D = 1,00 m PA1 - areia extraída e brita e pedra de mão produzidas</t>
  </si>
  <si>
    <t>0804037</t>
  </si>
  <si>
    <t>Corpo de BSTC D = 1,00 m PA1 - areia, brita e pedra de mão comerciais</t>
  </si>
  <si>
    <t>0804038</t>
  </si>
  <si>
    <t>Corpo de BSTC D = 1,00 m PA2 - areia extraída e brita e pedra de mão produzidas</t>
  </si>
  <si>
    <t>0804039</t>
  </si>
  <si>
    <t>Corpo de BSTC D = 1,00 m PA2 - areia, brita e pedra de mão comerciais</t>
  </si>
  <si>
    <t>0804040</t>
  </si>
  <si>
    <t>Corpo de BSTC D = 1,00 m PA3 - areia extraída e brita e pedra de mão produzidas</t>
  </si>
  <si>
    <t>0804041</t>
  </si>
  <si>
    <t>Corpo de BSTC D = 1,00 m PA3 - areia, brita e pedra de mão comerciais</t>
  </si>
  <si>
    <t>0804042</t>
  </si>
  <si>
    <t>Corpo de BSTC D = 1,00 m PA4 - areia extraída e brita e pedra de mão produzidas</t>
  </si>
  <si>
    <t>0804043</t>
  </si>
  <si>
    <t>Corpo de BSTC D = 1,00 m PA4 - areia, brita e pedra de mão comerciais</t>
  </si>
  <si>
    <t>0804044</t>
  </si>
  <si>
    <t>Corpo de BSTC D = 1,20 m PA1 - areia extraída e brita e pedra de mão produzidas</t>
  </si>
  <si>
    <t>0804045</t>
  </si>
  <si>
    <t>Corpo de BSTC D = 1,20 m PA1 - areia, brita e pedra de mão comerciais</t>
  </si>
  <si>
    <t>0804046</t>
  </si>
  <si>
    <t>Corpo de BSTC D = 1,20 m PA2 - areia extraída e brita e pedra de mão produzidas</t>
  </si>
  <si>
    <t>0804047</t>
  </si>
  <si>
    <t>Corpo de BSTC D = 1,20 m PA2 - areia, brita e pedra de mão comerciais</t>
  </si>
  <si>
    <t>0804048</t>
  </si>
  <si>
    <t>Corpo de BSTC D = 1,20 m PA3 - areia extraída e brita e pedra de mão produzidas</t>
  </si>
  <si>
    <t>0804049</t>
  </si>
  <si>
    <t>Corpo de BSTC D = 1,20 m PA3 - areia, brita e pedra de mão comerciais</t>
  </si>
  <si>
    <t>0804050</t>
  </si>
  <si>
    <t>Corpo de BSTC D = 1,20 m PA4 - areia extraída e brita e pedra de mão produzidas</t>
  </si>
  <si>
    <t>0804051</t>
  </si>
  <si>
    <t>Corpo de BSTC D = 1,20 m PA4 - areia, brita e pedra de mão comerciais</t>
  </si>
  <si>
    <t>0804052</t>
  </si>
  <si>
    <t>Corpo de BSTC D = 1,50 m PA1 - areia extraída e brita e pedra de mão produzidas</t>
  </si>
  <si>
    <t>0804053</t>
  </si>
  <si>
    <t>Corpo de BSTC D = 1,50 m PA1 - areia, brita e pedra de mão comerciais</t>
  </si>
  <si>
    <t>0804054</t>
  </si>
  <si>
    <t>Corpo de BSTC D = 1,50 m PA2 - areia extraída e brita e pedra de mão produzidas</t>
  </si>
  <si>
    <t>0804055</t>
  </si>
  <si>
    <t>Corpo de BSTC D = 1,50 m PA2 - areia, brita e pedra de mão comerciais</t>
  </si>
  <si>
    <t>0804056</t>
  </si>
  <si>
    <t>Corpo de BSTC D = 1,50 m PA3 - areia extraída e brita e pedra de mão produzidas</t>
  </si>
  <si>
    <t>0804057</t>
  </si>
  <si>
    <t>Corpo de BSTC D = 1,50 m PA3 - areia, brita e pedra de mão comerciais</t>
  </si>
  <si>
    <t>0804058</t>
  </si>
  <si>
    <t>Corpo de BSTC D = 1,50 m PA4 - areia extraída e brita e pedra de mão produzidas</t>
  </si>
  <si>
    <t>0804059</t>
  </si>
  <si>
    <t>Corpo de BSTC D = 1,50 m PA4 - areia, brita e pedra de mão comerciais</t>
  </si>
  <si>
    <t>0804292</t>
  </si>
  <si>
    <t>Corpo de BTTC D = 1,00 m PA1 - areia extraída e brita e pedra de mão produzidas</t>
  </si>
  <si>
    <t>0804293</t>
  </si>
  <si>
    <t>Corpo de BTTC D = 1,00 m PA1 - areia, brita e pedra de mão comerciais</t>
  </si>
  <si>
    <t>0804294</t>
  </si>
  <si>
    <t>Corpo de BTTC D = 1,00 m PA2 - areia extraída e brita e pedra de mão produzidas</t>
  </si>
  <si>
    <t>0804295</t>
  </si>
  <si>
    <t>Corpo de BTTC D = 1,00 m PA2 - areia, brita e pedra de mão comerciais</t>
  </si>
  <si>
    <t>0804296</t>
  </si>
  <si>
    <t>Corpo de BTTC D = 1,00 m PA3 - areia extraída e brita e pedra de mão produzidas</t>
  </si>
  <si>
    <t>0804297</t>
  </si>
  <si>
    <t>Corpo de BTTC D = 1,00 m PA3 - areia, brita e pedra de mão comerciais</t>
  </si>
  <si>
    <t>0804298</t>
  </si>
  <si>
    <t>Corpo de BTTC D = 1,00 m PA4 - areia extraída e brita e pedra de mão produzidas</t>
  </si>
  <si>
    <t>0804299</t>
  </si>
  <si>
    <t>Corpo de BTTC D = 1,00 m PA4 - areia, brita e pedra de mão comerciais</t>
  </si>
  <si>
    <t>0804300</t>
  </si>
  <si>
    <t>Corpo de BTTC D = 1,20 m PA1 - areia extraída e brita e pedra de mão produzidas</t>
  </si>
  <si>
    <t>0804301</t>
  </si>
  <si>
    <t>Corpo de BTTC D = 1,20 m PA1 - areia, brita e pedra de mão comerciais</t>
  </si>
  <si>
    <t>0804302</t>
  </si>
  <si>
    <t>Corpo de BTTC D = 1,20 m PA2 - areia extraída e brita e pedra de mão produzidas</t>
  </si>
  <si>
    <t>0804303</t>
  </si>
  <si>
    <t>Corpo de BTTC D = 1,20 m PA2 - areia, brita e pedra de mão comerciais</t>
  </si>
  <si>
    <t>0804304</t>
  </si>
  <si>
    <t>Corpo de BTTC D = 1,20 m PA3 - areia extraída e brita e pedra de mão produzidas</t>
  </si>
  <si>
    <t>0804305</t>
  </si>
  <si>
    <t>Corpo de BTTC D = 1,20 m PA3 - areia, brita e pedra de mão comerciais</t>
  </si>
  <si>
    <t>0804306</t>
  </si>
  <si>
    <t>Corpo de BTTC D = 1,20 m PA4 - areia extraída e brita e pedra de mão produzidas</t>
  </si>
  <si>
    <t>0804307</t>
  </si>
  <si>
    <t>Corpo de BTTC D = 1,20 m PA4 - areia, brita e pedra de mão comerciais</t>
  </si>
  <si>
    <t>0804308</t>
  </si>
  <si>
    <t>Corpo de BTTC D = 1,50 m PA1 - areia extraída e brita e pedra de mão produzidas</t>
  </si>
  <si>
    <t>0804309</t>
  </si>
  <si>
    <t>Corpo de BTTC D = 1,50 m PA1 - areia, brita e pedra de mão comerciais</t>
  </si>
  <si>
    <t>0804310</t>
  </si>
  <si>
    <t>Corpo de BTTC D = 1,50 m PA2 - areia extraída e brita e pedra de mão produzidas</t>
  </si>
  <si>
    <t>0804311</t>
  </si>
  <si>
    <t>Corpo de BTTC D = 1,50 m PA2 - areia, brita e pedra de mão comerciais</t>
  </si>
  <si>
    <t>0804312</t>
  </si>
  <si>
    <t>Corpo de BTTC D = 1,50 m PA3 - areia extraída e brita e pedra de mão produzidas</t>
  </si>
  <si>
    <t>0804313</t>
  </si>
  <si>
    <t>Corpo de BTTC D = 1,50 m PA3 - areia, brita e pedra de mão comerciais</t>
  </si>
  <si>
    <t>0804314</t>
  </si>
  <si>
    <t>Corpo de BTTC D = 1,50 m PA4 - areia extraída e brita e pedra de mão produzidas</t>
  </si>
  <si>
    <t>0804315</t>
  </si>
  <si>
    <t>Corpo de BTTC D = 1,50 m PA4 - areia, brita e pedra de mão comerciais</t>
  </si>
  <si>
    <t>0805446</t>
  </si>
  <si>
    <t>Dentes para bueiros duplos D = 0,80 m - areia extraída e brita e pedra de mão produzidas</t>
  </si>
  <si>
    <t>0805447</t>
  </si>
  <si>
    <t>Dentes para bueiros duplos D = 0,80 m - areia, brita e pedra de mão comerciais</t>
  </si>
  <si>
    <t>0805448</t>
  </si>
  <si>
    <t>Dentes para bueiros duplos D = 1,00 m - areia extraída e brita e pedra de mão produzidas</t>
  </si>
  <si>
    <t>0805449</t>
  </si>
  <si>
    <t>Dentes para bueiros duplos D = 1,00 m - areia, brita e pedra de mão comerciais</t>
  </si>
  <si>
    <t>0805450</t>
  </si>
  <si>
    <t>Dentes para bueiros duplos D = 1,20 m - areia extraída e brita e pedra de mão produzidas</t>
  </si>
  <si>
    <t>0805451</t>
  </si>
  <si>
    <t>Dentes para bueiros duplos D = 1,20 m - areia, brita e pedra de mão comerciais</t>
  </si>
  <si>
    <t>0805452</t>
  </si>
  <si>
    <t>Dentes para bueiros duplos D = 1,50 m - areia extraída e brita e pedra de mão produzidas</t>
  </si>
  <si>
    <t>0805453</t>
  </si>
  <si>
    <t>Dentes para bueiros duplos D = 1,50 m - areia, brita e pedra de mão comerciais</t>
  </si>
  <si>
    <t>0805434</t>
  </si>
  <si>
    <t>Dentes para bueiros simples D = 0,40 m - areia extraída e brita e pedra de mão produzidas</t>
  </si>
  <si>
    <t>0805435</t>
  </si>
  <si>
    <t>Dentes para bueiros simples D = 0,40 m - areia, brita e pedra de mão comerciais</t>
  </si>
  <si>
    <t>0805436</t>
  </si>
  <si>
    <t>Dentes para bueiros simples D = 0,60 m - areia extraída e brita e pedra de mão produzidas</t>
  </si>
  <si>
    <t>0805437</t>
  </si>
  <si>
    <t>Dentes para bueiros simples D = 0,60 m - areia, brita e pedra de mão comerciais</t>
  </si>
  <si>
    <t>0805438</t>
  </si>
  <si>
    <t>Dentes para bueiros simples D = 0,80 m - areia extraída e brita e pedra de mão produzidas</t>
  </si>
  <si>
    <t>0805439</t>
  </si>
  <si>
    <t>Dentes para bueiros simples D = 0,80 m - areia, brita e pedra de mão comerciais</t>
  </si>
  <si>
    <t>0805440</t>
  </si>
  <si>
    <t>Dentes para bueiros simples D = 1,00 m - areia extraída e brita e pedra de mão produzidas</t>
  </si>
  <si>
    <t>0805441</t>
  </si>
  <si>
    <t>Dentes para bueiros simples D = 1,00 m - areia, brita e pedra de mão comerciais</t>
  </si>
  <si>
    <t>0805442</t>
  </si>
  <si>
    <t>Dentes para bueiros simples D = 1,20 m - areia extraída e brita e pedra de mão produzidas</t>
  </si>
  <si>
    <t>0805443</t>
  </si>
  <si>
    <t>Dentes para bueiros simples D = 1,20 m - areia, brita e pedra de mão comerciais</t>
  </si>
  <si>
    <t>0805444</t>
  </si>
  <si>
    <t>Dentes para bueiros simples D = 1,50 m - areia extraída e brita e pedra de mão produzidas</t>
  </si>
  <si>
    <t>0805445</t>
  </si>
  <si>
    <t>Dentes para bueiros simples D = 1,50 m - areia, brita e pedra de mão comerciais</t>
  </si>
  <si>
    <t>0805454</t>
  </si>
  <si>
    <t>Dentes para bueiros triplos D = 1,00 m - areia extraída e brita e pedra de mão produzidas</t>
  </si>
  <si>
    <t>0805455</t>
  </si>
  <si>
    <t>Dentes para bueiros triplos D = 1,00 m - areia, brita e pedra de mão comerciais</t>
  </si>
  <si>
    <t>0805456</t>
  </si>
  <si>
    <t>Dentes para bueiros triplos D = 1,20 m - areia extraída e brita e pedra de mão produzidas</t>
  </si>
  <si>
    <t>0805457</t>
  </si>
  <si>
    <t>Dentes para bueiros triplos D = 1,20 m - areia, brita e pedra de mão comerciais</t>
  </si>
  <si>
    <t>0805458</t>
  </si>
  <si>
    <t>Dentes para bueiros triplos D = 1,50 m - areia extraída e brita e pedra de mão produzidas</t>
  </si>
  <si>
    <t>0805459</t>
  </si>
  <si>
    <t>Dentes para bueiros triplos D = 1,50 m - areia, brita e pedra de mão comerciais</t>
  </si>
  <si>
    <t>0909620</t>
  </si>
  <si>
    <t>Alvenaria de blocos de concreto 19 x 19 x 39 cm com espessura de 20 cm com argamassa traço 1:0,5:3,5 - areia comercial</t>
  </si>
  <si>
    <t>0909621</t>
  </si>
  <si>
    <t>Alvenaria de blocos de concreto 19 x 19 x 39 cm com espessura de 20 cm com argamassa traço 1:0,5:3,5 - areia extraída</t>
  </si>
  <si>
    <t>0903802</t>
  </si>
  <si>
    <t>Bacia de contenção para tanque de emulsão de 30.000 l - inclusive demolição</t>
  </si>
  <si>
    <t>0919113</t>
  </si>
  <si>
    <t>Canaleta perfil cartola 50 x 70 x 3 mm - aba 20 mm</t>
  </si>
  <si>
    <t>0903794</t>
  </si>
  <si>
    <t>Chapas zincadas com espessura de 0,43 mm - utilização 1 vez - fornecimento e instalação</t>
  </si>
  <si>
    <t>0919247</t>
  </si>
  <si>
    <t>Chapas zincadas com espessura de 0,43 mm - utilização 2 vezes - fornecimento e instalação</t>
  </si>
  <si>
    <t>0903788</t>
  </si>
  <si>
    <t>Chapisco com argamassa de cimento e areia 1:3 - aplicação manual</t>
  </si>
  <si>
    <t>0919016</t>
  </si>
  <si>
    <t>Depósito de óleo para oficina - inclusive demolição</t>
  </si>
  <si>
    <t>0919078</t>
  </si>
  <si>
    <t>Dique de contenção para usina de asfalto a quente - inclusive demolição</t>
  </si>
  <si>
    <t>0903789</t>
  </si>
  <si>
    <t>Emboço com argamassa de cimento, cal hidratada e areia 1:2:8 com espessura de 2 cm - aplicação manual</t>
  </si>
  <si>
    <t>0919250</t>
  </si>
  <si>
    <t>Fornecimento e instalação de extintor de espuma 10 l</t>
  </si>
  <si>
    <t>0916330</t>
  </si>
  <si>
    <t>Fundações da fábrica de dormentes</t>
  </si>
  <si>
    <t>0903792</t>
  </si>
  <si>
    <t>Fundações para os galpões do estaleiro para beneficiamento de aço naval</t>
  </si>
  <si>
    <t>0916325</t>
  </si>
  <si>
    <t>Impermeabilização de superfícies com argamassa polimérica, três demãos</t>
  </si>
  <si>
    <t>0903807</t>
  </si>
  <si>
    <t>Instalação da central de britagem com capacidade de 80 m³/h</t>
  </si>
  <si>
    <t>0903806</t>
  </si>
  <si>
    <t>Instalação da central de concreto com capacidade de 150 m³/h</t>
  </si>
  <si>
    <t>0903804</t>
  </si>
  <si>
    <t>Instalação da central de concreto com capacidade de 30 m³/h</t>
  </si>
  <si>
    <t>0903805</t>
  </si>
  <si>
    <t>Instalação da central de concreto com capacidade de 40 m³/h</t>
  </si>
  <si>
    <t>0916319</t>
  </si>
  <si>
    <t>Instalação da fábrica de dormentes de concreto monobloco protendido</t>
  </si>
  <si>
    <t>0903810</t>
  </si>
  <si>
    <t>Instalação da usina de asfalto a quente capacidade de 120 t/h</t>
  </si>
  <si>
    <t>0903809</t>
  </si>
  <si>
    <t>Instalação da usina de pré-misturado a frio com capacidade de 60 t/h</t>
  </si>
  <si>
    <t>0903808</t>
  </si>
  <si>
    <t>Instalação da usina misturadora de solos com capacidade de 300 t/h</t>
  </si>
  <si>
    <t>0903790</t>
  </si>
  <si>
    <t>Instalação do estaleiro de beneficiamento do aço naval</t>
  </si>
  <si>
    <t>0916328</t>
  </si>
  <si>
    <t>Junta de dilatação com selante à base de poliuretano - L = 10 mm e H = 10 mm - inclusive preenchimento com espuma expansiva à base de poliuretano</t>
  </si>
  <si>
    <t>0903845</t>
  </si>
  <si>
    <t>Lastro de brita comercial - espalhamento mecânico</t>
  </si>
  <si>
    <t>0903791</t>
  </si>
  <si>
    <t>Montagem do estaleiro de beneficiamento do aço naval - inclusive fundações, construção de piso estrutural, montagem de galpões metálicos e vedações</t>
  </si>
  <si>
    <t>0919009</t>
  </si>
  <si>
    <t>Montagem e desmontagem da central de britagem com capacidade de 80 m³/h - inclusive construção de aterro, construção e demolição de rampa e bases</t>
  </si>
  <si>
    <t>0919007</t>
  </si>
  <si>
    <t>Montagem e desmontagem da central de concreto com capacidade de 150 m³/h - inclusive construção e demolição de bases, rampas e depósitos de agregados</t>
  </si>
  <si>
    <t>0916321</t>
  </si>
  <si>
    <t>Montagem e desmontagem da central de concreto com capacidade de 20 m³/h - inclusive construção e demolição de bases, rampas e depósitos de agregados</t>
  </si>
  <si>
    <t>0919011</t>
  </si>
  <si>
    <t>Montagem e desmontagem da central de concreto com capacidade de 30 m³/h - inclusive construção e demolição de bases, rampas e depósitos de agregados</t>
  </si>
  <si>
    <t>0919246</t>
  </si>
  <si>
    <t>Montagem e desmontagem da central de concreto com capacidade de 40 m³/h - inclusive construção e demolição de bases, rampas e depósitos de agregados</t>
  </si>
  <si>
    <t>0916320</t>
  </si>
  <si>
    <t>Montagem e desmontagem da fábrica de dormentes de concreto monobloco protendido - inclusive fundações, construção e demolição de piso estrutural, montagem de galpão metálico e vedações</t>
  </si>
  <si>
    <t>0919013</t>
  </si>
  <si>
    <t>Montagem e desmontagem da usina de asfalto a quente com capacidade de 120 t/h - inclusive construção e demolição de bases, rampas, depósitos de agregados e dique de contenção</t>
  </si>
  <si>
    <t>0919008</t>
  </si>
  <si>
    <t>Montagem e desmontagem da usina de pré-misturado a frio com capacidade de 60 t/h - inclusive construção e demolição de bases, rampas, depósitos de agregados e bacia de contenção</t>
  </si>
  <si>
    <t>0919012</t>
  </si>
  <si>
    <t>Montagem e desmontagem da usina misturadora de solos com capacidade de 300 t/h - inclusive construção e demolição de bases, rampas e depósitos de agregados</t>
  </si>
  <si>
    <t>0903848</t>
  </si>
  <si>
    <t>Muro em alvenaria de blocos de concreto - E = 0,20 m e H = 1,00 m</t>
  </si>
  <si>
    <t>0903793</t>
  </si>
  <si>
    <t>Muro em alvenaria de blocos de concreto - E = 0,20 m e H = 2,00 m</t>
  </si>
  <si>
    <t>0903803</t>
  </si>
  <si>
    <t>Posto de combustivel - com reaproveitamento de 1 vez do tanque/bomba/cobertura</t>
  </si>
  <si>
    <t>0919002</t>
  </si>
  <si>
    <t>Posto de combustível - com reaproveitamento de 2 vezes do tanque/bomba/cobertura - inclusive demolição</t>
  </si>
  <si>
    <t>0919210</t>
  </si>
  <si>
    <t>Rampa de lavagem - inclusive demolição</t>
  </si>
  <si>
    <t>0916322</t>
  </si>
  <si>
    <t>Rampa para acesso do dosador de agregados para central de 20 m³ - inclusive demolição</t>
  </si>
  <si>
    <t>0909612</t>
  </si>
  <si>
    <t>Rampa para acesso do misturador de agregados para centrais de 30 m³ e 40 m³ - inclusive demolição</t>
  </si>
  <si>
    <t>0909613</t>
  </si>
  <si>
    <t>Rampa para acesso do misturador de agregados para central de 150 m³ - inclusive demolição</t>
  </si>
  <si>
    <t>0909614</t>
  </si>
  <si>
    <t>Rampa para acesso do misturador de agregados para central de britagem - inclusive demolição</t>
  </si>
  <si>
    <t>0909616</t>
  </si>
  <si>
    <t>Rampa para acesso do misturador de agregados para PMF - inclusive demolição</t>
  </si>
  <si>
    <t>0909617</t>
  </si>
  <si>
    <t>Rampa para acesso do misturador de agregados para usina de asfalto a quente - inclusive demolição</t>
  </si>
  <si>
    <t>0909615</t>
  </si>
  <si>
    <t>Rampa para acesso do misturador de agregados para usina de solos - inclusive demolição</t>
  </si>
  <si>
    <t>0903860</t>
  </si>
  <si>
    <t>Selador acrílico - camada de fundo com aplicação manual</t>
  </si>
  <si>
    <t>0919101</t>
  </si>
  <si>
    <t>Sistema separador água e óleo, inclusive demolição</t>
  </si>
  <si>
    <t>0916326</t>
  </si>
  <si>
    <t>Tanque de lavagem para fábrica de dormentes, inclusive demolição</t>
  </si>
  <si>
    <t>0903818</t>
  </si>
  <si>
    <t>Tinta látex - duas camadas com aplicação manual</t>
  </si>
  <si>
    <t>1100657</t>
  </si>
  <si>
    <t>1108055</t>
  </si>
  <si>
    <t>Argamassa autoadensável para reparos e grauteamento - confecção em misturador e lançamento manual</t>
  </si>
  <si>
    <t>1109665</t>
  </si>
  <si>
    <t>Argamassa de cimento e areia 1:1 - confecção em betoneira e lançamento manual - areia comercial</t>
  </si>
  <si>
    <t>1109664</t>
  </si>
  <si>
    <t>Argamassa de cimento e areia 1:1 - confecção em betoneira e lançamento manual - areia extraída</t>
  </si>
  <si>
    <t>1109667</t>
  </si>
  <si>
    <t>Argamassa de cimento e areia 1:2 - confecção em betoneira e lançamento manual - areia comercial</t>
  </si>
  <si>
    <t>1109666</t>
  </si>
  <si>
    <t>Argamassa de cimento e areia 1:2 - confecção em betoneira e lançamento manual - areia extraída</t>
  </si>
  <si>
    <t>1109669</t>
  </si>
  <si>
    <t>Argamassa de cimento e areia 1:3 - confecção em betoneira e lançamento manual - areia comercial</t>
  </si>
  <si>
    <t>1109668</t>
  </si>
  <si>
    <t>Argamassa de cimento e areia 1:3 - confecção em betoneira e lançamento manual - areia extraída</t>
  </si>
  <si>
    <t>1108060</t>
  </si>
  <si>
    <t>Argamassa de cimento e areia 1:3 com 8% de microssílica - confecção em betoneira e lançamento manual - areia comercial</t>
  </si>
  <si>
    <t>1109626</t>
  </si>
  <si>
    <t>Argamassa de cimento e areia 1:3 com 8% de microssílica - confecção em betoneira e lançamento manual - areia extraída</t>
  </si>
  <si>
    <t>1109671</t>
  </si>
  <si>
    <t>Argamassa de cimento e areia 1:4 - confecção em betoneira e lançamento manual - areia comercial</t>
  </si>
  <si>
    <t>1109670</t>
  </si>
  <si>
    <t>Argamassa de cimento e areia 1:4 - confecção em betoneira e lançamento manual - areia extraída</t>
  </si>
  <si>
    <t>1109672</t>
  </si>
  <si>
    <t>Argamassa de cimento e areia com aditivo aglutinante 1:8 - confecção em betoneira e lançamento manual - areia comercial</t>
  </si>
  <si>
    <t>1109624</t>
  </si>
  <si>
    <t>Argamassa de cimento e areia com aditivo aglutinante 1:8 - confecção em betoneira e lançamento manual - areia extraída</t>
  </si>
  <si>
    <t>1109622</t>
  </si>
  <si>
    <t>Argamassa de cimento, cal hidratada e areia 1:0,5:3,5 - confecção em betoneira e lançamento manual - areia comercial</t>
  </si>
  <si>
    <t>1109623</t>
  </si>
  <si>
    <t>Argamassa de cimento, cal hidratada e areia 1:0,5:3,5 - confecção em betoneira e lançamento manual - areia extraída</t>
  </si>
  <si>
    <t>1109697</t>
  </si>
  <si>
    <t>Argamassa de cimento, cal hidratada e areia 1:0,5:8 - confecção em betoneira e lançamento manual - areia comercial</t>
  </si>
  <si>
    <t>1109698</t>
  </si>
  <si>
    <t>Argamassa de cimento, cal hidratada e areia 1:0,5:8 - confecção em betoneira e lançamento manual - areia extraída</t>
  </si>
  <si>
    <t>1109679</t>
  </si>
  <si>
    <t>Argamassa de cimento, cal hidratada e areia 1:1:6 - confecção em betoneira e lançamento manual - areia comercial</t>
  </si>
  <si>
    <t>1109625</t>
  </si>
  <si>
    <t>Argamassa de cimento, cal hidratada e areia 1:1:6 - confecção em betoneira e lançamento manual - areia extraída</t>
  </si>
  <si>
    <t>1109678</t>
  </si>
  <si>
    <t>Argamassa de cimento, cal hidratada e areia 1:2:10 - confecção em betoneira e lançamento manual - areia comercial</t>
  </si>
  <si>
    <t>1109694</t>
  </si>
  <si>
    <t>Argamassa de cimento, cal hidratada e areia 1:2:10 - confecção em betoneira e lançamento manual - areia extraída</t>
  </si>
  <si>
    <t>1109673</t>
  </si>
  <si>
    <t>Argamassa de cimento, cal hidratada e areia 1:2:6 - confecção em betoneira e lançamento manual - areia comercial</t>
  </si>
  <si>
    <t>1109690</t>
  </si>
  <si>
    <t>Argamassa de cimento, cal hidratada e areia 1:2:6 - confecção em betoneira e lançamento manual - areia extraída</t>
  </si>
  <si>
    <t>1109674</t>
  </si>
  <si>
    <t>Argamassa de cimento, cal hidratada e areia 1:2:7 - confecção em betoneira e lançamento manual - areia comercial</t>
  </si>
  <si>
    <t>1109691</t>
  </si>
  <si>
    <t>Argamassa de cimento, cal hidratada e areia 1:2:7 - confecção em betoneira e lançamento manual - areia extraída</t>
  </si>
  <si>
    <t>1109675</t>
  </si>
  <si>
    <t>Argamassa de cimento, cal hidratada e areia 1:2:8 - confecção em betoneira e lançamento manual - areia comercial</t>
  </si>
  <si>
    <t>1109692</t>
  </si>
  <si>
    <t>Argamassa de cimento, cal hidratada e areia 1:2:8 - confecção em betoneira e lançamento manual - areia extraída</t>
  </si>
  <si>
    <t>1109676</t>
  </si>
  <si>
    <t>Argamassa de cimento, cal hidratada e areia 1:2:9 - confecção em betoneira e lançamento manual - areia comercial</t>
  </si>
  <si>
    <t>1109693</t>
  </si>
  <si>
    <t>Argamassa de cimento, cal hidratada e areia 1:2:9 - confecção em betoneira e lançamento manual - areia extraída</t>
  </si>
  <si>
    <t>1109680</t>
  </si>
  <si>
    <t>Argamassa para reparos e grauteamento - confecção em misturador e lançamento manual</t>
  </si>
  <si>
    <t>1107748</t>
  </si>
  <si>
    <t>Argamassa polimérica de alto desempenho projetada para reparos superficiais e reforços estruturais - confecção em misturador e lançamento projetado</t>
  </si>
  <si>
    <t>1110000</t>
  </si>
  <si>
    <t>Concreto</t>
  </si>
  <si>
    <t>1106059</t>
  </si>
  <si>
    <t>Concreto autoadensável com silicato de alumínio fck = 20 MPa - confecção em betoneira e lançamento manual - areia e brita comerciais</t>
  </si>
  <si>
    <t>1106060</t>
  </si>
  <si>
    <t>Concreto autoadensável com silicato de alumínio fck = 20 MPa - confecção em betoneira e lançamento manual - areia extraída e brita produzida</t>
  </si>
  <si>
    <t>1100658</t>
  </si>
  <si>
    <t>Concreto autoadensável com silicato de alumínio fck = 20 MPa - confecção em central dosadora de 30 m³/h - areia e brita comerciais</t>
  </si>
  <si>
    <t>1106159</t>
  </si>
  <si>
    <t>Concreto autoadensável com silicato de alumínio fck = 25 MPa - confecção em central dosadora de 30 m³/h - areia e brita comerciais</t>
  </si>
  <si>
    <t>1107902</t>
  </si>
  <si>
    <t>Concreto autoadensável com silicato de alumínio fck = 30 MPa - confecção em central dosadora de 30 m³/h - areia e brita comerciais</t>
  </si>
  <si>
    <t>1107906</t>
  </si>
  <si>
    <t>Concreto autoadensável com silicato de alumínio fck = 35 MPa - confecção em central dosadora de 30 m³/h - areia e brita comerciais</t>
  </si>
  <si>
    <t>1107910</t>
  </si>
  <si>
    <t>Concreto autoadensável com silicato de alumínio fck = 40 MPa - confecção em central dosadora de 30 m³/h - areia e brita comerciais</t>
  </si>
  <si>
    <t>1107911</t>
  </si>
  <si>
    <t>Concreto autoadensável com silicato de alumínio fck = 45 MPa - confecção em central dosadora de 30 m³/h - areia e brita comerciais</t>
  </si>
  <si>
    <t>1107912</t>
  </si>
  <si>
    <t>Concreto autoadensável com silicato de alumínio fck = 50 MPa - confecção em central dosadora de 30 m³/h - areia e brita comerciais</t>
  </si>
  <si>
    <t>1116323</t>
  </si>
  <si>
    <t>Concreto autoadensável para confecção de dormente fck = 45 MPa - confecção em central dosadora e misturadora de 20 m³/h - areia e brita comerciais</t>
  </si>
  <si>
    <t>1106164</t>
  </si>
  <si>
    <t>Concreto ciclópico fck = 20 MPa - confecção em betoneira e lançamento manual - areia extraída, brita e pedra de mão produzidas</t>
  </si>
  <si>
    <t>1106165</t>
  </si>
  <si>
    <t>Concreto ciclópico fck = 20 MPa - confecção em betoneira e lançamento manual - areia, brita e pedra de mão comerciais</t>
  </si>
  <si>
    <t>1106156</t>
  </si>
  <si>
    <t>Concreto com 10% de microssílica fck = 45 MPa - confecção em central dosadora de 30 m³/h - areia e brita comerciais</t>
  </si>
  <si>
    <t>1107932</t>
  </si>
  <si>
    <t>Concreto com 10% de microssílica fck = 50 MPa - confecção em central dosadora de 30 m³/h - areia e brita comerciais</t>
  </si>
  <si>
    <t>1108111</t>
  </si>
  <si>
    <t>Concreto com 8% de microssílica fck = 25 MPa - confecção em central dosadora de 30 m³/h - areia e brita comerciais</t>
  </si>
  <si>
    <t>1108112</t>
  </si>
  <si>
    <t>Concreto com 8% de microssílica fck = 30 MPa - confecção em central dosadora de 30 m³/h - areia e brita comerciais</t>
  </si>
  <si>
    <t>1108113</t>
  </si>
  <si>
    <t>Concreto com 8% de microssílica fck = 35 MPa - confecção em central dosadora de 30 m³/h - areia e brita comerciais</t>
  </si>
  <si>
    <t>1108114</t>
  </si>
  <si>
    <t>Concreto com 8% de microssílica fck = 40 MPa - confecção em central dosadora de 30 m³/h - areia e brita comerciais</t>
  </si>
  <si>
    <t>1108061</t>
  </si>
  <si>
    <t>Concreto com látex SBR fck = 25 MPa - confecção em betoneira e lançamento manual - areia e brita comerciais</t>
  </si>
  <si>
    <t>1108064</t>
  </si>
  <si>
    <t>Concreto com látex SBR fck = 30 MPa - confecção em betoneira e lançamento manual - areia e brita comerciais</t>
  </si>
  <si>
    <t>1107888</t>
  </si>
  <si>
    <t>Concreto fck = 15 MPa - confecção em betoneira e lançamento manual - areia e brita comerciais</t>
  </si>
  <si>
    <t>1107889</t>
  </si>
  <si>
    <t>Concreto fck = 15 MPa - confecção em betoneira e lançamento manual - areia extraída e brita produzida</t>
  </si>
  <si>
    <t>1107892</t>
  </si>
  <si>
    <t>Concreto fck = 20 MPa - confecção em betoneira e lançamento manual - areia e brita comerciais</t>
  </si>
  <si>
    <t>1107891</t>
  </si>
  <si>
    <t>Concreto fck = 20 MPa - confecção em betoneira e lançamento manual - areia extraída e brita produzida</t>
  </si>
  <si>
    <t>1107928</t>
  </si>
  <si>
    <t>1107929</t>
  </si>
  <si>
    <t>Concreto fck = 20 MPa - confecção em central dosadora de 30 m³/h - areia extraída e brita produzida</t>
  </si>
  <si>
    <t>1106109</t>
  </si>
  <si>
    <t>Concreto fck = 20 MPa - confecção em central dosadora de 40 m³/h - areia e brita comerciais</t>
  </si>
  <si>
    <t>1106117</t>
  </si>
  <si>
    <t>Concreto fck = 20 MPa - confecção em central dosadora de 40 m³/h - areia extraída e brita produzida</t>
  </si>
  <si>
    <t>1107896</t>
  </si>
  <si>
    <t>Concreto fck = 25 MPa - confecção em betoneira e lançamento manual - areia e brita comerciais</t>
  </si>
  <si>
    <t>1107895</t>
  </si>
  <si>
    <t>Concreto fck = 25 MPa - confecção em betoneira e lançamento manual - areia extraída e brita produzida</t>
  </si>
  <si>
    <t>1119528</t>
  </si>
  <si>
    <t>Concreto fck = 25 MPa - confecção em central dosadora de 30 m³/h - areia e brita comerciais</t>
  </si>
  <si>
    <t>1106135</t>
  </si>
  <si>
    <t>Concreto fck = 25 MPa - confecção em central dosadora de 30 m³/h - areia extraída e brita produzida</t>
  </si>
  <si>
    <t>1106136</t>
  </si>
  <si>
    <t>Concreto fck = 25 MPa - confecção em central dosadora de 40 m³/h - areia e brita comerciais</t>
  </si>
  <si>
    <t>1106137</t>
  </si>
  <si>
    <t>Concreto fck = 25 MPa - confecção em central dosadora de 40 m³/h - areia extraída e brita produzida</t>
  </si>
  <si>
    <t>1116127</t>
  </si>
  <si>
    <t>Concreto fck = 25 MPa para pré-moldados (mourões) - confecção em betoneira e lançamento manual - areia e brita comerciais</t>
  </si>
  <si>
    <t>1116126</t>
  </si>
  <si>
    <t>Concreto fck = 25 MPa para pré-moldados (mourões) - confecção em betoneira e lançamento manual - areia extraída e brita produzida</t>
  </si>
  <si>
    <t>1107900</t>
  </si>
  <si>
    <t>Concreto fck = 30 MPa - confecção em betoneira e lançamento manual - areia e brita comerciais</t>
  </si>
  <si>
    <t>1107899</t>
  </si>
  <si>
    <t>Concreto fck = 30 MPa - confecção em betoneira e lançamento manual - areia extraída e brita produzida</t>
  </si>
  <si>
    <t>1107890</t>
  </si>
  <si>
    <t>1106138</t>
  </si>
  <si>
    <t>Concreto fck = 30 MPa - confecção em central dosadora de 30 m³/h - areia extraída e brita produzida</t>
  </si>
  <si>
    <t>1106139</t>
  </si>
  <si>
    <t>Concreto fck = 30 MPa - confecção em central dosadora de 40 m³/h - areia e brita comerciais</t>
  </si>
  <si>
    <t>1106140</t>
  </si>
  <si>
    <t>Concreto fck = 30 MPa - confecção em central dosadora de 40 m³/h - areia extraída e brita produzida</t>
  </si>
  <si>
    <t>1116324</t>
  </si>
  <si>
    <t>Concreto fck = 30 MPa - confecção em central dosadora e misturadora de 20 m³/h - areia e brita comerciais</t>
  </si>
  <si>
    <t>1107904</t>
  </si>
  <si>
    <t>Concreto fck = 35 MPa - confecção em betoneira e lançamento manual - areia e brita comerciais</t>
  </si>
  <si>
    <t>1107903</t>
  </si>
  <si>
    <t>Concreto fck = 35 MPa - confecção em betoneira e lançamento manual - areia extraída e brita produzida</t>
  </si>
  <si>
    <t>1107908</t>
  </si>
  <si>
    <t>1107907</t>
  </si>
  <si>
    <t>Concreto fck = 40 MPa - confecção em betoneira e lançamento manual - areia extraída e brita produzida</t>
  </si>
  <si>
    <t>1107871</t>
  </si>
  <si>
    <t>Concreto fctm,k = 4,5 MPa - confecção em central dosadora de 30 m³/h - areia e brita comerciais</t>
  </si>
  <si>
    <t>1107870</t>
  </si>
  <si>
    <t>Concreto fctm,k = 4,5 MPa - confecção em central dosadora de 30 m³/h - areia extraída e brita produzida</t>
  </si>
  <si>
    <t>1106058</t>
  </si>
  <si>
    <t>Concreto magro - confecção em betoneira e lançamento manual - areia extraída e brita produzida</t>
  </si>
  <si>
    <t>1106380</t>
  </si>
  <si>
    <t>Concreto para bombeamento fck = 25 MPa - confecção em central dosadora de 30 m³/h - areia e brita comerciais</t>
  </si>
  <si>
    <t>1106378</t>
  </si>
  <si>
    <t>Concreto para bombeamento fck = 25 MPa - confecção em central dosadora de 30 m³/h - areia extraída e brita produzida</t>
  </si>
  <si>
    <t>1116263</t>
  </si>
  <si>
    <t>Concreto para bombeamento fck = 25 MPa - confecção em central dosadora de 40 m³/h - areia e brita comerciais</t>
  </si>
  <si>
    <t>1116267</t>
  </si>
  <si>
    <t>Concreto para bombeamento fck = 25 MPa - confecção em central dosadora de 40 m³/h - areia extraída e brita produzida</t>
  </si>
  <si>
    <t>1106280</t>
  </si>
  <si>
    <t>1106289</t>
  </si>
  <si>
    <t>Concreto para bombeamento fck = 30 MPa - confecção em central dosadora de 30 m³/h - areia extraída e brita produzida</t>
  </si>
  <si>
    <t>1116264</t>
  </si>
  <si>
    <t>Concreto para bombeamento fck = 30 MPa - confecção em central dosadora de 40 m³/h - areia e brita comerciais</t>
  </si>
  <si>
    <t>1116268</t>
  </si>
  <si>
    <t>Concreto para bombeamento fck = 30 MPa - confecção em central dosadora de 40 m³/h - areia extraída e brita produzida</t>
  </si>
  <si>
    <t>1106281</t>
  </si>
  <si>
    <t>Concreto para bombeamento fck = 35 MPa - confecção em central dosadora de 30 m³/h - areia e brita comerciais</t>
  </si>
  <si>
    <t>1106382</t>
  </si>
  <si>
    <t>Concreto para bombeamento fck = 35 MPa - confecção em central dosadora de 30 m³/h - areia extraída e brita produzida</t>
  </si>
  <si>
    <t>1116265</t>
  </si>
  <si>
    <t>Concreto para bombeamento fck = 35 MPa - confecção em central dosadora de 40 m³/h - areia e brita comerciais</t>
  </si>
  <si>
    <t>1116269</t>
  </si>
  <si>
    <t>Concreto para bombeamento fck = 35 MPa - confecção em central dosadora de 40 m³/h - areia extraída e brita produzida</t>
  </si>
  <si>
    <t>1106282</t>
  </si>
  <si>
    <t>1106384</t>
  </si>
  <si>
    <t>Concreto para bombeamento fck = 40 MPa - confecção em central dosadora de 30 m³/h - areia extraída e brita produzida</t>
  </si>
  <si>
    <t>1116266</t>
  </si>
  <si>
    <t>Concreto para bombeamento fck = 40 MPa - confecção em central dosadora de 40 m³/h - areia e brita comerciais</t>
  </si>
  <si>
    <t>1116270</t>
  </si>
  <si>
    <t>Concreto para bombeamento fck = 40 MPa - confecção em central dosadora de 40 m³/h - areia extraída e brita produzida</t>
  </si>
  <si>
    <t>1107868</t>
  </si>
  <si>
    <t>Concreto para sub-base adensado por vibração fck = 7,5 MPa - confecção em central dosadora de 30 m³/h - areia e brita comerciais</t>
  </si>
  <si>
    <t>1107869</t>
  </si>
  <si>
    <t>Concreto para sub-base adensado por vibração fck = 7,5 MPa - confecção em central dosadora de 30 m³/h - areia extraída e brita produzida</t>
  </si>
  <si>
    <t>1103853</t>
  </si>
  <si>
    <t>Concreto poroso para tubos de drenagem fck = 25 MPa - confecção em betoneira e lançamento manual - areia e brita comerciais</t>
  </si>
  <si>
    <t>1103852</t>
  </si>
  <si>
    <t>Concreto poroso para tubos de drenagem fck = 25 MPa - confecção em betoneira e lançamento manual - areia extraída e brita produzida</t>
  </si>
  <si>
    <t>1106284</t>
  </si>
  <si>
    <t>Concreto submerso fck = 20 MPa - confecção em central dosadora de 30 m³/h - areia e brita comerciais</t>
  </si>
  <si>
    <t>1108116</t>
  </si>
  <si>
    <t>Concreto submerso fck = 25 MPa - confecção em central dosadora de 30 m³/h - areia e brita comerciais</t>
  </si>
  <si>
    <t>1108118</t>
  </si>
  <si>
    <t>Concreto submerso fck = 30 MPa - confecção em central dosadora de 30 m³/h - areia e brita comerciais</t>
  </si>
  <si>
    <t>1106158</t>
  </si>
  <si>
    <t>Concreto submerso fck = 35 MPa - confecção em central dosadora de 30 m³/h - areia e brita comerciais</t>
  </si>
  <si>
    <t>1108120</t>
  </si>
  <si>
    <t>Concreto submerso fck = 40 MPa - confecção em central dosadora de 30 m³/h - areia e brita comerciais</t>
  </si>
  <si>
    <t>1106050</t>
  </si>
  <si>
    <t>Lançamento livre de concreto usinado por meio de caminhão betoneira - confecção em central dosadora de 30 m³/h</t>
  </si>
  <si>
    <t>1106051</t>
  </si>
  <si>
    <t>Lançamento livre de concreto usinado por meio de caminhão betoneira - confecção em central dosadora de 40 m³/h</t>
  </si>
  <si>
    <t>1106061</t>
  </si>
  <si>
    <t>Lançamento manual de concreto usinado - confecção em central dosadora de 30 m³/h</t>
  </si>
  <si>
    <t>1106087</t>
  </si>
  <si>
    <t>Lançamento manual de concreto usinado - confecção em central dosadora de 40 m³/h</t>
  </si>
  <si>
    <t>1116327</t>
  </si>
  <si>
    <t>Lançamento manual de concreto usinado - confecção em central dosadora e misturadora de 20 m³/h</t>
  </si>
  <si>
    <t>1107860</t>
  </si>
  <si>
    <t>Lançamento mecânico de concreto com bomba lança sobre chassi com capacidade de 50 m³/h - confecção em central dosadora de 40 m³/h</t>
  </si>
  <si>
    <t>1106088</t>
  </si>
  <si>
    <t>Lançamento mecânico de concreto com bomba rebocável com capacidade de 30 m³/h - confecção em central dosadora de 30 m³/h</t>
  </si>
  <si>
    <t>1106089</t>
  </si>
  <si>
    <t>Lançamento mecânico de concreto com bomba rebocável com capacidade de 30 m³/h - confecção em central dosadora e misturadora de 20 m³/h</t>
  </si>
  <si>
    <t>1106128</t>
  </si>
  <si>
    <t>Lançamento mecânico de concreto com bomba rebocável com capacidade de 41 m³/h - confecção em central dosadora de 40 m³/h</t>
  </si>
  <si>
    <t>1108056</t>
  </si>
  <si>
    <t>Microconcreto autoadensável para reparos e grauteamento - confecção em misturador e lançamento manual</t>
  </si>
  <si>
    <t>1108059</t>
  </si>
  <si>
    <t>Microconcreto para reparos e grauteamento - confecção em misturador e lançamento manual</t>
  </si>
  <si>
    <t>1207700</t>
  </si>
  <si>
    <t>Concreto fck = 20 MPa para projeção via seca - confecção em betoneira - areia e brita comerciais</t>
  </si>
  <si>
    <t>1207701</t>
  </si>
  <si>
    <t>Concreto fck = 25 MPa para projeção via seca - confecção em betoneira - areia e brita comerciais</t>
  </si>
  <si>
    <t>1207702</t>
  </si>
  <si>
    <t>Concreto fck = 30 MPa para projeção via seca - confecção em betoneira - areia e brita comerciais</t>
  </si>
  <si>
    <t>1207708</t>
  </si>
  <si>
    <t>Concreto fck = 30 MPa para projeção via úmida - confecção em central dosadora de 30 m³/h - areia e brita comerciais</t>
  </si>
  <si>
    <t>1207703</t>
  </si>
  <si>
    <t>Concreto fck = 40 MPa para projeção via seca - confecção em betoneira - areia e brita comerciais</t>
  </si>
  <si>
    <t>1207709</t>
  </si>
  <si>
    <t>Concreto fck = 40 MPa para projeção via úmida - confecção em central dosadora de 30 m³/h - areia e brita comerciais</t>
  </si>
  <si>
    <t>1207710</t>
  </si>
  <si>
    <t>Concreto projetado via seca fck = 20 MPa aplicado em pisos</t>
  </si>
  <si>
    <t>1207711</t>
  </si>
  <si>
    <t>Concreto projetado via seca fck = 20 MPa aplicado em superfícies inclinadas e verticais</t>
  </si>
  <si>
    <t>1207713</t>
  </si>
  <si>
    <t>Concreto projetado via seca fck = 20 MPa aplicado em teto</t>
  </si>
  <si>
    <t>1207714</t>
  </si>
  <si>
    <t>Concreto projetado via seca fck = 25 MPa aplicado em pisos</t>
  </si>
  <si>
    <t>1207715</t>
  </si>
  <si>
    <t>Concreto projetado via seca fck = 25 MPa aplicado em superfícies inclinadas e verticais</t>
  </si>
  <si>
    <t>1207717</t>
  </si>
  <si>
    <t>Concreto projetado via seca fck = 25 MPa aplicado em teto</t>
  </si>
  <si>
    <t>1207718</t>
  </si>
  <si>
    <t>Concreto projetado via seca fck = 30 MPa aplicado em pisos</t>
  </si>
  <si>
    <t>1207719</t>
  </si>
  <si>
    <t>Concreto projetado via seca fck = 30 MPa aplicado em superfícies inclinadas e verticais</t>
  </si>
  <si>
    <t>1207721</t>
  </si>
  <si>
    <t>Concreto projetado via seca fck = 30 MPa aplicado em teto</t>
  </si>
  <si>
    <t>1207722</t>
  </si>
  <si>
    <t>Concreto projetado via seca fck = 40 MPa aplicado em pisos</t>
  </si>
  <si>
    <t>1207723</t>
  </si>
  <si>
    <t>Concreto projetado via seca fck = 40 MPa aplicado em superfícies inclinadas e verticais</t>
  </si>
  <si>
    <t>1207725</t>
  </si>
  <si>
    <t>Concreto projetado via seca fck = 40 MPa via seca aplicado em teto</t>
  </si>
  <si>
    <t>1207728</t>
  </si>
  <si>
    <t>Concreto projetado via úmida fck = 30 MPa aplicado em túneis classe I com seção de 20 a 40 m²</t>
  </si>
  <si>
    <t>1207727</t>
  </si>
  <si>
    <t>Concreto projetado via úmida fck = 30 MPa aplicado em túneis classe I com seção de 40 a 60 m²</t>
  </si>
  <si>
    <t>1207726</t>
  </si>
  <si>
    <t>Concreto projetado via úmida fck = 30 MPa aplicado em túneis classe I com seção de 60 a 90 m²</t>
  </si>
  <si>
    <t>1208329</t>
  </si>
  <si>
    <t>Concreto projetado via úmida fck = 30 MPa aplicado em túneis classe I com seção superior a 90 m²</t>
  </si>
  <si>
    <t>1207685</t>
  </si>
  <si>
    <t>Concreto projetado via úmida fck = 30 MPa aplicado em túneis classe II com seção de 20 a 40 m²</t>
  </si>
  <si>
    <t>1207684</t>
  </si>
  <si>
    <t>Concreto projetado via úmida fck = 30 MPa aplicado em túneis classe II com seção de 40 a 60 m²</t>
  </si>
  <si>
    <t>1207683</t>
  </si>
  <si>
    <t>Concreto projetado via úmida fck = 30 MPa aplicado em túneis classe II com seção de 60 a 90 m²</t>
  </si>
  <si>
    <t>1208337</t>
  </si>
  <si>
    <t>Concreto projetado via úmida fck = 30 MPa aplicado em túneis classe II com seção superior a 90 m²</t>
  </si>
  <si>
    <t>1207691</t>
  </si>
  <si>
    <t>Concreto projetado via úmida fck = 30 MPa aplicado em túneis classe III com seção de 20 a 40 m²</t>
  </si>
  <si>
    <t>1207690</t>
  </si>
  <si>
    <t>Concreto projetado via úmida fck = 30 MPa aplicado em túneis classe III com seção de 40 a 60 m²</t>
  </si>
  <si>
    <t>1207689</t>
  </si>
  <si>
    <t>Concreto projetado via úmida fck = 30 MPa aplicado em túneis classe III com seção de 60 a 90 m²</t>
  </si>
  <si>
    <t>1208345</t>
  </si>
  <si>
    <t>Concreto projetado via úmida fck = 30 MPa aplicado em túneis classe III com seção superior a 90 m²</t>
  </si>
  <si>
    <t>1207697</t>
  </si>
  <si>
    <t>Concreto projetado via úmida fck = 30 MPa aplicado em túneis classe IV com seção de 20 a 40 m²</t>
  </si>
  <si>
    <t>1207696</t>
  </si>
  <si>
    <t>Concreto projetado via úmida fck = 30 MPa aplicado em túneis classe IV com seção de 40 a 60 m²</t>
  </si>
  <si>
    <t>1207695</t>
  </si>
  <si>
    <t>Concreto projetado via úmida fck = 30 MPa aplicado em túneis classe IV com seção de 60 a 90 m²</t>
  </si>
  <si>
    <t>1208353</t>
  </si>
  <si>
    <t>Concreto projetado via úmida fck = 30 MPa aplicado em túneis classe IV com seção superior a 90 m²</t>
  </si>
  <si>
    <t>1207663</t>
  </si>
  <si>
    <t>Concreto projetado via úmida fck = 30 MPa aplicado em túneis classe V com seção de 20 a 40 m²</t>
  </si>
  <si>
    <t>1207662</t>
  </si>
  <si>
    <t>Concreto projetado via úmida fck = 30 MPa aplicado em túneis classe V com seção de 40 a 60 m²</t>
  </si>
  <si>
    <t>1207661</t>
  </si>
  <si>
    <t>Concreto projetado via úmida fck = 30 MPa aplicado em túneis classe V com seção de 60 a 90 m²</t>
  </si>
  <si>
    <t>1208361</t>
  </si>
  <si>
    <t>Concreto projetado via úmida fck = 30 MPa aplicado em túneis classe V com seção superior a 90 m²</t>
  </si>
  <si>
    <t>1207669</t>
  </si>
  <si>
    <t>Concreto projetado via úmida fck = 30 MPa aplicado em túneis classe VI com seção de 20 a 40 m²</t>
  </si>
  <si>
    <t>1207668</t>
  </si>
  <si>
    <t>Concreto projetado via úmida fck = 30 MPa aplicado em túneis classe VI com seção de 40 a 60 m²</t>
  </si>
  <si>
    <t>1207667</t>
  </si>
  <si>
    <t>Concreto projetado via úmida fck = 30 MPa aplicado em túneis classe VI com seção de 60 a 90 m²</t>
  </si>
  <si>
    <t>1208369</t>
  </si>
  <si>
    <t>Concreto projetado via úmida fck = 30 MPa aplicado em túneis classe VI com seção superior a 90 m²</t>
  </si>
  <si>
    <t>1207682</t>
  </si>
  <si>
    <t>Concreto projetado via úmida fck = 40 MPa aplicado em túneis classe I com seção de 20 a 40 m²</t>
  </si>
  <si>
    <t>1207681</t>
  </si>
  <si>
    <t>Concreto projetado via úmida fck = 40 MPa aplicado em túneis classe I com seção de 40 a 60 m²</t>
  </si>
  <si>
    <t>1207729</t>
  </si>
  <si>
    <t>Concreto projetado via úmida fck = 40 MPa aplicado em túneis classe I com seção de 60 a 90 m²</t>
  </si>
  <si>
    <t>1208333</t>
  </si>
  <si>
    <t>Concreto projetado via úmida fck = 40 MPa aplicado em túneis classe I com seção superior a 90 m²</t>
  </si>
  <si>
    <t>1207688</t>
  </si>
  <si>
    <t>Concreto projetado via úmida fck = 40 MPa aplicado em túneis classe II com seção de 20 a 40 m²</t>
  </si>
  <si>
    <t>1207687</t>
  </si>
  <si>
    <t>Concreto projetado via úmida fck = 40 MPa aplicado em túneis classe II com seção de 40 a 60 m²</t>
  </si>
  <si>
    <t>1207686</t>
  </si>
  <si>
    <t>Concreto projetado via úmida fck = 40 MPa aplicado em túneis classe II com seção de 60 a 90 m²</t>
  </si>
  <si>
    <t>1208341</t>
  </si>
  <si>
    <t>Concreto projetado via úmida fck = 40 MPa aplicado em túneis classe II com seção superior a 90 m²</t>
  </si>
  <si>
    <t>1207694</t>
  </si>
  <si>
    <t>Concreto projetado via úmida fck = 40 MPa aplicado em túneis classe III com seção de 20 a 40 m²</t>
  </si>
  <si>
    <t>1207693</t>
  </si>
  <si>
    <t>Concreto projetado via úmida fck = 40 MPa aplicado em túneis classe III com seção de 40 a 60 m²</t>
  </si>
  <si>
    <t>1207692</t>
  </si>
  <si>
    <t>Concreto projetado via úmida fck = 40 MPa aplicado em túneis classe III com seção de 60 a 90 m²</t>
  </si>
  <si>
    <t>1208349</t>
  </si>
  <si>
    <t>Concreto projetado via úmida fck = 40 MPa aplicado em túneis classe III com seção superior a 90 m²</t>
  </si>
  <si>
    <t>1207660</t>
  </si>
  <si>
    <t>Concreto projetado via úmida fck = 40 MPa aplicado em túneis classe IV com seção de 20 a 40 m²</t>
  </si>
  <si>
    <t>1207699</t>
  </si>
  <si>
    <t>Concreto projetado via úmida fck = 40 MPa aplicado em túneis classe IV com seção de 40 a 60 m²</t>
  </si>
  <si>
    <t>1207698</t>
  </si>
  <si>
    <t>Concreto projetado via úmida fck = 40 MPa aplicado em túneis classe IV com seção de 60 a 90 m²</t>
  </si>
  <si>
    <t>1208357</t>
  </si>
  <si>
    <t>Concreto projetado via úmida fck = 40 MPa aplicado em túneis classe IV com seção superior a 90 m²</t>
  </si>
  <si>
    <t>1207666</t>
  </si>
  <si>
    <t>Concreto projetado via úmida fck = 40 MPa aplicado em túneis classe V com seção de 20 a 40 m²</t>
  </si>
  <si>
    <t>1207665</t>
  </si>
  <si>
    <t>Concreto projetado via úmida fck = 40 MPa aplicado em túneis classe V com seção de 40 a 60 m²</t>
  </si>
  <si>
    <t>1207664</t>
  </si>
  <si>
    <t>Concreto projetado via úmida fck = 40 MPa aplicado em túneis classe V com seção de 60 a 90 m²</t>
  </si>
  <si>
    <t>1208365</t>
  </si>
  <si>
    <t>Concreto projetado via úmida fck = 40 MPa aplicado em túneis classe V com seção superior a 90 m²</t>
  </si>
  <si>
    <t>1207672</t>
  </si>
  <si>
    <t>Concreto projetado via úmida fck = 40 MPa aplicado em túneis classe VI com seção de 20 a 40 m²</t>
  </si>
  <si>
    <t>1207671</t>
  </si>
  <si>
    <t>Concreto projetado via úmida fck = 40 MPa aplicado em túneis classe VI com seção de 40 a 60 m²</t>
  </si>
  <si>
    <t>1207670</t>
  </si>
  <si>
    <t>Concreto projetado via úmida fck = 40 MPa aplicado em túneis classe VI com seção de 60 a 90 m²</t>
  </si>
  <si>
    <t>1208373</t>
  </si>
  <si>
    <t>Concreto projetado via úmida fck = 40 MPa aplicado em túneis classe VI com seção superior a 90 m²</t>
  </si>
  <si>
    <t>1400976</t>
  </si>
  <si>
    <t>Corte a plasma CNC em chapa com espessura de 6,3 a 10 mm</t>
  </si>
  <si>
    <t>1400970</t>
  </si>
  <si>
    <t>Corte a plasma manual em chapa de aço-carbono com espessura de 4 a 8 mm</t>
  </si>
  <si>
    <t>1400971</t>
  </si>
  <si>
    <t>Corte a plasma manual em chapa de aço-carbono com espessura de 9 a 25 mm</t>
  </si>
  <si>
    <t>1400972</t>
  </si>
  <si>
    <t>Corte a plasma manual em chapa de alumínio com espessura de 1,5 mm</t>
  </si>
  <si>
    <t>1416201</t>
  </si>
  <si>
    <t>Corte de barras e fios de aço com maçarico oxiacetileno</t>
  </si>
  <si>
    <t>cm²</t>
  </si>
  <si>
    <t>1400969</t>
  </si>
  <si>
    <t>Corte de cantoneira de alumínio</t>
  </si>
  <si>
    <t>1400975</t>
  </si>
  <si>
    <t>Corte de chapa de aço com guilhotina hidráulica</t>
  </si>
  <si>
    <t>1400985</t>
  </si>
  <si>
    <t>Corte de chapas de aço com espessura de 12,5 mm com maçarico oxi-GLP</t>
  </si>
  <si>
    <t>1416141</t>
  </si>
  <si>
    <t>Corte de chapas de aço com espessura de 12,5 mm com maçarico oxiacetileno</t>
  </si>
  <si>
    <t>1400986</t>
  </si>
  <si>
    <t>Corte de chapas de aço com espessura de 16,0 mm com maçarico oxi-GLP</t>
  </si>
  <si>
    <t>1416142</t>
  </si>
  <si>
    <t>Corte de chapas de aço com espessura de 16,0 mm com maçarico oxiacetileno</t>
  </si>
  <si>
    <t>1400980</t>
  </si>
  <si>
    <t>Corte de chapas de aço com espessura de 3,0 mm com maçarico oxi-GLP</t>
  </si>
  <si>
    <t>1400973</t>
  </si>
  <si>
    <t>Corte de chapas de aço com espessura de 3,0 mm com maçarico oxiacetileno</t>
  </si>
  <si>
    <t>1400981</t>
  </si>
  <si>
    <t>Corte de chapas de aço com espessura de 5,0 mm com maçarico oxi-GLP</t>
  </si>
  <si>
    <t>1400974</t>
  </si>
  <si>
    <t>Corte de chapas de aço com espessura de 5,0 mm com maçarico oxiacetileno</t>
  </si>
  <si>
    <t>1400982</t>
  </si>
  <si>
    <t>Corte de chapas de aço com espessura de 6,3 mm com maçarico oxi-GLP</t>
  </si>
  <si>
    <t>1416139</t>
  </si>
  <si>
    <t>Corte de chapas de aço com espessura de 6,3 mm com maçarico oxiacetileno</t>
  </si>
  <si>
    <t>1400983</t>
  </si>
  <si>
    <t>Corte de chapas de aço com espessura de 8,0 mm com maçarico oxi-GLP</t>
  </si>
  <si>
    <t>1416202</t>
  </si>
  <si>
    <t>Corte de chapas de aço com espessura de 8,0 mm com maçarico oxiacetileno</t>
  </si>
  <si>
    <t>1400984</t>
  </si>
  <si>
    <t>Corte de chapas de aço com espessura de 9,5 mm com maçarico oxi-GLP</t>
  </si>
  <si>
    <t>1416140</t>
  </si>
  <si>
    <t>Corte de chapas de aço com espessura de 9,5 mm com maçarico oxiacetileno</t>
  </si>
  <si>
    <t>1419543</t>
  </si>
  <si>
    <t>Corte de perfil metálico com máquina policorte com espessura de até 1/8"</t>
  </si>
  <si>
    <t>1408173</t>
  </si>
  <si>
    <t>Corte de perfis metálicos com maçarico oxiacetileno</t>
  </si>
  <si>
    <t>1407063</t>
  </si>
  <si>
    <t>Corte de trilho TR45 com utilização de equipamento leve</t>
  </si>
  <si>
    <t>1407064</t>
  </si>
  <si>
    <t>Corte de trilho TR57 com utilização de equipamento leve</t>
  </si>
  <si>
    <t>1407065</t>
  </si>
  <si>
    <t>Corte de trilho TR68 com utilização de equipamento leve</t>
  </si>
  <si>
    <t>1407066</t>
  </si>
  <si>
    <t>Corte de trilho UIC60 com utilização de equipamento leve</t>
  </si>
  <si>
    <t>1400977</t>
  </si>
  <si>
    <t>Dobramento de chapas metálicas com espessuras de até 10 mm</t>
  </si>
  <si>
    <t>1407067</t>
  </si>
  <si>
    <t>Furação de trilho TR45 com utilização de equipamento leve</t>
  </si>
  <si>
    <t>1407068</t>
  </si>
  <si>
    <t>Furação de trilho TR57 com utilização de equipamento leve</t>
  </si>
  <si>
    <t>1407069</t>
  </si>
  <si>
    <t>Furação de trilho TR68 com utilização de equipamento leve</t>
  </si>
  <si>
    <t>1407070</t>
  </si>
  <si>
    <t>Furação de trilho UIC60 com utilização de equipamento leve</t>
  </si>
  <si>
    <t>1400987</t>
  </si>
  <si>
    <t>Perfuração de chapas metálicas com espessura de até 3 mm - D = 25 mm</t>
  </si>
  <si>
    <t>1416257</t>
  </si>
  <si>
    <t>Solda com maçarico oxiacetileno de chapas de aço de 12,5 mm</t>
  </si>
  <si>
    <t>1416253</t>
  </si>
  <si>
    <t>Solda com maçarico oxiacetileno de chapas de aço de 16 mm</t>
  </si>
  <si>
    <t>1416254</t>
  </si>
  <si>
    <t>Solda com maçarico oxiacetileno de chapas de aço de 6,3 mm</t>
  </si>
  <si>
    <t>1416255</t>
  </si>
  <si>
    <t>Solda com maçarico oxiacetileno de chapas de aço de 8 mm</t>
  </si>
  <si>
    <t>1416256</t>
  </si>
  <si>
    <t>Solda com maçarico oxiacetileno de chapas de aço de 9,5 mm</t>
  </si>
  <si>
    <t>1400978</t>
  </si>
  <si>
    <t>Solda tipo MIG/MAG semiautomática</t>
  </si>
  <si>
    <t>1513941</t>
  </si>
  <si>
    <t>Contenção em areia-cimento ensacada com mistura de areia com 8% de cimento - confecção e assentamento</t>
  </si>
  <si>
    <t>1513940</t>
  </si>
  <si>
    <t>Contenção em solo-cimento ensacado com mistura de solo de jazida com 8% de cimento - confecção e assentamento</t>
  </si>
  <si>
    <t>1505879</t>
  </si>
  <si>
    <t>Enrocamento de pedra arrumada manualmente - pedra de mão comercial - fornecimento e assentamento</t>
  </si>
  <si>
    <t>1505878</t>
  </si>
  <si>
    <t>Enrocamento de pedra arrumada manualmente - pedra de mão produzida - confecção e assentamento</t>
  </si>
  <si>
    <t>1505877</t>
  </si>
  <si>
    <t>Enrocamento de pedra espalhada e compactada mecanicamente - pedra de mão comercial - fornecimento e assentamento</t>
  </si>
  <si>
    <t>1505860</t>
  </si>
  <si>
    <t>1505859</t>
  </si>
  <si>
    <t>Enrocamento de pedra jogada - pedra de mão produzida - confecção e assentamento</t>
  </si>
  <si>
    <t>1516204</t>
  </si>
  <si>
    <t>Fabricação de blocos segmentais de face pré-moldados - C = 40 cm, L = 40 cm e H = 20 cm - massa de 25 kg</t>
  </si>
  <si>
    <t>1516312</t>
  </si>
  <si>
    <t>Geocélula em PEAD, paredes perfuradas, soldadas - altura de 100 mm e 1.206 cm² de área de célula - fornecimento e instalação</t>
  </si>
  <si>
    <t>1516304</t>
  </si>
  <si>
    <t>Geocélula em PEAD, paredes perfuradas, soldadas - altura de 100 mm e 289 cm² de área de célula - fornecimento e instalação</t>
  </si>
  <si>
    <t>1516308</t>
  </si>
  <si>
    <t>Geocélula em PEAD, paredes perfuradas, soldadas - altura de 100 mm e 460 cm² de área de célula - fornecimento e instalação</t>
  </si>
  <si>
    <t>1516313</t>
  </si>
  <si>
    <t>Geocélula em PEAD, paredes perfuradas, soldadas - altura de 150 mm e 1.206 cm² de área de célula - fornecimento e instalação</t>
  </si>
  <si>
    <t>1516305</t>
  </si>
  <si>
    <t>Geocélula em PEAD, paredes perfuradas, soldadas - altura de 150 mm e 289 cm² de área de célula - fornecimento e instalação</t>
  </si>
  <si>
    <t>1516309</t>
  </si>
  <si>
    <t>Geocélula em PEAD, paredes perfuradas, soldadas - altura de 150 mm e 460 cm² de área de célula - fornecimento e instalação</t>
  </si>
  <si>
    <t>1516314</t>
  </si>
  <si>
    <t>Geocélula em PEAD, paredes perfuradas, soldadas - altura de 200 mm e 1.206 cm² de área de célula - fornecimento e instalação</t>
  </si>
  <si>
    <t>1516306</t>
  </si>
  <si>
    <t>Geocélula em PEAD, paredes perfuradas, soldadas - altura de 200 mm e 289 cm² de área de célula - fornecimento e instalação</t>
  </si>
  <si>
    <t>1516310</t>
  </si>
  <si>
    <t>Geocélula em PEAD, paredes perfuradas, soldadas - altura de 200 mm e 460 cm² de área de célula - fornecimento e instalação</t>
  </si>
  <si>
    <t>1516311</t>
  </si>
  <si>
    <t>Geocélula em PEAD, paredes perfuradas, soldadas - altura de 75 mm e 1.206 cm² de área de célula - fornecimento e instalação</t>
  </si>
  <si>
    <t>1516303</t>
  </si>
  <si>
    <t>Geocélula em PEAD, paredes perfuradas, soldadas - altura de 75 mm e 289 cm² de área de célula - fornecimento e instalação</t>
  </si>
  <si>
    <t>1516307</t>
  </si>
  <si>
    <t>Geocélula em PEAD, paredes perfuradas, soldadas - altura de 75 mm e 460 cm² de área de célula - fornecimento e instalação</t>
  </si>
  <si>
    <t>1516298</t>
  </si>
  <si>
    <t>Geogrelha unidirecional com resistência à tração de 100 kN/m - fornecimento e instalação</t>
  </si>
  <si>
    <t>1516299</t>
  </si>
  <si>
    <t>Geogrelha unidirecional com resistência à tração de 150 kN/m - fornecimento e instalação</t>
  </si>
  <si>
    <t>1516300</t>
  </si>
  <si>
    <t>Geogrelha unidirecional com resistência à tração de 200 kN/m - fornecimento e instalação</t>
  </si>
  <si>
    <t>1516301</t>
  </si>
  <si>
    <t>Geogrelha unidirecional com resistência à tração de 300 kN/m - fornecimento e instalação</t>
  </si>
  <si>
    <t>1516302</t>
  </si>
  <si>
    <t>Geogrelha unidirecional com resistência à tração de 400 kN/m - fornecimento e instalação</t>
  </si>
  <si>
    <t>1516296</t>
  </si>
  <si>
    <t>Geogrelha unidirecional com resistência à tração de 50 kN/m - fornecimento e instalação</t>
  </si>
  <si>
    <t>1516297</t>
  </si>
  <si>
    <t>Geogrelha unidirecional com resistência à tração de 90 kN/m - fornecimento e instalação</t>
  </si>
  <si>
    <t>1505847</t>
  </si>
  <si>
    <t>Muro em blocos segmentais de face pré-moldados - C = 40 cm, L = 40 cm, e H = 20 cm com altura de 4 a 6 m - confecção e assentamento</t>
  </si>
  <si>
    <t>1505848</t>
  </si>
  <si>
    <t>Muro em blocos segmentais de face pré-moldados - C = 40 cm, L = 40 cm, e H = 20 cm com altura de 6 a 8 m - confecção e assentamento</t>
  </si>
  <si>
    <t>1505849</t>
  </si>
  <si>
    <t>Muro em blocos segmentais de face pré-moldados - C = 40 cm, L = 40 cm, e H = 20 cm com altura de 8 a 10 m - confecção e assentamento</t>
  </si>
  <si>
    <t>1505930</t>
  </si>
  <si>
    <t>Muro em blocos segmentais de face pré-moldados - C = 40 cm, L = 40 cm, e H = 20 cm com altura de até 4 m - confecção e assentamento</t>
  </si>
  <si>
    <t>1506055</t>
  </si>
  <si>
    <t>Pedra argamassada com cimento e areia 1:3 - areia e pedra de mão comercial - fornecimento e assentamento</t>
  </si>
  <si>
    <t>1506056</t>
  </si>
  <si>
    <t>Pedra argamassada com cimento e areia 1:3 - areia extraída e pedra de mão produzida - confecção e assentamento</t>
  </si>
  <si>
    <t>1513943</t>
  </si>
  <si>
    <t>Proteção de taludes rochosos com telas metálicas - resistência longitudinal à tração de 121 kN/m - fornecimento e posicionamento - inclusive cabos de aço, grampos e clipes de junção</t>
  </si>
  <si>
    <t>1516318</t>
  </si>
  <si>
    <t>Tela metálica dobrada em L para muro em solo reforçado - C = 200 cm, L = 40 cm e H = 40 cm - fornecimento e instalação</t>
  </si>
  <si>
    <t>1516317</t>
  </si>
  <si>
    <t>Tela metálica dobrada em L para muro em solo reforçado - C = 200 cm, L = 50 cm e H = 50 cm - fornecimento e instalação</t>
  </si>
  <si>
    <t>1600965</t>
  </si>
  <si>
    <t>Abertura em muro de alvenaria de pedra argamassada com martelete</t>
  </si>
  <si>
    <t>1600408</t>
  </si>
  <si>
    <t>Apicoamento manual de concreto</t>
  </si>
  <si>
    <t>1600990</t>
  </si>
  <si>
    <t>Demolição de concreto armado com martelete e corte oxiacetileno</t>
  </si>
  <si>
    <t>1600989</t>
  </si>
  <si>
    <t>Demolição de concreto simples com martelete</t>
  </si>
  <si>
    <t>1600438</t>
  </si>
  <si>
    <t>Demolição manual de concreto armado</t>
  </si>
  <si>
    <t>1600436</t>
  </si>
  <si>
    <t>Demolição manual de concreto simples</t>
  </si>
  <si>
    <t>1600895</t>
  </si>
  <si>
    <t>Demolição manual de construções provisórias de madeira - sem reaproveitamento</t>
  </si>
  <si>
    <t>1600897</t>
  </si>
  <si>
    <t>Demolição manual de construções provisórias de madeira, sem fechamento lateral e sem pavimentação</t>
  </si>
  <si>
    <t>1619004</t>
  </si>
  <si>
    <t>Demolição mecânica de alvenaria com carregadeira de pneus</t>
  </si>
  <si>
    <t>1600896</t>
  </si>
  <si>
    <t>Demolição mecânica de alvenaria com escavadeira hidráulica</t>
  </si>
  <si>
    <t>1619003</t>
  </si>
  <si>
    <t>Demolição mecânica de concreto armado com escavadeira hidráulica</t>
  </si>
  <si>
    <t>1619006</t>
  </si>
  <si>
    <t>Demolição mecânica de concreto simples com escavadeira hidráulica</t>
  </si>
  <si>
    <t>1600414</t>
  </si>
  <si>
    <t>Fresagem de piso de concreto</t>
  </si>
  <si>
    <t>1608148</t>
  </si>
  <si>
    <t>Perfuração em concreto com coroa diamantada - D = 100 mm</t>
  </si>
  <si>
    <t>1608021</t>
  </si>
  <si>
    <t>Perfuração em concreto com coroa diamantada - D = 16 mm</t>
  </si>
  <si>
    <t>1608024</t>
  </si>
  <si>
    <t>Perfuração em concreto com coroa diamantada - D = 20 mm</t>
  </si>
  <si>
    <t>1608026</t>
  </si>
  <si>
    <t>Perfuração em concreto com coroa diamantada - D = 25 mm</t>
  </si>
  <si>
    <t>1608142</t>
  </si>
  <si>
    <t>Perfuração em concreto com coroa diamantada - D = 32 mm</t>
  </si>
  <si>
    <t>1608143</t>
  </si>
  <si>
    <t>Perfuração em concreto com coroa diamantada - D = 38 mm</t>
  </si>
  <si>
    <t>1608144</t>
  </si>
  <si>
    <t>Perfuração em concreto com coroa diamantada - D = 44 mm</t>
  </si>
  <si>
    <t>1608145</t>
  </si>
  <si>
    <t>Perfuração em concreto com coroa diamantada - D = 50 mm</t>
  </si>
  <si>
    <t>1608146</t>
  </si>
  <si>
    <t>Perfuração em concreto com coroa diamantada - D = 63 mm</t>
  </si>
  <si>
    <t>1608147</t>
  </si>
  <si>
    <t>Perfuração em concreto com coroa diamantada - D = 75 mm</t>
  </si>
  <si>
    <t>1608019</t>
  </si>
  <si>
    <t>Perfuração em concreto com martelete elétrico - D = 10 mm</t>
  </si>
  <si>
    <t>1608020</t>
  </si>
  <si>
    <t>Perfuração em concreto com martelete elétrico - D = 13,0 mm</t>
  </si>
  <si>
    <t>1608025</t>
  </si>
  <si>
    <t>Perfuração em concreto com martelete elétrico - D = 14 mm</t>
  </si>
  <si>
    <t>1600966</t>
  </si>
  <si>
    <t>Remoção de cerca com mourões de concreto</t>
  </si>
  <si>
    <t>1600898</t>
  </si>
  <si>
    <t>Remoção de painel publicitário, tipo outdoor, com estrutura e suportes em madeira</t>
  </si>
  <si>
    <t>1600441</t>
  </si>
  <si>
    <t>Remoção de paralelepípedos</t>
  </si>
  <si>
    <t>1600404</t>
  </si>
  <si>
    <t>Remoção de tubos de concreto com diâmetro de 0,40 m a 1,00 m em valas e bueiros</t>
  </si>
  <si>
    <t>1600405</t>
  </si>
  <si>
    <t>Remoção de tubos de concreto com diâmetro de 1,20 m a 1,50 m em valas e bueiros</t>
  </si>
  <si>
    <t>1716605</t>
  </si>
  <si>
    <t>Derrocagem subaquática de material de 3ª categoria - carga e limpeza - plataforma com clamshell - flutuante e batelão rebocado de 100 t montado na obra - DMT até 200 m</t>
  </si>
  <si>
    <t>1716610</t>
  </si>
  <si>
    <t>Derrocagem subaquática de material de 3ª categoria - carga e limpeza - plataforma com clamshell - flutuante e batelão rebocado de 100 t montado na obra - DMT de 1.000 a 1200 m</t>
  </si>
  <si>
    <t>1716611</t>
  </si>
  <si>
    <t>Derrocagem subaquática de material de 3ª categoria - carga e limpeza - plataforma com clamshell - flutuante e batelão rebocado de 100 t montado na obra - DMT de 1.200 a 1.400 m</t>
  </si>
  <si>
    <t>1716612</t>
  </si>
  <si>
    <t>Derrocagem subaquática de material de 3ª categoria - carga e limpeza - plataforma com clamshell - flutuante e batelão rebocado de 100 t montado na obra - DMT de 1.400 a 1.600 m</t>
  </si>
  <si>
    <t>1716613</t>
  </si>
  <si>
    <t>Derrocagem subaquática de material de 3ª categoria - carga e limpeza - plataforma com clamshell - flutuante e batelão rebocado de 100 t montado na obra - DMT de 1.600 a 1.800 m</t>
  </si>
  <si>
    <t>1716614</t>
  </si>
  <si>
    <t>Derrocagem subaquática de material de 3ª categoria - carga e limpeza - plataforma com clamshell - flutuante e batelão rebocado de 100 t montado na obra - DMT de 1.800 a 2.000 m</t>
  </si>
  <si>
    <t>1716615</t>
  </si>
  <si>
    <t>Derrocagem subaquática de material de 3ª categoria - carga e limpeza - plataforma com clamshell - flutuante e batelão rebocado de 100 t montado na obra - DMT de 2.000 a 2.500 m</t>
  </si>
  <si>
    <t>1716616</t>
  </si>
  <si>
    <t>Derrocagem subaquática de material de 3ª categoria - carga e limpeza - plataforma com clamshell - flutuante e batelão rebocado de 100 t montado na obra - DMT de 2.500 a 3.000 m</t>
  </si>
  <si>
    <t>1716606</t>
  </si>
  <si>
    <t>Derrocagem subaquática de material de 3ª categoria - carga e limpeza - plataforma com clamshell - flutuante e batelão rebocado de 100 t montado na obra - DMT de 200 a 400 m</t>
  </si>
  <si>
    <t>1716617</t>
  </si>
  <si>
    <t>Derrocagem subaquática de material de 3ª categoria - carga e limpeza - plataforma com clamshell - flutuante e batelão rebocado de 100 t montado na obra - DMT de 3.000 m</t>
  </si>
  <si>
    <t>1716607</t>
  </si>
  <si>
    <t>Derrocagem subaquática de material de 3ª categoria - carga e limpeza - plataforma com clamshell - flutuante e batelão rebocado de 100 t montado na obra - DMT de 400 a 600 m</t>
  </si>
  <si>
    <t>1716608</t>
  </si>
  <si>
    <t>Derrocagem subaquática de material de 3ª categoria - carga e limpeza - plataforma com clamshell - flutuante e batelão rebocado de 100 t montado na obra - DMT de 600 a 800 m</t>
  </si>
  <si>
    <t>1716609</t>
  </si>
  <si>
    <t>Derrocagem subaquática de material de 3ª categoria - carga e limpeza - plataforma com clamshell - flutuante e batelão rebocado de 100 t montado na obra - DMT de 800 a 1.000 m</t>
  </si>
  <si>
    <t>1716604</t>
  </si>
  <si>
    <t>Derrocagem subaquática de material de 3ª categoria - carga e limpeza - plataforma com clamshell - flutuante montado na obra - sem transporte</t>
  </si>
  <si>
    <t>1716623</t>
  </si>
  <si>
    <t>Derrocagem subaquática de material de 3ª categoria - carga e limpeza - plataforma flutuante com clamshell - sem transporte</t>
  </si>
  <si>
    <t>1716624</t>
  </si>
  <si>
    <t>Derrocagem subaquática de material de 3ª categoria - carga e limpeza - plataforma flutuante com clamshell e batelão rebocado de 100 t - DMT até 200 m</t>
  </si>
  <si>
    <t>1716629</t>
  </si>
  <si>
    <t>Derrocagem subaquática de material de 3ª categoria - carga e limpeza - plataforma flutuante com clamshell e batelão rebocado de 100 t - DMT de 1.000 a 1.200 m</t>
  </si>
  <si>
    <t>1716630</t>
  </si>
  <si>
    <t>Derrocagem subaquática de material de 3ª categoria - carga e limpeza - plataforma flutuante com clamshell e batelão rebocado de 100 t - DMT de 1.200 a 1.400 m</t>
  </si>
  <si>
    <t>1716631</t>
  </si>
  <si>
    <t>Derrocagem subaquática de material de 3ª categoria - carga e limpeza - plataforma flutuante com clamshell e batelão rebocado de 100 t - DMT de 1.400 a 1.600 m</t>
  </si>
  <si>
    <t>1716632</t>
  </si>
  <si>
    <t>Derrocagem subaquática de material de 3ª categoria - carga e limpeza - plataforma flutuante com clamshell e batelão rebocado de 100 t - DMT de 1.600 a 1.800 m</t>
  </si>
  <si>
    <t>1716633</t>
  </si>
  <si>
    <t>Derrocagem subaquática de material de 3ª categoria - carga e limpeza - plataforma flutuante com clamshell e batelão rebocado de 100 t - DMT de 1.800 a 2.000 m</t>
  </si>
  <si>
    <t>1716634</t>
  </si>
  <si>
    <t>Derrocagem subaquática de material de 3ª categoria - carga e limpeza - plataforma flutuante com clamshell e batelão rebocado de 100 t - DMT de 2.000 a 2.500 m</t>
  </si>
  <si>
    <t>1716635</t>
  </si>
  <si>
    <t>Derrocagem subaquática de material de 3ª categoria - carga e limpeza - plataforma flutuante com clamshell e batelão rebocado de 100 t - DMT de 2.500 a 3.000 m</t>
  </si>
  <si>
    <t>1716625</t>
  </si>
  <si>
    <t>Derrocagem subaquática de material de 3ª categoria - carga e limpeza - plataforma flutuante com clamshell e batelão rebocado de 100 t - DMT de 200 a 400 m</t>
  </si>
  <si>
    <t>1716636</t>
  </si>
  <si>
    <t>Derrocagem subaquática de material de 3ª categoria - carga e limpeza - plataforma flutuante com clamshell e batelão rebocado de 100 t - DMT de 3.000 m</t>
  </si>
  <si>
    <t>1716626</t>
  </si>
  <si>
    <t>Derrocagem subaquática de material de 3ª categoria - carga e limpeza - plataforma flutuante com clamshell e batelão rebocado de 100 t - DMT de 400 a 600 m</t>
  </si>
  <si>
    <t>1716627</t>
  </si>
  <si>
    <t>Derrocagem subaquática de material de 3ª categoria - carga e limpeza - plataforma flutuante com clamshell e batelão rebocado de 100 t - DMT de 600 a 800 m</t>
  </si>
  <si>
    <t>1716628</t>
  </si>
  <si>
    <t>Derrocagem subaquática de material de 3ª categoria - carga e limpeza - plataforma flutuante com clamshell e batelão rebocado de 100 t - DMT de 800 a 1.000 m</t>
  </si>
  <si>
    <t>1716640</t>
  </si>
  <si>
    <t>Derrocagem subaquática de material de 3ª categoria - carga e limpeza com draga backhoe de 7 m³ - sem transporte</t>
  </si>
  <si>
    <t>1716641</t>
  </si>
  <si>
    <t>Derrocagem subaquática de material de 3ª categoria - carga e limpeza com draga backhoe de 7 m³ - transporte com batelão autopropelido de 300 m³ - DMT até 200 m</t>
  </si>
  <si>
    <t>1716646</t>
  </si>
  <si>
    <t>Derrocagem subaquática de material de 3ª categoria - carga e limpeza com draga backhoe de 7 m³ - transporte com batelão autopropelido de 300 m³ - DMT de 1.000 a 1.200 m</t>
  </si>
  <si>
    <t>1716647</t>
  </si>
  <si>
    <t>Derrocagem subaquática de material de 3ª categoria - carga e limpeza com draga backhoe de 7 m³ - transporte com batelão autopropelido de 300 m³ - DMT de 1.200 a 1.400 m</t>
  </si>
  <si>
    <t>1716648</t>
  </si>
  <si>
    <t>Derrocagem subaquática de material de 3ª categoria - carga e limpeza com draga backhoe de 7 m³ - transporte com batelão autopropelido de 300 m³ - DMT de 1.400 a 1.600 m</t>
  </si>
  <si>
    <t>1716649</t>
  </si>
  <si>
    <t>Derrocagem subaquática de material de 3ª categoria - carga e limpeza com draga backhoe de 7 m³ - transporte com batelão autopropelido de 300 m³ - DMT de 1.600 a 1.800 m</t>
  </si>
  <si>
    <t>1716650</t>
  </si>
  <si>
    <t>Derrocagem subaquática de material de 3ª categoria - carga e limpeza com draga backhoe de 7 m³ - transporte com batelão autopropelido de 300 m³ - DMT de 1.800 a 2.000 m</t>
  </si>
  <si>
    <t>1716651</t>
  </si>
  <si>
    <t>Derrocagem subaquática de material de 3ª categoria - carga e limpeza com draga backhoe de 7 m³ - transporte com batelão autopropelido de 300 m³ - DMT de 2.000 a 2.500 m</t>
  </si>
  <si>
    <t>1716652</t>
  </si>
  <si>
    <t>Derrocagem subaquática de material de 3ª categoria - carga e limpeza com draga backhoe de 7 m³ - transporte com batelão autopropelido de 300 m³ - DMT de 2.500 a 3.000 m</t>
  </si>
  <si>
    <t>1716642</t>
  </si>
  <si>
    <t>Derrocagem subaquática de material de 3ª categoria - carga e limpeza com draga backhoe de 7 m³ - transporte com batelão autopropelido de 300 m³ - DMT de 200 a 400 m</t>
  </si>
  <si>
    <t>1716653</t>
  </si>
  <si>
    <t>Derrocagem subaquática de material de 3ª categoria - carga e limpeza com draga backhoe de 7 m³ - transporte com batelão autopropelido de 300 m³ - DMT de 3.000 m</t>
  </si>
  <si>
    <t>1716643</t>
  </si>
  <si>
    <t>Derrocagem subaquática de material de 3ª categoria - carga e limpeza com draga backhoe de 7 m³ - transporte com batelão autopropelido de 300 m³ - DMT de 400 a 600 m</t>
  </si>
  <si>
    <t>1716644</t>
  </si>
  <si>
    <t>Derrocagem subaquática de material de 3ª categoria - carga e limpeza com draga backhoe de 7 m³ - transporte com batelão autopropelido de 300 m³ - DMT de 600 a 800 m</t>
  </si>
  <si>
    <t>1716645</t>
  </si>
  <si>
    <t>Derrocagem subaquática de material de 3ª categoria - carga e limpeza com draga backhoe de 7 m³ - transporte com batelão autopropelido de 300 m³ - DMT de 800 a 1.000 m</t>
  </si>
  <si>
    <t>1716622</t>
  </si>
  <si>
    <t>Derrocagem subaquática de material de 3ª categoria - malha de 1,5 m² - perfuração e detonação - plataforma autoelevatória com três torres de perfuração</t>
  </si>
  <si>
    <t>1716603</t>
  </si>
  <si>
    <t>Derrocagem subaquática de material de 3ª categoria - malha de 1,5 m² - perfuração e detonação - plataforma autoelevatória montada na obra com três torres de perfuração</t>
  </si>
  <si>
    <t>1716620</t>
  </si>
  <si>
    <t>Derrocagem subaquática de material de 3ª categoria - malha de 1,5 m² - perfuração e detonação - plataforma flutuante com duas torres de perfuração</t>
  </si>
  <si>
    <t>1716621</t>
  </si>
  <si>
    <t>Derrocagem subaquática de material de 3ª categoria - malha de 1,5 m² - perfuração e detonação - plataforma flutuante com três torres de perfuração</t>
  </si>
  <si>
    <t>1716619</t>
  </si>
  <si>
    <t>Derrocagem subaquática de material de 3ª categoria - malha de 1,5 m² - perfuração e detonação - plataforma flutuante com uma torre de perfuração</t>
  </si>
  <si>
    <t>1716601</t>
  </si>
  <si>
    <t>Derrocagem subaquática de material de 3ª categoria - malha de 1,5 m² - perfuração e detonação - plataforma montada na obra com duas torres de perfuração</t>
  </si>
  <si>
    <t>1716602</t>
  </si>
  <si>
    <t>Derrocagem subaquática de material de 3ª categoria - malha de 1,5 m² - perfuração e detonação - plataforma montada na obra com três torres de perfuração</t>
  </si>
  <si>
    <t>1716600</t>
  </si>
  <si>
    <t>Derrocagem subaquática de material de 3ª categoria - malha de 1,5 m² - perfuração e detonação - plataforma montada na obra com uma torre de perfuração</t>
  </si>
  <si>
    <t>1716655</t>
  </si>
  <si>
    <t>Derrocagem subaquática de material de 3ª categoria - malha de 2,5 m² - perfuração e detonação - plataforma com duas torres de perfuração</t>
  </si>
  <si>
    <t>1716639</t>
  </si>
  <si>
    <t>Derrocagem subaquática de material de 3ª categoria - malha de 4,0 m² - perfuração e detonação - plataforma com duas torres de perfuração</t>
  </si>
  <si>
    <t>1801636</t>
  </si>
  <si>
    <t>Levantamento batimétrico monofeixe longitudinal</t>
  </si>
  <si>
    <t>1801637</t>
  </si>
  <si>
    <t>Levantamento batimétrico monofeixe transversal</t>
  </si>
  <si>
    <t>1817720</t>
  </si>
  <si>
    <t>Levantamento batimétrico multifeixe</t>
  </si>
  <si>
    <t>1817723</t>
  </si>
  <si>
    <t>Levantamento hidrométrico com ADCP em rios com velocidade de corrente acima de 1,5 m/s</t>
  </si>
  <si>
    <t>1817721</t>
  </si>
  <si>
    <t>Levantamento hidrométrico com ADCP em rios com velocidade de corrente de 0,5 a 1,0 m/s</t>
  </si>
  <si>
    <t>1817722</t>
  </si>
  <si>
    <t>Levantamento hidrométrico com ADCP em rios com velocidade de corrente de 1,0 a 1,5 m/s</t>
  </si>
  <si>
    <t>1917483</t>
  </si>
  <si>
    <t>Dragagem de areia fina com draga de sucção e recalque - bomba de 1.350 kW e cortador de 170 kW - distância de recalque de 1.100 a 1.300 m</t>
  </si>
  <si>
    <t>1917484</t>
  </si>
  <si>
    <t>Dragagem de areia fina com draga de sucção e recalque - bomba de 1.350 kW e cortador de 170 kW - distância de recalque de 1.300 a 1.500 m</t>
  </si>
  <si>
    <t>1917485</t>
  </si>
  <si>
    <t>Dragagem de areia fina com draga de sucção e recalque - bomba de 1.350 kW e cortador de 170 kW - distância de recalque de 1.500 a 1.700 m</t>
  </si>
  <si>
    <t>1917486</t>
  </si>
  <si>
    <t>Dragagem de areia fina com draga de sucção e recalque - bomba de 1.350 kW e cortador de 170 kW - distância de recalque de 1.700 a 1.900 m</t>
  </si>
  <si>
    <t>1917487</t>
  </si>
  <si>
    <t>Dragagem de areia fina com draga de sucção e recalque - bomba de 1.350 kW e cortador de 170 kW - distância de recalque de 1.900 a 2.100 m</t>
  </si>
  <si>
    <t>1917528</t>
  </si>
  <si>
    <t>Dragagem de areia fina com draga de sucção e recalque - bomba de 1.350 kW e cortador de 170 kW - distância de recalque de 10.100 a 10.300 m</t>
  </si>
  <si>
    <t>1917529</t>
  </si>
  <si>
    <t>Dragagem de areia fina com draga de sucção e recalque - bomba de 1.350 kW e cortador de 170 kW - distância de recalque de 10.300 a 10.500 m</t>
  </si>
  <si>
    <t>1917530</t>
  </si>
  <si>
    <t>Dragagem de areia fina com draga de sucção e recalque - bomba de 1.350 kW e cortador de 170 kW - distância de recalque de 10.500 a 10.700 m</t>
  </si>
  <si>
    <t>1917531</t>
  </si>
  <si>
    <t>Dragagem de areia fina com draga de sucção e recalque - bomba de 1.350 kW e cortador de 170 kW - distância de recalque de 10.700 a 10.900 m</t>
  </si>
  <si>
    <t>1917532</t>
  </si>
  <si>
    <t>Dragagem de areia fina com draga de sucção e recalque - bomba de 1.350 kW e cortador de 170 kW - distância de recalque de 10.900 a 11.100 m</t>
  </si>
  <si>
    <t>1917533</t>
  </si>
  <si>
    <t>Dragagem de areia fina com draga de sucção e recalque - bomba de 1.350 kW e cortador de 170 kW - distância de recalque de 11.100 a 11.300 m</t>
  </si>
  <si>
    <t>1917534</t>
  </si>
  <si>
    <t>Dragagem de areia fina com draga de sucção e recalque - bomba de 1.350 kW e cortador de 170 kW - distância de recalque de 11.300 a 11.500 m</t>
  </si>
  <si>
    <t>1917535</t>
  </si>
  <si>
    <t>Dragagem de areia fina com draga de sucção e recalque - bomba de 1.350 kW e cortador de 170 kW - distância de recalque de 11.500 a 11.700 m</t>
  </si>
  <si>
    <t>1917536</t>
  </si>
  <si>
    <t>Dragagem de areia fina com draga de sucção e recalque - bomba de 1.350 kW e cortador de 170 kW - distância de recalque de 11.700 a 11.900 m</t>
  </si>
  <si>
    <t>1917537</t>
  </si>
  <si>
    <t>Dragagem de areia fina com draga de sucção e recalque - bomba de 1.350 kW e cortador de 170 kW - distância de recalque de 11.900 a 12.100 m</t>
  </si>
  <si>
    <t>1917488</t>
  </si>
  <si>
    <t>Dragagem de areia fina com draga de sucção e recalque - bomba de 1.350 kW e cortador de 170 kW - distância de recalque de 2.100 a 2.300 m</t>
  </si>
  <si>
    <t>1917489</t>
  </si>
  <si>
    <t>Dragagem de areia fina com draga de sucção e recalque - bomba de 1.350 kW e cortador de 170 kW - distância de recalque de 2.300 a 2.500 m</t>
  </si>
  <si>
    <t>1917490</t>
  </si>
  <si>
    <t>Dragagem de areia fina com draga de sucção e recalque - bomba de 1.350 kW e cortador de 170 kW - distância de recalque de 2.500 a 2.700 m</t>
  </si>
  <si>
    <t>1917491</t>
  </si>
  <si>
    <t>Dragagem de areia fina com draga de sucção e recalque - bomba de 1.350 kW e cortador de 170 kW - distância de recalque de 2.700 a 2.900 m</t>
  </si>
  <si>
    <t>1917492</t>
  </si>
  <si>
    <t>Dragagem de areia fina com draga de sucção e recalque - bomba de 1.350 kW e cortador de 170 kW - distância de recalque de 2.900 a 3.100 m</t>
  </si>
  <si>
    <t>1917493</t>
  </si>
  <si>
    <t>Dragagem de areia fina com draga de sucção e recalque - bomba de 1.350 kW e cortador de 170 kW - distância de recalque de 3.100 a 3.300 m</t>
  </si>
  <si>
    <t>1917494</t>
  </si>
  <si>
    <t>Dragagem de areia fina com draga de sucção e recalque - bomba de 1.350 kW e cortador de 170 kW - distância de recalque de 3.300 a 3.500 m</t>
  </si>
  <si>
    <t>1917495</t>
  </si>
  <si>
    <t>Dragagem de areia fina com draga de sucção e recalque - bomba de 1.350 kW e cortador de 170 kW - distância de recalque de 3.500 a 3.700 m</t>
  </si>
  <si>
    <t>1917496</t>
  </si>
  <si>
    <t>Dragagem de areia fina com draga de sucção e recalque - bomba de 1.350 kW e cortador de 170 kW - distância de recalque de 3.700 a 3.900 m</t>
  </si>
  <si>
    <t>1917497</t>
  </si>
  <si>
    <t>Dragagem de areia fina com draga de sucção e recalque - bomba de 1.350 kW e cortador de 170 kW - distância de recalque de 3.900 a 4.100 m</t>
  </si>
  <si>
    <t>1917498</t>
  </si>
  <si>
    <t>Dragagem de areia fina com draga de sucção e recalque - bomba de 1.350 kW e cortador de 170 kW - distância de recalque de 4.100 a 4.300 m</t>
  </si>
  <si>
    <t>1917499</t>
  </si>
  <si>
    <t>Dragagem de areia fina com draga de sucção e recalque - bomba de 1.350 kW e cortador de 170 kW - distância de recalque de 4.300 a 4.500 m</t>
  </si>
  <si>
    <t>1917500</t>
  </si>
  <si>
    <t>Dragagem de areia fina com draga de sucção e recalque - bomba de 1.350 kW e cortador de 170 kW - distância de recalque de 4.500 a 4.700 m</t>
  </si>
  <si>
    <t>1917501</t>
  </si>
  <si>
    <t>Dragagem de areia fina com draga de sucção e recalque - bomba de 1.350 kW e cortador de 170 kW - distância de recalque de 4.700 a 4.900 m</t>
  </si>
  <si>
    <t>1917502</t>
  </si>
  <si>
    <t>Dragagem de areia fina com draga de sucção e recalque - bomba de 1.350 kW e cortador de 170 kW - distância de recalque de 4.900 a 5.100 m</t>
  </si>
  <si>
    <t>1917503</t>
  </si>
  <si>
    <t>Dragagem de areia fina com draga de sucção e recalque - bomba de 1.350 kW e cortador de 170 kW - distância de recalque de 5.100 a 5.300 m</t>
  </si>
  <si>
    <t>1917504</t>
  </si>
  <si>
    <t>Dragagem de areia fina com draga de sucção e recalque - bomba de 1.350 kW e cortador de 170 kW - distância de recalque de 5.300 a 5.500 m</t>
  </si>
  <si>
    <t>1917505</t>
  </si>
  <si>
    <t>Dragagem de areia fina com draga de sucção e recalque - bomba de 1.350 kW e cortador de 170 kW - distância de recalque de 5.500 a 5.700 m</t>
  </si>
  <si>
    <t>1917506</t>
  </si>
  <si>
    <t>Dragagem de areia fina com draga de sucção e recalque - bomba de 1.350 kW e cortador de 170 kW - distância de recalque de 5.700 a 5.900 m</t>
  </si>
  <si>
    <t>1917507</t>
  </si>
  <si>
    <t>Dragagem de areia fina com draga de sucção e recalque - bomba de 1.350 kW e cortador de 170 kW - distância de recalque de 5.900 a 6.100 m</t>
  </si>
  <si>
    <t>1917480</t>
  </si>
  <si>
    <t>Dragagem de areia fina com draga de sucção e recalque - bomba de 1.350 kW e cortador de 170 kW - distância de recalque de 500 a 700 m</t>
  </si>
  <si>
    <t>1917508</t>
  </si>
  <si>
    <t>Dragagem de areia fina com draga de sucção e recalque - bomba de 1.350 kW e cortador de 170 kW - distância de recalque de 6.100 a 6.300 m</t>
  </si>
  <si>
    <t>1917509</t>
  </si>
  <si>
    <t>Dragagem de areia fina com draga de sucção e recalque - bomba de 1.350 kW e cortador de 170 kW - distância de recalque de 6.300 a 6.500 m</t>
  </si>
  <si>
    <t>1917510</t>
  </si>
  <si>
    <t>Dragagem de areia fina com draga de sucção e recalque - bomba de 1.350 kW e cortador de 170 kW - distância de recalque de 6.500 a 6.700 m</t>
  </si>
  <si>
    <t>1917511</t>
  </si>
  <si>
    <t>Dragagem de areia fina com draga de sucção e recalque - bomba de 1.350 kW e cortador de 170 kW - distância de recalque de 6.700 a 6.900 m</t>
  </si>
  <si>
    <t>1917512</t>
  </si>
  <si>
    <t>Dragagem de areia fina com draga de sucção e recalque - bomba de 1.350 kW e cortador de 170 kW - distância de recalque de 6.900 a 7.100 m</t>
  </si>
  <si>
    <t>1917513</t>
  </si>
  <si>
    <t>Dragagem de areia fina com draga de sucção e recalque - bomba de 1.350 kW e cortador de 170 kW - distância de recalque de 7.100 a 7.300 m</t>
  </si>
  <si>
    <t>1917514</t>
  </si>
  <si>
    <t>Dragagem de areia fina com draga de sucção e recalque - bomba de 1.350 kW e cortador de 170 kW - distância de recalque de 7.300 a 7.500 m</t>
  </si>
  <si>
    <t>1917515</t>
  </si>
  <si>
    <t>Dragagem de areia fina com draga de sucção e recalque - bomba de 1.350 kW e cortador de 170 kW - distância de recalque de 7.500 a 7.700 m</t>
  </si>
  <si>
    <t>1917516</t>
  </si>
  <si>
    <t>Dragagem de areia fina com draga de sucção e recalque - bomba de 1.350 kW e cortador de 170 kW - distância de recalque de 7.700 a 7.900 m</t>
  </si>
  <si>
    <t>1917517</t>
  </si>
  <si>
    <t>Dragagem de areia fina com draga de sucção e recalque - bomba de 1.350 kW e cortador de 170 kW - distância de recalque de 7.900 a 8.100 m</t>
  </si>
  <si>
    <t>1917481</t>
  </si>
  <si>
    <t>Dragagem de areia fina com draga de sucção e recalque - bomba de 1.350 kW e cortador de 170 kW - distância de recalque de 700 a 900 m</t>
  </si>
  <si>
    <t>1917518</t>
  </si>
  <si>
    <t>Dragagem de areia fina com draga de sucção e recalque - bomba de 1.350 kW e cortador de 170 kW - distância de recalque de 8.100 a 8.300 m</t>
  </si>
  <si>
    <t>1917519</t>
  </si>
  <si>
    <t>Dragagem de areia fina com draga de sucção e recalque - bomba de 1.350 kW e cortador de 170 kW - distância de recalque de 8.300 a 8.500 m</t>
  </si>
  <si>
    <t>1917520</t>
  </si>
  <si>
    <t>Dragagem de areia fina com draga de sucção e recalque - bomba de 1.350 kW e cortador de 170 kW - distância de recalque de 8.500 a 8.700 m</t>
  </si>
  <si>
    <t>1917521</t>
  </si>
  <si>
    <t>Dragagem de areia fina com draga de sucção e recalque - bomba de 1.350 kW e cortador de 170 kW - distância de recalque de 8.700 a 8.900 m</t>
  </si>
  <si>
    <t>1917522</t>
  </si>
  <si>
    <t>Dragagem de areia fina com draga de sucção e recalque - bomba de 1.350 kW e cortador de 170 kW - distância de recalque de 8.900 a 9.100 m</t>
  </si>
  <si>
    <t>1917523</t>
  </si>
  <si>
    <t>Dragagem de areia fina com draga de sucção e recalque - bomba de 1.350 kW e cortador de 170 kW - distância de recalque de 9.100 a 9.300 m</t>
  </si>
  <si>
    <t>1917524</t>
  </si>
  <si>
    <t>Dragagem de areia fina com draga de sucção e recalque - bomba de 1.350 kW e cortador de 170 kW - distância de recalque de 9.300 a 9.500 m</t>
  </si>
  <si>
    <t>1917525</t>
  </si>
  <si>
    <t>Dragagem de areia fina com draga de sucção e recalque - bomba de 1.350 kW e cortador de 170 kW - distância de recalque de 9.500 a 9.700 m</t>
  </si>
  <si>
    <t>1917526</t>
  </si>
  <si>
    <t>Dragagem de areia fina com draga de sucção e recalque - bomba de 1.350 kW e cortador de 170 kW - distância de recalque de 9.700 a 9.900 m</t>
  </si>
  <si>
    <t>1917527</t>
  </si>
  <si>
    <t>Dragagem de areia fina com draga de sucção e recalque - bomba de 1.350 kW e cortador de 170 kW - distância de recalque de 9.900 a 10.100 m</t>
  </si>
  <si>
    <t>1917482</t>
  </si>
  <si>
    <t>Dragagem de areia fina com draga de sucção e recalque - bomba de 1.350 kW e cortador de 170 kW - distância de recalque de 900 a 1.100 m</t>
  </si>
  <si>
    <t>1917737</t>
  </si>
  <si>
    <t>Dragagem de areia fina com draga de sucção e recalque - bomba de 1.350 kW e cortador de 170 kW - distância de recalque de até 500 m</t>
  </si>
  <si>
    <t>1917220</t>
  </si>
  <si>
    <t>Dragagem de areia fina com draga de sucção e recalque - bomba de 294 kW e cortador de 30 kW - distância de recalque de 1.100 a 1.300 m</t>
  </si>
  <si>
    <t>1917221</t>
  </si>
  <si>
    <t>Dragagem de areia fina com draga de sucção e recalque - bomba de 294 kW e cortador de 30 kW - distância de recalque de 1.300 a 1.500 m</t>
  </si>
  <si>
    <t>1917222</t>
  </si>
  <si>
    <t>Dragagem de areia fina com draga de sucção e recalque - bomba de 294 kW e cortador de 30 kW - distância de recalque de 1.500 a 1.700 m</t>
  </si>
  <si>
    <t>1917223</t>
  </si>
  <si>
    <t>Dragagem de areia fina com draga de sucção e recalque - bomba de 294 kW e cortador de 30 kW - distância de recalque de 1.700 a 1.900 m</t>
  </si>
  <si>
    <t>1917224</t>
  </si>
  <si>
    <t>Dragagem de areia fina com draga de sucção e recalque - bomba de 294 kW e cortador de 30 kW - distância de recalque de 1.900 a 2.100 m</t>
  </si>
  <si>
    <t>1917225</t>
  </si>
  <si>
    <t>Dragagem de areia fina com draga de sucção e recalque - bomba de 294 kW e cortador de 30 kW - distância de recalque de 2.100 a 2.300 m</t>
  </si>
  <si>
    <t>1917226</t>
  </si>
  <si>
    <t>Dragagem de areia fina com draga de sucção e recalque - bomba de 294 kW e cortador de 30 kW - distância de recalque de 2.300 a 2.500 m</t>
  </si>
  <si>
    <t>1917227</t>
  </si>
  <si>
    <t>Dragagem de areia fina com draga de sucção e recalque - bomba de 294 kW e cortador de 30 kW - distância de recalque de 2.500 a 2.700 m</t>
  </si>
  <si>
    <t>1917228</t>
  </si>
  <si>
    <t>Dragagem de areia fina com draga de sucção e recalque - bomba de 294 kW e cortador de 30 kW - distância de recalque de 2.700 a 2.900 m</t>
  </si>
  <si>
    <t>1917229</t>
  </si>
  <si>
    <t>Dragagem de areia fina com draga de sucção e recalque - bomba de 294 kW e cortador de 30 kW - distância de recalque de 2.900 a 3.100 m</t>
  </si>
  <si>
    <t>1917230</t>
  </si>
  <si>
    <t>Dragagem de areia fina com draga de sucção e recalque - bomba de 294 kW e cortador de 30 kW - distância de recalque de 3.100 a 3.300 m</t>
  </si>
  <si>
    <t>1917231</t>
  </si>
  <si>
    <t>Dragagem de areia fina com draga de sucção e recalque - bomba de 294 kW e cortador de 30 kW - distância de recalque de 3.300 a 3.500 m</t>
  </si>
  <si>
    <t>1917232</t>
  </si>
  <si>
    <t>Dragagem de areia fina com draga de sucção e recalque - bomba de 294 kW e cortador de 30 kW - distância de recalque de 3.500 a 3.700 m</t>
  </si>
  <si>
    <t>1917233</t>
  </si>
  <si>
    <t>Dragagem de areia fina com draga de sucção e recalque - bomba de 294 kW e cortador de 30 kW - distância de recalque de 3.700 a 3.900 m</t>
  </si>
  <si>
    <t>1917234</t>
  </si>
  <si>
    <t>Dragagem de areia fina com draga de sucção e recalque - bomba de 294 kW e cortador de 30 kW - distância de recalque de 3.900 a 4.100 m</t>
  </si>
  <si>
    <t>1917217</t>
  </si>
  <si>
    <t>Dragagem de areia fina com draga de sucção e recalque - bomba de 294 kW e cortador de 30 kW - distância de recalque de 500 a 700 m</t>
  </si>
  <si>
    <t>1917218</t>
  </si>
  <si>
    <t>Dragagem de areia fina com draga de sucção e recalque - bomba de 294 kW e cortador de 30 kW - distância de recalque de 700 a 900 m</t>
  </si>
  <si>
    <t>1917219</t>
  </si>
  <si>
    <t>Dragagem de areia fina com draga de sucção e recalque - bomba de 294 kW e cortador de 30 kW - distância de recalque de 900 a 1.100 m</t>
  </si>
  <si>
    <t>1917724</t>
  </si>
  <si>
    <t>Dragagem de areia fina com draga de sucção e recalque - bomba de 294 kW e cortador de 30 kW - distância de recalque de até 500 m</t>
  </si>
  <si>
    <t>1917274</t>
  </si>
  <si>
    <t>Dragagem de areia fina com draga de sucção e recalque - bomba de 483 kW e cortador de 55 kW - distância de recalque de 1.100 a 1.300 m</t>
  </si>
  <si>
    <t>1917275</t>
  </si>
  <si>
    <t>Dragagem de areia fina com draga de sucção e recalque - bomba de 483 kW e cortador de 55 kW - distância de recalque de 1.300 a 1.500 m</t>
  </si>
  <si>
    <t>1917276</t>
  </si>
  <si>
    <t>Dragagem de areia fina com draga de sucção e recalque - bomba de 483 kW e cortador de 55 kW - distância de recalque de 1.500 a 1.700 m</t>
  </si>
  <si>
    <t>1917277</t>
  </si>
  <si>
    <t>Dragagem de areia fina com draga de sucção e recalque - bomba de 483 kW e cortador de 55 kW - distância de recalque de 1.700 a 1.900 m</t>
  </si>
  <si>
    <t>1917278</t>
  </si>
  <si>
    <t>Dragagem de areia fina com draga de sucção e recalque - bomba de 483 kW e cortador de 55 kW - distância de recalque de 1.900 a 2.100 m</t>
  </si>
  <si>
    <t>1917279</t>
  </si>
  <si>
    <t>Dragagem de areia fina com draga de sucção e recalque - bomba de 483 kW e cortador de 55 kW - distância de recalque de 2.100 a 2.300 m</t>
  </si>
  <si>
    <t>1917280</t>
  </si>
  <si>
    <t>Dragagem de areia fina com draga de sucção e recalque - bomba de 483 kW e cortador de 55 kW - distância de recalque de 2.300 a 2.500 m</t>
  </si>
  <si>
    <t>1917281</t>
  </si>
  <si>
    <t>Dragagem de areia fina com draga de sucção e recalque - bomba de 483 kW e cortador de 55 kW - distância de recalque de 2.500 a 2.700 m</t>
  </si>
  <si>
    <t>1917282</t>
  </si>
  <si>
    <t>Dragagem de areia fina com draga de sucção e recalque - bomba de 483 kW e cortador de 55 kW - distância de recalque de 2.700 a 2.900 m</t>
  </si>
  <si>
    <t>1917283</t>
  </si>
  <si>
    <t>Dragagem de areia fina com draga de sucção e recalque - bomba de 483 kW e cortador de 55 kW - distância de recalque de 2.900 a 3.100 m</t>
  </si>
  <si>
    <t>1917284</t>
  </si>
  <si>
    <t>Dragagem de areia fina com draga de sucção e recalque - bomba de 483 kW e cortador de 55 kW - distância de recalque de 3.100 a 3.300 m</t>
  </si>
  <si>
    <t>1917285</t>
  </si>
  <si>
    <t>Dragagem de areia fina com draga de sucção e recalque - bomba de 483 kW e cortador de 55 kW - distância de recalque de 3.300 a 3.500 m</t>
  </si>
  <si>
    <t>1917286</t>
  </si>
  <si>
    <t>Dragagem de areia fina com draga de sucção e recalque - bomba de 483 kW e cortador de 55 kW - distância de recalque de 3.500 a 3.700 m</t>
  </si>
  <si>
    <t>1917287</t>
  </si>
  <si>
    <t>Dragagem de areia fina com draga de sucção e recalque - bomba de 483 kW e cortador de 55 kW - distância de recalque de 3.700 a 3.900 m</t>
  </si>
  <si>
    <t>1917288</t>
  </si>
  <si>
    <t>Dragagem de areia fina com draga de sucção e recalque - bomba de 483 kW e cortador de 55 kW - distância de recalque de 3.900 a 4.100 m</t>
  </si>
  <si>
    <t>1917289</t>
  </si>
  <si>
    <t>Dragagem de areia fina com draga de sucção e recalque - bomba de 483 kW e cortador de 55 kW - distância de recalque de 4.100 a 4.300 m</t>
  </si>
  <si>
    <t>1917290</t>
  </si>
  <si>
    <t>Dragagem de areia fina com draga de sucção e recalque - bomba de 483 kW e cortador de 55 kW - distância de recalque de 4.300 a 4.500 m</t>
  </si>
  <si>
    <t>1917291</t>
  </si>
  <si>
    <t>Dragagem de areia fina com draga de sucção e recalque - bomba de 483 kW e cortador de 55 kW - distância de recalque de 4.500 a 4.700 m</t>
  </si>
  <si>
    <t>1917292</t>
  </si>
  <si>
    <t>Dragagem de areia fina com draga de sucção e recalque - bomba de 483 kW e cortador de 55 kW - distância de recalque de 4.700 a 4.900 m</t>
  </si>
  <si>
    <t>1917293</t>
  </si>
  <si>
    <t>Dragagem de areia fina com draga de sucção e recalque - bomba de 483 kW e cortador de 55 kW - distância de recalque de 4.900 a 5.100 m</t>
  </si>
  <si>
    <t>1917294</t>
  </si>
  <si>
    <t>Dragagem de areia fina com draga de sucção e recalque - bomba de 483 kW e cortador de 55 kW - distância de recalque de 5.100 a 5.300 m</t>
  </si>
  <si>
    <t>1917295</t>
  </si>
  <si>
    <t>Dragagem de areia fina com draga de sucção e recalque - bomba de 483 kW e cortador de 55 kW - distância de recalque de 5.300 a 5.500 m</t>
  </si>
  <si>
    <t>1917296</t>
  </si>
  <si>
    <t>Dragagem de areia fina com draga de sucção e recalque - bomba de 483 kW e cortador de 55 kW - distância de recalque de 5.500 a 5.700 m</t>
  </si>
  <si>
    <t>1917297</t>
  </si>
  <si>
    <t>Dragagem de areia fina com draga de sucção e recalque - bomba de 483 kW e cortador de 55 kW - distância de recalque de 5.700 a 5.900 m</t>
  </si>
  <si>
    <t>1917298</t>
  </si>
  <si>
    <t>Dragagem de areia fina com draga de sucção e recalque - bomba de 483 kW e cortador de 55 kW - distância de recalque de 5.900 a 6.100 m</t>
  </si>
  <si>
    <t>1917271</t>
  </si>
  <si>
    <t>Dragagem de areia fina com draga de sucção e recalque - bomba de 483 kW e cortador de 55 kW - distância de recalque de 500 a 700 m</t>
  </si>
  <si>
    <t>1917299</t>
  </si>
  <si>
    <t>Dragagem de areia fina com draga de sucção e recalque - bomba de 483 kW e cortador de 55 kW - distância de recalque de 6.100 a 6.300 m</t>
  </si>
  <si>
    <t>1917300</t>
  </si>
  <si>
    <t>Dragagem de areia fina com draga de sucção e recalque - bomba de 483 kW e cortador de 55 kW - distância de recalque de 6.300 a 6.500 m</t>
  </si>
  <si>
    <t>1917301</t>
  </si>
  <si>
    <t>Dragagem de areia fina com draga de sucção e recalque - bomba de 483 kW e cortador de 55 kW - distância de recalque de 6.500 a 6.700 m</t>
  </si>
  <si>
    <t>1917302</t>
  </si>
  <si>
    <t>Dragagem de areia fina com draga de sucção e recalque - bomba de 483 kW e cortador de 55 kW - distância de recalque de 6.700 a 6.900 m</t>
  </si>
  <si>
    <t>1917303</t>
  </si>
  <si>
    <t>Dragagem de areia fina com draga de sucção e recalque - bomba de 483 kW e cortador de 55 kW - distância de recalque de 6.900 a 7.100 m</t>
  </si>
  <si>
    <t>1917304</t>
  </si>
  <si>
    <t>Dragagem de areia fina com draga de sucção e recalque - bomba de 483 kW e cortador de 55 kW - distância de recalque de 7.100 a 7.300 m</t>
  </si>
  <si>
    <t>1917305</t>
  </si>
  <si>
    <t>Dragagem de areia fina com draga de sucção e recalque - bomba de 483 kW e cortador de 55 kW - distância de recalque de 7.300 a 7.500 m</t>
  </si>
  <si>
    <t>1917306</t>
  </si>
  <si>
    <t>Dragagem de areia fina com draga de sucção e recalque - bomba de 483 kW e cortador de 55 kW - distância de recalque de 7.500 a 7.700 m</t>
  </si>
  <si>
    <t>1917307</t>
  </si>
  <si>
    <t>Dragagem de areia fina com draga de sucção e recalque - bomba de 483 kW e cortador de 55 kW - distância de recalque de 7.700 a 7.900 m</t>
  </si>
  <si>
    <t>1917272</t>
  </si>
  <si>
    <t>Dragagem de areia fina com draga de sucção e recalque - bomba de 483 kW e cortador de 55 kW - distância de recalque de 700 a 900 m</t>
  </si>
  <si>
    <t>1917273</t>
  </si>
  <si>
    <t>Dragagem de areia fina com draga de sucção e recalque - bomba de 483 kW e cortador de 55 kW - distância de recalque de 900 a 1.100 m</t>
  </si>
  <si>
    <t>1917729</t>
  </si>
  <si>
    <t>Dragagem de areia fina com draga de sucção e recalque - bomba de 483 kW e cortador de 55 kW - distância de recalque de até 500 m</t>
  </si>
  <si>
    <t>1917367</t>
  </si>
  <si>
    <t>Dragagem de areia fina com draga de sucção e recalque - bomba de 746 kW e cortador de 110 kW - distância de recalque de 1.100 a 1.300 m</t>
  </si>
  <si>
    <t>1917368</t>
  </si>
  <si>
    <t>Dragagem de areia fina com draga de sucção e recalque - bomba de 746 kW e cortador de 110 kW - distância de recalque de 1.300 a 1.500 m</t>
  </si>
  <si>
    <t>1917369</t>
  </si>
  <si>
    <t>Dragagem de areia fina com draga de sucção e recalque - bomba de 746 kW e cortador de 110 kW - distância de recalque de 1.500 a 1.700 m</t>
  </si>
  <si>
    <t>1917370</t>
  </si>
  <si>
    <t>Dragagem de areia fina com draga de sucção e recalque - bomba de 746 kW e cortador de 110 kW - distância de recalque de 1.700 a 1.900 m</t>
  </si>
  <si>
    <t>1917371</t>
  </si>
  <si>
    <t>Dragagem de areia fina com draga de sucção e recalque - bomba de 746 kW e cortador de 110 kW - distância de recalque de 1.900 a 2.100 m</t>
  </si>
  <si>
    <t>1917372</t>
  </si>
  <si>
    <t>Dragagem de areia fina com draga de sucção e recalque - bomba de 746 kW e cortador de 110 kW - distância de recalque de 2.100 a 2.300 m</t>
  </si>
  <si>
    <t>1917373</t>
  </si>
  <si>
    <t>Dragagem de areia fina com draga de sucção e recalque - bomba de 746 kW e cortador de 110 kW - distância de recalque de 2.300 a 2.500 m</t>
  </si>
  <si>
    <t>1917374</t>
  </si>
  <si>
    <t>Dragagem de areia fina com draga de sucção e recalque - bomba de 746 kW e cortador de 110 kW - distância de recalque de 2.500 a 2.700 m</t>
  </si>
  <si>
    <t>1917375</t>
  </si>
  <si>
    <t>Dragagem de areia fina com draga de sucção e recalque - bomba de 746 kW e cortador de 110 kW - distância de recalque de 2.700 a 2.900 m</t>
  </si>
  <si>
    <t>1917376</t>
  </si>
  <si>
    <t>Dragagem de areia fina com draga de sucção e recalque - bomba de 746 kW e cortador de 110 kW - distância de recalque de 2.900 a 3.100 m</t>
  </si>
  <si>
    <t>1917377</t>
  </si>
  <si>
    <t>Dragagem de areia fina com draga de sucção e recalque - bomba de 746 kW e cortador de 110 kW - distância de recalque de 3.100 a 3.300 m</t>
  </si>
  <si>
    <t>1917378</t>
  </si>
  <si>
    <t>Dragagem de areia fina com draga de sucção e recalque - bomba de 746 kW e cortador de 110 kW - distância de recalque de 3.300 a 3.500 m</t>
  </si>
  <si>
    <t>1917379</t>
  </si>
  <si>
    <t>Dragagem de areia fina com draga de sucção e recalque - bomba de 746 kW e cortador de 110 kW - distância de recalque de 3.500 a 3.700 m</t>
  </si>
  <si>
    <t>1917380</t>
  </si>
  <si>
    <t>Dragagem de areia fina com draga de sucção e recalque - bomba de 746 kW e cortador de 110 kW - distância de recalque de 3.700 a 3.900 m</t>
  </si>
  <si>
    <t>1917381</t>
  </si>
  <si>
    <t>Dragagem de areia fina com draga de sucção e recalque - bomba de 746 kW e cortador de 110 kW - distância de recalque de 3.900 a 4.100 m</t>
  </si>
  <si>
    <t>1917382</t>
  </si>
  <si>
    <t>Dragagem de areia fina com draga de sucção e recalque - bomba de 746 kW e cortador de 110 kW - distância de recalque de 4.100 a 4.300 m</t>
  </si>
  <si>
    <t>1917383</t>
  </si>
  <si>
    <t>Dragagem de areia fina com draga de sucção e recalque - bomba de 746 kW e cortador de 110 kW - distância de recalque de 4.300 a 4.500 m</t>
  </si>
  <si>
    <t>1917384</t>
  </si>
  <si>
    <t>Dragagem de areia fina com draga de sucção e recalque - bomba de 746 kW e cortador de 110 kW - distância de recalque de 4.500 a 4.700 m</t>
  </si>
  <si>
    <t>1917385</t>
  </si>
  <si>
    <t>Dragagem de areia fina com draga de sucção e recalque - bomba de 746 kW e cortador de 110 kW - distância de recalque de 4.700 a 4.900 m</t>
  </si>
  <si>
    <t>1917386</t>
  </si>
  <si>
    <t>Dragagem de areia fina com draga de sucção e recalque - bomba de 746 kW e cortador de 110 kW - distância de recalque de 4.900 a 5.100 m</t>
  </si>
  <si>
    <t>1917387</t>
  </si>
  <si>
    <t>Dragagem de areia fina com draga de sucção e recalque - bomba de 746 kW e cortador de 110 kW - distância de recalque de 5.100 a 5.300 m</t>
  </si>
  <si>
    <t>1917388</t>
  </si>
  <si>
    <t>Dragagem de areia fina com draga de sucção e recalque - bomba de 746 kW e cortador de 110 kW - distância de recalque de 5.300 a 5.500 m</t>
  </si>
  <si>
    <t>1917389</t>
  </si>
  <si>
    <t>Dragagem de areia fina com draga de sucção e recalque - bomba de 746 kW e cortador de 110 kW - distância de recalque de 5.500 a 5.700 m</t>
  </si>
  <si>
    <t>1917390</t>
  </si>
  <si>
    <t>Dragagem de areia fina com draga de sucção e recalque - bomba de 746 kW e cortador de 110 kW - distância de recalque de 5.700 a 5.900 m</t>
  </si>
  <si>
    <t>1917391</t>
  </si>
  <si>
    <t>Dragagem de areia fina com draga de sucção e recalque - bomba de 746 kW e cortador de 110 kW - distância de recalque de 5.900 a 6.100 m</t>
  </si>
  <si>
    <t>1917364</t>
  </si>
  <si>
    <t>Dragagem de areia fina com draga de sucção e recalque - bomba de 746 kW e cortador de 110 kW - distância de recalque de 500 a 700 m</t>
  </si>
  <si>
    <t>1917392</t>
  </si>
  <si>
    <t>Dragagem de areia fina com draga de sucção e recalque - bomba de 746 kW e cortador de 110 kW - distância de recalque de 6.100 a 6.300 m</t>
  </si>
  <si>
    <t>1917393</t>
  </si>
  <si>
    <t>Dragagem de areia fina com draga de sucção e recalque - bomba de 746 kW e cortador de 110 kW - distância de recalque de 6.300 a 6.500 m</t>
  </si>
  <si>
    <t>1917394</t>
  </si>
  <si>
    <t>Dragagem de areia fina com draga de sucção e recalque - bomba de 746 kW e cortador de 110 kW - distância de recalque de 6.500 a 6.700 m</t>
  </si>
  <si>
    <t>1917395</t>
  </si>
  <si>
    <t>Dragagem de areia fina com draga de sucção e recalque - bomba de 746 kW e cortador de 110 kW - distância de recalque de 6.700 a 6.900 m</t>
  </si>
  <si>
    <t>1917396</t>
  </si>
  <si>
    <t>Dragagem de areia fina com draga de sucção e recalque - bomba de 746 kW e cortador de 110 kW - distância de recalque de 6.900 a 7.100 m</t>
  </si>
  <si>
    <t>1917397</t>
  </si>
  <si>
    <t>Dragagem de areia fina com draga de sucção e recalque - bomba de 746 kW e cortador de 110 kW - distância de recalque de 7.100 a 7.300 m</t>
  </si>
  <si>
    <t>1917398</t>
  </si>
  <si>
    <t>Dragagem de areia fina com draga de sucção e recalque - bomba de 746 kW e cortador de 110 kW - distância de recalque de 7.300 a 7.500 m</t>
  </si>
  <si>
    <t>1917399</t>
  </si>
  <si>
    <t>Dragagem de areia fina com draga de sucção e recalque - bomba de 746 kW e cortador de 110 kW - distância de recalque de 7.500 a 7.700 m</t>
  </si>
  <si>
    <t>1917400</t>
  </si>
  <si>
    <t>Dragagem de areia fina com draga de sucção e recalque - bomba de 746 kW e cortador de 110 kW - distância de recalque de 7.700 a 7.900 m</t>
  </si>
  <si>
    <t>1917401</t>
  </si>
  <si>
    <t>Dragagem de areia fina com draga de sucção e recalque - bomba de 746 kW e cortador de 110 kW - distância de recalque de 7.900 a 8.100 m</t>
  </si>
  <si>
    <t>1917365</t>
  </si>
  <si>
    <t>Dragagem de areia fina com draga de sucção e recalque - bomba de 746 kW e cortador de 110 kW - distância de recalque de 700 a 900 m</t>
  </si>
  <si>
    <t>1917402</t>
  </si>
  <si>
    <t>Dragagem de areia fina com draga de sucção e recalque - bomba de 746 kW e cortador de 110 kW - distância de recalque de 8.100 a 8.300 m</t>
  </si>
  <si>
    <t>1917403</t>
  </si>
  <si>
    <t>Dragagem de areia fina com draga de sucção e recalque - bomba de 746 kW e cortador de 110 kW - distância de recalque de 8.300 a 8.500 m</t>
  </si>
  <si>
    <t>1917404</t>
  </si>
  <si>
    <t>Dragagem de areia fina com draga de sucção e recalque - bomba de 746 kW e cortador de 110 kW - distância de recalque de 8.500 a 8.700 m</t>
  </si>
  <si>
    <t>1917405</t>
  </si>
  <si>
    <t>Dragagem de areia fina com draga de sucção e recalque - bomba de 746 kW e cortador de 110 kW - distância de recalque de 8.700 a 8.900 m</t>
  </si>
  <si>
    <t>1917406</t>
  </si>
  <si>
    <t>Dragagem de areia fina com draga de sucção e recalque - bomba de 746 kW e cortador de 110 kW - distância de recalque de 8.900 a 9.100 m</t>
  </si>
  <si>
    <t>1917407</t>
  </si>
  <si>
    <t>Dragagem de areia fina com draga de sucção e recalque - bomba de 746 kW e cortador de 110 kW - distância de recalque de 9.100 a 9.300 m</t>
  </si>
  <si>
    <t>1917408</t>
  </si>
  <si>
    <t>Dragagem de areia fina com draga de sucção e recalque - bomba de 746 kW e cortador de 110 kW - distância de recalque de 9.300 a 9.500 m</t>
  </si>
  <si>
    <t>1917409</t>
  </si>
  <si>
    <t>Dragagem de areia fina com draga de sucção e recalque - bomba de 746 kW e cortador de 110 kW - distância de recalque de 9.500 a 9.700 m</t>
  </si>
  <si>
    <t>1917410</t>
  </si>
  <si>
    <t>Dragagem de areia fina com draga de sucção e recalque - bomba de 746 kW e cortador de 110 kW - distância de recalque de 9.700 a 9.900 m</t>
  </si>
  <si>
    <t>1917411</t>
  </si>
  <si>
    <t>Dragagem de areia fina com draga de sucção e recalque - bomba de 746 kW e cortador de 110 kW - distância de recalque de 9.900 a 10.100 m</t>
  </si>
  <si>
    <t>1917366</t>
  </si>
  <si>
    <t>Dragagem de areia fina com draga de sucção e recalque - bomba de 746 kW e cortador de 110 kW - distância de recalque de 900 a 1.100 m</t>
  </si>
  <si>
    <t>1917732</t>
  </si>
  <si>
    <t>Dragagem de areia fina com draga de sucção e recalque - bomba de 746 kW e cortador de 110 kW - distância de recalque de até 500 m</t>
  </si>
  <si>
    <t>1917043</t>
  </si>
  <si>
    <t>Dragagem de areia fina com draga hopper - capacidade da cisterna de 1.000 m³ - DMT de 1.500 a 1.800 m</t>
  </si>
  <si>
    <t>1917044</t>
  </si>
  <si>
    <t>Dragagem de areia fina com draga hopper - capacidade da cisterna de 1.000 m³ - DMT de 1.800 a 2.100 m</t>
  </si>
  <si>
    <t>1917045</t>
  </si>
  <si>
    <t>Dragagem de areia fina com draga hopper - capacidade da cisterna de 1.000 m³ - DMT de 2.100 a 2.400 m</t>
  </si>
  <si>
    <t>1917046</t>
  </si>
  <si>
    <t>Dragagem de areia fina com draga hopper - capacidade da cisterna de 1.000 m³ - DMT de 2.400 a 2.700 m</t>
  </si>
  <si>
    <t>1917047</t>
  </si>
  <si>
    <t>Dragagem de areia fina com draga hopper - capacidade da cisterna de 1.000 m³ - DMT de 2.700 a 3.000 m</t>
  </si>
  <si>
    <t>1917048</t>
  </si>
  <si>
    <t>Dragagem de areia fina com draga hopper - capacidade da cisterna de 1.000 m³ - DMT de 3.000 m</t>
  </si>
  <si>
    <t>1901518</t>
  </si>
  <si>
    <t>Dragagem de areia fina com draga hopper - capacidade da cisterna de 10.000 m³ - DMT de 1.500 a 1.800 m</t>
  </si>
  <si>
    <t>1901519</t>
  </si>
  <si>
    <t>Dragagem de areia fina com draga hopper - capacidade da cisterna de 10.000 m³ - DMT de 1.800 a 2.100 m</t>
  </si>
  <si>
    <t>1901520</t>
  </si>
  <si>
    <t>Dragagem de areia fina com draga hopper - capacidade da cisterna de 10.000 m³ - DMT de 2.100 a 2.400 m</t>
  </si>
  <si>
    <t>1901521</t>
  </si>
  <si>
    <t>Dragagem de areia fina com draga hopper - capacidade da cisterna de 10.000 m³ - DMT de 2.400 a 2.700 m</t>
  </si>
  <si>
    <t>1901522</t>
  </si>
  <si>
    <t>Dragagem de areia fina com draga hopper - capacidade da cisterna de 10.000 m³ - DMT de 2.700 a 3.000 m</t>
  </si>
  <si>
    <t>1901517</t>
  </si>
  <si>
    <t>Dragagem de areia fina com draga hopper - capacidade da cisterna de 10.000 m³ - DMT de 3.000 m</t>
  </si>
  <si>
    <t>1901523</t>
  </si>
  <si>
    <t>Dragagem de areia fina com draga hopper - capacidade da cisterna de 15.000 m³ - DMT de 1.500 a 1.800 m</t>
  </si>
  <si>
    <t>1901524</t>
  </si>
  <si>
    <t>Dragagem de areia fina com draga hopper - capacidade da cisterna de 15.000 m³ - DMT de 1.800 a 2.100 m</t>
  </si>
  <si>
    <t>1901525</t>
  </si>
  <si>
    <t>Dragagem de areia fina com draga hopper - capacidade da cisterna de 15.000 m³ - DMT de 2.100 a 2.400 m</t>
  </si>
  <si>
    <t>1901526</t>
  </si>
  <si>
    <t>Dragagem de areia fina com draga hopper - capacidade da cisterna de 15.000 m³ - DMT de 2.400 a 2.700 m</t>
  </si>
  <si>
    <t>1901527</t>
  </si>
  <si>
    <t>Dragagem de areia fina com draga hopper - capacidade da cisterna de 15.000 m³ - DMT de 2.700 a 3.000 m</t>
  </si>
  <si>
    <t>1901528</t>
  </si>
  <si>
    <t>Dragagem de areia fina com draga hopper - capacidade da cisterna de 15.000 m³ - DMT de 3.000 m</t>
  </si>
  <si>
    <t>1917079</t>
  </si>
  <si>
    <t>Dragagem de areia fina com draga hopper - capacidade da cisterna de 2.000 m³ - DMT de 1.500 a 1.800 m</t>
  </si>
  <si>
    <t>1917080</t>
  </si>
  <si>
    <t>Dragagem de areia fina com draga hopper - capacidade da cisterna de 2.000 m³ - DMT de 1.800 a 2.100 m</t>
  </si>
  <si>
    <t>1917081</t>
  </si>
  <si>
    <t>Dragagem de areia fina com draga hopper - capacidade da cisterna de 2.000 m³ - DMT de 2.100 a 2.400 m</t>
  </si>
  <si>
    <t>1917082</t>
  </si>
  <si>
    <t>Dragagem de areia fina com draga hopper - capacidade da cisterna de 2.000 m³ - DMT de 2.400 a 2.700 m</t>
  </si>
  <si>
    <t>1917083</t>
  </si>
  <si>
    <t>Dragagem de areia fina com draga hopper - capacidade da cisterna de 2.000 m³ - DMT de 2.700 a 3.000 m</t>
  </si>
  <si>
    <t>1917084</t>
  </si>
  <si>
    <t>Dragagem de areia fina com draga hopper - capacidade da cisterna de 2.000 m³ - DMT de 3.000 m</t>
  </si>
  <si>
    <t>1901529</t>
  </si>
  <si>
    <t>Dragagem de areia fina com draga hopper - capacidade da cisterna de 20.000 m³ - DMT de 1.500 a 1.800 m</t>
  </si>
  <si>
    <t>1901530</t>
  </si>
  <si>
    <t>Dragagem de areia fina com draga hopper - capacidade da cisterna de 20.000 m³ - DMT de 1.800 a 2.100 m</t>
  </si>
  <si>
    <t>1901531</t>
  </si>
  <si>
    <t>Dragagem de areia fina com draga hopper - capacidade da cisterna de 20.000 m³ - DMT de 2.100 a 2.400 m</t>
  </si>
  <si>
    <t>1901532</t>
  </si>
  <si>
    <t>Dragagem de areia fina com draga hopper - capacidade da cisterna de 20.000 m³ - DMT de 2.400 a 2.700 m</t>
  </si>
  <si>
    <t>1901533</t>
  </si>
  <si>
    <t>Dragagem de areia fina com draga hopper - capacidade da cisterna de 20.000 m³ - DMT de 2.700 a 3.000 m</t>
  </si>
  <si>
    <t>1901534</t>
  </si>
  <si>
    <t>Dragagem de areia fina com draga hopper - capacidade da cisterna de 20.000 m³ - DMT de 3.000 m</t>
  </si>
  <si>
    <t>1917115</t>
  </si>
  <si>
    <t>Dragagem de areia fina com draga hopper - capacidade da cisterna de 3.000 m³ - DMT de 1.500 a 1.800 m</t>
  </si>
  <si>
    <t>1917116</t>
  </si>
  <si>
    <t>Dragagem de areia fina com draga hopper - capacidade da cisterna de 3.000 m³ - DMT de 1.800 a 2.100 m</t>
  </si>
  <si>
    <t>1917117</t>
  </si>
  <si>
    <t>Dragagem de areia fina com draga hopper - capacidade da cisterna de 3.000 m³ - DMT de 2.100 a 2.400 m</t>
  </si>
  <si>
    <t>1917118</t>
  </si>
  <si>
    <t>Dragagem de areia fina com draga hopper - capacidade da cisterna de 3.000 m³ - DMT de 2.400 a 2.700 m</t>
  </si>
  <si>
    <t>1917119</t>
  </si>
  <si>
    <t>Dragagem de areia fina com draga hopper - capacidade da cisterna de 3.000 m³ - DMT de 2.700 a 3.000 m</t>
  </si>
  <si>
    <t>1917120</t>
  </si>
  <si>
    <t>Dragagem de areia fina com draga hopper - capacidade da cisterna de 3.000 m³ - DMT de 3.000 m</t>
  </si>
  <si>
    <t>1917151</t>
  </si>
  <si>
    <t>Dragagem de areia fina com draga hopper - capacidade da cisterna de 4.000 m³ - DMT de 1.500 a 1.800 m</t>
  </si>
  <si>
    <t>1917152</t>
  </si>
  <si>
    <t>Dragagem de areia fina com draga hopper - capacidade da cisterna de 4.000 m³ - DMT de 1.800 a 2.100 m</t>
  </si>
  <si>
    <t>1917153</t>
  </si>
  <si>
    <t>Dragagem de areia fina com draga hopper - capacidade da cisterna de 4.000 m³ - DMT de 2.100 a 2.400 m</t>
  </si>
  <si>
    <t>1917154</t>
  </si>
  <si>
    <t>Dragagem de areia fina com draga hopper - capacidade da cisterna de 4.000 m³ - DMT de 2.400 a 2.700 m</t>
  </si>
  <si>
    <t>1917155</t>
  </si>
  <si>
    <t>Dragagem de areia fina com draga hopper - capacidade da cisterna de 4.000 m³ - DMT de 2.700 a 3.000 m</t>
  </si>
  <si>
    <t>1917156</t>
  </si>
  <si>
    <t>Dragagem de areia fina com draga hopper - capacidade da cisterna de 4.000 m³ - DMT de 3.000 m</t>
  </si>
  <si>
    <t>1917187</t>
  </si>
  <si>
    <t>Dragagem de areia fina com draga hopper - capacidade da cisterna de 5.000 m³ - DMT de 1.500 a 1.800 m</t>
  </si>
  <si>
    <t>1917188</t>
  </si>
  <si>
    <t>Dragagem de areia fina com draga hopper - capacidade da cisterna de 5.000 m³ - DMT de 1.800 a 2.100 m</t>
  </si>
  <si>
    <t>1917189</t>
  </si>
  <si>
    <t>Dragagem de areia fina com draga hopper - capacidade da cisterna de 5.000 m³ - DMT de 2.100 a 2.400 m</t>
  </si>
  <si>
    <t>1917190</t>
  </si>
  <si>
    <t>Dragagem de areia fina com draga hopper - capacidade da cisterna de 5.000 m³ - DMT de 2.400 a 2.700 m</t>
  </si>
  <si>
    <t>1917191</t>
  </si>
  <si>
    <t>Dragagem de areia fina com draga hopper - capacidade da cisterna de 5.000 m³ - DMT de 2.700 a 3.000 m</t>
  </si>
  <si>
    <t>1917192</t>
  </si>
  <si>
    <t>Dragagem de areia fina com draga hopper - capacidade da cisterna de 5.000 m³ - DMT de 3.000 m</t>
  </si>
  <si>
    <t>1917007</t>
  </si>
  <si>
    <t>Dragagem de areia fina com draga hopper - capacidade da cisterna de 750 m³ - DMT de 1.500 a 1.800 m</t>
  </si>
  <si>
    <t>1917008</t>
  </si>
  <si>
    <t>Dragagem de areia fina com draga hopper - capacidade da cisterna de 750 m³ - DMT de 1.800 a 2.100 m</t>
  </si>
  <si>
    <t>1917009</t>
  </si>
  <si>
    <t>Dragagem de areia fina com draga hopper - capacidade da cisterna de 750 m³ - DMT de 2.100 a 2.400 m</t>
  </si>
  <si>
    <t>1917010</t>
  </si>
  <si>
    <t>Dragagem de areia fina com draga hopper - capacidade da cisterna de 750 m³ - DMT de 2.400 a 2.700 m</t>
  </si>
  <si>
    <t>1917011</t>
  </si>
  <si>
    <t>Dragagem de areia fina com draga hopper - capacidade da cisterna de 750 m³ - DMT de 2.700 a 3.000 m</t>
  </si>
  <si>
    <t>1917012</t>
  </si>
  <si>
    <t>Dragagem de areia fina com draga hopper - capacidade da cisterna de 750 m³ - DMT de 3.000 m</t>
  </si>
  <si>
    <t>1917578</t>
  </si>
  <si>
    <t>Dragagem de areia grossa com draga de sucção e recalque - bomba de 1.350 kW e cortador de 170 kW - distância de recalque de 1.100 a 1.300 m</t>
  </si>
  <si>
    <t>1917579</t>
  </si>
  <si>
    <t>Dragagem de areia grossa com draga de sucção e recalque - bomba de 1.350 kW e cortador de 170 kW - distância de recalque de 1.300 a 1.500 m</t>
  </si>
  <si>
    <t>1917580</t>
  </si>
  <si>
    <t>Dragagem de areia grossa com draga de sucção e recalque - bomba de 1.350 kW e cortador de 170 kW - distância de recalque de 1.500 a 1.700 m</t>
  </si>
  <si>
    <t>1917581</t>
  </si>
  <si>
    <t>Dragagem de areia grossa com draga de sucção e recalque - bomba de 1.350 kW e cortador de 170 kW - distância de recalque de 1.700 a 1.900 m</t>
  </si>
  <si>
    <t>1917582</t>
  </si>
  <si>
    <t>Dragagem de areia grossa com draga de sucção e recalque - bomba de 1.350 kW e cortador de 170 kW - distância de recalque de 1.900 a 2.100 m</t>
  </si>
  <si>
    <t>1917583</t>
  </si>
  <si>
    <t>Dragagem de areia grossa com draga de sucção e recalque - bomba de 1.350 kW e cortador de 170 kW - distância de recalque de 2.100 a 2.300 m</t>
  </si>
  <si>
    <t>1917584</t>
  </si>
  <si>
    <t>Dragagem de areia grossa com draga de sucção e recalque - bomba de 1.350 kW e cortador de 170 kW - distância de recalque de 2.300 a 2.500 m</t>
  </si>
  <si>
    <t>1917585</t>
  </si>
  <si>
    <t>Dragagem de areia grossa com draga de sucção e recalque - bomba de 1.350 kW e cortador de 170 kW - distância de recalque de 2.500 a 2.700 m</t>
  </si>
  <si>
    <t>1917586</t>
  </si>
  <si>
    <t>Dragagem de areia grossa com draga de sucção e recalque - bomba de 1.350 kW e cortador de 170 kW - distância de recalque de 2.700 a 2.900 m</t>
  </si>
  <si>
    <t>1917587</t>
  </si>
  <si>
    <t>Dragagem de areia grossa com draga de sucção e recalque - bomba de 1.350 kW e cortador de 170 kW - distância de recalque de 2.900 a 3.100 m</t>
  </si>
  <si>
    <t>1917588</t>
  </si>
  <si>
    <t>Dragagem de areia grossa com draga de sucção e recalque - bomba de 1.350 kW e cortador de 170 kW - distância de recalque de 3.100 a 3.300 m</t>
  </si>
  <si>
    <t>1917589</t>
  </si>
  <si>
    <t>Dragagem de areia grossa com draga de sucção e recalque - bomba de 1.350 kW e cortador de 170 kW - distância de recalque de 3.300 a 3.500 m</t>
  </si>
  <si>
    <t>1917590</t>
  </si>
  <si>
    <t>Dragagem de areia grossa com draga de sucção e recalque - bomba de 1.350 kW e cortador de 170 kW - distância de recalque de 3.500 a 3.700 m</t>
  </si>
  <si>
    <t>1917591</t>
  </si>
  <si>
    <t>Dragagem de areia grossa com draga de sucção e recalque - bomba de 1.350 kW e cortador de 170 kW - distância de recalque de 3.700 a 3.900 m</t>
  </si>
  <si>
    <t>1917592</t>
  </si>
  <si>
    <t>Dragagem de areia grossa com draga de sucção e recalque - bomba de 1.350 kW e cortador de 170 kW - distância de recalque de 3.900 a 4.100 m</t>
  </si>
  <si>
    <t>1917593</t>
  </si>
  <si>
    <t>Dragagem de areia grossa com draga de sucção e recalque - bomba de 1.350 kW e cortador de 170 kW - distância de recalque de 4.100 a 4.300 m</t>
  </si>
  <si>
    <t>1917594</t>
  </si>
  <si>
    <t>Dragagem de areia grossa com draga de sucção e recalque - bomba de 1.350 kW e cortador de 170 kW - distância de recalque de 4.300 a 4.500 m</t>
  </si>
  <si>
    <t>1917595</t>
  </si>
  <si>
    <t>Dragagem de areia grossa com draga de sucção e recalque - bomba de 1.350 kW e cortador de 170 kW - distância de recalque de 4.500 a 4.700 m</t>
  </si>
  <si>
    <t>1917596</t>
  </si>
  <si>
    <t>Dragagem de areia grossa com draga de sucção e recalque - bomba de 1.350 kW e cortador de 170 kW - distância de recalque de 4.700 a 4.900 m</t>
  </si>
  <si>
    <t>1917597</t>
  </si>
  <si>
    <t>Dragagem de areia grossa com draga de sucção e recalque - bomba de 1.350 kW e cortador de 170 kW - distância de recalque de 4.900 a 5.100 m</t>
  </si>
  <si>
    <t>1917598</t>
  </si>
  <si>
    <t>Dragagem de areia grossa com draga de sucção e recalque - bomba de 1.350 kW e cortador de 170 kW - distância de recalque de 5.100 a 5.300 m</t>
  </si>
  <si>
    <t>1917599</t>
  </si>
  <si>
    <t>Dragagem de areia grossa com draga de sucção e recalque - bomba de 1.350 kW e cortador de 170 kW - distância de recalque de 5.300 a 5.500 m</t>
  </si>
  <si>
    <t>1917600</t>
  </si>
  <si>
    <t>Dragagem de areia grossa com draga de sucção e recalque - bomba de 1.350 kW e cortador de 170 kW - distância de recalque de 5.500 a 5.700 m</t>
  </si>
  <si>
    <t>1917601</t>
  </si>
  <si>
    <t>Dragagem de areia grossa com draga de sucção e recalque - bomba de 1.350 kW e cortador de 170 kW - distância de recalque de 5.700 a 5.900 m</t>
  </si>
  <si>
    <t>1917575</t>
  </si>
  <si>
    <t>Dragagem de areia grossa com draga de sucção e recalque - bomba de 1.350 kW e cortador de 170 kW - distância de recalque de 500 a 700 m</t>
  </si>
  <si>
    <t>1917576</t>
  </si>
  <si>
    <t>Dragagem de areia grossa com draga de sucção e recalque - bomba de 1.350 kW e cortador de 170 kW - distância de recalque de 700 a 900 m</t>
  </si>
  <si>
    <t>1917577</t>
  </si>
  <si>
    <t>Dragagem de areia grossa com draga de sucção e recalque - bomba de 1.350 kW e cortador de 170 kW - distância de recalque de 900 a 1.100 m</t>
  </si>
  <si>
    <t>1917739</t>
  </si>
  <si>
    <t>Dragagem de areia grossa com draga de sucção e recalque - bomba de 1.350 kW e cortador de 170 kW - distância de recalque de até 500 m</t>
  </si>
  <si>
    <t>1917253</t>
  </si>
  <si>
    <t>Dragagem de areia grossa com draga de sucção e recalque - bomba de 294 kW e cortador de 30 kW - distância de recalque de 1.100 a 1.300 m</t>
  </si>
  <si>
    <t>1917254</t>
  </si>
  <si>
    <t>Dragagem de areia grossa com draga de sucção e recalque - bomba de 294 kW e cortador de 30 kW - distância de recalque de 1.300 a 1.500 m</t>
  </si>
  <si>
    <t>1917255</t>
  </si>
  <si>
    <t>Dragagem de areia grossa com draga de sucção e recalque - bomba de 294 kW e cortador de 30 kW - distância de recalque de 1.500 a 1.700 m</t>
  </si>
  <si>
    <t>1917256</t>
  </si>
  <si>
    <t>Dragagem de areia grossa com draga de sucção e recalque - bomba de 294 kW e cortador de 30 kW - distância de recalque de 1.700 a 1.900 m</t>
  </si>
  <si>
    <t>1917257</t>
  </si>
  <si>
    <t>Dragagem de areia grossa com draga de sucção e recalque - bomba de 294 kW e cortador de 30 kW - distância de recalque de 1.900 a 2.100 m</t>
  </si>
  <si>
    <t>1917258</t>
  </si>
  <si>
    <t>Dragagem de areia grossa com draga de sucção e recalque - bomba de 294 kW e cortador de 30 kW - distância de recalque de 2.100 a 2.300 m</t>
  </si>
  <si>
    <t>1917259</t>
  </si>
  <si>
    <t>Dragagem de areia grossa com draga de sucção e recalque - bomba de 294 kW e cortador de 30 kW - distância de recalque de 2.300 a 2.500 m</t>
  </si>
  <si>
    <t>1917250</t>
  </si>
  <si>
    <t>Dragagem de areia grossa com draga de sucção e recalque - bomba de 294 kW e cortador de 30 kW - distância de recalque de 500 a 700 m</t>
  </si>
  <si>
    <t>1917251</t>
  </si>
  <si>
    <t>Dragagem de areia grossa com draga de sucção e recalque - bomba de 294 kW e cortador de 30 kW - distância de recalque de 700 a 900 m</t>
  </si>
  <si>
    <t>1917252</t>
  </si>
  <si>
    <t>Dragagem de areia grossa com draga de sucção e recalque - bomba de 294 kW e cortador de 30 kW - distância de recalque de 900 a 1.100 m</t>
  </si>
  <si>
    <t>1917726</t>
  </si>
  <si>
    <t>Dragagem de areia grossa com draga de sucção e recalque - bomba de 294 kW e cortador de 30 kW - distância de recalque de até 500 m</t>
  </si>
  <si>
    <t>1917335</t>
  </si>
  <si>
    <t>Dragagem de areia grossa com draga de sucção e recalque - bomba de 483 kW e cortador de 55 kW - distância de recalque de 1.100 a 1.300 m</t>
  </si>
  <si>
    <t>1917336</t>
  </si>
  <si>
    <t>Dragagem de areia grossa com draga de sucção e recalque - bomba de 483 kW e cortador de 55 kW - distância de recalque de 1.300 a 1.500 m</t>
  </si>
  <si>
    <t>1917337</t>
  </si>
  <si>
    <t>Dragagem de areia grossa com draga de sucção e recalque - bomba de 483 kW e cortador de 55 kW - distância de recalque de 1.500 a 1.700 m</t>
  </si>
  <si>
    <t>1917338</t>
  </si>
  <si>
    <t>Dragagem de areia grossa com draga de sucção e recalque - bomba de 483 kW e cortador de 55 kW - distância de recalque de 1.700 a 1.900 m</t>
  </si>
  <si>
    <t>1917339</t>
  </si>
  <si>
    <t>Dragagem de areia grossa com draga de sucção e recalque - bomba de 483 kW e cortador de 55 kW - distância de recalque de 1.900 a 2.100 m</t>
  </si>
  <si>
    <t>1917340</t>
  </si>
  <si>
    <t>Dragagem de areia grossa com draga de sucção e recalque - bomba de 483 kW e cortador de 55 kW - distância de recalque de 2.100 a 2.300 m</t>
  </si>
  <si>
    <t>1917341</t>
  </si>
  <si>
    <t>Dragagem de areia grossa com draga de sucção e recalque - bomba de 483 kW e cortador de 55 kW - distância de recalque de 2.300 a 2.500 m</t>
  </si>
  <si>
    <t>1917342</t>
  </si>
  <si>
    <t>Dragagem de areia grossa com draga de sucção e recalque - bomba de 483 kW e cortador de 55 kW - distância de recalque de 2.500 a 2.700 m</t>
  </si>
  <si>
    <t>1917343</t>
  </si>
  <si>
    <t>Dragagem de areia grossa com draga de sucção e recalque - bomba de 483 kW e cortador de 55 kW - distância de recalque de 2.700 a 2.900 m</t>
  </si>
  <si>
    <t>1917344</t>
  </si>
  <si>
    <t>Dragagem de areia grossa com draga de sucção e recalque - bomba de 483 kW e cortador de 55 kW - distância de recalque de 2.900 a 3.100 m</t>
  </si>
  <si>
    <t>1917345</t>
  </si>
  <si>
    <t>Dragagem de areia grossa com draga de sucção e recalque - bomba de 483 kW e cortador de 55 kW - distância de recalque de 3.100 a 3.300 m</t>
  </si>
  <si>
    <t>1917346</t>
  </si>
  <si>
    <t>Dragagem de areia grossa com draga de sucção e recalque - bomba de 483 kW e cortador de 55 kW - distância de recalque de 3.300 a 3.500 m</t>
  </si>
  <si>
    <t>1917347</t>
  </si>
  <si>
    <t>Dragagem de areia grossa com draga de sucção e recalque - bomba de 483 kW e cortador de 55 kW - distância de recalque de 3.500 a 3.700 m</t>
  </si>
  <si>
    <t>1917332</t>
  </si>
  <si>
    <t>Dragagem de areia grossa com draga de sucção e recalque - bomba de 483 kW e cortador de 55 kW - distância de recalque de 500 a 700 m</t>
  </si>
  <si>
    <t>1917333</t>
  </si>
  <si>
    <t>Dragagem de areia grossa com draga de sucção e recalque - bomba de 483 kW e cortador de 55 kW - distância de recalque de 700 a 900 m</t>
  </si>
  <si>
    <t>1917334</t>
  </si>
  <si>
    <t>Dragagem de areia grossa com draga de sucção e recalque - bomba de 483 kW e cortador de 55 kW - distância de recalque de 900 a 1.100 m</t>
  </si>
  <si>
    <t>1917331</t>
  </si>
  <si>
    <t>Dragagem de areia grossa com draga de sucção e recalque - bomba de 483 kW e cortador de 55 kW - distância de recalque de até 500 m</t>
  </si>
  <si>
    <t>1917443</t>
  </si>
  <si>
    <t>Dragagem de areia grossa com draga de sucção e recalque - bomba de 746 kW e cortador de 110 kW - distância de recalque de 1.100 a 1.300 m</t>
  </si>
  <si>
    <t>1917444</t>
  </si>
  <si>
    <t>Dragagem de areia grossa com draga de sucção e recalque - bomba de 746 kW e cortador de 110 kW - distância de recalque de 1.300 a 1.500 m</t>
  </si>
  <si>
    <t>1917445</t>
  </si>
  <si>
    <t>Dragagem de areia grossa com draga de sucção e recalque - bomba de 746 kW e cortador de 110 kW - distância de recalque de 1.500 a 1.700 m</t>
  </si>
  <si>
    <t>1917446</t>
  </si>
  <si>
    <t>Dragagem de areia grossa com draga de sucção e recalque - bomba de 746 kW e cortador de 110 kW - distância de recalque de 1.700 a 1.900 m</t>
  </si>
  <si>
    <t>1917447</t>
  </si>
  <si>
    <t>Dragagem de areia grossa com draga de sucção e recalque - bomba de 746 kW e cortador de 110 kW - distância de recalque de 1.900 a 2.100 m</t>
  </si>
  <si>
    <t>1917448</t>
  </si>
  <si>
    <t>Dragagem de areia grossa com draga de sucção e recalque - bomba de 746 kW e cortador de 110 kW - distância de recalque de 2.100 a 2.300 m</t>
  </si>
  <si>
    <t>1917449</t>
  </si>
  <si>
    <t>Dragagem de areia grossa com draga de sucção e recalque - bomba de 746 kW e cortador de 110 kW - distância de recalque de 2.300 a 2.500 m</t>
  </si>
  <si>
    <t>1917450</t>
  </si>
  <si>
    <t>Dragagem de areia grossa com draga de sucção e recalque - bomba de 746 kW e cortador de 110 kW - distância de recalque de 2.500 a 2.700 m</t>
  </si>
  <si>
    <t>1917451</t>
  </si>
  <si>
    <t>Dragagem de areia grossa com draga de sucção e recalque - bomba de 746 kW e cortador de 110 kW - distância de recalque de 2.700 a 2.900 m</t>
  </si>
  <si>
    <t>1917452</t>
  </si>
  <si>
    <t>Dragagem de areia grossa com draga de sucção e recalque - bomba de 746 kW e cortador de 110 kW - distância de recalque de 2.900 a 3.100 m</t>
  </si>
  <si>
    <t>1917453</t>
  </si>
  <si>
    <t>Dragagem de areia grossa com draga de sucção e recalque - bomba de 746 kW e cortador de 110 kW - distância de recalque de 3.100 a 3.300 m</t>
  </si>
  <si>
    <t>1917454</t>
  </si>
  <si>
    <t>Dragagem de areia grossa com draga de sucção e recalque - bomba de 746 kW e cortador de 110 kW - distância de recalque de 3.300 a 3.500 m</t>
  </si>
  <si>
    <t>1917455</t>
  </si>
  <si>
    <t>Dragagem de areia grossa com draga de sucção e recalque - bomba de 746 kW e cortador de 110 kW - distância de recalque de 3.500 a 3.700 m</t>
  </si>
  <si>
    <t>1917456</t>
  </si>
  <si>
    <t>Dragagem de areia grossa com draga de sucção e recalque - bomba de 746 kW e cortador de 110 kW - distância de recalque de 3.700 a 3.900 m</t>
  </si>
  <si>
    <t>1917457</t>
  </si>
  <si>
    <t>Dragagem de areia grossa com draga de sucção e recalque - bomba de 746 kW e cortador de 110 kW - distância de recalque de 3.900 a 4.100 m</t>
  </si>
  <si>
    <t>1917458</t>
  </si>
  <si>
    <t>Dragagem de areia grossa com draga de sucção e recalque - bomba de 746 kW e cortador de 110 kW - distância de recalque de 4.100 a 4.300 m</t>
  </si>
  <si>
    <t>1917459</t>
  </si>
  <si>
    <t>Dragagem de areia grossa com draga de sucção e recalque - bomba de 746 kW e cortador de 110 kW - distância de recalque de 4.300 a 4.500 m</t>
  </si>
  <si>
    <t>1917440</t>
  </si>
  <si>
    <t>Dragagem de areia grossa com draga de sucção e recalque - bomba de 746 kW e cortador de 110 kW - distância de recalque de 500 a 700 m</t>
  </si>
  <si>
    <t>1917441</t>
  </si>
  <si>
    <t>Dragagem de areia grossa com draga de sucção e recalque - bomba de 746 kW e cortador de 110 kW - distância de recalque de 700 a 900 m</t>
  </si>
  <si>
    <t>1917442</t>
  </si>
  <si>
    <t>Dragagem de areia grossa com draga de sucção e recalque - bomba de 746 kW e cortador de 110 kW - distância de recalque de 900 a 1.100 m</t>
  </si>
  <si>
    <t>1917734</t>
  </si>
  <si>
    <t>Dragagem de areia grossa com draga de sucção e recalque - bomba de 746 kW e cortador de 110 kW - distância de recalque de até 500 m</t>
  </si>
  <si>
    <t>1917055</t>
  </si>
  <si>
    <t>Dragagem de areia grossa com draga hopper - capacidade da cisterna de 1.000 m³ - DMT de 1.500 a 1.800 m</t>
  </si>
  <si>
    <t>1917056</t>
  </si>
  <si>
    <t>Dragagem de areia grossa com draga hopper - capacidade da cisterna de 1.000 m³ - DMT de 1.800 a 2.100 m</t>
  </si>
  <si>
    <t>1917057</t>
  </si>
  <si>
    <t>Dragagem de areia grossa com draga hopper - capacidade da cisterna de 1.000 m³ - DMT de 2.100 a 2.400 m</t>
  </si>
  <si>
    <t>1917058</t>
  </si>
  <si>
    <t>Dragagem de areia grossa com draga hopper - capacidade da cisterna de 1.000 m³ - DMT de 2.400 a 2.700 m</t>
  </si>
  <si>
    <t>1917059</t>
  </si>
  <si>
    <t>Dragagem de areia grossa com draga hopper - capacidade da cisterna de 1.000 m³ - DMT de 2.700 a 3.000 m</t>
  </si>
  <si>
    <t>1917060</t>
  </si>
  <si>
    <t>Dragagem de areia grossa com draga hopper - capacidade da cisterna de 1.000 m³ - DMT de 3.000 m</t>
  </si>
  <si>
    <t>1901536</t>
  </si>
  <si>
    <t>Dragagem de areia grossa com draga hopper - capacidade da cisterna de 10.000 m³ - DMT de 1.500 a 1.800 m</t>
  </si>
  <si>
    <t>1901537</t>
  </si>
  <si>
    <t>Dragagem de areia grossa com draga hopper - capacidade da cisterna de 10.000 m³ - DMT de 1.800 a 2.100 m</t>
  </si>
  <si>
    <t>1901538</t>
  </si>
  <si>
    <t>Dragagem de areia grossa com draga hopper - capacidade da cisterna de 10.000 m³ - DMT de 2.100 a 2.400 m</t>
  </si>
  <si>
    <t>1901539</t>
  </si>
  <si>
    <t>Dragagem de areia grossa com draga hopper - capacidade da cisterna de 10.000 m³ - DMT de 2.400 a 2.700 m</t>
  </si>
  <si>
    <t>1901540</t>
  </si>
  <si>
    <t>Dragagem de areia grossa com draga hopper - capacidade da cisterna de 10.000 m³ - DMT de 2.700 a 3.000 m</t>
  </si>
  <si>
    <t>1901535</t>
  </si>
  <si>
    <t>Dragagem de areia grossa com draga hopper - capacidade da cisterna de 10.000 m³ - DMT de 3.000 m</t>
  </si>
  <si>
    <t>1901542</t>
  </si>
  <si>
    <t>Dragagem de areia grossa com draga hopper - capacidade da cisterna de 15.000 m³ - DMT de 1.500 a 1.800 m</t>
  </si>
  <si>
    <t>1901543</t>
  </si>
  <si>
    <t>Dragagem de areia grossa com draga hopper - capacidade da cisterna de 15.000 m³ - DMT de 1.800 a 2.100 m</t>
  </si>
  <si>
    <t>1901544</t>
  </si>
  <si>
    <t>Dragagem de areia grossa com draga hopper - capacidade da cisterna de 15.000 m³ - DMT de 2.100 a 2.400 m</t>
  </si>
  <si>
    <t>1901545</t>
  </si>
  <si>
    <t>Dragagem de areia grossa com draga hopper - capacidade da cisterna de 15.000 m³ - DMT de 2.400 a 2.700 m</t>
  </si>
  <si>
    <t>1901546</t>
  </si>
  <si>
    <t>Dragagem de areia grossa com draga hopper - capacidade da cisterna de 15.000 m³ - DMT de 2.700 a 3.000 m</t>
  </si>
  <si>
    <t>1901541</t>
  </si>
  <si>
    <t>Dragagem de areia grossa com draga hopper - capacidade da cisterna de 15.000 m³ - DMT de 3.000 m</t>
  </si>
  <si>
    <t>1917091</t>
  </si>
  <si>
    <t>Dragagem de areia grossa com draga hopper - capacidade da cisterna de 2.000 m³ - DMT de 1.500 a 1.800 m</t>
  </si>
  <si>
    <t>1917092</t>
  </si>
  <si>
    <t>Dragagem de areia grossa com draga hopper - capacidade da cisterna de 2.000 m³ - DMT de 1.800 a 2.100 m</t>
  </si>
  <si>
    <t>1917093</t>
  </si>
  <si>
    <t>Dragagem de areia grossa com draga hopper - capacidade da cisterna de 2.000 m³ - DMT de 2.100 a 2.400 m</t>
  </si>
  <si>
    <t>1917094</t>
  </si>
  <si>
    <t>Dragagem de areia grossa com draga hopper - capacidade da cisterna de 2.000 m³ - DMT de 2.400 a 2.700 m</t>
  </si>
  <si>
    <t>1917095</t>
  </si>
  <si>
    <t>Dragagem de areia grossa com draga hopper - capacidade da cisterna de 2.000 m³ - DMT de 2.700 a 3.000 m</t>
  </si>
  <si>
    <t>1917096</t>
  </si>
  <si>
    <t>Dragagem de areia grossa com draga hopper - capacidade da cisterna de 2.000 m³ - DMT de 3.000 m</t>
  </si>
  <si>
    <t>1901548</t>
  </si>
  <si>
    <t>Dragagem de areia grossa com draga hopper - capacidade da cisterna de 20.000 m³ - DMT de 1.500 a 1.800 m</t>
  </si>
  <si>
    <t>1901549</t>
  </si>
  <si>
    <t>Dragagem de areia grossa com draga hopper - capacidade da cisterna de 20.000 m³ - DMT de 1.800 a 2.100 m</t>
  </si>
  <si>
    <t>1901550</t>
  </si>
  <si>
    <t>Dragagem de areia grossa com draga hopper - capacidade da cisterna de 20.000 m³ - DMT de 2.100 a 2.400 m</t>
  </si>
  <si>
    <t>1901551</t>
  </si>
  <si>
    <t>Dragagem de areia grossa com draga hopper - capacidade da cisterna de 20.000 m³ - DMT de 2.400 a 2.700 m</t>
  </si>
  <si>
    <t>1901552</t>
  </si>
  <si>
    <t>Dragagem de areia grossa com draga hopper - capacidade da cisterna de 20.000 m³ - DMT de 2.700 a 3.000 m</t>
  </si>
  <si>
    <t>1901547</t>
  </si>
  <si>
    <t>Dragagem de areia grossa com draga hopper - capacidade da cisterna de 20.000 m³ - DMT de 3.000 m</t>
  </si>
  <si>
    <t>1917127</t>
  </si>
  <si>
    <t>Dragagem de areia grossa com draga hopper - capacidade da cisterna de 3.000 m³ - DMT de 1.500 a 1.800 m</t>
  </si>
  <si>
    <t>1917128</t>
  </si>
  <si>
    <t>Dragagem de areia grossa com draga hopper - capacidade da cisterna de 3.000 m³ - DMT de 1.800 a 2.100 m</t>
  </si>
  <si>
    <t>1917129</t>
  </si>
  <si>
    <t>Dragagem de areia grossa com draga hopper - capacidade da cisterna de 3.000 m³ - DMT de 2.100 a 2.400 m</t>
  </si>
  <si>
    <t>1917130</t>
  </si>
  <si>
    <t>Dragagem de areia grossa com draga hopper - capacidade da cisterna de 3.000 m³ - DMT de 2.400 a 2.700 m</t>
  </si>
  <si>
    <t>1917131</t>
  </si>
  <si>
    <t>Dragagem de areia grossa com draga hopper - capacidade da cisterna de 3.000 m³ - DMT de 2.700 a 3.000 m</t>
  </si>
  <si>
    <t>1917132</t>
  </si>
  <si>
    <t>Dragagem de areia grossa com draga hopper - capacidade da cisterna de 3.000 m³ - DMT de 3.000 m</t>
  </si>
  <si>
    <t>1917163</t>
  </si>
  <si>
    <t>Dragagem de areia grossa com draga hopper - capacidade da cisterna de 4.000 m³ - DMT de 1.500 a 1.800 m</t>
  </si>
  <si>
    <t>1917164</t>
  </si>
  <si>
    <t>Dragagem de areia grossa com draga hopper - capacidade da cisterna de 4.000 m³ - DMT de 1.800 a 2.100 m</t>
  </si>
  <si>
    <t>1917165</t>
  </si>
  <si>
    <t>Dragagem de areia grossa com draga hopper - capacidade da cisterna de 4.000 m³ - DMT de 2.100 a 2.400 m</t>
  </si>
  <si>
    <t>1917166</t>
  </si>
  <si>
    <t>Dragagem de areia grossa com draga hopper - capacidade da cisterna de 4.000 m³ - DMT de 2.400 a 2.700 m</t>
  </si>
  <si>
    <t>1917167</t>
  </si>
  <si>
    <t>Dragagem de areia grossa com draga hopper - capacidade da cisterna de 4.000 m³ - DMT de 2.700 a 3.000 m</t>
  </si>
  <si>
    <t>1917168</t>
  </si>
  <si>
    <t>Dragagem de areia grossa com draga hopper - capacidade da cisterna de 4.000 m³ - DMT de 3.000 m</t>
  </si>
  <si>
    <t>1917199</t>
  </si>
  <si>
    <t>Dragagem de areia grossa com draga hopper - capacidade da cisterna de 5.000 m³ - DMT de 1.500 a 1.800 m</t>
  </si>
  <si>
    <t>1917200</t>
  </si>
  <si>
    <t>Dragagem de areia grossa com draga hopper - capacidade da cisterna de 5.000 m³ - DMT de 1.800 a 2.100 m</t>
  </si>
  <si>
    <t>1917201</t>
  </si>
  <si>
    <t>Dragagem de areia grossa com draga hopper - capacidade da cisterna de 5.000 m³ - DMT de 2.100 a 2.400 m</t>
  </si>
  <si>
    <t>1917202</t>
  </si>
  <si>
    <t>Dragagem de areia grossa com draga hopper - capacidade da cisterna de 5.000 m³ - DMT de 2.400 a 2.700 m</t>
  </si>
  <si>
    <t>1917203</t>
  </si>
  <si>
    <t>Dragagem de areia grossa com draga hopper - capacidade da cisterna de 5.000 m³ - DMT de 2.700 a 3.000 m</t>
  </si>
  <si>
    <t>1917204</t>
  </si>
  <si>
    <t>Dragagem de areia grossa com draga hopper - capacidade da cisterna de 5.000 m³ - DMT de 3.000 m</t>
  </si>
  <si>
    <t>1917019</t>
  </si>
  <si>
    <t>Dragagem de areia grossa com draga hopper - capacidade da cisterna de 750 m³ - DMT de 1.500 a 1.800 m</t>
  </si>
  <si>
    <t>1917020</t>
  </si>
  <si>
    <t>Dragagem de areia grossa com draga hopper - capacidade da cisterna de 750 m³ - DMT de 1.800 a 2.100 m</t>
  </si>
  <si>
    <t>1917021</t>
  </si>
  <si>
    <t>Dragagem de areia grossa com draga hopper - capacidade da cisterna de 750 m³ - DMT de 2.100 a 2.400 m</t>
  </si>
  <si>
    <t>1917022</t>
  </si>
  <si>
    <t>Dragagem de areia grossa com draga hopper - capacidade da cisterna de 750 m³ - DMT de 2.400 a 2.700 m</t>
  </si>
  <si>
    <t>1917023</t>
  </si>
  <si>
    <t>Dragagem de areia grossa com draga hopper - capacidade da cisterna de 750 m³ - DMT de 2.700 a 3.000 m</t>
  </si>
  <si>
    <t>1917024</t>
  </si>
  <si>
    <t>Dragagem de areia grossa com draga hopper - capacidade da cisterna de 750 m³ - DMT de 3.000 m</t>
  </si>
  <si>
    <t>1917541</t>
  </si>
  <si>
    <t>Dragagem de areia média com draga de sucção e recalque - bomba de 1.350 kW e cortador de 170 kW - distância de recalque de 1.100 a 1.300 m</t>
  </si>
  <si>
    <t>1917542</t>
  </si>
  <si>
    <t>Dragagem de areia média com draga de sucção e recalque - bomba de 1.350 kW e cortador de 170 kW - distância de recalque de 1.300 a 1.500 m</t>
  </si>
  <si>
    <t>1917543</t>
  </si>
  <si>
    <t>Dragagem de areia média com draga de sucção e recalque - bomba de 1.350 kW e cortador de 170 kW - distância de recalque de 1.500 a 1.700 m</t>
  </si>
  <si>
    <t>1917544</t>
  </si>
  <si>
    <t>Dragagem de areia média com draga de sucção e recalque - bomba de 1.350 kW e cortador de 170 kW - distância de recalque de 1.700 a 1.900 m</t>
  </si>
  <si>
    <t>1917545</t>
  </si>
  <si>
    <t>Dragagem de areia média com draga de sucção e recalque - bomba de 1.350 kW e cortador de 170 kW - distância de recalque de 1.900 a 2.100 m</t>
  </si>
  <si>
    <t>1917546</t>
  </si>
  <si>
    <t>Dragagem de areia média com draga de sucção e recalque - bomba de 1.350 kW e cortador de 170 kW - distância de recalque de 2.100 a 2.300 m</t>
  </si>
  <si>
    <t>1917547</t>
  </si>
  <si>
    <t>Dragagem de areia média com draga de sucção e recalque - bomba de 1.350 kW e cortador de 170 kW - distância de recalque de 2.300 a 2.500 m</t>
  </si>
  <si>
    <t>1917548</t>
  </si>
  <si>
    <t>Dragagem de areia média com draga de sucção e recalque - bomba de 1.350 kW e cortador de 170 kW - distância de recalque de 2.500 a 2.700 m</t>
  </si>
  <si>
    <t>1917549</t>
  </si>
  <si>
    <t>Dragagem de areia média com draga de sucção e recalque - bomba de 1.350 kW e cortador de 170 kW - distância de recalque de 2.700 a 2.900 m</t>
  </si>
  <si>
    <t>1917550</t>
  </si>
  <si>
    <t>Dragagem de areia média com draga de sucção e recalque - bomba de 1.350 kW e cortador de 170 kW - distância de recalque de 2.900 a 3.100 m</t>
  </si>
  <si>
    <t>1917551</t>
  </si>
  <si>
    <t>Dragagem de areia média com draga de sucção e recalque - bomba de 1.350 kW e cortador de 170 kW - distância de recalque de 3.100 a 3.300 m</t>
  </si>
  <si>
    <t>1917552</t>
  </si>
  <si>
    <t>Dragagem de areia média com draga de sucção e recalque - bomba de 1.350 kW e cortador de 170 kW - distância de recalque de 3.300 a 3.500 m</t>
  </si>
  <si>
    <t>1917553</t>
  </si>
  <si>
    <t>Dragagem de areia média com draga de sucção e recalque - bomba de 1.350 kW e cortador de 170 kW - distância de recalque de 3.500 a 3.700 m</t>
  </si>
  <si>
    <t>1917554</t>
  </si>
  <si>
    <t>Dragagem de areia média com draga de sucção e recalque - bomba de 1.350 kW e cortador de 170 kW - distância de recalque de 3.700 a 3.900 m</t>
  </si>
  <si>
    <t>1917555</t>
  </si>
  <si>
    <t>Dragagem de areia média com draga de sucção e recalque - bomba de 1.350 kW e cortador de 170 kW - distância de recalque de 3.900 a 4.100 m</t>
  </si>
  <si>
    <t>1917556</t>
  </si>
  <si>
    <t>Dragagem de areia média com draga de sucção e recalque - bomba de 1.350 kW e cortador de 170 kW - distância de recalque de 4.100 a 4.300 m</t>
  </si>
  <si>
    <t>1917557</t>
  </si>
  <si>
    <t>Dragagem de areia média com draga de sucção e recalque - bomba de 1.350 kW e cortador de 170 kW - distância de recalque de 4.300 a 4.500 m</t>
  </si>
  <si>
    <t>1917558</t>
  </si>
  <si>
    <t>Dragagem de areia média com draga de sucção e recalque - bomba de 1.350 kW e cortador de 170 kW - distância de recalque de 4.500 a 4.700 m</t>
  </si>
  <si>
    <t>1917559</t>
  </si>
  <si>
    <t>Dragagem de areia média com draga de sucção e recalque - bomba de 1.350 kW e cortador de 170 kW - distância de recalque de 4.700 a 4.900 m</t>
  </si>
  <si>
    <t>1917560</t>
  </si>
  <si>
    <t>Dragagem de areia média com draga de sucção e recalque - bomba de 1.350 kW e cortador de 170 kW - distância de recalque de 4.900 a 5.100 m</t>
  </si>
  <si>
    <t>1917561</t>
  </si>
  <si>
    <t>Dragagem de areia média com draga de sucção e recalque - bomba de 1.350 kW e cortador de 170 kW - distância de recalque de 5.100 a 5.300 m</t>
  </si>
  <si>
    <t>1917562</t>
  </si>
  <si>
    <t>Dragagem de areia média com draga de sucção e recalque - bomba de 1.350 kW e cortador de 170 kW - distância de recalque de 5.300 a 5.500 m</t>
  </si>
  <si>
    <t>1917563</t>
  </si>
  <si>
    <t>Dragagem de areia média com draga de sucção e recalque - bomba de 1.350 kW e cortador de 170 kW - distância de recalque de 5.500 a 5.700 m</t>
  </si>
  <si>
    <t>1917564</t>
  </si>
  <si>
    <t>Dragagem de areia média com draga de sucção e recalque - bomba de 1.350 kW e cortador de 170 kW - distância de recalque de 5.700 a 5.900 m</t>
  </si>
  <si>
    <t>1917565</t>
  </si>
  <si>
    <t>Dragagem de areia média com draga de sucção e recalque - bomba de 1.350 kW e cortador de 170 kW - distância de recalque de 5.900 a 6.100 m</t>
  </si>
  <si>
    <t>1917538</t>
  </si>
  <si>
    <t>Dragagem de areia média com draga de sucção e recalque - bomba de 1.350 kW e cortador de 170 kW - distância de recalque de 500 a 700 m</t>
  </si>
  <si>
    <t>1917566</t>
  </si>
  <si>
    <t>Dragagem de areia média com draga de sucção e recalque - bomba de 1.350 kW e cortador de 170 kW - distância de recalque de 6.100 a 6.300 m</t>
  </si>
  <si>
    <t>1917567</t>
  </si>
  <si>
    <t>Dragagem de areia média com draga de sucção e recalque - bomba de 1.350 kW e cortador de 170 kW - distância de recalque de 6.300 a 6.500 m</t>
  </si>
  <si>
    <t>1917568</t>
  </si>
  <si>
    <t>Dragagem de areia média com draga de sucção e recalque - bomba de 1.350 kW e cortador de 170 kW - distância de recalque de 6.500 a 6.700 m</t>
  </si>
  <si>
    <t>1917569</t>
  </si>
  <si>
    <t>Dragagem de areia média com draga de sucção e recalque - bomba de 1.350 kW e cortador de 170 kW - distância de recalque de 6.700 a 6.900 m</t>
  </si>
  <si>
    <t>1917570</t>
  </si>
  <si>
    <t>Dragagem de areia média com draga de sucção e recalque - bomba de 1.350 kW e cortador de 170 kW - distância de recalque de 6.900 a 7.100 m</t>
  </si>
  <si>
    <t>1917571</t>
  </si>
  <si>
    <t>Dragagem de areia média com draga de sucção e recalque - bomba de 1.350 kW e cortador de 170 kW - distância de recalque de 7.100 a 7.300 m</t>
  </si>
  <si>
    <t>1917572</t>
  </si>
  <si>
    <t>Dragagem de areia média com draga de sucção e recalque - bomba de 1.350 kW e cortador de 170 kW - distância de recalque de 7.300 a 7.500 m</t>
  </si>
  <si>
    <t>1917573</t>
  </si>
  <si>
    <t>Dragagem de areia média com draga de sucção e recalque - bomba de 1.350 kW e cortador de 170 kW - distância de recalque de 7.500 a 7.700 m</t>
  </si>
  <si>
    <t>1917574</t>
  </si>
  <si>
    <t>Dragagem de areia média com draga de sucção e recalque - bomba de 1.350 kW e cortador de 170 kW - distância de recalque de 7.700 a 7.900 m</t>
  </si>
  <si>
    <t>1917539</t>
  </si>
  <si>
    <t>Dragagem de areia média com draga de sucção e recalque - bomba de 1.350 kW e cortador de 170 kW - distância de recalque de 700 a 900 m</t>
  </si>
  <si>
    <t>1917540</t>
  </si>
  <si>
    <t>Dragagem de areia média com draga de sucção e recalque - bomba de 1.350 kW e cortador de 170 kW - distância de recalque de 900 a 1.100 m</t>
  </si>
  <si>
    <t>1917738</t>
  </si>
  <si>
    <t>Dragagem de areia média com draga de sucção e recalque - bomba de 1.350 kW e cortador de 170 kW - distância de recalque de até 500 m</t>
  </si>
  <si>
    <t>1917238</t>
  </si>
  <si>
    <t>Dragagem de areia média com draga de sucção e recalque - bomba de 294 kW e cortador de 30 kW - distância de recalque de 1.100 a 1.300 m</t>
  </si>
  <si>
    <t>1917239</t>
  </si>
  <si>
    <t>Dragagem de areia média com draga de sucção e recalque - bomba de 294 kW e cortador de 30 kW - distância de recalque de 1.300 a 1.500 m</t>
  </si>
  <si>
    <t>1917240</t>
  </si>
  <si>
    <t>Dragagem de areia média com draga de sucção e recalque - bomba de 294 kW e cortador de 30 kW - distância de recalque de 1.500 a 1.700 m</t>
  </si>
  <si>
    <t>1917241</t>
  </si>
  <si>
    <t>Dragagem de areia média com draga de sucção e recalque - bomba de 294 kW e cortador de 30 kW - distância de recalque de 1.700 a 1.900 m</t>
  </si>
  <si>
    <t>1917242</t>
  </si>
  <si>
    <t>Dragagem de areia média com draga de sucção e recalque - bomba de 294 kW e cortador de 30 kW - distância de recalque de 1.900 a 2.100 m</t>
  </si>
  <si>
    <t>1917243</t>
  </si>
  <si>
    <t>Dragagem de areia média com draga de sucção e recalque - bomba de 294 kW e cortador de 30 kW - distância de recalque de 2.100 a 2.300 m</t>
  </si>
  <si>
    <t>1917244</t>
  </si>
  <si>
    <t>Dragagem de areia média com draga de sucção e recalque - bomba de 294 kW e cortador de 30 kW - distância de recalque de 2.300 a 2.500 m</t>
  </si>
  <si>
    <t>1917245</t>
  </si>
  <si>
    <t>Dragagem de areia média com draga de sucção e recalque - bomba de 294 kW e cortador de 30 kW - distância de recalque de 2.500 a 2.700 m</t>
  </si>
  <si>
    <t>1917246</t>
  </si>
  <si>
    <t>Dragagem de areia média com draga de sucção e recalque - bomba de 294 kW e cortador de 30 kW - distância de recalque de 2.700 a 2.900 m</t>
  </si>
  <si>
    <t>1917247</t>
  </si>
  <si>
    <t>Dragagem de areia média com draga de sucção e recalque - bomba de 294 kW e cortador de 30 kW - distância de recalque de 2.900 a 3.100 m</t>
  </si>
  <si>
    <t>1917248</t>
  </si>
  <si>
    <t>Dragagem de areia média com draga de sucção e recalque - bomba de 294 kW e cortador de 30 kW - distância de recalque de 3.100 a 3.300 m</t>
  </si>
  <si>
    <t>1917249</t>
  </si>
  <si>
    <t>Dragagem de areia média com draga de sucção e recalque - bomba de 294 kW e cortador de 30 kW - distância de recalque de 3.300 a 3.500 m</t>
  </si>
  <si>
    <t>1917235</t>
  </si>
  <si>
    <t>Dragagem de areia média com draga de sucção e recalque - bomba de 294 kW e cortador de 30 kW - distância de recalque de 500 a 700 m</t>
  </si>
  <si>
    <t>1917236</t>
  </si>
  <si>
    <t>Dragagem de areia média com draga de sucção e recalque - bomba de 294 kW e cortador de 30 kW - distância de recalque de 700 a 900 m</t>
  </si>
  <si>
    <t>1917237</t>
  </si>
  <si>
    <t>Dragagem de areia média com draga de sucção e recalque - bomba de 294 kW e cortador de 30 kW - distância de recalque de 900 a 1.100 m</t>
  </si>
  <si>
    <t>1917725</t>
  </si>
  <si>
    <t>Dragagem de areia média com draga de sucção e recalque - bomba de 294 kW e cortador de 30 kW - distância de recalque de até 500 m</t>
  </si>
  <si>
    <t>1917311</t>
  </si>
  <si>
    <t>Dragagem de areia média com draga de sucção e recalque - bomba de 483 kW e cortador de 55 kW - distância de recalque de 1.100 a 1.300 m</t>
  </si>
  <si>
    <t>1917312</t>
  </si>
  <si>
    <t>Dragagem de areia média com draga de sucção e recalque - bomba de 483 kW e cortador de 55 kW - distância de recalque de 1.300 a 1.500 m</t>
  </si>
  <si>
    <t>1917313</t>
  </si>
  <si>
    <t>Dragagem de areia média com draga de sucção e recalque - bomba de 483 kW e cortador de 55 kW - distância de recalque de 1.500 a 1.700 m</t>
  </si>
  <si>
    <t>1917314</t>
  </si>
  <si>
    <t>Dragagem de areia média com draga de sucção e recalque - bomba de 483 kW e cortador de 55 kW - distância de recalque de 1.700 a 1.900 m</t>
  </si>
  <si>
    <t>1917315</t>
  </si>
  <si>
    <t>Dragagem de areia média com draga de sucção e recalque - bomba de 483 kW e cortador de 55 kW - distância de recalque de 1.900 a 2.100 m</t>
  </si>
  <si>
    <t>1917316</t>
  </si>
  <si>
    <t>Dragagem de areia média com draga de sucção e recalque - bomba de 483 kW e cortador de 55 kW - distância de recalque de 2.100 a 2.300 m</t>
  </si>
  <si>
    <t>1917317</t>
  </si>
  <si>
    <t>Dragagem de areia média com draga de sucção e recalque - bomba de 483 kW e cortador de 55 kW - distância de recalque de 2.300 a 2.500 m</t>
  </si>
  <si>
    <t>1917318</t>
  </si>
  <si>
    <t>Dragagem de areia média com draga de sucção e recalque - bomba de 483 kW e cortador de 55 kW - distância de recalque de 2.500 a 2.700 m</t>
  </si>
  <si>
    <t>1917319</t>
  </si>
  <si>
    <t>Dragagem de areia média com draga de sucção e recalque - bomba de 483 kW e cortador de 55 kW - distância de recalque de 2.700 a 2.900 m</t>
  </si>
  <si>
    <t>1917320</t>
  </si>
  <si>
    <t>Dragagem de areia média com draga de sucção e recalque - bomba de 483 kW e cortador de 55 kW - distância de recalque de 2.900 a 3.100 m</t>
  </si>
  <si>
    <t>1917321</t>
  </si>
  <si>
    <t>Dragagem de areia média com draga de sucção e recalque - bomba de 483 kW e cortador de 55 kW - distância de recalque de 3.100 a 3.300 m</t>
  </si>
  <si>
    <t>1917322</t>
  </si>
  <si>
    <t>Dragagem de areia média com draga de sucção e recalque - bomba de 483 kW e cortador de 55 kW - distância de recalque de 3.300 a 3.500 m</t>
  </si>
  <si>
    <t>1917323</t>
  </si>
  <si>
    <t>Dragagem de areia média com draga de sucção e recalque - bomba de 483 kW e cortador de 55 kW - distância de recalque de 3.500 a 3.700 m</t>
  </si>
  <si>
    <t>1917324</t>
  </si>
  <si>
    <t>Dragagem de areia média com draga de sucção e recalque - bomba de 483 kW e cortador de 55 kW - distância de recalque de 3.700 a 3.900 m</t>
  </si>
  <si>
    <t>1917325</t>
  </si>
  <si>
    <t>Dragagem de areia média com draga de sucção e recalque - bomba de 483 kW e cortador de 55 kW - distância de recalque de 3.900 a 4.100 m</t>
  </si>
  <si>
    <t>1917326</t>
  </si>
  <si>
    <t>Dragagem de areia média com draga de sucção e recalque - bomba de 483 kW e cortador de 55 kW - distância de recalque de 4.100 a 4.300 m</t>
  </si>
  <si>
    <t>1917327</t>
  </si>
  <si>
    <t>Dragagem de areia média com draga de sucção e recalque - bomba de 483 kW e cortador de 55 kW - distância de recalque de 4.300 a 4.500 m</t>
  </si>
  <si>
    <t>1917328</t>
  </si>
  <si>
    <t>Dragagem de areia média com draga de sucção e recalque - bomba de 483 kW e cortador de 55 kW - distância de recalque de 4.500 a 4.700 m</t>
  </si>
  <si>
    <t>1917329</t>
  </si>
  <si>
    <t>Dragagem de areia média com draga de sucção e recalque - bomba de 483 kW e cortador de 55 kW - distância de recalque de 4.700 a 4.900 m</t>
  </si>
  <si>
    <t>1917330</t>
  </si>
  <si>
    <t>Dragagem de areia média com draga de sucção e recalque - bomba de 483 kW e cortador de 55 kW - distância de recalque de 4.900 a 5.100 m</t>
  </si>
  <si>
    <t>1917308</t>
  </si>
  <si>
    <t>Dragagem de areia média com draga de sucção e recalque - bomba de 483 kW e cortador de 55 kW - distância de recalque de 500 a 700 m</t>
  </si>
  <si>
    <t>1917309</t>
  </si>
  <si>
    <t>Dragagem de areia média com draga de sucção e recalque - bomba de 483 kW e cortador de 55 kW - distância de recalque de 700 a 900 m</t>
  </si>
  <si>
    <t>1917310</t>
  </si>
  <si>
    <t>Dragagem de areia média com draga de sucção e recalque - bomba de 483 kW e cortador de 55 kW - distância de recalque de 900 a 1.100 m</t>
  </si>
  <si>
    <t>1917730</t>
  </si>
  <si>
    <t>Dragagem de areia média com draga de sucção e recalque - bomba de 483 kW e cortador de 55 kW - distância de recalque de até 500 m</t>
  </si>
  <si>
    <t>1917415</t>
  </si>
  <si>
    <t>Dragagem de areia média com draga de sucção e recalque - bomba de 746 kW e cortador de 110 kW - distância de recalque de 1.100 a 1.300 m</t>
  </si>
  <si>
    <t>1917416</t>
  </si>
  <si>
    <t>Dragagem de areia média com draga de sucção e recalque - bomba de 746 kW e cortador de 110 kW - distância de recalque de 1.300 a 1.500 m</t>
  </si>
  <si>
    <t>1917417</t>
  </si>
  <si>
    <t>Dragagem de areia média com draga de sucção e recalque - bomba de 746 kW e cortador de 110 kW - distância de recalque de 1.500 a 1.700 m</t>
  </si>
  <si>
    <t>1917418</t>
  </si>
  <si>
    <t>Dragagem de areia média com draga de sucção e recalque - bomba de 746 kW e cortador de 110 kW - distância de recalque de 1.700 a 1.900 m</t>
  </si>
  <si>
    <t>1917419</t>
  </si>
  <si>
    <t>Dragagem de areia média com draga de sucção e recalque - bomba de 746 kW e cortador de 110 kW - distância de recalque de 1.900 a 2.100 m</t>
  </si>
  <si>
    <t>1917420</t>
  </si>
  <si>
    <t>Dragagem de areia média com draga de sucção e recalque - bomba de 746 kW e cortador de 110 kW - distância de recalque de 2.100 a 2.300 m</t>
  </si>
  <si>
    <t>1917421</t>
  </si>
  <si>
    <t>Dragagem de areia média com draga de sucção e recalque - bomba de 746 kW e cortador de 110 kW - distância de recalque de 2.300 a 2.500 m</t>
  </si>
  <si>
    <t>1917422</t>
  </si>
  <si>
    <t>Dragagem de areia média com draga de sucção e recalque - bomba de 746 kW e cortador de 110 kW - distância de recalque de 2.500 a 2.700 m</t>
  </si>
  <si>
    <t>1917423</t>
  </si>
  <si>
    <t>Dragagem de areia média com draga de sucção e recalque - bomba de 746 kW e cortador de 110 kW - distância de recalque de 2.700 a 2.900 m</t>
  </si>
  <si>
    <t>1917424</t>
  </si>
  <si>
    <t>Dragagem de areia média com draga de sucção e recalque - bomba de 746 kW e cortador de 110 kW - distância de recalque de 2.900 a 3.100 m</t>
  </si>
  <si>
    <t>1917425</t>
  </si>
  <si>
    <t>Dragagem de areia média com draga de sucção e recalque - bomba de 746 kW e cortador de 110 kW - distância de recalque de 3.100 a 3.300 m</t>
  </si>
  <si>
    <t>1917426</t>
  </si>
  <si>
    <t>Dragagem de areia média com draga de sucção e recalque - bomba de 746 kW e cortador de 110 kW - distância de recalque de 3.300 a 3.500 m</t>
  </si>
  <si>
    <t>1917427</t>
  </si>
  <si>
    <t>Dragagem de areia média com draga de sucção e recalque - bomba de 746 kW e cortador de 110 kW - distância de recalque de 3.500 a 3.700 m</t>
  </si>
  <si>
    <t>1917428</t>
  </si>
  <si>
    <t>Dragagem de areia média com draga de sucção e recalque - bomba de 746 kW e cortador de 110 kW - distância de recalque de 3.700 a 3.900 m</t>
  </si>
  <si>
    <t>1917429</t>
  </si>
  <si>
    <t>Dragagem de areia média com draga de sucção e recalque - bomba de 746 kW e cortador de 110 kW - distância de recalque de 3.900 a 4.100 m</t>
  </si>
  <si>
    <t>1917430</t>
  </si>
  <si>
    <t>Dragagem de areia média com draga de sucção e recalque - bomba de 746 kW e cortador de 110 kW - distância de recalque de 4.100 a 4.300 m</t>
  </si>
  <si>
    <t>1917431</t>
  </si>
  <si>
    <t>Dragagem de areia média com draga de sucção e recalque - bomba de 746 kW e cortador de 110 kW - distância de recalque de 4.300 a 4.500 m</t>
  </si>
  <si>
    <t>1917432</t>
  </si>
  <si>
    <t>Dragagem de areia média com draga de sucção e recalque - bomba de 746 kW e cortador de 110 kW - distância de recalque de 4.500 a 4.700 m</t>
  </si>
  <si>
    <t>1917433</t>
  </si>
  <si>
    <t>Dragagem de areia média com draga de sucção e recalque - bomba de 746 kW e cortador de 110 kW - distância de recalque de 4.700 a 4.900 m</t>
  </si>
  <si>
    <t>1917434</t>
  </si>
  <si>
    <t>Dragagem de areia média com draga de sucção e recalque - bomba de 746 kW e cortador de 110 kW - distância de recalque de 4.900 a 5.100 m</t>
  </si>
  <si>
    <t>1917435</t>
  </si>
  <si>
    <t>Dragagem de areia média com draga de sucção e recalque - bomba de 746 kW e cortador de 110 kW - distância de recalque de 5.100 a 5.300 m</t>
  </si>
  <si>
    <t>1917436</t>
  </si>
  <si>
    <t>Dragagem de areia média com draga de sucção e recalque - bomba de 746 kW e cortador de 110 kW - distância de recalque de 5.300 a 5.500 m</t>
  </si>
  <si>
    <t>1917437</t>
  </si>
  <si>
    <t>Dragagem de areia média com draga de sucção e recalque - bomba de 746 kW e cortador de 110 kW - distância de recalque de 5.500 a 5.700 m</t>
  </si>
  <si>
    <t>1917438</t>
  </si>
  <si>
    <t>Dragagem de areia média com draga de sucção e recalque - bomba de 746 kW e cortador de 110 kW - distância de recalque de 5.700 a 5.900 m</t>
  </si>
  <si>
    <t>1917439</t>
  </si>
  <si>
    <t>Dragagem de areia média com draga de sucção e recalque - bomba de 746 kW e cortador de 110 kW - distância de recalque de 5.900 a 6.100 m</t>
  </si>
  <si>
    <t>1917412</t>
  </si>
  <si>
    <t>Dragagem de areia média com draga de sucção e recalque - bomba de 746 kW e cortador de 110 kW - distância de recalque de 500 a 700 m</t>
  </si>
  <si>
    <t>1917413</t>
  </si>
  <si>
    <t>Dragagem de areia média com draga de sucção e recalque - bomba de 746 kW e cortador de 110 kW - distância de recalque de 700 a 900 m</t>
  </si>
  <si>
    <t>1917414</t>
  </si>
  <si>
    <t>Dragagem de areia média com draga de sucção e recalque - bomba de 746 kW e cortador de 110 kW - distância de recalque de 900 a 1.100 m</t>
  </si>
  <si>
    <t>1917733</t>
  </si>
  <si>
    <t>Dragagem de areia média com draga de sucção e recalque - bomba de 746 kW e cortador de 110 kW - distância de recalque de até 500 m</t>
  </si>
  <si>
    <t>1917049</t>
  </si>
  <si>
    <t>Dragagem de areia média com draga hopper - capacidade da cisterna de 1.000 m³ - DMT de 1.500 a 1.800 m</t>
  </si>
  <si>
    <t>1917050</t>
  </si>
  <si>
    <t>Dragagem de areia média com draga hopper - capacidade da cisterna de 1.000 m³ - DMT de 1.800 a 2.100 m</t>
  </si>
  <si>
    <t>1917051</t>
  </si>
  <si>
    <t>Dragagem de areia média com draga hopper - capacidade da cisterna de 1.000 m³ - DMT de 2.100 a 2.400 m</t>
  </si>
  <si>
    <t>1917052</t>
  </si>
  <si>
    <t>Dragagem de areia média com draga hopper - capacidade da cisterna de 1.000 m³ - DMT de 2.400 a 2.700 m</t>
  </si>
  <si>
    <t>1917053</t>
  </si>
  <si>
    <t>Dragagem de areia média com draga hopper - capacidade da cisterna de 1.000 m³ - DMT de 2.700 a 3.000 m</t>
  </si>
  <si>
    <t>1917054</t>
  </si>
  <si>
    <t>Dragagem de areia média com draga hopper - capacidade da cisterna de 1.000 m³ - DMT de 3.000 m</t>
  </si>
  <si>
    <t>1901553</t>
  </si>
  <si>
    <t>Dragagem de areia média com draga hopper - capacidade da cisterna de 10.000 m³ - DMT de 1.500 a 1.800 m</t>
  </si>
  <si>
    <t>1901554</t>
  </si>
  <si>
    <t>Dragagem de areia média com draga hopper - capacidade da cisterna de 10.000 m³ - DMT de 1.800 a 2.100 m</t>
  </si>
  <si>
    <t>1901555</t>
  </si>
  <si>
    <t>Dragagem de areia média com draga hopper - capacidade da cisterna de 10.000 m³ - DMT de 2.100 a 2.400 m</t>
  </si>
  <si>
    <t>1901556</t>
  </si>
  <si>
    <t>Dragagem de areia média com draga hopper - capacidade da cisterna de 10.000 m³ - DMT de 2.400 a 2.700 m</t>
  </si>
  <si>
    <t>1901557</t>
  </si>
  <si>
    <t>Dragagem de areia média com draga hopper - capacidade da cisterna de 10.000 m³ - DMT de 2.700 a 3.000 m</t>
  </si>
  <si>
    <t>1901558</t>
  </si>
  <si>
    <t>Dragagem de areia média com draga hopper - capacidade da cisterna de 10.000 m³ - DMT de 3.000 m</t>
  </si>
  <si>
    <t>1901560</t>
  </si>
  <si>
    <t>Dragagem de areia média com draga hopper - capacidade da cisterna de 15.000 m³ - DMT de 1.500 a 1.800 m</t>
  </si>
  <si>
    <t>1901561</t>
  </si>
  <si>
    <t>Dragagem de areia média com draga hopper - capacidade da cisterna de 15.000 m³ - DMT de 1.800 a 2.100 m</t>
  </si>
  <si>
    <t>1901562</t>
  </si>
  <si>
    <t>Dragagem de areia média com draga hopper - capacidade da cisterna de 15.000 m³ - DMT de 2.100 a 2.400 m</t>
  </si>
  <si>
    <t>1901563</t>
  </si>
  <si>
    <t>Dragagem de areia média com draga hopper - capacidade da cisterna de 15.000 m³ - DMT de 2.400 a 2.700 m</t>
  </si>
  <si>
    <t>1901564</t>
  </si>
  <si>
    <t>Dragagem de areia média com draga hopper - capacidade da cisterna de 15.000 m³ - DMT de 2.700 a 3.000 m</t>
  </si>
  <si>
    <t>1901559</t>
  </si>
  <si>
    <t>Dragagem de areia média com draga hopper - capacidade da cisterna de 15.000 m³ - DMT de 3.000 m</t>
  </si>
  <si>
    <t>1917085</t>
  </si>
  <si>
    <t>Dragagem de areia média com draga hopper - capacidade da cisterna de 2.000 m³ - DMT de 1.500 a 1.800 m</t>
  </si>
  <si>
    <t>1917086</t>
  </si>
  <si>
    <t>Dragagem de areia média com draga hopper - capacidade da cisterna de 2.000 m³ - DMT de 1.800 a 2.100 m</t>
  </si>
  <si>
    <t>1917087</t>
  </si>
  <si>
    <t>Dragagem de areia média com draga hopper - capacidade da cisterna de 2.000 m³ - DMT de 2.100 a 2.400 m</t>
  </si>
  <si>
    <t>1917088</t>
  </si>
  <si>
    <t>Dragagem de areia média com draga hopper - capacidade da cisterna de 2.000 m³ - DMT de 2.400 a 2.700 m</t>
  </si>
  <si>
    <t>1917089</t>
  </si>
  <si>
    <t>Dragagem de areia média com draga hopper - capacidade da cisterna de 2.000 m³ - DMT de 2.700 a 3.000 m</t>
  </si>
  <si>
    <t>1917090</t>
  </si>
  <si>
    <t>Dragagem de areia média com draga hopper - capacidade da cisterna de 2.000 m³ - DMT de 3.000 m</t>
  </si>
  <si>
    <t>1901566</t>
  </si>
  <si>
    <t>Dragagem de areia média com draga hopper - capacidade da cisterna de 20.000 m³ - DMT de 1.500 a 1.800 m</t>
  </si>
  <si>
    <t>1901567</t>
  </si>
  <si>
    <t>Dragagem de areia média com draga hopper - capacidade da cisterna de 20.000 m³ - DMT de 1.800 a 2.100 m</t>
  </si>
  <si>
    <t>1901568</t>
  </si>
  <si>
    <t>Dragagem de areia média com draga hopper - capacidade da cisterna de 20.000 m³ - DMT de 2.100 a 2.400 m</t>
  </si>
  <si>
    <t>1901569</t>
  </si>
  <si>
    <t>Dragagem de areia média com draga hopper - capacidade da cisterna de 20.000 m³ - DMT de 2.400 a 2.700 m</t>
  </si>
  <si>
    <t>1901570</t>
  </si>
  <si>
    <t>Dragagem de areia média com draga hopper - capacidade da cisterna de 20.000 m³ - DMT de 2.700 a 3.000 m</t>
  </si>
  <si>
    <t>1901565</t>
  </si>
  <si>
    <t>Dragagem de areia média com draga hopper - capacidade da cisterna de 20.000 m³ - DMT de 3.000 m</t>
  </si>
  <si>
    <t>1917121</t>
  </si>
  <si>
    <t>Dragagem de areia média com draga hopper - capacidade da cisterna de 3.000 m³ - DMT de 1.500 a 1.800 m</t>
  </si>
  <si>
    <t>1917122</t>
  </si>
  <si>
    <t>Dragagem de areia média com draga hopper - capacidade da cisterna de 3.000 m³ - DMT de 1.800 a 2.100 m</t>
  </si>
  <si>
    <t>1917123</t>
  </si>
  <si>
    <t>Dragagem de areia média com draga hopper - capacidade da cisterna de 3.000 m³ - DMT de 2.100 a 2.400 m</t>
  </si>
  <si>
    <t>1917124</t>
  </si>
  <si>
    <t>Dragagem de areia média com draga hopper - capacidade da cisterna de 3.000 m³ - DMT de 2.400 a 2.700 m</t>
  </si>
  <si>
    <t>1917125</t>
  </si>
  <si>
    <t>Dragagem de areia média com draga hopper - capacidade da cisterna de 3.000 m³ - DMT de 2.700 a 3.000 m</t>
  </si>
  <si>
    <t>1917126</t>
  </si>
  <si>
    <t>Dragagem de areia média com draga hopper - capacidade da cisterna de 3.000 m³ - DMT de 3.000 m</t>
  </si>
  <si>
    <t>1917157</t>
  </si>
  <si>
    <t>Dragagem de areia média com draga hopper - capacidade da cisterna de 4.000 m³ - DMT de 1.500 a 1.800 m</t>
  </si>
  <si>
    <t>1917158</t>
  </si>
  <si>
    <t>Dragagem de areia média com draga hopper - capacidade da cisterna de 4.000 m³ - DMT de 1.800 a 2.100 m</t>
  </si>
  <si>
    <t>1917159</t>
  </si>
  <si>
    <t>Dragagem de areia média com draga hopper - capacidade da cisterna de 4.000 m³ - DMT de 2.100 a 2.400 m</t>
  </si>
  <si>
    <t>1917160</t>
  </si>
  <si>
    <t>Dragagem de areia média com draga hopper - capacidade da cisterna de 4.000 m³ - DMT de 2.400 a 2.700 m</t>
  </si>
  <si>
    <t>1917161</t>
  </si>
  <si>
    <t>Dragagem de areia média com draga hopper - capacidade da cisterna de 4.000 m³ - DMT de 2.700 a 3.000 m</t>
  </si>
  <si>
    <t>1917162</t>
  </si>
  <si>
    <t>Dragagem de areia média com draga hopper - capacidade da cisterna de 4.000 m³ - DMT de 3.000 m</t>
  </si>
  <si>
    <t>1917193</t>
  </si>
  <si>
    <t>Dragagem de areia média com draga hopper - capacidade da cisterna de 5.000 m³ - DMT de 1.500 a 1.800 m</t>
  </si>
  <si>
    <t>1917194</t>
  </si>
  <si>
    <t>Dragagem de areia média com draga hopper - capacidade da cisterna de 5.000 m³ - DMT de 1.800 a 2.100 m</t>
  </si>
  <si>
    <t>1917195</t>
  </si>
  <si>
    <t>Dragagem de areia média com draga hopper - capacidade da cisterna de 5.000 m³ - DMT de 2.100 a 2.400 m</t>
  </si>
  <si>
    <t>1917196</t>
  </si>
  <si>
    <t>Dragagem de areia média com draga hopper - capacidade da cisterna de 5.000 m³ - DMT de 2.400 a 2.700 m</t>
  </si>
  <si>
    <t>1917197</t>
  </si>
  <si>
    <t>Dragagem de areia média com draga hopper - capacidade da cisterna de 5.000 m³ - DMT de 2.700 a 3.000 m</t>
  </si>
  <si>
    <t>1917198</t>
  </si>
  <si>
    <t>Dragagem de areia média com draga hopper - capacidade da cisterna de 5.000 m³ - DMT de 3.000 m</t>
  </si>
  <si>
    <t>1917013</t>
  </si>
  <si>
    <t>Dragagem de areia média com draga hopper - capacidade da cisterna de 750 m³ - DMT de 1.500 a 1.800 m</t>
  </si>
  <si>
    <t>1917014</t>
  </si>
  <si>
    <t>Dragagem de areia média com draga hopper - capacidade da cisterna de 750 m³ - DMT de 1.800 a 2.100 m</t>
  </si>
  <si>
    <t>1917015</t>
  </si>
  <si>
    <t>Dragagem de areia média com draga hopper - capacidade da cisterna de 750 m³ - DMT de 2.100 a 2.400 m</t>
  </si>
  <si>
    <t>1917016</t>
  </si>
  <si>
    <t>Dragagem de areia média com draga hopper - capacidade da cisterna de 750 m³ - DMT de 2.400 a 2.700 m</t>
  </si>
  <si>
    <t>1917017</t>
  </si>
  <si>
    <t>Dragagem de areia média com draga hopper - capacidade da cisterna de 750 m³ - DMT de 2.700 a 3.000 m</t>
  </si>
  <si>
    <t>1917018</t>
  </si>
  <si>
    <t>Dragagem de areia média com draga hopper - capacidade da cisterna de 750 m³ - DMT de 3.000 m</t>
  </si>
  <si>
    <t>1917623</t>
  </si>
  <si>
    <t>Dragagem de cascalho com draga de sucção e recalque - bomba de 1.350 kW e cortador de 170 kW - distância de recalque de 1.100 a 1.300 m</t>
  </si>
  <si>
    <t>1917624</t>
  </si>
  <si>
    <t>Dragagem de cascalho com draga de sucção e recalque - bomba de 1.350 kW e cortador de 170 kW - distância de recalque de 1.300 a 1.500 m</t>
  </si>
  <si>
    <t>1917625</t>
  </si>
  <si>
    <t>Dragagem de cascalho com draga de sucção e recalque - bomba de 1.350 kW e cortador de 170 kW - distância de recalque de 1.500 a 1.700 m</t>
  </si>
  <si>
    <t>1917626</t>
  </si>
  <si>
    <t>Dragagem de cascalho com draga de sucção e recalque - bomba de 1.350 kW e cortador de 170 kW - distância de recalque de 1.700 a 1.900 m</t>
  </si>
  <si>
    <t>1917627</t>
  </si>
  <si>
    <t>Dragagem de cascalho com draga de sucção e recalque - bomba de 1.350 kW e cortador de 170 kW - distância de recalque de 1.900 a 2.100 m</t>
  </si>
  <si>
    <t>1917628</t>
  </si>
  <si>
    <t>Dragagem de cascalho com draga de sucção e recalque - bomba de 1.350 kW e cortador de 170 kW - distância de recalque de 2.100 a 2.300 m</t>
  </si>
  <si>
    <t>1917620</t>
  </si>
  <si>
    <t>Dragagem de cascalho com draga de sucção e recalque - bomba de 1.350 kW e cortador de 170 kW - distância de recalque de 500 a 700 m</t>
  </si>
  <si>
    <t>1917621</t>
  </si>
  <si>
    <t>Dragagem de cascalho com draga de sucção e recalque - bomba de 1.350 kW e cortador de 170 kW - distância de recalque de 700 a 900 m</t>
  </si>
  <si>
    <t>1917622</t>
  </si>
  <si>
    <t>Dragagem de cascalho com draga de sucção e recalque - bomba de 1.350 kW e cortador de 170 kW - distância de recalque de 900 a 1.100 m</t>
  </si>
  <si>
    <t>1917741</t>
  </si>
  <si>
    <t>Dragagem de cascalho com draga de sucção e recalque - bomba de 1.350 kW e cortador de 170 kW - distância de recalque de até 500 m</t>
  </si>
  <si>
    <t>1917269</t>
  </si>
  <si>
    <t>Dragagem de cascalho com draga de sucção e recalque - bomba de 294 kW e cortador de 30 kW - distância de recalque de 1.100 a 1.300 m</t>
  </si>
  <si>
    <t>1917270</t>
  </si>
  <si>
    <t>Dragagem de cascalho com draga de sucção e recalque - bomba de 294 kW e cortador de 30 kW - distância de recalque de 1.300 a 1.500 m</t>
  </si>
  <si>
    <t>1917266</t>
  </si>
  <si>
    <t>Dragagem de cascalho com draga de sucção e recalque - bomba de 294 kW e cortador de 30 kW - distância de recalque de 500 a 700 m</t>
  </si>
  <si>
    <t>1917267</t>
  </si>
  <si>
    <t>Dragagem de cascalho com draga de sucção e recalque - bomba de 294 kW e cortador de 30 kW - distância de recalque de 700 a 900 m</t>
  </si>
  <si>
    <t>1917268</t>
  </si>
  <si>
    <t>Dragagem de cascalho com draga de sucção e recalque - bomba de 294 kW e cortador de 30 kW - distância de recalque de 900 a 1.100 m</t>
  </si>
  <si>
    <t>1917728</t>
  </si>
  <si>
    <t>Dragagem de cascalho com draga de sucção e recalque - bomba de 294 kW e cortador de 30 kW - distância de recalque de até 500 m</t>
  </si>
  <si>
    <t>1917358</t>
  </si>
  <si>
    <t>Dragagem de cascalho com draga de sucção e recalque - bomba de 483 kW e cortador de 55 kW - distância de recalque até 500 m</t>
  </si>
  <si>
    <t>1917362</t>
  </si>
  <si>
    <t>Dragagem de cascalho com draga de sucção e recalque - bomba de 483 kW e cortador de 55 kW - distância de recalque de 1.100 a 1.300 m</t>
  </si>
  <si>
    <t>1917363</t>
  </si>
  <si>
    <t>Dragagem de cascalho com draga de sucção e recalque - bomba de 483 kW e cortador de 55 kW - distância de recalque de 1.300 a 1.500 m</t>
  </si>
  <si>
    <t>1917359</t>
  </si>
  <si>
    <t>Dragagem de cascalho com draga de sucção e recalque - bomba de 483 kW e cortador de 55 kW - distância de recalque de 500 a 700 m</t>
  </si>
  <si>
    <t>1917360</t>
  </si>
  <si>
    <t>Dragagem de cascalho com draga de sucção e recalque - bomba de 483 kW e cortador de 55 kW - distância de recalque de 700 a 900 m</t>
  </si>
  <si>
    <t>1917361</t>
  </si>
  <si>
    <t>Dragagem de cascalho com draga de sucção e recalque - bomba de 483 kW e cortador de 55 kW - distância de recalque de 900 a 1.100 m</t>
  </si>
  <si>
    <t>1917476</t>
  </si>
  <si>
    <t>Dragagem de cascalho com draga de sucção e recalque - bomba de 746 kW e cortador de 110 kW - distância de recalque de 1.100 a 1.300 m</t>
  </si>
  <si>
    <t>1917477</t>
  </si>
  <si>
    <t>Dragagem de cascalho com draga de sucção e recalque - bomba de 746 kW e cortador de 110 kW - distância de recalque de 1.300 a 1.500 m</t>
  </si>
  <si>
    <t>1917478</t>
  </si>
  <si>
    <t>Dragagem de cascalho com draga de sucção e recalque - bomba de 746 kW e cortador de 110 kW - distância de recalque de 1.500 a 1.700 m</t>
  </si>
  <si>
    <t>1917479</t>
  </si>
  <si>
    <t>Dragagem de cascalho com draga de sucção e recalque - bomba de 746 kW e cortador de 110 kW - distância de recalque de 1.700 a 1.900 m</t>
  </si>
  <si>
    <t>1917473</t>
  </si>
  <si>
    <t>Dragagem de cascalho com draga de sucção e recalque - bomba de 746 kW e cortador de 110 kW - distância de recalque de 500 a 700 m</t>
  </si>
  <si>
    <t>1917474</t>
  </si>
  <si>
    <t>Dragagem de cascalho com draga de sucção e recalque - bomba de 746 kW e cortador de 110 kW - distância de recalque de 700 a 900 m</t>
  </si>
  <si>
    <t>1917475</t>
  </si>
  <si>
    <t>Dragagem de cascalho com draga de sucção e recalque - bomba de 746 kW e cortador de 110 kW - distância de recalque de 900 a 1.100 m</t>
  </si>
  <si>
    <t>1917736</t>
  </si>
  <si>
    <t>Dragagem de cascalho com draga de sucção e recalque - bomba de 746 kW e cortador de 110 kW - distância de recalque de até 500 m</t>
  </si>
  <si>
    <t>1917067</t>
  </si>
  <si>
    <t>Dragagem de cascalho com draga hopper - capacidade da cisterna de 1.000 m³ - DMT de 1.500 a 1.800 m</t>
  </si>
  <si>
    <t>1917068</t>
  </si>
  <si>
    <t>Dragagem de cascalho com draga hopper - capacidade da cisterna de 1.000 m³ - DMT de 1.800 a 2.100 m</t>
  </si>
  <si>
    <t>1917069</t>
  </si>
  <si>
    <t>Dragagem de cascalho com draga hopper - capacidade da cisterna de 1.000 m³ - DMT de 2.100 a 2.400 m</t>
  </si>
  <si>
    <t>1917070</t>
  </si>
  <si>
    <t>Dragagem de cascalho com draga hopper - capacidade da cisterna de 1.000 m³ - DMT de 2.400 a 2.700 m</t>
  </si>
  <si>
    <t>1917071</t>
  </si>
  <si>
    <t>Dragagem de cascalho com draga hopper - capacidade da cisterna de 1.000 m³ - DMT de 2.700 a 3.000 m</t>
  </si>
  <si>
    <t>1917072</t>
  </si>
  <si>
    <t>Dragagem de cascalho com draga hopper - capacidade da cisterna de 1.000 m³ - DMT de 3.000 m</t>
  </si>
  <si>
    <t>1901572</t>
  </si>
  <si>
    <t>Dragagem de cascalho com draga hopper - capacidade da cisterna de 10.000 m³ - DMT de 1.500 a 1.800 m</t>
  </si>
  <si>
    <t>1901573</t>
  </si>
  <si>
    <t>Dragagem de cascalho com draga hopper - capacidade da cisterna de 10.000 m³ - DMT de 1.800 a 2.100 m</t>
  </si>
  <si>
    <t>1901574</t>
  </si>
  <si>
    <t>Dragagem de cascalho com draga hopper - capacidade da cisterna de 10.000 m³ - DMT de 2.100 a 2.400 m</t>
  </si>
  <si>
    <t>1901575</t>
  </si>
  <si>
    <t>Dragagem de cascalho com draga hopper - capacidade da cisterna de 10.000 m³ - DMT de 2.400 a 2.700 m</t>
  </si>
  <si>
    <t>1901576</t>
  </si>
  <si>
    <t>Dragagem de cascalho com draga hopper - capacidade da cisterna de 10.000 m³ - DMT de 2.700 a 3.000 m</t>
  </si>
  <si>
    <t>1901571</t>
  </si>
  <si>
    <t>Dragagem de cascalho com draga hopper - capacidade da cisterna de 10.000 m³ - DMT de 3.000 m</t>
  </si>
  <si>
    <t>1901578</t>
  </si>
  <si>
    <t>Dragagem de cascalho com draga hopper - capacidade da cisterna de 15.000 m³ - DMT de 1.500 a 1.800 m</t>
  </si>
  <si>
    <t>1901579</t>
  </si>
  <si>
    <t>Dragagem de cascalho com draga hopper - capacidade da cisterna de 15.000 m³ - DMT de 1.800 a 2.100 m</t>
  </si>
  <si>
    <t>1901580</t>
  </si>
  <si>
    <t>Dragagem de cascalho com draga hopper - capacidade da cisterna de 15.000 m³ - DMT de 2.100 a 2.400 m</t>
  </si>
  <si>
    <t>1901581</t>
  </si>
  <si>
    <t>Dragagem de cascalho com draga hopper - capacidade da cisterna de 15.000 m³ - DMT de 2.400 a 2.700 m</t>
  </si>
  <si>
    <t>1901582</t>
  </si>
  <si>
    <t>Dragagem de cascalho com draga hopper - capacidade da cisterna de 15.000 m³ - DMT de 2.700 a 3.000 m</t>
  </si>
  <si>
    <t>1901577</t>
  </si>
  <si>
    <t>Dragagem de cascalho com draga hopper - capacidade da cisterna de 15.000 m³ - DMT de 3.000 m</t>
  </si>
  <si>
    <t>1917103</t>
  </si>
  <si>
    <t>Dragagem de cascalho com draga hopper - capacidade da cisterna de 2.000 m³ - DMT de 1.500 a 1.800 m</t>
  </si>
  <si>
    <t>1917104</t>
  </si>
  <si>
    <t>Dragagem de cascalho com draga hopper - capacidade da cisterna de 2.000 m³ - DMT de 1.800 a 2.100 m</t>
  </si>
  <si>
    <t>1917105</t>
  </si>
  <si>
    <t>Dragagem de cascalho com draga hopper - capacidade da cisterna de 2.000 m³ - DMT de 2.100 a 2.400 m</t>
  </si>
  <si>
    <t>1917106</t>
  </si>
  <si>
    <t>Dragagem de cascalho com draga hopper - capacidade da cisterna de 2.000 m³ - DMT de 2.400 a 2.700 m</t>
  </si>
  <si>
    <t>1917107</t>
  </si>
  <si>
    <t>Dragagem de cascalho com draga hopper - capacidade da cisterna de 2.000 m³ - DMT de 2.700 a 3.000 m</t>
  </si>
  <si>
    <t>1917108</t>
  </si>
  <si>
    <t>Dragagem de cascalho com draga hopper - capacidade da cisterna de 2.000 m³ - DMT de 3.000 m</t>
  </si>
  <si>
    <t>1901583</t>
  </si>
  <si>
    <t>Dragagem de cascalho com draga hopper - capacidade da cisterna de 20.000 m³ - DMT de 1.500 a 1.800 m</t>
  </si>
  <si>
    <t>1901584</t>
  </si>
  <si>
    <t>Dragagem de cascalho com draga hopper - capacidade da cisterna de 20.000 m³ - DMT de 1.800 a 2.100 m</t>
  </si>
  <si>
    <t>1901585</t>
  </si>
  <si>
    <t>Dragagem de cascalho com draga hopper - capacidade da cisterna de 20.000 m³ - DMT de 2.100 a 2.400 m</t>
  </si>
  <si>
    <t>1901586</t>
  </si>
  <si>
    <t>Dragagem de cascalho com draga hopper - capacidade da cisterna de 20.000 m³ - DMT de 2.400 a 2.700 m</t>
  </si>
  <si>
    <t>1901587</t>
  </si>
  <si>
    <t>Dragagem de cascalho com draga hopper - capacidade da cisterna de 20.000 m³ - DMT de 2.700 a 3.000 m</t>
  </si>
  <si>
    <t>1901588</t>
  </si>
  <si>
    <t>Dragagem de cascalho com draga hopper - capacidade da cisterna de 20.000 m³ - DMT de 3.000 m</t>
  </si>
  <si>
    <t>1917139</t>
  </si>
  <si>
    <t>Dragagem de cascalho com draga hopper - capacidade da cisterna de 3.000 m³ - DMT de 1.500 a 1.800 m</t>
  </si>
  <si>
    <t>1917140</t>
  </si>
  <si>
    <t>Dragagem de cascalho com draga hopper - capacidade da cisterna de 3.000 m³ - DMT de 1.800 a 2.100 m</t>
  </si>
  <si>
    <t>1917141</t>
  </si>
  <si>
    <t>Dragagem de cascalho com draga hopper - capacidade da cisterna de 3.000 m³ - DMT de 2.100 a 2.400 m</t>
  </si>
  <si>
    <t>1917142</t>
  </si>
  <si>
    <t>Dragagem de cascalho com draga hopper - capacidade da cisterna de 3.000 m³ - DMT de 2.400 a 2.700 m</t>
  </si>
  <si>
    <t>1917143</t>
  </si>
  <si>
    <t>Dragagem de cascalho com draga hopper - capacidade da cisterna de 3.000 m³ - DMT de 2.700 a 3.000 m</t>
  </si>
  <si>
    <t>1917144</t>
  </si>
  <si>
    <t>Dragagem de cascalho com draga hopper - capacidade da cisterna de 3.000 m³ - DMT de 3.000 m</t>
  </si>
  <si>
    <t>1917175</t>
  </si>
  <si>
    <t>Dragagem de cascalho com draga hopper - capacidade da cisterna de 4.000 m³ - DMT de 1.500 a 1.800 m</t>
  </si>
  <si>
    <t>1917176</t>
  </si>
  <si>
    <t>Dragagem de cascalho com draga hopper - capacidade da cisterna de 4.000 m³ - DMT de 1.800 a 2.100 m</t>
  </si>
  <si>
    <t>1917177</t>
  </si>
  <si>
    <t>Dragagem de cascalho com draga hopper - capacidade da cisterna de 4.000 m³ - DMT de 2.100 a 2.400 m</t>
  </si>
  <si>
    <t>1917178</t>
  </si>
  <si>
    <t>Dragagem de cascalho com draga hopper - capacidade da cisterna de 4.000 m³ - DMT de 2.400 a 2.700 m</t>
  </si>
  <si>
    <t>1917179</t>
  </si>
  <si>
    <t>Dragagem de cascalho com draga hopper - capacidade da cisterna de 4.000 m³ - DMT de 2.700 a 3.000 m</t>
  </si>
  <si>
    <t>1917180</t>
  </si>
  <si>
    <t>Dragagem de cascalho com draga hopper - capacidade da cisterna de 4.000 m³ - DMT de 3.000 m</t>
  </si>
  <si>
    <t>1917211</t>
  </si>
  <si>
    <t>Dragagem de cascalho com draga hopper - capacidade da cisterna de 5.000 m³ - DMT de 1.500 a 1.800 m</t>
  </si>
  <si>
    <t>1917212</t>
  </si>
  <si>
    <t>Dragagem de cascalho com draga hopper - capacidade da cisterna de 5.000 m³ - DMT de 1.800 a 2.100 m</t>
  </si>
  <si>
    <t>1917213</t>
  </si>
  <si>
    <t>Dragagem de cascalho com draga hopper - capacidade da cisterna de 5.000 m³ - DMT de 2.100 a 2.400 m</t>
  </si>
  <si>
    <t>1917214</t>
  </si>
  <si>
    <t>Dragagem de cascalho com draga hopper - capacidade da cisterna de 5.000 m³ - DMT de 2.400 a 2.700 m</t>
  </si>
  <si>
    <t>1917215</t>
  </si>
  <si>
    <t>Dragagem de cascalho com draga hopper - capacidade da cisterna de 5.000 m³ - DMT de 2.700 a 3.000 m</t>
  </si>
  <si>
    <t>1917216</t>
  </si>
  <si>
    <t>Dragagem de cascalho com draga hopper - capacidade da cisterna de 5.000 m³ - DMT de 3.000 m</t>
  </si>
  <si>
    <t>1917031</t>
  </si>
  <si>
    <t>Dragagem de cascalho com draga hopper - capacidade da cisterna de 750 m³ - DMT de 1.500 a 1.800 m</t>
  </si>
  <si>
    <t>1917032</t>
  </si>
  <si>
    <t>Dragagem de cascalho com draga hopper - capacidade da cisterna de 750 m³ - DMT de 1.800 a 2.100 m</t>
  </si>
  <si>
    <t>1917033</t>
  </si>
  <si>
    <t>Dragagem de cascalho com draga hopper - capacidade da cisterna de 750 m³ - DMT de 2.100 a 2.400 m</t>
  </si>
  <si>
    <t>1917034</t>
  </si>
  <si>
    <t>Dragagem de cascalho com draga hopper - capacidade da cisterna de 750 m³ - DMT de 2.400 a 2.700 m</t>
  </si>
  <si>
    <t>1917035</t>
  </si>
  <si>
    <t>Dragagem de cascalho com draga hopper - capacidade da cisterna de 750 m³ - DMT de 2.700 a 3.000 m</t>
  </si>
  <si>
    <t>1917036</t>
  </si>
  <si>
    <t>Dragagem de cascalho com draga hopper - capacidade da cisterna de 750 m³ - DMT de 3.000 m</t>
  </si>
  <si>
    <t>1917605</t>
  </si>
  <si>
    <t>Dragagem de cascalho fino com draga de sucção e recalque - bomba de 1.350 kW e cortador de 170 kW - distância de recalque de 1.100 a 1.300 m</t>
  </si>
  <si>
    <t>1917606</t>
  </si>
  <si>
    <t>Dragagem de cascalho fino com draga de sucção e recalque - bomba de 1.350 kW e cortador de 170 kW - distância de recalque de 1.300 a 1.500 m</t>
  </si>
  <si>
    <t>1917607</t>
  </si>
  <si>
    <t>Dragagem de cascalho fino com draga de sucção e recalque - bomba de 1.350 kW e cortador de 170 kW - distância de recalque de 1.500 a 1.700 m</t>
  </si>
  <si>
    <t>1917608</t>
  </si>
  <si>
    <t>Dragagem de cascalho fino com draga de sucção e recalque - bomba de 1.350 kW e cortador de 170 kW - distância de recalque de 1.700 a 1.900 m</t>
  </si>
  <si>
    <t>1917609</t>
  </si>
  <si>
    <t>Dragagem de cascalho fino com draga de sucção e recalque - bomba de 1.350 kW e cortador de 170 kW - distância de recalque de 1.900 a 2.100 m</t>
  </si>
  <si>
    <t>1917610</t>
  </si>
  <si>
    <t>Dragagem de cascalho fino com draga de sucção e recalque - bomba de 1.350 kW e cortador de 170 kW - distância de recalque de 2.100 a 2.300 m</t>
  </si>
  <si>
    <t>1917611</t>
  </si>
  <si>
    <t>Dragagem de cascalho fino com draga de sucção e recalque - bomba de 1.350 kW e cortador de 170 kW - distância de recalque de 2.300 a 2.500 m</t>
  </si>
  <si>
    <t>1917612</t>
  </si>
  <si>
    <t>Dragagem de cascalho fino com draga de sucção e recalque - bomba de 1.350 kW e cortador de 170 kW - distância de recalque de 2.500 a 2.700 m</t>
  </si>
  <si>
    <t>1917613</t>
  </si>
  <si>
    <t>Dragagem de cascalho fino com draga de sucção e recalque - bomba de 1.350 kW e cortador de 170 kW - distância de recalque de 2.700 a 2.900 m</t>
  </si>
  <si>
    <t>1917614</t>
  </si>
  <si>
    <t>Dragagem de cascalho fino com draga de sucção e recalque - bomba de 1.350 kW e cortador de 170 kW - distância de recalque de 2.900 a 3.100 m</t>
  </si>
  <si>
    <t>1917615</t>
  </si>
  <si>
    <t>Dragagem de cascalho fino com draga de sucção e recalque - bomba de 1.350 kW e cortador de 170 kW - distância de recalque de 3.100 a 3.300 m</t>
  </si>
  <si>
    <t>1917616</t>
  </si>
  <si>
    <t>Dragagem de cascalho fino com draga de sucção e recalque - bomba de 1.350 kW e cortador de 170 kW - distância de recalque de 3.300 a 3.500 m</t>
  </si>
  <si>
    <t>1917617</t>
  </si>
  <si>
    <t>Dragagem de cascalho fino com draga de sucção e recalque - bomba de 1.350 kW e cortador de 170 kW - distância de recalque de 3.500 a 3.700 m</t>
  </si>
  <si>
    <t>1917618</t>
  </si>
  <si>
    <t>Dragagem de cascalho fino com draga de sucção e recalque - bomba de 1.350 kW e cortador de 170 kW - distância de recalque de 3.700 a 3.900 m</t>
  </si>
  <si>
    <t>1917619</t>
  </si>
  <si>
    <t>Dragagem de cascalho fino com draga de sucção e recalque - bomba de 1.350 kW e cortador de 170 kW - distância de recalque de 3.900 a 4.100 m</t>
  </si>
  <si>
    <t>1917602</t>
  </si>
  <si>
    <t>Dragagem de cascalho fino com draga de sucção e recalque - bomba de 1.350 kW e cortador de 170 kW - distância de recalque de 500 a 700 m</t>
  </si>
  <si>
    <t>1917603</t>
  </si>
  <si>
    <t>Dragagem de cascalho fino com draga de sucção e recalque - bomba de 1.350 kW e cortador de 170 kW - distância de recalque de 700 a 900 m</t>
  </si>
  <si>
    <t>1917604</t>
  </si>
  <si>
    <t>Dragagem de cascalho fino com draga de sucção e recalque - bomba de 1.350 kW e cortador de 170 kW - distância de recalque de 900 a 1.100 m</t>
  </si>
  <si>
    <t>1917740</t>
  </si>
  <si>
    <t>Dragagem de cascalho fino com draga de sucção e recalque - bomba de 1.350 kW e cortador de 170 kW - distância de recalque de até 500 m</t>
  </si>
  <si>
    <t>1917263</t>
  </si>
  <si>
    <t>Dragagem de cascalho fino com draga de sucção e recalque - bomba de 294 kW e cortador de 30 kW - distância de recalque de 1.100 a 1.300 m</t>
  </si>
  <si>
    <t>1917264</t>
  </si>
  <si>
    <t>Dragagem de cascalho fino com draga de sucção e recalque - bomba de 294 kW e cortador de 30 kW - distância de recalque de 1.300 a 1.500 m</t>
  </si>
  <si>
    <t>1917265</t>
  </si>
  <si>
    <t>Dragagem de cascalho fino com draga de sucção e recalque - bomba de 294 kW e cortador de 30 kW - distância de recalque de 1.500 a 1.700 m</t>
  </si>
  <si>
    <t>1917260</t>
  </si>
  <si>
    <t>Dragagem de cascalho fino com draga de sucção e recalque - bomba de 294 kW e cortador de 30 kW - distância de recalque de 500 a 700 m</t>
  </si>
  <si>
    <t>1917261</t>
  </si>
  <si>
    <t>Dragagem de cascalho fino com draga de sucção e recalque - bomba de 294 kW e cortador de 30 kW - distância de recalque de 700 a 900 m</t>
  </si>
  <si>
    <t>1917262</t>
  </si>
  <si>
    <t>Dragagem de cascalho fino com draga de sucção e recalque - bomba de 294 kW e cortador de 30 kW - distância de recalque de 900 a 1.100 m</t>
  </si>
  <si>
    <t>1917727</t>
  </si>
  <si>
    <t>Dragagem de cascalho fino com draga de sucção e recalque - bomba de 294 kW e cortador de 30 kW - distância de recalque de até 500 m</t>
  </si>
  <si>
    <t>1917351</t>
  </si>
  <si>
    <t>Dragagem de cascalho fino com draga de sucção e recalque - bomba de 483 kW e cortador de 55 kW - distância de recalque de 1.100 a 1.300 m</t>
  </si>
  <si>
    <t>1917352</t>
  </si>
  <si>
    <t>Dragagem de cascalho fino com draga de sucção e recalque - bomba de 483 kW e cortador de 55 kW - distância de recalque de 1.300 a 1.500 m</t>
  </si>
  <si>
    <t>1917353</t>
  </si>
  <si>
    <t>Dragagem de cascalho fino com draga de sucção e recalque - bomba de 483 kW e cortador de 55 kW - distância de recalque de 1.500 a 1.700 m</t>
  </si>
  <si>
    <t>1917354</t>
  </si>
  <si>
    <t>Dragagem de cascalho fino com draga de sucção e recalque - bomba de 483 kW e cortador de 55 kW - distância de recalque de 1.700 a 1.900 m</t>
  </si>
  <si>
    <t>1917355</t>
  </si>
  <si>
    <t>Dragagem de cascalho fino com draga de sucção e recalque - bomba de 483 kW e cortador de 55 kW - distância de recalque de 1.900 a 2.100 m</t>
  </si>
  <si>
    <t>1917356</t>
  </si>
  <si>
    <t>Dragagem de cascalho fino com draga de sucção e recalque - bomba de 483 kW e cortador de 55 kW - distância de recalque de 2.100 a 2.300 m</t>
  </si>
  <si>
    <t>1917357</t>
  </si>
  <si>
    <t>Dragagem de cascalho fino com draga de sucção e recalque - bomba de 483 kW e cortador de 55 kW - distância de recalque de 2.300 a 2.500 m</t>
  </si>
  <si>
    <t>1917348</t>
  </si>
  <si>
    <t>Dragagem de cascalho fino com draga de sucção e recalque - bomba de 483 kW e cortador de 55 kW - distância de recalque de 500 a 700 m</t>
  </si>
  <si>
    <t>1917349</t>
  </si>
  <si>
    <t>Dragagem de cascalho fino com draga de sucção e recalque - bomba de 483 kW e cortador de 55 kW - distância de recalque de 700 a 900 m</t>
  </si>
  <si>
    <t>1917350</t>
  </si>
  <si>
    <t>Dragagem de cascalho fino com draga de sucção e recalque - bomba de 483 kW e cortador de 55 kW - distância de recalque de 900 a 1.100 m</t>
  </si>
  <si>
    <t>1917731</t>
  </si>
  <si>
    <t>Dragagem de cascalho fino com draga de sucção e recalque - bomba de 483 kW e cortador de 55 kW - distância de recalque de até 500 m</t>
  </si>
  <si>
    <t>1917463</t>
  </si>
  <si>
    <t>Dragagem de cascalho fino com draga de sucção e recalque - bomba de 746 kW e cortador de 110 kW - distância de recalque de 1.100 a 1.300 m</t>
  </si>
  <si>
    <t>1917464</t>
  </si>
  <si>
    <t>Dragagem de cascalho fino com draga de sucção e recalque - bomba de 746 kW e cortador de 110 kW - distância de recalque de 1.300 a 1.500 m</t>
  </si>
  <si>
    <t>1917465</t>
  </si>
  <si>
    <t>Dragagem de cascalho fino com draga de sucção e recalque - bomba de 746 kW e cortador de 110 kW - distância de recalque de 1.500 a 1.700 m</t>
  </si>
  <si>
    <t>1917466</t>
  </si>
  <si>
    <t>Dragagem de cascalho fino com draga de sucção e recalque - bomba de 746 kW e cortador de 110 kW - distância de recalque de 1.700 a 1.900 m</t>
  </si>
  <si>
    <t>1917467</t>
  </si>
  <si>
    <t>Dragagem de cascalho fino com draga de sucção e recalque - bomba de 746 kW e cortador de 110 kW - distância de recalque de 1.900 a 2.100 m</t>
  </si>
  <si>
    <t>1917468</t>
  </si>
  <si>
    <t>Dragagem de cascalho fino com draga de sucção e recalque - bomba de 746 kW e cortador de 110 kW - distância de recalque de 2.100 a 2.300 m</t>
  </si>
  <si>
    <t>1917469</t>
  </si>
  <si>
    <t>Dragagem de cascalho fino com draga de sucção e recalque - bomba de 746 kW e cortador de 110 kW - distância de recalque de 2.300 a 2.500 m</t>
  </si>
  <si>
    <t>1917470</t>
  </si>
  <si>
    <t>Dragagem de cascalho fino com draga de sucção e recalque - bomba de 746 kW e cortador de 110 kW - distância de recalque de 2.500 a 2.700 m</t>
  </si>
  <si>
    <t>1917471</t>
  </si>
  <si>
    <t>Dragagem de cascalho fino com draga de sucção e recalque - bomba de 746 kW e cortador de 110 kW - distância de recalque de 2.700 a 2.900 m</t>
  </si>
  <si>
    <t>1917472</t>
  </si>
  <si>
    <t>Dragagem de cascalho fino com draga de sucção e recalque - bomba de 746 kW e cortador de 110 kW - distância de recalque de 2.900 a 3.100 m</t>
  </si>
  <si>
    <t>1917460</t>
  </si>
  <si>
    <t>Dragagem de cascalho fino com draga de sucção e recalque - bomba de 746 kW e cortador de 110 kW - distância de recalque de 500 a 700 m</t>
  </si>
  <si>
    <t>1917461</t>
  </si>
  <si>
    <t>Dragagem de cascalho fino com draga de sucção e recalque - bomba de 746 kW e cortador de 110 kW - distância de recalque de 700 a 900 m</t>
  </si>
  <si>
    <t>1917462</t>
  </si>
  <si>
    <t>Dragagem de cascalho fino com draga de sucção e recalque - bomba de 746 kW e cortador de 110 kW - distância de recalque de 900 a 1.100 m</t>
  </si>
  <si>
    <t>1917735</t>
  </si>
  <si>
    <t>Dragagem de cascalho fino com draga de sucção e recalque - bomba de 746 kW e cortador de 110 kW - distância de recalque de até 500 m</t>
  </si>
  <si>
    <t>1917061</t>
  </si>
  <si>
    <t>Dragagem de cascalho fino com draga hopper - capacidade da cisterna de 1.000 m³ - DMT de 1.500 a 1.800 m</t>
  </si>
  <si>
    <t>1917062</t>
  </si>
  <si>
    <t>Dragagem de cascalho fino com draga hopper - capacidade da cisterna de 1.000 m³ - DMT de 1.800 a 2.100 m</t>
  </si>
  <si>
    <t>1917063</t>
  </si>
  <si>
    <t>Dragagem de cascalho fino com draga hopper - capacidade da cisterna de 1.000 m³ - DMT de 2.100 a 2.400 m</t>
  </si>
  <si>
    <t>1917064</t>
  </si>
  <si>
    <t>Dragagem de cascalho fino com draga hopper - capacidade da cisterna de 1.000 m³ - DMT de 2.400 a 2.700 m</t>
  </si>
  <si>
    <t>1917065</t>
  </si>
  <si>
    <t>Dragagem de cascalho fino com draga hopper - capacidade da cisterna de 1.000 m³ - DMT de 2.700 a 3.000 m</t>
  </si>
  <si>
    <t>1917066</t>
  </si>
  <si>
    <t>Dragagem de cascalho fino com draga hopper - capacidade da cisterna de 1.000 m³ - DMT de 3.000 m</t>
  </si>
  <si>
    <t>1901590</t>
  </si>
  <si>
    <t>Dragagem de cascalho fino com draga hopper - capacidade da cisterna de 10.000 m³ - DMT de 1.500 a 1.800 m</t>
  </si>
  <si>
    <t>1901591</t>
  </si>
  <si>
    <t>Dragagem de cascalho fino com draga hopper - capacidade da cisterna de 10.000 m³ - DMT de 1.800 a 2.100 m</t>
  </si>
  <si>
    <t>1901592</t>
  </si>
  <si>
    <t>Dragagem de cascalho fino com draga hopper - capacidade da cisterna de 10.000 m³ - DMT de 2.100 a 2.400 m</t>
  </si>
  <si>
    <t>1901593</t>
  </si>
  <si>
    <t>Dragagem de cascalho fino com draga hopper - capacidade da cisterna de 10.000 m³ - DMT de 2.400 a 2.700 m</t>
  </si>
  <si>
    <t>1901594</t>
  </si>
  <si>
    <t>Dragagem de cascalho fino com draga hopper - capacidade da cisterna de 10.000 m³ - DMT de 2.700 a 3.000 m</t>
  </si>
  <si>
    <t>1901589</t>
  </si>
  <si>
    <t>Dragagem de cascalho fino com draga hopper - capacidade da cisterna de 10.000 m³ - DMT de 3.000 m</t>
  </si>
  <si>
    <t>1901596</t>
  </si>
  <si>
    <t>Dragagem de cascalho fino com draga hopper - capacidade da cisterna de 15.000 m³ - DMT de 1.500 a 1.800 m</t>
  </si>
  <si>
    <t>1901597</t>
  </si>
  <si>
    <t>Dragagem de cascalho fino com draga hopper - capacidade da cisterna de 15.000 m³ - DMT de 1.800 a 2.100 m</t>
  </si>
  <si>
    <t>1901598</t>
  </si>
  <si>
    <t>Dragagem de cascalho fino com draga hopper - capacidade da cisterna de 15.000 m³ - DMT de 2.100 a 2.400 m</t>
  </si>
  <si>
    <t>1901599</t>
  </si>
  <si>
    <t>Dragagem de cascalho fino com draga hopper - capacidade da cisterna de 15.000 m³ - DMT de 2.400 a 2.700 m</t>
  </si>
  <si>
    <t>1901600</t>
  </si>
  <si>
    <t>Dragagem de cascalho fino com draga hopper - capacidade da cisterna de 15.000 m³ - DMT de 2.700 a 3.000 m</t>
  </si>
  <si>
    <t>1901595</t>
  </si>
  <si>
    <t>Dragagem de cascalho fino com draga hopper - capacidade da cisterna de 15.000 m³ - DMT de 3.000 m</t>
  </si>
  <si>
    <t>1917097</t>
  </si>
  <si>
    <t>Dragagem de cascalho fino com draga hopper - capacidade da cisterna de 2.000 m³ - DMT de 1.500 a 1.800 m</t>
  </si>
  <si>
    <t>1917098</t>
  </si>
  <si>
    <t>Dragagem de cascalho fino com draga hopper - capacidade da cisterna de 2.000 m³ - DMT de 1.800 a 2.100 m</t>
  </si>
  <si>
    <t>1917099</t>
  </si>
  <si>
    <t>Dragagem de cascalho fino com draga hopper - capacidade da cisterna de 2.000 m³ - DMT de 2.100 a 2.400 m</t>
  </si>
  <si>
    <t>1917100</t>
  </si>
  <si>
    <t>Dragagem de cascalho fino com draga hopper - capacidade da cisterna de 2.000 m³ - DMT de 2.400 a 2.700 m</t>
  </si>
  <si>
    <t>1917101</t>
  </si>
  <si>
    <t>Dragagem de cascalho fino com draga hopper - capacidade da cisterna de 2.000 m³ - DMT de 2.700 a 3.000 m</t>
  </si>
  <si>
    <t>1917102</t>
  </si>
  <si>
    <t>Dragagem de cascalho fino com draga hopper - capacidade da cisterna de 2.000 m³ - DMT de 3.000 m</t>
  </si>
  <si>
    <t>1901601</t>
  </si>
  <si>
    <t>Dragagem de cascalho fino com draga hopper - capacidade da cisterna de 20.000 m³ - DMT de 1.500 a 1.800 m</t>
  </si>
  <si>
    <t>1901602</t>
  </si>
  <si>
    <t>Dragagem de cascalho fino com draga hopper - capacidade da cisterna de 20.000 m³ - DMT de 1.800 a 2.100 m</t>
  </si>
  <si>
    <t>1901603</t>
  </si>
  <si>
    <t>Dragagem de cascalho fino com draga hopper - capacidade da cisterna de 20.000 m³ - DMT de 2.100 a 2.400 m</t>
  </si>
  <si>
    <t>1901604</t>
  </si>
  <si>
    <t>Dragagem de cascalho fino com draga hopper - capacidade da cisterna de 20.000 m³ - DMT de 2.400 a 2.700 m</t>
  </si>
  <si>
    <t>1901605</t>
  </si>
  <si>
    <t>Dragagem de cascalho fino com draga hopper - capacidade da cisterna de 20.000 m³ - DMT de 2.700 a 3.000 m</t>
  </si>
  <si>
    <t>1901606</t>
  </si>
  <si>
    <t>Dragagem de cascalho fino com draga hopper - capacidade da cisterna de 20.000 m³ - DMT de 3.000 m</t>
  </si>
  <si>
    <t>1917133</t>
  </si>
  <si>
    <t>Dragagem de cascalho fino com draga hopper - capacidade da cisterna de 3.000 m³ - DMT de 1.500 a 1.800 m</t>
  </si>
  <si>
    <t>1917134</t>
  </si>
  <si>
    <t>Dragagem de cascalho fino com draga hopper - capacidade da cisterna de 3.000 m³ - DMT de 1.800 a 2.100 m</t>
  </si>
  <si>
    <t>1917135</t>
  </si>
  <si>
    <t>Dragagem de cascalho fino com draga hopper - capacidade da cisterna de 3.000 m³ - DMT de 2.100 a 2.400 m</t>
  </si>
  <si>
    <t>1917136</t>
  </si>
  <si>
    <t>Dragagem de cascalho fino com draga hopper - capacidade da cisterna de 3.000 m³ - DMT de 2.400 a 2.700 m</t>
  </si>
  <si>
    <t>1917137</t>
  </si>
  <si>
    <t>Dragagem de cascalho fino com draga hopper - capacidade da cisterna de 3.000 m³ - DMT de 2.700 a 3.000 m</t>
  </si>
  <si>
    <t>1917138</t>
  </si>
  <si>
    <t>Dragagem de cascalho fino com draga hopper - capacidade da cisterna de 3.000 m³ - DMT de 3.000 m</t>
  </si>
  <si>
    <t>1917169</t>
  </si>
  <si>
    <t>Dragagem de cascalho fino com draga hopper - capacidade da cisterna de 4.000 m³ - DMT de 1.500 a 1.800 m</t>
  </si>
  <si>
    <t>1917170</t>
  </si>
  <si>
    <t>Dragagem de cascalho fino com draga hopper - capacidade da cisterna de 4.000 m³ - DMT de 1.800 a 2.100 m</t>
  </si>
  <si>
    <t>1917171</t>
  </si>
  <si>
    <t>Dragagem de cascalho fino com draga hopper - capacidade da cisterna de 4.000 m³ - DMT de 2.100 a 2.400 m</t>
  </si>
  <si>
    <t>1917172</t>
  </si>
  <si>
    <t>Dragagem de cascalho fino com draga hopper - capacidade da cisterna de 4.000 m³ - DMT de 2.400 a 2.700 m</t>
  </si>
  <si>
    <t>1917173</t>
  </si>
  <si>
    <t>Dragagem de cascalho fino com draga hopper - capacidade da cisterna de 4.000 m³ - DMT de 2.700 a 3.000 m</t>
  </si>
  <si>
    <t>1917174</t>
  </si>
  <si>
    <t>Dragagem de cascalho fino com draga hopper - capacidade da cisterna de 4.000 m³ - DMT de 3.000 m</t>
  </si>
  <si>
    <t>1917205</t>
  </si>
  <si>
    <t>Dragagem de cascalho fino com draga hopper - capacidade da cisterna de 5.000 m³ - DMT de 1.500 a 1.800 m</t>
  </si>
  <si>
    <t>1917206</t>
  </si>
  <si>
    <t>Dragagem de cascalho fino com draga hopper - capacidade da cisterna de 5.000 m³ - DMT de 1.800 a 2.100 m</t>
  </si>
  <si>
    <t>1917207</t>
  </si>
  <si>
    <t>Dragagem de cascalho fino com draga hopper - capacidade da cisterna de 5.000 m³ - DMT de 2.100 a 2.400 m</t>
  </si>
  <si>
    <t>1917208</t>
  </si>
  <si>
    <t>Dragagem de cascalho fino com draga hopper - capacidade da cisterna de 5.000 m³ - DMT de 2.400 a 2.700 m</t>
  </si>
  <si>
    <t>1917209</t>
  </si>
  <si>
    <t>Dragagem de cascalho fino com draga hopper - capacidade da cisterna de 5.000 m³ - DMT de 2.700 a 3.000 m</t>
  </si>
  <si>
    <t>1917210</t>
  </si>
  <si>
    <t>Dragagem de cascalho fino com draga hopper - capacidade da cisterna de 5.000 m³ - DMT de 3.000 m</t>
  </si>
  <si>
    <t>1917025</t>
  </si>
  <si>
    <t>Dragagem de cascalho fino com draga hopper - capacidade da cisterna de 750 m³ - DMT de 1.500 a 1.800 m</t>
  </si>
  <si>
    <t>1917026</t>
  </si>
  <si>
    <t>Dragagem de cascalho fino com draga hopper - capacidade da cisterna de 750 m³ - DMT de 1.800 a 2.100 m</t>
  </si>
  <si>
    <t>1917027</t>
  </si>
  <si>
    <t>Dragagem de cascalho fino com draga hopper - capacidade da cisterna de 750 m³ - DMT de 2.100 a 2.400 m</t>
  </si>
  <si>
    <t>1917028</t>
  </si>
  <si>
    <t>Dragagem de cascalho fino com draga hopper - capacidade da cisterna de 750 m³ - DMT de 2.400 a 2.700 m</t>
  </si>
  <si>
    <t>1917029</t>
  </si>
  <si>
    <t>Dragagem de cascalho fino com draga hopper - capacidade da cisterna de 750 m³ - DMT de 2.700 a 3.000 m</t>
  </si>
  <si>
    <t>1917030</t>
  </si>
  <si>
    <t>Dragagem de cascalho fino com draga hopper - capacidade da cisterna de 750 m³ - DMT de 3.000 m</t>
  </si>
  <si>
    <t>1917629</t>
  </si>
  <si>
    <t>Dragagem de material de 1ª categoria com clamshell sobre pontão flutuante - capacidade da caçamba de 4,6 m³ - transporte com batelão sem propulsão com capacidade de 100 t - DMT 0 a 300 m</t>
  </si>
  <si>
    <t>1917633</t>
  </si>
  <si>
    <t>Dragagem de material de 1ª categoria com clamshell sobre pontão flutuante - capacidade da caçamba de 4,6 m³ - transporte com batelão sem propulsão com capacidade de 100 t - DMT 1.200 a 1.500 m</t>
  </si>
  <si>
    <t>1917634</t>
  </si>
  <si>
    <t>Dragagem de material de 1ª categoria com clamshell sobre pontão flutuante - capacidade da caçamba de 4,6 m³ - transporte com batelão sem propulsão com capacidade de 100 t - DMT 1.500 a 1.800 m</t>
  </si>
  <si>
    <t>1917635</t>
  </si>
  <si>
    <t>Dragagem de material de 1ª categoria com clamshell sobre pontão flutuante - capacidade da caçamba de 4,6 m³ - transporte com batelão sem propulsão com capacidade de 100 t - DMT 1.800 a 2.100 m</t>
  </si>
  <si>
    <t>1917636</t>
  </si>
  <si>
    <t>Dragagem de material de 1ª categoria com clamshell sobre pontão flutuante - capacidade da caçamba de 4,6 m³ - transporte com batelão sem propulsão com capacidade de 100 t - DMT 2.100 a 2.400 m</t>
  </si>
  <si>
    <t>1917637</t>
  </si>
  <si>
    <t>Dragagem de material de 1ª categoria com clamshell sobre pontão flutuante - capacidade da caçamba de 4,6 m³ - transporte com batelão sem propulsão com capacidade de 100 t - DMT 2.400 a 2.700 m</t>
  </si>
  <si>
    <t>1917638</t>
  </si>
  <si>
    <t>Dragagem de material de 1ª categoria com clamshell sobre pontão flutuante - capacidade da caçamba de 4,6 m³ - transporte com batelão sem propulsão com capacidade de 100 t - DMT 2.700 a 3.000 m</t>
  </si>
  <si>
    <t>1917630</t>
  </si>
  <si>
    <t>Dragagem de material de 1ª categoria com clamshell sobre pontão flutuante - capacidade da caçamba de 4,6 m³ - transporte com batelão sem propulsão com capacidade de 100 t - DMT 300 a 600 m</t>
  </si>
  <si>
    <t>1917631</t>
  </si>
  <si>
    <t>Dragagem de material de 1ª categoria com clamshell sobre pontão flutuante - capacidade da caçamba de 4,6 m³ - transporte com batelão sem propulsão com capacidade de 100 t - DMT 600 a 900 m</t>
  </si>
  <si>
    <t>1917632</t>
  </si>
  <si>
    <t>Dragagem de material de 1ª categoria com clamshell sobre pontão flutuante - capacidade da caçamba de 4,6 m³ - transporte com batelão sem propulsão com capacidade de 100 t - DMT 900 a 1.200 m</t>
  </si>
  <si>
    <t>1917639</t>
  </si>
  <si>
    <t>Dragagem de material de 1ª categoria com clamshell sobre pontão flutuante - capacidade da caçamba de 4,6 m³ - transporte com batelão sem propulsão com capacidade de 100 t - DMT de 3.000 m</t>
  </si>
  <si>
    <t>1917646</t>
  </si>
  <si>
    <t>Dragagem de material de 1ª categoria com dragline - caçamba de 2,1 m³ - caminho de serviço em leito natural - DMT 1.000 a 1.200 m - com caminhão de 14 m³ e carregadeira</t>
  </si>
  <si>
    <t>1917647</t>
  </si>
  <si>
    <t>Dragagem de material de 1ª categoria com dragline - caçamba de 2,1 m³ - caminho de serviço em leito natural - DMT 1.200 a 1.400 m - com caminhão de 14 m³ e carregadeira</t>
  </si>
  <si>
    <t>1917648</t>
  </si>
  <si>
    <t>Dragagem de material de 1ª categoria com dragline - caçamba de 2,1 m³ - caminho de serviço em leito natural - DMT 1.400 a 1.600 m - com caminhão de 14 m³ e carregadeira</t>
  </si>
  <si>
    <t>1917649</t>
  </si>
  <si>
    <t>Dragagem de material de 1ª categoria com dragline - caçamba de 2,1 m³ - caminho de serviço em leito natural - DMT 1.600 a 1.800 m - com caminhão de 14 m³ e carregadeira</t>
  </si>
  <si>
    <t>1917650</t>
  </si>
  <si>
    <t>Dragagem de material de 1ª categoria com dragline - caçamba de 2,1 m³ - caminho de serviço em leito natural - DMT 1.800 a 2.000 m - com caminhão de 14 m³ e carregadeira</t>
  </si>
  <si>
    <t>1917651</t>
  </si>
  <si>
    <t>Dragagem de material de 1ª categoria com dragline - caçamba de 2,1 m³ - caminho de serviço em leito natural - DMT 2.000 a 2.500 m - com caminhão de 14 m³ e carregadeira</t>
  </si>
  <si>
    <t>1917652</t>
  </si>
  <si>
    <t>Dragagem de material de 1ª categoria com dragline - caçamba de 2,1 m³ - caminho de serviço em leito natural - DMT 2.500 a 3.000 m - com caminhão de 14 m³ e carregadeira</t>
  </si>
  <si>
    <t>1917642</t>
  </si>
  <si>
    <t>Dragagem de material de 1ª categoria com dragline - caçamba de 2,1 m³ - caminho de serviço em leito natural - DMT 200 a 400 m - com caminhão de 14 m³ e carregadeira</t>
  </si>
  <si>
    <t>1917643</t>
  </si>
  <si>
    <t>Dragagem de material de 1ª categoria com dragline - caçamba de 2,1 m³ - caminho de serviço em leito natural - DMT 400 a 600 m - com caminhão de 14 m³ e carregadeira</t>
  </si>
  <si>
    <t>1917641</t>
  </si>
  <si>
    <t>Dragagem de material de 1ª categoria com dragline - caçamba de 2,1 m³ - caminho de serviço em leito natural - DMT 50 a 200 m - com caminhão de 14 m³ e carregadeira</t>
  </si>
  <si>
    <t>1917644</t>
  </si>
  <si>
    <t>Dragagem de material de 1ª categoria com dragline - caçamba de 2,1 m³ - caminho de serviço em leito natural - DMT 600 a 800 m - com caminhão de 14 m³ e carregadeira</t>
  </si>
  <si>
    <t>1917645</t>
  </si>
  <si>
    <t>Dragagem de material de 1ª categoria com dragline - caçamba de 2,1 m³ - caminho de serviço em leito natural - DMT 800 a 1.000 m - com caminhão de 14 m³ e carregadeira</t>
  </si>
  <si>
    <t>1917653</t>
  </si>
  <si>
    <t>Dragagem de material de 1ª categoria com dragline - caçamba de 2,1 m³ - caminho de serviço em leito natural - DMT de 3.000 m - com caminhão de 14 m³ e carregadeira</t>
  </si>
  <si>
    <t>1917659</t>
  </si>
  <si>
    <t>Dragagem de material de 1ª categoria com dragline - caçamba de 2,1 m³ - caminho de serviço em revestimento primário - DMT 1.000 a 1.200 m - com caminhão de 14 m³ e carregadeira</t>
  </si>
  <si>
    <t>1917660</t>
  </si>
  <si>
    <t>Dragagem de material de 1ª categoria com dragline - caçamba de 2,1 m³ - caminho de serviço em revestimento primário - DMT 1.200 a 1.400 m - com caminhão de 14 m³ e carregadeira</t>
  </si>
  <si>
    <t>1917661</t>
  </si>
  <si>
    <t>Dragagem de material de 1ª categoria com dragline - caçamba de 2,1 m³ - caminho de serviço em revestimento primário - DMT 1.400 a 1.600 m - com caminhão de 14 m³ e carregadeira</t>
  </si>
  <si>
    <t>1917662</t>
  </si>
  <si>
    <t>Dragagem de material de 1ª categoria com dragline - caçamba de 2,1 m³ - caminho de serviço em revestimento primário - DMT 1.600 a 1.800 m - com caminhão de 14 m³ e carregadeira</t>
  </si>
  <si>
    <t>1917663</t>
  </si>
  <si>
    <t>Dragagem de material de 1ª categoria com dragline - caçamba de 2,1 m³ - caminho de serviço em revestimento primário - DMT 1.800 a 2.000 m - com caminhão de 14 m³ e carregadeira</t>
  </si>
  <si>
    <t>1917664</t>
  </si>
  <si>
    <t>Dragagem de material de 1ª categoria com dragline - caçamba de 2,1 m³ - caminho de serviço em revestimento primário - DMT 2.000 a 2.500 m - com caminhão de 14 m³ e carregadeira</t>
  </si>
  <si>
    <t>1917665</t>
  </si>
  <si>
    <t>Dragagem de material de 1ª categoria com dragline - caçamba de 2,1 m³ - caminho de serviço em revestimento primário - DMT 2.500 a 3.000 m - com caminhão de 14 m³ e carregadeira</t>
  </si>
  <si>
    <t>1917655</t>
  </si>
  <si>
    <t>Dragagem de material de 1ª categoria com dragline - caçamba de 2,1 m³ - caminho de serviço em revestimento primário - DMT 200 a 400 m - com caminhão de 14 m³ e carregadeira</t>
  </si>
  <si>
    <t>1917656</t>
  </si>
  <si>
    <t>Dragagem de material de 1ª categoria com dragline - caçamba de 2,1 m³ - caminho de serviço em revestimento primário - DMT 400 a 600 m - com caminhão de 14 m³ e carregadeira</t>
  </si>
  <si>
    <t>1917654</t>
  </si>
  <si>
    <t>Dragagem de material de 1ª categoria com dragline - caçamba de 2,1 m³ - caminho de serviço em revestimento primário - DMT 50 a 200 m - com caminhão de 14 m³ e carregadeira</t>
  </si>
  <si>
    <t>1917657</t>
  </si>
  <si>
    <t>Dragagem de material de 1ª categoria com dragline - caçamba de 2,1 m³ - caminho de serviço em revestimento primário - DMT 600 a 800 m - com caminhão de 14 m³ e carregadeira</t>
  </si>
  <si>
    <t>1917658</t>
  </si>
  <si>
    <t>Dragagem de material de 1ª categoria com dragline - caçamba de 2,1 m³ - caminho de serviço em revestimento primário - DMT 800 a 1.000 m - com caminhão de 14 m³ e carregadeira</t>
  </si>
  <si>
    <t>1917666</t>
  </si>
  <si>
    <t>Dragagem de material de 1ª categoria com dragline - caçamba de 2,1 m³ - caminho de serviço em revestimento primário - DMT de 3.000 m - com caminhão de 14 m³ e carregadeira</t>
  </si>
  <si>
    <t>1917672</t>
  </si>
  <si>
    <t>Dragagem de material de 1ª categoria com dragline - caçamba de 2,1 m³ - caminho de serviço pavimentado - DMT 1.000 a 1.200 m - com caminhão de 14 m³ e carregadeira</t>
  </si>
  <si>
    <t>1917673</t>
  </si>
  <si>
    <t>Dragagem de material de 1ª categoria com dragline - caçamba de 2,1 m³ - caminho de serviço pavimentado - DMT 1.200 a 1.400 m - com caminhão de 14 m³ e carregadeira</t>
  </si>
  <si>
    <t>1917674</t>
  </si>
  <si>
    <t>Dragagem de material de 1ª categoria com dragline - caçamba de 2,1 m³ - caminho de serviço pavimentado - DMT 1.400 a 1.600 m - com caminhão de 14 m³ e carregadeira</t>
  </si>
  <si>
    <t>1917675</t>
  </si>
  <si>
    <t>Dragagem de material de 1ª categoria com dragline - caçamba de 2,1 m³ - caminho de serviço pavimentado - DMT 1.600 a 1.800 m - com caminhão de 14 m³ e carregadeira</t>
  </si>
  <si>
    <t>1917676</t>
  </si>
  <si>
    <t>Dragagem de material de 1ª categoria com dragline - caçamba de 2,1 m³ - caminho de serviço pavimentado - DMT 1.800 a 2.000 m - com caminhão de 14 m³ e carregadeira</t>
  </si>
  <si>
    <t>1917677</t>
  </si>
  <si>
    <t>Dragagem de material de 1ª categoria com dragline - caçamba de 2,1 m³ - caminho de serviço pavimentado - DMT 2.000 a 2.500 m - com caminhão de 14 m³ e carregadeira</t>
  </si>
  <si>
    <t>1917678</t>
  </si>
  <si>
    <t>Dragagem de material de 1ª categoria com dragline - caçamba de 2,1 m³ - caminho de serviço pavimentado - DMT 2.500 a 3.000 m - com caminhão de 14 m³ e carregadeira</t>
  </si>
  <si>
    <t>1917668</t>
  </si>
  <si>
    <t>Dragagem de material de 1ª categoria com dragline - caçamba de 2,1 m³ - caminho de serviço pavimentado - DMT 200 a 400 m - com caminhão de 14 m³ e carregadeira</t>
  </si>
  <si>
    <t>1917669</t>
  </si>
  <si>
    <t>Dragagem de material de 1ª categoria com dragline - caçamba de 2,1 m³ - caminho de serviço pavimentado - DMT 400 a 600 m - com caminhão de 14 m³ e carregadeira</t>
  </si>
  <si>
    <t>1917667</t>
  </si>
  <si>
    <t>Dragagem de material de 1ª categoria com dragline - caçamba de 2,1 m³ - caminho de serviço pavimentado - DMT 50 a 200 m - com caminhão de 14 m³ e carregadeira</t>
  </si>
  <si>
    <t>1917670</t>
  </si>
  <si>
    <t>Dragagem de material de 1ª categoria com dragline - caçamba de 2,1 m³ - caminho de serviço pavimentado - DMT 600 a 800 m - com caminhão de 14 m³ e carregadeira</t>
  </si>
  <si>
    <t>1917671</t>
  </si>
  <si>
    <t>Dragagem de material de 1ª categoria com dragline - caçamba de 2,1 m³ - caminho de serviço pavimentado - DMT 800 a 1.000 m - com caminhão de 14 m³ e carregadeira</t>
  </si>
  <si>
    <t>1917679</t>
  </si>
  <si>
    <t>Dragagem de material de 1ª categoria com dragline - caçamba de 2,1 m³ - caminho de serviço pavimentado - DMT de 3.000 m - com caminhão de 14 m³ e carregadeira</t>
  </si>
  <si>
    <t>1917640</t>
  </si>
  <si>
    <t>Dragagem de material de 1ª categoria com dragline - caçamba de 2,1 m³ - DMT até 50 m</t>
  </si>
  <si>
    <t>1917686</t>
  </si>
  <si>
    <t>Dragagem de material de 1ª categoria com escavadeira hidráulica - capacidade de caçamba de 1,56 m³ - caminho de serviço em leito natural - DMT 1.000 a 1.200 m</t>
  </si>
  <si>
    <t>1917687</t>
  </si>
  <si>
    <t>Dragagem de material de 1ª categoria com escavadeira hidráulica - capacidade de caçamba de 1,56 m³ - caminho de serviço em leito natural - DMT 1.200 a 1.400 m</t>
  </si>
  <si>
    <t>1917688</t>
  </si>
  <si>
    <t>Dragagem de material de 1ª categoria com escavadeira hidráulica - capacidade de caçamba de 1,56 m³ - caminho de serviço em leito natural - DMT 1.400 a 1.600 m</t>
  </si>
  <si>
    <t>1917689</t>
  </si>
  <si>
    <t>Dragagem de material de 1ª categoria com escavadeira hidráulica - capacidade de caçamba de 1,56 m³ - caminho de serviço em leito natural - DMT 1.600 a 1.800 m</t>
  </si>
  <si>
    <t>1917690</t>
  </si>
  <si>
    <t>Dragagem de material de 1ª categoria com escavadeira hidráulica - capacidade de caçamba de 1,56 m³ - caminho de serviço em leito natural - DMT 1.800 a 2.000 m</t>
  </si>
  <si>
    <t>1917691</t>
  </si>
  <si>
    <t>Dragagem de material de 1ª categoria com escavadeira hidráulica - capacidade de caçamba de 1,56 m³ - caminho de serviço em leito natural - DMT 2.000 a 2.500 m</t>
  </si>
  <si>
    <t>1917692</t>
  </si>
  <si>
    <t>Dragagem de material de 1ª categoria com escavadeira hidráulica - capacidade de caçamba de 1,56 m³ - caminho de serviço em leito natural - DMT 2.500 a 3.000 m</t>
  </si>
  <si>
    <t>1917682</t>
  </si>
  <si>
    <t>Dragagem de material de 1ª categoria com escavadeira hidráulica - capacidade de caçamba de 1,56 m³ - caminho de serviço em leito natural - DMT 200 a 400 m</t>
  </si>
  <si>
    <t>1917693</t>
  </si>
  <si>
    <t>Dragagem de material de 1ª categoria com escavadeira hidráulica - capacidade de caçamba de 1,56 m³ - caminho de serviço em leito natural - DMT 3.000 m</t>
  </si>
  <si>
    <t>1917683</t>
  </si>
  <si>
    <t>Dragagem de material de 1ª categoria com escavadeira hidráulica - capacidade de caçamba de 1,56 m³ - caminho de serviço em leito natural - DMT 400 a 600 m</t>
  </si>
  <si>
    <t>1917681</t>
  </si>
  <si>
    <t>Dragagem de material de 1ª categoria com escavadeira hidráulica - capacidade de caçamba de 1,56 m³ - caminho de serviço em leito natural - DMT 50 a 200 m</t>
  </si>
  <si>
    <t>1917684</t>
  </si>
  <si>
    <t>Dragagem de material de 1ª categoria com escavadeira hidráulica - capacidade de caçamba de 1,56 m³ - caminho de serviço em leito natural - DMT 600 a 800 m</t>
  </si>
  <si>
    <t>1917685</t>
  </si>
  <si>
    <t>Dragagem de material de 1ª categoria com escavadeira hidráulica - capacidade de caçamba de 1,56 m³ - caminho de serviço em leito natural - DMT 800 a 1.000 m</t>
  </si>
  <si>
    <t>1917699</t>
  </si>
  <si>
    <t>Dragagem de material de 1ª categoria com escavadeira hidráulica - capacidade de caçamba de 1,56 m³ - caminho de serviço em revestimento primário - DMT 1.000 a 1.200 m</t>
  </si>
  <si>
    <t>1917700</t>
  </si>
  <si>
    <t>Dragagem de material de 1ª categoria com escavadeira hidráulica - capacidade de caçamba de 1,56 m³ - caminho de serviço em revestimento primário - DMT 1.200 a 1.400 m</t>
  </si>
  <si>
    <t>1917701</t>
  </si>
  <si>
    <t>Dragagem de material de 1ª categoria com escavadeira hidráulica - capacidade de caçamba de 1,56 m³ - caminho de serviço em revestimento primário - DMT 1.400 a 1.600 m</t>
  </si>
  <si>
    <t>1917702</t>
  </si>
  <si>
    <t>Dragagem de material de 1ª categoria com escavadeira hidráulica - capacidade de caçamba de 1,56 m³ - caminho de serviço em revestimento primário - DMT 1.600 a 1.800 m</t>
  </si>
  <si>
    <t>1917703</t>
  </si>
  <si>
    <t>Dragagem de material de 1ª categoria com escavadeira hidráulica - capacidade de caçamba de 1,56 m³ - caminho de serviço em revestimento primário - DMT 1.800 a 2.000 m</t>
  </si>
  <si>
    <t>1917704</t>
  </si>
  <si>
    <t>Dragagem de material de 1ª categoria com escavadeira hidráulica - capacidade de caçamba de 1,56 m³ - caminho de serviço em revestimento primário - DMT 2.000 a 2.500 m</t>
  </si>
  <si>
    <t>1917705</t>
  </si>
  <si>
    <t>Dragagem de material de 1ª categoria com escavadeira hidráulica - capacidade de caçamba de 1,56 m³ - caminho de serviço em revestimento primário - DMT 2.500 a 3.000 m</t>
  </si>
  <si>
    <t>1917695</t>
  </si>
  <si>
    <t>Dragagem de material de 1ª categoria com escavadeira hidráulica - capacidade de caçamba de 1,56 m³ - caminho de serviço em revestimento primário - DMT 200 a 400 m</t>
  </si>
  <si>
    <t>1917706</t>
  </si>
  <si>
    <t>Dragagem de material de 1ª categoria com escavadeira hidráulica - capacidade de caçamba de 1,56 m³ - caminho de serviço em revestimento primário - DMT 3.000 m</t>
  </si>
  <si>
    <t>1917696</t>
  </si>
  <si>
    <t>Dragagem de material de 1ª categoria com escavadeira hidráulica - capacidade de caçamba de 1,56 m³ - caminho de serviço em revestimento primário - DMT 400 a 600 m</t>
  </si>
  <si>
    <t>1917694</t>
  </si>
  <si>
    <t>Dragagem de material de 1ª categoria com escavadeira hidráulica - capacidade de caçamba de 1,56 m³ - caminho de serviço em revestimento primário - DMT 50 a 200 m</t>
  </si>
  <si>
    <t>1917697</t>
  </si>
  <si>
    <t>Dragagem de material de 1ª categoria com escavadeira hidráulica - capacidade de caçamba de 1,56 m³ - caminho de serviço em revestimento primário - DMT 600 a 800 m</t>
  </si>
  <si>
    <t>1917698</t>
  </si>
  <si>
    <t>Dragagem de material de 1ª categoria com escavadeira hidráulica - capacidade de caçamba de 1,56 m³ - caminho de serviço em revestimento primário - DMT 800 a 1.000 m</t>
  </si>
  <si>
    <t>1917712</t>
  </si>
  <si>
    <t>Dragagem de material de 1ª categoria com escavadeira hidráulica - capacidade de caçamba de 1,56 m³ - caminho de serviço pavimentado - DMT 1.000 a 1.200 m</t>
  </si>
  <si>
    <t>1917713</t>
  </si>
  <si>
    <t>Dragagem de material de 1ª categoria com escavadeira hidráulica - capacidade de caçamba de 1,56 m³ - caminho de serviço pavimentado - DMT 1.200 a 1.400 m</t>
  </si>
  <si>
    <t>1917714</t>
  </si>
  <si>
    <t>Dragagem de material de 1ª categoria com escavadeira hidráulica - capacidade de caçamba de 1,56 m³ - caminho de serviço pavimentado - DMT 1.400 a 1.600 m</t>
  </si>
  <si>
    <t>1917715</t>
  </si>
  <si>
    <t>Dragagem de material de 1ª categoria com escavadeira hidráulica - capacidade de caçamba de 1,56 m³ - caminho de serviço pavimentado - DMT 1.600 a 1.800 m</t>
  </si>
  <si>
    <t>1917716</t>
  </si>
  <si>
    <t>Dragagem de material de 1ª categoria com escavadeira hidráulica - capacidade de caçamba de 1,56 m³ - caminho de serviço pavimentado - DMT 1.800 a 2.000 m</t>
  </si>
  <si>
    <t>1917717</t>
  </si>
  <si>
    <t>Dragagem de material de 1ª categoria com escavadeira hidráulica - capacidade de caçamba de 1,56 m³ - caminho de serviço pavimentado - DMT 2.000 a 2.500 m</t>
  </si>
  <si>
    <t>1917718</t>
  </si>
  <si>
    <t>Dragagem de material de 1ª categoria com escavadeira hidráulica - capacidade de caçamba de 1,56 m³ - caminho de serviço pavimentado - DMT 2.500 a 3.000 m</t>
  </si>
  <si>
    <t>1917708</t>
  </si>
  <si>
    <t>Dragagem de material de 1ª categoria com escavadeira hidráulica - capacidade de caçamba de 1,56 m³ - caminho de serviço pavimentado - DMT 200 a 400 m</t>
  </si>
  <si>
    <t>1917719</t>
  </si>
  <si>
    <t>Dragagem de material de 1ª categoria com escavadeira hidráulica - capacidade de caçamba de 1,56 m³ - caminho de serviço pavimentado - DMT 3.000 m</t>
  </si>
  <si>
    <t>1917709</t>
  </si>
  <si>
    <t>Dragagem de material de 1ª categoria com escavadeira hidráulica - capacidade de caçamba de 1,56 m³ - caminho de serviço pavimentado - DMT 400 a 600 m</t>
  </si>
  <si>
    <t>1917707</t>
  </si>
  <si>
    <t>Dragagem de material de 1ª categoria com escavadeira hidráulica - capacidade de caçamba de 1,56 m³ - caminho de serviço pavimentado - DMT 50 a 200 m</t>
  </si>
  <si>
    <t>1917710</t>
  </si>
  <si>
    <t>Dragagem de material de 1ª categoria com escavadeira hidráulica - capacidade de caçamba de 1,56 m³ - caminho de serviço pavimentado - DMT 600 a 800 m</t>
  </si>
  <si>
    <t>1917711</t>
  </si>
  <si>
    <t>Dragagem de material de 1ª categoria com escavadeira hidráulica - capacidade de caçamba de 1,56 m³ - caminho de serviço pavimentado - DMT 800 a 1.000 m</t>
  </si>
  <si>
    <t>1917680</t>
  </si>
  <si>
    <t>Dragagem de material de 1ª categoria com escavadeira hidráulica - capacidade de caçamba de 1,56 m³ - DMT 0 a 50 m</t>
  </si>
  <si>
    <t>1901607</t>
  </si>
  <si>
    <t>Dragagem de material de 1ª categoria com escavadeira hidráulica sobre pontão flutuante - capacidade da caçamba de 1,56 m³ - transporte com batelão sem propulsão com capacidade de 100 t - DMT 0 a 300 m</t>
  </si>
  <si>
    <t>1901611</t>
  </si>
  <si>
    <t>Dragagem de material de 1ª categoria com escavadeira hidráulica sobre pontão flutuante - capacidade da caçamba de 1,56 m³ - transporte com batelão sem propulsão com capacidade de 100 t - DMT 1.200 a 1.500 m</t>
  </si>
  <si>
    <t>1901612</t>
  </si>
  <si>
    <t>Dragagem de material de 1ª categoria com escavadeira hidráulica sobre pontão flutuante - capacidade da caçamba de 1,56 m³ - transporte com batelão sem propulsão com capacidade de 100 t - DMT 1.500 a 1.800 m</t>
  </si>
  <si>
    <t>1901613</t>
  </si>
  <si>
    <t>Dragagem de material de 1ª categoria com escavadeira hidráulica sobre pontão flutuante - capacidade da caçamba de 1,56 m³ - transporte com batelão sem propulsão com capacidade de 100 t - DMT 1.800 a 2.100 m</t>
  </si>
  <si>
    <t>1901614</t>
  </si>
  <si>
    <t>Dragagem de material de 1ª categoria com escavadeira hidráulica sobre pontão flutuante - capacidade da caçamba de 1,56 m³ - transporte com batelão sem propulsão com capacidade de 100 t - DMT 2.100 a 2.400 m</t>
  </si>
  <si>
    <t>1901615</t>
  </si>
  <si>
    <t>Dragagem de material de 1ª categoria com escavadeira hidráulica sobre pontão flutuante - capacidade da caçamba de 1,56 m³ - transporte com batelão sem propulsão com capacidade de 100 t - DMT 2.400 a 2.700 m</t>
  </si>
  <si>
    <t>1901616</t>
  </si>
  <si>
    <t>Dragagem de material de 1ª categoria com escavadeira hidráulica sobre pontão flutuante - capacidade da caçamba de 1,56 m³ - transporte com batelão sem propulsão com capacidade de 100 t - DMT 2.700 a 3.000 m</t>
  </si>
  <si>
    <t>1901608</t>
  </si>
  <si>
    <t>Dragagem de material de 1ª categoria com escavadeira hidráulica sobre pontão flutuante - capacidade da caçamba de 1,56 m³ - transporte com batelão sem propulsão com capacidade de 100 t - DMT 300 a 600 m</t>
  </si>
  <si>
    <t>1901609</t>
  </si>
  <si>
    <t>Dragagem de material de 1ª categoria com escavadeira hidráulica sobre pontão flutuante - capacidade da caçamba de 1,56 m³ - transporte com batelão sem propulsão com capacidade de 100 t - DMT 600 a 900 m</t>
  </si>
  <si>
    <t>1901610</t>
  </si>
  <si>
    <t>Dragagem de material de 1ª categoria com escavadeira hidráulica sobre pontão flutuante - capacidade da caçamba de 1,56 m³ - transporte com batelão sem propulsão com capacidade de 100 t - DMT 900 a 1.200 m</t>
  </si>
  <si>
    <t>1901617</t>
  </si>
  <si>
    <t>Dragagem de material de 1ª categoria com escavadeira hidráulica sobre pontão flutuante - capacidade da caçamba de 1,56 m³ - transporte com batelão sem propulsão com capacidade de 100 t - DMT de 3.000 m</t>
  </si>
  <si>
    <t>1917037</t>
  </si>
  <si>
    <t>Dragagem de silte com draga hopper - capacidade da cisterna de 1.000 m³ - DMT de 1.500 a 1.800 m</t>
  </si>
  <si>
    <t>1917038</t>
  </si>
  <si>
    <t>Dragagem de silte com draga hopper - capacidade da cisterna de 1.000 m³ - DMT de 1.800 a 2.100 m</t>
  </si>
  <si>
    <t>1917039</t>
  </si>
  <si>
    <t>Dragagem de silte com draga hopper - capacidade da cisterna de 1.000 m³ - DMT de 2.100 a 2.400 m</t>
  </si>
  <si>
    <t>1917040</t>
  </si>
  <si>
    <t>Dragagem de silte com draga hopper - capacidade da cisterna de 1.000 m³ - DMT de 2.400 a 2.700 m</t>
  </si>
  <si>
    <t>1917041</t>
  </si>
  <si>
    <t>Dragagem de silte com draga hopper - capacidade da cisterna de 1.000 m³ - DMT de 2.700 a 3.000 m</t>
  </si>
  <si>
    <t>1917042</t>
  </si>
  <si>
    <t>Dragagem de silte com draga hopper - capacidade da cisterna de 1.000 m³ - DMT de 3.000 m</t>
  </si>
  <si>
    <t>1901619</t>
  </si>
  <si>
    <t>Dragagem de silte com draga hopper - capacidade da cisterna de 10.000 m³ - DMT de 1.500 a 1.800 m</t>
  </si>
  <si>
    <t>1901620</t>
  </si>
  <si>
    <t>Dragagem de silte com draga hopper - capacidade da cisterna de 10.000 m³ - DMT de 1.800 a 2.100 m</t>
  </si>
  <si>
    <t>1901621</t>
  </si>
  <si>
    <t>Dragagem de silte com draga hopper - capacidade da cisterna de 10.000 m³ - DMT de 2.100 a 2.400 m</t>
  </si>
  <si>
    <t>1901622</t>
  </si>
  <si>
    <t>Dragagem de silte com draga hopper - capacidade da cisterna de 10.000 m³ - DMT de 2.400 a 2.700 m</t>
  </si>
  <si>
    <t>1901623</t>
  </si>
  <si>
    <t>Dragagem de silte com draga hopper - capacidade da cisterna de 10.000 m³ - DMT de 2.700 a 3.000 m</t>
  </si>
  <si>
    <t>1901618</t>
  </si>
  <si>
    <t>Dragagem de silte com draga hopper - capacidade da cisterna de 10.000 m³ - DMT de 3.000 m</t>
  </si>
  <si>
    <t>1901625</t>
  </si>
  <si>
    <t>Dragagem de silte com draga hopper - capacidade da cisterna de 15.000 m³ - DMT de 1.500 a 1.800 m</t>
  </si>
  <si>
    <t>1901626</t>
  </si>
  <si>
    <t>Dragagem de silte com draga hopper - capacidade da cisterna de 15.000 m³ - DMT de 1.800 a 2.100 m</t>
  </si>
  <si>
    <t>1901627</t>
  </si>
  <si>
    <t>Dragagem de silte com draga hopper - capacidade da cisterna de 15.000 m³ - DMT de 2.100 a 2.400 m</t>
  </si>
  <si>
    <t>1901628</t>
  </si>
  <si>
    <t>Dragagem de silte com draga hopper - capacidade da cisterna de 15.000 m³ - DMT de 2.400 a 2.700 m</t>
  </si>
  <si>
    <t>1901629</t>
  </si>
  <si>
    <t>Dragagem de silte com draga hopper - capacidade da cisterna de 15.000 m³ - DMT de 2.700 a 3.000 m</t>
  </si>
  <si>
    <t>1901624</t>
  </si>
  <si>
    <t>Dragagem de silte com draga hopper - capacidade da cisterna de 15.000 m³ - DMT de 3.000 m</t>
  </si>
  <si>
    <t>1917073</t>
  </si>
  <si>
    <t>Dragagem de silte com draga hopper - capacidade da cisterna de 2.000 m³ - DMT de 1.500 a 1.800 m</t>
  </si>
  <si>
    <t>1917074</t>
  </si>
  <si>
    <t>Dragagem de silte com draga hopper - capacidade da cisterna de 2.000 m³ - DMT de 1.800 a 2.100 m</t>
  </si>
  <si>
    <t>1917075</t>
  </si>
  <si>
    <t>Dragagem de silte com draga hopper - capacidade da cisterna de 2.000 m³ - DMT de 2.100 a 2.400 m</t>
  </si>
  <si>
    <t>1917076</t>
  </si>
  <si>
    <t>Dragagem de silte com draga hopper - capacidade da cisterna de 2.000 m³ - DMT de 2.400 a 2.700 m</t>
  </si>
  <si>
    <t>1917077</t>
  </si>
  <si>
    <t>Dragagem de silte com draga hopper - capacidade da cisterna de 2.000 m³ - DMT de 2.700 a 3.000 m</t>
  </si>
  <si>
    <t>1917078</t>
  </si>
  <si>
    <t>Dragagem de silte com draga hopper - capacidade da cisterna de 2.000 m³ - DMT de 3.000 m</t>
  </si>
  <si>
    <t>1901631</t>
  </si>
  <si>
    <t>Dragagem de silte com draga hopper - capacidade da cisterna de 20.000 m³ - DMT de 1.500 a 1.800 m</t>
  </si>
  <si>
    <t>1901632</t>
  </si>
  <si>
    <t>Dragagem de silte com draga hopper - capacidade da cisterna de 20.000 m³ - DMT de 1.800 a 2.100 m</t>
  </si>
  <si>
    <t>1901633</t>
  </si>
  <si>
    <t>Dragagem de silte com draga hopper - capacidade da cisterna de 20.000 m³ - DMT de 2.100 a 2.400 m</t>
  </si>
  <si>
    <t>1901634</t>
  </si>
  <si>
    <t>Dragagem de silte com draga hopper - capacidade da cisterna de 20.000 m³ - DMT de 2.400 a 2.700 m</t>
  </si>
  <si>
    <t>1901635</t>
  </si>
  <si>
    <t>Dragagem de silte com draga hopper - capacidade da cisterna de 20.000 m³ - DMT de 2.700 a 3.000 m</t>
  </si>
  <si>
    <t>1901630</t>
  </si>
  <si>
    <t>Dragagem de silte com draga hopper - capacidade da cisterna de 20.000 m³ - DMT de 3.000 m</t>
  </si>
  <si>
    <t>1917109</t>
  </si>
  <si>
    <t>Dragagem de silte com draga hopper - capacidade da cisterna de 3.000 m³ - DMT de 1.500 a 1.800 m</t>
  </si>
  <si>
    <t>1917110</t>
  </si>
  <si>
    <t>Dragagem de silte com draga hopper - capacidade da cisterna de 3.000 m³ - DMT de 1.800 a 2.100 m</t>
  </si>
  <si>
    <t>1917111</t>
  </si>
  <si>
    <t>Dragagem de silte com draga hopper - capacidade da cisterna de 3.000 m³ - DMT de 2.100 a 2.400 m</t>
  </si>
  <si>
    <t>1917112</t>
  </si>
  <si>
    <t>Dragagem de silte com draga hopper - capacidade da cisterna de 3.000 m³ - DMT de 2.400 a 2.700 m</t>
  </si>
  <si>
    <t>1917113</t>
  </si>
  <si>
    <t>Dragagem de silte com draga hopper - capacidade da cisterna de 3.000 m³ - DMT de 2.700 a 3.000 m</t>
  </si>
  <si>
    <t>1917114</t>
  </si>
  <si>
    <t>Dragagem de silte com draga hopper - capacidade da cisterna de 3.000 m³ - DMT de 3.000 m</t>
  </si>
  <si>
    <t>1917145</t>
  </si>
  <si>
    <t>Dragagem de silte com draga hopper - capacidade da cisterna de 4.000 m³ - DMT de 1.500 a 1.800 m</t>
  </si>
  <si>
    <t>1917146</t>
  </si>
  <si>
    <t>Dragagem de silte com draga hopper - capacidade da cisterna de 4.000 m³ - DMT de 1.800 a 2.100 m</t>
  </si>
  <si>
    <t>1917147</t>
  </si>
  <si>
    <t>Dragagem de silte com draga hopper - capacidade da cisterna de 4.000 m³ - DMT de 2.100 a 2.400 m</t>
  </si>
  <si>
    <t>1917148</t>
  </si>
  <si>
    <t>Dragagem de silte com draga hopper - capacidade da cisterna de 4.000 m³ - DMT de 2.400 a 2.700 m</t>
  </si>
  <si>
    <t>1917149</t>
  </si>
  <si>
    <t>Dragagem de silte com draga hopper - capacidade da cisterna de 4.000 m³ - DMT de 2.700 a 3.000 m</t>
  </si>
  <si>
    <t>1917150</t>
  </si>
  <si>
    <t>Dragagem de silte com draga hopper - capacidade da cisterna de 4.000 m³ - DMT de 3.000 m</t>
  </si>
  <si>
    <t>1917181</t>
  </si>
  <si>
    <t>Dragagem de silte com draga hopper - capacidade da cisterna de 5.000 m³ - DMT de 1.500 a 1.800 m</t>
  </si>
  <si>
    <t>1917182</t>
  </si>
  <si>
    <t>Dragagem de silte com draga hopper - capacidade da cisterna de 5.000 m³ - DMT de 1.800 a 2.100 m</t>
  </si>
  <si>
    <t>1917183</t>
  </si>
  <si>
    <t>Dragagem de silte com draga hopper - capacidade da cisterna de 5.000 m³ - DMT de 2.100 a 2.400 m</t>
  </si>
  <si>
    <t>1917184</t>
  </si>
  <si>
    <t>Dragagem de silte com draga hopper - capacidade da cisterna de 5.000 m³ - DMT de 2.400 a 2.700 m</t>
  </si>
  <si>
    <t>1917185</t>
  </si>
  <si>
    <t>Dragagem de silte com draga hopper - capacidade da cisterna de 5.000 m³ - DMT de 2.700 a 3.000 m</t>
  </si>
  <si>
    <t>1917186</t>
  </si>
  <si>
    <t>Dragagem de silte com draga hopper - capacidade da cisterna de 5.000 m³ - DMT de 3.000 m</t>
  </si>
  <si>
    <t>1917001</t>
  </si>
  <si>
    <t>Dragagem de silte com draga hopper - capacidade da cisterna de 750 m³ - DMT de 1.500 a 1.800 m</t>
  </si>
  <si>
    <t>1917002</t>
  </si>
  <si>
    <t>Dragagem de silte com draga hopper - capacidade da cisterna de 750 m³ - DMT de 1.800 a 2.100 m</t>
  </si>
  <si>
    <t>1917003</t>
  </si>
  <si>
    <t>Dragagem de silte com draga hopper - capacidade da cisterna de 750 m³ - DMT de 2.100 a 2.400 m</t>
  </si>
  <si>
    <t>1917004</t>
  </si>
  <si>
    <t>Dragagem de silte com draga hopper - capacidade da cisterna de 750 m³ - DMT de 2.400 a 2.700 m</t>
  </si>
  <si>
    <t>1917005</t>
  </si>
  <si>
    <t>Dragagem de silte com draga hopper - capacidade da cisterna de 750 m³ - DMT de 2.700 a 3.000 m</t>
  </si>
  <si>
    <t>1917006</t>
  </si>
  <si>
    <t>Dragagem de silte com draga hopper - capacidade da cisterna de 750 m³ - DMT de 3.000 m</t>
  </si>
  <si>
    <t>2009619</t>
  </si>
  <si>
    <t>Alvenaria de blocos de concreto 19 x 19 x 39 cm com espessura de 20 cm - areia comercial</t>
  </si>
  <si>
    <t>2009618</t>
  </si>
  <si>
    <t>Alvenaria de blocos de concreto 19 x 19 x 39 cm com espessura de 20 cm - areia extraída</t>
  </si>
  <si>
    <t>2003866</t>
  </si>
  <si>
    <t>Aplicação de geotêxtil não-tecido agulhado com resistência à tração longitudinal de 14 kN/m</t>
  </si>
  <si>
    <t>2003867</t>
  </si>
  <si>
    <t>Aplicação de geotêxtil não-tecido agulhado com resistência à tração longitudinal de 31 kN/m</t>
  </si>
  <si>
    <t>2003622</t>
  </si>
  <si>
    <t>Boca de lobo combinada - chapéu e grelha simples - BLC 01 - areia e brita comerciais</t>
  </si>
  <si>
    <t>2003621</t>
  </si>
  <si>
    <t>Boca de lobo combinada - chapéu e grelha simples - BLC 01 - areia extraída e brita produzida</t>
  </si>
  <si>
    <t>2003624</t>
  </si>
  <si>
    <t>Boca de lobo combinada - chapéu e grelha simples - BLC 02 - areia e brita comerciais</t>
  </si>
  <si>
    <t>2003623</t>
  </si>
  <si>
    <t>Boca de lobo combinada - chapéu e grelha simples - BLC 02 - areia extraída e brita produzida</t>
  </si>
  <si>
    <t>2003634</t>
  </si>
  <si>
    <t>Boca de lobo dupla - grelha de concreto - BLDG 01 - areia e brita comerciais</t>
  </si>
  <si>
    <t>2003633</t>
  </si>
  <si>
    <t>Boca de lobo dupla - grelha de concreto - BLDG 01 - areia extraída e brita produzida</t>
  </si>
  <si>
    <t>2003636</t>
  </si>
  <si>
    <t>Boca de lobo dupla - grelha de concreto - BLDG 02 - areia e brita comerciais</t>
  </si>
  <si>
    <t>2003635</t>
  </si>
  <si>
    <t>Boca de lobo dupla - grelha de concreto - BLDG 02 - areia extraída e brita produzida</t>
  </si>
  <si>
    <t>2003638</t>
  </si>
  <si>
    <t>Boca de lobo dupla - grelha de concreto - BLDG 03 - areia e brita comerciais</t>
  </si>
  <si>
    <t>2003637</t>
  </si>
  <si>
    <t>Boca de lobo dupla - grelha de concreto - BLDG 03 - areia extraída e brita produzida</t>
  </si>
  <si>
    <t>2003640</t>
  </si>
  <si>
    <t>Boca de lobo dupla - grelha de concreto - BLDG 04 - areia e brita comerciais</t>
  </si>
  <si>
    <t>2003639</t>
  </si>
  <si>
    <t>Boca de lobo dupla - grelha de concreto - BLDG 04 - areia extraída e brita produzida</t>
  </si>
  <si>
    <t>2003618</t>
  </si>
  <si>
    <t>Boca de lobo simples - BLS 01 - areia e brita comerciais</t>
  </si>
  <si>
    <t>2003617</t>
  </si>
  <si>
    <t>Boca de lobo simples - BLS 01 - areia extraída e brita produzida</t>
  </si>
  <si>
    <t>2003620</t>
  </si>
  <si>
    <t>Boca de lobo simples - BLS 02 - areia e brita comerciais</t>
  </si>
  <si>
    <t>2003619</t>
  </si>
  <si>
    <t>Boca de lobo simples - BLS 02 - areia extraída e brita produzida</t>
  </si>
  <si>
    <t>2003626</t>
  </si>
  <si>
    <t>Boca de lobo simples - grelha de concreto - BLSG 01 - areia e brita comerciais</t>
  </si>
  <si>
    <t>2003625</t>
  </si>
  <si>
    <t>Boca de lobo simples - grelha de concreto - BLSG 01 - areia extraída e brita produzida</t>
  </si>
  <si>
    <t>2003628</t>
  </si>
  <si>
    <t>Boca de lobo simples - grelha de concreto - BLSG 02 - areia e brita comerciais</t>
  </si>
  <si>
    <t>2003627</t>
  </si>
  <si>
    <t>Boca de lobo simples - grelha de concreto - BLSG 02 - areia extraída e brita produzida</t>
  </si>
  <si>
    <t>2003630</t>
  </si>
  <si>
    <t>Boca de lobo simples - grelha de concreto - BLSG 03 - areia e brita comerciais</t>
  </si>
  <si>
    <t>2003629</t>
  </si>
  <si>
    <t>Boca de lobo simples - grelha de concreto - BLSG 03 - areia extraída e brita produzida</t>
  </si>
  <si>
    <t>2003632</t>
  </si>
  <si>
    <t>Boca de lobo simples - grelha de concreto - BLSG 04 - areia e brita comerciais</t>
  </si>
  <si>
    <t>2003631</t>
  </si>
  <si>
    <t>Boca de lobo simples - grelha de concreto - BLSG 04 - areia extraída e brita produzida</t>
  </si>
  <si>
    <t>2003599</t>
  </si>
  <si>
    <t>Boca de saída para dreno longitudinal profundo - BSD 01 - tubo de concreto perfurado - areia e brita comerciais</t>
  </si>
  <si>
    <t>2003598</t>
  </si>
  <si>
    <t>Boca de saída para dreno longitudinal profundo - BSD 01 - tubo de concreto perfurado - areia extraída e brita produzida</t>
  </si>
  <si>
    <t>2003919</t>
  </si>
  <si>
    <t>Boca de saída para dreno longitudinal profundo - BSD 01 - tubo de PEAD - areia e brita comerciais</t>
  </si>
  <si>
    <t>2003918</t>
  </si>
  <si>
    <t>Boca de saída para dreno longitudinal profundo - BSD 01 - tubo de PEAD - areia extraída e brita produzida</t>
  </si>
  <si>
    <t>2003601</t>
  </si>
  <si>
    <t>Boca de saída para dreno longitudinal profundo - BSD 02 - tubo de concreto perfurado - areia e brita comerciais</t>
  </si>
  <si>
    <t>2003600</t>
  </si>
  <si>
    <t>Boca de saída para dreno longitudinal profundo - BSD 02 - tubo de concreto perfurado - areia extraída e brita produzida</t>
  </si>
  <si>
    <t>2003921</t>
  </si>
  <si>
    <t>Boca de saída para dreno longitudinal profundo - BSD 02 - tubo de PEAD - areia e brita comerciais</t>
  </si>
  <si>
    <t>2003920</t>
  </si>
  <si>
    <t>Boca de saída para dreno longitudinal profundo - BSD 02 - tubo de PEAD - areia extraída e brita produzida</t>
  </si>
  <si>
    <t>2003616</t>
  </si>
  <si>
    <t>Boca de saída para dreno sub-horizontal em material de 1ª categoria - BSD 04 - areia e brita comerciais</t>
  </si>
  <si>
    <t>2003615</t>
  </si>
  <si>
    <t>Boca de saída para dreno sub-horizontal em material de 1ª categoria - BSD 04 - areia extraída e brita produzida</t>
  </si>
  <si>
    <t>2003927</t>
  </si>
  <si>
    <t>Boca de saída para dreno sub-horizontal em material de 2ª categoria - BSD 04 - areia e brita comerciais</t>
  </si>
  <si>
    <t>2003926</t>
  </si>
  <si>
    <t>Boca de saída para dreno sub-horizontal em material de 2ª categoria - BSD 04 - areia extraída e brita produzida</t>
  </si>
  <si>
    <t>2003613</t>
  </si>
  <si>
    <t>Boca de saída para dreno subsuperficial - BSD 03 - areia e brita comerciais</t>
  </si>
  <si>
    <t>2003612</t>
  </si>
  <si>
    <t>Boca de saída para dreno subsuperficial - BSD 03 - areia extraída e brita produzida</t>
  </si>
  <si>
    <t>2003477</t>
  </si>
  <si>
    <t>Caixa coletora de sarjeta - CCS 200-60 A - com grelha de concreto - areia e brita comerciais</t>
  </si>
  <si>
    <t>2003476</t>
  </si>
  <si>
    <t>Caixa coletora de sarjeta - CCS 200-60 A - com grelha de concreto - areia extraída e brita produzida</t>
  </si>
  <si>
    <t>2003517</t>
  </si>
  <si>
    <t>Caixa coletora de sarjeta - CCS 200-60 B - com grelha de aço - areia e brita comerciais</t>
  </si>
  <si>
    <t>2003516</t>
  </si>
  <si>
    <t>Caixa coletora de sarjeta - CCS 200-60 B - com grelha de aço - areia extraída e brita produzida</t>
  </si>
  <si>
    <t>2003479</t>
  </si>
  <si>
    <t>Caixa coletora de sarjeta - CCS 200-80 A - com grelha de concreto - areia e brita comerciais</t>
  </si>
  <si>
    <t>2003478</t>
  </si>
  <si>
    <t>Caixa coletora de sarjeta - CCS 200-80 A - com grelha de concreto - areia extraída e brita produzida</t>
  </si>
  <si>
    <t>2003519</t>
  </si>
  <si>
    <t>Caixa coletora de sarjeta - CCS 200-80 B - com grelha de aço - areia e brita comerciais</t>
  </si>
  <si>
    <t>2003518</t>
  </si>
  <si>
    <t>Caixa coletora de sarjeta - CCS 200-80 B - com grelha de aço - areia extraída e brita produzida</t>
  </si>
  <si>
    <t>2003489</t>
  </si>
  <si>
    <t>Caixa coletora de sarjeta - CCS 250-100 A - com grelha de concreto - areia e brita comerciais</t>
  </si>
  <si>
    <t>2003488</t>
  </si>
  <si>
    <t>Caixa coletora de sarjeta - CCS 250-100 A - com grelha de concreto - areia extraída e brita produzida</t>
  </si>
  <si>
    <t>2003529</t>
  </si>
  <si>
    <t>Caixa coletora de sarjeta - CCS 250-100 B - com grelha de aço - areia e brita comerciais</t>
  </si>
  <si>
    <t>2003528</t>
  </si>
  <si>
    <t>Caixa coletora de sarjeta - CCS 250-100 B - com grelha de aço - areia extraída e brita produzida</t>
  </si>
  <si>
    <t>2003491</t>
  </si>
  <si>
    <t>Caixa coletora de sarjeta - CCS 250-120 A - com grelha de concreto - areia e brita comerciais</t>
  </si>
  <si>
    <t>2003490</t>
  </si>
  <si>
    <t>Caixa coletora de sarjeta - CCS 250-120 A - com grelha de concreto - areia extraída e brita produzida</t>
  </si>
  <si>
    <t>2003531</t>
  </si>
  <si>
    <t>Caixa coletora de sarjeta - CCS 250-120 B - com grelha de aço - areia e brita comerciais</t>
  </si>
  <si>
    <t>2003530</t>
  </si>
  <si>
    <t>Caixa coletora de sarjeta - CCS 250-120 B - com grelha de aço - areia extraída e brita produzida</t>
  </si>
  <si>
    <t>2003485</t>
  </si>
  <si>
    <t>Caixa coletora de sarjeta - CCS 250-60 A - com grelha de concreto - areia e brita comerciais</t>
  </si>
  <si>
    <t>2003484</t>
  </si>
  <si>
    <t>Caixa coletora de sarjeta - CCS 250-60 A - com grelha de concreto - areia extraída e brita produzida</t>
  </si>
  <si>
    <t>2003525</t>
  </si>
  <si>
    <t>Caixa coletora de sarjeta - CCS 250-60 B - com grelha de aço - areia e brita comerciais</t>
  </si>
  <si>
    <t>2003524</t>
  </si>
  <si>
    <t>Caixa coletora de sarjeta - CCS 250-60 B - com grelha de aço - areia extraída e brita produzida</t>
  </si>
  <si>
    <t>2003487</t>
  </si>
  <si>
    <t>Caixa coletora de sarjeta - CCS 250-80 A - com grelha de concreto - areia e brita comerciais</t>
  </si>
  <si>
    <t>2003486</t>
  </si>
  <si>
    <t>Caixa coletora de sarjeta - CCS 250-80 A - com grelha de concreto - areia extraída e brita produzida</t>
  </si>
  <si>
    <t>2003527</t>
  </si>
  <si>
    <t>Caixa coletora de sarjeta - CCS 250-80 B - com grelha de aço - areia e brita comerciais</t>
  </si>
  <si>
    <t>2003526</t>
  </si>
  <si>
    <t>Caixa coletora de sarjeta - CCS 250-80 B - com grelha de aço - areia extraída e brita produzida</t>
  </si>
  <si>
    <t>2003497</t>
  </si>
  <si>
    <t>Caixa coletora de sarjeta - CCS 300-100 A - com grelha de concreto - areia e brita comerciais</t>
  </si>
  <si>
    <t>2003496</t>
  </si>
  <si>
    <t>Caixa coletora de sarjeta - CCS 300-100 A - com grelha de concreto - areia extraída e brita produzida</t>
  </si>
  <si>
    <t>2003537</t>
  </si>
  <si>
    <t>Caixa coletora de sarjeta - CCS 300-100 B - com grelha de aço - areia e brita comerciais</t>
  </si>
  <si>
    <t>2003536</t>
  </si>
  <si>
    <t>Caixa coletora de sarjeta - CCS 300-100 B - com grelha de aço - areia extraída e brita produzida</t>
  </si>
  <si>
    <t>2003499</t>
  </si>
  <si>
    <t>Caixa coletora de sarjeta - CCS 300-120 A - com grelha de concreto - areia e brita comerciais</t>
  </si>
  <si>
    <t>2003498</t>
  </si>
  <si>
    <t>Caixa coletora de sarjeta - CCS 300-120 A - com grelha de concreto - areia extraída e brita produzida</t>
  </si>
  <si>
    <t>2003539</t>
  </si>
  <si>
    <t>Caixa coletora de sarjeta - CCS 300-120 B - com grelha de aço - areia e brita comerciais</t>
  </si>
  <si>
    <t>2003538</t>
  </si>
  <si>
    <t>Caixa coletora de sarjeta - CCS 300-120 B - com grelha de aço - areia extraída e brita produzida</t>
  </si>
  <si>
    <t>2003493</t>
  </si>
  <si>
    <t>Caixa coletora de sarjeta - CCS 300-60 A - com grelha de concreto - areia e brita comerciais</t>
  </si>
  <si>
    <t>2003492</t>
  </si>
  <si>
    <t>Caixa coletora de sarjeta - CCS 300-60 A - com grelha de concreto - areia extraída e brita produzida</t>
  </si>
  <si>
    <t>2003533</t>
  </si>
  <si>
    <t>Caixa coletora de sarjeta - CCS 300-60 B - com grelha de aço - areia e brita comerciais</t>
  </si>
  <si>
    <t>2003532</t>
  </si>
  <si>
    <t>Caixa coletora de sarjeta - CCS 300-60 B - com grelha de aço - areia extraída e brita produzida</t>
  </si>
  <si>
    <t>2003495</t>
  </si>
  <si>
    <t>Caixa coletora de sarjeta - CCS 300-80 A - com grelha de concreto - areia e brita comerciais</t>
  </si>
  <si>
    <t>2003494</t>
  </si>
  <si>
    <t>Caixa coletora de sarjeta - CCS 300-80 A - com grelha de concreto - areia extraída e brita produzida</t>
  </si>
  <si>
    <t>2003535</t>
  </si>
  <si>
    <t>Caixa coletora de sarjeta - CCS 300-80 B - com grelha de aço - areia e brita comerciais</t>
  </si>
  <si>
    <t>2003534</t>
  </si>
  <si>
    <t>Caixa coletora de sarjeta - CCS 300-80 B - com grelha de aço - areia extraída e brita produzida</t>
  </si>
  <si>
    <t>2003505</t>
  </si>
  <si>
    <t>Caixa coletora de sarjeta - CCS 350-100 A - com grelha de concreto - areia e brita comerciais</t>
  </si>
  <si>
    <t>2003504</t>
  </si>
  <si>
    <t>Caixa coletora de sarjeta - CCS 350-100 A - com grelha de concreto - areia extraída e brita produzida</t>
  </si>
  <si>
    <t>2003545</t>
  </si>
  <si>
    <t>Caixa coletora de sarjeta - CCS 350-100 B - com grelha de aço - areia e brita comerciais</t>
  </si>
  <si>
    <t>2003544</t>
  </si>
  <si>
    <t>Caixa coletora de sarjeta - CCS 350-100 B - com grelha de aço - areia extraída e brita produzida</t>
  </si>
  <si>
    <t>2003507</t>
  </si>
  <si>
    <t>Caixa coletora de sarjeta - CCS 350-120 A - com grelha de concreto - areia e brita comerciais</t>
  </si>
  <si>
    <t>2003506</t>
  </si>
  <si>
    <t>Caixa coletora de sarjeta - CCS 350-120 A - com grelha de concreto - areia extraída e brita produzida</t>
  </si>
  <si>
    <t>2003547</t>
  </si>
  <si>
    <t>Caixa coletora de sarjeta - CCS 350-120 B - com grelha de aço - areia e brita comerciais</t>
  </si>
  <si>
    <t>2003546</t>
  </si>
  <si>
    <t>Caixa coletora de sarjeta - CCS 350-120 B - com grelha de aço - areia extraída e brita produzida</t>
  </si>
  <si>
    <t>2003501</t>
  </si>
  <si>
    <t>Caixa coletora de sarjeta - CCS 350-60 A - com grelha de concreto - areia e brita comerciais</t>
  </si>
  <si>
    <t>2003500</t>
  </si>
  <si>
    <t>Caixa coletora de sarjeta - CCS 350-60 A - com grelha de concreto - areia extraída e brita produzida</t>
  </si>
  <si>
    <t>2003541</t>
  </si>
  <si>
    <t>Caixa coletora de sarjeta - CCS 350-60 B - com grelha de aço - areia e brita comerciais</t>
  </si>
  <si>
    <t>2003540</t>
  </si>
  <si>
    <t>Caixa coletora de sarjeta - CCS 350-60 B - com grelha de aço - areia extraída e brita produzida</t>
  </si>
  <si>
    <t>2003503</t>
  </si>
  <si>
    <t>Caixa coletora de sarjeta - CCS 350-80 A - com grelha de concreto - areia e brita comerciais</t>
  </si>
  <si>
    <t>2003502</t>
  </si>
  <si>
    <t>Caixa coletora de sarjeta - CCS 350-80 A - com grelha de concreto - areia extraída e brita produzida</t>
  </si>
  <si>
    <t>2003543</t>
  </si>
  <si>
    <t>Caixa coletora de sarjeta - CCS 350-80 B - com grelha de aço - areia e brita comerciais</t>
  </si>
  <si>
    <t>2003542</t>
  </si>
  <si>
    <t>Caixa coletora de sarjeta - CCS 350-80 B - com grelha de aço - areia extraída e brita produzida</t>
  </si>
  <si>
    <t>2003513</t>
  </si>
  <si>
    <t>Caixa coletora de sarjeta - CCS 400-100 A - com grelha de concreto - areia e brita comerciais</t>
  </si>
  <si>
    <t>2003512</t>
  </si>
  <si>
    <t>Caixa coletora de sarjeta - CCS 400-100 A - com grelha de concreto - areia extraída e brita produzida</t>
  </si>
  <si>
    <t>2003553</t>
  </si>
  <si>
    <t>Caixa coletora de sarjeta - CCS 400-100 B - com grelha de aço - areia e brita comerciais</t>
  </si>
  <si>
    <t>2003552</t>
  </si>
  <si>
    <t>Caixa coletora de sarjeta - CCS 400-100 B - com grelha de aço - areia extraída e brita produzida</t>
  </si>
  <si>
    <t>2003515</t>
  </si>
  <si>
    <t>Caixa coletora de sarjeta - CCS 400-120 A - com grelha de concreto - areia e brita comerciais</t>
  </si>
  <si>
    <t>2003514</t>
  </si>
  <si>
    <t>Caixa coletora de sarjeta - CCS 400-120 A - com grelha de concreto - areia extraída e brita produzida</t>
  </si>
  <si>
    <t>2003555</t>
  </si>
  <si>
    <t>Caixa coletora de sarjeta - CCS 400-120 B - com grelha de aço - areia e brita comerciais</t>
  </si>
  <si>
    <t>2003554</t>
  </si>
  <si>
    <t>Caixa coletora de sarjeta - CCS 400-120 B - com grelha de aço - areia extraída e brita produzida</t>
  </si>
  <si>
    <t>2003509</t>
  </si>
  <si>
    <t>Caixa coletora de sarjeta - CCS 400-60 A - com grelha de concreto - areia e brita comerciais</t>
  </si>
  <si>
    <t>2003508</t>
  </si>
  <si>
    <t>Caixa coletora de sarjeta - CCS 400-60 A - com grelha de concreto - areia extraída e brita produzida</t>
  </si>
  <si>
    <t>2003549</t>
  </si>
  <si>
    <t>Caixa coletora de sarjeta - CCS 400-60 B - com grelha de aço - areia e brita comerciais</t>
  </si>
  <si>
    <t>2003548</t>
  </si>
  <si>
    <t>Caixa coletora de sarjeta - CCS 400-60 B - com grelha de aço - areia extraída e brita produzida</t>
  </si>
  <si>
    <t>2003511</t>
  </si>
  <si>
    <t>Caixa coletora de sarjeta - CCS 400-80 A - com grelha de concreto - areia e brita comerciais</t>
  </si>
  <si>
    <t>2003510</t>
  </si>
  <si>
    <t>Caixa coletora de sarjeta - CCS 400-80 A - com grelha de concreto - areia extraída e brita produzida</t>
  </si>
  <si>
    <t>2003551</t>
  </si>
  <si>
    <t>Caixa coletora de sarjeta - CCS 400-80 B - com grelha de aço - areia e brita comerciais</t>
  </si>
  <si>
    <t>2003550</t>
  </si>
  <si>
    <t>Caixa coletora de sarjeta - CCS 400-80 B - com grelha de aço - areia extraída e brita produzida</t>
  </si>
  <si>
    <t>2003728</t>
  </si>
  <si>
    <t>Caixa coletora de talvegue - CCT 01 - areia e brita comerciais</t>
  </si>
  <si>
    <t>2003727</t>
  </si>
  <si>
    <t>Caixa coletora de talvegue - CCT 01 - areia extraída e brita produzida</t>
  </si>
  <si>
    <t>2003730</t>
  </si>
  <si>
    <t>Caixa coletora de talvegue - CCT 02 - areia e brita comerciais</t>
  </si>
  <si>
    <t>2003729</t>
  </si>
  <si>
    <t>Caixa coletora de talvegue - CCT 02 - areia extraída e brita produzida</t>
  </si>
  <si>
    <t>2003732</t>
  </si>
  <si>
    <t>Caixa coletora de talvegue - CCT 03 - areia e brita comerciais</t>
  </si>
  <si>
    <t>2003731</t>
  </si>
  <si>
    <t>Caixa coletora de talvegue - CCT 03 - areia extraída e brita produzida</t>
  </si>
  <si>
    <t>2003734</t>
  </si>
  <si>
    <t>Caixa coletora de talvegue - CCT 04 - areia e brita comerciais</t>
  </si>
  <si>
    <t>2003733</t>
  </si>
  <si>
    <t>Caixa coletora de talvegue - CCT 04 - areia extraída e brita produzida</t>
  </si>
  <si>
    <t>2003736</t>
  </si>
  <si>
    <t>Caixa coletora de talvegue - CCT 05 - areia e brita comerciais</t>
  </si>
  <si>
    <t>2003735</t>
  </si>
  <si>
    <t>Caixa coletora de talvegue - CCT 05 - areia extraída e brita produzida</t>
  </si>
  <si>
    <t>2003738</t>
  </si>
  <si>
    <t>Caixa coletora de talvegue - CCT 06 - areia e brita comerciais</t>
  </si>
  <si>
    <t>2003737</t>
  </si>
  <si>
    <t>Caixa coletora de talvegue - CCT 06 - areia extraída e brita produzida</t>
  </si>
  <si>
    <t>2003740</t>
  </si>
  <si>
    <t>Caixa coletora de talvegue - CCT 07 - areia e brita comerciais</t>
  </si>
  <si>
    <t>2003739</t>
  </si>
  <si>
    <t>Caixa coletora de talvegue - CCT 07 - areia extraída e brita produzida</t>
  </si>
  <si>
    <t>2003742</t>
  </si>
  <si>
    <t>Caixa coletora de talvegue - CCT 08 - areia e brita comerciais</t>
  </si>
  <si>
    <t>2003741</t>
  </si>
  <si>
    <t>Caixa coletora de talvegue - CCT 08 - areia extraída e brita produzida</t>
  </si>
  <si>
    <t>2003744</t>
  </si>
  <si>
    <t>Caixa coletora de talvegue - CCT 09 - areia e brita comerciais</t>
  </si>
  <si>
    <t>2003743</t>
  </si>
  <si>
    <t>Caixa coletora de talvegue - CCT 09 - areia extraída e brita produzida</t>
  </si>
  <si>
    <t>2003746</t>
  </si>
  <si>
    <t>Caixa coletora de talvegue - CCT 10 - areia e brita comerciais</t>
  </si>
  <si>
    <t>2003745</t>
  </si>
  <si>
    <t>Caixa coletora de talvegue - CCT 10 - areia extraída e brita produzida</t>
  </si>
  <si>
    <t>2003748</t>
  </si>
  <si>
    <t>Caixa coletora de talvegue - CCT 11 - areia e brita comerciais</t>
  </si>
  <si>
    <t>2003747</t>
  </si>
  <si>
    <t>Caixa coletora de talvegue - CCT 11 - areia extraída e brita produzida</t>
  </si>
  <si>
    <t>2003750</t>
  </si>
  <si>
    <t>Caixa coletora de talvegue - CCT 12 - areia e brita comerciais</t>
  </si>
  <si>
    <t>2003749</t>
  </si>
  <si>
    <t>Caixa coletora de talvegue - CCT 12 - areia extraída e brita produzida</t>
  </si>
  <si>
    <t>2003752</t>
  </si>
  <si>
    <t>Caixa coletora de talvegue - CCT 13 - areia e brita comerciais</t>
  </si>
  <si>
    <t>2003751</t>
  </si>
  <si>
    <t>Caixa coletora de talvegue - CCT 13 - areia extraída e brita produzida</t>
  </si>
  <si>
    <t>2003754</t>
  </si>
  <si>
    <t>Caixa coletora de talvegue - CCT 14 - areia e brita comerciais</t>
  </si>
  <si>
    <t>2003753</t>
  </si>
  <si>
    <t>Caixa coletora de talvegue - CCT 14 - areia extraída e brita produzida</t>
  </si>
  <si>
    <t>2003756</t>
  </si>
  <si>
    <t>Caixa coletora de talvegue - CCT 15 - areia e brita comerciais</t>
  </si>
  <si>
    <t>2003755</t>
  </si>
  <si>
    <t>Caixa coletora de talvegue - CCT 15 - areia extraída e brita produzida</t>
  </si>
  <si>
    <t>2003758</t>
  </si>
  <si>
    <t>Caixa coletora de talvegue - CCT 16 - areia e brita comerciais</t>
  </si>
  <si>
    <t>2003757</t>
  </si>
  <si>
    <t>Caixa coletora de talvegue - CCT 16 - areia extraída e brita produzida</t>
  </si>
  <si>
    <t>2003760</t>
  </si>
  <si>
    <t>Caixa coletora de talvegue - CCT 17 - areia e brita comerciais</t>
  </si>
  <si>
    <t>2003759</t>
  </si>
  <si>
    <t>Caixa coletora de talvegue - CCT 17 - areia extraída e brita produzida</t>
  </si>
  <si>
    <t>2003762</t>
  </si>
  <si>
    <t>Caixa coletora de talvegue - CCT 18 - areia e brita comerciais</t>
  </si>
  <si>
    <t>2003761</t>
  </si>
  <si>
    <t>Caixa coletora de talvegue - CCT 18 - areia extraída e brita produzida</t>
  </si>
  <si>
    <t>2003764</t>
  </si>
  <si>
    <t>Caixa coletora de talvegue - CCT 19 - areia e brita comerciais</t>
  </si>
  <si>
    <t>2003763</t>
  </si>
  <si>
    <t>Caixa coletora de talvegue - CCT 19 - areia extraída e brita produzida</t>
  </si>
  <si>
    <t>2003766</t>
  </si>
  <si>
    <t>Caixa coletora de talvegue - CCT 20 - areia e brita comerciais</t>
  </si>
  <si>
    <t>2003765</t>
  </si>
  <si>
    <t>Caixa coletora de talvegue - CCT 20 - areia extraída e brita produzida</t>
  </si>
  <si>
    <t>2003642</t>
  </si>
  <si>
    <t>Caixa de ligação e passagem - CLP 01 - areia e brita comerciais</t>
  </si>
  <si>
    <t>2003641</t>
  </si>
  <si>
    <t>Caixa de ligação e passagem - CLP 01 - areia extraída e brita produzida</t>
  </si>
  <si>
    <t>2003644</t>
  </si>
  <si>
    <t>Caixa de ligação e passagem - CLP 02 - areia e brita comerciais</t>
  </si>
  <si>
    <t>2003643</t>
  </si>
  <si>
    <t>Caixa de ligação e passagem - CLP 02 - areia extraída e brita produzida</t>
  </si>
  <si>
    <t>2003646</t>
  </si>
  <si>
    <t>Caixa de ligação e passagem - CLP 03 - areia e brita comerciais</t>
  </si>
  <si>
    <t>2003645</t>
  </si>
  <si>
    <t>Caixa de ligação e passagem - CLP 03 - areia extraída e brita produzida</t>
  </si>
  <si>
    <t>2003648</t>
  </si>
  <si>
    <t>Caixa de ligação e passagem - CLP 04 - areia e brita comerciais</t>
  </si>
  <si>
    <t>2003647</t>
  </si>
  <si>
    <t>Caixa de ligação e passagem - CLP 04 - areia extraída e brita produzida</t>
  </si>
  <si>
    <t>2003650</t>
  </si>
  <si>
    <t>Caixa de ligação e passagem - CLP 05 - areia e brita comerciais</t>
  </si>
  <si>
    <t>2003649</t>
  </si>
  <si>
    <t>Caixa de ligação e passagem - CLP 05 - areia extraída e brita produzida</t>
  </si>
  <si>
    <t>2003652</t>
  </si>
  <si>
    <t>Caixa de ligação e passagem - CLP 06 - areia e brita comerciais</t>
  </si>
  <si>
    <t>2003651</t>
  </si>
  <si>
    <t>Caixa de ligação e passagem - CLP 06 - areia extraída e brita produzida</t>
  </si>
  <si>
    <t>2003654</t>
  </si>
  <si>
    <t>Caixa de ligação e passagem - CLP 07 - areia e brita comerciais</t>
  </si>
  <si>
    <t>2003653</t>
  </si>
  <si>
    <t>Caixa de ligação e passagem - CLP 07 - areia extraída e brita produzida</t>
  </si>
  <si>
    <t>2003656</t>
  </si>
  <si>
    <t>Caixa de ligação e passagem - CLP 08 - areia e brita comerciais</t>
  </si>
  <si>
    <t>2003655</t>
  </si>
  <si>
    <t>Caixa de ligação e passagem - CLP 08 - areia extraída e brita produzida</t>
  </si>
  <si>
    <t>2003658</t>
  </si>
  <si>
    <t>Caixa de ligação e passagem - CLP 09 - areia e brita comerciais</t>
  </si>
  <si>
    <t>2003657</t>
  </si>
  <si>
    <t>Caixa de ligação e passagem - CLP 09 - areia extraída e brita produzida</t>
  </si>
  <si>
    <t>2003660</t>
  </si>
  <si>
    <t>Caixa de ligação e passagem - CLP 10 - areia e brita comerciais</t>
  </si>
  <si>
    <t>2003659</t>
  </si>
  <si>
    <t>Caixa de ligação e passagem - CLP 10 - areia extraída e brita produzida</t>
  </si>
  <si>
    <t>2003662</t>
  </si>
  <si>
    <t>Caixa de ligação e passagem - CLP 11 - areia e brita comerciais</t>
  </si>
  <si>
    <t>2003661</t>
  </si>
  <si>
    <t>Caixa de ligação e passagem - CLP 11 - areia extraída e brita produzida</t>
  </si>
  <si>
    <t>2003664</t>
  </si>
  <si>
    <t>Caixa de ligação e passagem - CLP 12 - areia e brita comerciais</t>
  </si>
  <si>
    <t>2003663</t>
  </si>
  <si>
    <t>Caixa de ligação e passagem - CLP 12 - areia extraída e brita produzida</t>
  </si>
  <si>
    <t>2003666</t>
  </si>
  <si>
    <t>Caixa de ligação e passagem - CLP 13 - areia e brita comerciais</t>
  </si>
  <si>
    <t>2003665</t>
  </si>
  <si>
    <t>Caixa de ligação e passagem - CLP 13 - areia extraída e brita produzida</t>
  </si>
  <si>
    <t>2003668</t>
  </si>
  <si>
    <t>Caixa de ligação e passagem - CLP 14 - areia e brita comerciais</t>
  </si>
  <si>
    <t>2003667</t>
  </si>
  <si>
    <t>Caixa de ligação e passagem - CLP 14 - areia extraída e brita produzida</t>
  </si>
  <si>
    <t>2003670</t>
  </si>
  <si>
    <t>Caixa de ligação e passagem - CLP 15 - areia e brita comerciais</t>
  </si>
  <si>
    <t>2003669</t>
  </si>
  <si>
    <t>Caixa de ligação e passagem - CLP 15 - areia extraída e brita produzida</t>
  </si>
  <si>
    <t>2003672</t>
  </si>
  <si>
    <t>Caixa de ligação e passagem - CLP 16 - areia e brita comerciais</t>
  </si>
  <si>
    <t>2003671</t>
  </si>
  <si>
    <t>Caixa de ligação e passagem - CLP 16 - areia extraída e brita produzida</t>
  </si>
  <si>
    <t>2003674</t>
  </si>
  <si>
    <t>Caixa de ligação e passagem - CLP 17 - areia e brita comerciais</t>
  </si>
  <si>
    <t>2003673</t>
  </si>
  <si>
    <t>Caixa de ligação e passagem - CLP 17 - areia extraída e brita produzida</t>
  </si>
  <si>
    <t>2003676</t>
  </si>
  <si>
    <t>Caixa de ligação e passagem - CLP 18 - areia e brita comerciais</t>
  </si>
  <si>
    <t>2003675</t>
  </si>
  <si>
    <t>Caixa de ligação e passagem - CLP 18 - areia extraída e brita produzida</t>
  </si>
  <si>
    <t>2003854</t>
  </si>
  <si>
    <t>Camada drenante para proteção de muros de contenção - areia comercial</t>
  </si>
  <si>
    <t>2003855</t>
  </si>
  <si>
    <t>Camada drenante para proteção de muros de contenção - areia extraída</t>
  </si>
  <si>
    <t>2003856</t>
  </si>
  <si>
    <t>Camada drenante para proteção de muros de contenção - brita comercial</t>
  </si>
  <si>
    <t>2003857</t>
  </si>
  <si>
    <t>Camada drenante para proteção de muros de contenção - brita produzida</t>
  </si>
  <si>
    <t>2019782</t>
  </si>
  <si>
    <t>Canal em polietileno e polipropileno com efeito autolimpante e abertura de captação em ferro fundido dúctil - carga de controle de 900 kN - 100,0 x 21,0 x 57,9 cm - fornecimento e instalação em pavimento de asfalto</t>
  </si>
  <si>
    <t>2019783</t>
  </si>
  <si>
    <t>Canal em polietileno e polipropileno com efeito autolimpante e abertura de captação em ferro fundido dúctil - carga de controle de 900 kN - 100,0 x 25,2 x 66,5 cm - fornecimento e instalação em pavimento de asfalto</t>
  </si>
  <si>
    <t>2019784</t>
  </si>
  <si>
    <t>Canal em polietileno e polipropileno com efeito autolimpante e abertura de captação em ferro fundido dúctil - carga de controle de 900 kN - 100,0 x 42,0 x 95,0 cm - fornecimento e instalação em pavimento de asfalto</t>
  </si>
  <si>
    <t>2019785</t>
  </si>
  <si>
    <t>Canal em polietileno e polipropileno com efeito autolimpante e abertura de captação em ferro fundido dúctil - carga de controle de 900 kN - 114,2 x 78,0 x 106,0 cm - fornecimento e instalação em pavimento de asfalto</t>
  </si>
  <si>
    <t>2019776</t>
  </si>
  <si>
    <t>Canal em polietileno e polipropileno com efeito autolimpante e grelha de encaixe em ferro fundido dúctil - carga de controle de 400 kN - 100,0 x 14,7 x 18,6 cm - fornecimento e instalação em pavimento de asfalto</t>
  </si>
  <si>
    <t>2019777</t>
  </si>
  <si>
    <t>Canal em polietileno e polipropileno com efeito autolimpante e grelha de encaixe em ferro fundido dúctil - carga de controle de 400 kN - 100,0 x 24,7 x 23,6 cm - fornecimento e instalação em pavimento de asfalto</t>
  </si>
  <si>
    <t>2019778</t>
  </si>
  <si>
    <t>Canal em polietileno e polipropileno com efeito autolimpante e grelha de encaixe em ferro fundido dúctil - carga de controle de 400 kN - 100,0 x 34,9 x 29,4 cm - fornecimento e instalação em pavimento de asfalto</t>
  </si>
  <si>
    <t>2019779</t>
  </si>
  <si>
    <t>Canal em polietileno e polipropileno com efeito autolimpante e grelha de encaixe em ferro fundido dúctil - carga de controle de 600 kN - 100,0 x 16,0 x 15,0 cm - fornecimento e instalação em pavimento de asfalto</t>
  </si>
  <si>
    <t>2019780</t>
  </si>
  <si>
    <t>Canal em polietileno e polipropileno com efeito autolimpante e grelha de encaixe em ferro fundido dúctil - carga de controle de 600 kN - 100,0 x 21,2 x 21,0 cm - fornecimento e instalação em pavimento de asfalto</t>
  </si>
  <si>
    <t>2019781</t>
  </si>
  <si>
    <t>Canal em polietileno e polipropileno com efeito autolimpante e grelha de encaixe em ferro fundido dúctil - carga de controle de 600 kN - 100,0 x 26,2 x 20,0 cm - fornecimento e instalação em pavimento de asfalto</t>
  </si>
  <si>
    <t>2019773</t>
  </si>
  <si>
    <t>Canal em polietileno e polipropileno com efeito autolimpante e grelha de encaixe em poliamida reforçada - carga de controle de 250 kN - 100,0 x 16,0 x 15,0 cm - fornecimento e instalação em pavimento de asfalto</t>
  </si>
  <si>
    <t>2019774</t>
  </si>
  <si>
    <t>Canal em polietileno e polipropileno com efeito autolimpante e grelha de encaixe em poliamida reforçada - carga de controle de 250 kN - 100,0 x 16,0 x 20,0 cm - fornecimento e instalação em pavimento de asfalto</t>
  </si>
  <si>
    <t>2019775</t>
  </si>
  <si>
    <t>Canal em polietileno e polipropileno com efeito autolimpante e grelha de encaixe em poliamida reforçada - carga de controle de 250 kN - 100,0 x 16,0 x 7,5 cm - fornecimento e instalação em pavimento de asfalto</t>
  </si>
  <si>
    <t>2019755</t>
  </si>
  <si>
    <t>Canal monobloco com corpo e grelha em concreto polímero com efeito autolimpante - carga de controle de 400 kN - 100,0 x 15,0 x 23,0 cm - fornecimento e instalação em pavimento de asfalto</t>
  </si>
  <si>
    <t>2019764</t>
  </si>
  <si>
    <t>Canal monobloco com corpo e grelha em concreto polímero com efeito autolimpante - carga de controle de 400 kN - 100,0 x 15,0 x 23,0 cm - fornecimento e instalação em pavimento de concreto</t>
  </si>
  <si>
    <t>2019756</t>
  </si>
  <si>
    <t>Canal monobloco com corpo e grelha em concreto polímero com efeito autolimpante - carga de controle de 400 kN - 100,0 x 25,0 x 32,0 cm - fornecimento e instalação em pavimento de asfalto</t>
  </si>
  <si>
    <t>2019765</t>
  </si>
  <si>
    <t>Canal monobloco com corpo e grelha em concreto polímero com efeito autolimpante - carga de controle de 400 kN - 100,0 x 25,0 x 32,0 cm - fornecimento e instalação em pavimento de concreto</t>
  </si>
  <si>
    <t>2019757</t>
  </si>
  <si>
    <t>Canal monobloco com corpo e grelha em concreto polímero com efeito autolimpante - carga de controle de 900 kN - 100,0 x 16,0 x 26,5 cm - fornecimento e instalação em pavimento de asfalto</t>
  </si>
  <si>
    <t>2019766</t>
  </si>
  <si>
    <t>Canal monobloco com corpo e grelha em concreto polímero com efeito autolimpante - carga de controle de 900 kN - 100,0 x 16,0 x 26,5 cm - fornecimento e instalação em pavimento de concreto</t>
  </si>
  <si>
    <t>2019758</t>
  </si>
  <si>
    <t>Canal monobloco com corpo e grelha em concreto polímero com efeito autolimpante - carga de controle de 900 kN - 100,0 x 21,0 x 28,0 cm - fornecimento e instalação em pavimento de asfalto</t>
  </si>
  <si>
    <t>2019767</t>
  </si>
  <si>
    <t>Canal monobloco com corpo e grelha em concreto polímero com efeito autolimpante - carga de controle de 900 kN - 100,0 x 21,0 x 28,0 cm - fornecimento e instalação em pavimento de concreto</t>
  </si>
  <si>
    <t>2019759</t>
  </si>
  <si>
    <t>Canal monobloco com corpo e grelha em concreto polímero com efeito autolimpante - carga de controle de 900 kN - 100,0 x 21,0 x 38,0 cm - fornecimento e instalação em pavimento de asfalto</t>
  </si>
  <si>
    <t>2019768</t>
  </si>
  <si>
    <t>Canal monobloco com corpo e grelha em concreto polímero com efeito autolimpante - carga de controle de 900 kN - 100,0 x 21,0 x 38,0 cm - fornecimento e instalação em pavimento de concreto</t>
  </si>
  <si>
    <t>2019760</t>
  </si>
  <si>
    <t>Canal monobloco com corpo e grelha em concreto polímero com efeito autolimpante - carga de controle de 900 kN - 100,0 x 21,0 x 48,0 cm - fornecimento e instalação em pavimento de asfalto</t>
  </si>
  <si>
    <t>2019769</t>
  </si>
  <si>
    <t>Canal monobloco com corpo e grelha em concreto polímero com efeito autolimpante - carga de controle de 900 kN - 100,0 x 21,0 x 48,0 cm - fornecimento e instalação em pavimento de concreto</t>
  </si>
  <si>
    <t>2019761</t>
  </si>
  <si>
    <t>Canal monobloco com corpo e grelha em concreto polímero com efeito autolimpante - carga de controle de 900 kN - 100,0 x 26,0 x 33,0 cm - fornecimento e instalação em pavimento de asfalto</t>
  </si>
  <si>
    <t>2019770</t>
  </si>
  <si>
    <t>Canal monobloco com corpo e grelha em concreto polímero com efeito autolimpante - carga de controle de 900 kN - 100,0 x 26,0 x 33,0 cm - fornecimento e instalação em pavimento de concreto</t>
  </si>
  <si>
    <t>2019762</t>
  </si>
  <si>
    <t>Canal monobloco com corpo e grelha em concreto polímero com efeito autolimpante - carga de controle de 900 kN - 100,0 x 26,0 x 53,0 cm - fornecimento e instalação em pavimento de asfalto</t>
  </si>
  <si>
    <t>2019771</t>
  </si>
  <si>
    <t>Canal monobloco com corpo e grelha em concreto polímero com efeito autolimpante - carga de controle de 900 kN - 100,0 x 26,0 x 53,0 cm - fornecimento e instalação em pavimento de concreto</t>
  </si>
  <si>
    <t>2019763</t>
  </si>
  <si>
    <t>Canal monobloco com corpo e grelha em concreto polímero com efeito autolimpante - carga de controle de 900 kN - 200,0 x 40,0 x 59,5 cm - fornecimento e instalação em pavimento de asfalto</t>
  </si>
  <si>
    <t>2019772</t>
  </si>
  <si>
    <t>Canal monobloco com corpo e grelha em concreto polímero com efeito autolimpante - carga de controle de 900 kN - 200,0 x 40,0 x 59,5 cm - fornecimento e instalação em pavimento de concreto</t>
  </si>
  <si>
    <t>2003811</t>
  </si>
  <si>
    <t>Canaleta de concreto - CAU 01 - seção de 20 x 20 cm - espessura de 10 cm - apoiada em toda a extensão</t>
  </si>
  <si>
    <t>2003812</t>
  </si>
  <si>
    <t>Canaleta de concreto - CAU 02 - seção de 25 x 25 cm - espessura de 10 cm - apoiada em toda a extensão</t>
  </si>
  <si>
    <t>2003813</t>
  </si>
  <si>
    <t>Canaleta de concreto - CAU 03 - seção de 30 x 30 cm - espessura de 10 cm - apoiada em toda a extensão</t>
  </si>
  <si>
    <t>2003814</t>
  </si>
  <si>
    <t>Canaleta de concreto - CAU 04 - seção de 35 x 35 cm - espessura de 10 cm - apoiada em toda a extensão</t>
  </si>
  <si>
    <t>2003815</t>
  </si>
  <si>
    <t>Canaleta de concreto - CAU 05 - seção de 40 x 40 cm - espessura de 10 cm - apoiada em toda a extensão</t>
  </si>
  <si>
    <t>2003816</t>
  </si>
  <si>
    <t>Canaleta de concreto - CAU 06 - seção de 50 x 50 cm - espessura de 10 cm - apoiada em toda a extensão</t>
  </si>
  <si>
    <t>2003817</t>
  </si>
  <si>
    <t>Canaleta de concreto - CAU 07 - seção de 60 x 60 cm - espessura de 10 cm - apoiada em toda a extensão</t>
  </si>
  <si>
    <t>2003799</t>
  </si>
  <si>
    <t>Canaleta meia cana D = 0,30 m assente sobre lastro de areia - areia e brita comerciais - fornecimento e instalação</t>
  </si>
  <si>
    <t>2003798</t>
  </si>
  <si>
    <t>Canaleta meia cana D = 0,30 m assente sobre lastro de areia - areia extraída e brita produzida - fornecimento e instalação</t>
  </si>
  <si>
    <t>2003801</t>
  </si>
  <si>
    <t>Canaleta meia cana D = 0,40 m assente sobre lastro de areia - areia e brita comerciais - fornecimento e instalação</t>
  </si>
  <si>
    <t>2003800</t>
  </si>
  <si>
    <t>Canaleta meia cana D = 0,40 m assente sobre lastro de areia - areia extraída e brita produzida - fornecimento e instalação</t>
  </si>
  <si>
    <t>2003714</t>
  </si>
  <si>
    <t>Chaminé dos poços de visita - CPV 01 - areia e brita comerciais</t>
  </si>
  <si>
    <t>2003713</t>
  </si>
  <si>
    <t>Chaminé dos poços de visita - CPV 01 - areia extraída e brita produzida</t>
  </si>
  <si>
    <t>2003716</t>
  </si>
  <si>
    <t>Chaminé dos poços de visita - CPV 02 - areia e brita comerciais</t>
  </si>
  <si>
    <t>2003715</t>
  </si>
  <si>
    <t>Chaminé dos poços de visita - CPV 02 - areia extraída e brita produzida</t>
  </si>
  <si>
    <t>2003718</t>
  </si>
  <si>
    <t>Chaminé dos poços de visita - CPV 03 - areia e brita comerciais</t>
  </si>
  <si>
    <t>2003717</t>
  </si>
  <si>
    <t>Chaminé dos poços de visita - CPV 03 - areia extraída e brita produzida</t>
  </si>
  <si>
    <t>2003720</t>
  </si>
  <si>
    <t>Chaminé dos poços de visita - CPV 04 - areia e brita comerciais</t>
  </si>
  <si>
    <t>2003719</t>
  </si>
  <si>
    <t>Chaminé dos poços de visita - CPV 04 - areia extraída e brita produzida</t>
  </si>
  <si>
    <t>2003722</t>
  </si>
  <si>
    <t>Chaminé dos poços de visita - CPV 05 - areia e brita comerciais</t>
  </si>
  <si>
    <t>2003721</t>
  </si>
  <si>
    <t>Chaminé dos poços de visita - CPV 05 - areia extraída e brita produzida</t>
  </si>
  <si>
    <t>2003724</t>
  </si>
  <si>
    <t>Chaminé dos poços de visita - CPV 06 - areia e brita comerciais</t>
  </si>
  <si>
    <t>2003723</t>
  </si>
  <si>
    <t>Chaminé dos poços de visita - CPV 06 - areia extraída e brita produzida</t>
  </si>
  <si>
    <t>2003726</t>
  </si>
  <si>
    <t>Chaminé dos poços de visita - CPV 07 - areia e brita comerciais</t>
  </si>
  <si>
    <t>2003725</t>
  </si>
  <si>
    <t>Chaminé dos poços de visita - CPV 07 - areia extraída e brita produzida</t>
  </si>
  <si>
    <t>2003859</t>
  </si>
  <si>
    <t>Colchão drenante com espalhamento e compactação mecânicos - brita produzida</t>
  </si>
  <si>
    <t>2003861</t>
  </si>
  <si>
    <t>Coluna drenante D = 20 cm - areia comercial</t>
  </si>
  <si>
    <t>2003862</t>
  </si>
  <si>
    <t>Coluna drenante D = 20 cm - areia extraída</t>
  </si>
  <si>
    <t>2003411</t>
  </si>
  <si>
    <t>Descida d'água de aterros em degraus - DAD 110-26 - areia e brita comerciais</t>
  </si>
  <si>
    <t>2003410</t>
  </si>
  <si>
    <t>Descida d'água de aterros em degraus - DAD 110-26 - areia extraída e brita produzida</t>
  </si>
  <si>
    <t>2003415</t>
  </si>
  <si>
    <t>Descida d'água de aterros em degraus - DAD 125-30 - areia e brita comerciais</t>
  </si>
  <si>
    <t>2003414</t>
  </si>
  <si>
    <t>Descida d'água de aterros em degraus - DAD 125-30 - areia extraída e brita produzida</t>
  </si>
  <si>
    <t>2003419</t>
  </si>
  <si>
    <t>Descida d'água de aterros em degraus - DAD 170-35 - areia e brita comerciais</t>
  </si>
  <si>
    <t>2003418</t>
  </si>
  <si>
    <t>Descida d'água de aterros em degraus - DAD 170-35 - areia extraída e brita produzida</t>
  </si>
  <si>
    <t>2003423</t>
  </si>
  <si>
    <t>Descida d'água de aterros em degraus - DAD 200-40 - areia e brita comerciais</t>
  </si>
  <si>
    <t>2003422</t>
  </si>
  <si>
    <t>Descida d'água de aterros em degraus - DAD 200-40 - areia extraída e brita produzida</t>
  </si>
  <si>
    <t>2003427</t>
  </si>
  <si>
    <t>Descida d'água de aterros em degraus - DAD 240-54 - areia e brita comerciais</t>
  </si>
  <si>
    <t>2003426</t>
  </si>
  <si>
    <t>Descida d'água de aterros em degraus - DAD 240-54 - areia extraída e brita produzida</t>
  </si>
  <si>
    <t>2003431</t>
  </si>
  <si>
    <t>Descida d'água de aterros em degraus - DAD 320-35 - areia e brita comerciais</t>
  </si>
  <si>
    <t>2003430</t>
  </si>
  <si>
    <t>Descida d'água de aterros em degraus - DAD 320-35 - areia extraída e brita produzida</t>
  </si>
  <si>
    <t>2003435</t>
  </si>
  <si>
    <t>Descida d'água de aterros em degraus - DAD 370-45 - areia e brita comerciais</t>
  </si>
  <si>
    <t>2003434</t>
  </si>
  <si>
    <t>Descida d'água de aterros em degraus - DAD 370-45 - areia extraída e brita produzida</t>
  </si>
  <si>
    <t>2003439</t>
  </si>
  <si>
    <t>Descida d'água de aterros em degraus - DAD 435-55 - areia e brita comerciais</t>
  </si>
  <si>
    <t>2003438</t>
  </si>
  <si>
    <t>Descida d'água de aterros em degraus - DAD 435-55 - areia extraída e brita produzida</t>
  </si>
  <si>
    <t>2003167</t>
  </si>
  <si>
    <t>Descida d'água de aterros em degraus - DAD 470-35 - areia e brita comerciais</t>
  </si>
  <si>
    <t>2003168</t>
  </si>
  <si>
    <t>Descida d'água de aterros em degraus - DAD 470-35 - areia extraída e brita produzida</t>
  </si>
  <si>
    <t>2003407</t>
  </si>
  <si>
    <t>Descida d'água de aterros em degraus - DAD 60-36 - areia e brita comerciais</t>
  </si>
  <si>
    <t>2003406</t>
  </si>
  <si>
    <t>Descida d'água de aterros em degraus - DAD 60-36 - areia extraída e brita produzida</t>
  </si>
  <si>
    <t>2003169</t>
  </si>
  <si>
    <t>Descida d'água de aterros em degraus - DAD 608-50 - areia e brita comerciais</t>
  </si>
  <si>
    <t>2003170</t>
  </si>
  <si>
    <t>Descida d'água de aterros em degraus - DAD 608-50 - areia extraída e brita produzida</t>
  </si>
  <si>
    <t>2003389</t>
  </si>
  <si>
    <t>Descida d'água de aterros tipo rápido - DAR 40-20 - areia e brita comerciais</t>
  </si>
  <si>
    <t>2003388</t>
  </si>
  <si>
    <t>Descida d'água de aterros tipo rápido - DAR 40-20 - areia extraída e brita produzida</t>
  </si>
  <si>
    <t>2003393</t>
  </si>
  <si>
    <t>Descida d'água de aterros tipo rápido - DAR 60-30 - areia e brita comerciais</t>
  </si>
  <si>
    <t>2003392</t>
  </si>
  <si>
    <t>Descida d'água de aterros tipo rápido - DAR 60-30 - areia extraída e brita produzida</t>
  </si>
  <si>
    <t>2003173</t>
  </si>
  <si>
    <t>Descida d'água de cortes em degraus - DCD 100-50 - areia e brita comerciais</t>
  </si>
  <si>
    <t>2003174</t>
  </si>
  <si>
    <t>Descida d'água de cortes em degraus - DCD 100-50 - areia extraída e brita produzida</t>
  </si>
  <si>
    <t>2003171</t>
  </si>
  <si>
    <t>Descida d'água de cortes em degraus - DCD 40-40 - areia e brita comerciais</t>
  </si>
  <si>
    <t>2003172</t>
  </si>
  <si>
    <t>Descida d'água de cortes em degraus - DCD 40-40 - areia extraída e brita produzida</t>
  </si>
  <si>
    <t>2003399</t>
  </si>
  <si>
    <t>Descida d'água de cortes em degraus - DCD 60-30 - areia e brita comerciais</t>
  </si>
  <si>
    <t>2003398</t>
  </si>
  <si>
    <t>Descida d'água de cortes em degraus - DCD 60-30 - areia extraída e brita produzida</t>
  </si>
  <si>
    <t>2003403</t>
  </si>
  <si>
    <t>Descida d'água de cortes em degraus - DCD 80-40 - areia e brita comerciais</t>
  </si>
  <si>
    <t>2003402</t>
  </si>
  <si>
    <t>Descida d'água de cortes em degraus - DCD 80-40 - areia extraída e brita produzida</t>
  </si>
  <si>
    <t>2003452</t>
  </si>
  <si>
    <t>Dissipador de energia - DEB 180-263 - areia extraída e brita e pedra de mão produzidas</t>
  </si>
  <si>
    <t>2003453</t>
  </si>
  <si>
    <t>Dissipador de energia - DEB 180-263 - areia, brita e pedra de mão comerciais</t>
  </si>
  <si>
    <t>2003454</t>
  </si>
  <si>
    <t>Dissipador de energia - DEB 240-316 - areia extraída e brita e pedra de mão produzidas</t>
  </si>
  <si>
    <t>2003455</t>
  </si>
  <si>
    <t>Dissipador de energia - DEB 240-316 - areia, brita e pedra de mão comerciais</t>
  </si>
  <si>
    <t>2003456</t>
  </si>
  <si>
    <t>Dissipador de energia - DEB 300-366 - areia extraída e brita e pedra de mão produzidas</t>
  </si>
  <si>
    <t>2003457</t>
  </si>
  <si>
    <t>Dissipador de energia - DEB 300-366 - areia, brita e pedra de mão comerciais</t>
  </si>
  <si>
    <t>2003462</t>
  </si>
  <si>
    <t>Dissipador de energia - DEB 300-511 - areia extraída e brita e pedra de mão produzidas</t>
  </si>
  <si>
    <t>2003463</t>
  </si>
  <si>
    <t>Dissipador de energia - DEB 300-511 - areia, brita e pedra de mão comerciais</t>
  </si>
  <si>
    <t>2003468</t>
  </si>
  <si>
    <t>Dissipador de energia - DEB 300-666 - areia extraída e brita e pedra de mão produzidas</t>
  </si>
  <si>
    <t>2003469</t>
  </si>
  <si>
    <t>Dissipador de energia - DEB 300-666 - areia, brita e pedra de mão comerciais</t>
  </si>
  <si>
    <t>2003458</t>
  </si>
  <si>
    <t>Dissipador de energia - DEB 360-414 - areia extraída e brita e pedra de mão produzidas</t>
  </si>
  <si>
    <t>2003459</t>
  </si>
  <si>
    <t>Dissipador de energia - DEB 360-414 - areia, brita e pedra de mão comerciais</t>
  </si>
  <si>
    <t>2003464</t>
  </si>
  <si>
    <t>Dissipador de energia - DEB 360-584 - areia extraída e brita e pedra de mão produzidas</t>
  </si>
  <si>
    <t>2003465</t>
  </si>
  <si>
    <t>Dissipador de energia - DEB 360-584 - areia, brita e pedra de mão comerciais</t>
  </si>
  <si>
    <t>2003470</t>
  </si>
  <si>
    <t>Dissipador de energia - DEB 360-754 - areia extraída e brita e pedra de mão produzidas</t>
  </si>
  <si>
    <t>2003471</t>
  </si>
  <si>
    <t>Dissipador de energia - DEB 360-754 - areia, brita e pedra de mão comerciais</t>
  </si>
  <si>
    <t>2003460</t>
  </si>
  <si>
    <t>Dissipador de energia - DEB 450-551 - areia extraída e brita e pedra de mão produzidas</t>
  </si>
  <si>
    <t>2003461</t>
  </si>
  <si>
    <t>Dissipador de energia - DEB 450-551 - areia, brita e pedra de mão comerciais</t>
  </si>
  <si>
    <t>2003466</t>
  </si>
  <si>
    <t>Dissipador de energia - DEB 450-746 - areia extraída e brita e pedra de mão produzidas</t>
  </si>
  <si>
    <t>2003467</t>
  </si>
  <si>
    <t>Dissipador de energia - DEB 450-746 - areia, brita e pedra de mão comerciais</t>
  </si>
  <si>
    <t>2003472</t>
  </si>
  <si>
    <t>Dissipador de energia - DEB 450-956 - areia extraída e brita e pedra de mão produzidas</t>
  </si>
  <si>
    <t>2003473</t>
  </si>
  <si>
    <t>Dissipador de energia - DEB 450-956 - areia, brita e pedra de mão comerciais</t>
  </si>
  <si>
    <t>2003176</t>
  </si>
  <si>
    <t>Dissipador de energia - DED 01 A - areia extraída e brita e pedra de mão produzidas</t>
  </si>
  <si>
    <t>2003175</t>
  </si>
  <si>
    <t>Dissipador de energia - DED 01 A - areia, brita e pedra de mão comerciais</t>
  </si>
  <si>
    <t>2003201</t>
  </si>
  <si>
    <t>Dissipador de energia - DED 01 B - areia e brita comerciais</t>
  </si>
  <si>
    <t>2003202</t>
  </si>
  <si>
    <t>Dissipador de energia - DED 01 B - areia extraída e brita produzida</t>
  </si>
  <si>
    <t>2003178</t>
  </si>
  <si>
    <t>Dissipador de energia - DED 02 A - areia extraída e brita e pedra de mão produzidas</t>
  </si>
  <si>
    <t>2003177</t>
  </si>
  <si>
    <t>Dissipador de energia - DED 02 A - areia, brita e pedra de mão comerciais</t>
  </si>
  <si>
    <t>2003203</t>
  </si>
  <si>
    <t>Dissipador de energia - DED 02 B - areia e brita comerciais</t>
  </si>
  <si>
    <t>2003204</t>
  </si>
  <si>
    <t>Dissipador de energia - DED 02 B - areia extraída e brita produzida</t>
  </si>
  <si>
    <t>2003180</t>
  </si>
  <si>
    <t>Dissipador de energia - DED 03 A - areia extraída e brita e pedra de mão produzidas</t>
  </si>
  <si>
    <t>2003179</t>
  </si>
  <si>
    <t>Dissipador de energia - DED 03 A - areia, brita e pedra de mão comerciais</t>
  </si>
  <si>
    <t>2003205</t>
  </si>
  <si>
    <t>Dissipador de energia - DED 03 B - areia e brita comerciais</t>
  </si>
  <si>
    <t>2003206</t>
  </si>
  <si>
    <t>Dissipador de energia - DED 03 B - areia extraída e brita produzida</t>
  </si>
  <si>
    <t>2003182</t>
  </si>
  <si>
    <t>Dissipador de energia - DED 04 A - areia extraída e brita e pedra de mão produzidas</t>
  </si>
  <si>
    <t>2003181</t>
  </si>
  <si>
    <t>Dissipador de energia - DED 04 A - areia, brita e pedra de mão comerciais</t>
  </si>
  <si>
    <t>2003207</t>
  </si>
  <si>
    <t>Dissipador de energia - DED 04 B - areia e brita comerciais</t>
  </si>
  <si>
    <t>2003208</t>
  </si>
  <si>
    <t>Dissipador de energia - DED 04 B - areia extraída e brita produzida</t>
  </si>
  <si>
    <t>2003184</t>
  </si>
  <si>
    <t>Dissipador de energia - DED 05 A - areia extraída e brita e pedra de mão produzidas</t>
  </si>
  <si>
    <t>2003183</t>
  </si>
  <si>
    <t>Dissipador de energia - DED 05 A - areia, brita e pedra de mão comerciais</t>
  </si>
  <si>
    <t>2003209</t>
  </si>
  <si>
    <t>Dissipador de energia - DED 05 B - areia e brita comerciais</t>
  </si>
  <si>
    <t>2003210</t>
  </si>
  <si>
    <t>Dissipador de energia - DED 05 B - areia extraída e brita produzida</t>
  </si>
  <si>
    <t>2003186</t>
  </si>
  <si>
    <t>Dissipador de energia - DED 06 A - areia extraída e brita e pedra de mão produzidas</t>
  </si>
  <si>
    <t>2003185</t>
  </si>
  <si>
    <t>Dissipador de energia - DED 06 A - areia, brita e pedra de mão comerciais</t>
  </si>
  <si>
    <t>2003211</t>
  </si>
  <si>
    <t>Dissipador de energia - DED 06 B - areia e brita comerciais</t>
  </si>
  <si>
    <t>2003212</t>
  </si>
  <si>
    <t>Dissipador de energia - DED 06 B - areia extraída e brita produzida</t>
  </si>
  <si>
    <t>2003188</t>
  </si>
  <si>
    <t>Dissipador de energia - DED 07 A - areia extraída e brita e pedra de mão produzidas</t>
  </si>
  <si>
    <t>2003187</t>
  </si>
  <si>
    <t>Dissipador de energia - DED 07 A - areia, brita e pedra de mão comerciais</t>
  </si>
  <si>
    <t>2003213</t>
  </si>
  <si>
    <t>Dissipador de energia - DED 07 B - areia e brita comerciais</t>
  </si>
  <si>
    <t>2003214</t>
  </si>
  <si>
    <t>Dissipador de energia - DED 07 B - areia extraída e brita produzida</t>
  </si>
  <si>
    <t>2003190</t>
  </si>
  <si>
    <t>Dissipador de energia - DED 08 A - areia extraída e brita e pedra de mão produzidas</t>
  </si>
  <si>
    <t>2003189</t>
  </si>
  <si>
    <t>Dissipador de energia - DED 08 A - areia, brita e pedra de mão comerciais</t>
  </si>
  <si>
    <t>2003215</t>
  </si>
  <si>
    <t>Dissipador de energia - DED 08 B - areia e brita comerciais</t>
  </si>
  <si>
    <t>2003216</t>
  </si>
  <si>
    <t>Dissipador de energia - DED 08 B - areia extraída e brita produzida</t>
  </si>
  <si>
    <t>2003192</t>
  </si>
  <si>
    <t>Dissipador de energia - DED 09 A - areia extraída e brita e pedra de mão produzidas</t>
  </si>
  <si>
    <t>2003191</t>
  </si>
  <si>
    <t>Dissipador de energia - DED 09 A - areia, brita e pedra de mão comerciais</t>
  </si>
  <si>
    <t>2003217</t>
  </si>
  <si>
    <t>Dissipador de energia - DED 09 B - areia e brita comerciais</t>
  </si>
  <si>
    <t>2003218</t>
  </si>
  <si>
    <t>Dissipador de energia - DED 09 B - areia extraída e brita produzida</t>
  </si>
  <si>
    <t>2003194</t>
  </si>
  <si>
    <t>Dissipador de energia - DED 10 A - areia extraída e brita e pedra de mão produzidas</t>
  </si>
  <si>
    <t>2003193</t>
  </si>
  <si>
    <t>Dissipador de energia - DED 10 A - areia, brita e pedra de mão comerciais</t>
  </si>
  <si>
    <t>2003219</t>
  </si>
  <si>
    <t>Dissipador de energia - DED 10 B - areia e brita comerciais</t>
  </si>
  <si>
    <t>2003220</t>
  </si>
  <si>
    <t>Dissipador de energia - DED 10 B - areia extraída e brita produzida</t>
  </si>
  <si>
    <t>2003196</t>
  </si>
  <si>
    <t>Dissipador de energia - DED 11 A - areia extraída e brita e pedra de mão produzidas</t>
  </si>
  <si>
    <t>2003195</t>
  </si>
  <si>
    <t>Dissipador de energia - DED 11 A - areia, brita e pedra de mão comerciais</t>
  </si>
  <si>
    <t>2003221</t>
  </si>
  <si>
    <t>Dissipador de energia - DED 11 B - areia e brita comerciais</t>
  </si>
  <si>
    <t>2003222</t>
  </si>
  <si>
    <t>Dissipador de energia - DED 11 B - areia extraída e brita produzida</t>
  </si>
  <si>
    <t>2003198</t>
  </si>
  <si>
    <t>Dissipador de energia - DED 12 A - areia extraída e brita e pedra de mão produzidas</t>
  </si>
  <si>
    <t>2003197</t>
  </si>
  <si>
    <t>Dissipador de energia - DED 12 A - areia, brita e pedra de mão comerciais</t>
  </si>
  <si>
    <t>2003223</t>
  </si>
  <si>
    <t>Dissipador de energia - DED 12 B - areia e brita comerciais</t>
  </si>
  <si>
    <t>2003224</t>
  </si>
  <si>
    <t>Dissipador de energia - DED 12 B - areia extraída e brita produzida</t>
  </si>
  <si>
    <t>2003200</t>
  </si>
  <si>
    <t>Dissipador de energia - DED 13 A - areia extraída e brita e pedra de mão produzidas</t>
  </si>
  <si>
    <t>2003199</t>
  </si>
  <si>
    <t>Dissipador de energia - DED 13 A - areia, brita e pedra de mão comerciais</t>
  </si>
  <si>
    <t>2003225</t>
  </si>
  <si>
    <t>Dissipador de energia - DED 13 B - areia e brita comerciais</t>
  </si>
  <si>
    <t>2003226</t>
  </si>
  <si>
    <t>Dissipador de energia - DED 13 B - areia extraída e brita produzida</t>
  </si>
  <si>
    <t>2003238</t>
  </si>
  <si>
    <t>Dissipador de energia - DES 100-300 - areia extraída e brita e pedra de mão produzidas</t>
  </si>
  <si>
    <t>2003237</t>
  </si>
  <si>
    <t>Dissipador de energia - DES 100-300 - areia, brita e pedra de mão comerciais</t>
  </si>
  <si>
    <t>2003236</t>
  </si>
  <si>
    <t>Dissipador de energia - DES 108-324 - areia extraída e brita e pedra de mão produzidas</t>
  </si>
  <si>
    <t>2003235</t>
  </si>
  <si>
    <t>Dissipador de energia - DES 108-324 - areia, brita e pedra de mão comerciais</t>
  </si>
  <si>
    <t>2003234</t>
  </si>
  <si>
    <t>Dissipador de energia - DES 120-360 - areia extraída e brita e pedra de mão produzidas</t>
  </si>
  <si>
    <t>2003233</t>
  </si>
  <si>
    <t>Dissipador de energia - DES 120-360 - areia, brita e pedra de mão comerciais</t>
  </si>
  <si>
    <t>2003232</t>
  </si>
  <si>
    <t>Dissipador de energia - DES 125-375 - areia extraída e brita e pedra de mão produzidas</t>
  </si>
  <si>
    <t>2003231</t>
  </si>
  <si>
    <t>Dissipador de energia - DES 125-375 - areia, brita e pedra de mão comerciais</t>
  </si>
  <si>
    <t>2003230</t>
  </si>
  <si>
    <t>Dissipador de energia - DES 150-450 - areia extraída e brita e pedra de mão produzidas</t>
  </si>
  <si>
    <t>2003229</t>
  </si>
  <si>
    <t>Dissipador de energia - DES 150-450 - areia, brita e pedra de mão comerciais</t>
  </si>
  <si>
    <t>2003228</t>
  </si>
  <si>
    <t>Dissipador de energia - DES 160-480 - areia extraída e brita e pedra de mão produzidas</t>
  </si>
  <si>
    <t>2003227</t>
  </si>
  <si>
    <t>Dissipador de energia - DES 160-480 - areia, brita e pedra de mão comerciais</t>
  </si>
  <si>
    <t>2003248</t>
  </si>
  <si>
    <t>Dissipador de energia - DES 60-180 - areia extraída e brita e pedra de mão produzidas</t>
  </si>
  <si>
    <t>2003247</t>
  </si>
  <si>
    <t>Dissipador de energia - DES 60-180 - areia, brita e pedra de mão comerciais</t>
  </si>
  <si>
    <t>2003246</t>
  </si>
  <si>
    <t>Dissipador de energia - DES 73-219 - areia extraída e brita e pedra de mão produzidas</t>
  </si>
  <si>
    <t>2003245</t>
  </si>
  <si>
    <t>Dissipador de energia - DES 73-219 - areia, brita e pedra de mão comerciais</t>
  </si>
  <si>
    <t>2003244</t>
  </si>
  <si>
    <t>Dissipador de energia - DES 80-240 - areia extraída e brita e pedra de mão produzidas</t>
  </si>
  <si>
    <t>2003243</t>
  </si>
  <si>
    <t>Dissipador de energia - DES 80-240 - areia, brita e pedra de mão comerciais</t>
  </si>
  <si>
    <t>2003242</t>
  </si>
  <si>
    <t>Dissipador de energia - DES 88-264 - areia extraída e brita e pedra de mão produzidas</t>
  </si>
  <si>
    <t>2003241</t>
  </si>
  <si>
    <t>Dissipador de energia - DES 88-264 - areia, brita e pedra de mão comerciais</t>
  </si>
  <si>
    <t>2003240</t>
  </si>
  <si>
    <t>Dissipador de energia - DES 90-270 - areia extraída e brita e pedra de mão produzidas</t>
  </si>
  <si>
    <t>2003239</t>
  </si>
  <si>
    <t>Dissipador de energia - DES 90-270 - areia, brita e pedra de mão comerciais</t>
  </si>
  <si>
    <t>2004516</t>
  </si>
  <si>
    <t>Dreno de pavimento em microvala com geocomposto drenante H = 0,40 m - inclusive corte, enchimento com areia e selo asfáltico</t>
  </si>
  <si>
    <t>2004517</t>
  </si>
  <si>
    <t>Dreno de pavimento em microvala com geocomposto drenante H = 0,60 m - inclusive corte, enchimento com areia e selo asfáltico</t>
  </si>
  <si>
    <t>2007971</t>
  </si>
  <si>
    <t>Dreno de PVC D = 100 mm para OAE - fornecimento e instalação</t>
  </si>
  <si>
    <t>2008091</t>
  </si>
  <si>
    <t>Dreno de PVC D = 150 mm para OAE - fornecimento e instalação</t>
  </si>
  <si>
    <t>2006408</t>
  </si>
  <si>
    <t>Dreno de PVC D = 75 mm para OAE - fornecimento e instalação</t>
  </si>
  <si>
    <t>2015642</t>
  </si>
  <si>
    <t>Dreno em tubo de aço galvanizado D = 100 mm em OAE - fornecimento e instalação</t>
  </si>
  <si>
    <t>2015641</t>
  </si>
  <si>
    <t>Dreno em tubo de aço galvanizado D = 80 mm em OAE - fornecimento e instalação</t>
  </si>
  <si>
    <t>2004509</t>
  </si>
  <si>
    <t>Dreno longitudinal de pavimento H = 0,40 m - com geocomposto drenante</t>
  </si>
  <si>
    <t>2004510</t>
  </si>
  <si>
    <t>Dreno longitudinal de pavimento H = 0,60 m - com geocomposto drenante</t>
  </si>
  <si>
    <t>2004511</t>
  </si>
  <si>
    <t>Dreno longitudinal de pavimento H = 1,00 m - com geocomposto drenante</t>
  </si>
  <si>
    <t>2004512</t>
  </si>
  <si>
    <t>Dreno longitudinal de pavimento H = 1,50 m - com geocomposto drenante</t>
  </si>
  <si>
    <t>2003843</t>
  </si>
  <si>
    <t>Dreno longitudinal profundo em tubo de concreto D = 0,40 m em vala de H = 1,10 m e L = 1,00 m com brita envolta em geotêxtil</t>
  </si>
  <si>
    <t>2003915</t>
  </si>
  <si>
    <t>Dreno longitudinal profundo para corte em rocha - DPR 01 - tubo de concreto perfurado e brita comercial</t>
  </si>
  <si>
    <t>2003914</t>
  </si>
  <si>
    <t>Dreno longitudinal profundo para corte em rocha - DPR 01 - tubo de concreto perfurado e brita produzida</t>
  </si>
  <si>
    <t>2003589</t>
  </si>
  <si>
    <t>Dreno longitudinal profundo para corte em rocha - DPR 01 - tubo PEAD e brita comercial</t>
  </si>
  <si>
    <t>2003588</t>
  </si>
  <si>
    <t>Dreno longitudinal profundo para corte em rocha - DPR 01 - tubo PEAD e brita produzida</t>
  </si>
  <si>
    <t>2003917</t>
  </si>
  <si>
    <t>Dreno longitudinal profundo para corte em rocha - DPR 02 - tubo de concreto perfurado e brita comercial</t>
  </si>
  <si>
    <t>2003916</t>
  </si>
  <si>
    <t>Dreno longitudinal profundo para corte em rocha - DPR 02 - tubo de concreto perfurado e brita produzida</t>
  </si>
  <si>
    <t>2003591</t>
  </si>
  <si>
    <t>Dreno longitudinal profundo para corte em rocha - DPR 02 - tubo PEAD e brita comercial</t>
  </si>
  <si>
    <t>2003590</t>
  </si>
  <si>
    <t>Dreno longitudinal profundo para corte em rocha - DPR 02 - tubo PEAD e brita produzida</t>
  </si>
  <si>
    <t>2003593</t>
  </si>
  <si>
    <t>Dreno longitudinal profundo para corte em rocha - DPR 03 - brita comercial</t>
  </si>
  <si>
    <t>2003592</t>
  </si>
  <si>
    <t>Dreno longitudinal profundo para corte em rocha - DPR 03 - brita produzida</t>
  </si>
  <si>
    <t>2003595</t>
  </si>
  <si>
    <t>Dreno longitudinal profundo para corte em rocha - DPR 04 - brita comercial</t>
  </si>
  <si>
    <t>2003594</t>
  </si>
  <si>
    <t>Dreno longitudinal profundo para corte em rocha - DPR 04 - brita produzida</t>
  </si>
  <si>
    <t>2003597</t>
  </si>
  <si>
    <t>Dreno longitudinal profundo para corte em rocha - DPR 05 - tubo de concreto poroso e areia comercial</t>
  </si>
  <si>
    <t>2003596</t>
  </si>
  <si>
    <t>Dreno longitudinal profundo para corte em rocha - DPR 05 - tubo de concreto poroso e areia extraída</t>
  </si>
  <si>
    <t>2003572</t>
  </si>
  <si>
    <t>Dreno longitudinal profundo para corte em solo - DPS 01 - tubo PEAD e areia comercial</t>
  </si>
  <si>
    <t>2003580</t>
  </si>
  <si>
    <t>Dreno longitudinal profundo para corte em solo - DPS 01 - tubo PEAD e areia extraída</t>
  </si>
  <si>
    <t>2003573</t>
  </si>
  <si>
    <t>Dreno longitudinal profundo para corte em solo - DPS 02 - tubo PEAD e areia comercial</t>
  </si>
  <si>
    <t>2003581</t>
  </si>
  <si>
    <t>Dreno longitudinal profundo para corte em solo - DPS 02 - tubo PEAD e areia extraída</t>
  </si>
  <si>
    <t>2003561</t>
  </si>
  <si>
    <t>Dreno longitudinal profundo para corte em solo - DPS 03 - tubo de concreto perfurado, areia e brita comerciais - madeira com utilização de 5 vezes</t>
  </si>
  <si>
    <t>2003560</t>
  </si>
  <si>
    <t>Dreno longitudinal profundo para corte em solo - DPS 03 - tubo de concreto perfurado, areia extraída e brita produzida - madeira com utilização de 5 vezes</t>
  </si>
  <si>
    <t>2003574</t>
  </si>
  <si>
    <t>Dreno longitudinal profundo para corte em solo - DPS 03 - tubo PEAD, areia e brita comerciais - madeira com utilização de 5 vezes</t>
  </si>
  <si>
    <t>2003582</t>
  </si>
  <si>
    <t>Dreno longitudinal profundo para corte em solo - DPS 03 - tubo PEAD, areia extraída e brita produzida - madeira com utilização de 5 vezes</t>
  </si>
  <si>
    <t>2003563</t>
  </si>
  <si>
    <t>Dreno longitudinal profundo para corte em solo - DPS 04 - tubo de concreto perfurado, areia e brita comerciais - madeira com utilização de 5 vezes</t>
  </si>
  <si>
    <t>2003562</t>
  </si>
  <si>
    <t>Dreno longitudinal profundo para corte em solo - DPS 04 - tubo de concreto perfurado, areia extraída e brita produzida - madeira com utilização de 5 vezes</t>
  </si>
  <si>
    <t>2003575</t>
  </si>
  <si>
    <t>Dreno longitudinal profundo para corte em solo - DPS 04 - tubo PEAD, areia e brita comerciais - madeira com utilização de 5 vezes</t>
  </si>
  <si>
    <t>2003583</t>
  </si>
  <si>
    <t>Dreno longitudinal profundo para corte em solo - DPS 04 - tubo PEAD, areia extraída e brita produzida - madeira com utilização de 5 vezes</t>
  </si>
  <si>
    <t>2003565</t>
  </si>
  <si>
    <t>Dreno longitudinal profundo para corte em solo - DPS 05 - dreno cego - brita comercial</t>
  </si>
  <si>
    <t>2003564</t>
  </si>
  <si>
    <t>Dreno longitudinal profundo para corte em solo - DPS 05 - dreno cego - brita produzida</t>
  </si>
  <si>
    <t>2003567</t>
  </si>
  <si>
    <t>Dreno longitudinal profundo para corte em solo - DPS 06 - dreno cego - brita comercial</t>
  </si>
  <si>
    <t>2003566</t>
  </si>
  <si>
    <t>Dreno longitudinal profundo para corte em solo - DPS 06 - dreno cego - brita produzida</t>
  </si>
  <si>
    <t>2003569</t>
  </si>
  <si>
    <t>Dreno longitudinal profundo para corte em solo - DPS 07 - tubo de concreto perfurado e brita comercial</t>
  </si>
  <si>
    <t>2003568</t>
  </si>
  <si>
    <t>Dreno longitudinal profundo para corte em solo - DPS 07 - tubo de concreto perfurado e brita produzida</t>
  </si>
  <si>
    <t>2003578</t>
  </si>
  <si>
    <t>Dreno longitudinal profundo para corte em solo - DPS 07 - tubo PEAD e brita comercial</t>
  </si>
  <si>
    <t>2003586</t>
  </si>
  <si>
    <t>Dreno longitudinal profundo para corte em solo - DPS 07 - tubo PEAD e brita produzida</t>
  </si>
  <si>
    <t>2003571</t>
  </si>
  <si>
    <t>Dreno longitudinal profundo para corte em solo - DPS 08 - tubo de concreto perfurado e brita comercial</t>
  </si>
  <si>
    <t>2003570</t>
  </si>
  <si>
    <t>Dreno longitudinal profundo para corte em solo - DPS 08 - tubo de concreto perfurado e brita produzida</t>
  </si>
  <si>
    <t>2003579</t>
  </si>
  <si>
    <t>Dreno longitudinal profundo para corte em solo - DPS 08 - tubo PEAD e brita comercial</t>
  </si>
  <si>
    <t>2003587</t>
  </si>
  <si>
    <t>Dreno longitudinal profundo para corte em solo - DPS 08 - tubo PEAD e brita produzida</t>
  </si>
  <si>
    <t>2004506</t>
  </si>
  <si>
    <t>Dreno profundo H = 1,0 m - com geocomposto drenante - inclusive escavação e reaterro</t>
  </si>
  <si>
    <t>2004507</t>
  </si>
  <si>
    <t>Dreno profundo H = 1,5 m - com geocomposto drenante - inclusive escavação e reaterro</t>
  </si>
  <si>
    <t>2003614</t>
  </si>
  <si>
    <t>Dreno sub-horizontal - DSH 01 - material de 1ª categoria</t>
  </si>
  <si>
    <t>2003865</t>
  </si>
  <si>
    <t>Dreno sub-horizontal - DSH 01 - material de 2ª categoria</t>
  </si>
  <si>
    <t>2003923</t>
  </si>
  <si>
    <t>Dreno subsuperficial - DSS 01 - tubo de concreto perfurado e areia comercial</t>
  </si>
  <si>
    <t>2003922</t>
  </si>
  <si>
    <t>Dreno subsuperficial - DSS 01 - tubo de concreto perfurado e areia extraída</t>
  </si>
  <si>
    <t>2003605</t>
  </si>
  <si>
    <t>Dreno subsuperficial - DSS 01 - tubo PEAD e areia comercial</t>
  </si>
  <si>
    <t>2003604</t>
  </si>
  <si>
    <t>Dreno subsuperficial - DSS 01 - tubo PEAD e areia extraída</t>
  </si>
  <si>
    <t>2003607</t>
  </si>
  <si>
    <t>Dreno subsuperficial - DSS 02 - brita comercial</t>
  </si>
  <si>
    <t>2003606</t>
  </si>
  <si>
    <t>Dreno subsuperficial - DSS 02 - brita produzida</t>
  </si>
  <si>
    <t>2003609</t>
  </si>
  <si>
    <t>Dreno subsuperficial - DSS 03 - brita comercial</t>
  </si>
  <si>
    <t>2003608</t>
  </si>
  <si>
    <t>Dreno subsuperficial - DSS 03 - brita produzida</t>
  </si>
  <si>
    <t>2003925</t>
  </si>
  <si>
    <t>Dreno subsuperficial - DSS 04 - tubo de concreto perfurado e brita comercial</t>
  </si>
  <si>
    <t>2003924</t>
  </si>
  <si>
    <t>Dreno subsuperficial - DSS 04 - tubo de concreto perfurado e brita produzida</t>
  </si>
  <si>
    <t>2003611</t>
  </si>
  <si>
    <t>Dreno subsuperficial - DSS 04 - tubo PEAD e brita comercial</t>
  </si>
  <si>
    <t>2003610</t>
  </si>
  <si>
    <t>Dreno subsuperficial - DSS 04 - tubo PEAD e brita produzida</t>
  </si>
  <si>
    <t>2003820</t>
  </si>
  <si>
    <t>Dreno tipo barbacã - DRB 01 - D = 75 mm em estrutura de contenção de encosta - excluso o tubo de drenagem</t>
  </si>
  <si>
    <t>2003821</t>
  </si>
  <si>
    <t>Dreno tipo barbacã - DRB 02 - D = 50 mm em estrutura de contenção de encosta - excluso o tubo de drenagem</t>
  </si>
  <si>
    <t>2003842</t>
  </si>
  <si>
    <t>Enchimento de junta de concreto com argamassa asfáltica de densidade 1.700 kg/m³ - espessura de 1 cm</t>
  </si>
  <si>
    <t>2003103</t>
  </si>
  <si>
    <t>Entrada para descida d'água - EDA 01 A - areia e brita comerciais</t>
  </si>
  <si>
    <t>2003104</t>
  </si>
  <si>
    <t>Entrada para descida d'água - EDA 01 A - areia extraída e brita produzida</t>
  </si>
  <si>
    <t>2003115</t>
  </si>
  <si>
    <t>Entrada para descida d'água - EDA 01 B - areia e brita comerciais</t>
  </si>
  <si>
    <t>2003116</t>
  </si>
  <si>
    <t>Entrada para descida d'água - EDA 01 B - areia extraída e brita produzida</t>
  </si>
  <si>
    <t>2003105</t>
  </si>
  <si>
    <t>Entrada para descida d'água - EDA 02 A - areia e brita comerciais</t>
  </si>
  <si>
    <t>2003106</t>
  </si>
  <si>
    <t>Entrada para descida d'água - EDA 02 A - areia extraída e brita produzida</t>
  </si>
  <si>
    <t>2003117</t>
  </si>
  <si>
    <t>Entrada para descida d'água - EDA 02 B - areia e brita comerciais</t>
  </si>
  <si>
    <t>2003118</t>
  </si>
  <si>
    <t>Entrada para descida d'água - EDA 02 B - areia extraída e brita produzida</t>
  </si>
  <si>
    <t>2003107</t>
  </si>
  <si>
    <t>Entrada para descida d'água - EDA 03 A - areia e brita comerciais</t>
  </si>
  <si>
    <t>2003108</t>
  </si>
  <si>
    <t>Entrada para descida d'água - EDA 03 A - areia extraída e brita produzida</t>
  </si>
  <si>
    <t>2003119</t>
  </si>
  <si>
    <t>Entrada para descida d'água - EDA 03 B - areia e brita comerciais</t>
  </si>
  <si>
    <t>2003120</t>
  </si>
  <si>
    <t>Entrada para descida d'água - EDA 03 B - areia extraída e brita produzida</t>
  </si>
  <si>
    <t>2003109</t>
  </si>
  <si>
    <t>Entrada para descida d'água - EDA 04 A - areia e brita comerciais</t>
  </si>
  <si>
    <t>2003110</t>
  </si>
  <si>
    <t>Entrada para descida d'água - EDA 04 A - areia extraída e brita produzida</t>
  </si>
  <si>
    <t>2003121</t>
  </si>
  <si>
    <t>Entrada para descida d'água - EDA 04 B - areia e brita comerciais</t>
  </si>
  <si>
    <t>2003122</t>
  </si>
  <si>
    <t>Entrada para descida d'água - EDA 04 B - areia extraída e brita produzida</t>
  </si>
  <si>
    <t>2003111</t>
  </si>
  <si>
    <t>Entrada para descida d'água - EDA 05 A - areia e brita comerciais</t>
  </si>
  <si>
    <t>2003112</t>
  </si>
  <si>
    <t>Entrada para descida d'água - EDA 05 A - areia extraída e brita produzida</t>
  </si>
  <si>
    <t>2003123</t>
  </si>
  <si>
    <t>Entrada para descida d'água - EDA 05 B - areia e brita comerciais</t>
  </si>
  <si>
    <t>2003124</t>
  </si>
  <si>
    <t>Entrada para descida d'água - EDA 05 B - areia extraída e brita produzida</t>
  </si>
  <si>
    <t>2003113</t>
  </si>
  <si>
    <t>Entrada para descida d'água - EDA 06 A - areia e brita comerciais</t>
  </si>
  <si>
    <t>2003114</t>
  </si>
  <si>
    <t>Entrada para descida d'água - EDA 06 A - areia extraída e brita produzida</t>
  </si>
  <si>
    <t>2003125</t>
  </si>
  <si>
    <t>Entrada para descida d'água - EDA 06 B - areia e brita comerciais</t>
  </si>
  <si>
    <t>2003126</t>
  </si>
  <si>
    <t>Entrada para descida d'água - EDA 06 B - areia extraída e brita produzida</t>
  </si>
  <si>
    <t>2003127</t>
  </si>
  <si>
    <t>Entrada para descida d'água - EDA 07 A - areia e brita comerciais</t>
  </si>
  <si>
    <t>2003128</t>
  </si>
  <si>
    <t>Entrada para descida d'água - EDA 07 A - areia extraída e brita produzida</t>
  </si>
  <si>
    <t>2003147</t>
  </si>
  <si>
    <t>Entrada para descida d'água - EDA 07 B - areia e brita comerciais</t>
  </si>
  <si>
    <t>2003148</t>
  </si>
  <si>
    <t>Entrada para descida d'água - EDA 07 B - areia extraída e brita produzida</t>
  </si>
  <si>
    <t>2003129</t>
  </si>
  <si>
    <t>Entrada para descida d'água - EDA 08 A - areia e brita comerciais</t>
  </si>
  <si>
    <t>2003130</t>
  </si>
  <si>
    <t>Entrada para descida d'água - EDA 08 A - areia extraída e brita produzida</t>
  </si>
  <si>
    <t>2003149</t>
  </si>
  <si>
    <t>Entrada para descida d'água - EDA 08 B - areia e brita comerciais</t>
  </si>
  <si>
    <t>2003150</t>
  </si>
  <si>
    <t>Entrada para descida d'água - EDA 08 B - areia extraída e brita produzida</t>
  </si>
  <si>
    <t>2003131</t>
  </si>
  <si>
    <t>Entrada para descida d'água - EDA 09 A - areia e brita comerciais</t>
  </si>
  <si>
    <t>2003132</t>
  </si>
  <si>
    <t>Entrada para descida d'água - EDA 09 A - areia extraída e brita produzida</t>
  </si>
  <si>
    <t>2003151</t>
  </si>
  <si>
    <t>Entrada para descida d'água - EDA 09 B - areia e brita comerciais</t>
  </si>
  <si>
    <t>2003152</t>
  </si>
  <si>
    <t>Entrada para descida d'água - EDA 09 B - areia extraída e brita produzida</t>
  </si>
  <si>
    <t>2003133</t>
  </si>
  <si>
    <t>Entrada para descida d'água - EDA 10 A - areia e brita comerciais</t>
  </si>
  <si>
    <t>2003134</t>
  </si>
  <si>
    <t>Entrada para descida d'água - EDA 10 A - areia extraída e brita produzida</t>
  </si>
  <si>
    <t>2003153</t>
  </si>
  <si>
    <t>Entrada para descida d'água - EDA 10 B - areia e brita comerciais</t>
  </si>
  <si>
    <t>2003154</t>
  </si>
  <si>
    <t>Entrada para descida d'água - EDA 10 B - areia extraída e brita produzida</t>
  </si>
  <si>
    <t>2003135</t>
  </si>
  <si>
    <t>Entrada para descida d'água - EDA 11 A - areia e brita comerciais</t>
  </si>
  <si>
    <t>2003136</t>
  </si>
  <si>
    <t>Entrada para descida d'água - EDA 11 A - areia extraída e brita produzida</t>
  </si>
  <si>
    <t>2003155</t>
  </si>
  <si>
    <t>Entrada para descida d'água - EDA 11 B - areia e brita comerciais</t>
  </si>
  <si>
    <t>2003156</t>
  </si>
  <si>
    <t>Entrada para descida d'água - EDA 11 B - areia extraída e brita produzida</t>
  </si>
  <si>
    <t>2003137</t>
  </si>
  <si>
    <t>Entrada para descida d'água - EDA 12 A - areia e brita comerciais</t>
  </si>
  <si>
    <t>2003138</t>
  </si>
  <si>
    <t>Entrada para descida d'água - EDA 12 A - areia extraída e brita produzida</t>
  </si>
  <si>
    <t>2003157</t>
  </si>
  <si>
    <t>Entrada para descida d'água - EDA 12 B - areia e brita comerciais</t>
  </si>
  <si>
    <t>2003158</t>
  </si>
  <si>
    <t>Entrada para descida d'água - EDA 12 B - areia extraída e brita produzida</t>
  </si>
  <si>
    <t>2003139</t>
  </si>
  <si>
    <t>Entrada para descida d'água - EDA 13 A - areia e brita comerciais</t>
  </si>
  <si>
    <t>2003140</t>
  </si>
  <si>
    <t>Entrada para descida d'água - EDA 13 A - areia extraída e brita produzida</t>
  </si>
  <si>
    <t>2003159</t>
  </si>
  <si>
    <t>Entrada para descida d'água - EDA 13 B - areia e brita comerciais</t>
  </si>
  <si>
    <t>2003160</t>
  </si>
  <si>
    <t>Entrada para descida d'água - EDA 13 B - areia extraída e brita produzida</t>
  </si>
  <si>
    <t>2003141</t>
  </si>
  <si>
    <t>Entrada para descida d'água - EDA 14 A - areia e brita comerciais</t>
  </si>
  <si>
    <t>2003142</t>
  </si>
  <si>
    <t>Entrada para descida d'água - EDA 14 A - areia extraída e brita produzida</t>
  </si>
  <si>
    <t>2003161</t>
  </si>
  <si>
    <t>Entrada para descida d'água - EDA 14 B - areia e brita comerciais</t>
  </si>
  <si>
    <t>2003162</t>
  </si>
  <si>
    <t>Entrada para descida d'água - EDA 14 B - areia extraída e brita produzida</t>
  </si>
  <si>
    <t>2003143</t>
  </si>
  <si>
    <t>Entrada para descida d'água - EDA 15 A - areia e brita comerciais</t>
  </si>
  <si>
    <t>2003144</t>
  </si>
  <si>
    <t>Entrada para descida d'água - EDA 15 A - areia extraída e brita produzida</t>
  </si>
  <si>
    <t>2003163</t>
  </si>
  <si>
    <t>Entrada para descida d'água - EDA 15 B - areia e brita comerciais</t>
  </si>
  <si>
    <t>2003164</t>
  </si>
  <si>
    <t>Entrada para descida d'água - EDA 15 B - areia extraída e brita produzida</t>
  </si>
  <si>
    <t>2003145</t>
  </si>
  <si>
    <t>Entrada para descida d'água - EDA 16 A - areia e brita comerciais</t>
  </si>
  <si>
    <t>2003146</t>
  </si>
  <si>
    <t>Entrada para descida d'água - EDA 16 A - areia extraída e brita produzida</t>
  </si>
  <si>
    <t>2003165</t>
  </si>
  <si>
    <t>Entrada para descida d'água - EDA 16 B - areia e brita comerciais</t>
  </si>
  <si>
    <t>2003166</t>
  </si>
  <si>
    <t>Entrada para descida d'água - EDA 16 B - areia extraída e brita produzida</t>
  </si>
  <si>
    <t>2003819</t>
  </si>
  <si>
    <t>Envelope de brita para tubos com diâmetro externo de 75 a 110 mm - L = 15 cm e H = 15 cm</t>
  </si>
  <si>
    <t>2004504</t>
  </si>
  <si>
    <t>Escavação mecânica de vala para drenagem com valetadeira em material de 1ª categoria</t>
  </si>
  <si>
    <t>2004519</t>
  </si>
  <si>
    <t>Escavação mecânica de vala trapezoidal ou triangular em material de 1ª categoria para drenagem superficial com retroescavadeira - 0,10 m² ≤ seção &lt; 0,15 m²</t>
  </si>
  <si>
    <t>2004520</t>
  </si>
  <si>
    <t>Escavação mecânica de vala trapezoidal ou triangular em material de 1ª categoria para drenagem superficial com retroescavadeira - 0,15 m² ≤ seção &lt; 0,20 m²</t>
  </si>
  <si>
    <t>2004521</t>
  </si>
  <si>
    <t>Escavação mecânica de vala trapezoidal ou triangular em material de 1ª categoria para drenagem superficial com retroescavadeira - 0,20 m² ≤ seção &lt; 0,30 m²</t>
  </si>
  <si>
    <t>2004522</t>
  </si>
  <si>
    <t>Escavação mecânica de vala trapezoidal ou triangular em material de 1ª categoria para drenagem superficial com retroescavadeira - 0,30 m² ≤ seção &lt; 0,50 m²</t>
  </si>
  <si>
    <t>2004518</t>
  </si>
  <si>
    <t>Escavação mecânica de vala trapezoidal ou triangular em material de 1ª categoria para drenagem superficial com retroescavadeira - seção &lt; 0,10 m²</t>
  </si>
  <si>
    <t>2003864</t>
  </si>
  <si>
    <t>2003863</t>
  </si>
  <si>
    <t>Esgotamento de dreno horizontal profundo a vácuo</t>
  </si>
  <si>
    <t>2004508</t>
  </si>
  <si>
    <t>Geodreno vertical para tratamento de solos moles</t>
  </si>
  <si>
    <t>2003316</t>
  </si>
  <si>
    <t>Grelha de concreto 54 x 100 cm para boca-de-lobo - areia e brita comerciais - sobrecarga do trem tipo TB 45</t>
  </si>
  <si>
    <t>2003317</t>
  </si>
  <si>
    <t>Grelha de concreto 54 x 100 cm para boca-de-lobo - areia extraída e brita produzida - sobrecarga do trem tipo TB 45</t>
  </si>
  <si>
    <t>2003767</t>
  </si>
  <si>
    <t>Lastro de areia comercial - espalhamento manual</t>
  </si>
  <si>
    <t>2003844</t>
  </si>
  <si>
    <t>Lastro de areia comercial - espalhamento mecânico</t>
  </si>
  <si>
    <t>2003576</t>
  </si>
  <si>
    <t>Lastro de areia extraída - espalhamento manual</t>
  </si>
  <si>
    <t>2003858</t>
  </si>
  <si>
    <t>Lastro de areia extraída - espalhamento mecânico</t>
  </si>
  <si>
    <t>2003850</t>
  </si>
  <si>
    <t>Lastro de brita comercial compactado com soquete vibratório - espalhamento manual</t>
  </si>
  <si>
    <t>2003849</t>
  </si>
  <si>
    <t>Lastro de brita produzida compactado com soquete vibratório - espalhamento manual</t>
  </si>
  <si>
    <t>2003868</t>
  </si>
  <si>
    <t>Lastro de pedra de mão ou rachão - espalhamento manual</t>
  </si>
  <si>
    <t>2003369</t>
  </si>
  <si>
    <t>Meio-fio de concreto - MFC 01 - areia e brita comerciais - fôrma de madeira</t>
  </si>
  <si>
    <t>2003368</t>
  </si>
  <si>
    <t>Meio-fio de concreto - MFC 01 - areia extraída e brita produzida - fôrma de madeira</t>
  </si>
  <si>
    <t>2003939</t>
  </si>
  <si>
    <t>Meio-fio de concreto - MFC 01 moldado no local com extrusora e concreto usinado - areia e brita comerciais</t>
  </si>
  <si>
    <t>2003940</t>
  </si>
  <si>
    <t>Meio-fio de concreto - MFC 01 moldado no local com extrusora e concreto usinado - areia extraída e brita produzida</t>
  </si>
  <si>
    <t>2003371</t>
  </si>
  <si>
    <t>Meio-fio de concreto - MFC 02 - areia e brita comerciais - fôrma de madeira</t>
  </si>
  <si>
    <t>2003370</t>
  </si>
  <si>
    <t>Meio-fio de concreto - MFC 02 - areia extraída e brita produzida - fôrma de madeira</t>
  </si>
  <si>
    <t>2003941</t>
  </si>
  <si>
    <t>Meio-fio de concreto - MFC 02 moldado no local com extrusora e concreto usinado - areia e brita comerciais</t>
  </si>
  <si>
    <t>2003942</t>
  </si>
  <si>
    <t>Meio-fio de concreto - MFC 02 moldado no local com extrusora e concreto usinado - areia extraída e brita produzida</t>
  </si>
  <si>
    <t>2003373</t>
  </si>
  <si>
    <t>Meio-fio de concreto - MFC 03 - areia e brita comerciais - fôrma de madeira</t>
  </si>
  <si>
    <t>2003372</t>
  </si>
  <si>
    <t>Meio-fio de concreto - MFC 03 - areia extraída e brita produzida - fôrma de madeira</t>
  </si>
  <si>
    <t>2003943</t>
  </si>
  <si>
    <t>Meio-fio de concreto - MFC 03 moldado no local com extrusora e concreto usinado - areia e brita comerciais</t>
  </si>
  <si>
    <t>2003944</t>
  </si>
  <si>
    <t>Meio-fio de concreto - MFC 03 moldado no local com extrusora e concreto usinado - areia extraída e brita produzida</t>
  </si>
  <si>
    <t>2003375</t>
  </si>
  <si>
    <t>Meio-fio de concreto - MFC 04 - areia e brita comerciais - fôrma de madeira</t>
  </si>
  <si>
    <t>2003374</t>
  </si>
  <si>
    <t>Meio-fio de concreto - MFC 04 - areia extraída e brita produzida - fôrma de madeira</t>
  </si>
  <si>
    <t>2003945</t>
  </si>
  <si>
    <t>Meio-fio de concreto - MFC 04 moldado no local com extrusora e concreto usinado - areia e brita comerciais</t>
  </si>
  <si>
    <t>2003946</t>
  </si>
  <si>
    <t>Meio-fio de concreto - MFC 04 moldado no local com extrusora e concreto usinado - areia extraída e brita produzida</t>
  </si>
  <si>
    <t>2003377</t>
  </si>
  <si>
    <t>Meio-fio de concreto - MFC 05 - areia e brita comerciais - fôrma de madeira</t>
  </si>
  <si>
    <t>2003376</t>
  </si>
  <si>
    <t>Meio-fio de concreto - MFC 05 - areia extraída e brita produzida - fôrma de madeira</t>
  </si>
  <si>
    <t>2003947</t>
  </si>
  <si>
    <t>Meio-fio de concreto - MFC 05 moldado no local com extrusora e concreto usinado - areia e brita comerciais</t>
  </si>
  <si>
    <t>2003948</t>
  </si>
  <si>
    <t>Meio-fio de concreto - MFC 05 moldado no local com extrusora e concreto usinado - areia extraída e brita produzida</t>
  </si>
  <si>
    <t>2003379</t>
  </si>
  <si>
    <t>Meio-fio de concreto - MFC 06 - areia e brita comerciais - fôrma de madeira</t>
  </si>
  <si>
    <t>2003378</t>
  </si>
  <si>
    <t>Meio-fio de concreto - MFC 06 - areia extraída e brita produzida - fôrma de madeira</t>
  </si>
  <si>
    <t>2003949</t>
  </si>
  <si>
    <t>Meio-fio de concreto - MFC 06 moldado no local com extrusora e concreto usinado - areia e brita comerciais</t>
  </si>
  <si>
    <t>2003950</t>
  </si>
  <si>
    <t>Meio-fio de concreto - MFC 06 moldado no local com extrusora e concreto usinado - areia extraída e brita produzida</t>
  </si>
  <si>
    <t>2003381</t>
  </si>
  <si>
    <t>Meio-fio de concreto - MFC 07 - areia e brita comerciais - fôrma de madeira</t>
  </si>
  <si>
    <t>2003380</t>
  </si>
  <si>
    <t>Meio-fio de concreto - MFC 07 - areia extraída e brita produzida - fôrma de madeira</t>
  </si>
  <si>
    <t>2003951</t>
  </si>
  <si>
    <t>Meio-fio de concreto - MFC 07 moldado no local com extrusora e concreto usinado - areia e brita comerciais</t>
  </si>
  <si>
    <t>2003952</t>
  </si>
  <si>
    <t>Meio-fio de concreto - MFC 07 moldado no local com extrusora e concreto usinado - areia extraída e brita produzida</t>
  </si>
  <si>
    <t>2003383</t>
  </si>
  <si>
    <t>Meio-fio de concreto - MFC 08 - areia e brita comerciais - fôrma de madeira</t>
  </si>
  <si>
    <t>2003382</t>
  </si>
  <si>
    <t>Meio-fio de concreto - MFC 08 - areia extraída e brita produzida - fôrma de madeira</t>
  </si>
  <si>
    <t>2003953</t>
  </si>
  <si>
    <t>Meio-fio de concreto - MFC 08 moldado no local com extrusora e concreto usinado - areia e brita comerciais</t>
  </si>
  <si>
    <t>2003954</t>
  </si>
  <si>
    <t>Meio-fio de concreto - MFC 08 moldado no local com extrusora e concreto usinado - areia extraída e brita produzida</t>
  </si>
  <si>
    <t>2004514</t>
  </si>
  <si>
    <t>Microvala para dreno de pavimento com geocomposto drenante H = 0,4 m</t>
  </si>
  <si>
    <t>2004515</t>
  </si>
  <si>
    <t>Microvala para dreno de pavimento com geocomposto drenante H = 0,6 m</t>
  </si>
  <si>
    <t>2005759</t>
  </si>
  <si>
    <t>Perfuração para dreno sub-horizontal em material de 1ª categoria com D = 75 mm (linha NW)</t>
  </si>
  <si>
    <t>2005764</t>
  </si>
  <si>
    <t>Perfuração para dreno sub-horizontal em material de 2ª categoria com D = 75 mm (linha NW)</t>
  </si>
  <si>
    <t>2003678</t>
  </si>
  <si>
    <t>Poço de visita - PVI 01 - areia e brita comerciais</t>
  </si>
  <si>
    <t>2003677</t>
  </si>
  <si>
    <t>Poço de visita - PVI 01 - areia extraída e brita produzida</t>
  </si>
  <si>
    <t>2003680</t>
  </si>
  <si>
    <t>Poço de visita - PVI 02 - areia e brita comerciais</t>
  </si>
  <si>
    <t>2003679</t>
  </si>
  <si>
    <t>Poço de visita - PVI 02 - areia extraída e brita produzida</t>
  </si>
  <si>
    <t>2003682</t>
  </si>
  <si>
    <t>Poço de visita - PVI 03 - areia e brita comerciais</t>
  </si>
  <si>
    <t>2003681</t>
  </si>
  <si>
    <t>Poço de visita - PVI 03 - areia extraída e brita produzida</t>
  </si>
  <si>
    <t>2003684</t>
  </si>
  <si>
    <t>Poço de visita - PVI 04 - areia e brita comerciais</t>
  </si>
  <si>
    <t>2003683</t>
  </si>
  <si>
    <t>Poço de visita - PVI 04 - areia extraída e brita produzida</t>
  </si>
  <si>
    <t>2003686</t>
  </si>
  <si>
    <t>Poço de visita - PVI 05 - areia e brita comerciais</t>
  </si>
  <si>
    <t>2003685</t>
  </si>
  <si>
    <t>Poço de visita - PVI 05 - areia extraída e brita produzida</t>
  </si>
  <si>
    <t>2003688</t>
  </si>
  <si>
    <t>Poço de visita - PVI 06 - areia e brita comerciais</t>
  </si>
  <si>
    <t>2003687</t>
  </si>
  <si>
    <t>Poço de visita - PVI 06 - areia extraída e brita produzida</t>
  </si>
  <si>
    <t>2003690</t>
  </si>
  <si>
    <t>Poço de visita - PVI 07 - areia e brita comerciais</t>
  </si>
  <si>
    <t>2003689</t>
  </si>
  <si>
    <t>Poço de visita - PVI 07 - areia extraída e brita produzida</t>
  </si>
  <si>
    <t>2003692</t>
  </si>
  <si>
    <t>Poço de visita - PVI 08 - areia e brita comerciais</t>
  </si>
  <si>
    <t>2003691</t>
  </si>
  <si>
    <t>Poço de visita - PVI 08 - areia extraída e brita produzida</t>
  </si>
  <si>
    <t>2003694</t>
  </si>
  <si>
    <t>Poço de visita - PVI 09 - areia e brita comerciais</t>
  </si>
  <si>
    <t>2003693</t>
  </si>
  <si>
    <t>Poço de visita - PVI 09 - areia extraída e brita produzida</t>
  </si>
  <si>
    <t>2003696</t>
  </si>
  <si>
    <t>Poço de visita - PVI 10 - areia e brita comerciais</t>
  </si>
  <si>
    <t>2003695</t>
  </si>
  <si>
    <t>Poço de visita - PVI 10 - areia extraída e brita produzida</t>
  </si>
  <si>
    <t>2003698</t>
  </si>
  <si>
    <t>Poço de visita - PVI 11 - areia e brita comerciais</t>
  </si>
  <si>
    <t>2003697</t>
  </si>
  <si>
    <t>Poço de visita - PVI 11 - areia extraída e brita produzida</t>
  </si>
  <si>
    <t>2003700</t>
  </si>
  <si>
    <t>Poço de visita - PVI 12 - areia e brita comerciais</t>
  </si>
  <si>
    <t>2003699</t>
  </si>
  <si>
    <t>Poço de visita - PVI 12 - areia extraída e brita produzida</t>
  </si>
  <si>
    <t>2003702</t>
  </si>
  <si>
    <t>Poço de visita - PVI 13 - areia e brita comerciais</t>
  </si>
  <si>
    <t>2003701</t>
  </si>
  <si>
    <t>Poço de visita - PVI 13 - areia extraída e brita produzida</t>
  </si>
  <si>
    <t>2003704</t>
  </si>
  <si>
    <t>Poço de visita - PVI 14 - areia e brita comerciais</t>
  </si>
  <si>
    <t>2003703</t>
  </si>
  <si>
    <t>Poço de visita - PVI 14 - areia extraída e brita produzida</t>
  </si>
  <si>
    <t>2003706</t>
  </si>
  <si>
    <t>Poço de visita - PVI 15 - areia e brita comerciais</t>
  </si>
  <si>
    <t>2003705</t>
  </si>
  <si>
    <t>Poço de visita - PVI 15 - areia extraída e brita produzida</t>
  </si>
  <si>
    <t>2003708</t>
  </si>
  <si>
    <t>Poço de visita - PVI 16 - areia e brita comerciais</t>
  </si>
  <si>
    <t>2003707</t>
  </si>
  <si>
    <t>Poço de visita - PVI 16 - areia extraída e brita produzida</t>
  </si>
  <si>
    <t>2003710</t>
  </si>
  <si>
    <t>Poço de visita - PVI 17 - areia e brita comerciais</t>
  </si>
  <si>
    <t>2003709</t>
  </si>
  <si>
    <t>Poço de visita - PVI 17 - areia extraída e brita produzida</t>
  </si>
  <si>
    <t>2003712</t>
  </si>
  <si>
    <t>Poço de visita - PVI 18 - areia e brita comerciais</t>
  </si>
  <si>
    <t>2003711</t>
  </si>
  <si>
    <t>Poço de visita - PVI 18 - areia extraída e brita produzida</t>
  </si>
  <si>
    <t>2004505</t>
  </si>
  <si>
    <t>Reaterro e compactação em vala de dreno com geocomposto</t>
  </si>
  <si>
    <t>2003353</t>
  </si>
  <si>
    <t>Sarjeta trapezoidal de canteiro central de concreto - SZCC 100-25 - areia e brita comerciais</t>
  </si>
  <si>
    <t>2003352</t>
  </si>
  <si>
    <t>Sarjeta trapezoidal de canteiro central de concreto - SZCC 100-25 - areia extraída e brita produzida</t>
  </si>
  <si>
    <t>2003979</t>
  </si>
  <si>
    <t>Sarjeta trapezoidal de canteiro central de concreto - SZCC 100-25 moldada no local com extrusora e concreto usinado - areia e brita comerciais</t>
  </si>
  <si>
    <t>2003980</t>
  </si>
  <si>
    <t>Sarjeta trapezoidal de canteiro central de concreto - SZCC 100-25 moldada no local com extrusora e concreto usinado - areia extraída e brita produzida</t>
  </si>
  <si>
    <t>2003355</t>
  </si>
  <si>
    <t>Sarjeta trapezoidal de canteiro central de concreto - SZCC 140-35 - areia e brita comerciais</t>
  </si>
  <si>
    <t>2003354</t>
  </si>
  <si>
    <t>Sarjeta trapezoidal de canteiro central de concreto - SZCC 140-35 - areia extraída e brita produzida</t>
  </si>
  <si>
    <t>2003981</t>
  </si>
  <si>
    <t>Sarjeta trapezoidal de canteiro central de concreto - SZCC 140-35 moldada no local com extrusora e concreto usinado - areia e brita comerciais</t>
  </si>
  <si>
    <t>2003982</t>
  </si>
  <si>
    <t>Sarjeta trapezoidal de canteiro central de concreto - SZCC 140-35 moldada no local com extrusora e concreto usinado - areia extraída e brita produzida</t>
  </si>
  <si>
    <t>2003345</t>
  </si>
  <si>
    <t>Sarjeta trapezoidal de concreto - SZC 60-20 - escavação mecânica - areia e brita comerciais</t>
  </si>
  <si>
    <t>2003344</t>
  </si>
  <si>
    <t>Sarjeta trapezoidal de concreto - SZC 60-20 - escavação mecânica - areia extraída e brita produzida</t>
  </si>
  <si>
    <t>2003973</t>
  </si>
  <si>
    <t>Sarjeta trapezoidal de concreto - SZC 60-20 moldada no local com extrusora e concreto usinado - escavação mecânica - areia e brita comerciais</t>
  </si>
  <si>
    <t>2003974</t>
  </si>
  <si>
    <t>Sarjeta trapezoidal de concreto - SZC 60-20 moldada no local com extrusora e concreto usinado - escavação mecânica - areia extraída e brita produzida</t>
  </si>
  <si>
    <t>2003343</t>
  </si>
  <si>
    <t>Sarjeta trapezoidal de concreto - SZC 90-30 - escavação mecânica - areia e brita comerciais</t>
  </si>
  <si>
    <t>2003342</t>
  </si>
  <si>
    <t>Sarjeta trapezoidal de concreto - SZC 90-30 - escavação mecânica - areia extraída e brita produzida</t>
  </si>
  <si>
    <t>2003971</t>
  </si>
  <si>
    <t>Sarjeta trapezoidal de concreto - SZC 90-30 moldada no local com extrusora e concreto usinado - escavação mecânica - areia e brita comerciais</t>
  </si>
  <si>
    <t>2003972</t>
  </si>
  <si>
    <t>Sarjeta trapezoidal de concreto - SZC 90-30 moldada no local com extrusora e concreto usinado - escavação mecânica - areia extraída e brita produzida</t>
  </si>
  <si>
    <t>2003347</t>
  </si>
  <si>
    <t>Sarjeta trapezoidal de grama - SZG 60-20 - escavação mecânica</t>
  </si>
  <si>
    <t>2003346</t>
  </si>
  <si>
    <t>Sarjeta trapezoidal de grama - SZG 90-30 - escavação mecânica</t>
  </si>
  <si>
    <t>2003933</t>
  </si>
  <si>
    <t>Sarjeta trapezoidal sem revestimento - SZT 60-20 - escavação mecânica</t>
  </si>
  <si>
    <t>2003932</t>
  </si>
  <si>
    <t>Sarjeta trapezoidal sem revestimento - SZT 90-30 - escavação mecânica</t>
  </si>
  <si>
    <t>2003349</t>
  </si>
  <si>
    <t>Sarjeta triangular de canteiro central de concreto - STCC 100-25 - areia e brita comerciais</t>
  </si>
  <si>
    <t>2003348</t>
  </si>
  <si>
    <t>Sarjeta triangular de canteiro central de concreto - STCC 100-25 - areia extraída e brita produzida</t>
  </si>
  <si>
    <t>2003975</t>
  </si>
  <si>
    <t>Sarjeta triangular de canteiro central de concreto - STCC 100-25 moldada no local com extrusora e concreto usinado - areia e brita comerciais</t>
  </si>
  <si>
    <t>2003976</t>
  </si>
  <si>
    <t>Sarjeta triangular de canteiro central de concreto - STCC 100-25 moldada no local com extrusora e concreto usinado - areia extraída e brita produzida</t>
  </si>
  <si>
    <t>2003351</t>
  </si>
  <si>
    <t>Sarjeta triangular de canteiro central de concreto - STCC 140-35 - areia e brita comerciais</t>
  </si>
  <si>
    <t>2003350</t>
  </si>
  <si>
    <t>Sarjeta triangular de canteiro central de concreto - STCC 140-35 - areia extraída e brita produzida</t>
  </si>
  <si>
    <t>2003977</t>
  </si>
  <si>
    <t>Sarjeta triangular de canteiro central de concreto - STCC 140-35 moldada no local com extrusora e concreto usinado - areia e brita comerciais</t>
  </si>
  <si>
    <t>2003978</t>
  </si>
  <si>
    <t>Sarjeta triangular de canteiro central de concreto - STCC 140-35 moldada no local com extrusora e concreto usinado - areia extraída e brita produzida</t>
  </si>
  <si>
    <t>2003291</t>
  </si>
  <si>
    <t>Sarjeta triangular de canteiro central de grama - STCG 100-25 - escavação mecânica</t>
  </si>
  <si>
    <t>2003292</t>
  </si>
  <si>
    <t>Sarjeta triangular de canteiro central de grama - STCG 140-35 - escavação mecânica</t>
  </si>
  <si>
    <t>2003293</t>
  </si>
  <si>
    <t>Sarjeta triangular de canteiro central de grama - STCG 200-25 - escavação mecânica</t>
  </si>
  <si>
    <t>2003294</t>
  </si>
  <si>
    <t>Sarjeta triangular de canteiro central de grama - STCG 300-37,5 - escavação mecânica</t>
  </si>
  <si>
    <t>2003257</t>
  </si>
  <si>
    <t>Sarjeta triangular de concreto - STC 100-20 - escavação mecânica - areia e brita comerciais</t>
  </si>
  <si>
    <t>2003258</t>
  </si>
  <si>
    <t>Sarjeta triangular de concreto - STC 100-20 - escavação mecânica - areia extraída e brita produzida</t>
  </si>
  <si>
    <t>2003259</t>
  </si>
  <si>
    <t>Sarjeta triangular de concreto - STC 100-20 moldada no local com extrusora e concreto usinado - escavação mecânica - areia e brita comerciais</t>
  </si>
  <si>
    <t>2003260</t>
  </si>
  <si>
    <t>Sarjeta triangular de concreto - STC 100-20 moldada no local com extrusora e concreto usinado - escavação mecânica - areia extraída e brita produzida</t>
  </si>
  <si>
    <t>2003281</t>
  </si>
  <si>
    <t>Sarjeta triangular de concreto - STC 100-21 - escavação mecânica - areia e brita comerciais</t>
  </si>
  <si>
    <t>2003282</t>
  </si>
  <si>
    <t>Sarjeta triangular de concreto - STC 100-21 - escavação mecânica - areia extraída e brita produzida</t>
  </si>
  <si>
    <t>2003283</t>
  </si>
  <si>
    <t>Sarjeta triangular de concreto - STC 100-21 moldada no local com extrusora e concreto usinado - escavação mecânica - areia e brita comerciais</t>
  </si>
  <si>
    <t>2003284</t>
  </si>
  <si>
    <t>Sarjeta triangular de concreto - STC 100-21 moldada no local com extrusora e concreto usinado - escavação mecânica - areia extraída e brita produzida</t>
  </si>
  <si>
    <t>2003327</t>
  </si>
  <si>
    <t>Sarjeta triangular de concreto - STC 108-25 - escavação mecânica - areia e brita comerciais</t>
  </si>
  <si>
    <t>2003326</t>
  </si>
  <si>
    <t>Sarjeta triangular de concreto - STC 108-25 - escavação mecânica - areia extraída e brita produzida</t>
  </si>
  <si>
    <t>2003963</t>
  </si>
  <si>
    <t>Sarjeta triangular de concreto - STC 108-25 moldada no local com extrusora e concreto usinado - escavação mecânica - areia e brita comerciais</t>
  </si>
  <si>
    <t>2003964</t>
  </si>
  <si>
    <t>Sarjeta triangular de concreto - STC 108-25 moldada no local com extrusora e concreto usinado - escavação mecânica - areia extraída e brita produzida</t>
  </si>
  <si>
    <t>2003319</t>
  </si>
  <si>
    <t>Sarjeta triangular de concreto - STC 125-25 - escavação mecânica - areia e brita comerciais</t>
  </si>
  <si>
    <t>2003318</t>
  </si>
  <si>
    <t>Sarjeta triangular de concreto - STC 125-25 - escavação mecânica - areia extraída e brita produzida</t>
  </si>
  <si>
    <t>2003955</t>
  </si>
  <si>
    <t>Sarjeta triangular de concreto - STC 125-25 moldada no local com extrusora e concreto usinado - escavação mecânica - areia e brita comerciais</t>
  </si>
  <si>
    <t>2003956</t>
  </si>
  <si>
    <t>Sarjeta triangular de concreto - STC 125-25 moldada no local com extrusora e concreto usinado - escavação mecânica - areia extraída e brita produzida</t>
  </si>
  <si>
    <t>2003277</t>
  </si>
  <si>
    <t>Sarjeta triangular de concreto - STC 125-27 - escavação mecânica - areia e brita comerciais</t>
  </si>
  <si>
    <t>2003278</t>
  </si>
  <si>
    <t>Sarjeta triangular de concreto - STC 125-27 - escavação mecânica - areia extraída e brita produzida</t>
  </si>
  <si>
    <t>2003279</t>
  </si>
  <si>
    <t>Sarjeta triangular de concreto - STC 125-27 moldada no local com extrusora e concreto usinado - escavação mecânica - areia e brita comerciais</t>
  </si>
  <si>
    <t>2003280</t>
  </si>
  <si>
    <t>Sarjeta triangular de concreto - STC 125-27 moldada no local com extrusora e concreto usinado - escavação mecânica - areia extraída e brita produzida</t>
  </si>
  <si>
    <t>2003253</t>
  </si>
  <si>
    <t>Sarjeta triangular de concreto - STC 150-30 - escavação mecânica - areia e brita comerciais</t>
  </si>
  <si>
    <t>2003254</t>
  </si>
  <si>
    <t>Sarjeta triangular de concreto - STC 150-30 - escavação mecânica - areia extraída e brita produzida</t>
  </si>
  <si>
    <t>2003255</t>
  </si>
  <si>
    <t>Sarjeta triangular de concreto - STC 150-30 moldada no local com extrusora e concreto usinado - escavação mecânica - areia e brita comerciais</t>
  </si>
  <si>
    <t>2003256</t>
  </si>
  <si>
    <t>Sarjeta triangular de concreto - STC 150-30 moldada no local com extrusora e concreto usinado - escavação mecânica - areia extraída e brita produzida</t>
  </si>
  <si>
    <t>2003273</t>
  </si>
  <si>
    <t>Sarjeta triangular de concreto - STC 150-32 - escavação mecânica - areia e brita comerciais</t>
  </si>
  <si>
    <t>2003274</t>
  </si>
  <si>
    <t>Sarjeta triangular de concreto - STC 150-32 - escavação mecânica - areia extraída e brita produzida</t>
  </si>
  <si>
    <t>2003275</t>
  </si>
  <si>
    <t>Sarjeta triangular de concreto - STC 150-32 moldada no local com extrusora e concreto usinado - escavação mecânica - areia e brita comerciais</t>
  </si>
  <si>
    <t>2003276</t>
  </si>
  <si>
    <t>Sarjeta triangular de concreto - STC 150-32 moldada no local com extrusora e concreto usinado - escavação mecânica - areia extraída e brita produzida</t>
  </si>
  <si>
    <t>2003269</t>
  </si>
  <si>
    <t>Sarjeta triangular de concreto - STC 73-15 - escavação mecânica - areia e brita comerciais</t>
  </si>
  <si>
    <t>2003270</t>
  </si>
  <si>
    <t>Sarjeta triangular de concreto - STC 73-15 - escavação mecânica - areia extraída e brita produzida</t>
  </si>
  <si>
    <t>2003271</t>
  </si>
  <si>
    <t>Sarjeta triangular de concreto - STC 73-15 moldada no local com extrusora e concreto usinado - escavação mecânica - areia e brita comerciais</t>
  </si>
  <si>
    <t>2003272</t>
  </si>
  <si>
    <t>Sarjeta triangular de concreto - STC 73-15 moldada no local com extrusora e concreto usinado - escavação mecânica - areia extraída e brita produzida</t>
  </si>
  <si>
    <t>2003261</t>
  </si>
  <si>
    <t>Sarjeta triangular de concreto - STC 80-15 - escavação mecânica - areia e brita comerciais</t>
  </si>
  <si>
    <t>2003262</t>
  </si>
  <si>
    <t>Sarjeta triangular de concreto - STC 80-15 - escavação mecânica - areia extraída e brita produzida</t>
  </si>
  <si>
    <t>2003263</t>
  </si>
  <si>
    <t>Sarjeta triangular de concreto - STC 80-15 moldada no local com extrusora e concreto usinado - escavação mecânica - areia e brita comerciais</t>
  </si>
  <si>
    <t>2003264</t>
  </si>
  <si>
    <t>Sarjeta triangular de concreto - STC 80-15 moldada no local com extrusora e concreto usinado - escavação mecânica - areia extraída e brita produzida</t>
  </si>
  <si>
    <t>2003285</t>
  </si>
  <si>
    <t>Sarjeta triangular de concreto - STC 80-17 - escavação mecânica - areia e brita comerciais</t>
  </si>
  <si>
    <t>2003286</t>
  </si>
  <si>
    <t>Sarjeta triangular de concreto - STC 80-17 - escavação mecânica - areia extraída e brita produzida</t>
  </si>
  <si>
    <t>2003287</t>
  </si>
  <si>
    <t>Sarjeta triangular de concreto - STC 80-17 moldada no local com extrusora e concreto usinado - escavação mecânica - areia e brita comerciais</t>
  </si>
  <si>
    <t>2003288</t>
  </si>
  <si>
    <t>Sarjeta triangular de concreto - STC 80-17 moldada no local com extrusora e concreto usinado - escavação mecânica - areia extraída e brita produzida</t>
  </si>
  <si>
    <t>2003265</t>
  </si>
  <si>
    <t>Sarjeta triangular de concreto - STC 88-20 - escavação mecânica - areia e brita comerciais</t>
  </si>
  <si>
    <t>2003266</t>
  </si>
  <si>
    <t>Sarjeta triangular de concreto - STC 88-20 - escavação mecânica - areia extraída e brita produzida</t>
  </si>
  <si>
    <t>2003267</t>
  </si>
  <si>
    <t>Sarjeta triangular de concreto - STC 88-20 moldada no local com extrusora e concreto usinado - escavação mecânica - areia e brita comerciais</t>
  </si>
  <si>
    <t>2003268</t>
  </si>
  <si>
    <t>Sarjeta triangular de concreto - STC 88-20 moldada no local com extrusora e concreto usinado - escavação mecânica - areia extraída e brita produzida</t>
  </si>
  <si>
    <t>2003289</t>
  </si>
  <si>
    <t>Sarjeta triangular de grama - STG 100-20 - escavação mecânica</t>
  </si>
  <si>
    <t>2003338</t>
  </si>
  <si>
    <t>Sarjeta triangular de grama - STG 125-25 - escavação mecânica</t>
  </si>
  <si>
    <t>2003290</t>
  </si>
  <si>
    <t>Sarjeta triangular de grama - STG 80-15 - escavação mecânica</t>
  </si>
  <si>
    <t>2003300</t>
  </si>
  <si>
    <t>Sarjeta triangular sem revestimento - STT 100-20 - escavação mecânica</t>
  </si>
  <si>
    <t>2003299</t>
  </si>
  <si>
    <t>Sarjeta triangular sem revestimento - STT 125-25 - escavação mecânica</t>
  </si>
  <si>
    <t>2003301</t>
  </si>
  <si>
    <t>Sarjeta triangular sem revestimento - STT 80-15 - escavação mecânica</t>
  </si>
  <si>
    <t>2004513</t>
  </si>
  <si>
    <t>Selo asfáltico de microvala para dreno de pavimento com geocomposto</t>
  </si>
  <si>
    <t>2003365</t>
  </si>
  <si>
    <t>Transposição de segmentos de sarjeta - TSS 120 - areia e brita comerciais</t>
  </si>
  <si>
    <t>2003364</t>
  </si>
  <si>
    <t>Transposição de segmentos de sarjeta - TSS 120 - areia extraída e brita produzida</t>
  </si>
  <si>
    <t>2003097</t>
  </si>
  <si>
    <t>Transposição de segmentos de sarjeta - TSS 130 - areia e brita comerciais</t>
  </si>
  <si>
    <t>2003098</t>
  </si>
  <si>
    <t>Transposição de segmentos de sarjeta - TSS 130 - areia extraída e brita produzida</t>
  </si>
  <si>
    <t>2003363</t>
  </si>
  <si>
    <t>Transposição de segmentos de sarjeta - TSS 140 - areia e brita comerciais</t>
  </si>
  <si>
    <t>2003362</t>
  </si>
  <si>
    <t>Transposição de segmentos de sarjeta - TSS 140 - areia extraída e brita produzida</t>
  </si>
  <si>
    <t>2003099</t>
  </si>
  <si>
    <t>Transposição de segmentos de sarjeta - TSS 150 - areia e brita comerciais</t>
  </si>
  <si>
    <t>2003100</t>
  </si>
  <si>
    <t>Transposição de segmentos de sarjeta - TSS 150 - areia extraída e brita produzida</t>
  </si>
  <si>
    <t>2003361</t>
  </si>
  <si>
    <t>Transposição de segmentos de sarjeta - TSS 170 - areia e brita comerciais</t>
  </si>
  <si>
    <t>2003360</t>
  </si>
  <si>
    <t>Transposição de segmentos de sarjeta - TSS 170 - areia extraída e brita produzida</t>
  </si>
  <si>
    <t>2003101</t>
  </si>
  <si>
    <t>Transposição de segmentos de sarjeta - TSS 200 - areia e brita comerciais</t>
  </si>
  <si>
    <t>2003102</t>
  </si>
  <si>
    <t>Transposição de segmentos de sarjeta - TSS 200 - areia extraída e brita produzida</t>
  </si>
  <si>
    <t>2003869</t>
  </si>
  <si>
    <t>Tubo de concreto PA1 comercial para drenagem - D = 0,50 m - fornecimento e instalação</t>
  </si>
  <si>
    <t>2003822</t>
  </si>
  <si>
    <t>Tubo de concreto PA1 comercial para drenagem - D = 0,60 m - fornecimento e instalação</t>
  </si>
  <si>
    <t>2003826</t>
  </si>
  <si>
    <t>Tubo de concreto PA1 comercial para drenagem - D = 0,80 m - fornecimento e instalação</t>
  </si>
  <si>
    <t>2003830</t>
  </si>
  <si>
    <t>Tubo de concreto PA1 comercial para drenagem - D = 1,00 m - fornecimento e instalação</t>
  </si>
  <si>
    <t>2003834</t>
  </si>
  <si>
    <t>Tubo de concreto PA1 comercial para drenagem - D = 1,20 m - fornecimento e instalação</t>
  </si>
  <si>
    <t>2003838</t>
  </si>
  <si>
    <t>Tubo de concreto PA1 comercial para drenagem - D = 1,50 m - fornecimento e instalação</t>
  </si>
  <si>
    <t>2003768</t>
  </si>
  <si>
    <t>Tubo de concreto PA1 produzido na obra para drenagem - D = 0,60 m - areia e brita comerciais - fornecimento e instalação</t>
  </si>
  <si>
    <t>2003873</t>
  </si>
  <si>
    <t>Tubo de concreto PA1 produzido na obra para drenagem - D = 0,60 m - areia extraída e brita produzida - fornecimento e instalação</t>
  </si>
  <si>
    <t>2003772</t>
  </si>
  <si>
    <t>Tubo de concreto PA1 produzido na obra para drenagem - D = 0,80 m - areia e brita comerciais - fornecimento e instalação</t>
  </si>
  <si>
    <t>2003877</t>
  </si>
  <si>
    <t>Tubo de concreto PA1 produzido na obra para drenagem - D = 0,80 m - areia extraída e brita produzida - fornecimento e instalação</t>
  </si>
  <si>
    <t>2003776</t>
  </si>
  <si>
    <t>Tubo de concreto PA1 produzido na obra para drenagem - D = 1,00 m - areia e brita comerciais - fornecimento e instalação</t>
  </si>
  <si>
    <t>2003881</t>
  </si>
  <si>
    <t>Tubo de concreto PA1 produzido na obra para drenagem - D = 1,00 m - areia extraída e brita produzida - fornecimento e instalação</t>
  </si>
  <si>
    <t>2003780</t>
  </si>
  <si>
    <t>Tubo de concreto PA1 produzido na obra para drenagem - D = 1,20 m - areia e brita comerciais - fornecimento e instalação</t>
  </si>
  <si>
    <t>2003885</t>
  </si>
  <si>
    <t>Tubo de concreto PA1 produzido na obra para drenagem - D = 1,20 m - areia extraída e brita produzida - fornecimento e instalação</t>
  </si>
  <si>
    <t>2003784</t>
  </si>
  <si>
    <t>Tubo de concreto PA1 produzido na obra para drenagem - D = 1,50 m - areia e brita comerciais - fornecimento e instalação</t>
  </si>
  <si>
    <t>2003889</t>
  </si>
  <si>
    <t>Tubo de concreto PA1 produzido na obra para drenagem - D = 1,50 m - areia extraída e brita produzida - fornecimento e instalação</t>
  </si>
  <si>
    <t>2003870</t>
  </si>
  <si>
    <t>Tubo de concreto PA2 comercial para drenagem - D = 0,50 m - fornecimento e instalação</t>
  </si>
  <si>
    <t>2003823</t>
  </si>
  <si>
    <t>Tubo de concreto PA2 comercial para drenagem - D = 0,60 m - fornecimento e instalação</t>
  </si>
  <si>
    <t>2003827</t>
  </si>
  <si>
    <t>Tubo de concreto PA2 comercial para drenagem - D = 0,80 m - fornecimento e instalação</t>
  </si>
  <si>
    <t>2003831</t>
  </si>
  <si>
    <t>Tubo de concreto PA2 comercial para drenagem - D = 1,00 m - fornecimento e instalação</t>
  </si>
  <si>
    <t>2003835</t>
  </si>
  <si>
    <t>Tubo de concreto PA2 comercial para drenagem - D = 1,20 m - fornecimento e instalação</t>
  </si>
  <si>
    <t>2003839</t>
  </si>
  <si>
    <t>Tubo de concreto PA2 comercial para drenagem - D = 1,50 m - fornecimento e instalação</t>
  </si>
  <si>
    <t>2003769</t>
  </si>
  <si>
    <t>Tubo de concreto PA2 produzido na obra para drenagem - D = 0,60 m - areia e brita comerciais - fornecimento e instalação</t>
  </si>
  <si>
    <t>2003874</t>
  </si>
  <si>
    <t>Tubo de concreto PA2 produzido na obra para drenagem - D = 0,60 m - areia extraída e brita produzida - fornecimento e instalação</t>
  </si>
  <si>
    <t>2003773</t>
  </si>
  <si>
    <t>Tubo de concreto PA2 produzido na obra para drenagem - D = 0,80 m - areia e brita comerciais - fornecimento e instalação</t>
  </si>
  <si>
    <t>2003878</t>
  </si>
  <si>
    <t>Tubo de concreto PA2 produzido na obra para drenagem - D = 0,80 m - areia extraída e brita produzida - fornecimento e instalação</t>
  </si>
  <si>
    <t>2003777</t>
  </si>
  <si>
    <t>Tubo de concreto PA2 produzido na obra para drenagem - D = 1,00 m - areia e brita comerciais - fornecimento e instalação</t>
  </si>
  <si>
    <t>2003882</t>
  </si>
  <si>
    <t>Tubo de concreto PA2 produzido na obra para drenagem - D = 1,00 m - areia extraída e brita produzida - fornecimento e instalação</t>
  </si>
  <si>
    <t>2003781</t>
  </si>
  <si>
    <t>Tubo de concreto PA2 produzido na obra para drenagem - D = 1,20 m - areia e brita comerciais - fornecimento e instalação</t>
  </si>
  <si>
    <t>2003886</t>
  </si>
  <si>
    <t>Tubo de concreto PA2 produzido na obra para drenagem - D = 1,20 m - areia extraída e brita produzida - fornecimento e instalação</t>
  </si>
  <si>
    <t>2003785</t>
  </si>
  <si>
    <t>Tubo de concreto PA2 produzido na obra para drenagem - D = 1,50 m - areia e brita comerciais - fornecimento e instalação</t>
  </si>
  <si>
    <t>2003890</t>
  </si>
  <si>
    <t>Tubo de concreto PA2 produzido na obra para drenagem - D = 1,50 m - areia extraída e brita produzida - fornecimento e instalação</t>
  </si>
  <si>
    <t>2003871</t>
  </si>
  <si>
    <t>Tubo de concreto PA3 comercial para drenagem - D = 0,50 m - fornecimento e instalação</t>
  </si>
  <si>
    <t>2003824</t>
  </si>
  <si>
    <t>Tubo de concreto PA3 comercial para drenagem - D = 0,60 m - fornecimento e instalação</t>
  </si>
  <si>
    <t>2003828</t>
  </si>
  <si>
    <t>Tubo de concreto PA3 comercial para drenagem - D = 0,80 m - fornecimento e instalação</t>
  </si>
  <si>
    <t>2003832</t>
  </si>
  <si>
    <t>Tubo de concreto PA3 comercial para drenagem - D = 1,00 m - fornecimento e instalação</t>
  </si>
  <si>
    <t>2003836</t>
  </si>
  <si>
    <t>Tubo de concreto PA3 comercial para drenagem - D = 1,20 m - fornecimento e instalação</t>
  </si>
  <si>
    <t>2003840</t>
  </si>
  <si>
    <t>Tubo de concreto PA3 comercial para drenagem - D = 1,50 m - fornecimento e instalação</t>
  </si>
  <si>
    <t>2003770</t>
  </si>
  <si>
    <t>Tubo de concreto PA3 produzido na obra para drenagem - D = 0,60 m - areia e brita comerciais - fornecimento e instalação</t>
  </si>
  <si>
    <t>2003875</t>
  </si>
  <si>
    <t>Tubo de concreto PA3 produzido na obra para drenagem - D = 0,60 m - areia extraída e brita produzida - fornecimento e instalação</t>
  </si>
  <si>
    <t>2003774</t>
  </si>
  <si>
    <t>Tubo de concreto PA3 produzido na obra para drenagem - D = 0,80 m - areia e brita comerciais - fornecimento e instalação</t>
  </si>
  <si>
    <t>2003879</t>
  </si>
  <si>
    <t>Tubo de concreto PA3 produzido na obra para drenagem - D = 0,80 m - areia extraída e brita produzida - fornecimento e instalação</t>
  </si>
  <si>
    <t>2003778</t>
  </si>
  <si>
    <t>Tubo de concreto PA3 produzido na obra para drenagem - D = 1,00 m - areia e brita comerciais - fornecimento e instalação</t>
  </si>
  <si>
    <t>2003883</t>
  </si>
  <si>
    <t>Tubo de concreto PA3 produzido na obra para drenagem - D = 1,00 m - areia extraída e brita produzida - fornecimento e instalação</t>
  </si>
  <si>
    <t>2003782</t>
  </si>
  <si>
    <t>Tubo de concreto PA3 produzido na obra para drenagem - D = 1,20 m - areia e brita comerciais - fornecimento e instalação</t>
  </si>
  <si>
    <t>2003887</t>
  </si>
  <si>
    <t>Tubo de concreto PA3 produzido na obra para drenagem - D = 1,20 m - areia extraída e brita produzida - fornecimento e instalação</t>
  </si>
  <si>
    <t>2003786</t>
  </si>
  <si>
    <t>Tubo de concreto PA3 produzido na obra para drenagem - D = 1,50 m - areia e brita comerciais - fornecimento e instalação</t>
  </si>
  <si>
    <t>2003891</t>
  </si>
  <si>
    <t>Tubo de concreto PA3 produzido na obra para drenagem - D = 1,50 m - areia extraída e brita produzida - fornecimento e instalação</t>
  </si>
  <si>
    <t>2003872</t>
  </si>
  <si>
    <t>Tubo de concreto PA4 comercial para drenagem - D = 0,50 m - fornecimento e instalação</t>
  </si>
  <si>
    <t>2003825</t>
  </si>
  <si>
    <t>Tubo de concreto PA4 comercial para drenagem - D = 0,60 m - fornecimento e instalação</t>
  </si>
  <si>
    <t>2003829</t>
  </si>
  <si>
    <t>Tubo de concreto PA4 comercial para drenagem - D = 0,80 m - fornecimento e instalação</t>
  </si>
  <si>
    <t>2003833</t>
  </si>
  <si>
    <t>Tubo de concreto PA4 comercial para drenagem - D = 1,00 m - fornecimento e instalação</t>
  </si>
  <si>
    <t>2003837</t>
  </si>
  <si>
    <t>Tubo de concreto PA4 comercial para drenagem - D = 1,20 m - fornecimento e instalação</t>
  </si>
  <si>
    <t>2003841</t>
  </si>
  <si>
    <t>Tubo de concreto PA4 comercial para drenagem - D = 1,50 m - fornecimento e instalação</t>
  </si>
  <si>
    <t>2003771</t>
  </si>
  <si>
    <t>Tubo de concreto PA4 produzido na obra para drenagem - D = 0,60 m - areia e brita comerciais - fornecimento e instalação</t>
  </si>
  <si>
    <t>2003876</t>
  </si>
  <si>
    <t>Tubo de concreto PA4 produzido na obra para drenagem - D = 0,60 m - areia extraída e brita produzida - fornecimento e instalação</t>
  </si>
  <si>
    <t>2003775</t>
  </si>
  <si>
    <t>Tubo de concreto PA4 produzido na obra para drenagem - D = 0,80 m - areia e brita comerciais - fornecimento e instalação</t>
  </si>
  <si>
    <t>2003880</t>
  </si>
  <si>
    <t>Tubo de concreto PA4 produzido na obra para drenagem - D = 0,80 m - areia extraída e brita produzida - fornecimento e instalação</t>
  </si>
  <si>
    <t>2003779</t>
  </si>
  <si>
    <t>Tubo de concreto PA4 produzido na obra para drenagem - D = 1,00 m - areia e brita comerciais - fornecimento e instalação</t>
  </si>
  <si>
    <t>2003884</t>
  </si>
  <si>
    <t>Tubo de concreto PA4 produzido na obra para drenagem - D = 1,00 m - areia extraída e brita produzida - fornecimento e instalação</t>
  </si>
  <si>
    <t>2003783</t>
  </si>
  <si>
    <t>Tubo de concreto PA4 produzido na obra para drenagem - D = 1,20 m - areia e brita comerciais - fornecimento e instalação</t>
  </si>
  <si>
    <t>2003888</t>
  </si>
  <si>
    <t>Tubo de concreto PA4 produzido na obra para drenagem - D = 1,20 m - areia extraída e brita produzida - fornecimento e instalação</t>
  </si>
  <si>
    <t>2003787</t>
  </si>
  <si>
    <t>Tubo de concreto PA4 produzido na obra para drenagem - D = 1,50 m - areia e brita comerciais - fornecimento e instalação</t>
  </si>
  <si>
    <t>2003892</t>
  </si>
  <si>
    <t>Tubo de concreto PA4 produzido na obra para drenagem - D = 1,50 m - areia extraída e brita produzida - fornecimento e instalação</t>
  </si>
  <si>
    <t>2003851</t>
  </si>
  <si>
    <t>Tubo de concreto perfurado produzido na obra para drenagem - D = 0,40 m - fornecimento e instalação</t>
  </si>
  <si>
    <t>2003935</t>
  </si>
  <si>
    <t>Tubo de PVC para dreno tipo barbacã - D = 50 mm - fornecimento e instalação</t>
  </si>
  <si>
    <t>2003934</t>
  </si>
  <si>
    <t>Tubo de PVC para dreno tipo barbacã - D = 75 mm - fornecimento e instalação</t>
  </si>
  <si>
    <t>2003990</t>
  </si>
  <si>
    <t>Tubo PEAD para drenagem - D = 1.000 mm - fornecimento e instalação</t>
  </si>
  <si>
    <t>2003991</t>
  </si>
  <si>
    <t>Tubo PEAD para drenagem - D = 1.050 mm - fornecimento e instalação</t>
  </si>
  <si>
    <t>2003992</t>
  </si>
  <si>
    <t>Tubo PEAD para drenagem - D = 1.200 mm - fornecimento e instalação</t>
  </si>
  <si>
    <t>2003993</t>
  </si>
  <si>
    <t>Tubo PEAD para drenagem - D = 1.500 mm - fornecimento e instalação</t>
  </si>
  <si>
    <t>2003983</t>
  </si>
  <si>
    <t>Tubo PEAD para drenagem - D = 400 mm - fornecimento e instalação</t>
  </si>
  <si>
    <t>2003984</t>
  </si>
  <si>
    <t>Tubo PEAD para drenagem - D = 450 mm - fornecimento e instalação</t>
  </si>
  <si>
    <t>2003985</t>
  </si>
  <si>
    <t>Tubo PEAD para drenagem - D = 500 mm - fornecimento e instalação</t>
  </si>
  <si>
    <t>2003986</t>
  </si>
  <si>
    <t>Tubo PEAD para drenagem - D = 600 mm - fornecimento e instalação</t>
  </si>
  <si>
    <t>2003987</t>
  </si>
  <si>
    <t>Tubo PEAD para drenagem - D = 750 mm - fornecimento e instalação</t>
  </si>
  <si>
    <t>2003988</t>
  </si>
  <si>
    <t>Tubo PEAD para drenagem - D = 800 mm - fornecimento e instalação</t>
  </si>
  <si>
    <t>2003989</t>
  </si>
  <si>
    <t>Tubo PEAD para drenagem - D = 900 mm - fornecimento e instalação</t>
  </si>
  <si>
    <t>2003298</t>
  </si>
  <si>
    <t>Valeta de proteção de aterro sem revestimento - VPAT 120-30 - escavação mecânica</t>
  </si>
  <si>
    <t>2003297</t>
  </si>
  <si>
    <t>Valeta de proteção de aterro sem revestimento - VPAT 160-30 - escavação mecânica</t>
  </si>
  <si>
    <t>2003315</t>
  </si>
  <si>
    <t>Valeta de proteção de aterros com revestimento de concreto - VPAC 120-30 - escavação mecânica - areia e brita comerciais</t>
  </si>
  <si>
    <t>2003314</t>
  </si>
  <si>
    <t>Valeta de proteção de aterros com revestimento de concreto - VPAC 120-30 - escavação mecânica - areia extraída e brita produzida</t>
  </si>
  <si>
    <t>2003313</t>
  </si>
  <si>
    <t>Valeta de proteção de aterros com revestimento de concreto - VPAC 160-30 - escavação mecânica - areia e brita comerciais</t>
  </si>
  <si>
    <t>2003312</t>
  </si>
  <si>
    <t>Valeta de proteção de aterros com revestimento de concreto - VPAC 160-30 - escavação mecânica - areia extraída e brita produzida</t>
  </si>
  <si>
    <t>2003311</t>
  </si>
  <si>
    <t>Valeta de proteção de aterros com revestimento vegetal - VPAG 120-30 - escavação mecânica</t>
  </si>
  <si>
    <t>2003310</t>
  </si>
  <si>
    <t>Valeta de proteção de aterros com revestimento vegetal - VPAG 160-30 - escavação mecânica</t>
  </si>
  <si>
    <t>2003296</t>
  </si>
  <si>
    <t>Valeta de proteção de corte sem revestimento - VPCT 120-30 - escavação mecânica</t>
  </si>
  <si>
    <t>2003295</t>
  </si>
  <si>
    <t>Valeta de proteção de corte sem revestimento - VPCT 160-30 - escavação mecânica</t>
  </si>
  <si>
    <t>2003309</t>
  </si>
  <si>
    <t>Valeta de proteção de cortes com revestimento de concreto - VPCC 120-30 - escavação mecânica - areia e brita comerciais</t>
  </si>
  <si>
    <t>2003308</t>
  </si>
  <si>
    <t>Valeta de proteção de cortes com revestimento de concreto - VPCC 120-30 - escavação mecânica - areia extraída e brita produzida</t>
  </si>
  <si>
    <t>2003307</t>
  </si>
  <si>
    <t>Valeta de proteção de cortes com revestimento de concreto - VPCC 160-30 - escavação mecânica - areia e brita comerciais</t>
  </si>
  <si>
    <t>2003306</t>
  </si>
  <si>
    <t>Valeta de proteção de cortes com revestimento de concreto - VPCC 160-30 - escavação mecânica - areia extraída e brita produzida</t>
  </si>
  <si>
    <t>2003305</t>
  </si>
  <si>
    <t>Valeta de proteção de cortes com revestimento vegetal - VPCG 120-30 - escavação mecânica</t>
  </si>
  <si>
    <t>2003304</t>
  </si>
  <si>
    <t>Valeta de proteção de cortes com revestimento vegetal - VPCG 160-30 - escavação mecânica</t>
  </si>
  <si>
    <t>2105846</t>
  </si>
  <si>
    <t>Escoramento com estacas de perfis metálicos W 250 x 38,5 kg/m, espaçadas em 1,5 m, intercaladas com prancha de madeira com espessura de 5 cm e ficha de 0 a 0,2 H - sem reaproveitamento - fornecimento e instalação</t>
  </si>
  <si>
    <t>2105929</t>
  </si>
  <si>
    <t>Escoramento com estacas de perfis metálicos W 250 x 38,5 kg/m, espaçadas em 1,5 m, intercaladas com prancha de madeira com espessura de 5 cm e ficha de 0,20 a 0,4 H - sem reaproveitamento - fornecimento e instalação</t>
  </si>
  <si>
    <t>2105933</t>
  </si>
  <si>
    <t>Escoramento com estacas de perfis metálicos W 250 x 38,5 kg/m, espaçadas em 1,5 m, intercaladas com prancha de madeira com espessura de 5 cm e ficha de 0,40 a 0,6 H - sem reaproveitamento - fornecimento e instalação</t>
  </si>
  <si>
    <t>2106293</t>
  </si>
  <si>
    <t>Escoramento com perfis metálicos W 150 x 18,0 kg/m a cada metro e chapas de aço - estroncas a cada 2 m não incluídas - profundidade de até 10 m - aço com utilização de 20 vezes - fornecimento, instalação e retirada</t>
  </si>
  <si>
    <t>2108165</t>
  </si>
  <si>
    <t>Escoramento com pontaletes D = 10 cm - utilização de 1 vez - confecção, instalação e retirada</t>
  </si>
  <si>
    <t>2108166</t>
  </si>
  <si>
    <t>Escoramento com pontaletes D = 10 cm - utilização de 2 vezes - confecção, instalação e retirada</t>
  </si>
  <si>
    <t>2108167</t>
  </si>
  <si>
    <t>Escoramento com pontaletes D = 10 cm - utilização de 3 vezes - confecção, instalação e retirada</t>
  </si>
  <si>
    <t>2108168</t>
  </si>
  <si>
    <t>Escoramento com pontaletes D = 10 cm - utilização de 5 vezes - confecção, instalação e retirada</t>
  </si>
  <si>
    <t>2108169</t>
  </si>
  <si>
    <t>Escoramento com pontaletes D = 15 cm - utilização de 1 vez - confecção e instalação</t>
  </si>
  <si>
    <t>2108170</t>
  </si>
  <si>
    <t>Escoramento com pontaletes D = 15 cm - utilização de 2 vezes - confecção, instalação e retirada</t>
  </si>
  <si>
    <t>2108171</t>
  </si>
  <si>
    <t>Escoramento com pontaletes D = 15 cm - utilização de 3 vezes - confecção, instalação e retirada</t>
  </si>
  <si>
    <t>2108172</t>
  </si>
  <si>
    <t>Escoramento com pontaletes D = 15 cm - utilização de 5 vezes - confecção, instalação e retirada</t>
  </si>
  <si>
    <t>2106292</t>
  </si>
  <si>
    <t>Escoramento contínuo de valas com tábuas de 2,5 x 30 cm e longarinas de 6 x 16 cm - estroncas a cada metro não incluídas - profundidade de até 4 m - madeira com utilização de 3 vezes - confecção, instalação e retirada</t>
  </si>
  <si>
    <t>2106291</t>
  </si>
  <si>
    <t>Escoramento contínuo de valas com tábuas de 2,5 x 30 cm e longarinas de 6 x 16 cm - estroncas a cada metro não incluídas - profundidade de até 4 m - madeira sem reaproveitamento - confecção e instalação</t>
  </si>
  <si>
    <t>2106235</t>
  </si>
  <si>
    <t>Escoramento metálico com quadro tubular contraventado - capacidade de carga até 3,8 t/m² - quadro de 1,0 x 1,0 x 1,25 m - utilização de 50 vezes - fornecimento, instalação e retirada</t>
  </si>
  <si>
    <t>2106232</t>
  </si>
  <si>
    <t>Escoramento metálico tubular galvanizado para formas com capacidade de 2.100 a 750 kg por unidade - regulável de 3,0 a 4,5 m - utilização de 20 vezes - fornecimento, instalação e retirada</t>
  </si>
  <si>
    <t>2106233</t>
  </si>
  <si>
    <t>Escoramento metálico tubular galvanizado para formas com capacidade de 3.200 a 1.600 kg por unidade - regulável de 1,8 a 3,0 m - utilização de 20 vezes - fornecimento, instalação e retirada</t>
  </si>
  <si>
    <t>2105605</t>
  </si>
  <si>
    <t>Escoramento para corpo de bueiros celulares - utilização de 3 vezes - confecção, instalação e retirada</t>
  </si>
  <si>
    <t>2106298</t>
  </si>
  <si>
    <t>Estroncas em perfil metálico W 150 x 18,0 kg/m - utilização de 20 vezes</t>
  </si>
  <si>
    <t>2106295</t>
  </si>
  <si>
    <t>Estroncas para valas com D = 15 cm - madeira com utilização de 3 vezes</t>
  </si>
  <si>
    <t>2106294</t>
  </si>
  <si>
    <t>Estroncas para valas com D = 15 cm - madeira sem reaproveitamento</t>
  </si>
  <si>
    <t>2106297</t>
  </si>
  <si>
    <t>Estroncas para valas com D = 20 cm - madeira com utilização de 3 vezes</t>
  </si>
  <si>
    <t>2106296</t>
  </si>
  <si>
    <t>Estroncas para valas com D = 20 cm - madeira sem reaproveitamento</t>
  </si>
  <si>
    <t>2306076</t>
  </si>
  <si>
    <t>Armação de estaca escavada ou estaca barrete em aço CA-50 com apoio de guindaste - fornecimento, preparo e colocação</t>
  </si>
  <si>
    <t>2306247</t>
  </si>
  <si>
    <t>Arrasamento de estacas de concreto com seção de até 900 cm²</t>
  </si>
  <si>
    <t>2306248</t>
  </si>
  <si>
    <t>Arrasamento de estacas de concreto com seção superior à 900 cm²</t>
  </si>
  <si>
    <t>2306279</t>
  </si>
  <si>
    <t>Berço para pré-moldagem de estacas protendidas com capacidade de 19 m³, inclusive formas metálicas - utilização de 100 vezes</t>
  </si>
  <si>
    <t>2306651</t>
  </si>
  <si>
    <t>Camisa metálica com espessura de 12,5 mm D = 1.400 mm - cravada com martelo vibratório - sem escavação - cravação</t>
  </si>
  <si>
    <t>2306678</t>
  </si>
  <si>
    <t>Camisa metálica com espessura de 12,5 mm D = 1.400 mm - para passagem de lâmina d'água - posicionamento</t>
  </si>
  <si>
    <t>2306652</t>
  </si>
  <si>
    <t>Camisa metálica com espessura de 12,5 mm D = 1.500 mm - cravada com martelo vibratório - sem escavação - cravação</t>
  </si>
  <si>
    <t>2306679</t>
  </si>
  <si>
    <t>Camisa metálica com espessura de 12,5 mm D = 1.500 mm - para passagem de lâmina d'água - posicionamento</t>
  </si>
  <si>
    <t>2306653</t>
  </si>
  <si>
    <t>Camisa metálica com espessura de 12,5 mm D = 1.600 mm - cravada com martelo vibratório - sem escavação - cravação</t>
  </si>
  <si>
    <t>2306680</t>
  </si>
  <si>
    <t>Camisa metálica com espessura de 12,5 mm D = 1.600 mm - para passagem de lâmina d'água - posicionamento</t>
  </si>
  <si>
    <t>2306654</t>
  </si>
  <si>
    <t>Camisa metálica com espessura de 12,5 mm D = 1.700 mm - cravada com martelo vibratório - sem escavação - cravação</t>
  </si>
  <si>
    <t>2306681</t>
  </si>
  <si>
    <t>Camisa metálica com espessura de 12,5 mm D = 1.700 mm - para passagem de lâmina d'água - posicionamento</t>
  </si>
  <si>
    <t>2306655</t>
  </si>
  <si>
    <t>Camisa metálica com espessura de 12,5 mm D = 1.800 mm - cravada com martelo vibratório - sem escavação - cravação</t>
  </si>
  <si>
    <t>2306682</t>
  </si>
  <si>
    <t>Camisa metálica com espessura de 12,5 mm D = 1.800 mm - para passagem de lâmina d'água - posicionamento</t>
  </si>
  <si>
    <t>2306656</t>
  </si>
  <si>
    <t>Camisa metálica com espessura de 16 mm D = 1.500 mm - cravada com martelo vibratório - sem escavação - cravação</t>
  </si>
  <si>
    <t>2306683</t>
  </si>
  <si>
    <t>Camisa metálica com espessura de 16 mm D = 1.500 mm - para passagem de lâmina d'água - posicionamento</t>
  </si>
  <si>
    <t>2306657</t>
  </si>
  <si>
    <t>Camisa metálica com espessura de 16 mm D = 1.600 mm - cravada com martelo vibratório - sem escavação - cravação</t>
  </si>
  <si>
    <t>2306684</t>
  </si>
  <si>
    <t>Camisa metálica com espessura de 16 mm D = 1.600 mm - para passagem de lâmina d'água - posicionamento</t>
  </si>
  <si>
    <t>2306658</t>
  </si>
  <si>
    <t>Camisa metálica com espessura de 16 mm D = 1.700 mm - cravada com martelo vibratório - sem escavação - cravação</t>
  </si>
  <si>
    <t>2306685</t>
  </si>
  <si>
    <t>Camisa metálica com espessura de 16 mm D = 1.700 mm - para passagem de lâmina d'água - posicionamento</t>
  </si>
  <si>
    <t>2306659</t>
  </si>
  <si>
    <t>Camisa metálica com espessura de 16 mm D = 1.800 mm - cravada com martelo vibratório - sem escavação - cravação</t>
  </si>
  <si>
    <t>2306686</t>
  </si>
  <si>
    <t>Camisa metálica com espessura de 16 mm D = 1.800 mm - para passagem de lâmina d'água - posicionamento</t>
  </si>
  <si>
    <t>2306637</t>
  </si>
  <si>
    <t>Camisa metálica com espessura de 6,3 mm D = 1.000 mm - cravada com martelo vibratório - sem escavação - cravação</t>
  </si>
  <si>
    <t>2306664</t>
  </si>
  <si>
    <t>Camisa metálica com espessura de 6,3 mm D = 1.000 mm - para passagem de lâmina d'água - posicionamento</t>
  </si>
  <si>
    <t>2306732</t>
  </si>
  <si>
    <t>Camisa metálica com espessura de 6,3 mm D = 400 mm - cravada com martelo vibratório - sem escavação - cravação</t>
  </si>
  <si>
    <t>2306733</t>
  </si>
  <si>
    <t>Camisa metálica com espessura de 6,3 mm D = 400 mm - para passagem de lâmina d'água - posicionamento</t>
  </si>
  <si>
    <t>2306734</t>
  </si>
  <si>
    <t>Camisa metálica com espessura de 6,3 mm D = 500 mm - cravada com martelo vibratório - sem escavação - cravação</t>
  </si>
  <si>
    <t>2306735</t>
  </si>
  <si>
    <t>Camisa metálica com espessura de 6,3 mm D = 500 mm - para passagem de lâmina d'água - posicionamento</t>
  </si>
  <si>
    <t>2306633</t>
  </si>
  <si>
    <t>Camisa metálica com espessura de 6,3 mm D = 600 mm - cravada com martelo vibratório - sem escavação - cravação</t>
  </si>
  <si>
    <t>2306660</t>
  </si>
  <si>
    <t>Camisa metálica com espessura de 6,3 mm D = 600 mm - para passagem de lâmina d'água - posicionamento</t>
  </si>
  <si>
    <t>2306634</t>
  </si>
  <si>
    <t>Camisa metálica com espessura de 6,3 mm D = 700 mm - cravada com martelo vibratório - sem escavação - cravação</t>
  </si>
  <si>
    <t>2306661</t>
  </si>
  <si>
    <t>Camisa metálica com espessura de 6,3 mm D = 700 mm - para passagem de lâmina d'água - posicionamento</t>
  </si>
  <si>
    <t>2306635</t>
  </si>
  <si>
    <t>Camisa metálica com espessura de 6,3 mm D = 800 mm - cravada com martelo vibratório - sem escavação - cravação</t>
  </si>
  <si>
    <t>2306662</t>
  </si>
  <si>
    <t>Camisa metálica com espessura de 6,3 mm D = 800 mm - para passagem de lâmina d'água - posicionamento</t>
  </si>
  <si>
    <t>2306636</t>
  </si>
  <si>
    <t>Camisa metálica com espessura de 6,3 mm D = 900 mm - cravada com martelo vibratório - sem escavação - cravação</t>
  </si>
  <si>
    <t>2306663</t>
  </si>
  <si>
    <t>Camisa metálica com espessura de 6,3 mm D = 900 mm - para passagem de lâmina d'água - posicionamento</t>
  </si>
  <si>
    <t>2306641</t>
  </si>
  <si>
    <t>Camisa metálica com espessura de 8 mm D = 1.000 mm - cravada com martelo vibratório - sem escavação - cravação</t>
  </si>
  <si>
    <t>2306668</t>
  </si>
  <si>
    <t>Camisa metálica com espessura de 8 mm D = 1.000 mm - para passagem de lâmina d'água - posicionamento</t>
  </si>
  <si>
    <t>2306642</t>
  </si>
  <si>
    <t>Camisa metálica com espessura de 8 mm D = 1.100 mm - cravada com martelo vibratório - sem escavação - cravação</t>
  </si>
  <si>
    <t>2306669</t>
  </si>
  <si>
    <t>Camisa metálica com espessura de 8 mm D = 1.100 mm - para passagem de lâmina d'água - posicionamento</t>
  </si>
  <si>
    <t>2306643</t>
  </si>
  <si>
    <t>Camisa metálica com espessura de 8 mm D = 1.200 mm - cravada com martelo vibratório - sem escavação - cravação</t>
  </si>
  <si>
    <t>2306670</t>
  </si>
  <si>
    <t>Camisa metálica com espessura de 8 mm D = 1.200 mm - para passagem de lâmina d'água - posicionamento</t>
  </si>
  <si>
    <t>2306638</t>
  </si>
  <si>
    <t>Camisa metálica com espessura de 8 mm D = 700 mm - cravada com martelo vibratório - sem escavação - cravação</t>
  </si>
  <si>
    <t>2306665</t>
  </si>
  <si>
    <t>Camisa metálica com espessura de 8 mm D = 700 mm - para passagem de lâmina d'água - posicionamento</t>
  </si>
  <si>
    <t>2306639</t>
  </si>
  <si>
    <t>Camisa metálica com espessura de 8 mm D = 800 mm - cravada com martelo vibratório - sem escavação - cravação</t>
  </si>
  <si>
    <t>2306666</t>
  </si>
  <si>
    <t>Camisa metálica com espessura de 8 mm D = 800 mm - para passagem de lâmina d'água - posicionamento</t>
  </si>
  <si>
    <t>2306640</t>
  </si>
  <si>
    <t>Camisa metálica com espessura de 8 mm D = 900 mm - cravada com martelo vibratório - sem escavação - cravação</t>
  </si>
  <si>
    <t>2306667</t>
  </si>
  <si>
    <t>Camisa metálica com espessura de 8 mm D = 900 mm - para passagem de lâmina d'água - posicionamento</t>
  </si>
  <si>
    <t>2306645</t>
  </si>
  <si>
    <t>Camisa metálica com espessura de 9,5 mm D = 1.000 mm - cravada com martelo vibratório - sem escavação - cravação</t>
  </si>
  <si>
    <t>2306672</t>
  </si>
  <si>
    <t>Camisa metálica com espessura de 9,5 mm D = 1.000 mm - para passagem de lâmina d'água - posicionamento</t>
  </si>
  <si>
    <t>2306646</t>
  </si>
  <si>
    <t>Camisa metálica com espessura de 9,5 mm D = 1.100 mm - cravada com martelo vibratório - sem escavação - cravação</t>
  </si>
  <si>
    <t>2306673</t>
  </si>
  <si>
    <t>Camisa metálica com espessura de 9,5 mm D = 1.100 mm - para passagem de lâmina d'água - posicionamento</t>
  </si>
  <si>
    <t>2306647</t>
  </si>
  <si>
    <t>Camisa metálica com espessura de 9,5 mm D = 1.200 mm - cravada com martelo vibratório - sem escavação - cravação</t>
  </si>
  <si>
    <t>2306674</t>
  </si>
  <si>
    <t>Camisa metálica com espessura de 9,5 mm D = 1.200 mm - para passagem de lâmina d'água - posicionamento</t>
  </si>
  <si>
    <t>2306648</t>
  </si>
  <si>
    <t>Camisa metálica com espessura de 9,5 mm D = 1.300 mm - cravada com martelo vibratório - sem escavação - cravação</t>
  </si>
  <si>
    <t>2306675</t>
  </si>
  <si>
    <t>Camisa metálica com espessura de 9,5 mm D = 1.300 mm - para passagem de lâmina d'água - posicionamento</t>
  </si>
  <si>
    <t>2306649</t>
  </si>
  <si>
    <t>Camisa metálica com espessura de 9,5 mm D = 1.400 mm - cravada com martelo vibratório - sem escavação - cravação</t>
  </si>
  <si>
    <t>2306676</t>
  </si>
  <si>
    <t>Camisa metálica com espessura de 9,5 mm D = 1.400 mm - para passagem de lâmina d'água - posicionamento</t>
  </si>
  <si>
    <t>2306650</t>
  </si>
  <si>
    <t>Camisa metálica com espessura de 9,5 mm D = 1.500 mm - cravada com martelo vibratório - sem escavação - cravação</t>
  </si>
  <si>
    <t>2306677</t>
  </si>
  <si>
    <t>Camisa metálica com espessura de 9,5 mm D = 1.500 mm - para passagem de lâmina d'água - posicionamento</t>
  </si>
  <si>
    <t>2306644</t>
  </si>
  <si>
    <t>Camisa metálica com espessura de 9,5 mm D = 900 mm - cravada com martelo vibratório - sem escavação - cravação</t>
  </si>
  <si>
    <t>2306671</t>
  </si>
  <si>
    <t>Camisa metálica com espessura de 9,5 mm D = 900 mm - para passagem de lâmina d'água - posicionamento</t>
  </si>
  <si>
    <t>2306141</t>
  </si>
  <si>
    <t>Coluna de brita D = 50 cm executada com perfuratriz tipo bottom feed - brita comercial - confecção e cravação</t>
  </si>
  <si>
    <t>2306145</t>
  </si>
  <si>
    <t>Coluna de brita D = 50 cm executada com perfuratriz tipo bottom feed - brita produzida - confecção e cravação</t>
  </si>
  <si>
    <t>2306142</t>
  </si>
  <si>
    <t>Coluna de brita D = 60 cm executada com perfuratriz tipo bottom feed - brita comercial - confecção e cravação</t>
  </si>
  <si>
    <t>2306146</t>
  </si>
  <si>
    <t>Coluna de brita D = 60 cm executada com perfuratriz tipo bottom feed - brita produzida - confecção e cravação</t>
  </si>
  <si>
    <t>2306143</t>
  </si>
  <si>
    <t>Coluna de brita D = 70 cm executada com perfuratriz tipo bottom feed - brita comercial - confecção e cravação</t>
  </si>
  <si>
    <t>2306147</t>
  </si>
  <si>
    <t>Coluna de brita D = 70 cm executada com perfuratriz tipo bottom feed - brita produzida - confecção e cravação</t>
  </si>
  <si>
    <t>2306144</t>
  </si>
  <si>
    <t>Coluna de brita D = 80 cm executada com perfuratriz tipo bottom feed - brita comercial - confecção e cravação</t>
  </si>
  <si>
    <t>2306148</t>
  </si>
  <si>
    <t>Coluna de brita D = 80 cm executada com perfuratriz tipo bottom feed - brita produzida - confecção e cravação</t>
  </si>
  <si>
    <t>2306624</t>
  </si>
  <si>
    <t>Confecção de camisa metálica em aço ASTM A36 com espessura de 12,5 mm - D = 1.400 mm</t>
  </si>
  <si>
    <t>2306625</t>
  </si>
  <si>
    <t>Confecção de camisa metálica em aço ASTM A36 com espessura de 12,5 mm - D = 1.500 mm</t>
  </si>
  <si>
    <t>2306626</t>
  </si>
  <si>
    <t>Confecção de camisa metálica em aço ASTM A36 com espessura de 12,5 mm - D = 1.600 mm</t>
  </si>
  <si>
    <t>2306627</t>
  </si>
  <si>
    <t>Confecção de camisa metálica em aço ASTM A36 com espessura de 12,5 mm - D = 1.700 mm</t>
  </si>
  <si>
    <t>2306628</t>
  </si>
  <si>
    <t>Confecção de camisa metálica em aço ASTM A36 com espessura de 12,5 mm - D = 1.800 mm</t>
  </si>
  <si>
    <t>2306629</t>
  </si>
  <si>
    <t>Confecção de camisa metálica em aço ASTM A36 com espessura de 16 mm - D = 1.500 mm</t>
  </si>
  <si>
    <t>2306630</t>
  </si>
  <si>
    <t>Confecção de camisa metálica em aço ASTM A36 com espessura de 16 mm - D = 1.600 mm</t>
  </si>
  <si>
    <t>2306631</t>
  </si>
  <si>
    <t>Confecção de camisa metálica em aço ASTM A36 com espessura de 16 mm - D = 1.700 mm</t>
  </si>
  <si>
    <t>2306632</t>
  </si>
  <si>
    <t>Confecção de camisa metálica em aço ASTM A36 com espessura de 16 mm - D = 1.800 mm</t>
  </si>
  <si>
    <t>2306610</t>
  </si>
  <si>
    <t>Confecção de camisa metálica em aço ASTM A36 com espessura de 6,3 mm - D = 1.000 mm</t>
  </si>
  <si>
    <t>2306604</t>
  </si>
  <si>
    <t>Confecção de camisa metálica em aço ASTM A36 com espessura de 6,3 mm - D = 400 mm</t>
  </si>
  <si>
    <t>2306605</t>
  </si>
  <si>
    <t>Confecção de camisa metálica em aço ASTM A36 com espessura de 6,3 mm - D = 500 mm</t>
  </si>
  <si>
    <t>2306606</t>
  </si>
  <si>
    <t>Confecção de camisa metálica em aço ASTM A36 com espessura de 6,3 mm - D = 600 mm</t>
  </si>
  <si>
    <t>2306607</t>
  </si>
  <si>
    <t>Confecção de camisa metálica em aço ASTM A36 com espessura de 6,3 mm - D = 700 mm</t>
  </si>
  <si>
    <t>2306608</t>
  </si>
  <si>
    <t>Confecção de camisa metálica em aço ASTM A36 com espessura de 6,3 mm - D = 800 mm</t>
  </si>
  <si>
    <t>2306609</t>
  </si>
  <si>
    <t>Confecção de camisa metálica em aço ASTM A36 com espessura de 6,3 mm - D = 900 mm</t>
  </si>
  <si>
    <t>2306614</t>
  </si>
  <si>
    <t>Confecção de camisa metálica em aço ASTM A36 com espessura de 8 mm - D = 1.000 mm</t>
  </si>
  <si>
    <t>2306615</t>
  </si>
  <si>
    <t>Confecção de camisa metálica em aço ASTM A36 com espessura de 8 mm - D = 1.100 mm</t>
  </si>
  <si>
    <t>2306616</t>
  </si>
  <si>
    <t>Confecção de camisa metálica em aço ASTM A36 com espessura de 8 mm - D = 1.200 mm</t>
  </si>
  <si>
    <t>2306611</t>
  </si>
  <si>
    <t>Confecção de camisa metálica em aço ASTM A36 com espessura de 8 mm - D = 700 mm</t>
  </si>
  <si>
    <t>2306612</t>
  </si>
  <si>
    <t>Confecção de camisa metálica em aço ASTM A36 com espessura de 8 mm - D = 800 mm</t>
  </si>
  <si>
    <t>2306613</t>
  </si>
  <si>
    <t>Confecção de camisa metálica em aço ASTM A36 com espessura de 8 mm - D = 900 mm</t>
  </si>
  <si>
    <t>2306618</t>
  </si>
  <si>
    <t>Confecção de camisa metálica em aço ASTM A36 com espessura de 9,5 mm - D = 1.000 mm</t>
  </si>
  <si>
    <t>2306619</t>
  </si>
  <si>
    <t>Confecção de camisa metálica em aço ASTM A36 com espessura de 9,5 mm - D = 1.100 mm</t>
  </si>
  <si>
    <t>2306620</t>
  </si>
  <si>
    <t>Confecção de camisa metálica em aço ASTM A36 com espessura de 9,5 mm - D = 1.200 mm</t>
  </si>
  <si>
    <t>2306621</t>
  </si>
  <si>
    <t>Confecção de camisa metálica em aço ASTM A36 com espessura de 9,5 mm - D = 1.300 mm</t>
  </si>
  <si>
    <t>2306622</t>
  </si>
  <si>
    <t>Confecção de camisa metálica em aço ASTM A36 com espessura de 9,5 mm - D = 1.400 mm</t>
  </si>
  <si>
    <t>2306623</t>
  </si>
  <si>
    <t>Confecção de camisa metálica em aço ASTM A36 com espessura de 9,5 mm - D = 1.500 mm</t>
  </si>
  <si>
    <t>2306617</t>
  </si>
  <si>
    <t>Confecção de camisa metálica em aço ASTM A36 com espessura de 9,5 mm - D = 900 mm</t>
  </si>
  <si>
    <t>2306014</t>
  </si>
  <si>
    <t>Contraventamento de grupo de estacas submersas em aço ASTM A36 - confecção e instalação</t>
  </si>
  <si>
    <t>2306700</t>
  </si>
  <si>
    <t>Escavação com perfuratriz tipo Wirth em rocha com média dureza e média abrasão - resistência à compressão menor que 80 MPa - D = 1.000 mm</t>
  </si>
  <si>
    <t>2306703</t>
  </si>
  <si>
    <t>Escavação com perfuratriz tipo Wirth em rocha com média dureza e média abrasão - resistência à compressão menor que 80 MPa - D = 1.100 mm</t>
  </si>
  <si>
    <t>2306706</t>
  </si>
  <si>
    <t>Escavação com perfuratriz tipo Wirth em rocha com média dureza e média abrasão - resistência à compressão menor que 80 MPa - D = 1.200 mm</t>
  </si>
  <si>
    <t>2306709</t>
  </si>
  <si>
    <t>Escavação com perfuratriz tipo Wirth em rocha com média dureza e média abrasão - resistência à compressão menor que 80 MPa - D = 1.300 mm</t>
  </si>
  <si>
    <t>2306712</t>
  </si>
  <si>
    <t>Escavação com perfuratriz tipo Wirth em rocha com média dureza e média abrasão - resistência à compressão menor que 80 MPa - D = 1.400 mm</t>
  </si>
  <si>
    <t>2306715</t>
  </si>
  <si>
    <t>Escavação com perfuratriz tipo Wirth em rocha com média dureza e média abrasão - resistência à compressão menor que 80 MPa - D = 1.500 mm</t>
  </si>
  <si>
    <t>2306718</t>
  </si>
  <si>
    <t>Escavação com perfuratriz tipo Wirth em rocha com média dureza e média abrasão - resistência à compressão menor que 80 MPa - D = 1.600 mm</t>
  </si>
  <si>
    <t>2306721</t>
  </si>
  <si>
    <t>Escavação com perfuratriz tipo Wirth em rocha com média dureza e média abrasão - resistência à compressão menor que 80 MPa - D = 1.700 mm</t>
  </si>
  <si>
    <t>2306724</t>
  </si>
  <si>
    <t>Escavação com perfuratriz tipo Wirth em rocha com média dureza e média abrasão - resistência à compressão menor que 80 MPa - D = 1.800 mm</t>
  </si>
  <si>
    <t>2306688</t>
  </si>
  <si>
    <t>Escavação com perfuratriz tipo Wirth em rocha com média dureza e média abrasão - resistência à compressão menor que 80 MPa - D = 600 mm</t>
  </si>
  <si>
    <t>2306691</t>
  </si>
  <si>
    <t>Escavação com perfuratriz tipo Wirth em rocha com média dureza e média abrasão - resistência à compressão menor que 80 MPa - D = 700 mm</t>
  </si>
  <si>
    <t>2306694</t>
  </si>
  <si>
    <t>Escavação com perfuratriz tipo Wirth em rocha com média dureza e média abrasão - resistência à compressão menor que 80 MPa - D = 800 mm</t>
  </si>
  <si>
    <t>2306697</t>
  </si>
  <si>
    <t>Escavação com perfuratriz tipo Wirth em rocha com média dureza e média abrasão - resistência à compressão menor que 80 MPa - D = 900 mm</t>
  </si>
  <si>
    <t>2306701</t>
  </si>
  <si>
    <t>Escavação com perfuratriz tipo Wirth em rocha de alta dureza e alta abrasão - resistência à compressão acima de 80 MPa - D = 1.000 mm</t>
  </si>
  <si>
    <t>2306704</t>
  </si>
  <si>
    <t>Escavação com perfuratriz tipo Wirth em rocha de alta dureza e alta abrasão - resistência à compressão acima de 80 MPa - D = 1.100 mm</t>
  </si>
  <si>
    <t>2306707</t>
  </si>
  <si>
    <t>Escavação com perfuratriz tipo Wirth em rocha de alta dureza e alta abrasão - resistência à compressão acima de 80 MPa - D = 1.200 mm</t>
  </si>
  <si>
    <t>2306710</t>
  </si>
  <si>
    <t>Escavação com perfuratriz tipo Wirth em rocha de alta dureza e alta abrasão - resistência à compressão acima de 80 MPa - D = 1.300 mm</t>
  </si>
  <si>
    <t>2306713</t>
  </si>
  <si>
    <t>Escavação com perfuratriz tipo Wirth em rocha de alta dureza e alta abrasão - resistência à compressão acima de 80 MPa - D = 1.400 mm</t>
  </si>
  <si>
    <t>2306716</t>
  </si>
  <si>
    <t>Escavação com perfuratriz tipo Wirth em rocha de alta dureza e alta abrasão - resistência à compressão acima de 80 MPa - D = 1.500 mm</t>
  </si>
  <si>
    <t>2306719</t>
  </si>
  <si>
    <t>Escavação com perfuratriz tipo Wirth em rocha de alta dureza e alta abrasão - resistência à compressão acima de 80 MPa - D = 1.600 mm</t>
  </si>
  <si>
    <t>2306722</t>
  </si>
  <si>
    <t>Escavação com perfuratriz tipo Wirth em rocha de alta dureza e alta abrasão - resistência à compressão acima de 80 MPa - D = 1.700 mm</t>
  </si>
  <si>
    <t>2306725</t>
  </si>
  <si>
    <t>Escavação com perfuratriz tipo Wirth em rocha de alta dureza e alta abrasão - resistência à compressão acima de 80 MPa - D = 1.800 mm</t>
  </si>
  <si>
    <t>2306689</t>
  </si>
  <si>
    <t>Escavação com perfuratriz tipo Wirth em rocha de alta dureza e alta abrasão - resistência à compressão acima de 80 MPa - D = 600 mm</t>
  </si>
  <si>
    <t>2306692</t>
  </si>
  <si>
    <t>Escavação com perfuratriz tipo Wirth em rocha de alta dureza e alta abrasão - resistência à compressão acima de 80 MPa - D = 700 mm</t>
  </si>
  <si>
    <t>2306695</t>
  </si>
  <si>
    <t>Escavação com perfuratriz tipo Wirth em rocha de alta dureza e alta abrasão - resistência à compressão acima de 80 MPa - D = 800 mm</t>
  </si>
  <si>
    <t>2306698</t>
  </si>
  <si>
    <t>Escavação com perfuratriz tipo Wirth em rocha de alta dureza e alta abrasão - resistência à compressão acima de 80 MPa - D = 900 mm</t>
  </si>
  <si>
    <t>2306699</t>
  </si>
  <si>
    <t>Escavação com perfuratriz tipo Wirth em solo - D = 1.000 mm</t>
  </si>
  <si>
    <t>2306702</t>
  </si>
  <si>
    <t>Escavação com perfuratriz tipo Wirth em solo - D = 1.100 mm</t>
  </si>
  <si>
    <t>2306705</t>
  </si>
  <si>
    <t>Escavação com perfuratriz tipo Wirth em solo - D = 1.200 mm</t>
  </si>
  <si>
    <t>2306708</t>
  </si>
  <si>
    <t>Escavação com perfuratriz tipo Wirth em solo - D = 1.300 mm</t>
  </si>
  <si>
    <t>2306711</t>
  </si>
  <si>
    <t>Escavação com perfuratriz tipo Wirth em solo - D = 1.400 mm</t>
  </si>
  <si>
    <t>2306714</t>
  </si>
  <si>
    <t>Escavação com perfuratriz tipo Wirth em solo - D = 1.500 mm</t>
  </si>
  <si>
    <t>2306717</t>
  </si>
  <si>
    <t>Escavação com perfuratriz tipo Wirth em solo - D = 1.600 mm</t>
  </si>
  <si>
    <t>2306720</t>
  </si>
  <si>
    <t>Escavação com perfuratriz tipo Wirth em solo - D = 1.700 mm</t>
  </si>
  <si>
    <t>2306723</t>
  </si>
  <si>
    <t>Escavação com perfuratriz tipo Wirth em solo - D = 1.800 mm</t>
  </si>
  <si>
    <t>2306687</t>
  </si>
  <si>
    <t>Escavação com perfuratriz tipo Wirth em solo - D = 600 mm</t>
  </si>
  <si>
    <t>2306690</t>
  </si>
  <si>
    <t>Escavação com perfuratriz tipo Wirth em solo - D = 700 mm</t>
  </si>
  <si>
    <t>2306693</t>
  </si>
  <si>
    <t>Escavação com perfuratriz tipo Wirth em solo - D = 800 mm</t>
  </si>
  <si>
    <t>2306696</t>
  </si>
  <si>
    <t>Escavação com perfuratriz tipo Wirth em solo - D = 900 mm</t>
  </si>
  <si>
    <t>2306239</t>
  </si>
  <si>
    <t>Estaca barrete escavada com uso de fluido estabilizante - confecção</t>
  </si>
  <si>
    <t>2306090</t>
  </si>
  <si>
    <t>Estaca broca manual D = 25 cm - confecção</t>
  </si>
  <si>
    <t>2306091</t>
  </si>
  <si>
    <t>Estaca broca manual D = 30 cm - confecção</t>
  </si>
  <si>
    <t>2306072</t>
  </si>
  <si>
    <t>Estaca circular tipo estacão escavada com uso de fluido estabilizante - confecção</t>
  </si>
  <si>
    <t>2306133</t>
  </si>
  <si>
    <t>Estaca duplo perfil metálico W 250 x 17,9 - com emenda - fornecimento e cravação</t>
  </si>
  <si>
    <t>2306114</t>
  </si>
  <si>
    <t>Estaca duplo trilho TR 25 - com emenda - fornecimento e cravação</t>
  </si>
  <si>
    <t>2306115</t>
  </si>
  <si>
    <t>Estaca duplo trilho TR 37 - com emenda - fornecimento e cravação</t>
  </si>
  <si>
    <t>2306116</t>
  </si>
  <si>
    <t>Estaca duplo trilho TR 45 - com emenda - fornecimento e cravação</t>
  </si>
  <si>
    <t>2306118</t>
  </si>
  <si>
    <t>Estaca duplo trilho TR 57 - com emenda - fornecimento e cravação</t>
  </si>
  <si>
    <t>2306122</t>
  </si>
  <si>
    <t>Estaca duplo trilho TR 68 - com emenda - fornecimento e cravação</t>
  </si>
  <si>
    <t>2306078</t>
  </si>
  <si>
    <t>Estaca Franki com fuste apiloado D = 35 cm - confecção</t>
  </si>
  <si>
    <t>2306080</t>
  </si>
  <si>
    <t>Estaca Franki com fuste apiloado D = 40 cm - confecção</t>
  </si>
  <si>
    <t>2306082</t>
  </si>
  <si>
    <t>Estaca Franki com fuste apiloado D = 45 cm - confecção</t>
  </si>
  <si>
    <t>2306084</t>
  </si>
  <si>
    <t>Estaca Franki com fuste apiloado D = 52 cm - confecção</t>
  </si>
  <si>
    <t>2306086</t>
  </si>
  <si>
    <t>Estaca Franki com fuste apiloado D = 60 cm - confecção</t>
  </si>
  <si>
    <t>2309088</t>
  </si>
  <si>
    <t>Estaca Franki com fuste apiloado D = 70 cm - confecção</t>
  </si>
  <si>
    <t>2306074</t>
  </si>
  <si>
    <t>Estaca hélice contínua - confecção</t>
  </si>
  <si>
    <t>2306095</t>
  </si>
  <si>
    <t>Estaca hélice de deslocamento - confecção</t>
  </si>
  <si>
    <t>2306132</t>
  </si>
  <si>
    <t>Estaca perfil metálico W 150 x 22,5 (H) - fornecimento e cravação</t>
  </si>
  <si>
    <t>2306015</t>
  </si>
  <si>
    <t>Estaca prancha metálica - fornecimento e cravação até 12 metros</t>
  </si>
  <si>
    <t>2306019</t>
  </si>
  <si>
    <t>Estaca prancha metálica com apoio de flutuante - fornecimento e cravação de 12 metros</t>
  </si>
  <si>
    <t>2306018</t>
  </si>
  <si>
    <t>Estaca prancha metálica com apoio de flutuante e utilização de 10 vezes - fornecimento, cravação até 12 metros</t>
  </si>
  <si>
    <t>2306016</t>
  </si>
  <si>
    <t>Estaca prancha metálica com utilização de 10 vezes - fornecimento, cravação até 12 metros</t>
  </si>
  <si>
    <t>2305999</t>
  </si>
  <si>
    <t>Estaca pré-moldada de concreto armado centrifugado com compressão admissível de 100 t - sem emenda - fornecimento e cravação</t>
  </si>
  <si>
    <t>2306000</t>
  </si>
  <si>
    <t>Estaca pré-moldada de concreto armado centrifugado com compressão admissível de 125 t - sem emenda - fornecimento e cravação</t>
  </si>
  <si>
    <t>2306001</t>
  </si>
  <si>
    <t>Estaca pré-moldada de concreto armado centrifugado com compressão admissível de 170 t - sem emenda - fornecimento e cravação</t>
  </si>
  <si>
    <t>2306002</t>
  </si>
  <si>
    <t>Estaca pré-moldada de concreto armado centrifugado com compressão admissível de 230 t - sem emenda - fornecimento e cravação</t>
  </si>
  <si>
    <t>2306003</t>
  </si>
  <si>
    <t>Estaca pré-moldada de concreto armado centrifugado com compressão admissível de 300 t - sem emenda - fornecimento e cravação</t>
  </si>
  <si>
    <t>2305997</t>
  </si>
  <si>
    <t>Estaca pré-moldada de concreto armado centrifugado com compressão admissível de 55 t - sem emenda - fornecimento e cravação</t>
  </si>
  <si>
    <t>2305998</t>
  </si>
  <si>
    <t>Estaca pré-moldada de concreto armado centrifugado com compressão admissível de 80 t - sem emenda - fornecimento e cravação</t>
  </si>
  <si>
    <t>2306101</t>
  </si>
  <si>
    <t>Estaca pré-moldada de concreto protendido 15 x 15 cm - produzida - sem emenda - cravação</t>
  </si>
  <si>
    <t>2306102</t>
  </si>
  <si>
    <t>Estaca pré-moldada de concreto protendido 17 x 17 cm - produzida - sem emenda - cravação</t>
  </si>
  <si>
    <t>2306103</t>
  </si>
  <si>
    <t>Estaca pré-moldada de concreto protendido 20 x 20 cm - produzida - sem emenda - cravação</t>
  </si>
  <si>
    <t>2306104</t>
  </si>
  <si>
    <t>Estaca pré-moldada de concreto protendido 21 x 21 cm - produzida - sem emenda - cravação</t>
  </si>
  <si>
    <t>2306105</t>
  </si>
  <si>
    <t>Estaca pré-moldada de concreto protendido 23 x 23 cm - produzida - sem emenda - cravação</t>
  </si>
  <si>
    <t>2306106</t>
  </si>
  <si>
    <t>Estaca pré-moldada de concreto protendido 25 x 25 cm - produzida - sem emenda - cravação</t>
  </si>
  <si>
    <t>2306107</t>
  </si>
  <si>
    <t>Estaca pré-moldada de concreto protendido 26 x 26 cm - produzida - sem emenda - cravação</t>
  </si>
  <si>
    <t>2306269</t>
  </si>
  <si>
    <t>Estaca pré-moldada de concreto protendido 30 x 30 cm - produzida - sem emenda - cravação</t>
  </si>
  <si>
    <t>2306270</t>
  </si>
  <si>
    <t>Estaca pré-moldada de concreto protendido 33 x 33 cm - produzida - sem emenda - cravação</t>
  </si>
  <si>
    <t>2306271</t>
  </si>
  <si>
    <t>Estaca pré-moldada de concreto protendido 35 x 35 cm - produzida - sem emenda - cravação</t>
  </si>
  <si>
    <t>2306272</t>
  </si>
  <si>
    <t>Estaca pré-moldada de concreto protendido 38 x 38 cm - produzida - sem emenda - cravação</t>
  </si>
  <si>
    <t>2306273</t>
  </si>
  <si>
    <t>Estaca pré-moldada de concreto protendido 40 x 40 cm - produzida - sem emenda - cravação</t>
  </si>
  <si>
    <t>2306274</t>
  </si>
  <si>
    <t>Estaca pré-moldada de concreto protendido 42 x 42 cm - produzida - sem emenda - cravação</t>
  </si>
  <si>
    <t>2306275</t>
  </si>
  <si>
    <t>Estaca pré-moldada de concreto protendido 45 x 45 cm - produzida - sem emenda - cravação</t>
  </si>
  <si>
    <t>2306100</t>
  </si>
  <si>
    <t>Estaca pré-moldada de concreto protendido com compressão admissível de 100 t - comercial - sem emenda - fornecimento e cravação</t>
  </si>
  <si>
    <t>2306004</t>
  </si>
  <si>
    <t>Estaca pré-moldada de concreto protendido com compressão admissível de 25 t - comercial - sem emenda - fornecimento e cravação</t>
  </si>
  <si>
    <t>2306097</t>
  </si>
  <si>
    <t>Estaca pré-moldada de concreto protendido com compressão admissível de 35 t - comercial - sem emenda - fornecimento e cravação</t>
  </si>
  <si>
    <t>2306098</t>
  </si>
  <si>
    <t>Estaca pré-moldada de concreto protendido com compressão admissível de 60 t - comercial - sem emenda - fornecimento e cravação</t>
  </si>
  <si>
    <t>2306007</t>
  </si>
  <si>
    <t>Estaca pré-moldada de concreto protendido com compressão admissível de 75 t - comercial - sem emenda - fornecimento e cravação</t>
  </si>
  <si>
    <t>2306067</t>
  </si>
  <si>
    <t>Estaca raiz perfurada na rocha com D = 16 cm - confecção</t>
  </si>
  <si>
    <t>2306068</t>
  </si>
  <si>
    <t>Estaca raiz perfurada na rocha com D = 20 cm - confecção</t>
  </si>
  <si>
    <t>2306069</t>
  </si>
  <si>
    <t>Estaca raiz perfurada na rocha com D = 25 cm - confecção</t>
  </si>
  <si>
    <t>2306070</t>
  </si>
  <si>
    <t>Estaca raiz perfurada na rocha com D = 31 cm - confecção</t>
  </si>
  <si>
    <t>2306071</t>
  </si>
  <si>
    <t>Estaca raiz perfurada na rocha com D = 40 cm - confecção</t>
  </si>
  <si>
    <t>2306181</t>
  </si>
  <si>
    <t>Estaca raiz perfurada na rocha com D = 45 cm - confecção</t>
  </si>
  <si>
    <t>2306062</t>
  </si>
  <si>
    <t>Estaca raiz perfurada no solo com D = 16 cm - confecção</t>
  </si>
  <si>
    <t>2306063</t>
  </si>
  <si>
    <t>Estaca raiz perfurada no solo com D = 20 cm - confecção</t>
  </si>
  <si>
    <t>2306064</t>
  </si>
  <si>
    <t>Estaca raiz perfurada no solo com D = 25 cm - confecção</t>
  </si>
  <si>
    <t>2306065</t>
  </si>
  <si>
    <t>Estaca raiz perfurada no solo com D = 31 cm - confecção</t>
  </si>
  <si>
    <t>2306066</t>
  </si>
  <si>
    <t>Estaca raiz perfurada no solo com D = 40 cm - confecção</t>
  </si>
  <si>
    <t>2306180</t>
  </si>
  <si>
    <t>Estaca raiz perfurada no solo com D = 45 cm - confecção</t>
  </si>
  <si>
    <t>2306009</t>
  </si>
  <si>
    <t>Estaca Strauss D = 25 cm - confecção</t>
  </si>
  <si>
    <t>2306010</t>
  </si>
  <si>
    <t>Estaca Strauss D = 32 cm - confecção</t>
  </si>
  <si>
    <t>2306011</t>
  </si>
  <si>
    <t>Estaca Strauss D = 38 cm - confecção</t>
  </si>
  <si>
    <t>2306012</t>
  </si>
  <si>
    <t>Estaca Strauss D = 45 cm - confecção</t>
  </si>
  <si>
    <t>2306108</t>
  </si>
  <si>
    <t>Estaca trilho TR 25 - fornecimento e cravação</t>
  </si>
  <si>
    <t>2306110</t>
  </si>
  <si>
    <t>Estaca trilho TR 37 - fornecimento e cravação</t>
  </si>
  <si>
    <t>2306111</t>
  </si>
  <si>
    <t>Estaca trilho TR 45 - fornecimento e cravação</t>
  </si>
  <si>
    <t>2306112</t>
  </si>
  <si>
    <t>Estaca trilho TR 57 - fornecimento e cravação</t>
  </si>
  <si>
    <t>2306113</t>
  </si>
  <si>
    <t>Estaca trilho TR 68 - fornecimento e cravação</t>
  </si>
  <si>
    <t>2306123</t>
  </si>
  <si>
    <t>Estaca triplo trilho TR 25 - com emenda - fornecimento e cravação</t>
  </si>
  <si>
    <t>2306124</t>
  </si>
  <si>
    <t>Estaca triplo trilho TR 37 - com emenda - fornecimento e cravação</t>
  </si>
  <si>
    <t>2306125</t>
  </si>
  <si>
    <t>Estaca triplo trilho TR 45 - com emenda - fornecimento e cravação</t>
  </si>
  <si>
    <t>2306126</t>
  </si>
  <si>
    <t>Estaca triplo trilho TR 57 - com emenda - fornecimento e cravação</t>
  </si>
  <si>
    <t>2306127</t>
  </si>
  <si>
    <t>Estaca triplo trilho TR 68 - com emenda - fornecimento e cravação</t>
  </si>
  <si>
    <t>2306300</t>
  </si>
  <si>
    <t>Fabricação de estaca pré-moldada de concreto protendida seção 15 x 15 cm</t>
  </si>
  <si>
    <t>2306301</t>
  </si>
  <si>
    <t>Fabricação de estaca pré-moldada de concreto protendida seção 17 x 17 cm</t>
  </si>
  <si>
    <t>2306302</t>
  </si>
  <si>
    <t>Fabricação de estaca pré-moldada de concreto protendida seção 20 x 20 cm</t>
  </si>
  <si>
    <t>2306303</t>
  </si>
  <si>
    <t>Fabricação de estaca pré-moldada de concreto protendida seção 21 x 21 cm</t>
  </si>
  <si>
    <t>2306304</t>
  </si>
  <si>
    <t>Fabricação de estaca pré-moldada de concreto protendida seção 23 x 23 cm</t>
  </si>
  <si>
    <t>2306305</t>
  </si>
  <si>
    <t>Fabricação de estaca pré-moldada de concreto protendida seção 25 x 25 cm</t>
  </si>
  <si>
    <t>2306306</t>
  </si>
  <si>
    <t>Fabricação de estaca pré-moldada de concreto protendida seção 26 x 26 cm</t>
  </si>
  <si>
    <t>2306307</t>
  </si>
  <si>
    <t>Fabricação de estaca pré-moldada de concreto protendida seção 30 x 30 cm</t>
  </si>
  <si>
    <t>2306308</t>
  </si>
  <si>
    <t>Fabricação de estaca pré-moldada de concreto protendida seção 33 x 33 cm</t>
  </si>
  <si>
    <t>2306309</t>
  </si>
  <si>
    <t>Fabricação de estaca pré-moldada de concreto protendida seção 35 x 35 cm</t>
  </si>
  <si>
    <t>2306310</t>
  </si>
  <si>
    <t>Fabricação de estaca pré-moldada de concreto protendida seção 38 x 38 cm</t>
  </si>
  <si>
    <t>2306311</t>
  </si>
  <si>
    <t>Fabricação de estaca pré-moldada de concreto protendida seção 40 x 40 cm</t>
  </si>
  <si>
    <t>2306312</t>
  </si>
  <si>
    <t>Fabricação de estaca pré-moldada de concreto protendida seção 42 x 42 cm</t>
  </si>
  <si>
    <t>2306313</t>
  </si>
  <si>
    <t>Fabricação de estaca pré-moldada de concreto protendida seção 45 x 45 cm</t>
  </si>
  <si>
    <t>2306013</t>
  </si>
  <si>
    <t>Gabarito de cravação de estacas submersas em aço ASTM A36 - confecção e instalação</t>
  </si>
  <si>
    <t>2306243</t>
  </si>
  <si>
    <t>Muro guia para estaca barrete com duas cortinas de 10 x 110 cm</t>
  </si>
  <si>
    <t>2408149</t>
  </si>
  <si>
    <t>Estrutura em perfil de aço ASTM A36 corte, solda e montagem - fornecimento e instalação</t>
  </si>
  <si>
    <t>2407972</t>
  </si>
  <si>
    <t>Fornecimento e aplicação de adesivo estrutural à base de resina epóxi</t>
  </si>
  <si>
    <t>2407973</t>
  </si>
  <si>
    <t>Hidrojateamento em superfície de aço grau WJ-2</t>
  </si>
  <si>
    <t>2408075</t>
  </si>
  <si>
    <t>Jateamento abrasivo em chapa de aço por esteira contínua</t>
  </si>
  <si>
    <t>2408069</t>
  </si>
  <si>
    <t>Jateamento de chapa de aço com o uso de granalhas de aço grau Sa 2</t>
  </si>
  <si>
    <t>2419790</t>
  </si>
  <si>
    <t>Jateamento de chapa de aço com o uso de granalhas de aço grau Sa 2 1/2</t>
  </si>
  <si>
    <t>2407976</t>
  </si>
  <si>
    <t>Jateamento de chapa de aço com o uso de granalhas de aço grau Sa 2 1/2 - em espaço confinado</t>
  </si>
  <si>
    <t>2408068</t>
  </si>
  <si>
    <t>Jateamento de chapa de aço com o uso de granalhas de aço grau Sa 3</t>
  </si>
  <si>
    <t>2419705</t>
  </si>
  <si>
    <t>Pintura com epóxi de dois componentes com pistola a ar comprimido, uma demão, espessura de 120 µm</t>
  </si>
  <si>
    <t>2419704</t>
  </si>
  <si>
    <t>Pintura com primer epóxi de dois componentes com pistola a ar comprimido, uma demão, espessura de 70 µm</t>
  </si>
  <si>
    <t>2407981</t>
  </si>
  <si>
    <t>Pintura com selante epóxi vinílico com pistola airless, uma demão, espessura de 80 µm</t>
  </si>
  <si>
    <t>2407982</t>
  </si>
  <si>
    <t>Pintura com tinta anti-incrustante com pistola airless, uma demão, espessura de 125 µm</t>
  </si>
  <si>
    <t>2419703</t>
  </si>
  <si>
    <t>Pintura com tinta anticorrosiva à base de epóxi poliamida de dois componentes com pistola a ar comprimido, uma demão, espessura de 150 µm</t>
  </si>
  <si>
    <t>2408080</t>
  </si>
  <si>
    <t>Pintura de acabamento com esmalte epóxi com pistola a ar comprimido, uma demão, espessura de 40 µm</t>
  </si>
  <si>
    <t>2408078</t>
  </si>
  <si>
    <t>Pintura de acabamento com esmalte sintético com pistola a ar comprimido, uma demão, espessura de 30 µm</t>
  </si>
  <si>
    <t>2407979</t>
  </si>
  <si>
    <t>Pintura de acabamento com tinta de poliuretano acrílico de dois componentes com pistola airless, uma demão, espessura de 70 µm</t>
  </si>
  <si>
    <t>2407980</t>
  </si>
  <si>
    <t>Pintura de acabamento com tinta de poliuretano acrílico de dois componentes com pistola airless, uma demão, espessura de 70 µm - em espaço confinado</t>
  </si>
  <si>
    <t>2408077</t>
  </si>
  <si>
    <t>Pintura de fundo com tinta alquídica com pistola a ar comprimido, uma demão, espessura de 30 µm</t>
  </si>
  <si>
    <t>2407983</t>
  </si>
  <si>
    <t>Pintura de fundo com tinta anticorrosiva à base de epóxi poliamida de dois componentes com pistola airless, uma demão, espessura de 100 µm - em espaço confinado</t>
  </si>
  <si>
    <t>2407977</t>
  </si>
  <si>
    <t>Pintura de fundo com tinta anticorrosiva à base de epóxi poliamida de dois componentes com pistola airless, uma demão, espessura de 160 µm</t>
  </si>
  <si>
    <t>2407978</t>
  </si>
  <si>
    <t>Pintura de fundo com tinta anticorrosiva à base de epóxi poliamida de dois componentes com pistola airless, uma demão, espessura de 160 µm - em espaço confinado</t>
  </si>
  <si>
    <t>2408079</t>
  </si>
  <si>
    <t>Pintura de fundo com tinta epóxi com pistola a ar comprimido, uma demão, espessura de 120 µm</t>
  </si>
  <si>
    <t>2408076</t>
  </si>
  <si>
    <t>Pintura shop primer em chapa de aço por esteira contínua</t>
  </si>
  <si>
    <t>2408057</t>
  </si>
  <si>
    <t>Solda elétrica de perfis metálicos e chapas de aço com eletrodo E60XX</t>
  </si>
  <si>
    <t>2408058</t>
  </si>
  <si>
    <t>Solda elétrica de perfis metálicos e chapas de aço com eletrodo E70XX</t>
  </si>
  <si>
    <t>2407988</t>
  </si>
  <si>
    <t>Solda elétrica de perfis metálicos e chapas de aço com eletrodo E80XX</t>
  </si>
  <si>
    <t>2407974</t>
  </si>
  <si>
    <t>Tratamento de superfície de aço com ferramenta mecânica grau SP-11</t>
  </si>
  <si>
    <t>2407975</t>
  </si>
  <si>
    <t>Tratamento de superfície de aço com ferramenta mecânica grau SP-11 - em espaço confinado</t>
  </si>
  <si>
    <t>2419789</t>
  </si>
  <si>
    <t>Tratamento em chapa de aço por esteira contínua</t>
  </si>
  <si>
    <t>2607183</t>
  </si>
  <si>
    <t>Alinhamento manual da grade do AMV para qualquer abertura e qualquer bitola</t>
  </si>
  <si>
    <t>2607226</t>
  </si>
  <si>
    <t>Assentamento dos materiais metálicos do AMV 1:10, TR 45, bitola larga</t>
  </si>
  <si>
    <t>2607209</t>
  </si>
  <si>
    <t>Assentamento dos materiais metálicos do AMV 1:10, TR 45, bitola métrica</t>
  </si>
  <si>
    <t>2607161</t>
  </si>
  <si>
    <t>Assentamento dos materiais metálicos do AMV 1:10, TR 45, bitola mista</t>
  </si>
  <si>
    <t>2607148</t>
  </si>
  <si>
    <t>Assentamento dos materiais metálicos do AMV 1:10, TR 57, bitola larga</t>
  </si>
  <si>
    <t>2607213</t>
  </si>
  <si>
    <t>Assentamento dos materiais metálicos do AMV 1:10, TR 57, bitola métrica</t>
  </si>
  <si>
    <t>2607165</t>
  </si>
  <si>
    <t>Assentamento dos materiais metálicos do AMV 1:10, TR 57, bitola mista</t>
  </si>
  <si>
    <t>2607152</t>
  </si>
  <si>
    <t>Assentamento dos materiais metálicos do AMV 1:10, TR 68, bitola larga</t>
  </si>
  <si>
    <t>2607217</t>
  </si>
  <si>
    <t>Assentamento dos materiais metálicos do AMV 1:10, TR 68, bitola métrica</t>
  </si>
  <si>
    <t>2607169</t>
  </si>
  <si>
    <t>Assentamento dos materiais metálicos do AMV 1:10, TR 68, bitola mista</t>
  </si>
  <si>
    <t>2607156</t>
  </si>
  <si>
    <t>Assentamento dos materiais metálicos do AMV 1:10, UIC 60, bitola larga</t>
  </si>
  <si>
    <t>2607221</t>
  </si>
  <si>
    <t>Assentamento dos materiais metálicos do AMV 1:10, UIC 60, bitola métrica</t>
  </si>
  <si>
    <t>2607173</t>
  </si>
  <si>
    <t>Assentamento dos materiais metálicos do AMV 1:10, UIC 60, bitola mista</t>
  </si>
  <si>
    <t>2607227</t>
  </si>
  <si>
    <t>Assentamento dos materiais metálicos do AMV 1:12, TR 45, bitola larga</t>
  </si>
  <si>
    <t>2607210</t>
  </si>
  <si>
    <t>Assentamento dos materiais metálicos do AMV 1:12, TR 45, bitola métrica</t>
  </si>
  <si>
    <t>2607162</t>
  </si>
  <si>
    <t>Assentamento dos materiais metálicos do AMV 1:12, TR 45, bitola mista</t>
  </si>
  <si>
    <t>2607149</t>
  </si>
  <si>
    <t>Assentamento dos materiais metálicos do AMV 1:12, TR 57, bitola larga</t>
  </si>
  <si>
    <t>2607214</t>
  </si>
  <si>
    <t>Assentamento dos materiais metálicos do AMV 1:12, TR 57, bitola métrica</t>
  </si>
  <si>
    <t>2607166</t>
  </si>
  <si>
    <t>Assentamento dos materiais metálicos do AMV 1:12, TR 57, bitola mista</t>
  </si>
  <si>
    <t>2607153</t>
  </si>
  <si>
    <t>Assentamento dos materiais metálicos do AMV 1:12, TR 68, bitola larga</t>
  </si>
  <si>
    <t>2607218</t>
  </si>
  <si>
    <t>Assentamento dos materiais metálicos do AMV 1:12, TR 68, bitola métrica</t>
  </si>
  <si>
    <t>2607170</t>
  </si>
  <si>
    <t>Assentamento dos materiais metálicos do AMV 1:12, TR 68, bitola mista</t>
  </si>
  <si>
    <t>2607157</t>
  </si>
  <si>
    <t>Assentamento dos materiais metálicos do AMV 1:12, UIC 60, bitola larga</t>
  </si>
  <si>
    <t>2607222</t>
  </si>
  <si>
    <t>Assentamento dos materiais metálicos do AMV 1:12, UIC 60, bitola métrica</t>
  </si>
  <si>
    <t>2607174</t>
  </si>
  <si>
    <t>Assentamento dos materiais metálicos do AMV 1:12, UIC 60, bitola mista</t>
  </si>
  <si>
    <t>2607228</t>
  </si>
  <si>
    <t>Assentamento dos materiais metálicos do AMV 1:14, TR 45, bitola larga</t>
  </si>
  <si>
    <t>2607211</t>
  </si>
  <si>
    <t>Assentamento dos materiais metálicos do AMV 1:14, TR 45, bitola métrica</t>
  </si>
  <si>
    <t>2607163</t>
  </si>
  <si>
    <t>Assentamento dos materiais metálicos do AMV 1:14, TR 45, bitola mista</t>
  </si>
  <si>
    <t>2607150</t>
  </si>
  <si>
    <t>Assentamento dos materiais metálicos do AMV 1:14, TR 57, bitola larga</t>
  </si>
  <si>
    <t>2607215</t>
  </si>
  <si>
    <t>Assentamento dos materiais metálicos do AMV 1:14, TR 57, bitola métrica</t>
  </si>
  <si>
    <t>2607167</t>
  </si>
  <si>
    <t>Assentamento dos materiais metálicos do AMV 1:14, TR 57, bitola mista</t>
  </si>
  <si>
    <t>2607154</t>
  </si>
  <si>
    <t>Assentamento dos materiais metálicos do AMV 1:14, TR 68, bitola larga</t>
  </si>
  <si>
    <t>2607219</t>
  </si>
  <si>
    <t>Assentamento dos materiais metálicos do AMV 1:14, TR 68, bitola métrica</t>
  </si>
  <si>
    <t>2607171</t>
  </si>
  <si>
    <t>Assentamento dos materiais metálicos do AMV 1:14, TR 68, bitola mista</t>
  </si>
  <si>
    <t>2607158</t>
  </si>
  <si>
    <t>Assentamento dos materiais metálicos do AMV 1:14, UIC 60, bitola larga</t>
  </si>
  <si>
    <t>2607223</t>
  </si>
  <si>
    <t>Assentamento dos materiais metálicos do AMV 1:14, UIC 60, bitola métrica</t>
  </si>
  <si>
    <t>2607175</t>
  </si>
  <si>
    <t>Assentamento dos materiais metálicos do AMV 1:14, UIC 60, bitola mista</t>
  </si>
  <si>
    <t>2607151</t>
  </si>
  <si>
    <t>Assentamento dos materiais metálicos do AMV 1:20, TR 57, bitola larga</t>
  </si>
  <si>
    <t>2607216</t>
  </si>
  <si>
    <t>Assentamento dos materiais metálicos do AMV 1:20, TR 57, bitola métrica</t>
  </si>
  <si>
    <t>2607168</t>
  </si>
  <si>
    <t>Assentamento dos materiais metálicos do AMV 1:20, TR 57, bitola mista</t>
  </si>
  <si>
    <t>2607155</t>
  </si>
  <si>
    <t>Assentamento dos materiais metálicos do AMV 1:20, TR 68, bitola larga</t>
  </si>
  <si>
    <t>2607220</t>
  </si>
  <si>
    <t>Assentamento dos materiais metálicos do AMV 1:20, TR 68, bitola métrica</t>
  </si>
  <si>
    <t>2607172</t>
  </si>
  <si>
    <t>Assentamento dos materiais metálicos do AMV 1:20, TR 68, bitola mista</t>
  </si>
  <si>
    <t>2607159</t>
  </si>
  <si>
    <t>Assentamento dos materiais metálicos do AMV 1:20, UIC 60, bitola larga</t>
  </si>
  <si>
    <t>2607224</t>
  </si>
  <si>
    <t>Assentamento dos materiais metálicos do AMV 1:20, UIC 60, bitola métrica</t>
  </si>
  <si>
    <t>2607176</t>
  </si>
  <si>
    <t>Assentamento dos materiais metálicos do AMV 1:20, UIC 60, bitola mista</t>
  </si>
  <si>
    <t>2607225</t>
  </si>
  <si>
    <t>Assentamento dos materiais metálicos do AMV 1:8, TR 45, bitola larga</t>
  </si>
  <si>
    <t>2607208</t>
  </si>
  <si>
    <t>Assentamento dos materiais metálicos do AMV 1:8, TR 45, bitola métrica</t>
  </si>
  <si>
    <t>2607160</t>
  </si>
  <si>
    <t>Assentamento dos materiais metálicos do AMV 1:8, TR 45, bitola mista</t>
  </si>
  <si>
    <t>2607229</t>
  </si>
  <si>
    <t>Assentamento dos materiais metálicos do AMV 1:8, TR 57, bitola larga</t>
  </si>
  <si>
    <t>2607212</t>
  </si>
  <si>
    <t>Assentamento dos materiais metálicos do AMV 1:8, TR 57, bitola métrica</t>
  </si>
  <si>
    <t>2607164</t>
  </si>
  <si>
    <t>Assentamento dos materiais metálicos do AMV 1:8, TR 57, bitola mista</t>
  </si>
  <si>
    <t>2607207</t>
  </si>
  <si>
    <t>Lançamento manual de lastro em AMV com descarga da brita por caminhão</t>
  </si>
  <si>
    <t>2607206</t>
  </si>
  <si>
    <t>Lançamento mecânico de lastro em AMV com descarga da brita por caminhão e espalhamento com carregadeira de pneus</t>
  </si>
  <si>
    <t>2607344</t>
  </si>
  <si>
    <t>Nivelamento de AMV com socaria com grupo vibrador e levante de até 10 cm, abertura 1:10, bitola larga, dormente de madeira ou concreto</t>
  </si>
  <si>
    <t>2607339</t>
  </si>
  <si>
    <t>Nivelamento de AMV com socaria com grupo vibrador e levante de até 10 cm, abertura 1:10, bitola métrica, dormente de madeira ou concreto</t>
  </si>
  <si>
    <t>2607349</t>
  </si>
  <si>
    <t>Nivelamento de AMV com socaria com grupo vibrador e levante de até 10 cm, abertura 1:10, bitola mista, dormente de madeira ou concreto</t>
  </si>
  <si>
    <t>2607345</t>
  </si>
  <si>
    <t>Nivelamento de AMV com socaria com grupo vibrador e levante de até 10 cm, abertura 1:12, bitola larga, dormente de madeira ou concreto</t>
  </si>
  <si>
    <t>2607340</t>
  </si>
  <si>
    <t>Nivelamento de AMV com socaria com grupo vibrador e levante de até 10 cm, abertura 1:12, bitola métrica, dormente de madeira ou concreto</t>
  </si>
  <si>
    <t>2607350</t>
  </si>
  <si>
    <t>Nivelamento de AMV com socaria com grupo vibrador e levante de até 10 cm, abertura 1:12, bitola mista, dormente de madeira ou concreto</t>
  </si>
  <si>
    <t>2607346</t>
  </si>
  <si>
    <t>Nivelamento de AMV com socaria com grupo vibrador e levante de até 10 cm, abertura 1:14, bitola larga, dormente de madeira ou concreto</t>
  </si>
  <si>
    <t>2607341</t>
  </si>
  <si>
    <t>Nivelamento de AMV com socaria com grupo vibrador e levante de até 10 cm, abertura 1:14, bitola métrica, dormente de madeira ou concreto</t>
  </si>
  <si>
    <t>2607351</t>
  </si>
  <si>
    <t>Nivelamento de AMV com socaria com grupo vibrador e levante de até 10 cm, abertura 1:14, bitola mista, dormente de madeira ou concreto</t>
  </si>
  <si>
    <t>2607347</t>
  </si>
  <si>
    <t>Nivelamento de AMV com socaria com grupo vibrador e levante de até 10 cm, abertura 1:20, bitola larga, dormente de madeira ou concreto</t>
  </si>
  <si>
    <t>2607342</t>
  </si>
  <si>
    <t>Nivelamento de AMV com socaria com grupo vibrador e levante de até 10 cm, abertura 1:20, bitola métrica, dormente de madeira ou concreto</t>
  </si>
  <si>
    <t>2607352</t>
  </si>
  <si>
    <t>Nivelamento de AMV com socaria com grupo vibrador e levante de até 10 cm, abertura 1:20, bitola mista, dormente de madeira ou concreto</t>
  </si>
  <si>
    <t>2607343</t>
  </si>
  <si>
    <t>Nivelamento de AMV com socaria com grupo vibrador e levante de até 10 cm, abertura 1:8, bitola larga, dormente de madeira</t>
  </si>
  <si>
    <t>2607338</t>
  </si>
  <si>
    <t>Nivelamento de AMV com socaria com grupo vibrador e levante de até 10 cm, abertura 1:8, bitola métrica, dormente de madeira</t>
  </si>
  <si>
    <t>2607348</t>
  </si>
  <si>
    <t>Nivelamento de AMV com socaria com grupo vibrador e levante de até 10 cm, abertura 1:8, bitola mista, dormente de madeira</t>
  </si>
  <si>
    <t>2607329</t>
  </si>
  <si>
    <t>Nivelamento de AMV com socaria manual e levante de até 10 cm, abertura 1:10, bitola larga, dormente de madeira ou concreto</t>
  </si>
  <si>
    <t>2607324</t>
  </si>
  <si>
    <t>Nivelamento de AMV com socaria manual e levante de até 10 cm, abertura 1:10, bitola métrica, dormente de madeira ou concreto</t>
  </si>
  <si>
    <t>2607334</t>
  </si>
  <si>
    <t>Nivelamento de AMV com socaria manual e levante de até 10 cm, abertura 1:10, bitola mista, dormente de madeira ou concreto</t>
  </si>
  <si>
    <t>2607330</t>
  </si>
  <si>
    <t>Nivelamento de AMV com socaria manual e levante de até 10 cm, abertura 1:12, bitola larga, dormente de madeira ou concreto</t>
  </si>
  <si>
    <t>2607325</t>
  </si>
  <si>
    <t>Nivelamento de AMV com socaria manual e levante de até 10 cm, abertura 1:12, bitola métrica, dormente de madeira ou concreto</t>
  </si>
  <si>
    <t>2607335</t>
  </si>
  <si>
    <t>Nivelamento de AMV com socaria manual e levante de até 10 cm, abertura 1:12, bitola mista, dormente de madeira ou concreto</t>
  </si>
  <si>
    <t>2607331</t>
  </si>
  <si>
    <t>Nivelamento de AMV com socaria manual e levante de até 10 cm, abertura 1:14, bitola larga, dormente de madeira ou concreto</t>
  </si>
  <si>
    <t>2607326</t>
  </si>
  <si>
    <t>Nivelamento de AMV com socaria manual e levante de até 10 cm, abertura 1:14, bitola métrica, dormente de madeira ou concreto</t>
  </si>
  <si>
    <t>2607336</t>
  </si>
  <si>
    <t>Nivelamento de AMV com socaria manual e levante de até 10 cm, abertura 1:14, bitola mista, dormente de madeira ou concreto</t>
  </si>
  <si>
    <t>2607332</t>
  </si>
  <si>
    <t>Nivelamento de AMV com socaria manual e levante de até 10 cm, abertura 1:20, bitola larga, dormente de madeira ou concreto</t>
  </si>
  <si>
    <t>2607327</t>
  </si>
  <si>
    <t>Nivelamento de AMV com socaria manual e levante de até 10 cm, abertura 1:20, bitola métrica, dormente de madeira ou concreto</t>
  </si>
  <si>
    <t>2607337</t>
  </si>
  <si>
    <t>Nivelamento de AMV com socaria manual e levante de até 10 cm, abertura 1:20, bitola mista, dormente de madeira ou concreto</t>
  </si>
  <si>
    <t>2607328</t>
  </si>
  <si>
    <t>Nivelamento de AMV com socaria manual e levante de até 10 cm, abertura 1:8, bitola larga, dormente de madeira</t>
  </si>
  <si>
    <t>2607323</t>
  </si>
  <si>
    <t>Nivelamento de AMV com socaria manual e levante de até 10 cm, abertura 1:8, bitola métrica, dormente de madeira</t>
  </si>
  <si>
    <t>2607333</t>
  </si>
  <si>
    <t>Nivelamento de AMV com socaria manual e levante de até 10 cm, abertura 1:8, bitola mista, dormente de madeira</t>
  </si>
  <si>
    <t>2607106</t>
  </si>
  <si>
    <t>Posicionamento de jogo de dormentes de concreto para AMV 1:10, bitola larga</t>
  </si>
  <si>
    <t>jg</t>
  </si>
  <si>
    <t>2607102</t>
  </si>
  <si>
    <t>Posicionamento de jogo de dormentes de concreto para AMV 1:10, bitola métrica</t>
  </si>
  <si>
    <t>2607261</t>
  </si>
  <si>
    <t>Posicionamento de jogo de dormentes de concreto para AMV 1:10, bitola mista</t>
  </si>
  <si>
    <t>2607107</t>
  </si>
  <si>
    <t>Posicionamento de jogo de dormentes de concreto para AMV 1:12, bitola larga</t>
  </si>
  <si>
    <t>2607103</t>
  </si>
  <si>
    <t>Posicionamento de jogo de dormentes de concreto para AMV 1:12, bitola métrica</t>
  </si>
  <si>
    <t>2607262</t>
  </si>
  <si>
    <t>Posicionamento de jogo de dormentes de concreto para AMV 1:12, bitola mista</t>
  </si>
  <si>
    <t>2607108</t>
  </si>
  <si>
    <t>Posicionamento de jogo de dormentes de concreto para AMV 1:14, bitola larga</t>
  </si>
  <si>
    <t>2607104</t>
  </si>
  <si>
    <t>Posicionamento de jogo de dormentes de concreto para AMV 1:14, bitola métrica</t>
  </si>
  <si>
    <t>2607263</t>
  </si>
  <si>
    <t>Posicionamento de jogo de dormentes de concreto para AMV 1:14, bitola mista</t>
  </si>
  <si>
    <t>2607109</t>
  </si>
  <si>
    <t>Posicionamento de jogo de dormentes de concreto para AMV 1:20, bitola larga</t>
  </si>
  <si>
    <t>2607105</t>
  </si>
  <si>
    <t>Posicionamento de jogo de dormentes de concreto para AMV 1:20, bitola métrica</t>
  </si>
  <si>
    <t>2607264</t>
  </si>
  <si>
    <t>Posicionamento de jogo de dormentes de concreto para AMV 1:20, bitola mista</t>
  </si>
  <si>
    <t>2607093</t>
  </si>
  <si>
    <t>Posicionamento de jogo de dormentes de madeira para AMV 1:10, bitola larga</t>
  </si>
  <si>
    <t>2607088</t>
  </si>
  <si>
    <t>Posicionamento de jogo de dormentes de madeira para AMV 1:10, bitola métrica</t>
  </si>
  <si>
    <t>2607098</t>
  </si>
  <si>
    <t>Posicionamento de jogo de dormentes de madeira para AMV 1:10, bitola mista</t>
  </si>
  <si>
    <t>2607094</t>
  </si>
  <si>
    <t>Posicionamento de jogo de dormentes de madeira para AMV 1:12, bitola larga</t>
  </si>
  <si>
    <t>2607089</t>
  </si>
  <si>
    <t>Posicionamento de jogo de dormentes de madeira para AMV 1:12, bitola métrica</t>
  </si>
  <si>
    <t>2607099</t>
  </si>
  <si>
    <t>Posicionamento de jogo de dormentes de madeira para AMV 1:12, bitola mista</t>
  </si>
  <si>
    <t>2607095</t>
  </si>
  <si>
    <t>Posicionamento de jogo de dormentes de madeira para AMV 1:14, bitola larga</t>
  </si>
  <si>
    <t>2607090</t>
  </si>
  <si>
    <t>Posicionamento de jogo de dormentes de madeira para AMV 1:14, bitola métrica</t>
  </si>
  <si>
    <t>2607260</t>
  </si>
  <si>
    <t>Posicionamento de jogo de dormentes de madeira para AMV 1:14, bitola mista</t>
  </si>
  <si>
    <t>2607096</t>
  </si>
  <si>
    <t>Posicionamento de jogo de dormentes de madeira para AMV 1:20, bitola larga</t>
  </si>
  <si>
    <t>2607091</t>
  </si>
  <si>
    <t>Posicionamento de jogo de dormentes de madeira para AMV 1:20, bitola métrica</t>
  </si>
  <si>
    <t>2607101</t>
  </si>
  <si>
    <t>Posicionamento de jogo de dormentes de madeira para AMV 1:20, bitola mista</t>
  </si>
  <si>
    <t>2607092</t>
  </si>
  <si>
    <t>Posicionamento de jogo de dormentes de madeira para AMV 1:8, bitola larga</t>
  </si>
  <si>
    <t>2607087</t>
  </si>
  <si>
    <t>Posicionamento de jogo de dormentes de madeira para AMV 1:8, bitola métrica</t>
  </si>
  <si>
    <t>2607097</t>
  </si>
  <si>
    <t>Posicionamento de jogo de dormentes de madeira para AMV 1:8, bitola mista</t>
  </si>
  <si>
    <t>2607198</t>
  </si>
  <si>
    <t>Regularização manual do lastro do AMV para qualquer abertura e qualquer bitola</t>
  </si>
  <si>
    <t>2809170</t>
  </si>
  <si>
    <t>Demolição de AMV 1:10 TR 37, em bitola métrica, dormente de madeira, com separação e empilhamento</t>
  </si>
  <si>
    <t>2809183</t>
  </si>
  <si>
    <t>Demolição de AMV 1:10 TR 45, em bitola larga, dormente de madeira, com separação e empilhamento</t>
  </si>
  <si>
    <t>2809174</t>
  </si>
  <si>
    <t>Demolição de AMV 1:10 TR 45, em bitola métrica, dormente de madeira, com separação e empilhamento</t>
  </si>
  <si>
    <t>2809196</t>
  </si>
  <si>
    <t>Demolição de AMV 1:10 TR 45, em bitola mista, dormente de madeira, com separação e empilhamento</t>
  </si>
  <si>
    <t>2809187</t>
  </si>
  <si>
    <t>Demolição de AMV 1:10 TR 57, em bitola larga, dormente de madeira, com separação e empilhamento</t>
  </si>
  <si>
    <t>2809178</t>
  </si>
  <si>
    <t>Demolição de AMV 1:10 TR 57, em bitola métrica, dormente de madeira, com separação e empilhamento</t>
  </si>
  <si>
    <t>2809200</t>
  </si>
  <si>
    <t>Demolição de AMV 1:10 TR 57, em bitola mista, dormente de madeira, com separação e empilhamento</t>
  </si>
  <si>
    <t>2809191</t>
  </si>
  <si>
    <t>Demolição de AMV 1:10 TR 68, em bitola larga, dormente de madeira, com separação e empilhamento</t>
  </si>
  <si>
    <t>2809204</t>
  </si>
  <si>
    <t>Demolição de AMV 1:10 TR 68, em bitola mista, dormente de madeira, com separação e empilhamento</t>
  </si>
  <si>
    <t>2809171</t>
  </si>
  <si>
    <t>Demolição de AMV 1:12 TR 37, em bitola métrica, dormente de madeira, com separação e empilhamento</t>
  </si>
  <si>
    <t>2809184</t>
  </si>
  <si>
    <t>Demolição de AMV 1:12 TR 45, em bitola larga, dormente de madeira, com separação e empilhamento</t>
  </si>
  <si>
    <t>2809175</t>
  </si>
  <si>
    <t>Demolição de AMV 1:12 TR 45, em bitola métrica, dormente de madeira, com separação e empilhamento</t>
  </si>
  <si>
    <t>2809197</t>
  </si>
  <si>
    <t>Demolição de AMV 1:12 TR 45, em bitola mista, dormente de madeira, com separação e empilhamento</t>
  </si>
  <si>
    <t>2809188</t>
  </si>
  <si>
    <t>Demolição de AMV 1:12 TR 57, em bitola larga, dormente de madeira, com separação e empilhamento</t>
  </si>
  <si>
    <t>2809179</t>
  </si>
  <si>
    <t>Demolição de AMV 1:12 TR 57, em bitola métrica, dormente de madeira, com separação e empilhamento</t>
  </si>
  <si>
    <t>2809201</t>
  </si>
  <si>
    <t>Demolição de AMV 1:12 TR 57, em bitola mista, dormente de madeira, com separação e empilhamento</t>
  </si>
  <si>
    <t>2809192</t>
  </si>
  <si>
    <t>Demolição de AMV 1:12 TR 68, em bitola larga, dormente de madeira, com separação e empilhamento</t>
  </si>
  <si>
    <t>2809205</t>
  </si>
  <si>
    <t>Demolição de AMV 1:12 TR 68, em bitola mista, dormente de madeira, com separação e empilhamento</t>
  </si>
  <si>
    <t>2809172</t>
  </si>
  <si>
    <t>Demolição de AMV 1:14 TR 37, em bitola métrica, dormente de madeira, com separação e empilhamento</t>
  </si>
  <si>
    <t>2809185</t>
  </si>
  <si>
    <t>Demolição de AMV 1:14 TR 45, em bitola larga, dormente de madeira, com separação e empilhamento</t>
  </si>
  <si>
    <t>2809176</t>
  </si>
  <si>
    <t>Demolição de AMV 1:14 TR 45, em bitola métrica, dormente de madeira, com separação e empilhamento</t>
  </si>
  <si>
    <t>2809198</t>
  </si>
  <si>
    <t>Demolição de AMV 1:14 TR 45, em bitola mista, dormente de madeira, com separação e empilhamento</t>
  </si>
  <si>
    <t>2809189</t>
  </si>
  <si>
    <t>Demolição de AMV 1:14 TR 57, em bitola larga, dormente de madeira, com separação e empilhamento</t>
  </si>
  <si>
    <t>2809180</t>
  </si>
  <si>
    <t>Demolição de AMV 1:14 TR 57, em bitola métrica, dormente de madeira, com separação e empilhamento</t>
  </si>
  <si>
    <t>2809202</t>
  </si>
  <si>
    <t>Demolição de AMV 1:14 TR 57, em bitola mista, dormente de madeira, com separação e empilhamento</t>
  </si>
  <si>
    <t>2809193</t>
  </si>
  <si>
    <t>Demolição de AMV 1:14 TR 68, em bitola larga, dormente de madeira, com separação e empilhamento</t>
  </si>
  <si>
    <t>2809206</t>
  </si>
  <si>
    <t>Demolição de AMV 1:14 TR 68, em bitola mista, dormente de madeira, com separação e empilhamento</t>
  </si>
  <si>
    <t>2809190</t>
  </si>
  <si>
    <t>Demolição de AMV 1:20 TR 57, em bitola larga, dormente de madeira, com separação e empilhamento</t>
  </si>
  <si>
    <t>2809181</t>
  </si>
  <si>
    <t>Demolição de AMV 1:20 TR 57, em bitola métrica, dormente de madeira, com separação e empilhamento</t>
  </si>
  <si>
    <t>2809203</t>
  </si>
  <si>
    <t>Demolição de AMV 1:20 TR 57, em bitola mista, dormente de madeira, com separação e empilhamento</t>
  </si>
  <si>
    <t>2809194</t>
  </si>
  <si>
    <t>Demolição de AMV 1:20 TR 68, em bitola larga, dormente de madeira, com separação e empilhamento</t>
  </si>
  <si>
    <t>2809207</t>
  </si>
  <si>
    <t>Demolição de AMV 1:20 TR 68, em bitola mista, dormente de madeira, com separação e empilhamento</t>
  </si>
  <si>
    <t>2809169</t>
  </si>
  <si>
    <t>Demolição de AMV 1:8 TR 37, em bitola métrica, dormente de madeira, com separação e empilhamento</t>
  </si>
  <si>
    <t>2809182</t>
  </si>
  <si>
    <t>Demolição de AMV 1:8 TR 45, em bitola larga, dormente de madeira, com separação e empilhamento</t>
  </si>
  <si>
    <t>2809173</t>
  </si>
  <si>
    <t>Demolição de AMV 1:8 TR 45, em bitola métrica, dormente de madeira, com separação e empilhamento</t>
  </si>
  <si>
    <t>2809195</t>
  </si>
  <si>
    <t>Demolição de AMV 1:8 TR 45, em bitola mista, dormente de madeira, com separação e empilhamento</t>
  </si>
  <si>
    <t>2809186</t>
  </si>
  <si>
    <t>Demolição de AMV 1:8 TR 57, em bitola larga, dormente de madeira, com separação e empilhamento</t>
  </si>
  <si>
    <t>2809177</t>
  </si>
  <si>
    <t>Demolição de AMV 1:8 TR 57, em bitola métrica, dormente de madeira, com separação e empilhamento</t>
  </si>
  <si>
    <t>2809199</t>
  </si>
  <si>
    <t>Demolição de AMV 1:8 TR 57, em bitola mista, dormente de madeira, com separação e empilhamento</t>
  </si>
  <si>
    <t>2809219</t>
  </si>
  <si>
    <t>Demolição de via, bitola larga, 1.667 dormentes de madeira/km, trilho TR 45, barra com 12 m de comprimento, com separação e empilhamento</t>
  </si>
  <si>
    <t>2809220</t>
  </si>
  <si>
    <t>Demolição de via, bitola larga, 1.667 dormentes de madeira/km, trilho TR 57, barra com 12 m de comprimento, com separação e empilhamento</t>
  </si>
  <si>
    <t>2809221</t>
  </si>
  <si>
    <t>Demolição de via, bitola larga, 1.667 dormentes de madeira/km, trilho TR 68, barra com 12 m de comprimento, com separação e empilhamento</t>
  </si>
  <si>
    <t>2809163</t>
  </si>
  <si>
    <t>Demolição de via, bitola larga, 1.750 dormentes de madeira/km, trilho TR 45, barra com 12 m de comprimento, com separação e empilhamento</t>
  </si>
  <si>
    <t>2809164</t>
  </si>
  <si>
    <t>Demolição de via, bitola larga, 1.750 dormentes de madeira/km, trilho TR 57, barra com 12 m de comprimento, com separação e empilhamento</t>
  </si>
  <si>
    <t>2809165</t>
  </si>
  <si>
    <t>Demolição de via, bitola larga, 1.750 dormentes de madeira/km, trilho TR 68, barra com 12 m de comprimento, com separação e empilhamento</t>
  </si>
  <si>
    <t>2809216</t>
  </si>
  <si>
    <t>Demolição de via, bitola métrica, 1.667 dormentes de madeira/km, trilho TR 37, barra com 12 m de comprimento, com separação e empilhamento</t>
  </si>
  <si>
    <t>2809217</t>
  </si>
  <si>
    <t>Demolição de via, bitola métrica, 1.667 dormentes de madeira/km, trilho TR 45, barra com 12 m de comprimento, com separação e empilhamento</t>
  </si>
  <si>
    <t>2809218</t>
  </si>
  <si>
    <t>Demolição de via, bitola métrica, 1.667 dormentes de madeira/km, trilho TR 57, barra com 12 m de comprimento, com separação e empilhamento</t>
  </si>
  <si>
    <t>2809160</t>
  </si>
  <si>
    <t>Demolição de via, bitola métrica, 1.750 dormentes de madeira/km, trilho TR 37, barra com 12 m de comprimento, com separação e empilhamento</t>
  </si>
  <si>
    <t>2809161</t>
  </si>
  <si>
    <t>Demolição de via, bitola métrica, 1.750 dormentes de madeira/km, trilho TR 45, barra com 12 m de comprimento, com separação e empilhamento</t>
  </si>
  <si>
    <t>2809162</t>
  </si>
  <si>
    <t>Demolição de via, bitola métrica, 1.750 dormentes de madeira/km, trilho TR 57, barra com 12 m de comprimento, com separação e empilhamento</t>
  </si>
  <si>
    <t>2809222</t>
  </si>
  <si>
    <t>Demolição de via, bitola mista, 1.667 dormentes de madeira/km, trilho TR 45, barra com 12 m de comprimento, com separação e empilhamento</t>
  </si>
  <si>
    <t>2809223</t>
  </si>
  <si>
    <t>Demolição de via, bitola mista, 1.667 dormentes de madeira/km, trilho TR 57, barra com 12 m de comprimento, com separação e empilhamento</t>
  </si>
  <si>
    <t>2809224</t>
  </si>
  <si>
    <t>Demolição de via, bitola mista, 1.667 dormentes de madeira/km, trilho TR 68, barra com 12 m de comprimento, com separação e empilhamento</t>
  </si>
  <si>
    <t>2809166</t>
  </si>
  <si>
    <t>Demolição de via, bitola mista, 1.750 dormentes de madeira/km, trilho TR 45, barra com 12 m de comprimento, com separação e empilhamento</t>
  </si>
  <si>
    <t>2809167</t>
  </si>
  <si>
    <t>Demolição de via, bitola mista, 1.750 dormentes de madeira/km, trilho TR 57, barra com 12 m de comprimento, com separação e empilhamento</t>
  </si>
  <si>
    <t>2809168</t>
  </si>
  <si>
    <t>Demolição de via, bitola mista, 1.750 dormentes de madeira/km, trilho TR 68, barra com 12 m de comprimento, com separação e empilhamento</t>
  </si>
  <si>
    <t>2809158</t>
  </si>
  <si>
    <t>Retirada manual de dormente de madeira, bitola larga ou mista, com separação e empilhamento</t>
  </si>
  <si>
    <t>2809159</t>
  </si>
  <si>
    <t>Retirada manual de dormente de madeira, bitola métrica, com separação e empilhamento</t>
  </si>
  <si>
    <t>2909152</t>
  </si>
  <si>
    <t>Aferição da geometria da via com carro controle</t>
  </si>
  <si>
    <t>2909153</t>
  </si>
  <si>
    <t>Capina química da plataforma ferroviária</t>
  </si>
  <si>
    <t>2909151</t>
  </si>
  <si>
    <t>Estabilização dinâmica da via</t>
  </si>
  <si>
    <t>2909145</t>
  </si>
  <si>
    <t>Nivelamento de junta com socaria manual da via</t>
  </si>
  <si>
    <t>2909379</t>
  </si>
  <si>
    <t>Nivelamento de via com grupo gerador/vibrador e levante de até 10 cm - bitola métrica ou larga com dormente de madeira ou concreto e taxa de dormentação de 1.667 un/km</t>
  </si>
  <si>
    <t>2909381</t>
  </si>
  <si>
    <t>Nivelamento de via com grupo gerador/vibrador e levante de até 10 cm - bitola métrica ou larga com dormente de madeira ou concreto e taxa de dormentação de 1.750 un/km</t>
  </si>
  <si>
    <t>2909388</t>
  </si>
  <si>
    <t>Nivelamento de via com grupo gerador/vibrador e levante de até 10 cm - bitola métrica ou larga com dormente de madeira ou concreto e taxa de dormentação de 1.850 un/km</t>
  </si>
  <si>
    <t>2909380</t>
  </si>
  <si>
    <t>Nivelamento de via com grupo gerador/vibrador e levante de até 10 cm - bitola mista com dormente de madeira ou concreto e taxa de dormentação de 1.667 un/km</t>
  </si>
  <si>
    <t>2909382</t>
  </si>
  <si>
    <t>Nivelamento de via com grupo gerador/vibrador e levante de até 10 cm - bitola mista com dormente de madeira ou concreto e taxa de dormentação de 1.750 un/km</t>
  </si>
  <si>
    <t>2909387</t>
  </si>
  <si>
    <t>Nivelamento de via com grupo gerador/vibrador e levante de até 10 cm - bitola mista com dormente de madeira ou concreto e taxa de dormentação de 1.850 un/km</t>
  </si>
  <si>
    <t>2909375</t>
  </si>
  <si>
    <t>Nivelamento de via com socaria manual e levante de até 10 cm - bitola métrica ou larga com dormente de madeira ou concreto e taxa de dormentação de 1.667 un/km</t>
  </si>
  <si>
    <t>2909377</t>
  </si>
  <si>
    <t>Nivelamento de via com socaria manual e levante de até 10 cm - bitola métrica ou larga com dormente de madeira ou concreto e taxa de dormentação de 1.750 un/km</t>
  </si>
  <si>
    <t>2909386</t>
  </si>
  <si>
    <t>Nivelamento de via com socaria manual e levante de até 10 cm - bitola métrica ou larga com dormente de madeira ou concreto e taxa de dormentação de 1.850 un/km</t>
  </si>
  <si>
    <t>2909376</t>
  </si>
  <si>
    <t>Nivelamento de via com socaria manual e levante de até 10 cm - bitola mista com dormente de madeira ou concreto e taxa de dormentação de 1.667 un/km</t>
  </si>
  <si>
    <t>2909378</t>
  </si>
  <si>
    <t>Nivelamento de via com socaria manual e levante de até 10 cm - bitola mista com dormente de madeira ou concreto e taxa de dormentação de 1.750 un/km</t>
  </si>
  <si>
    <t>2909385</t>
  </si>
  <si>
    <t>Nivelamento de via com socaria manual e levante de até 10 cm - bitola mista com dormente de madeira ou concreto e taxa de dormentação de 1.850 un/km</t>
  </si>
  <si>
    <t>2909383</t>
  </si>
  <si>
    <t>Nivelamento e alinhamento de via com socadora automática e levante de até 10 cm - qualquer bitola ou dormente e taxa de dormentação de 1.667 un/km</t>
  </si>
  <si>
    <t>2909384</t>
  </si>
  <si>
    <t>Nivelamento e alinhamento de via com socadora automática e levante de até 10 cm - qualquer bitola ou dormente e taxa de dormentação de 1.750 un/km</t>
  </si>
  <si>
    <t>2909148</t>
  </si>
  <si>
    <t>Regularização do lastro com reguladora de lastro</t>
  </si>
  <si>
    <t>2909389</t>
  </si>
  <si>
    <t>Regularização manual do lastro em via corrida, bitola larga, com qualquer tipo de dormente</t>
  </si>
  <si>
    <t>2909390</t>
  </si>
  <si>
    <t>Regularização manual do lastro em via corrida, bitola métrica, com qualquer tipo de dormente</t>
  </si>
  <si>
    <t>2909391</t>
  </si>
  <si>
    <t>Regularização manual do lastro em via corrida, bitola mista, com qualquer tipo de dormente</t>
  </si>
  <si>
    <t>3009336</t>
  </si>
  <si>
    <t>Alívio de tensão, com martelo de bronze, em TLS com 120 de comprimento de TR45, taxa de dormentação de 1.667 un/km, para qualquer bitola e fixação elástica</t>
  </si>
  <si>
    <t>3009337</t>
  </si>
  <si>
    <t>Alívio de tensão, com martelo de bronze, em TLS com 120 de comprimento de TR45, taxa de dormentação de 1.750 un/km, para qualquer bitola e fixação elástica</t>
  </si>
  <si>
    <t>3009340</t>
  </si>
  <si>
    <t>Alívio de tensão, com martelo de bronze, em TLS com 120 de comprimento de TR57, taxa de dormentação de 1.667 un/km, para qualquer bitola e fixação elástica</t>
  </si>
  <si>
    <t>3009341</t>
  </si>
  <si>
    <t>Alívio de tensão, com martelo de bronze, em TLS com 120 de comprimento de TR57, taxa de dormentação de 1.750 un/km, para qualquer bitola e fixação elástica</t>
  </si>
  <si>
    <t>3009344</t>
  </si>
  <si>
    <t>Alívio de tensão, com martelo de bronze, em TLS com 120 de comprimento de TR68, taxa de dormentação de 1.667 un/km, para qualquer bitola e fixação elástica</t>
  </si>
  <si>
    <t>3009345</t>
  </si>
  <si>
    <t>Alívio de tensão, com martelo de bronze, em TLS com 120 de comprimento de TR68, taxa de dormentação de 1.750 un/km, para qualquer bitola e fixação elástica</t>
  </si>
  <si>
    <t>3009348</t>
  </si>
  <si>
    <t>Alívio de tensão, com martelo de bronze, em TLS com 120 de comprimento de UIC60, taxa de dormentação de 1.667 un/km, para qualquer bitola e fixação elástica</t>
  </si>
  <si>
    <t>3009349</t>
  </si>
  <si>
    <t>Alívio de tensão, com martelo de bronze, em TLS com 120 de comprimento de UIC60, taxa de dormentação de 1.750 un/km, para qualquer bitola e fixação elástica</t>
  </si>
  <si>
    <t>3009338</t>
  </si>
  <si>
    <t>Alívio de tensão, com martelo de bronze, em TLS com 240 de comprimento de TR45, taxa de dormentação de 1.667 un/km, para qualquer bitola e fixação elástica</t>
  </si>
  <si>
    <t>3009339</t>
  </si>
  <si>
    <t>Alívio de tensão, com martelo de bronze, em TLS com 240 de comprimento de TR45, taxa de dormentação de 1.750 un/km, para qualquer bitola e fixação elástica</t>
  </si>
  <si>
    <t>3009342</t>
  </si>
  <si>
    <t>Alívio de tensão, com martelo de bronze, em TLS com 240 de comprimento de TR57, taxa de dormentação de 1.667 un/km, para qualquer bitola e fixação elástica</t>
  </si>
  <si>
    <t>3009343</t>
  </si>
  <si>
    <t>Alívio de tensão, com martelo de bronze, em TLS com 240 de comprimento de TR57, taxa de dormentação de 1.750 un/km, para qualquer bitola e fixação elástica</t>
  </si>
  <si>
    <t>3009346</t>
  </si>
  <si>
    <t>Alívio de tensão, com martelo de bronze, em TLS com 240 de comprimento de TR68, taxa de dormentação de 1.667 un/km, para qualquer bitola e fixação elástica</t>
  </si>
  <si>
    <t>3009347</t>
  </si>
  <si>
    <t>Alívio de tensão, com martelo de bronze, em TLS com 240 de comprimento de TR68, taxa de dormentação de 1.750 un/km, para qualquer bitola e fixação elástica</t>
  </si>
  <si>
    <t>3009350</t>
  </si>
  <si>
    <t>Alívio de tensão, com martelo de bronze, em TLS com 240 de comprimento de UIC60, taxa de dormentação de 1.667 un/km, para qualquer bitola e fixação elástica</t>
  </si>
  <si>
    <t>3009351</t>
  </si>
  <si>
    <t>Alívio de tensão, com martelo de bronze, em TLS com 240 de comprimento de UIC60, taxa de dormentação de 1.750 un/km, para qualquer bitola e fixação elástica</t>
  </si>
  <si>
    <t>3009080</t>
  </si>
  <si>
    <t>Colocação manual de grampo elástico Pandrol</t>
  </si>
  <si>
    <t>3009075</t>
  </si>
  <si>
    <t>Colocação manual de retensor para trilho TR45</t>
  </si>
  <si>
    <t>3009076</t>
  </si>
  <si>
    <t>Colocação manual de retensor para trilho TR57</t>
  </si>
  <si>
    <t>3009077</t>
  </si>
  <si>
    <t>Colocação manual de retensor para trilho TR68</t>
  </si>
  <si>
    <t>3009078</t>
  </si>
  <si>
    <t>Colocação manual de retensor para trilho UIC60</t>
  </si>
  <si>
    <t>3009087</t>
  </si>
  <si>
    <t>Colocação mecanizada de grampo elástico Pandrol</t>
  </si>
  <si>
    <t>3009085</t>
  </si>
  <si>
    <t>Contratrilho TR45, comprimento de 12 m, sobre dormente de madeira, taxa de dormentação de 1.750 un/km, tala de junção de 6 furos e fixação rígida - posicionamento e assentamento manual</t>
  </si>
  <si>
    <t>3009086</t>
  </si>
  <si>
    <t>Contratrilho TR57, comprimento de 12 m, sobre dormente de madeira, taxa de dormentação de 1.750 un/km, tala de junção de 6 furos e fixação rígida - posicionamento e assentamento manual</t>
  </si>
  <si>
    <t>3009089</t>
  </si>
  <si>
    <t>Contratrilho TR68, comprimento de 12 m, sobre dormente de madeira, taxa de dormentação de 1.750 un/km, tala de junção de 6 furos e fixação rígida - posicionamento e assentamento manual</t>
  </si>
  <si>
    <t>3009090</t>
  </si>
  <si>
    <t>Contratrilho UIC60, comprimento de 12 m, sobre dormente de madeira, taxa de dormentação de 1.750 un/km, tala de junção de 6 furos e fixação rígida - posicionamento e assentamento manual</t>
  </si>
  <si>
    <t>3009004</t>
  </si>
  <si>
    <t>Dormente de concreto monobloco protendido bitola larga - confecção</t>
  </si>
  <si>
    <t>3009002</t>
  </si>
  <si>
    <t>Dormente de concreto monobloco protendido bitola métrica - confecção</t>
  </si>
  <si>
    <t>3009006</t>
  </si>
  <si>
    <t>Dormente de concreto monobloco protendido bitola mista - confecção</t>
  </si>
  <si>
    <t>3009280</t>
  </si>
  <si>
    <t>Dormente de concreto monobloco, bitola larga, taxa de dormentação de 1.667 un/km, fixação elástica Pandrol - posicionamento mecanizado com carregadeira</t>
  </si>
  <si>
    <t>3009281</t>
  </si>
  <si>
    <t>Dormente de concreto monobloco, bitola larga, taxa de dormentação de 1.667 un/km, fixação elástica Pandrol - posicionamento mecanizado com pórtico</t>
  </si>
  <si>
    <t>3009061</t>
  </si>
  <si>
    <t>Dormente de concreto monobloco, bitola larga, taxa de dormentação de 1.750 un/km, fixação elástica Pandrol - posicionamento mecanizado com carregadeira</t>
  </si>
  <si>
    <t>3009062</t>
  </si>
  <si>
    <t>Dormente de concreto monobloco, bitola larga, taxa de dormentação de 1.750 un/km, fixação elástica Pandrol - posicionamento mecanizado com pórtico</t>
  </si>
  <si>
    <t>3009278</t>
  </si>
  <si>
    <t>Dormente de concreto monobloco, bitola métrica, taxa de dormentação de 1.667 un/km, fixação elástica Pandrol - posicionamento mecanizado com carregadeira</t>
  </si>
  <si>
    <t>3009279</t>
  </si>
  <si>
    <t>Dormente de concreto monobloco, bitola métrica, taxa de dormentação de 1.667 un/km, fixação elástica Pandrol - posicionamento mecanizado com pórtico</t>
  </si>
  <si>
    <t>3009059</t>
  </si>
  <si>
    <t>Dormente de concreto monobloco, bitola métrica, taxa de dormentação de 1.750 un/km, fixação elástica Pandrol - posicionamento mecanizado com carregadeira</t>
  </si>
  <si>
    <t>3009060</t>
  </si>
  <si>
    <t>Dormente de concreto monobloco, bitola métrica, taxa de dormentação de 1.750 un/km, fixação elástica Pandrol - posicionamento mecanizado com pórtico</t>
  </si>
  <si>
    <t>3009282</t>
  </si>
  <si>
    <t>Dormente de concreto monobloco, bitola mista, taxa de dormentação de 1.667 un/km, fixação elástica Pandrol - posicionamento mecanizado com carregadeira</t>
  </si>
  <si>
    <t>3009283</t>
  </si>
  <si>
    <t>Dormente de concreto monobloco, bitola mista, taxa de dormentação de 1.667 un/km, fixação elástica Pandrol - posicionamento mecanizado com pórtico</t>
  </si>
  <si>
    <t>3009063</t>
  </si>
  <si>
    <t>Dormente de concreto monobloco, bitola mista, taxa de dormentação de 1.750 un/km, fixação elástica Pandrol - posicionamento mecanizado com carregadeira</t>
  </si>
  <si>
    <t>3009064</t>
  </si>
  <si>
    <t>Dormente de concreto monobloco, bitola mista, taxa de dormentação de 1.750 un/km, fixação elástica Pandrol - posicionamento mecanizado com pórtico</t>
  </si>
  <si>
    <t>3009081</t>
  </si>
  <si>
    <t>Dormente de madeira para ponte, bitola métrica ou larga, para TR45, fixação rígida - posicionamento e assentamento mecanizado</t>
  </si>
  <si>
    <t>3009082</t>
  </si>
  <si>
    <t>Dormente de madeira para ponte, bitola métrica ou larga, para TR57, fixação rígida - posicionamento e assentamento mecanizado</t>
  </si>
  <si>
    <t>3009083</t>
  </si>
  <si>
    <t>Dormente de madeira para ponte, bitola métrica ou larga, para TR68, fixação rígida - posicionamento e assentamento mecanizado</t>
  </si>
  <si>
    <t>3009084</t>
  </si>
  <si>
    <t>Dormente de madeira para ponte, bitola métrica ou larga, para UIC60, fixação rígida - posicionamento e assentamento mecanizado</t>
  </si>
  <si>
    <t>3009070</t>
  </si>
  <si>
    <t>Dormente de madeira, bitola larga ou mista - posicionamento manual</t>
  </si>
  <si>
    <t>3009285</t>
  </si>
  <si>
    <t>Dormente de madeira, bitola larga ou mista, taxa de dormentação de 1.667 un/km - posicionamento mecanizado com carregadeira</t>
  </si>
  <si>
    <t>3009072</t>
  </si>
  <si>
    <t>Dormente de madeira, bitola larga ou mista, taxa de dormentação de 1.750 un/km - posicionamento mecanizado com carregadeira</t>
  </si>
  <si>
    <t>3009069</t>
  </si>
  <si>
    <t>Dormente de madeira, bitola métrica - posicionamento manual</t>
  </si>
  <si>
    <t>3009284</t>
  </si>
  <si>
    <t>Dormente de madeira, bitola métrica, taxa de dormentação de 1.667 un/km - posicionamento mecanizado com carregadeira</t>
  </si>
  <si>
    <t>3009071</t>
  </si>
  <si>
    <t>Dormente de madeira, bitola métrica, taxa de dormentação de 1.750 un/km - posicionamento mecanizado com carregadeira</t>
  </si>
  <si>
    <t>3009091</t>
  </si>
  <si>
    <t>Lançamento de lastro, 10 cm de altura, primeiro levante, descarga de pedra britada de caminhões</t>
  </si>
  <si>
    <t>3009058</t>
  </si>
  <si>
    <t>Lubrificador de trilhos e de flanges de rodas</t>
  </si>
  <si>
    <t>3009229</t>
  </si>
  <si>
    <t>Posicionamento mecanizado de trilhos</t>
  </si>
  <si>
    <t>3009132</t>
  </si>
  <si>
    <t>Pré-alinhamento manual da grade com dormente de madeira</t>
  </si>
  <si>
    <t>3009133</t>
  </si>
  <si>
    <t>Pré-alinhamento mecanizado da grade</t>
  </si>
  <si>
    <t>3009321</t>
  </si>
  <si>
    <t>Solda aluminotérmica para TR45 com cadinho descartável, executada no campo, para formação de trilho longo soldado (TLS)</t>
  </si>
  <si>
    <t>3009322</t>
  </si>
  <si>
    <t>Solda aluminotérmica para TR57 com cadinho descartável, executada no campo, para formação de trilho longo soldado (TLS)</t>
  </si>
  <si>
    <t>3009323</t>
  </si>
  <si>
    <t>Solda aluminotérmica para TR68 com cadinho descartável, executada no campo, para formação de trilho longo soldado (TLS)</t>
  </si>
  <si>
    <t>3009324</t>
  </si>
  <si>
    <t>Solda aluminotérmica para UIC60 com cadinho descartável, executada no campo, para formação de trilho longo soldado (TLS)</t>
  </si>
  <si>
    <t>3009096</t>
  </si>
  <si>
    <t>Solda elétrica por caldeamento para qualquer perfil de trilho, comprimento de 12 m, em estaleiro para formação de trilho longo soldado</t>
  </si>
  <si>
    <t>3009330</t>
  </si>
  <si>
    <t>Solda elétrica por caldeamento para trilho TR45, comprimento de até 24 m, em via com dormente de concreto para formação de barra ou trilho longo soldado</t>
  </si>
  <si>
    <t>3009326</t>
  </si>
  <si>
    <t>Solda elétrica por caldeamento para trilho TR45, comprimento de até 24 m, em via com dormente de madeira para formação de barra ou trilho longo soldado</t>
  </si>
  <si>
    <t>3009234</t>
  </si>
  <si>
    <t>Trilho TR45, comprimento de 12 m, sobre dormente de concreto, bitola métrica ou larga, taxa de dormentação de 1.667 un/km, tala de junção de 6 furos e fixação elástica Pandrol - posicionamento e assentamento manual</t>
  </si>
  <si>
    <t>3009022</t>
  </si>
  <si>
    <t>Trilho TR45, comprimento de 12 m, sobre dormente de concreto, bitola métrica ou larga, taxa de dormentação de 1.750 un/km, tala de junção de 6 furos e fixação elástica Pandrol - posicionamento e assentamento manual</t>
  </si>
  <si>
    <t>3009230</t>
  </si>
  <si>
    <t>Trilho TR45, comprimento de 12 m, sobre dormente de concreto, bitola mista, taxa de dormentação de 1.667 un/km, tala de junção de 6 furos e fixação elástica Pandrol - posicionamento e assentamento manual</t>
  </si>
  <si>
    <t>3009018</t>
  </si>
  <si>
    <t>Trilho TR45, comprimento de 12 m, sobre dormente de concreto, bitola mista, taxa de dormentação de 1.750 un/km, tala de junção de 6 furos e fixação elástica Pandrol - posicionamento e assentamento manual</t>
  </si>
  <si>
    <t>3009288</t>
  </si>
  <si>
    <t>Trilho TR45, comprimento de 12 m, sobre dormente de madeira, bitola métrica ou larga, taxa de dormentação de 1.667 un/km, tala de junção de 6 furos e fixação rígida - posicionamento e assentamento manual</t>
  </si>
  <si>
    <t>3009013</t>
  </si>
  <si>
    <t>Trilho TR45, comprimento de 12 m, sobre dormente de madeira, bitola métrica ou larga, taxa de dormentação de 1.750 un/km, tala de junção de 6 furos e fixação rígida - posicionamento e assentamento manual</t>
  </si>
  <si>
    <t>3009292</t>
  </si>
  <si>
    <t>Trilho TR45, comprimento de 12 m, sobre dormente de madeira, bitola mista, taxa de dormentação de 1.667 un/km, tala de junção de 6 furos e fixação rígida - posicionamento e assentamento manual</t>
  </si>
  <si>
    <t>3009225</t>
  </si>
  <si>
    <t>Trilho TR45, comprimento de 12 m, sobre dormente de madeira, bitola mista, taxa de dormentação de 1.750 un/km, tala de junção de 6 furos e fixação rígida - posicionamento e assentamento manual</t>
  </si>
  <si>
    <t>3009100</t>
  </si>
  <si>
    <t>Trilho TR45, comprimento de 120 m (TLS), formado por trilhos curtos de 12 m soldados por caldeamento - confecção em estaleiro</t>
  </si>
  <si>
    <t>3009238</t>
  </si>
  <si>
    <t>Trilho TR45, comprimento de 120 m (TLS), sobre dormente de concreto, bitola métrica ou larga, taxa de dormentação de 1.667 un/km, tala de junção de 6 furos e fixação elástica Pandrol - posicionamento e assentamento mecanizado</t>
  </si>
  <si>
    <t>3009304</t>
  </si>
  <si>
    <t>Trilho TR45, comprimento de 120 m (TLS), sobre dormente de concreto, bitola mista, taxa de dormentação de 1.667 un/km, tala de junção de 6 furos e fixação elástica Pandrol - posicionamento e assentamento mecanizado</t>
  </si>
  <si>
    <t>3009030</t>
  </si>
  <si>
    <t>Trilho TR45, comprimento de 120 m (TLS), sobre dormente de concreto, bitola mista, taxa de dormentação de 1.750 un/km, tala de junção de 6 furos e fixação elástica Pandrol - posicionamento e assentamento mecanizado</t>
  </si>
  <si>
    <t>3009254</t>
  </si>
  <si>
    <t>Trilho TR45, comprimento de 120 m (TLS), sobre dormente de madeira, bitola métrica ou larga, taxa de dormentação de 1.667 un/km, tala de junção de 6 furos e fixação elástica Pandrol - posicionamento e assentamento mecanizado</t>
  </si>
  <si>
    <t>3009262</t>
  </si>
  <si>
    <t>Trilho TR45, comprimento de 120 m (TLS), sobre dormente de madeira, bitola métrica ou larga, taxa de dormentação de 1.667 un/km, tala de junção de 6 furos e fixação rígida - posicionamento e assentamento mecanizado</t>
  </si>
  <si>
    <t>3009034</t>
  </si>
  <si>
    <t>Trilho TR45, comprimento de 120 m (TLS), sobre dormente de madeira, bitola métrica ou larga, taxa de dormentação de 1.750 un/km, tala de junção de 6 furos e fixação elástica Pandrol - posicionamento e assentamento mecanizado</t>
  </si>
  <si>
    <t>3009042</t>
  </si>
  <si>
    <t>Trilho TR45, comprimento de 120 m (TLS), sobre dormente de madeira, bitola métrica ou larga, taxa de dormentação de 1.750 un/km, tala de junção de 6 furos e fixação rígida - posicionamento e assentamento mecanizado</t>
  </si>
  <si>
    <t>3009270</t>
  </si>
  <si>
    <t>Trilho TR45, comprimento de 120 m (TLS), sobre dormente de madeira, bitola mista, taxa de dormentação de 1.667 un/km, tala de junção de 6 furos e fixação elástica Pandrol - posicionamento e assentamento mecanizado</t>
  </si>
  <si>
    <t>3009050</t>
  </si>
  <si>
    <t>Trilho TR45, comprimento de 120 m (TLS), sobre dormente de madeira, bitola mista, taxa de dormentação de 1.750 un/km, tala de junção de 6 furos e fixação elástica Pandrol - posicionamento e assentamento mecanizado</t>
  </si>
  <si>
    <t>3009101</t>
  </si>
  <si>
    <t>Trilho TR45, comprimento de 240 m (TLS), formado por trilhos curtos de 12 m soldados por caldeamento - confecção em estaleiro</t>
  </si>
  <si>
    <t>3009246</t>
  </si>
  <si>
    <t>Trilho TR45, comprimento de 240 m (TLS), sobre dormente de concreto, bitola métrica ou larga, taxa de dormentação de 1.667 un/km, tala de junção de 6 furos e fixação elástica Pandrol - posicionamento e assentamento mecanizado</t>
  </si>
  <si>
    <t>3009208</t>
  </si>
  <si>
    <t>Trilho TR45, comprimento de 240 m (TLS), sobre dormente de concreto, bitola métrica ou larga, taxa de dormentação de 1.750 un/km, tala de junção de 6 furos e fixação elástica Pandrol - posicionamento e assentamento mecanizado</t>
  </si>
  <si>
    <t>3009308</t>
  </si>
  <si>
    <t>Trilho TR45, comprimento de 240 m (TLS), sobre dormente de concreto, bitola mista, taxa de dormentação de 1.667 un/km, tala de junção de 6 furos e fixação elástica Pandrol - posicionamento e assentamento mecanizado</t>
  </si>
  <si>
    <t>3009212</t>
  </si>
  <si>
    <t>Trilho TR45, comprimento de 240 m (TLS), sobre dormente de concreto, bitola mista, taxa de dormentação de 1.750 un/km, tala de junção de 6 furos e fixação elástica Pandrol - posicionamento e assentamento mecanizado</t>
  </si>
  <si>
    <t>3009258</t>
  </si>
  <si>
    <t>Trilho TR45, comprimento de 240 m (TLS), sobre dormente de madeira, bitola métrica ou larga, taxa de dormentação de 1.667 un/km, tala de junção de 6 furos e fixação elástica Pandrol - posicionamento e assentamento mecanizado</t>
  </si>
  <si>
    <t>3009266</t>
  </si>
  <si>
    <t>Trilho TR45, comprimento de 240 m (TLS), sobre dormente de madeira, bitola métrica ou larga, taxa de dormentação de 1.667 un/km, tala de junção de 6 furos e fixação rígida - posicionamento e assentamento mecanizado</t>
  </si>
  <si>
    <t>3009038</t>
  </si>
  <si>
    <t>Trilho TR45, comprimento de 240 m (TLS), sobre dormente de madeira, bitola métrica ou larga, taxa de dormentação de 1.750 un/km, tala de junção de 6 furos e fixação elástica Pandrol - posicionamento e assentamento mecanizado</t>
  </si>
  <si>
    <t>3009046</t>
  </si>
  <si>
    <t>Trilho TR45, comprimento de 240 m (TLS), sobre dormente de madeira, bitola métrica ou larga, taxa de dormentação de 1.750 un/km, tala de junção de 6 furos e fixação rígida - posicionamento e assentamento mecanizado</t>
  </si>
  <si>
    <t>3009274</t>
  </si>
  <si>
    <t>Trilho TR45, comprimento de 240 m (TLS), sobre dormente de madeira, bitola mista, taxa de dormentação de 1.667 un/km, tala de junção de 6 furos e fixação elástica Pandrol - posicionamento e assentamento mecanizado</t>
  </si>
  <si>
    <t>3009054</t>
  </si>
  <si>
    <t>Trilho TR45, comprimento de 240 m (TLS), sobre dormente de madeira, bitola mista, taxa de dormentação de 1.750 un/km, tala de junção de 6 furos e fixação elástica Pandrol - posicionamento e assentamento mecanizado</t>
  </si>
  <si>
    <t>3009235</t>
  </si>
  <si>
    <t>Trilho TR57, comprimento de 12 m, sobre dormente de concreto, bitola métrica ou larga, taxa de dormentação de 1.667 un/km, tala de junção de 6 furos e fixação elástica Pandrol - posicionamento e assentamento manual</t>
  </si>
  <si>
    <t>3009023</t>
  </si>
  <si>
    <t>Trilho TR57, comprimento de 12 m, sobre dormente de concreto, bitola métrica ou larga, taxa de dormentação de 1.750 un/km, tala de junção de 6 furos e fixação elástica Pandrol - posicionamento e assentamento manual</t>
  </si>
  <si>
    <t>3009231</t>
  </si>
  <si>
    <t>Trilho TR57, comprimento de 12 m, sobre dormente de concreto, bitola mista, taxa de dormentação de 1.667 un/km, tala de junção de 6 furos e fixação elástica Pandrol - posicionamento e assentamento manual</t>
  </si>
  <si>
    <t>3009019</t>
  </si>
  <si>
    <t>Trilho TR57, comprimento de 12 m, sobre dormente de concreto, bitola mista, taxa de dormentação de 1.750 un/km, tala de junção de 6 furos e fixação elástica Pandrol - posicionamento e assentamento manual</t>
  </si>
  <si>
    <t>3009289</t>
  </si>
  <si>
    <t>Trilho TR57, comprimento de 12 m, sobre dormente de madeira, bitola métrica ou larga, taxa de dormentação de 1.667 un/km, tala de junção de 6 furos e fixação rígida - posicionamento e assentamento manual</t>
  </si>
  <si>
    <t>3009014</t>
  </si>
  <si>
    <t>Trilho TR57, comprimento de 12 m, sobre dormente de madeira, bitola métrica ou larga, taxa de dormentação de 1.750 un/km, tala de junção de 6 furos e fixação rígida - posicionamento e assentamento manual</t>
  </si>
  <si>
    <t>3009293</t>
  </si>
  <si>
    <t>Trilho TR57, comprimento de 12 m, sobre dormente de madeira, bitola mista, taxa de dormentação de 1.667 un/km, tala de junção de 6 furos e fixação rígida - posicionamento e assentamento manual</t>
  </si>
  <si>
    <t>3009226</t>
  </si>
  <si>
    <t>Trilho TR57, comprimento de 12 m, sobre dormente de madeira, bitola mista, taxa de dormentação de 1.750 un/km, tala de junção de 6 furos e fixação rígida - posicionamento e assentamento manual</t>
  </si>
  <si>
    <t>3009102</t>
  </si>
  <si>
    <t>Trilho TR57, comprimento de 120 m (TLS), formado por trilhos curtos de 12 m soldados por caldeamento - confecção em estaleiro</t>
  </si>
  <si>
    <t>3009297</t>
  </si>
  <si>
    <t>Trilho TR57, comprimento de 120 m (TLS), sobre dormente de concreto, bitola métrica ou larga, taxa de dormentação de 1.667 un/km, tala de junção de 6 furos e fixação elástica Pandrol - posicionamento e assentamento mecanizado</t>
  </si>
  <si>
    <t>3009027</t>
  </si>
  <si>
    <t>Trilho TR57, comprimento de 120 m (TLS), sobre dormente de concreto, bitola métrica ou larga, taxa de dormentação de 1.750 un/km, tala de junção de 6 furos e fixação elástica Pandrol - posicionamento e assentamento mecanizado</t>
  </si>
  <si>
    <t>3009305</t>
  </si>
  <si>
    <t>Trilho TR57, comprimento de 120 m (TLS), sobre dormente de concreto, bitola mista, taxa de dormentação de 1.667 un/km, tala de junção de 6 furos e fixação elástica Pandrol - posicionamento e assentamento mecanizado</t>
  </si>
  <si>
    <t>3009031</t>
  </si>
  <si>
    <t>Trilho TR57, comprimento de 120 m (TLS), sobre dormente de concreto, bitola mista, taxa de dormentação de 1.750 un/km, tala de junção de 6 furos e fixação elástica Pandrol - posicionamento e assentamento mecanizado</t>
  </si>
  <si>
    <t>3009255</t>
  </si>
  <si>
    <t>Trilho TR57, comprimento de 120 m (TLS), sobre dormente de madeira, bitola métrica ou larga, taxa de dormentação de 1.667 un/km, tala de junção de 6 furos e fixação elástica Pandrol - posicionamento e assentamento mecanizado</t>
  </si>
  <si>
    <t>3009263</t>
  </si>
  <si>
    <t>Trilho TR57, comprimento de 120 m (TLS), sobre dormente de madeira, bitola métrica ou larga, taxa de dormentação de 1.667 un/km, tala de junção de 6 furos e fixação rígida - posicionamento e assentamento mecanizado</t>
  </si>
  <si>
    <t>3009035</t>
  </si>
  <si>
    <t>Trilho TR57, comprimento de 120 m (TLS), sobre dormente de madeira, bitola métrica ou larga, taxa de dormentação de 1.750 un/km, tala de junção de 6 furos e fixação elástica Pandrol - posicionamento e assentamento mecanizado</t>
  </si>
  <si>
    <t>3009043</t>
  </si>
  <si>
    <t>Trilho TR57, comprimento de 120 m (TLS), sobre dormente de madeira, bitola métrica ou larga, taxa de dormentação de 1.750 un/km, tala de junção de 6 furos e fixação rígida - posicionamento e assentamento mecanizado</t>
  </si>
  <si>
    <t>3009271</t>
  </si>
  <si>
    <t>Trilho TR57, comprimento de 120 m (TLS), sobre dormente de madeira, bitola mista, taxa de dormentação de 1.667 un/km, tala de junção de 6 furos e fixação elástica Pandrol - posicionamento e assentamento mecanizado</t>
  </si>
  <si>
    <t>3009051</t>
  </si>
  <si>
    <t>Trilho TR57, comprimento de 120 m (TLS), sobre dormente de madeira, bitola mista, taxa de dormentação de 1.750 un/km, tala de junção de 6 furos e fixação elástica Pandrol - posicionamento e assentamento mecanizado</t>
  </si>
  <si>
    <t>3009103</t>
  </si>
  <si>
    <t>Trilho TR57, comprimento de 240 m (TLS), formado por trilhos curtos de 12 m soldados por caldeamento - confecção em estaleiro</t>
  </si>
  <si>
    <t>3009247</t>
  </si>
  <si>
    <t>Trilho TR57, comprimento de 240 m (TLS), sobre dormente de concreto, bitola métrica ou larga, taxa de dormentação de 1.667 un/km, tala de junção de 6 furos e fixação elástica Pandrol - posicionamento e assentamento mecanizado</t>
  </si>
  <si>
    <t>3009209</t>
  </si>
  <si>
    <t>Trilho TR57, comprimento de 240 m (TLS), sobre dormente de concreto, bitola métrica ou larga, taxa de dormentação de 1.750 un/km, tala de junção de 6 furos e fixação elástica Pandrol - posicionamento e assentamento mecanizado</t>
  </si>
  <si>
    <t>3009309</t>
  </si>
  <si>
    <t>Trilho TR57, comprimento de 240 m (TLS), sobre dormente de concreto, bitola mista, taxa de dormentação de 1.667 un/km, tala de junção de 6 furos e fixação elástica Pandrol - posicionamento e assentamento mecanizado</t>
  </si>
  <si>
    <t>3009213</t>
  </si>
  <si>
    <t>Trilho TR57, comprimento de 240 m (TLS), sobre dormente de concreto, bitola mista, taxa de dormentação de 1.750 un/km, tala de junção de 6 furos e fixação elástica Pandrol - posicionamento e assentamento mecanizado</t>
  </si>
  <si>
    <t>3009259</t>
  </si>
  <si>
    <t>Trilho TR57, comprimento de 240 m (TLS), sobre dormente de madeira, bitola métrica ou larga, taxa de dormentação de 1.667 un/km, tala de junção de 6 furos e fixação elástica Pandrol - posicionamento e assentamento mecanizado</t>
  </si>
  <si>
    <t>3009267</t>
  </si>
  <si>
    <t>Trilho TR57, comprimento de 240 m (TLS), sobre dormente de madeira, bitola métrica ou larga, taxa de dormentação de 1.667 un/km, tala de junção de 6 furos e fixação rígida - posicionamento e assentamento mecanizado</t>
  </si>
  <si>
    <t>3009039</t>
  </si>
  <si>
    <t>Trilho TR57, comprimento de 240 m (TLS), sobre dormente de madeira, bitola métrica ou larga, taxa de dormentação de 1.750 un/km, tala de junção de 6 furos e fixação elástica Pandrol - posicionamento e assentamento mecanizado</t>
  </si>
  <si>
    <t>3009047</t>
  </si>
  <si>
    <t>Trilho TR57, comprimento de 240 m (TLS), sobre dormente de madeira, bitola métrica ou larga, taxa de dormentação de 1.750 un/km, tala de junção de 6 furos e fixação rígida - posicionamento e assentamento mecanizado</t>
  </si>
  <si>
    <t>3009275</t>
  </si>
  <si>
    <t>Trilho TR57, comprimento de 240 m (TLS), sobre dormente de madeira, bitola mista, taxa de dormentação de 1.667 un/km, tala de junção de 6 furos e fixação elástica Pandrol - posicionamento e assentamento mecanizado</t>
  </si>
  <si>
    <t>3009055</t>
  </si>
  <si>
    <t>Trilho TR57, comprimento de 240 m (TLS), sobre dormente de madeira, bitola mista, taxa de dormentação de 1.750 un/km, tala de junção de 6 furos e fixação elástica Pandrol - posicionamento e assentamento mecanizado</t>
  </si>
  <si>
    <t>3009236</t>
  </si>
  <si>
    <t>Trilho TR68, comprimento de 12 m, sobre dormente de concreto, bitola métrica ou larga, taxa de dormentação de 1.667 un/km, tala de junção de 6 furos e fixação elástica Pandrol - posicionamento e assentamento manual</t>
  </si>
  <si>
    <t>3009024</t>
  </si>
  <si>
    <t>Trilho TR68, comprimento de 12 m, sobre dormente de concreto, bitola métrica ou larga, taxa de dormentação de 1.750 un/km, tala de junção de 6 furos e fixação elástica Pandrol - posicionamento e assentamento manual</t>
  </si>
  <si>
    <t>3009232</t>
  </si>
  <si>
    <t>Trilho TR68, comprimento de 12 m, sobre dormente de concreto, bitola mista, taxa de dormentação de 1.667 un/km, tala de junção de 6 furos e fixação elástica Pandrol - posicionamento e assentamento manual</t>
  </si>
  <si>
    <t>3009020</t>
  </si>
  <si>
    <t>Trilho TR68, comprimento de 12 m, sobre dormente de concreto, bitola mista, taxa de dormentação de 1.750 un/km, tala de junção de 6 furos e fixação elástica Pandrol - posicionamento e assentamento manual</t>
  </si>
  <si>
    <t>3009290</t>
  </si>
  <si>
    <t>Trilho TR68, comprimento de 12 m, sobre dormente de madeira, bitola métrica ou larga, taxa de dormentação de 1.667 un/km, tala de junção de 6 furos e fixação rígida - posicionamento e assentamento manual</t>
  </si>
  <si>
    <t>3009015</t>
  </si>
  <si>
    <t>Trilho TR68, comprimento de 12 m, sobre dormente de madeira, bitola métrica ou larga, taxa de dormentação de 1.750 un/km, tala de junção de 6 furos e fixação rígida - posicionamento e assentamento manual</t>
  </si>
  <si>
    <t>3009294</t>
  </si>
  <si>
    <t>Trilho TR68, comprimento de 12 m, sobre dormente de madeira, bitola mista, taxa de dormentação de 1.667 un/km, tala de junção de 6 furos e fixação rígida - posicionamento e assentamento manual</t>
  </si>
  <si>
    <t>3009227</t>
  </si>
  <si>
    <t>Trilho TR68, comprimento de 12 m, sobre dormente de madeira, bitola mista, taxa de dormentação de 1.750 un/km, tala de junção de 6 furos e fixação rígida - posicionamento e assentamento manual</t>
  </si>
  <si>
    <t>3009104</t>
  </si>
  <si>
    <t>Trilho TR68, comprimento de 120 m (TLS), formado por trilhos curtos de 12 m soldados por caldeamento - confecção em estaleiro</t>
  </si>
  <si>
    <t>3009240</t>
  </si>
  <si>
    <t>Trilho TR68, comprimento de 120 m (TLS), sobre dormente de concreto, bitola métrica ou larga, taxa de dormentação de 1.667 un/km, tala de junção de 6 furos e fixação elástica Pandrol - posicionamento e assentamento mecanizado</t>
  </si>
  <si>
    <t>3009028</t>
  </si>
  <si>
    <t>Trilho TR68, comprimento de 120 m (TLS), sobre dormente de concreto, bitola métrica ou larga, taxa de dormentação de 1.750 un/km, tala de junção de 6 furos e fixação elástica Pandrol - posicionamento e assentamento mecanizado</t>
  </si>
  <si>
    <t>3009306</t>
  </si>
  <si>
    <t>Trilho TR68, comprimento de 120 m (TLS), sobre dormente de concreto, bitola mista, taxa de dormentação de 1.667 un/km, tala de junção de 6 furos e fixação elástica Pandrol - posicionamento e assentamento mecanizado</t>
  </si>
  <si>
    <t>3009032</t>
  </si>
  <si>
    <t>Trilho TR68, comprimento de 120 m (TLS), sobre dormente de concreto, bitola mista, taxa de dormentação de 1.750 un/km, tala de junção de 6 furos e fixação elástica Pandrol - posicionamento e assentamento mecanizado</t>
  </si>
  <si>
    <t>3009256</t>
  </si>
  <si>
    <t>Trilho TR68, comprimento de 120 m (TLS), sobre dormente de madeira, bitola métrica ou larga, taxa de dormentação de 1.667 un/km, tala de junção de 6 furos e fixação elástica Pandrol - posicionamento e assentamento mecanizado</t>
  </si>
  <si>
    <t>3009264</t>
  </si>
  <si>
    <t>Trilho TR68, comprimento de 120 m (TLS), sobre dormente de madeira, bitola métrica ou larga, taxa de dormentação de 1.667 un/km, tala de junção de 6 furos e fixação rígida - posicionamento e assentamento mecanizado</t>
  </si>
  <si>
    <t>3009036</t>
  </si>
  <si>
    <t>Trilho TR68, comprimento de 120 m (TLS), sobre dormente de madeira, bitola métrica ou larga, taxa de dormentação de 1.750 un/km, tala de junção de 6 furos e fixação elástica Pandrol - posicionamento e assentamento mecanizado</t>
  </si>
  <si>
    <t>3009044</t>
  </si>
  <si>
    <t>Trilho TR68, comprimento de 120 m (TLS), sobre dormente de madeira, bitola métrica ou larga, taxa de dormentação de 1.750 un/km, tala de junção de 6 furos e fixação rígida - posicionamento e assentamento mecanizado</t>
  </si>
  <si>
    <t>3009272</t>
  </si>
  <si>
    <t>Trilho TR68, comprimento de 120 m (TLS), sobre dormente de madeira, bitola mista, taxa de dormentação de 1.667 un/km, tala de junção de 6 furos e fixação elástica Pandrol - posicionamento e assentamento mecanizado</t>
  </si>
  <si>
    <t>3009052</t>
  </si>
  <si>
    <t>Trilho TR68, comprimento de 120 m (TLS), sobre dormente de madeira, bitola mista, taxa de dormentação de 1.750 un/km, tala de junção de 6 furos e fixação elástica Pandrol - posicionamento e assentamento mecanizado</t>
  </si>
  <si>
    <t>3009105</t>
  </si>
  <si>
    <t>Trilho TR68, comprimento de 240 m (TLS), formado por trilhos curtos de 12 m soldados por caldeamento - confecção em estaleiro</t>
  </si>
  <si>
    <t>3009248</t>
  </si>
  <si>
    <t>Trilho TR68, comprimento de 240 m (TLS), sobre dormente de concreto, bitola métrica ou larga, taxa de dormentação de 1.667 un/km, tala de junção de 6 furos e fixação elástica Pandrol - posicionamento e assentamento mecanizado</t>
  </si>
  <si>
    <t>3009210</t>
  </si>
  <si>
    <t>Trilho TR68, comprimento de 240 m (TLS), sobre dormente de concreto, bitola métrica ou larga, taxa de dormentação de 1.750 un/km, tala de junção de 6 furos e fixação elástica Pandrol - posicionamento e assentamento mecanizado</t>
  </si>
  <si>
    <t>3009310</t>
  </si>
  <si>
    <t>Trilho TR68, comprimento de 240 m (TLS), sobre dormente de concreto, bitola mista, taxa de dormentação de 1.667 un/km, tala de junção de 6 furos e fixação elástica Pandrol - posicionamento e assentamento mecanizado</t>
  </si>
  <si>
    <t>3009214</t>
  </si>
  <si>
    <t>Trilho TR68, comprimento de 240 m (TLS), sobre dormente de concreto, bitola mista, taxa de dormentação de 1.750 un/km, tala de junção de 6 furos e fixação elástica Pandrol - posicionamento e assentamento mecanizado</t>
  </si>
  <si>
    <t>3009260</t>
  </si>
  <si>
    <t>Trilho TR68, comprimento de 240 m (TLS), sobre dormente de madeira, bitola métrica ou larga, taxa de dormentação de 1.667 un/km, tala de junção de 6 furos e fixação elástica Pandrol - posicionamento e assentamento mecanizado</t>
  </si>
  <si>
    <t>3009268</t>
  </si>
  <si>
    <t>Trilho TR68, comprimento de 240 m (TLS), sobre dormente de madeira, bitola métrica ou larga, taxa de dormentação de 1.667 un/km, tala de junção de 6 furos e fixação rígida - posicionamento e assentamento mecanizado</t>
  </si>
  <si>
    <t>3009040</t>
  </si>
  <si>
    <t>Trilho TR68, comprimento de 240 m (TLS), sobre dormente de madeira, bitola métrica ou larga, taxa de dormentação de 1.750 un/km, tala de junção de 6 furos e fixação elástica Pandrol - posicionamento e assentamento mecanizado</t>
  </si>
  <si>
    <t>3009048</t>
  </si>
  <si>
    <t>Trilho TR68, comprimento de 240 m (TLS), sobre dormente de madeira, bitola métrica ou larga, taxa de dormentação de 1.750 un/km, tala de junção de 6 furos e fixação rígida - posicionamento e assentamento mecanizado</t>
  </si>
  <si>
    <t>3009276</t>
  </si>
  <si>
    <t>Trilho TR68, comprimento de 240 m (TLS), sobre dormente de madeira, bitola mista, taxa de dormentação de 1.667 un/km, tala de junção de 6 furos e fixação elástica Pandrol - posicionamento e assentamento mecanizado</t>
  </si>
  <si>
    <t>3009056</t>
  </si>
  <si>
    <t>Trilho TR68, comprimento de 240 m (TLS), sobre dormente de madeira, bitola mista, taxa de dormentação de 1.750 un/km, tala de junção de 6 furos e fixação elástica Pandrol - posicionamento e assentamento mecanizado</t>
  </si>
  <si>
    <t>3009237</t>
  </si>
  <si>
    <t>Trilho UIC60, comprimento de 12 m, sobre dormente de concreto, bitola métrica ou larga, taxa de dormentação de 1.667 un/km, tala de junção de 6 furos e fixação elástica Pandrol - posicionamento e assentamento manual</t>
  </si>
  <si>
    <t>3009025</t>
  </si>
  <si>
    <t>Trilho UIC60, comprimento de 12 m, sobre dormente de concreto, bitola métrica ou larga, taxa de dormentação de 1.750 un/km, tala de junção de 6 furos e fixação elástica Pandrol - posicionamento e assentamento manual</t>
  </si>
  <si>
    <t>3009319</t>
  </si>
  <si>
    <t>Trilho UIC60, comprimento de 12 m, sobre dormente de concreto, bitola mista, taxa de dormentação de 1.667 un/km, tala de junção de 6 furos e fixação elástica Pandrol - posicionamento e assentamento manual</t>
  </si>
  <si>
    <t>3009021</t>
  </si>
  <si>
    <t>Trilho UIC60, comprimento de 12 m, sobre dormente de concreto, bitola mista, taxa de dormentação de 1.750 un/km, tala de junção de 6 furos e fixação elástica Pandrol - posicionamento e assentamento manual</t>
  </si>
  <si>
    <t>3009291</t>
  </si>
  <si>
    <t>Trilho UIC60, comprimento de 12 m, sobre dormente de madeira, bitola métrica ou larga, taxa de dormentação de 1.667 un/km, tala de junção de 6 furos e fixação rígida - posicionamento e assentamento manual</t>
  </si>
  <si>
    <t>3009016</t>
  </si>
  <si>
    <t>Trilho UIC60, comprimento de 12 m, sobre dormente de madeira, bitola métrica ou larga, taxa de dormentação de 1.750 un/km, tala de junção de 6 furos e fixação rígida - posicionamento e assentamento manual</t>
  </si>
  <si>
    <t>3009295</t>
  </si>
  <si>
    <t>Trilho UIC60, comprimento de 12 m, sobre dormente de madeira, bitola mista, taxa de dormentação de 1.667 un/km, tala de junção de 6 furos e fixação rígida - posicionamento e assentamento manual</t>
  </si>
  <si>
    <t>3009228</t>
  </si>
  <si>
    <t>Trilho UIC60, comprimento de 12 m, sobre dormente de madeira, bitola mista, taxa de dormentação de 1.750 un/km, tala de junção de 6 furos e fixação rígida - posicionamento e assentamento manual</t>
  </si>
  <si>
    <t>3009106</t>
  </si>
  <si>
    <t>Trilho UIC60, comprimento de 120 m (TLS), formado por trilhos curtos de 12 m soldados por caldeamento - confecção em estaleiro</t>
  </si>
  <si>
    <t>3009299</t>
  </si>
  <si>
    <t>Trilho UIC60, comprimento de 120 m (TLS), sobre dormente de concreto, bitola métrica ou larga, taxa de dormentação de 1.667 un/km, tala de junção de 6 furos e fixação elástica Pandrol - posicionamento e assentamento mecanizado</t>
  </si>
  <si>
    <t>3009029</t>
  </si>
  <si>
    <t>Trilho UIC60, comprimento de 120 m (TLS), sobre dormente de concreto, bitola métrica ou larga, taxa de dormentação de 1.750 un/km, tala de junção de 6 furos e fixação elástica Pandrol - posicionamento e assentamento mecanizado</t>
  </si>
  <si>
    <t>3009245</t>
  </si>
  <si>
    <t>Trilho UIC60, comprimento de 120 m (TLS), sobre dormente de concreto, bitola mista, taxa de dormentação de 1.667 un/km, tala de junção de 6 furos e fixação elástica Pandrol - posicionamento e assentamento mecanizado</t>
  </si>
  <si>
    <t>3009033</t>
  </si>
  <si>
    <t>Trilho UIC60, comprimento de 120 m (TLS), sobre dormente de concreto, bitola mista, taxa de dormentação de 1.750 un/km, tala de junção de 6 furos e fixação elástica Pandrol - posicionamento e assentamento mecanizado</t>
  </si>
  <si>
    <t>3009257</t>
  </si>
  <si>
    <t>Trilho UIC60, comprimento de 120 m (TLS), sobre dormente de madeira, bitola métrica ou larga, taxa de dormentação de 1.667 un/km, tala de junção de 6 furos e fixação elástica Pandrol - posicionamento e assentamento mecanizado</t>
  </si>
  <si>
    <t>3009265</t>
  </si>
  <si>
    <t>Trilho UIC60, comprimento de 120 m (TLS), sobre dormente de madeira, bitola métrica ou larga, taxa de dormentação de 1.667 un/km, tala de junção de 6 furos e fixação rígida - posicionamento e assentamento mecanizado</t>
  </si>
  <si>
    <t>3009037</t>
  </si>
  <si>
    <t>Trilho UIC60, comprimento de 120 m (TLS), sobre dormente de madeira, bitola métrica ou larga, taxa de dormentação de 1.750 un/km, tala de junção de 6 furos e fixação elástica Pandrol - posicionamento e assentamento mecanizado</t>
  </si>
  <si>
    <t>3009045</t>
  </si>
  <si>
    <t>Trilho UIC60, comprimento de 120 m (TLS), sobre dormente de madeira, bitola métrica ou larga, taxa de dormentação de 1.750 un/km, tala de junção de 6 furos e fixação rígida - posicionamento e assentamento mecanizado</t>
  </si>
  <si>
    <t>3009273</t>
  </si>
  <si>
    <t>Trilho UIC60, comprimento de 120 m (TLS), sobre dormente de madeira, bitola mista, taxa de dormentação de 1.667 un/km, tala de junção de 6 furos e fixação elástica Pandrol - posicionamento e assentamento mecanizado</t>
  </si>
  <si>
    <t>3009053</t>
  </si>
  <si>
    <t>Trilho UIC60, comprimento de 120 m (TLS), sobre dormente de madeira, bitola mista, taxa de dormentação de 1.750 un/km, tala de junção de 6 furos e fixação elástica Pandrol - posicionamento e assentamento mecanizado</t>
  </si>
  <si>
    <t>3009107</t>
  </si>
  <si>
    <t>Trilho UIC60, comprimento de 240 m (TLS), formado por trilhos curtos de 12 m soldados por caldeamento - confecção em estaleiro</t>
  </si>
  <si>
    <t>3009249</t>
  </si>
  <si>
    <t>Trilho UIC60, comprimento de 240 m (TLS), sobre dormente de concreto, bitola métrica ou larga, taxa de dormentação de 1.667 un/km, tala de junção de 6 furos e fixação elástica Pandrol - posicionamento e assentamento mecanizado</t>
  </si>
  <si>
    <t>3009211</t>
  </si>
  <si>
    <t>Trilho UIC60, comprimento de 240 m (TLS), sobre dormente de concreto, bitola métrica ou larga, taxa de dormentação de 1.750 un/km, tala de junção de 6 furos e fixação elástica Pandrol - posicionamento e assentamento mecanizado</t>
  </si>
  <si>
    <t>3009253</t>
  </si>
  <si>
    <t>Trilho UIC60, comprimento de 240 m (TLS), sobre dormente de concreto, bitola mista, taxa de dormentação de 1.667 un/km, tala de junção de 6 furos e fixação elástica Pandrol - posicionamento e assentamento mecanizado</t>
  </si>
  <si>
    <t>3009215</t>
  </si>
  <si>
    <t>Trilho UIC60, comprimento de 240 m (TLS), sobre dormente de concreto, bitola mista, taxa de dormentação de 1.750 un/km, tala de junção de 6 furos e fixação elástica Pandrol - posicionamento e assentamento mecanizado</t>
  </si>
  <si>
    <t>3009261</t>
  </si>
  <si>
    <t>Trilho UIC60, comprimento de 240 m (TLS), sobre dormente de madeira, bitola métrica ou larga, taxa de dormentação de 1.667 un/km, tala de junção de 6 furos e fixação elástica Pandrol - posicionamento e assentamento mecanizado</t>
  </si>
  <si>
    <t>3009269</t>
  </si>
  <si>
    <t>Trilho UIC60, comprimento de 240 m (TLS), sobre dormente de madeira, bitola métrica ou larga, taxa de dormentação de 1.667 un/km, tala de junção de 6 furos e fixação rígida - posicionamento e assentamento mecanizado</t>
  </si>
  <si>
    <t>3009041</t>
  </si>
  <si>
    <t>Trilho UIC60, comprimento de 240 m (TLS), sobre dormente de madeira, bitola métrica ou larga, taxa de dormentação de 1.750 un/km, tala de junção de 6 furos e fixação elástica Pandrol - posicionamento e assentamento mecanizado</t>
  </si>
  <si>
    <t>3009049</t>
  </si>
  <si>
    <t>Trilho UIC60, comprimento de 240 m (TLS), sobre dormente de madeira, bitola métrica ou larga, taxa de dormentação de 1.750 un/km, tala de junção de 6 furos e fixação rígida - posicionamento e assentamento mecanizado</t>
  </si>
  <si>
    <t>3009277</t>
  </si>
  <si>
    <t>Trilho UIC60, comprimento de 240 m (TLS), sobre dormente de madeira, bitola mista, taxa de dormentação de 1.667 un/km, tala de junção de 6 furos e fixação elástica Pandrol - posicionamento e assentamento mecanizado</t>
  </si>
  <si>
    <t>3009057</t>
  </si>
  <si>
    <t>Trilho UIC60, comprimento de 240 m (TLS), sobre dormente de madeira, bitola mista, taxa de dormentação de 1.750 un/km, tala de junção de 6 furos e fixação elástica Pandrol - posicionamento e assentamento mecanizado</t>
  </si>
  <si>
    <t>3108073</t>
  </si>
  <si>
    <t>Confecção de fôrma metálica em chapa 1/8" para poita trapezoidal</t>
  </si>
  <si>
    <t>3107965</t>
  </si>
  <si>
    <t>Confecção de forma metálica em chapa 3/16" para poita trapezoidal</t>
  </si>
  <si>
    <t>3105941</t>
  </si>
  <si>
    <t>Fôrma em chapa metálica 1/8" para cabeça de tirantes - utilização de 50 vezes - confecção, instalação e retirada</t>
  </si>
  <si>
    <t>3108150</t>
  </si>
  <si>
    <t>Fôrma metálica curva em chapa 3/16" reforçada com nervuras de 40 mm x 3/16" dispostas em grelhas de 40 x 60 cm - utilização de 100 vezes - confecção, instalação e retirada</t>
  </si>
  <si>
    <t>3108071</t>
  </si>
  <si>
    <t>Fôrma metálica em chapa 1/8" para poita trapezoidal - utilização de 50 vezes - montagem, instalação e retirada</t>
  </si>
  <si>
    <t>3107967</t>
  </si>
  <si>
    <t>Fôrma metálica em chapa 1/8" reforçada com nervuras de 40 mm x 1/8" dispostas em grelhas de 40 x 60 cm - utilização de 100 vezes - confecção, instalação e retirada</t>
  </si>
  <si>
    <t>3107966</t>
  </si>
  <si>
    <t>Fôrma metálica em chapa 3/16" para poita trapezoidal - utilização de 50 vezes - montagem, instalação e retirada</t>
  </si>
  <si>
    <t>3108072</t>
  </si>
  <si>
    <t>Fôrma metálica em chapa 3/16" reforçada com nervuras de 40 mm x 3/16" dispostas em grelhas de 40 x 60 cm - utilização de 100 vezes - confecção, instalação e retirada</t>
  </si>
  <si>
    <t>3117750</t>
  </si>
  <si>
    <t>Fôrma metálica para aduelas de bueiros celulares de concreto pré-moldados - utilização de 100 vezes - confecção, instalação e retirada</t>
  </si>
  <si>
    <t>3117749</t>
  </si>
  <si>
    <t>Fôrma metálica para guarda-corpo de concreto - utilização de 50 vezes - confecção</t>
  </si>
  <si>
    <t>3107964</t>
  </si>
  <si>
    <t>Fôrma metálica para pavimento de concreto - utilização de 100 vezes - confecção, instalação e retirada</t>
  </si>
  <si>
    <t>3106551</t>
  </si>
  <si>
    <t>Fôrma metálica para tetrápode - utilização de 100 vezes - confecção, instalação e retirada</t>
  </si>
  <si>
    <t>3106427</t>
  </si>
  <si>
    <t>Fôrma metálica para viga de concreto pré-moldada protendida para OAE - utilização de 20 vezes - confecção, instalação e retirada</t>
  </si>
  <si>
    <t>3106552</t>
  </si>
  <si>
    <t>Fôrma metálica para Xbloc - utilização de 100 vezes - confecção, instalação e retirada</t>
  </si>
  <si>
    <t>3107969</t>
  </si>
  <si>
    <t>Fôrmas curvas de compensado plastificado 10 mm - uso geral - utilização de 2 vezes - confecção, instalação e retirada</t>
  </si>
  <si>
    <t>3107970</t>
  </si>
  <si>
    <t>Fôrmas curvas de compensado resinado 10 mm - uso geral - utilização de 2 vezes - confecção, instalação e retirada</t>
  </si>
  <si>
    <t>3108007</t>
  </si>
  <si>
    <t>Fôrmas de compensado plastificado 10 mm - uso geral - utilização de 1 vez - confecção, instalação e retirada</t>
  </si>
  <si>
    <t>3108008</t>
  </si>
  <si>
    <t>Fôrmas de compensado plastificado 10 mm - uso geral - utilização de 2 vezes - confecção, instalação e retirada</t>
  </si>
  <si>
    <t>3108009</t>
  </si>
  <si>
    <t>Fôrmas de compensado plastificado 10 mm - uso geral - utilização de 3 vezes - confecção, instalação e retirada</t>
  </si>
  <si>
    <t>3108011</t>
  </si>
  <si>
    <t>Fôrmas de compensado plastificado 12 mm - uso geral - utilização de 1 vez - confecção, instalação e retirada</t>
  </si>
  <si>
    <t>3108012</t>
  </si>
  <si>
    <t>Fôrmas de compensado plastificado 12 mm - uso geral - utilização de 2 vezes - confecção, instalação e retirada</t>
  </si>
  <si>
    <t>3108013</t>
  </si>
  <si>
    <t>Fôrmas de compensado plastificado 12 mm - uso geral - utilização de 3 vezes - confecção, instalação e retirada</t>
  </si>
  <si>
    <t>3108015</t>
  </si>
  <si>
    <t>Fôrmas de compensado plastificado 14 mm - uso geral - utilização de 1 vez - confecção, instalação e retirada</t>
  </si>
  <si>
    <t>3108016</t>
  </si>
  <si>
    <t>Fôrmas de compensado plastificado 14 mm - uso geral - utilização de 2 vezes - confecção, instalação e retirada</t>
  </si>
  <si>
    <t>3108017</t>
  </si>
  <si>
    <t>Fôrmas de compensado plastificado 14 mm - uso geral - utilização de 3 vezes - confecção, instalação e retirada</t>
  </si>
  <si>
    <t>3107995</t>
  </si>
  <si>
    <t>Fôrmas de compensado resinado 10 mm - uso geral - utilização de 1 vez - confecção, instalação e retirada</t>
  </si>
  <si>
    <t>3107996</t>
  </si>
  <si>
    <t>Fôrmas de compensado resinado 10 mm - uso geral - utilização de 2 vezes - confecção, instalação e retirada</t>
  </si>
  <si>
    <t>3107997</t>
  </si>
  <si>
    <t>Fôrmas de compensado resinado 10 mm - uso geral - utilização de 3 vezes - confecção, instalação e retirada</t>
  </si>
  <si>
    <t>3107999</t>
  </si>
  <si>
    <t>Fôrmas de compensado resinado 12 mm - uso geral - utilização de 1 vez - confecção, instalação e retirada</t>
  </si>
  <si>
    <t>3108000</t>
  </si>
  <si>
    <t>Fôrmas de compensado resinado 12 mm - uso geral - utilização de 2 vezes - confecção, instalação e retirada</t>
  </si>
  <si>
    <t>3108001</t>
  </si>
  <si>
    <t>Fôrmas de compensado resinado 12 mm - uso geral - utilização de 3 vezes - confecção, instalação e retirada</t>
  </si>
  <si>
    <t>3108003</t>
  </si>
  <si>
    <t>Fôrmas de compensado resinado 14 mm - uso geral - utilização de 1 vez - confecção, instalação e retirada</t>
  </si>
  <si>
    <t>3108004</t>
  </si>
  <si>
    <t>Fôrmas de compensado resinado 14 mm - uso geral - utilização de 2 vezes - confecção, instalação e retirada</t>
  </si>
  <si>
    <t>3108005</t>
  </si>
  <si>
    <t>Fôrmas de compensado resinado 14 mm - uso geral - utilização de 3 vezes - confecção, instalação e retirada</t>
  </si>
  <si>
    <t>3106119</t>
  </si>
  <si>
    <t>Fôrmas de tábuas de pinho - utilização de 1 vez - confecção, instalação e retirada</t>
  </si>
  <si>
    <t>3106120</t>
  </si>
  <si>
    <t>Fôrmas de tábuas de pinho - utilização de 2 vezes - confecção, instalação e retirada</t>
  </si>
  <si>
    <t>3106121</t>
  </si>
  <si>
    <t>Fôrmas de tábuas de pinho - utilização de 3 vezes - confecção, instalação e retirada</t>
  </si>
  <si>
    <t>3103302</t>
  </si>
  <si>
    <t>Fôrmas de tábuas de pinho para dispositivos de drenagem - utilização de 3 vezes - confecção, instalação e retirada</t>
  </si>
  <si>
    <t>3103303</t>
  </si>
  <si>
    <t>Fôrmas de tábuas de pinho para drenos - utilização de 5 vezes - confecção, instalação e retirada</t>
  </si>
  <si>
    <t>3106759</t>
  </si>
  <si>
    <t>Fôrmas de tábuas de pinho para elementos estruturais dos arcos metálicos - utilização de 3 vezes - confecção, instalação e retirada</t>
  </si>
  <si>
    <t>3108023</t>
  </si>
  <si>
    <t>Guia de madeira de 2,5 x 10,0 cm - confecção e instalação</t>
  </si>
  <si>
    <t>3108018</t>
  </si>
  <si>
    <t>Guia de madeira de 2,5 x 7,0 cm - confecção e instalação</t>
  </si>
  <si>
    <t>3108022</t>
  </si>
  <si>
    <t>Guia de madeira de 2,5 x 8,0 cm - confecção e instalação</t>
  </si>
  <si>
    <t>3205864</t>
  </si>
  <si>
    <t>Gabião caixa 2 x 1 x 0,50 m - Zn/Al + PVC - D = 2,4 mm - pedra de mão comercial - fornecimento e assentamento</t>
  </si>
  <si>
    <t>3205863</t>
  </si>
  <si>
    <t>Gabião caixa 2 x 1 x 0,50 m - Zn/Al + PVC - D = 2,4 mm - pedra de mão produzida - confecção e assentamento</t>
  </si>
  <si>
    <t>3205868</t>
  </si>
  <si>
    <t>Gabião caixa 2 x 1 x 0,50 m Zn/Al - D = 2,7 mm - pedra de mão comercial - fornecimento e assentamento</t>
  </si>
  <si>
    <t>3205867</t>
  </si>
  <si>
    <t>Gabião caixa 2 x 1 x 0,50 m Zn/Al - D = 2,7 mm - pedra de mão produzida - confecção e assentamento</t>
  </si>
  <si>
    <t>3205866</t>
  </si>
  <si>
    <t>Gabião caixa 2 x 1 x 1,00 m - Zn/Al + PVC - D = 2,4 mm - pedra de mão comercial - fornecimento e assentamento</t>
  </si>
  <si>
    <t>3205865</t>
  </si>
  <si>
    <t>Gabião caixa 2 x 1 x 1,00 m - Zn/Al + PVC - D = 2,4 mm - pedra de mão produzida - confecção e assentamento</t>
  </si>
  <si>
    <t>3205870</t>
  </si>
  <si>
    <t>Gabião caixa 2 x 1 x 1,00 m Zn/Al - D = 2,7 mm - pedra de mão comercial - fornecimento e assentamento</t>
  </si>
  <si>
    <t>3205869</t>
  </si>
  <si>
    <t>Gabião caixa 2 x 1 x 1,00 m Zn/Al - D = 2,7 mm - pedra de mão produzida - confecção e assentamento</t>
  </si>
  <si>
    <t>3205872</t>
  </si>
  <si>
    <t>Gabião colchão espessura 0,17 m - Zn/Al + PVC - D = 2,0 mm - pedra de mão comercial - fornecimento e assentamento</t>
  </si>
  <si>
    <t>3205871</t>
  </si>
  <si>
    <t>Gabião colchão espessura 0,17 m - Zn/Al + PVC - D = 2,0 mm - pedra de mão produzida - confecção e assentamento</t>
  </si>
  <si>
    <t>3205874</t>
  </si>
  <si>
    <t>Gabião colchão espessura 0,23 m - Zn/Al + PVC - D = 2,0 mm - pedra de mão comercial - fornecimento e assentamento</t>
  </si>
  <si>
    <t>3205873</t>
  </si>
  <si>
    <t>Gabião colchão espessura 0,23 m - Zn/Al + PVC - D = 2,0 mm - pedra de mão produzida - confecção e assentamento</t>
  </si>
  <si>
    <t>3205876</t>
  </si>
  <si>
    <t>Gabião colchão espessura 0,30 m - Zn/Al + PVC - D = 2,0 mm - pedra de mão comercial - fornecimento e assentamento</t>
  </si>
  <si>
    <t>3205875</t>
  </si>
  <si>
    <t>Gabião colchão espessura 0,30 m - Zn/Al + PVC - D = 2,0 mm - pedra de mão produzida - confecção e assentamento</t>
  </si>
  <si>
    <t>3205862</t>
  </si>
  <si>
    <t>Gabião saco - diâmetro = 0,65 m - Zn/Al + PVC - D = 2,4 mm - pedra de mão comercial - fornecimento e assentamento</t>
  </si>
  <si>
    <t>3205861</t>
  </si>
  <si>
    <t>Gabião saco - diâmetro = 0,65 m - Zn/Al + PVC - D = 2,4 mm - pedra de mão produzida - confecção e assentamento</t>
  </si>
  <si>
    <t>3606579</t>
  </si>
  <si>
    <t>Carga, transporte e descarga de material pétreo para molhes com o uso de batelões e escavadeira hidráulica - DMT de 0 a 300 m</t>
  </si>
  <si>
    <t>3606583</t>
  </si>
  <si>
    <t>Carga, transporte e descarga de material pétreo para molhes com o uso de batelões e escavadeira hidráulica - DMT de 1.200 a 1.500 m</t>
  </si>
  <si>
    <t>3606584</t>
  </si>
  <si>
    <t>Carga, transporte e descarga de material pétreo para molhes com o uso de batelões e escavadeira hidráulica - DMT de 1.500 a 1.800 m</t>
  </si>
  <si>
    <t>3606585</t>
  </si>
  <si>
    <t>Carga, transporte e descarga de material pétreo para molhes com o uso de batelões e escavadeira hidráulica - DMT de 1.800 a 2.100 m</t>
  </si>
  <si>
    <t>3606586</t>
  </si>
  <si>
    <t>Carga, transporte e descarga de material pétreo para molhes com o uso de batelões e escavadeira hidráulica - DMT de 2.100 a 2.400 m</t>
  </si>
  <si>
    <t>3606587</t>
  </si>
  <si>
    <t>Carga, transporte e descarga de material pétreo para molhes com o uso de batelões e escavadeira hidráulica - DMT de 2.400 a 2.700 m</t>
  </si>
  <si>
    <t>3606588</t>
  </si>
  <si>
    <t>Carga, transporte e descarga de material pétreo para molhes com o uso de batelões e escavadeira hidráulica - DMT de 2.700 a 3.000 m</t>
  </si>
  <si>
    <t>3606589</t>
  </si>
  <si>
    <t>Carga, transporte e descarga de material pétreo para molhes com o uso de batelões e escavadeira hidráulica - DMT de 3.000 m</t>
  </si>
  <si>
    <t>3606580</t>
  </si>
  <si>
    <t>Carga, transporte e descarga de material pétreo para molhes com o uso de batelões e escavadeira hidráulica - DMT de 300 a 600 m</t>
  </si>
  <si>
    <t>3606581</t>
  </si>
  <si>
    <t>Carga, transporte e descarga de material pétreo para molhes com o uso de batelões e escavadeira hidráulica - DMT de 600 a 900 m</t>
  </si>
  <si>
    <t>3606582</t>
  </si>
  <si>
    <t>Carga, transporte e descarga de material pétreo para molhes com o uso de batelões e escavadeira hidráulica - DMT de 900 a 1.200 m</t>
  </si>
  <si>
    <t>3606527</t>
  </si>
  <si>
    <t>Escavação, carga e transporte de material pétreo para a subcarapaça - caminho de serviço em leito natural - DMT de 1.000 a 1.200 m - com caminhão basculante de 8 m³</t>
  </si>
  <si>
    <t>3606528</t>
  </si>
  <si>
    <t>Escavação, carga e transporte de material pétreo para a subcarapaça - caminho de serviço em leito natural - DMT de 1.200 a 1.400 m - com caminhão basculante de 8 m³</t>
  </si>
  <si>
    <t>3606529</t>
  </si>
  <si>
    <t>Escavação, carga e transporte de material pétreo para a subcarapaça - caminho de serviço em leito natural - DMT de 1.400 a 1.600 m - com caminhão basculante de 8 m³</t>
  </si>
  <si>
    <t>3606530</t>
  </si>
  <si>
    <t>Escavação, carga e transporte de material pétreo para a subcarapaça - caminho de serviço em leito natural - DMT de 1.600 a 1.800 m - com caminhão basculante de 8 m³</t>
  </si>
  <si>
    <t>3606531</t>
  </si>
  <si>
    <t>Escavação, carga e transporte de material pétreo para a subcarapaça - caminho de serviço em leito natural - DMT de 1.800 a 2.000 m - com caminhão basculante de 8 m³</t>
  </si>
  <si>
    <t>3606532</t>
  </si>
  <si>
    <t>Escavação, carga e transporte de material pétreo para a subcarapaça - caminho de serviço em leito natural - DMT de 2.000 a 2.500 m - com caminhão basculante de 8 m³</t>
  </si>
  <si>
    <t>3606533</t>
  </si>
  <si>
    <t>Escavação, carga e transporte de material pétreo para a subcarapaça - caminho de serviço em leito natural - DMT de 2.500 a 3.000 m - com caminhão basculante de 8 m³</t>
  </si>
  <si>
    <t>3606534</t>
  </si>
  <si>
    <t>Escavação, carga e transporte de material pétreo para a subcarapaça - caminho de serviço em leito natural - DMT de 3.000 m - com caminhão basculante de 8 m³</t>
  </si>
  <si>
    <t>3606535</t>
  </si>
  <si>
    <t>Escavação, carga e transporte de material pétreo para a subcarapaça - caminho de serviço em revestimento primário - DMT de 1.000 a 1.200 m - com caminhão basculante de 8 m³</t>
  </si>
  <si>
    <t>3606536</t>
  </si>
  <si>
    <t>Escavação, carga e transporte de material pétreo para a subcarapaça - caminho de serviço em revestimento primário - DMT de 1.200 a 1.400 m - com caminhão basculante de 8 m³</t>
  </si>
  <si>
    <t>3606537</t>
  </si>
  <si>
    <t>Escavação, carga e transporte de material pétreo para a subcarapaça - caminho de serviço em revestimento primário - DMT de 1.400 a 1.600 m - com caminhão basculante de 8 m³</t>
  </si>
  <si>
    <t>3606538</t>
  </si>
  <si>
    <t>Escavação, carga e transporte de material pétreo para a subcarapaça - caminho de serviço em revestimento primário - DMT de 1.600 a 1.800 m - com caminhão basculante de 8 m³</t>
  </si>
  <si>
    <t>3606539</t>
  </si>
  <si>
    <t>Escavação, carga e transporte de material pétreo para a subcarapaça - caminho de serviço em revestimento primário - DMT de 1.800 a 2.000 m - com caminhão basculante de 8 m³</t>
  </si>
  <si>
    <t>3606540</t>
  </si>
  <si>
    <t>Escavação, carga e transporte de material pétreo para a subcarapaça - caminho de serviço em revestimento primário - DMT de 2.000 a 2.500 m - com caminhão basculante de 8 m³</t>
  </si>
  <si>
    <t>3606541</t>
  </si>
  <si>
    <t>Escavação, carga e transporte de material pétreo para a subcarapaça - caminho de serviço em revestimento primário - DMT de 2.500 a 3.000 m - com caminhão basculante de 8 m³</t>
  </si>
  <si>
    <t>3606542</t>
  </si>
  <si>
    <t>Escavação, carga e transporte de material pétreo para a subcarapaça - caminho de serviço em revestimento primário - DMT de 3.000 m - com caminhão basculante de 8 m³</t>
  </si>
  <si>
    <t>3606543</t>
  </si>
  <si>
    <t>Escavação, carga e transporte de material pétreo para a subcarapaça - caminho de serviço pavimentado - DMT de 1.000 a 1.200 m - com caminhão basculante de 8 m³</t>
  </si>
  <si>
    <t>3606544</t>
  </si>
  <si>
    <t>Escavação, carga e transporte de material pétreo para a subcarapaça - caminho de serviço pavimentado - DMT de 1.200 a 1.400 m - com caminhão basculante de 8 m³</t>
  </si>
  <si>
    <t>3606545</t>
  </si>
  <si>
    <t>Escavação, carga e transporte de material pétreo para a subcarapaça - caminho de serviço pavimentado - DMT de 1.400 a 1.600 m - com caminhão basculante de 8 m³</t>
  </si>
  <si>
    <t>3606546</t>
  </si>
  <si>
    <t>Escavação, carga e transporte de material pétreo para a subcarapaça - caminho de serviço pavimentado - DMT de 1.600 a 1.800 m - com caminhão basculante de 8 m³</t>
  </si>
  <si>
    <t>3606547</t>
  </si>
  <si>
    <t>Escavação, carga e transporte de material pétreo para a subcarapaça - caminho de serviço pavimentado - DMT de 1.800 a 2.000 m - com caminhão basculante de 8 m³</t>
  </si>
  <si>
    <t>3606548</t>
  </si>
  <si>
    <t>Escavação, carga e transporte de material pétreo para a subcarapaça - caminho de serviço pavimentado - DMT de 2.000 a 2.500 m - com caminhão basculante de 8 m³</t>
  </si>
  <si>
    <t>3606549</t>
  </si>
  <si>
    <t>Escavação, carga e transporte de material pétreo para a subcarapaça - caminho de serviço pavimentado - DMT de 2.500 a 3.000 m - com caminhão basculante de 8 m³</t>
  </si>
  <si>
    <t>3606550</t>
  </si>
  <si>
    <t>Escavação, carga e transporte de material pétreo para a subcarapaça - caminho de serviço pavimentado - DMT de 3.000 m - com caminhão basculante de 8 m³</t>
  </si>
  <si>
    <t>3606500</t>
  </si>
  <si>
    <t>Escavação, carga e transporte de material pétreo para o núcleo - caminho de serviço em leito natural - DMT de 1.000 a 1.200 m - com caminhão basculante de 8 m³</t>
  </si>
  <si>
    <t>3606501</t>
  </si>
  <si>
    <t>Escavação, carga e transporte de material pétreo para o núcleo - caminho de serviço em leito natural - DMT de 1.200 a 1.400 m - com caminhão basculante de 8 m³</t>
  </si>
  <si>
    <t>3606502</t>
  </si>
  <si>
    <t>Escavação, carga e transporte de material pétreo para o núcleo - caminho de serviço em leito natural - DMT de 1.400 a 1.600 m - com caminhão basculante de 8 m³</t>
  </si>
  <si>
    <t>3606503</t>
  </si>
  <si>
    <t>Escavação, carga e transporte de material pétreo para o núcleo - caminho de serviço em leito natural - DMT de 1.600 a 1.800 m - com caminhão basculante de 8 m³</t>
  </si>
  <si>
    <t>3606504</t>
  </si>
  <si>
    <t>Escavação, carga e transporte de material pétreo para o núcleo - caminho de serviço em leito natural - DMT de 1.800 a 2.000 m - com caminhão basculante de 8 m³</t>
  </si>
  <si>
    <t>3606505</t>
  </si>
  <si>
    <t>Escavação, carga e transporte de material pétreo para o núcleo - caminho de serviço em leito natural - DMT de 2.000 a 2.500 m - com caminhão basculante de 8 m³</t>
  </si>
  <si>
    <t>3606506</t>
  </si>
  <si>
    <t>Escavação, carga e transporte de material pétreo para o núcleo - caminho de serviço em leito natural - DMT de 2.500 a 3.000 m - com caminhão basculante de 8 m³</t>
  </si>
  <si>
    <t>3606507</t>
  </si>
  <si>
    <t>Escavação, carga e transporte de material pétreo para o núcleo - caminho de serviço em leito natural - DMT de 3.000 m - com caminhão basculante de 8 m³</t>
  </si>
  <si>
    <t>3606509</t>
  </si>
  <si>
    <t>Escavação, carga e transporte de material pétreo para o núcleo - caminho de serviço em revestimento primário - DMT de 1.000 a 1.200 m - com caminhão basculante de 8 m³</t>
  </si>
  <si>
    <t>3606510</t>
  </si>
  <si>
    <t>Escavação, carga e transporte de material pétreo para o núcleo - caminho de serviço em revestimento primário - DMT de 1.200 a 1.400 m - com caminhão basculante de 8 m³</t>
  </si>
  <si>
    <t>3606511</t>
  </si>
  <si>
    <t>Escavação, carga e transporte de material pétreo para o núcleo - caminho de serviço em revestimento primário - DMT de 1.400 a 1.600 m - com caminhão basculante de 8 m³</t>
  </si>
  <si>
    <t>3606512</t>
  </si>
  <si>
    <t>Escavação, carga e transporte de material pétreo para o núcleo - caminho de serviço em revestimento primário - DMT de 1.600 a 1.800 m - com caminhão basculante de 8 m³</t>
  </si>
  <si>
    <t>3606513</t>
  </si>
  <si>
    <t>Escavação, carga e transporte de material pétreo para o núcleo - caminho de serviço em revestimento primário - DMT de 1.800 a 2.000 m - com caminhão basculante de 8 m³</t>
  </si>
  <si>
    <t>3606514</t>
  </si>
  <si>
    <t>Escavação, carga e transporte de material pétreo para o núcleo - caminho de serviço em revestimento primário - DMT de 2.000 a 2.500 m - com caminhão basculante de 8 m³</t>
  </si>
  <si>
    <t>3606515</t>
  </si>
  <si>
    <t>Escavação, carga e transporte de material pétreo para o núcleo - caminho de serviço em revestimento primário - DMT de 2.500 a 3.000 m - com caminhão basculante de 8 m³</t>
  </si>
  <si>
    <t>3606516</t>
  </si>
  <si>
    <t>Escavação, carga e transporte de material pétreo para o núcleo - caminho de serviço em revestimento primário - DMT de 3.000 m - com caminhão basculante de 8 m³</t>
  </si>
  <si>
    <t>3606518</t>
  </si>
  <si>
    <t>Escavação, carga e transporte de material pétreo para o núcleo - caminho de serviço pavimentado - DMT de 1.000 a 1.200 m - com caminhão basculante de 8 m³</t>
  </si>
  <si>
    <t>3606519</t>
  </si>
  <si>
    <t>Escavação, carga e transporte de material pétreo para o núcleo - caminho de serviço pavimentado - DMT de 1.200 a 1.400 m - com caminhão basculante de 8 m³</t>
  </si>
  <si>
    <t>3606520</t>
  </si>
  <si>
    <t>Escavação, carga e transporte de material pétreo para o núcleo - caminho de serviço pavimentado - DMT de 1.400 a 1.600 m - com caminhão basculante de 8 m³</t>
  </si>
  <si>
    <t>3606521</t>
  </si>
  <si>
    <t>Escavação, carga e transporte de material pétreo para o núcleo - caminho de serviço pavimentado - DMT de 1.600 a 1.800 m - com caminhão basculante de 8 m³</t>
  </si>
  <si>
    <t>3606522</t>
  </si>
  <si>
    <t>Escavação, carga e transporte de material pétreo para o núcleo - caminho de serviço pavimentado - DMT de 1.800 a 2.000 m - com caminhão basculante de 8 m³</t>
  </si>
  <si>
    <t>3606523</t>
  </si>
  <si>
    <t>Escavação, carga e transporte de material pétreo para o núcleo - caminho de serviço pavimentado - DMT de 2.000 a 2.500 m - com caminhão basculante de 8 m³</t>
  </si>
  <si>
    <t>3606524</t>
  </si>
  <si>
    <t>Escavação, carga e transporte de material pétreo para o núcleo - caminho de serviço pavimentado - DMT de 2.500 a 3.000 m - com caminhão basculante de 8 m³</t>
  </si>
  <si>
    <t>3606525</t>
  </si>
  <si>
    <t>Escavação, carga e transporte de material pétreo para o núcleo - caminho de serviço pavimentado - DMT de 3.000 m - com caminhão basculante de 8 m³</t>
  </si>
  <si>
    <t>3606577</t>
  </si>
  <si>
    <t>Espalhamento e conformação de material pétreo para núcleo</t>
  </si>
  <si>
    <t>3606576</t>
  </si>
  <si>
    <t>Espalhamento e conformação de material pétreo para subcarapaça</t>
  </si>
  <si>
    <t>3606561</t>
  </si>
  <si>
    <t>Fabricação de tetrápode de 10 t - concreto fck = 20 MPa - areia e brita comerciais</t>
  </si>
  <si>
    <t>3606556</t>
  </si>
  <si>
    <t>Fabricação de tetrápode de 10 t - concreto fck = 20 MPa - areia extraída e brita produzida</t>
  </si>
  <si>
    <t>3606562</t>
  </si>
  <si>
    <t>Fabricação de tetrápode de 11 t - concreto fck = 20 MPa - areia e brita comerciais</t>
  </si>
  <si>
    <t>3606557</t>
  </si>
  <si>
    <t>Fabricação de tetrápode de 11 t - concreto fck = 20 MPa - areia extraída e brita produzida</t>
  </si>
  <si>
    <t>3606563</t>
  </si>
  <si>
    <t>Fabricação de tetrápode de 12 t - concreto fck = 20 MPa - areia e brita comerciais</t>
  </si>
  <si>
    <t>3606558</t>
  </si>
  <si>
    <t>Fabricação de tetrápode de 12 t - concreto fck = 20 MPa - areia extraída e brita produzida</t>
  </si>
  <si>
    <t>3606559</t>
  </si>
  <si>
    <t>Fabricação de tetrápode de 8 t - concreto fck = 20 MPa - areia e brita comerciais</t>
  </si>
  <si>
    <t>3606554</t>
  </si>
  <si>
    <t>Fabricação de tetrápode de 8 t - concreto fck = 20 MPa - areia extraída e brita produzida</t>
  </si>
  <si>
    <t>3606560</t>
  </si>
  <si>
    <t>Fabricação de tetrápode de 9 t - concreto fck = 20 MPa - areia e brita comerciais</t>
  </si>
  <si>
    <t>3606555</t>
  </si>
  <si>
    <t>Fabricação de tetrápode de 9 t - concreto fck = 20 MPa - areia extraída e brita produzida</t>
  </si>
  <si>
    <t>3606571</t>
  </si>
  <si>
    <t>Fabricação de Xbloc de 10 t - concreto fck = 20 MPa - areia e brita comerciais</t>
  </si>
  <si>
    <t>3606566</t>
  </si>
  <si>
    <t>Fabricação de Xbloc de 10 t - concreto fck = 20 MPa - areia extraída e brita produzida</t>
  </si>
  <si>
    <t>3606572</t>
  </si>
  <si>
    <t>Fabricação de Xbloc de 11 t - concreto fck = 20 MPa - areia e brita comerciais</t>
  </si>
  <si>
    <t>3606567</t>
  </si>
  <si>
    <t>Fabricação de Xbloc de 11 t - concreto fck = 20 MPa - areia extraída e brita produzida</t>
  </si>
  <si>
    <t>3606573</t>
  </si>
  <si>
    <t>Fabricação de Xbloc de 12 t - concreto fck = 20 MPa - areia e brita comerciais</t>
  </si>
  <si>
    <t>3606568</t>
  </si>
  <si>
    <t>Fabricação de Xbloc de 12 t - concreto fck = 20 MPa - areia extraída e brita produzida</t>
  </si>
  <si>
    <t>3606569</t>
  </si>
  <si>
    <t>Fabricação de Xbloc de 8 t - concreto fck = 20 MPa - areia e brita comerciais</t>
  </si>
  <si>
    <t>3606564</t>
  </si>
  <si>
    <t>Fabricação de Xbloc de 8 t - concreto fck = 20 MPa - areia extraída e brita produzida</t>
  </si>
  <si>
    <t>3606570</t>
  </si>
  <si>
    <t>Fabricação de Xbloc de 9 t - concreto fck = 20 MPa - areia e brita comerciais</t>
  </si>
  <si>
    <t>3606565</t>
  </si>
  <si>
    <t>Fabricação de Xbloc de 9 t - concreto fck = 20 MPa - areia extraída e brita produzida</t>
  </si>
  <si>
    <t>3606578</t>
  </si>
  <si>
    <t>Lançamento de blocos artificias de concreto</t>
  </si>
  <si>
    <t>3606575</t>
  </si>
  <si>
    <t>Seleção de material pétreo para a carapaça e subcarapaça</t>
  </si>
  <si>
    <t>3606574</t>
  </si>
  <si>
    <t>Seleção de material pétreo para o núcleo</t>
  </si>
  <si>
    <t>3713603</t>
  </si>
  <si>
    <t>Ancoragem de defensa maleável dupla - fornecimento e implantação</t>
  </si>
  <si>
    <t>3713601</t>
  </si>
  <si>
    <t>Ancoragem de defensa maleável simples - fornecimento e implantação</t>
  </si>
  <si>
    <t>3713607</t>
  </si>
  <si>
    <t>Ancoragem de defensa semimaleável dupla - fornecimento e implantação</t>
  </si>
  <si>
    <t>3713605</t>
  </si>
  <si>
    <t>Ancoragem de defensa semimaleável simples - fornecimento e implantação</t>
  </si>
  <si>
    <t>3719530</t>
  </si>
  <si>
    <t>Barreira dupla de concreto, armada, pré-moldada (perfil New Jersey) - L &gt; 3,00 m e H = 1.070 mm</t>
  </si>
  <si>
    <t>3713828</t>
  </si>
  <si>
    <t>Barreira dupla de concreto, armada, pré-moldada (perfil New Jersey) - L &gt; 3,00 m e H = 810 mm</t>
  </si>
  <si>
    <t>3713875</t>
  </si>
  <si>
    <t>Barreira dupla de concreto, não armada, moldada no local (perfil F) - H = 810 + 100 mm</t>
  </si>
  <si>
    <t>3713619</t>
  </si>
  <si>
    <t>Barreira dupla de concreto, não armada, moldada no local (perfil New Jersey) - H = 810 + 100 mm</t>
  </si>
  <si>
    <t>3713876</t>
  </si>
  <si>
    <t>Barreira dupla de concreto, não armada, moldada no local, com extrusora (perfil F) - H = 810 + 100 mm</t>
  </si>
  <si>
    <t>3713827</t>
  </si>
  <si>
    <t>Barreira dupla de concreto, não armada, moldada no local, com extrusora (perfil New Jersey) - H = 810 + 100 mm</t>
  </si>
  <si>
    <t>3713904</t>
  </si>
  <si>
    <t>Barreira simples de concreto, armada, pré-moldada (perfil New Jersey) - L &gt; 3,00 m e H = 1.070 mm</t>
  </si>
  <si>
    <t>3719529</t>
  </si>
  <si>
    <t>Barreira simples de concreto, armada, pré-moldada (perfil New Jersey) - L &gt; 3,00 m e H = 810 mm</t>
  </si>
  <si>
    <t>3713878</t>
  </si>
  <si>
    <t>Barreira simples de concreto, não armada, moldada no local (perfil F) - H = 810 + 100 mm</t>
  </si>
  <si>
    <t>3713617</t>
  </si>
  <si>
    <t>Barreira simples de concreto, não armada, moldada no local (perfil New Jersey) - H = 810 + 100 mm</t>
  </si>
  <si>
    <t>3713879</t>
  </si>
  <si>
    <t>Barreira simples de concreto, não armada, moldada no local, com extrusora (perfil F) - H = 810 + 100 mm</t>
  </si>
  <si>
    <t>3713826</t>
  </si>
  <si>
    <t>Barreira simples de concreto, não armada, moldada no local, com extrusora (perfil New Jersey) - H = 810 + 100 mm</t>
  </si>
  <si>
    <t>3713610</t>
  </si>
  <si>
    <t>Cerca com 4 fios de arame farpado e mourão de concreto de seção quadrada de 11 cm a cada 2,5 m e esticador de 15 cm a cada 50 m - areia e brita comerciais</t>
  </si>
  <si>
    <t>3713609</t>
  </si>
  <si>
    <t>Cerca com 4 fios de arame farpado e mourão de concreto de seção quadrada de 11 cm a cada 2,5 m e esticador de 15 cm a cada 50 m - areia extraída e brita produzida</t>
  </si>
  <si>
    <t>3713612</t>
  </si>
  <si>
    <t>Cerca com 4 fios de arame farpado e mourão de concreto de seção triangular de 11 cm a cada 2,5 m e esticador de 15 cm a cada 50 m - areia e brita comerciais</t>
  </si>
  <si>
    <t>3713611</t>
  </si>
  <si>
    <t>Cerca com 4 fios de arame farpado e mourão de concreto de seção triangular de 11 cm a cada 2,5 m e esticador de 15 cm a cada 50 m - areia extraída e brita produzida</t>
  </si>
  <si>
    <t>3713608</t>
  </si>
  <si>
    <t>Cerca com 4 fios de arame farpado e mourão de madeira a cada 2,5 m e esticador a cada 50 m</t>
  </si>
  <si>
    <t>3713613</t>
  </si>
  <si>
    <t>Cerca com 4 fios de arame liso galvanizado e mourão de madeira a cada 2,5 m e esticador a cada 50 m</t>
  </si>
  <si>
    <t>3713822</t>
  </si>
  <si>
    <t>Confecção de barreira dupla de concreto, armada, pré-moldada (perfil New Jersey) - L &gt; 3,00 m e H = 1.070 mm</t>
  </si>
  <si>
    <t>3713824</t>
  </si>
  <si>
    <t>Confecção de barreira dupla de concreto, armada, pré-moldada (perfil New Jersey) - L &gt; 3,00 m e H = 810 mm</t>
  </si>
  <si>
    <t>3713825</t>
  </si>
  <si>
    <t>Confecção de barreira simples de concreto, armada, pré-moldada (perfil New Jersey) - L &gt; 3,00 m e H = 1.070 mm</t>
  </si>
  <si>
    <t>3713823</t>
  </si>
  <si>
    <t>Confecção de barreira simples de concreto, armada, pré-moldada (perfil New Jersey) - L &gt; 3,00 m e H = 810 mm</t>
  </si>
  <si>
    <t>3713602</t>
  </si>
  <si>
    <t>Defensa maleável dupla - fornecimento e implantação</t>
  </si>
  <si>
    <t>3713600</t>
  </si>
  <si>
    <t>Defensa maleável simples - fornecimento e implantação</t>
  </si>
  <si>
    <t>3713606</t>
  </si>
  <si>
    <t>Defensa semimaleável dupla - fornecimento e implantação</t>
  </si>
  <si>
    <t>3713604</t>
  </si>
  <si>
    <t>Defensa semimaleável simples - fornecimento e implantação</t>
  </si>
  <si>
    <t>3716129</t>
  </si>
  <si>
    <t>Fabricação de mourão de concreto esticador - seção quadrada de 15 cm - areia e brita comerciais</t>
  </si>
  <si>
    <t>3716128</t>
  </si>
  <si>
    <t>Fabricação de mourão de concreto esticador - seção quadrada de 15 cm - areia extraída e brita produzida</t>
  </si>
  <si>
    <t>3716133</t>
  </si>
  <si>
    <t>Fabricação de mourão de concreto esticador - seção triangular de 15 cm - areia e brita comercias</t>
  </si>
  <si>
    <t>3716132</t>
  </si>
  <si>
    <t>Fabricação de mourão de concreto esticador - seção triangular de 15 cm - areia extraída e brita produzida</t>
  </si>
  <si>
    <t>3716131</t>
  </si>
  <si>
    <t>Fabricação de mourão de concreto suporte - seção quadrada de 11 cm - areia e brita comerciais</t>
  </si>
  <si>
    <t>3716130</t>
  </si>
  <si>
    <t>Fabricação de mourão de concreto suporte - seção quadrada de 11 cm - areia extraída e brita produzida</t>
  </si>
  <si>
    <t>3716135</t>
  </si>
  <si>
    <t>Fabricação de mourão de concreto suporte - seção triangular de 11 cm - areia e brita comerciais</t>
  </si>
  <si>
    <t>3716134</t>
  </si>
  <si>
    <t>Fabricação de mourão de concreto suporte - seção triangular de 11 cm - areia extraída e brita produzida</t>
  </si>
  <si>
    <t>3713698</t>
  </si>
  <si>
    <t>Fornecimento e implantação de amortecedor retrátil (v &lt;= 100 km/h) tipo TAU II afunilado - fixado em barreira de concreto, com largura de âncora traseira de 1.830 mm</t>
  </si>
  <si>
    <t>3713699</t>
  </si>
  <si>
    <t>Fornecimento e implantação de amortecedor retrátil (v &lt;= 100 km/h) tipo TAU II afunilado - fixado em barreira de concreto, com largura de âncora traseira de 1.980 mm</t>
  </si>
  <si>
    <t>3713700</t>
  </si>
  <si>
    <t>Fornecimento e implantação de amortecedor retrátil (v &lt;= 100 km/h) tipo TAU II afunilado - fixado em barreira de concreto, com largura de âncora traseira de 2.130 mm</t>
  </si>
  <si>
    <t>3713701</t>
  </si>
  <si>
    <t>Fornecimento e implantação de amortecedor retrátil (v &lt;= 100 km/h) tipo TAU II afunilado - fixado em barreira de concreto, com largura de âncora traseira de 2.290 mm</t>
  </si>
  <si>
    <t>3713702</t>
  </si>
  <si>
    <t>Fornecimento e implantação de amortecedor retrátil (v &lt;= 100 km/h) tipo TAU II afunilado - fixado em barreira de concreto, com largura de âncora traseira de 2.440 mm</t>
  </si>
  <si>
    <t>3713693</t>
  </si>
  <si>
    <t>Fornecimento e implantação de amortecedor retrátil (v &lt;= 100 km/h) tipo TAU II combinado - fixado em barreira de concreto, com largura de âncora traseira de 1.060 mm</t>
  </si>
  <si>
    <t>3713694</t>
  </si>
  <si>
    <t>Fornecimento e implantação de amortecedor retrátil (v &lt;= 100 km/h) tipo TAU II combinado - fixado em barreira de concreto, com largura de âncora traseira de 1.220 mm</t>
  </si>
  <si>
    <t>3713695</t>
  </si>
  <si>
    <t>Fornecimento e implantação de amortecedor retrátil (v &lt;= 100 km/h) tipo TAU II combinado - fixado em barreira de concreto, com largura de âncora traseira de 1.370 mm</t>
  </si>
  <si>
    <t>3713696</t>
  </si>
  <si>
    <t>Fornecimento e implantação de amortecedor retrátil (v &lt;= 100 km/h) tipo TAU II combinado - fixado em barreira de concreto, com largura de âncora traseira de 1.520 mm</t>
  </si>
  <si>
    <t>3713697</t>
  </si>
  <si>
    <t>Fornecimento e implantação de amortecedor retrátil (v &lt;= 100 km/h) tipo TAU II combinado - fixado em barreira de concreto, com largura de âncora traseira de 1.680 mm</t>
  </si>
  <si>
    <t>3713692</t>
  </si>
  <si>
    <t>Fornecimento e implantação de amortecedor retrátil (v &lt;= 100 km/h) tipo TAU II combinado - fixado em barreira de concreto, com largura de âncora traseira de 900 mm</t>
  </si>
  <si>
    <t>3713691</t>
  </si>
  <si>
    <t>Fornecimento e implantação de amortecedor retrátil (v &lt;= 100 km/h) tipo TAU II paralelo - fixado em barreira de concreto, com largura de âncora traseira de até 700 mm</t>
  </si>
  <si>
    <t>3713873</t>
  </si>
  <si>
    <t>Módulo de transição de defensa metálica para barreira rígida - fornecimento e implantação</t>
  </si>
  <si>
    <t>3713705</t>
  </si>
  <si>
    <t>Remoção de defensa metálica</t>
  </si>
  <si>
    <t>3713902</t>
  </si>
  <si>
    <t>Terminal absorvedor de energia de abertura com nível de contenção TL3 para defensa metálica - fornecimento e implantação</t>
  </si>
  <si>
    <t>3713689</t>
  </si>
  <si>
    <t>Terminal aéreo de defensa metálica - tipo A - fornecimento e implantação</t>
  </si>
  <si>
    <t>3713690</t>
  </si>
  <si>
    <t>Terminal de ancoragem de defensa metálica em barreira New Jersey - fornecimento e implantação</t>
  </si>
  <si>
    <t>3713897</t>
  </si>
  <si>
    <t>Terminal de ancoragem para barreira dupla de concreto, moldada no local (perfil F) - H = 810 + 250 mm</t>
  </si>
  <si>
    <t>3713893</t>
  </si>
  <si>
    <t>Terminal de ancoragem para barreira dupla de concreto, moldada no local (perfil New Jersey) - H = 810 + 250 mm</t>
  </si>
  <si>
    <t>3713898</t>
  </si>
  <si>
    <t>Terminal de ancoragem para barreira dupla de concreto, moldada no local, com extrusora (perfil F) - H = 810 + 250 mm</t>
  </si>
  <si>
    <t>3713894</t>
  </si>
  <si>
    <t>Terminal de ancoragem para barreira dupla de concreto, moldada no local, com extrusora (perfil New Jersey) - H = 810 + 250 mm</t>
  </si>
  <si>
    <t>3713895</t>
  </si>
  <si>
    <t>Terminal de ancoragem para barreira simples de concreto, moldada no local (perfil F) - H = 810 + 250 mm</t>
  </si>
  <si>
    <t>3713891</t>
  </si>
  <si>
    <t>Terminal de ancoragem para barreira simples de concreto, moldada no local (perfil New Jersey) - H = 810 + 250 mm</t>
  </si>
  <si>
    <t>3713896</t>
  </si>
  <si>
    <t>Terminal de ancoragem para barreira simples de concreto, moldada no local, com extrusora (perfil F) - H = 810 + 250 mm</t>
  </si>
  <si>
    <t>3713892</t>
  </si>
  <si>
    <t>Terminal de ancoragem para barreira simples de concreto, moldada no local, com extrusora (perfil New Jersey) - H = 810 + 250 mm</t>
  </si>
  <si>
    <t>3806412</t>
  </si>
  <si>
    <t>Abertura de janela em estrutura de concreto existente para inspeção com espessura até 0,20 m e seção 0,49 m²</t>
  </si>
  <si>
    <t>3806413</t>
  </si>
  <si>
    <t>Apicoamento mecanizado de concreto</t>
  </si>
  <si>
    <t>3816190</t>
  </si>
  <si>
    <t>Apoio náutico com capacidade de 150 t</t>
  </si>
  <si>
    <t>3816192</t>
  </si>
  <si>
    <t>Apoio náutico com capacidade de 200 t</t>
  </si>
  <si>
    <t>3816193</t>
  </si>
  <si>
    <t>Apoio náutico com capacidade de 600 t</t>
  </si>
  <si>
    <t>3816191</t>
  </si>
  <si>
    <t xml:space="preserve">Apoio náutico para pessoal e apoio logístico </t>
  </si>
  <si>
    <t>3807863</t>
  </si>
  <si>
    <t>Chumbador de expansão controlada por torque para concreto D = 12,5 mm - fornecimento e instalação</t>
  </si>
  <si>
    <t>3807864</t>
  </si>
  <si>
    <t>Chumbador de expansão controlada por torque para concreto D = 16 mm - fornecimento e instalação</t>
  </si>
  <si>
    <t>3807865</t>
  </si>
  <si>
    <t>Chumbador de expansão controlada por torque para concreto D = 20 mm - fornecimento e instalação</t>
  </si>
  <si>
    <t>3807861</t>
  </si>
  <si>
    <t>Chumbador de expansão controlada por torque para concreto D = 6,3 mm - fornecimento e instalação</t>
  </si>
  <si>
    <t>3807862</t>
  </si>
  <si>
    <t>Chumbador de expansão controlada por torque para concreto D = 8 mm - fornecimento e instalação</t>
  </si>
  <si>
    <t>3807752</t>
  </si>
  <si>
    <t>Corte linear em superfície de concreto para fixação de barras de aço de 10 mm - L = 12 mm e H = 12 mm</t>
  </si>
  <si>
    <t>3807753</t>
  </si>
  <si>
    <t>Corte linear em superfície de concreto para fixação de barras de aço de 12,5 mm - L = 15 mm e H = 15 mm</t>
  </si>
  <si>
    <t>3807750</t>
  </si>
  <si>
    <t>Corte linear em superfície de concreto para fixação de barras de aço de 6,3 mm - L = 8 mm e H = 8 mm</t>
  </si>
  <si>
    <t>3807751</t>
  </si>
  <si>
    <t>Corte linear em superfície de concreto para fixação de barras de aço de 8 mm - L = 10 mm e H = 10 mm</t>
  </si>
  <si>
    <t>3806415</t>
  </si>
  <si>
    <t>Demolição controlada de concreto com martelete</t>
  </si>
  <si>
    <t>3806416</t>
  </si>
  <si>
    <t>Elevação de estruturas até 496 kN para substituição de aparelho de apoio com a utilização de macaco hidráulico</t>
  </si>
  <si>
    <t>3806419</t>
  </si>
  <si>
    <t>Elevação de estruturas de 1.390 a 1.859 kN para substituição de aparelho de apoio com a utilização de macaco hidráulico</t>
  </si>
  <si>
    <t>3806417</t>
  </si>
  <si>
    <t>Elevação de estruturas de 496 a 929 kN para substituição de aparelho de apoio com a utilização de macaco hidráulico</t>
  </si>
  <si>
    <t>3806418</t>
  </si>
  <si>
    <t>Elevação de estruturas de 929 a 1.390 kN para substituição de aparelho de apoio com a utilização de macaco hidráulico</t>
  </si>
  <si>
    <t>3808207</t>
  </si>
  <si>
    <t>Escada tubular multidirecional em aço galvanizado - utilização de 100 vezes - fornecimento, instalação e retirada</t>
  </si>
  <si>
    <t>3806400</t>
  </si>
  <si>
    <t>Fabricação de superestrutura metálica para passarela PL-15 - exceto piso de concreto</t>
  </si>
  <si>
    <t>3806399</t>
  </si>
  <si>
    <t>Fabricação de superestrutura metálica para passarela PL-20 - exceto piso de concreto</t>
  </si>
  <si>
    <t>3806387</t>
  </si>
  <si>
    <t>Fabricação de superestrutura metálica para passarela PL-25 - exceto piso de concreto</t>
  </si>
  <si>
    <t>3806397</t>
  </si>
  <si>
    <t>Fabricação de superestrutura metálica para passarela PL-30 - exceto piso de concreto</t>
  </si>
  <si>
    <t>3806396</t>
  </si>
  <si>
    <t>Fabricação de superestrutura metálica para passarela PL-35 - exceto piso de concreto</t>
  </si>
  <si>
    <t>3816194</t>
  </si>
  <si>
    <t>Fischietti - montagem e desmontagem do par com capacidade de 140 t</t>
  </si>
  <si>
    <t>3816195</t>
  </si>
  <si>
    <t>Fischietti com capacidade de 140 t por par e vão livre de até 45 m - operação do par</t>
  </si>
  <si>
    <t>3816118</t>
  </si>
  <si>
    <t>Guarda-corpo de concreto - fabricação - areia e brita comerciais</t>
  </si>
  <si>
    <t>3816117</t>
  </si>
  <si>
    <t>Guarda-corpo de concreto - fabricação - areia extraída e brita produzida</t>
  </si>
  <si>
    <t>3806386</t>
  </si>
  <si>
    <t>Guarda-corpo e corrimão metálico para passarelas para pedestres - fornecimento e instalação</t>
  </si>
  <si>
    <t>3816196</t>
  </si>
  <si>
    <t>Injeção de nata de cimento</t>
  </si>
  <si>
    <t>3806426</t>
  </si>
  <si>
    <t>Lançamento de pré-laje com utilização de guindauto</t>
  </si>
  <si>
    <t>t</t>
  </si>
  <si>
    <t>3806401</t>
  </si>
  <si>
    <t>Lançamento de superestrutura de passarela metálica de 12 a 24 t com utilização de guindaste</t>
  </si>
  <si>
    <t>3806423</t>
  </si>
  <si>
    <t>Lançamento de viga pré-moldada de 1.000 a 1.250 kN com utilização de guindaste</t>
  </si>
  <si>
    <t>3806421</t>
  </si>
  <si>
    <t>Lançamento de viga pré-moldada de 500 a 750 kN com utilização de guindaste</t>
  </si>
  <si>
    <t>3806422</t>
  </si>
  <si>
    <t>Lançamento de viga pré-moldada de 750 a 1.000 kN com utilização de guindaste</t>
  </si>
  <si>
    <t>3806425</t>
  </si>
  <si>
    <t>Lançamento de viga pré-moldada de 980 a 1.225 kN com utilização de treliça lançadeira</t>
  </si>
  <si>
    <t>3806424</t>
  </si>
  <si>
    <t>Lançamento de viga pré-moldada de 980 a 1.225 kN com utilização de treliça lançadeira e carrelone</t>
  </si>
  <si>
    <t>3806420</t>
  </si>
  <si>
    <t>3806405</t>
  </si>
  <si>
    <t>Limpeza de aparelhos de apoio em obras de arte especiais - exclusa a plataforma</t>
  </si>
  <si>
    <t>3806404</t>
  </si>
  <si>
    <t>Limpeza de material retido em fundações submersas de obras de arte especiais</t>
  </si>
  <si>
    <t>3806406</t>
  </si>
  <si>
    <t>Limpeza em junta de dilatação</t>
  </si>
  <si>
    <t>3806403</t>
  </si>
  <si>
    <t>Limpeza em superfície de concreto com jateamento abrasivo com uso de granalhas de aço</t>
  </si>
  <si>
    <t>3806402</t>
  </si>
  <si>
    <t>Limpeza em superfície de concreto com jateamento d'água sob pressão</t>
  </si>
  <si>
    <t>3806407</t>
  </si>
  <si>
    <t>Pingadeira de elastômero perfil 40 x 40 mm com aba inclinada e fixada com adesivo estrutural e pinos - fornecimento e instalação - exclusa a plataforma</t>
  </si>
  <si>
    <t>3808043</t>
  </si>
  <si>
    <t>Pintura manual com nata de cimento - 3 demãos</t>
  </si>
  <si>
    <t>3806431</t>
  </si>
  <si>
    <t>Placa de aço de apoio para protensão externa em reforço de viga de OAE - confecção e instalação</t>
  </si>
  <si>
    <t>3806432</t>
  </si>
  <si>
    <t>Placa de aço de desvio para protensão externa em reforço de viga de OAE - confecção e instalação</t>
  </si>
  <si>
    <t>3806429</t>
  </si>
  <si>
    <t>3806430</t>
  </si>
  <si>
    <t>Plataforma de trabalho em aço tubular apoiada no solo - altura de 6 a 8 m - utilização de 100 vezes - fornecimento, instalação e retirada</t>
  </si>
  <si>
    <t>3806428</t>
  </si>
  <si>
    <t>Plataforma de trabalho em aço tubular apoiada no solo - altura de até 4 m - utilização de 100 vezes - fornecimento, instalação e retirada</t>
  </si>
  <si>
    <t>3816198</t>
  </si>
  <si>
    <t>Plataforma de trabalho em madeira apoiada no solo - altura de 6 a 12 m - utilização de 5 vezes - confecção, instalação e retirada</t>
  </si>
  <si>
    <t>3816197</t>
  </si>
  <si>
    <t>Plataforma de trabalho em madeira apoiada no solo - altura de até 6 m - utilização de 5 vezes - confecção, instalação e retirada</t>
  </si>
  <si>
    <t>3806410</t>
  </si>
  <si>
    <t>Plataforma de trabalho suspensa sob tabuleiro de pontes com treliças metálicas e tábuas - utilização de 100 vezes - confecção, instalação e retirada</t>
  </si>
  <si>
    <t>3806411</t>
  </si>
  <si>
    <t>Plataforma mecanizada de inspeção sob pontes com capacidade de 500 kg e alcance de 15 m</t>
  </si>
  <si>
    <t>3815644</t>
  </si>
  <si>
    <t>Recomposição de dreno em tubo de aço galvanizado D = 100 mm em OAE - fornecimento e instalação</t>
  </si>
  <si>
    <t>3815643</t>
  </si>
  <si>
    <t>Recomposição de dreno em tubo de aço galvanizado D = 80 mm em OAE - fornecimento e instalação</t>
  </si>
  <si>
    <t>3815706</t>
  </si>
  <si>
    <t>Recomposição de guarda-corpo com agregados comerciais - instalação</t>
  </si>
  <si>
    <t>3815597</t>
  </si>
  <si>
    <t>Recomposição de guarda-corpo com agregados produzidos - instalação</t>
  </si>
  <si>
    <t>3815600</t>
  </si>
  <si>
    <t>Recuperação de guarda-corpo metálico em ambiente agressivo</t>
  </si>
  <si>
    <t>3815601</t>
  </si>
  <si>
    <t>Recuperação de guarda-corpo metálico em ambiente muito agressivo</t>
  </si>
  <si>
    <t>3815599</t>
  </si>
  <si>
    <t>Recuperação de guarda-corpo metálico em ambiente pouco agressivo</t>
  </si>
  <si>
    <t>3806414</t>
  </si>
  <si>
    <t>Remoção de concreto com jateamento d'água sob alta pressão</t>
  </si>
  <si>
    <t>3806409</t>
  </si>
  <si>
    <t>Restauração de berços de apoio para junta de dilatação - fornecimento e instalação</t>
  </si>
  <si>
    <t>3815602</t>
  </si>
  <si>
    <t>Substituição de junta de dilatação e lábios poliméricos - fornecimento e instalação</t>
  </si>
  <si>
    <t>4011444</t>
  </si>
  <si>
    <t>Areia asfalto a quente - faixa A - areia comercial</t>
  </si>
  <si>
    <t>4011443</t>
  </si>
  <si>
    <t>Areia asfalto a quente - faixa A - areia extraída</t>
  </si>
  <si>
    <t>4011446</t>
  </si>
  <si>
    <t>Areia asfalto a quente - faixa B - areia comercial</t>
  </si>
  <si>
    <t>4011445</t>
  </si>
  <si>
    <t>Areia asfalto a quente - faixa B - areia extraída</t>
  </si>
  <si>
    <t>4011448</t>
  </si>
  <si>
    <t>Areia asfalto a quente com asfalto polímero - faixa A - areia comercial</t>
  </si>
  <si>
    <t>4011447</t>
  </si>
  <si>
    <t>Areia asfalto a quente com asfalto polímero - faixa A - areia extraída</t>
  </si>
  <si>
    <t>4011450</t>
  </si>
  <si>
    <t>Areia asfalto a quente com asfalto polímero - faixa B - areia comercial</t>
  </si>
  <si>
    <t>4011449</t>
  </si>
  <si>
    <t>Areia asfalto a quente com asfalto polímero - faixa B - areia extraída</t>
  </si>
  <si>
    <t>4011452</t>
  </si>
  <si>
    <t>Areia asfalto a quente com asfalto polímero - faixa C - areia comercial</t>
  </si>
  <si>
    <t>4011451</t>
  </si>
  <si>
    <t>Areia asfalto a quente com asfalto polímero - faixa C - areia extraída</t>
  </si>
  <si>
    <t>4011219</t>
  </si>
  <si>
    <t>Base de solo estabilizado granulometricamente sem mistura com material de jazida - 100% Proctor modificado</t>
  </si>
  <si>
    <t>4011291</t>
  </si>
  <si>
    <t>Base de solo melhorado com 3% de cimento e mistura em usina com material de jazida - 100% Proctor modificado</t>
  </si>
  <si>
    <t>4011287</t>
  </si>
  <si>
    <t>Base de solo melhorado com 3% de cimento e mistura na pista com material de jazida - 100% Proctor modificado</t>
  </si>
  <si>
    <t>4011305</t>
  </si>
  <si>
    <t>Base de solo-cal com 7% de cal e mistura na pista com material de jazida - 100% Proctor intermediário</t>
  </si>
  <si>
    <t>4011221</t>
  </si>
  <si>
    <t>Base estabilizada granulometricamente com mistura de solos na pista com material de jazida - 100% Proctor modificado</t>
  </si>
  <si>
    <t>4011226</t>
  </si>
  <si>
    <t>Base estabilizada granulometricamente com mistura solo areia (70% - 30%) em usina com material de jazida e areia extraída - 100% Proctor modificado</t>
  </si>
  <si>
    <t>4011276</t>
  </si>
  <si>
    <t>Base ou sub-base de brita graduada com brita comercial - 100% Proctor modificado</t>
  </si>
  <si>
    <t>4011275</t>
  </si>
  <si>
    <t>Base ou sub-base de brita graduada com brita produzida - 100% Proctor modificado</t>
  </si>
  <si>
    <t>4011549</t>
  </si>
  <si>
    <t>Base ou sub-base de brita graduada executada com vibroacabadora - brita comercial - 100% Proctor modificado</t>
  </si>
  <si>
    <t>4011548</t>
  </si>
  <si>
    <t>Base ou sub-base de brita graduada executada com vibroacabadora - brita produzida - 100% Proctor modificado</t>
  </si>
  <si>
    <t>4011278</t>
  </si>
  <si>
    <t>Base ou sub-base de brita graduada tratada com cimento com brita comercial - 100% Proctor modificado</t>
  </si>
  <si>
    <t>4011277</t>
  </si>
  <si>
    <t>Base ou sub-base de brita graduada tratada com cimento com brita produzida - 100% Proctor modificado</t>
  </si>
  <si>
    <t>4011561</t>
  </si>
  <si>
    <t>Base ou sub-base de brita graduada tratada com cimento executada com vibroacabadora - brita comercial - 100% Proctor modificado</t>
  </si>
  <si>
    <t>4011560</t>
  </si>
  <si>
    <t>Base ou sub-base de brita graduada tratada com cimento executada com vibroacabadora - brita produzida - 100% Proctor modificado</t>
  </si>
  <si>
    <t>4011282</t>
  </si>
  <si>
    <t>Base ou sub-base de macadame hidráulico com brita comercial - 100% Proctor modificado</t>
  </si>
  <si>
    <t>4011281</t>
  </si>
  <si>
    <t>Base ou sub-base de macadame hidráulico com brita produzida - 100% Proctor modificado</t>
  </si>
  <si>
    <t>4011279</t>
  </si>
  <si>
    <t>Base ou sub-base de macadame seco com brita comercial - 100% Proctor modificado</t>
  </si>
  <si>
    <t>4011280</t>
  </si>
  <si>
    <t>Base ou sub-base de macadame seco com brita produzida - 100% Proctor modificado</t>
  </si>
  <si>
    <t>4011314</t>
  </si>
  <si>
    <t>Base ou sub-base de solo-cimento com 7% de cimento e mistura em usina com material de jazida - 100% Proctor normal</t>
  </si>
  <si>
    <t>4011315</t>
  </si>
  <si>
    <t>Base ou sub-base de solo-cimento com 7% de cimento e mistura na pista com material de jazida - 100% Proctor normal</t>
  </si>
  <si>
    <t>4011316</t>
  </si>
  <si>
    <t>Base ou sub-base estabilizada granulometricamente com mistura solo brita (70% - 30%) com 3% de cimento em usina com material de jazida e brita comercial - 100% Proctor modificado</t>
  </si>
  <si>
    <t>4011317</t>
  </si>
  <si>
    <t>Base ou sub-base estabilizada granulometricamente com mistura solo brita (70% - 30%) com 3% de cimento em usina com material de jazida e brita produzida - 100% Proctor modificado</t>
  </si>
  <si>
    <t>4011318</t>
  </si>
  <si>
    <t>Base ou sub-base estabilizada granulometricamente com mistura solo brita (70% - 30%) em usina com material de jazida e brita comercial - 100% Proctor modificado</t>
  </si>
  <si>
    <t>4011319</t>
  </si>
  <si>
    <t>Base ou sub-base estabilizada granulometricamente com mistura solo brita (70% - 30%) em usina com material de jazida e brita produzida - 100% Proctor modificado</t>
  </si>
  <si>
    <t>4011320</t>
  </si>
  <si>
    <t>Base ou sub-base estabilizada granulometricamente com mistura solo brita (70% - 30%) na pista com material de jazida e brita comercial - 100% Proctor modificado</t>
  </si>
  <si>
    <t>4011321</t>
  </si>
  <si>
    <t>Base ou sub-base estabilizada granulometricamente com mistura solo brita (70% - 30%) na pista com material de jazida e brita produzida - 100% Proctor modificado</t>
  </si>
  <si>
    <t>4011327</t>
  </si>
  <si>
    <t>Base ou sub-base estabilizada granulometricamente com mistura solo escória de aciaria (50%-50%) em usina com material de jazida - 100% Proctor intermediário</t>
  </si>
  <si>
    <t>4011325</t>
  </si>
  <si>
    <t>Base ou sub-base estabilizada granulometricamente com mistura solo escória de aciaria (50%-50%) na pista com material de jazida - 100% Proctor intermediário</t>
  </si>
  <si>
    <t>4011454</t>
  </si>
  <si>
    <t>Concreto asfáltico - faixa A-25 - areia e brita comerciais</t>
  </si>
  <si>
    <t>4011453</t>
  </si>
  <si>
    <t>Concreto asfáltico - faixa A-25 - areia extraída e brita produzida</t>
  </si>
  <si>
    <t>4011455</t>
  </si>
  <si>
    <t>Concreto asfáltico - faixa A-25 - massa comercial</t>
  </si>
  <si>
    <t>4011459</t>
  </si>
  <si>
    <t>Concreto asfáltico - faixa B-19 - areia e brita comerciais</t>
  </si>
  <si>
    <t>4011458</t>
  </si>
  <si>
    <t>Concreto asfáltico - faixa B-19 - areia extraída e brita produzida</t>
  </si>
  <si>
    <t>4011494</t>
  </si>
  <si>
    <t>Concreto asfáltico - faixa B-19 - massa comercial</t>
  </si>
  <si>
    <t>4011463</t>
  </si>
  <si>
    <t>Concreto asfáltico - faixa C-12,5 - areia e brita comerciais</t>
  </si>
  <si>
    <t>4011462</t>
  </si>
  <si>
    <t>Concreto asfáltico - faixa C-12,5 - areia extraída e brita produzida</t>
  </si>
  <si>
    <t>4011464</t>
  </si>
  <si>
    <t>Concreto asfáltico - faixa C-12,5 - massa comercial</t>
  </si>
  <si>
    <t>4011495</t>
  </si>
  <si>
    <t>Concreto asfáltico - faixa D-9,5 - areia e brita comerciais</t>
  </si>
  <si>
    <t>4011496</t>
  </si>
  <si>
    <t>Concreto asfáltico - faixa D-9,5 - areia extraída e brita produzida</t>
  </si>
  <si>
    <t>4011497</t>
  </si>
  <si>
    <t>Concreto asfáltico - faixa D-9,5 - massa comercial</t>
  </si>
  <si>
    <t>4011457</t>
  </si>
  <si>
    <t>Concreto asfáltico com asfalto polímero - faixa A - areia e brita comerciais</t>
  </si>
  <si>
    <t>4011456</t>
  </si>
  <si>
    <t>Concreto asfáltico com asfalto polímero - faixa A - areia extraída e brita produzida</t>
  </si>
  <si>
    <t>4011461</t>
  </si>
  <si>
    <t>Concreto asfáltico com asfalto polímero - faixa B - areia e brita comerciais</t>
  </si>
  <si>
    <t>4011460</t>
  </si>
  <si>
    <t>Concreto asfáltico com asfalto polímero - faixa B - areia extraída e brita produzida</t>
  </si>
  <si>
    <t>4011466</t>
  </si>
  <si>
    <t>Concreto asfáltico com asfalto polímero - faixa C - areia e brita comerciais</t>
  </si>
  <si>
    <t>4011465</t>
  </si>
  <si>
    <t>Concreto asfáltico com asfalto polímero - faixa C - areia extraída e brita produzida</t>
  </si>
  <si>
    <t>4011469</t>
  </si>
  <si>
    <t>Concreto asfáltico com borracha - faixa A - brita comercial</t>
  </si>
  <si>
    <t>4011473</t>
  </si>
  <si>
    <t>Concreto asfáltico com borracha - faixa A - brita produzida</t>
  </si>
  <si>
    <t>4011470</t>
  </si>
  <si>
    <t>Concreto asfáltico com borracha - faixa B - brita comercial</t>
  </si>
  <si>
    <t>4011474</t>
  </si>
  <si>
    <t>Concreto asfáltico com borracha - faixa B - brita produzida</t>
  </si>
  <si>
    <t>4011471</t>
  </si>
  <si>
    <t>Concreto asfáltico com borracha - faixa C - brita comercial</t>
  </si>
  <si>
    <t>4011475</t>
  </si>
  <si>
    <t>Concreto asfáltico com borracha - faixa C - brita produzida</t>
  </si>
  <si>
    <t>4011472</t>
  </si>
  <si>
    <t>Concreto asfáltico com borracha - faixa GAP GRADED - brita comercial</t>
  </si>
  <si>
    <t>4011476</t>
  </si>
  <si>
    <t>Concreto asfáltico com borracha - faixa GAP GRADED - brita produzida</t>
  </si>
  <si>
    <t>4011478</t>
  </si>
  <si>
    <t>Concreto asfáltico reciclado em usina com adição de asfalto - brita comercial</t>
  </si>
  <si>
    <t>4011477</t>
  </si>
  <si>
    <t>Concreto asfáltico reciclado em usina com adição de asfalto - brita produzida</t>
  </si>
  <si>
    <t>4011539</t>
  </si>
  <si>
    <t>Cura com pintura asfáltica para camadas granulares com adição de cimento</t>
  </si>
  <si>
    <t>4011538</t>
  </si>
  <si>
    <t>Cura com pintura asfáltica para pavimento de concreto compactado com rolo</t>
  </si>
  <si>
    <t>4011236</t>
  </si>
  <si>
    <t>Cura química para pavimento de concreto executado com equipamento de pequeno porte</t>
  </si>
  <si>
    <t>4011237</t>
  </si>
  <si>
    <t>Cura química para pavimento de concreto executado com equipamento fôrma-trilho</t>
  </si>
  <si>
    <t>4011243</t>
  </si>
  <si>
    <t>Cura úmida de pavimento de concreto - geotêxtil não-tecido agulhado com utilização de 1 vez - 2 ciclos de molhagem por dia, durante 7 dias</t>
  </si>
  <si>
    <t>4016096</t>
  </si>
  <si>
    <t>Escavação e carga de material de jazida com escavadeira hidráulica de 1,56 m³</t>
  </si>
  <si>
    <t>4016008</t>
  </si>
  <si>
    <t>Escavação e carga de material de jazida com trator de 127 kW e carregadeira de 3,4 m³</t>
  </si>
  <si>
    <t>4016007</t>
  </si>
  <si>
    <t>Escavação e carga de material de jazida com trator de 97 kW e carregadeira de 1,72 m³</t>
  </si>
  <si>
    <t>4015612</t>
  </si>
  <si>
    <t>Execução de revestimento primário com material de jazida - 100% Proctor intermediário</t>
  </si>
  <si>
    <t>4011562</t>
  </si>
  <si>
    <t>Geogrelha bidirecional com resistência à tração de 30 kN/m - deformação &lt; 5% - malha de 36 x 34 mm - para reforço de base granular</t>
  </si>
  <si>
    <t>4011241</t>
  </si>
  <si>
    <t>Geotêxtil não-tecido agulhado para cura úmida com utilização de 1 vez - fornecimento, instalação e retirada</t>
  </si>
  <si>
    <t>4011351</t>
  </si>
  <si>
    <t>Imprimação com asfalto diluído</t>
  </si>
  <si>
    <t>4011352</t>
  </si>
  <si>
    <t>Imprimação com emulsão asfáltica</t>
  </si>
  <si>
    <t>4011402</t>
  </si>
  <si>
    <t>Lama asfáltica - faixa I - areia e brita comerciais</t>
  </si>
  <si>
    <t>4011401</t>
  </si>
  <si>
    <t>Lama asfáltica - faixa I - areia extraída e brita produzida</t>
  </si>
  <si>
    <t>4011404</t>
  </si>
  <si>
    <t>Lama asfáltica - faixa II - areia e brita comerciais</t>
  </si>
  <si>
    <t>4011403</t>
  </si>
  <si>
    <t>Lama asfáltica - faixa II - areia extraída e brita produzida</t>
  </si>
  <si>
    <t>4011406</t>
  </si>
  <si>
    <t>Lama asfáltica - faixa III - areia e brita comerciais</t>
  </si>
  <si>
    <t>4011405</t>
  </si>
  <si>
    <t>Lama asfáltica - faixa III - areia extraída e brita produzida</t>
  </si>
  <si>
    <t>4011392</t>
  </si>
  <si>
    <t>Macadame betuminoso por penetração - faixa A - brita comercial</t>
  </si>
  <si>
    <t>4011391</t>
  </si>
  <si>
    <t>Macadame betuminoso por penetração - faixa A - brita produzida</t>
  </si>
  <si>
    <t>4011394</t>
  </si>
  <si>
    <t>Macadame betuminoso por penetração - faixa B - brita comercial</t>
  </si>
  <si>
    <t>4011393</t>
  </si>
  <si>
    <t>Macadame betuminoso por penetração - faixa B - brita produzida</t>
  </si>
  <si>
    <t>4011396</t>
  </si>
  <si>
    <t>Macadame betuminoso por penetração - faixa C - brita comercial</t>
  </si>
  <si>
    <t>4011395</t>
  </si>
  <si>
    <t>Macadame betuminoso por penetração - faixa C - brita produzida</t>
  </si>
  <si>
    <t>4011398</t>
  </si>
  <si>
    <t>Macadame betuminoso por penetração - faixa D - brita comercial</t>
  </si>
  <si>
    <t>4011397</t>
  </si>
  <si>
    <t>Macadame betuminoso por penetração - faixa D - brita produzida</t>
  </si>
  <si>
    <t>4011400</t>
  </si>
  <si>
    <t>Macadame betuminoso por penetração com asfalto com polímero - faixa A - brita comercial</t>
  </si>
  <si>
    <t>4011399</t>
  </si>
  <si>
    <t>Macadame betuminoso por penetração com asfalto com polímero - faixa A - brita produzida</t>
  </si>
  <si>
    <t>4011490</t>
  </si>
  <si>
    <t>Manta sintética para recapeamento asfáltico com geotêxtil RT - 09 - fornecimento e aplicação</t>
  </si>
  <si>
    <t>4011536</t>
  </si>
  <si>
    <t>Membrana plástica isolante e impermeabilizante com espessura de 0,2 mm - fornecimento e instalação</t>
  </si>
  <si>
    <t>4011415</t>
  </si>
  <si>
    <t>Micro pré-misturado a quente com asfalto polímero - brita comercial</t>
  </si>
  <si>
    <t>4011416</t>
  </si>
  <si>
    <t>Micro pré-misturado a quente com asfalto polímero - brita produzida</t>
  </si>
  <si>
    <t>4011408</t>
  </si>
  <si>
    <t>Microrrevestimento a frio com emulsão modificada com polímero de 0,8 cm - faixa II - brita comercial</t>
  </si>
  <si>
    <t>4011407</t>
  </si>
  <si>
    <t>Microrrevestimento a frio com emulsão modificada com polímero de 0,8 cm - faixa II - brita produzida</t>
  </si>
  <si>
    <t>4011410</t>
  </si>
  <si>
    <t>Microrrevestimento a frio com emulsão modificada com polímero de 1,5 cm - faixa III - brita comercial</t>
  </si>
  <si>
    <t>4011409</t>
  </si>
  <si>
    <t>Microrrevestimento a frio com emulsão modificada com polímero de 1,5 cm - faixa III - brita produzida</t>
  </si>
  <si>
    <t>4011412</t>
  </si>
  <si>
    <t>Microrrevestimento a frio com emulsão modificada com polímero de 2,0 cm - faixa III - brita comercial</t>
  </si>
  <si>
    <t>4011411</t>
  </si>
  <si>
    <t>Microrrevestimento a frio com emulsão modificada com polímero de 2,0 cm - faixa III - brita produzida</t>
  </si>
  <si>
    <t>4011520</t>
  </si>
  <si>
    <t>Pavimento de concreto com equipamento de pequeno porte - areia e brita comerciais</t>
  </si>
  <si>
    <t>4011507</t>
  </si>
  <si>
    <t>Pavimento de concreto com equipamento de pequeno porte - areia extraída e brita produzida</t>
  </si>
  <si>
    <t>4011535</t>
  </si>
  <si>
    <t>Pavimento de concreto com equipamento fôrma-trilho - areia e brita comerciais</t>
  </si>
  <si>
    <t>4011534</t>
  </si>
  <si>
    <t>Pavimento de concreto com equipamento fôrma-trilho - areia extraída e brita produzida</t>
  </si>
  <si>
    <t>4011533</t>
  </si>
  <si>
    <t>Pavimento de concreto com fôrmas deslizantes - areia e brita comerciais</t>
  </si>
  <si>
    <t>4011532</t>
  </si>
  <si>
    <t>Pavimento de concreto com fôrmas deslizantes - areia extraída e brita produzida</t>
  </si>
  <si>
    <t>4011492</t>
  </si>
  <si>
    <t>Pavimento de concreto compactado com rolo - brita comercial</t>
  </si>
  <si>
    <t>4011491</t>
  </si>
  <si>
    <t>Pavimento de concreto compactado com rolo - brita produzida</t>
  </si>
  <si>
    <t>4011353</t>
  </si>
  <si>
    <t>Pintura de ligação</t>
  </si>
  <si>
    <t>4011354</t>
  </si>
  <si>
    <t>Pintura de ligação - emulsão com polímero</t>
  </si>
  <si>
    <t>4011418</t>
  </si>
  <si>
    <t>Pré-misturado a frio - faixa A - areia e brita comerciais</t>
  </si>
  <si>
    <t>4011417</t>
  </si>
  <si>
    <t>Pré-misturado a frio - faixa A - areia extraída e brita produzida</t>
  </si>
  <si>
    <t>4011420</t>
  </si>
  <si>
    <t>Pré-misturado a frio - faixa B - areia e brita comerciais</t>
  </si>
  <si>
    <t>4011419</t>
  </si>
  <si>
    <t>Pré-misturado a frio - faixa B - areia extraída e brita produzida</t>
  </si>
  <si>
    <t>4011422</t>
  </si>
  <si>
    <t>Pré-misturado a frio - faixa C - areia e brita comerciais</t>
  </si>
  <si>
    <t>4011421</t>
  </si>
  <si>
    <t>Pré-misturado a frio - faixa C - areia extraída e brita produzida</t>
  </si>
  <si>
    <t>4011424</t>
  </si>
  <si>
    <t>Pré-misturado a frio - faixa D - areia e brita comerciais</t>
  </si>
  <si>
    <t>4011423</t>
  </si>
  <si>
    <t>Pré-misturado a frio - faixa D - areia extraída e brita produzida</t>
  </si>
  <si>
    <t>4011426</t>
  </si>
  <si>
    <t>Pré-misturado a frio com emulsão asfáltica com polímero - faixa A - areia e brita comerciais</t>
  </si>
  <si>
    <t>4011425</t>
  </si>
  <si>
    <t>Pré-misturado a frio com emulsão asfáltica com polímero - faixa A - areia extraída e brita produzida</t>
  </si>
  <si>
    <t>4011428</t>
  </si>
  <si>
    <t>Pré-misturado a frio com emulsão asfáltica com polímero - faixa B - areia e brita comerciais</t>
  </si>
  <si>
    <t>4011427</t>
  </si>
  <si>
    <t>Pré-misturado a frio com emulsão asfáltica com polímero - faixa B - areia extraída e brita produzida</t>
  </si>
  <si>
    <t>4011430</t>
  </si>
  <si>
    <t>Pré-misturado a frio com emulsão asfáltica com polímero - faixa C - areia e brita comerciais</t>
  </si>
  <si>
    <t>4011429</t>
  </si>
  <si>
    <t>Pré-misturado a frio com emulsão asfáltica com polímero - faixa C - areia extraída e brita produzida</t>
  </si>
  <si>
    <t>4011432</t>
  </si>
  <si>
    <t>Pré-misturado a frio com emulsão asfáltica com polímero - faixa D - areia e brita comerciais</t>
  </si>
  <si>
    <t>4011431</t>
  </si>
  <si>
    <t>Pré-misturado a frio com emulsão asfáltica com polímero - faixa D - areia extraída e brita produzida</t>
  </si>
  <si>
    <t>4011434</t>
  </si>
  <si>
    <t>Pré-misturado a quente com asfalto polímero - faixa I - camada porosa de atrito - areia e brita comerciais</t>
  </si>
  <si>
    <t>4011433</t>
  </si>
  <si>
    <t>Pré-misturado a quente com asfalto polímero - faixa I - camada porosa de atrito - areia extraída e brita produzida</t>
  </si>
  <si>
    <t>4011436</t>
  </si>
  <si>
    <t>Pré-misturado a quente com asfalto polímero - faixa II - camada porosa de atrito - areia e brita comerciais</t>
  </si>
  <si>
    <t>4011435</t>
  </si>
  <si>
    <t>Pré-misturado a quente com asfalto polímero - faixa II - camada porosa de atrito - areia extraída e brita produzida</t>
  </si>
  <si>
    <t>4011438</t>
  </si>
  <si>
    <t>Pré-misturado a quente com asfalto polímero - faixa III - camada porosa de atrito - areia e brita comerciais</t>
  </si>
  <si>
    <t>4011437</t>
  </si>
  <si>
    <t>Pré-misturado a quente com asfalto polímero - faixa III - camada porosa de atrito - areia extraída e brita produzida</t>
  </si>
  <si>
    <t>4011440</t>
  </si>
  <si>
    <t>Pré-misturado a quente com asfalto polímero - faixa IV - camada porosa de atrito - areia e brita comerciais</t>
  </si>
  <si>
    <t>4011439</t>
  </si>
  <si>
    <t>Pré-misturado a quente com asfalto polímero - faixa IV - camada porosa de atrito - areia extraída e brita produzida</t>
  </si>
  <si>
    <t>4011442</t>
  </si>
  <si>
    <t>Pré-misturado a quente com asfalto polímero - faixa V - camada porosa de atrito - areia e brita comerciais</t>
  </si>
  <si>
    <t>4011441</t>
  </si>
  <si>
    <t>Pré-misturado a quente com asfalto polímero - faixa V - camada porosa de atrito - areia extraída e brita produzida</t>
  </si>
  <si>
    <t>4011482</t>
  </si>
  <si>
    <t>Reciclagem com incorporação do revestimento asfáltico à base e adição de 3% de cimento - 100% Proctor modificado</t>
  </si>
  <si>
    <t>4011486</t>
  </si>
  <si>
    <t>Reciclagem com incorporação do revestimento asfáltico à base e adição de 3% de cimento e de brita comercial - 100% Proctor modificado</t>
  </si>
  <si>
    <t>4011485</t>
  </si>
  <si>
    <t>Reciclagem com incorporação do revestimento asfáltico à base e adição de 3% de cimento e de brita produzida - 100% Proctor modificado</t>
  </si>
  <si>
    <t>4011484</t>
  </si>
  <si>
    <t>Reciclagem com incorporação do revestimento asfáltico à base e adição de brita comercial - 100% Proctor modificado</t>
  </si>
  <si>
    <t>4011483</t>
  </si>
  <si>
    <t>Reciclagem com incorporação do revestimento asfáltico à base e adição de brita produzida - 100% Proctor modificado</t>
  </si>
  <si>
    <t>4011488</t>
  </si>
  <si>
    <t>Reciclagem com incorporação do revestimento asfáltico à base e adição de espuma asfáltica e cimento - 100% Proctor modificado</t>
  </si>
  <si>
    <t>4011487</t>
  </si>
  <si>
    <t>Reciclagem com incorporação do revestimento asfáltico à base e adição de espuma asfáltica, cimento e pó de pedra comercial - 100% Proctor modificado</t>
  </si>
  <si>
    <t>4011489</t>
  </si>
  <si>
    <t>Reciclagem de revestimento asfáltico em usina com adição de espuma asfáltica, pó de pedra comercial e cimento - 100% Proctor modificado</t>
  </si>
  <si>
    <t>4011493</t>
  </si>
  <si>
    <t>Reciclagem de revestimento asfáltico em usina com adição de espuma asfáltica, pó de pedra produzido e cimento - 100% Proctor modificado</t>
  </si>
  <si>
    <t>4011481</t>
  </si>
  <si>
    <t>Reciclagem simples com incorporação do revestimento asfáltico à base - 100% Proctor modificado</t>
  </si>
  <si>
    <t>4011347</t>
  </si>
  <si>
    <t>Reestabilização de camada de base com adição de 3% de cimento - 100% Proctor modificado</t>
  </si>
  <si>
    <t>4011342</t>
  </si>
  <si>
    <t>Reestabilização de camada de base com adição de 30% de brita comercial - 100% Proctor modificado</t>
  </si>
  <si>
    <t>4011344</t>
  </si>
  <si>
    <t>Reestabilização de camada de base com adição de 30% de brita produzida - 100% Proctor modificado</t>
  </si>
  <si>
    <t>4011341</t>
  </si>
  <si>
    <t>Reestabilização de camada de base com adição de 30% de material fresado retirado da pista - 100% Proctor modificado</t>
  </si>
  <si>
    <t>4011346</t>
  </si>
  <si>
    <t>Reestabilização de camada de base sem adição de material - 100% Proctor modificado</t>
  </si>
  <si>
    <t>4011211</t>
  </si>
  <si>
    <t>Reforço do subleito com material de jazida - 100% Proctor intermediário</t>
  </si>
  <si>
    <t>4011304</t>
  </si>
  <si>
    <t>Reforço do subleito de solo melhorado com 4% de cal e mistura na pista com material de jazida - 100% Proctor intermediário</t>
  </si>
  <si>
    <t>4011209</t>
  </si>
  <si>
    <t>Regularização do subleito - 100% Proctor intermediário</t>
  </si>
  <si>
    <t>4011210</t>
  </si>
  <si>
    <t>Regularização do subleito com fresagem corte e controle automático de greide - 100% Proctor intermediário</t>
  </si>
  <si>
    <t>4011537</t>
  </si>
  <si>
    <t>Serragem de juntas em pavimento de concreto, limpeza e enchimento com selante a frio</t>
  </si>
  <si>
    <t>4011218</t>
  </si>
  <si>
    <t>Sub-base de concreto adensado por vibração - areia e brita comerciais</t>
  </si>
  <si>
    <t>4011217</t>
  </si>
  <si>
    <t>Sub-base de concreto adensado por vibração - areia extraída e brita produzida</t>
  </si>
  <si>
    <t>4011214</t>
  </si>
  <si>
    <t>Sub-base de concreto compactado com rolo - brita comercial</t>
  </si>
  <si>
    <t>4011213</t>
  </si>
  <si>
    <t>Sub-base de concreto compactado com rolo - brita produzida</t>
  </si>
  <si>
    <t>4011227</t>
  </si>
  <si>
    <t>Sub-base de solo estabilizado granulometricamente sem mistura com material de jazida - 100% Proctor intermediário</t>
  </si>
  <si>
    <t>4011302</t>
  </si>
  <si>
    <t>Sub-base de solo melhorado com 3% de cimento e mistura em usina com material de jazida - 100% Proctor intermediário</t>
  </si>
  <si>
    <t>4011300</t>
  </si>
  <si>
    <t>Sub-base de solo melhorado com 3% de cimento e mistura na pista com material de jazida - 100% Proctor intermediário</t>
  </si>
  <si>
    <t>4011306</t>
  </si>
  <si>
    <t>Sub-base de solo-cal com 7% de cal e mistura na pista com material de jazida - 100% Proctor normal</t>
  </si>
  <si>
    <t>4011228</t>
  </si>
  <si>
    <t>Sub-base estabilizada granulometricamente com mistura de solos na pista com material de jazida - 100% Proctor intermediário</t>
  </si>
  <si>
    <t>4011229</t>
  </si>
  <si>
    <t>Sub-base estabilizada granulometricamente com mistura solo areia (70% - 30%) em usina com material de jazida e areia extraída - 100% Proctor intermediário</t>
  </si>
  <si>
    <t>4011372</t>
  </si>
  <si>
    <t>Tratamento superficial duplo com banho diluído - brita comercial</t>
  </si>
  <si>
    <t>4011371</t>
  </si>
  <si>
    <t>Tratamento superficial duplo com banho diluído - brita produzida</t>
  </si>
  <si>
    <t>4011378</t>
  </si>
  <si>
    <t>Tratamento superficial duplo com banho diluído com emulsão com polímero - brita comercial</t>
  </si>
  <si>
    <t>4011377</t>
  </si>
  <si>
    <t>Tratamento superficial duplo com banho diluído com emulsão com polímero - brita produzida</t>
  </si>
  <si>
    <t>4011368</t>
  </si>
  <si>
    <t>Tratamento superficial duplo com CAP - brita comercial</t>
  </si>
  <si>
    <t>4011367</t>
  </si>
  <si>
    <t>Tratamento superficial duplo com CAP - brita produzida</t>
  </si>
  <si>
    <t>4011374</t>
  </si>
  <si>
    <t>Tratamento superficial duplo com CAP com polímero - brita comercial</t>
  </si>
  <si>
    <t>4011373</t>
  </si>
  <si>
    <t>Tratamento superficial duplo com CAP com polímero - brita produzida</t>
  </si>
  <si>
    <t>4011370</t>
  </si>
  <si>
    <t>Tratamento superficial duplo com emulsão - brita comercial</t>
  </si>
  <si>
    <t>4011369</t>
  </si>
  <si>
    <t>Tratamento superficial duplo com emulsão - brita produzida</t>
  </si>
  <si>
    <t>4011376</t>
  </si>
  <si>
    <t>Tratamento superficial duplo com emulsão com polímero - brita comercial</t>
  </si>
  <si>
    <t>4011375</t>
  </si>
  <si>
    <t>Tratamento superficial duplo com emulsão com polímero - brita produzida</t>
  </si>
  <si>
    <t>4011360</t>
  </si>
  <si>
    <t>Tratamento superficial simples com banho diluído - brita comercial</t>
  </si>
  <si>
    <t>4011359</t>
  </si>
  <si>
    <t>Tratamento superficial simples com banho diluído - brita produzida</t>
  </si>
  <si>
    <t>4011366</t>
  </si>
  <si>
    <t>Tratamento superficial simples com banho diluído com emulsão com polímero - brita comercial</t>
  </si>
  <si>
    <t>4011365</t>
  </si>
  <si>
    <t>Tratamento superficial simples com banho diluído com emulsão com polímero - brita produzida</t>
  </si>
  <si>
    <t>4011356</t>
  </si>
  <si>
    <t>Tratamento superficial simples com CAP - brita comercial</t>
  </si>
  <si>
    <t>4011355</t>
  </si>
  <si>
    <t>Tratamento superficial simples com CAP - brita produzida</t>
  </si>
  <si>
    <t>4011362</t>
  </si>
  <si>
    <t>Tratamento superficial simples com CAP com polímero - brita comercial</t>
  </si>
  <si>
    <t>4011361</t>
  </si>
  <si>
    <t>Tratamento superficial simples com CAP com polímero - brita produzida</t>
  </si>
  <si>
    <t>4011358</t>
  </si>
  <si>
    <t>Tratamento superficial simples com emulsão - brita comercial</t>
  </si>
  <si>
    <t>4011357</t>
  </si>
  <si>
    <t>Tratamento superficial simples com emulsão - brita produzida</t>
  </si>
  <si>
    <t>4011364</t>
  </si>
  <si>
    <t>Tratamento superficial simples com emulsão com polímero - brita comercial</t>
  </si>
  <si>
    <t>4011363</t>
  </si>
  <si>
    <t>Tratamento superficial simples com emulsão com polímero - brita produzida</t>
  </si>
  <si>
    <t>4011384</t>
  </si>
  <si>
    <t>Tratamento superficial triplo com banho diluído - brita comercial</t>
  </si>
  <si>
    <t>4011383</t>
  </si>
  <si>
    <t>Tratamento superficial triplo com banho diluído - brita produzida</t>
  </si>
  <si>
    <t>4011390</t>
  </si>
  <si>
    <t>Tratamento superficial triplo com banho diluído - emulsão com polímero - brita comercial</t>
  </si>
  <si>
    <t>4011389</t>
  </si>
  <si>
    <t>Tratamento superficial triplo com banho diluído - emulsão com polímero - brita produzida</t>
  </si>
  <si>
    <t>4011380</t>
  </si>
  <si>
    <t>Tratamento superficial triplo com CAP - brita comercial</t>
  </si>
  <si>
    <t>4011379</t>
  </si>
  <si>
    <t>Tratamento superficial triplo com CAP - brita produzida</t>
  </si>
  <si>
    <t>4011386</t>
  </si>
  <si>
    <t>Tratamento superficial triplo com CAP com polímero - brita comercial</t>
  </si>
  <si>
    <t>4011385</t>
  </si>
  <si>
    <t>Tratamento superficial triplo com CAP com polímero - brita produzida</t>
  </si>
  <si>
    <t>4011382</t>
  </si>
  <si>
    <t>Tratamento superficial triplo com emulsão - brita comercial</t>
  </si>
  <si>
    <t>4011381</t>
  </si>
  <si>
    <t>Tratamento superficial triplo com emulsão - brita produzida</t>
  </si>
  <si>
    <t>4011388</t>
  </si>
  <si>
    <t>Tratamento superficial triplo com emulsão com polímero - brita comercial</t>
  </si>
  <si>
    <t>4011387</t>
  </si>
  <si>
    <t>Tratamento superficial triplo com emulsão com polímero - brita produzida</t>
  </si>
  <si>
    <t>4011242</t>
  </si>
  <si>
    <t>Umedecimento de material geotêxtil para cura úmida de pavimento de concreto - 1 ciclo de molhagem</t>
  </si>
  <si>
    <t>4011212</t>
  </si>
  <si>
    <t>Varredura da superfície para execução de revestimento asfáltico</t>
  </si>
  <si>
    <t>4208197</t>
  </si>
  <si>
    <t>Ancoragem fixa para estais de 12 cordoalhas D = 15,7 mm - inclusive injeção de cera</t>
  </si>
  <si>
    <t>4208158</t>
  </si>
  <si>
    <t>Ancoragem fixa para estais de 19 cordoalhas D = 15,7 mm - inclusive injeção de cera</t>
  </si>
  <si>
    <t>4208198</t>
  </si>
  <si>
    <t>Ancoragem fixa para estais de 22 cordoalhas D = 15,7 mm - inclusive injeção de cera</t>
  </si>
  <si>
    <t>4208159</t>
  </si>
  <si>
    <t>Ancoragem fixa para estais de 31 cordoalhas D = 15,7 mm - inclusive injeção de cera</t>
  </si>
  <si>
    <t>4208160</t>
  </si>
  <si>
    <t>Ancoragem fixa para estais de 37 cordoalhas D = 15,7 mm - inclusive injeção de cera</t>
  </si>
  <si>
    <t>4208199</t>
  </si>
  <si>
    <t>Ancoragem fixa para estais de 43 cordoalhas D = 15,7 mm - inclusive injeção de cera</t>
  </si>
  <si>
    <t>4208161</t>
  </si>
  <si>
    <t>Ancoragem fixa para estais de 55 cordoalhas D = 15,7 mm - inclusive injeção de cera</t>
  </si>
  <si>
    <t>4208162</t>
  </si>
  <si>
    <t>Ancoragem fixa para estais de 61 cordoalhas D = 15,7 mm - inclusive injeção de cera</t>
  </si>
  <si>
    <t>4208163</t>
  </si>
  <si>
    <t>Ancoragem fixa para estais de 73 cordoalhas D = 15,7 mm - inclusive injeção de cera</t>
  </si>
  <si>
    <t>4208200</t>
  </si>
  <si>
    <t>Ancoragem fixa para estais de 85 cordoalhas D = 15,7 mm - inclusive injeção de cera</t>
  </si>
  <si>
    <t>4208164</t>
  </si>
  <si>
    <t>Ancoragem fixa para estais de 91 cordoalhas D = 15,7 mm - inclusive injeção de cera</t>
  </si>
  <si>
    <t>4208201</t>
  </si>
  <si>
    <t>Ancoragem regulável para estais de 12 cordoalhas D = 15,7 mm - inclusive protensão, injeção de cera e regulagem final</t>
  </si>
  <si>
    <t>4208151</t>
  </si>
  <si>
    <t>Ancoragem regulável para estais de 19 cordoalhas D = 15,7 mm - inclusive protensão, injeção de cera e regulagem final</t>
  </si>
  <si>
    <t>4208202</t>
  </si>
  <si>
    <t>Ancoragem regulável para estais de 22 cordoalhas D = 15,7 mm - inclusive protensão, injeção de cera e regulagem final</t>
  </si>
  <si>
    <t>4208152</t>
  </si>
  <si>
    <t>Ancoragem regulável para estais de 31 cordoalhas D = 15,7 mm - inclusive protensão, injeção de cera e regulagem final</t>
  </si>
  <si>
    <t>4208153</t>
  </si>
  <si>
    <t>Ancoragem regulável para estais de 37 cordoalhas D = 15,7 mm - inclusive protensão, injeção de cera e regulagem final</t>
  </si>
  <si>
    <t>4208203</t>
  </si>
  <si>
    <t>Ancoragem regulável para estais de 43 cordoalhas D = 15,7 mm - inclusive protensão, injeção de cera e regulagem final</t>
  </si>
  <si>
    <t>4208154</t>
  </si>
  <si>
    <t>Ancoragem regulável para estais de 55 cordoalhas D = 15,7 mm - inclusive protensão, injeção de cera e regulagem final</t>
  </si>
  <si>
    <t>4208155</t>
  </si>
  <si>
    <t>Ancoragem regulável para estais de 61 cordoalhas D = 15,7 mm - inclusive protensão, injeção de cera e regulagem final</t>
  </si>
  <si>
    <t>4208156</t>
  </si>
  <si>
    <t>Ancoragem regulável para estais de 73 cordoalhas D = 15,7 mm - inclusive protensão, injeção de cera e regulagem final</t>
  </si>
  <si>
    <t>4208204</t>
  </si>
  <si>
    <t>Ancoragem regulável para estais de 85 cordoalhas D = 15,7 mm - inclusive protensão, injeção de cera e regulagem final</t>
  </si>
  <si>
    <t>4208157</t>
  </si>
  <si>
    <t>Ancoragem regulável para estais de 91 cordoalhas D = 15,7 mm - inclusive protensão, injeção de cera e regulagem final</t>
  </si>
  <si>
    <t>4208127</t>
  </si>
  <si>
    <t>Cordoalha para estais CP 177 RB D = 15,7 mm - fornecimento, preparo e colocação</t>
  </si>
  <si>
    <t>4208196</t>
  </si>
  <si>
    <t>Elevador de cremalheira - ascensão e ancoragem da torre a partir de 16 m com cada elevação de até 9 m - utilização de 50 vezes - inclusive desmontagem</t>
  </si>
  <si>
    <t>4208209</t>
  </si>
  <si>
    <t>Elevador de cremalheira - montagem e desmontagem até a altura de 16 m - exceto fundações</t>
  </si>
  <si>
    <t>4208206</t>
  </si>
  <si>
    <t>Elevador de cremalheira com cabine simples, com capacidade de 1.500 kg e altura de até 100 m - operação</t>
  </si>
  <si>
    <t>4208210</t>
  </si>
  <si>
    <t>Grua fixa - montagem e desmontagem até a altura de 60 m - exceto fundações</t>
  </si>
  <si>
    <t>4208195</t>
  </si>
  <si>
    <t>Grua fixa - telescopagem e ancoragem da torre a partir de 60 m com cada elevação de até 18 m - inclusive desmontagem</t>
  </si>
  <si>
    <t>4208208</t>
  </si>
  <si>
    <t>Grua fixa com altura de 60 a 102 m, com alcance de 60 m e capacidade de 1.500 kg na ponta da lança - operação</t>
  </si>
  <si>
    <t>4208135</t>
  </si>
  <si>
    <t>Tubo antivandalismo em aço galvanizado para estais de 12 cordoalhas D = 15,7 mm - fornecimento e instalação</t>
  </si>
  <si>
    <t>4208136</t>
  </si>
  <si>
    <t>Tubo antivandalismo em aço galvanizado para estais de 19 cordoalhas D = 15,7 mm - fornecimento e instalação</t>
  </si>
  <si>
    <t>4208137</t>
  </si>
  <si>
    <t>Tubo antivandalismo em aço galvanizado para estais de 22 cordoalhas D = 15,7 mm - fornecimento e instalação</t>
  </si>
  <si>
    <t>4208138</t>
  </si>
  <si>
    <t>Tubo antivandalismo em aço galvanizado para estais de 31 cordoalhas D = 15,7 mm - fornecimento e instalação</t>
  </si>
  <si>
    <t>4208139</t>
  </si>
  <si>
    <t>Tubo antivandalismo em aço galvanizado para estais de 37 cordoalhas D = 15,7 mm - fornecimento e instalação</t>
  </si>
  <si>
    <t>4208140</t>
  </si>
  <si>
    <t>Tubo antivandalismo em aço galvanizado para estais de 43 cordoalhas D = 15,7 mm - fornecimento e instalação</t>
  </si>
  <si>
    <t>4208141</t>
  </si>
  <si>
    <t>Tubo antivandalismo em aço galvanizado para estais de 55 cordoalhas D = 15,7 mm - fornecimento e instalação</t>
  </si>
  <si>
    <t>4208212</t>
  </si>
  <si>
    <t>Tubo antivandalismo em aço galvanizado para estais de 61 cordoalhas D = 15,7 mm - fornecimento e instalação</t>
  </si>
  <si>
    <t>4208213</t>
  </si>
  <si>
    <t>Tubo antivandalismo em aço galvanizado para estais de 73 cordoalhas D = 15,7 mm - fornecimento e instalação</t>
  </si>
  <si>
    <t>4208214</t>
  </si>
  <si>
    <t>Tubo antivandalismo em aço galvanizado para estais de 85 cordoalhas D = 15,7 mm - fornecimento e instalação</t>
  </si>
  <si>
    <t>4208215</t>
  </si>
  <si>
    <t>Tubo antivandalismo em aço galvanizado para estais de 91 cordoalhas D = 15,7 mm - fornecimento e instalação</t>
  </si>
  <si>
    <t>4208216</t>
  </si>
  <si>
    <t>Tubo fôrma lado fixo em aço galvanizado para estais de 12 cordoalhas D = 15,7 mm - fornecimento e instalação</t>
  </si>
  <si>
    <t>4208217</t>
  </si>
  <si>
    <t>Tubo fôrma lado fixo em aço galvanizado para estais de 19 cordoalhas D = 15,7 mm - fornecimento e instalação</t>
  </si>
  <si>
    <t>4208218</t>
  </si>
  <si>
    <t>Tubo fôrma lado fixo em aço galvanizado para estais de 22 cordoalhas D = 15,7 mm - fornecimento e instalação</t>
  </si>
  <si>
    <t>4208219</t>
  </si>
  <si>
    <t>Tubo fôrma lado fixo em aço galvanizado para estais de 31 cordoalhas D = 15,7 mm - fornecimento e instalação</t>
  </si>
  <si>
    <t>4208220</t>
  </si>
  <si>
    <t>Tubo fôrma lado fixo em aço galvanizado para estais de 37 cordoalhas D = 15,7 mm - fornecimento e instalação</t>
  </si>
  <si>
    <t>4208221</t>
  </si>
  <si>
    <t>Tubo fôrma lado fixo em aço galvanizado para estais de 43 cordoalhas D = 15,7 mm - fornecimento e instalação</t>
  </si>
  <si>
    <t>4208222</t>
  </si>
  <si>
    <t>Tubo fôrma lado fixo em aço galvanizado para estais de 55 cordoalhas D = 15,7 mm - fornecimento e instalação</t>
  </si>
  <si>
    <t>4208223</t>
  </si>
  <si>
    <t>Tubo fôrma lado fixo em aço galvanizado para estais de 61 cordoalhas D = 15,7 mm - fornecimento e instalação</t>
  </si>
  <si>
    <t>4208224</t>
  </si>
  <si>
    <t>Tubo fôrma lado fixo em aço galvanizado para estais de 73 cordoalhas D = 15,7 mm - fornecimento e instalação</t>
  </si>
  <si>
    <t>4208225</t>
  </si>
  <si>
    <t>Tubo fôrma lado fixo em aço galvanizado para estais de 85 cordoalhas D = 15,7 mm - fornecimento e instalação</t>
  </si>
  <si>
    <t>4208226</t>
  </si>
  <si>
    <t>Tubo fôrma lado fixo em aço galvanizado para estais de 91 cordoalhas D = 15,7 mm - fornecimento e instalação</t>
  </si>
  <si>
    <t>4208227</t>
  </si>
  <si>
    <t>Tubo fôrma lado regulável em aço galvanizado para estais de 12 cordoalhas D = 15,7 mm - fornecimento e instalação</t>
  </si>
  <si>
    <t>4208228</t>
  </si>
  <si>
    <t>Tubo fôrma lado regulável em aço galvanizado para estais de 19 cordoalhas D = 15,7 mm - fornecimento e instalação</t>
  </si>
  <si>
    <t>4208229</t>
  </si>
  <si>
    <t>Tubo fôrma lado regulável em aço galvanizado para estais de 22 cordoalhas D = 15,7 mm - fornecimento e instalação</t>
  </si>
  <si>
    <t>4208230</t>
  </si>
  <si>
    <t>Tubo fôrma lado regulável em aço galvanizado para estais de 31 cordoalhas D = 15,7 mm - fornecimento e instalação</t>
  </si>
  <si>
    <t>4208231</t>
  </si>
  <si>
    <t>Tubo fôrma lado regulável em aço galvanizado para estais de 37 cordoalhas D = 15,7 mm - fornecimento e instalação</t>
  </si>
  <si>
    <t>4208232</t>
  </si>
  <si>
    <t>Tubo fôrma lado regulável em aço galvanizado para estais de 43 cordoalhas D = 15,7 mm - fornecimento e instalação</t>
  </si>
  <si>
    <t>4208233</t>
  </si>
  <si>
    <t>Tubo fôrma lado regulável em aço galvanizado para estais de 55 cordoalhas D = 15,7 mm - fornecimento e instalação</t>
  </si>
  <si>
    <t>4208234</t>
  </si>
  <si>
    <t>Tubo fôrma lado regulável em aço galvanizado para estais de 61 cordoalhas D = 15,7 mm - fornecimento e instalação</t>
  </si>
  <si>
    <t>4208235</t>
  </si>
  <si>
    <t>Tubo fôrma lado regulável em aço galvanizado para estais de 73 cordoalhas D = 15,7 mm - fornecimento e instalação</t>
  </si>
  <si>
    <t>4208236</t>
  </si>
  <si>
    <t>Tubo fôrma lado regulável em aço galvanizado para estais de 85 cordoalhas D = 15,7 mm - fornecimento e instalação</t>
  </si>
  <si>
    <t>4208237</t>
  </si>
  <si>
    <t>Tubo fôrma lado regulável em aço galvanizado para estais de 91 cordoalhas D = 15,7 mm - fornecimento e instalação</t>
  </si>
  <si>
    <t>4208128</t>
  </si>
  <si>
    <t>Tubo PEAD para estais - D = 110 mm - fornecimento e instalação</t>
  </si>
  <si>
    <t>4208129</t>
  </si>
  <si>
    <t>Tubo PEAD para estais - D = 140 mm - fornecimento e instalação</t>
  </si>
  <si>
    <t>4208130</t>
  </si>
  <si>
    <t>Tubo PEAD para estais - D = 160 mm - fornecimento e instalação</t>
  </si>
  <si>
    <t>4208131</t>
  </si>
  <si>
    <t>Tubo PEAD para estais - D = 180 mm - fornecimento e instalação</t>
  </si>
  <si>
    <t>4208132</t>
  </si>
  <si>
    <t>Tubo PEAD para estais - D = 200 mm - fornecimento e instalação</t>
  </si>
  <si>
    <t>4208133</t>
  </si>
  <si>
    <t>Tubo PEAD para estais - D = 225 mm - fornecimento e instalação</t>
  </si>
  <si>
    <t>4208134</t>
  </si>
  <si>
    <t>Tubo PEAD para estais - D = 250 mm - fornecimento e instalação</t>
  </si>
  <si>
    <t>4208238</t>
  </si>
  <si>
    <t>Tubo PEAD para estais - D = 280 mm - fornecimento e instalação</t>
  </si>
  <si>
    <t>4208239</t>
  </si>
  <si>
    <t>Tubo PEAD para estais - D = 315 mm - fornecimento e instalação</t>
  </si>
  <si>
    <t>4413920</t>
  </si>
  <si>
    <t>Adubação de cobertura por equipamento de hidrossemeadura em áreas de semeadura via seca ou de hidrossemeadura</t>
  </si>
  <si>
    <t>4413024</t>
  </si>
  <si>
    <t>Adubação manual de cobertura em áreas de enleivamento ou de plantio de mudas de gramíneas</t>
  </si>
  <si>
    <t>4413022</t>
  </si>
  <si>
    <t>Adubação manual de cobertura em áreas de semeadura via seca ou de hidrossemeadura</t>
  </si>
  <si>
    <t>4413020</t>
  </si>
  <si>
    <t>Barreira arbórea para tratamento acústico das áreas lindeiras da faixa de domínio – densidade de plantio de 1,0 m entre mudas</t>
  </si>
  <si>
    <t>4413013</t>
  </si>
  <si>
    <t>Cerca de passagem de fauna com tela de alambrado sobre mureta de blocos de concreto - H = 20 cm - mourões de madeira a cada 2,5 m e esticador a cada 50 m</t>
  </si>
  <si>
    <t>4413019</t>
  </si>
  <si>
    <t>Cerca viva para tratamento acústico das áreas lindeiras da faixa de domínio – densidade de plantio de 1,0 m entre mudas</t>
  </si>
  <si>
    <t>4413026</t>
  </si>
  <si>
    <t>Dique de bambu para controle de erosão de taludes</t>
  </si>
  <si>
    <t>4413996</t>
  </si>
  <si>
    <t>Enleivamento</t>
  </si>
  <si>
    <t>4413942</t>
  </si>
  <si>
    <t>Espalhamento de material em bota-fora</t>
  </si>
  <si>
    <t>4413018</t>
  </si>
  <si>
    <t>Fixação de tela eletrossoldada em talude para lançamento de argamassa ou concreto projetado</t>
  </si>
  <si>
    <t>4413905</t>
  </si>
  <si>
    <t>Hidrossemeadura</t>
  </si>
  <si>
    <t>4413987</t>
  </si>
  <si>
    <t>Irrigação de área plantada para proteção vegetal do corpo estradal</t>
  </si>
  <si>
    <t>4413995</t>
  </si>
  <si>
    <t>Obtenção de grama para replantio</t>
  </si>
  <si>
    <t>4413994</t>
  </si>
  <si>
    <t>Passagem aérea de animais com rede de cabos de aço e sisal apoiadas em 6 postes de concreto de 15 m - extensão total de 100 m</t>
  </si>
  <si>
    <t>4413200</t>
  </si>
  <si>
    <t>Plantio de grama comercial em placas</t>
  </si>
  <si>
    <t>4413990</t>
  </si>
  <si>
    <t>Plantio de muda de arbusto com altura até 0,50 m em cova de 0,40 x 0,40 x 0,40 m</t>
  </si>
  <si>
    <t>4413989</t>
  </si>
  <si>
    <t>Plantio de muda de árvore com altura de 0,30 a 0,80 m em cova de 0,60 x 0,60 x 0,60 m</t>
  </si>
  <si>
    <t>4413951</t>
  </si>
  <si>
    <t>Plantio de muda de árvore frutífera com altura até 1,00 m em cova de 0,60 x 0,60 x 0,60 m</t>
  </si>
  <si>
    <t>4413950</t>
  </si>
  <si>
    <t>Plantio de muda de árvore frutífera com altura de 1,00 a 2,00 m em cova de 0,60 x 0,60 x 0,60 m</t>
  </si>
  <si>
    <t>4413949</t>
  </si>
  <si>
    <t>Plantio de muda de árvore frutífera com altura de 2,00 a 3,00 m em cova de 0,60 x 0,60 x 0,60 m</t>
  </si>
  <si>
    <t>4413948</t>
  </si>
  <si>
    <t>Plantio de muda de árvore ornamental com altura até 1,00 m em cova de 0,60 x 0,60 x 0,60 m</t>
  </si>
  <si>
    <t>4413947</t>
  </si>
  <si>
    <t>Plantio de muda de árvore ornamental com altura de 1,00 a 2,00 m em cova de 0,60 x 0,60 x 0,60 m</t>
  </si>
  <si>
    <t>4413946</t>
  </si>
  <si>
    <t>Plantio de muda de árvore ornamental com altura de 2,00 a 3,00 m em cova de 0,60 x 0,60 x 0,60 m</t>
  </si>
  <si>
    <t>4413952</t>
  </si>
  <si>
    <t>Plantio de tapete de floríferas com altura até 0,50 m</t>
  </si>
  <si>
    <t>4413012</t>
  </si>
  <si>
    <t>Preenchimento de erosão em talude com terra vegetal e sementes de gramíneas ensacadas</t>
  </si>
  <si>
    <t>4413014</t>
  </si>
  <si>
    <t>Recuperação ambiental de pedreiras ou áreas degradadas com biomanta vegetal de fibras de coco</t>
  </si>
  <si>
    <t>4413016</t>
  </si>
  <si>
    <t>Recuperação ambiental de pedreiras ou áreas degradadas com biomanta vegetal de fibras de palha em áreas com inclinação máxima de 1:1,5</t>
  </si>
  <si>
    <t>4413984</t>
  </si>
  <si>
    <t>Regularização de bota-fora com espalhamento e compactação</t>
  </si>
  <si>
    <t>4413986</t>
  </si>
  <si>
    <t>Regularização de superfície com motoniveladora</t>
  </si>
  <si>
    <t>4413985</t>
  </si>
  <si>
    <t>Regularização manual de taludes de cortes e aterros</t>
  </si>
  <si>
    <t>4413017</t>
  </si>
  <si>
    <t>Retentores de sedimentos em fibras vegetais - D = 20 cm</t>
  </si>
  <si>
    <t>4415673</t>
  </si>
  <si>
    <t>Revestimento vegetal com grama em mudas em superfícies inclinadas</t>
  </si>
  <si>
    <t>4415684</t>
  </si>
  <si>
    <t>Revestimento vegetal com grama em mudas em superfícies planas</t>
  </si>
  <si>
    <t>4413993</t>
  </si>
  <si>
    <t>Revestimento vegetal por semeadura a lanço manual de gramíneas e leguminosas</t>
  </si>
  <si>
    <t>4507754</t>
  </si>
  <si>
    <t>Ancoragem ativa com 10 cordoalhas aderentes D = 12,7 mm - fornecimento e instalação</t>
  </si>
  <si>
    <t>4507738</t>
  </si>
  <si>
    <t>Ancoragem ativa com 10 cordoalhas aderentes D = 15,2 mm - fornecimento e instalação</t>
  </si>
  <si>
    <t>4507755</t>
  </si>
  <si>
    <t>Ancoragem ativa com 12 cordoalhas aderentes D = 12,7 mm - fornecimento e instalação</t>
  </si>
  <si>
    <t>4507756</t>
  </si>
  <si>
    <t>Ancoragem ativa com 12 cordoalhas aderentes D = 15,2 mm - fornecimento e instalação</t>
  </si>
  <si>
    <t>4507757</t>
  </si>
  <si>
    <t>Ancoragem ativa com 15 cordoalhas aderentes D = 12,7 mm - fornecimento e instalação</t>
  </si>
  <si>
    <t>4507758</t>
  </si>
  <si>
    <t>Ancoragem ativa com 15 cordoalhas aderentes D = 15,2 mm - fornecimento e instalação</t>
  </si>
  <si>
    <t>4507759</t>
  </si>
  <si>
    <t>Ancoragem ativa com 19 cordoalhas aderentes D = 12,7 mm - fornecimento e instalação</t>
  </si>
  <si>
    <t>4507760</t>
  </si>
  <si>
    <t>Ancoragem ativa com 19 cordoalhas aderentes D = 15,2 mm - fornecimento e instalação</t>
  </si>
  <si>
    <t>4507761</t>
  </si>
  <si>
    <t>Ancoragem ativa com 22 cordoalhas aderentes D = 12,7 mm - fornecimento e instalação</t>
  </si>
  <si>
    <t>4507762</t>
  </si>
  <si>
    <t>Ancoragem ativa com 22 cordoalhas aderentes D = 15,2 mm - fornecimento e instalação</t>
  </si>
  <si>
    <t>4507763</t>
  </si>
  <si>
    <t>Ancoragem ativa com 27 cordoalhas aderentes D = 12,7 mm - fornecimento e instalação</t>
  </si>
  <si>
    <t>4507764</t>
  </si>
  <si>
    <t>Ancoragem ativa com 27 cordoalhas aderentes D = 15,2 mm - fornecimento e instalação</t>
  </si>
  <si>
    <t>4507765</t>
  </si>
  <si>
    <t>Ancoragem ativa com 31 cordoalhas aderentes D = 12,7 mm - fornecimento e instalação</t>
  </si>
  <si>
    <t>4508192</t>
  </si>
  <si>
    <t>Ancoragem ativa com 31 cordoalhas aderentes D = 15,2 mm - fornecimento e instalação</t>
  </si>
  <si>
    <t>4507766</t>
  </si>
  <si>
    <t>Ancoragem ativa com 4 cordoalhas aderentes D = 12,7 mm - fornecimento e instalação</t>
  </si>
  <si>
    <t>4507767</t>
  </si>
  <si>
    <t>Ancoragem ativa com 4 cordoalhas aderentes D = 15,2 mm - fornecimento e instalação</t>
  </si>
  <si>
    <t>4507768</t>
  </si>
  <si>
    <t>Ancoragem ativa com 6 cordoalhas aderentes D = 12,7 mm - fornecimento e instalação</t>
  </si>
  <si>
    <t>4507769</t>
  </si>
  <si>
    <t>Ancoragem ativa com 6 cordoalhas aderentes D = 15,2 mm - fornecimento e instalação</t>
  </si>
  <si>
    <t>4507770</t>
  </si>
  <si>
    <t>Ancoragem ativa com 7 cordoalhas aderentes D = 12,7 mm - fornecimento e instalação</t>
  </si>
  <si>
    <t>4507771</t>
  </si>
  <si>
    <t>Ancoragem ativa com 7 cordoalhas aderentes D = 15,2 mm - fornecimento e instalação</t>
  </si>
  <si>
    <t>4507772</t>
  </si>
  <si>
    <t>Ancoragem ativa com 8 cordoalhas aderentes D = 12,7 mm - fornecimento e instalação</t>
  </si>
  <si>
    <t>4508193</t>
  </si>
  <si>
    <t>Ancoragem ativa com 8 cordoalhas aderentes D = 15,2 mm - fornecimento e instalação</t>
  </si>
  <si>
    <t>4507773</t>
  </si>
  <si>
    <t>Ancoragem ativa com 9 cordoalhas aderentes D = 12,7 mm - fornecimento e instalação</t>
  </si>
  <si>
    <t>4507774</t>
  </si>
  <si>
    <t>Ancoragem ativa com 9 cordoalhas aderentes D = 15,2 mm - fornecimento e instalação</t>
  </si>
  <si>
    <t>4507775</t>
  </si>
  <si>
    <t>Ancoragem ativa para lajes com 1 cordoalha aderente D = 12,7 mm - fornecimento e instalação</t>
  </si>
  <si>
    <t>4507776</t>
  </si>
  <si>
    <t>Ancoragem ativa para lajes com 1 cordoalha aderente D = 15,2 mm - fornecimento e instalação</t>
  </si>
  <si>
    <t>4507783</t>
  </si>
  <si>
    <t>Ancoragem ativa para lajes com 1 cordoalha engraxada D = 12,7 mm - fornecimento e instalação</t>
  </si>
  <si>
    <t>4507784</t>
  </si>
  <si>
    <t>Ancoragem ativa para lajes com 1 cordoalha engraxada D = 15,2 mm - fornecimento e instalação</t>
  </si>
  <si>
    <t>4507777</t>
  </si>
  <si>
    <t>Ancoragem ativa para lajes com 2 cordoalhas aderentes D = 12,7 mm - fornecimento e instalação</t>
  </si>
  <si>
    <t>4507778</t>
  </si>
  <si>
    <t>Ancoragem ativa para lajes com 2 cordoalhas aderentes D = 15,2 mm - fornecimento e instalação</t>
  </si>
  <si>
    <t>4507779</t>
  </si>
  <si>
    <t>Ancoragem ativa para lajes com 3 cordoalhas aderentes D = 12,7 mm - fornecimento e instalação</t>
  </si>
  <si>
    <t>4507780</t>
  </si>
  <si>
    <t>Ancoragem ativa para lajes com 3 cordoalhas aderentes D = 15,2 mm - fornecimento e instalação</t>
  </si>
  <si>
    <t>4507781</t>
  </si>
  <si>
    <t>Ancoragem ativa para lajes com 4 cordoalhas aderentes D = 12,7 mm - fornecimento e instalação</t>
  </si>
  <si>
    <t>4507782</t>
  </si>
  <si>
    <t>Ancoragem ativa para lajes com 4 cordoalhas aderentes D = 15,2 mm - fornecimento e instalação</t>
  </si>
  <si>
    <t>4507785</t>
  </si>
  <si>
    <t>Ancoragem passiva com 10 cordoalhas aderentes D = 12,7 mm - fornecimento e instalação</t>
  </si>
  <si>
    <t>4508194</t>
  </si>
  <si>
    <t>Ancoragem passiva com 10 cordoalhas aderentes D = 15,2 mm - fornecimento e instalação</t>
  </si>
  <si>
    <t>4507786</t>
  </si>
  <si>
    <t>Ancoragem passiva com 12 cordoalhas aderentes D = 12,7 mm - fornecimento e instalação</t>
  </si>
  <si>
    <t>4507787</t>
  </si>
  <si>
    <t>Ancoragem passiva com 12 cordoalhas aderentes D = 15,2 mm - fornecimento e instalação</t>
  </si>
  <si>
    <t>4507788</t>
  </si>
  <si>
    <t>Ancoragem passiva com 15 cordoalhas aderentes D = 12,7 mm - fornecimento e instalação</t>
  </si>
  <si>
    <t>4507789</t>
  </si>
  <si>
    <t>Ancoragem passiva com 15 cordoalhas aderentes D = 15,2 mm - fornecimento e instalação</t>
  </si>
  <si>
    <t>4507790</t>
  </si>
  <si>
    <t>Ancoragem passiva com 19 cordoalhas aderentes D = 12,7 mm - fornecimento e instalação</t>
  </si>
  <si>
    <t>4507791</t>
  </si>
  <si>
    <t>Ancoragem passiva com 19 cordoalhas aderentes D = 15,2 mm - fornecimento e instalação</t>
  </si>
  <si>
    <t>4507792</t>
  </si>
  <si>
    <t>Ancoragem passiva com 22 cordoalhas aderentes D = 12,7 mm - fornecimento e instalação</t>
  </si>
  <si>
    <t>4507793</t>
  </si>
  <si>
    <t>Ancoragem passiva com 22 cordoalhas aderentes D = 15,2 mm - fornecimento e instalação</t>
  </si>
  <si>
    <t>4507794</t>
  </si>
  <si>
    <t>Ancoragem passiva com 27 cordoalhas aderentes D = 12,7 mm - fornecimento e instalação</t>
  </si>
  <si>
    <t>4507795</t>
  </si>
  <si>
    <t>Ancoragem passiva com 27 cordoalhas aderentes D = 15,2 mm - fornecimento e instalação</t>
  </si>
  <si>
    <t>4507796</t>
  </si>
  <si>
    <t>Ancoragem passiva com 31 cordoalhas aderentes D = 12,7 mm - fornecimento e instalação</t>
  </si>
  <si>
    <t>4508190</t>
  </si>
  <si>
    <t>Ancoragem passiva com 31 cordoalhas aderentes D = 15,2 mm - fornecimento e instalação</t>
  </si>
  <si>
    <t>4507797</t>
  </si>
  <si>
    <t>Ancoragem passiva com 4 cordoalhas aderentes D = 12,7 mm - fornecimento e instalação</t>
  </si>
  <si>
    <t>4507798</t>
  </si>
  <si>
    <t>Ancoragem passiva com 4 cordoalhas aderentes D = 15,2 mm - fornecimento e instalação</t>
  </si>
  <si>
    <t>4507799</t>
  </si>
  <si>
    <t>Ancoragem passiva com 6 cordoalhas aderentes D = 12,7 mm - fornecimento e instalação</t>
  </si>
  <si>
    <t>4507800</t>
  </si>
  <si>
    <t>Ancoragem passiva com 6 cordoalhas aderentes D = 15,2 mm - fornecimento e instalação</t>
  </si>
  <si>
    <t>4507801</t>
  </si>
  <si>
    <t>Ancoragem passiva com 7 cordoalhas aderentes D = 12,7 mm - fornecimento e instalação</t>
  </si>
  <si>
    <t>4507802</t>
  </si>
  <si>
    <t>Ancoragem passiva com 7 cordoalhas aderentes D = 15,2 mm - fornecimento e instalação</t>
  </si>
  <si>
    <t>4507803</t>
  </si>
  <si>
    <t>Ancoragem passiva com 8 cordoalhas aderentes D = 12,7 mm - fornecimento e instalação</t>
  </si>
  <si>
    <t>4508191</t>
  </si>
  <si>
    <t>Ancoragem passiva com 8 cordoalhas aderentes D = 15,2 mm - fornecimento e instalação</t>
  </si>
  <si>
    <t>4507804</t>
  </si>
  <si>
    <t>Ancoragem passiva com 9 cordoalhas aderentes D = 12,7 mm - fornecimento e instalação</t>
  </si>
  <si>
    <t>4507805</t>
  </si>
  <si>
    <t>Ancoragem passiva com 9 cordoalhas aderentes D = 15,2 mm - fornecimento e instalação</t>
  </si>
  <si>
    <t>4507806</t>
  </si>
  <si>
    <t>Ancoragem passiva para lajes com 1 cordoalha aderente D = 12,7 mm - fornecimento e instalação</t>
  </si>
  <si>
    <t>4507807</t>
  </si>
  <si>
    <t>Ancoragem passiva para lajes com 1 cordoalha aderente D = 15,2 mm - fornecimento e instalação</t>
  </si>
  <si>
    <t>4507866</t>
  </si>
  <si>
    <t>Ancoragem passiva para lajes com 1 cordoalha engraxada D = 12,7 mm - fornecimento e instalação</t>
  </si>
  <si>
    <t>4507867</t>
  </si>
  <si>
    <t>Ancoragem passiva para lajes com 1 cordoalha engraxada D = 15,2 mm - fornecimento e instalação</t>
  </si>
  <si>
    <t>4507808</t>
  </si>
  <si>
    <t>Ancoragem passiva para lajes com 2 cordoalhas aderentes D = 12,7 mm - fornecimento e instalação</t>
  </si>
  <si>
    <t>4507809</t>
  </si>
  <si>
    <t>Ancoragem passiva para lajes com 2 cordoalhas aderentes D = 15,2 mm - fornecimento e instalação</t>
  </si>
  <si>
    <t>4507810</t>
  </si>
  <si>
    <t>Ancoragem passiva para lajes com 3 cordoalhas aderentes D = 12,7 mm - fornecimento e instalação</t>
  </si>
  <si>
    <t>4507811</t>
  </si>
  <si>
    <t>Ancoragem passiva para lajes com 3 cordoalhas aderentes D = 15,2 mm - fornecimento e instalação</t>
  </si>
  <si>
    <t>4507812</t>
  </si>
  <si>
    <t>Ancoragem passiva para lajes com 4 cordoalhas aderentes D = 12,7 mm - fornecimento e instalação</t>
  </si>
  <si>
    <t>4507813</t>
  </si>
  <si>
    <t>Ancoragem passiva para lajes com 4 cordoalhas aderentes D = 15,2 mm - fornecimento e instalação</t>
  </si>
  <si>
    <t>4507851</t>
  </si>
  <si>
    <t>Bainha metálica ovalizada seção 19 x 36 mm para 1 cordoalha D = 12,7 mm - fornecimento, instalação e injeção de nata de cimento</t>
  </si>
  <si>
    <t>4507852</t>
  </si>
  <si>
    <t>Bainha metálica ovalizada seção 19 x 36 mm para 2 cordoalhas D = 12,7 mm - fornecimento, instalação e injeção de nata de cimento</t>
  </si>
  <si>
    <t>4507853</t>
  </si>
  <si>
    <t>Bainha metálica ovalizada seção 19 x 48 mm para 3 cordoalhas D = 12,7 mm - fornecimento, instalação e injeção de nata de cimento</t>
  </si>
  <si>
    <t>4507854</t>
  </si>
  <si>
    <t>Bainha metálica ovalizada seção 19 x 62 mm para 4 cordoalhas D = 12,7 mm - fornecimento, instalação e injeção de nata de cimento</t>
  </si>
  <si>
    <t>4507855</t>
  </si>
  <si>
    <t>Bainha metálica ovalizada seção 22 x 32 mm para 1 cordoalha D = 15,2 mm - fornecimento, instalação e injeção de nata de cimento</t>
  </si>
  <si>
    <t>4507856</t>
  </si>
  <si>
    <t>Bainha metálica ovalizada seção 22 x 32 mm para 2 cordoalhas D = 15,2 mm - fornecimento, instalação e injeção de nata de cimento</t>
  </si>
  <si>
    <t>4507857</t>
  </si>
  <si>
    <t>Bainha metálica ovalizada seção 22 x 55 mm para 3 cordoalhas D = 15,2 mm - fornecimento, instalação e injeção de nata de cimento</t>
  </si>
  <si>
    <t>4507858</t>
  </si>
  <si>
    <t>Bainha metálica ovalizada seção 22 x 73 mm para 4 cordoalhas D = 15,2 mm - fornecimento, instalação e injeção de nata de cimento</t>
  </si>
  <si>
    <t>4508177</t>
  </si>
  <si>
    <t>Bainha metálica redonda D = 100 mm para 21 cordoalhas D = 15,2 mm - fornecimento, instalação e injeção de nata de cimento</t>
  </si>
  <si>
    <t>4508178</t>
  </si>
  <si>
    <t>Bainha metálica redonda D = 100 mm para 22 cordoalhas D = 15,2 mm - fornecimento, instalação e injeção de nata de cimento</t>
  </si>
  <si>
    <t>4507821</t>
  </si>
  <si>
    <t>Bainha metálica redonda D = 100 mm para 24 cordoalhas D = 15,2 mm - fornecimento, instalação e injeção de nata de cimento</t>
  </si>
  <si>
    <t>4507822</t>
  </si>
  <si>
    <t>Bainha metálica redonda D = 100 mm para 25 cordoalhas D = 15,2 mm - fornecimento, instalação e injeção de nata de cimento</t>
  </si>
  <si>
    <t>4507823</t>
  </si>
  <si>
    <t>Bainha metálica redonda D = 100 mm para 30 cordoalhas D = 12,7 mm - fornecimento, instalação e injeção de nata de cimento</t>
  </si>
  <si>
    <t>4508188</t>
  </si>
  <si>
    <t>Bainha metálica redonda D = 100 mm para 31 cordoalhas D = 12,7 mm - fornecimento, instalação e injeção de nata de cimento</t>
  </si>
  <si>
    <t>4507824</t>
  </si>
  <si>
    <t>Bainha metálica redonda D = 110 mm para 27 cordoalhas D = 15,2 mm - fornecimento, instalação e injeção de nata de cimento</t>
  </si>
  <si>
    <t>4507825</t>
  </si>
  <si>
    <t>Bainha metálica redonda D = 110 mm para 37 cordoalhas D = 12,7 mm - fornecimento, instalação e injeção de nata de cimento</t>
  </si>
  <si>
    <t>4507826</t>
  </si>
  <si>
    <t>Bainha metálica redonda D = 120 mm para 30 cordoalhas D = 15,2 mm - fornecimento, instalação e injeção de nata de cimento</t>
  </si>
  <si>
    <t>4508179</t>
  </si>
  <si>
    <t>Bainha metálica redonda D = 120 mm para 31 cordoalhas D = 15,2 mm - fornecimento, instalação e injeção de nata de cimento</t>
  </si>
  <si>
    <t>4507827</t>
  </si>
  <si>
    <t>Bainha metálica redonda D = 130 mm para 37 cordoalhas D = 15,2 mm - fornecimento, instalação e injeção de nata de cimento</t>
  </si>
  <si>
    <t>4508180</t>
  </si>
  <si>
    <t>Bainha metálica redonda D = 30 mm para 2 cordoalhas D = 12,7 mm - fornecimento, instalação e injeção de nata de cimento</t>
  </si>
  <si>
    <t>4507739</t>
  </si>
  <si>
    <t>Bainha metálica redonda D = 35 mm para 2 cordoalhas D = 15,2 mm - fornecimento, instalação e injeção de nata de cimento</t>
  </si>
  <si>
    <t>4508181</t>
  </si>
  <si>
    <t>Bainha metálica redonda D = 35 mm para 3 cordoalhas D = 12,7 mm - fornecimento, instalação e injeção de nata de cimento</t>
  </si>
  <si>
    <t>4508125</t>
  </si>
  <si>
    <t>Bainha metálica redonda D = 40 mm para 3 cordoalhas D = 15,2 mm - fornecimento, instalação e injeção de nata de cimento</t>
  </si>
  <si>
    <t>4507828</t>
  </si>
  <si>
    <t>Bainha metálica redonda D = 40 mm para 4 cordoalhas D = 12,7 mm - fornecimento, instalação e injeção de nata de cimento</t>
  </si>
  <si>
    <t>4507829</t>
  </si>
  <si>
    <t>Bainha metálica redonda D = 45 mm para 4 cordoalhas D = 15,2 mm - fornecimento, instalação e injeção de nata de cimento</t>
  </si>
  <si>
    <t>4508182</t>
  </si>
  <si>
    <t>Bainha metálica redonda D = 45 mm para 5 cordoalhas D = 12,7 mm - fornecimento, instalação e injeção de nata de cimento</t>
  </si>
  <si>
    <t>4508092</t>
  </si>
  <si>
    <t>Bainha metálica redonda D = 50 mm para 5 cordoalhas D = 15,2 mm - fornecimento, instalação e injeção de nata de cimento</t>
  </si>
  <si>
    <t>4507830</t>
  </si>
  <si>
    <t>Bainha metálica redonda D = 50 mm para 6 cordoalhas D = 12,7 mm - fornecimento, instalação e injeção de nata de cimento</t>
  </si>
  <si>
    <t>4508183</t>
  </si>
  <si>
    <t>Bainha metálica redonda D = 55 mm para 7 cordoalhas D = 12,7 mm - fornecimento, instalação e injeção de nata de cimento</t>
  </si>
  <si>
    <t>4507831</t>
  </si>
  <si>
    <t>Bainha metálica redonda D = 55 mm para 8 cordoalhas D = 12,7 mm - fornecimento, instalação e injeção de nata de cimento</t>
  </si>
  <si>
    <t>4507832</t>
  </si>
  <si>
    <t>Bainha metálica redonda D = 60 mm para 6 cordoalhas D = 15,2 mm - fornecimento, instalação e injeção de nata de cimento</t>
  </si>
  <si>
    <t>4507833</t>
  </si>
  <si>
    <t>Bainha metálica redonda D = 60 mm para 9 cordoalhas D = 12,7 mm - fornecimento, instalação e injeção de nata de cimento</t>
  </si>
  <si>
    <t>4507834</t>
  </si>
  <si>
    <t>Bainha metálica redonda D = 65 mm para 10 cordoalhas D = 12,7 mm - fornecimento, instalação e injeção de nata de cimento</t>
  </si>
  <si>
    <t>4508184</t>
  </si>
  <si>
    <t>Bainha metálica redonda D = 65 mm para 11 cordoalhas D = 12,7 mm - fornecimento, instalação e injeção de nata de cimento</t>
  </si>
  <si>
    <t>4507835</t>
  </si>
  <si>
    <t>Bainha metálica redonda D = 65 mm para 12 cordoalhas D = 12,7 mm - fornecimento, instalação e injeção de nata de cimento</t>
  </si>
  <si>
    <t>4508174</t>
  </si>
  <si>
    <t>Bainha metálica redonda D = 65 mm para 7 cordoalhas D = 15,2 mm - fornecimento, instalação e injeção de nata de cimento</t>
  </si>
  <si>
    <t>4507836</t>
  </si>
  <si>
    <t>Bainha metálica redonda D = 65 mm para 8 cordoalhas D = 15,2 mm - fornecimento, instalação e injeção de nata de cimento</t>
  </si>
  <si>
    <t>4507837</t>
  </si>
  <si>
    <t>Bainha metálica redonda D = 70 mm para 15 cordoalhas D = 12,7 mm - fornecimento, instalação e injeção de nata de cimento</t>
  </si>
  <si>
    <t>4507838</t>
  </si>
  <si>
    <t>Bainha metálica redonda D = 70 mm para 9 cordoalhas D = 15,2 mm - fornecimento, instalação e injeção de nata de cimento</t>
  </si>
  <si>
    <t>4507839</t>
  </si>
  <si>
    <t>Bainha metálica redonda D = 75 mm para 10 cordoalhas D = 15,2 mm - fornecimento, instalação e injeção de nata de cimento</t>
  </si>
  <si>
    <t>4508175</t>
  </si>
  <si>
    <t>Bainha metálica redonda D = 75 mm para 11 cordoalhas D = 15,2 mm - fornecimento, instalação e injeção de nata de cimento</t>
  </si>
  <si>
    <t>4507840</t>
  </si>
  <si>
    <t>Bainha metálica redonda D = 75 mm para 16 cordoalhas D = 12,7 mm - fornecimento, instalação e injeção de nata de cimento</t>
  </si>
  <si>
    <t>4507841</t>
  </si>
  <si>
    <t>Bainha metálica redonda D = 75 mm para 18 cordoalhas D = 12,7 mm - fornecimento, instalação e injeção de nata de cimento</t>
  </si>
  <si>
    <t>4507842</t>
  </si>
  <si>
    <t>Bainha metálica redonda D = 80 mm para 12 cordoalhas D = 15,2 mm - fornecimento, instalação e injeção de nata de cimento</t>
  </si>
  <si>
    <t>4508185</t>
  </si>
  <si>
    <t>Bainha metálica redonda D = 80 mm para 19 cordoalhas D = 12,7 mm - fornecimento, instalação e injeção de nata de cimento</t>
  </si>
  <si>
    <t>4507843</t>
  </si>
  <si>
    <t>Bainha metálica redonda D = 80 mm para 20 cordoalhas D = 12,7 mm - fornecimento, instalação e injeção de nata de cimento</t>
  </si>
  <si>
    <t>4507844</t>
  </si>
  <si>
    <t>Bainha metálica redonda D = 85 mm para 15 cordoalhas D = 15,2 mm - fornecimento, instalação e injeção de nata de cimento</t>
  </si>
  <si>
    <t>4508186</t>
  </si>
  <si>
    <t>Bainha metálica redonda D = 85 mm para 21 cordoalhas D = 12,7 mm - fornecimento, instalação e injeção de nata de cimento</t>
  </si>
  <si>
    <t>4508187</t>
  </si>
  <si>
    <t>Bainha metálica redonda D = 85 mm para 22 cordoalhas D = 12,7 mm - fornecimento, instalação e injeção de nata de cimento</t>
  </si>
  <si>
    <t>4507845</t>
  </si>
  <si>
    <t>Bainha metálica redonda D = 85 mm para 24 cordoalhas D = 12,7 mm - fornecimento, instalação e injeção de nata de cimento</t>
  </si>
  <si>
    <t>4507846</t>
  </si>
  <si>
    <t>Bainha metálica redonda D = 85 mm para 25 cordoalhas D = 12,7 mm - fornecimento, instalação e injeção de nata de cimento</t>
  </si>
  <si>
    <t>4507847</t>
  </si>
  <si>
    <t>Bainha metálica redonda D = 90 mm para 16 cordoalhas D = 15,2 mm - fornecimento, instalação e injeção de nata de cimento</t>
  </si>
  <si>
    <t>4507848</t>
  </si>
  <si>
    <t>Bainha metálica redonda D = 90 mm para 18 cordoalhas D = 15,2 mm - fornecimento, instalação e injeção de nata de cimento</t>
  </si>
  <si>
    <t>4507849</t>
  </si>
  <si>
    <t>Bainha metálica redonda D = 90 mm para 27 cordoalhas D = 12,7 mm - fornecimento, instalação e injeção de nata de cimento</t>
  </si>
  <si>
    <t>4508176</t>
  </si>
  <si>
    <t>Bainha metálica redonda D = 95 mm para 19 cordoalhas D = 15,2 mm - fornecimento, instalação e injeção de nata de cimento</t>
  </si>
  <si>
    <t>4507850</t>
  </si>
  <si>
    <t>Bainha metálica redonda D = 95 mm para 20 cordoalhas D = 15,2 mm - fornecimento, instalação e injeção de nata de cimento</t>
  </si>
  <si>
    <t>4507956</t>
  </si>
  <si>
    <t>4507957</t>
  </si>
  <si>
    <t>Cordoalha CP 190 RB D = 15,2 mm - fornecimento e instalação</t>
  </si>
  <si>
    <t>4507958</t>
  </si>
  <si>
    <t>Cordoalha engraxada CP 190 RB D = 12,7 mm - fornecimento e instalação</t>
  </si>
  <si>
    <t>4507959</t>
  </si>
  <si>
    <t>Cordoalha engraxada CP 190 RB D = 15,2 mm - fornecimento e instalação</t>
  </si>
  <si>
    <t>4516138</t>
  </si>
  <si>
    <t>Gaiola metálica em cantoneira para armazenamento e manipulação de cordoalha - confecção</t>
  </si>
  <si>
    <t>4516137</t>
  </si>
  <si>
    <t>Nicho de madeira para dispositivo de ancoragem de protensão - confecção e instalação</t>
  </si>
  <si>
    <t>4805755</t>
  </si>
  <si>
    <t>Apiloamento manual</t>
  </si>
  <si>
    <t>4805756</t>
  </si>
  <si>
    <t>Apiloamento manual de superfície com espessura de 15 cm</t>
  </si>
  <si>
    <t>4816020</t>
  </si>
  <si>
    <t>Areia extraída com draga de sucção tipo bomba</t>
  </si>
  <si>
    <t>4816019</t>
  </si>
  <si>
    <t>Areia extraída com escavadeira hidráulica de longo alcance</t>
  </si>
  <si>
    <t>4816018</t>
  </si>
  <si>
    <t>Areia extraída com trator e carregadeira</t>
  </si>
  <si>
    <t>4816012</t>
  </si>
  <si>
    <t>Brita produzida em central de britagem de 80 m³/h</t>
  </si>
  <si>
    <t>4815805</t>
  </si>
  <si>
    <t>Calandragem de chapa metálica com espessura de 3 mm</t>
  </si>
  <si>
    <t>4815802</t>
  </si>
  <si>
    <t>Calandragem de chapa metálica com espessura de 5 mm</t>
  </si>
  <si>
    <t>4805754</t>
  </si>
  <si>
    <t>Compactação manual com soquete vibratório</t>
  </si>
  <si>
    <t>4816145</t>
  </si>
  <si>
    <t>Confecção de canaleta meia cana D = 0,30 m - areia e brita comerciais</t>
  </si>
  <si>
    <t>4816144</t>
  </si>
  <si>
    <t>Confecção de canaleta meia cana D = 0,30 m - areia extraída e brita produzida</t>
  </si>
  <si>
    <t>4816147</t>
  </si>
  <si>
    <t>Confecção de canaleta meia cana D = 0,40 m - areia e brita comerciais</t>
  </si>
  <si>
    <t>4816146</t>
  </si>
  <si>
    <t>Confecção de canaleta meia cana D = 0,40 m - areia extraída e brita produzida</t>
  </si>
  <si>
    <t>4816121</t>
  </si>
  <si>
    <t>Confecção de tubos de concreto D = 0,20 m - areia e brita comerciais</t>
  </si>
  <si>
    <t>4816120</t>
  </si>
  <si>
    <t>Confecção de tubos de concreto D = 0,20 m - areia extraída e brita produzida</t>
  </si>
  <si>
    <t>4816123</t>
  </si>
  <si>
    <t>Confecção de tubos de concreto D = 0,30 m - areia e brita comerciais</t>
  </si>
  <si>
    <t>4816122</t>
  </si>
  <si>
    <t>Confecção de tubos de concreto D = 0,30 m - areia extraída e brita produzida</t>
  </si>
  <si>
    <t>4816125</t>
  </si>
  <si>
    <t>Confecção de tubos de concreto D = 0,40 m - areia e brita comerciais</t>
  </si>
  <si>
    <t>4816124</t>
  </si>
  <si>
    <t>Confecção de tubos de concreto D = 0,40 m - areia extraída e brita produzida</t>
  </si>
  <si>
    <t>4816022</t>
  </si>
  <si>
    <t>Confecção de tubos de concreto D = 0,50 m - areia e brita comerciais</t>
  </si>
  <si>
    <t>4816021</t>
  </si>
  <si>
    <t>Confecção de tubos de concreto D = 0,50 m - areia extraída e brita produzida</t>
  </si>
  <si>
    <t>4816106</t>
  </si>
  <si>
    <t>Confecção de tubos de concreto perfurado D = 0,20 m - areia e brita comerciais</t>
  </si>
  <si>
    <t>4816105</t>
  </si>
  <si>
    <t>Confecção de tubos de concreto perfurado D = 0,20 m - areia extraída e brita produzida</t>
  </si>
  <si>
    <t>4816108</t>
  </si>
  <si>
    <t>Confecção de tubos de concreto perfurado D = 0,30 m - areia e brita comerciais</t>
  </si>
  <si>
    <t>4816107</t>
  </si>
  <si>
    <t>Confecção de tubos de concreto perfurado D = 0,30 m - areia extraída e brita produzida</t>
  </si>
  <si>
    <t>4816110</t>
  </si>
  <si>
    <t>Confecção de tubos de concreto perfurado D = 0,40 m - areia e brita comerciais</t>
  </si>
  <si>
    <t>4816109</t>
  </si>
  <si>
    <t>Confecção de tubos de concreto perfurado D = 0,40 m - areia extraída e brita produzida</t>
  </si>
  <si>
    <t>4816100</t>
  </si>
  <si>
    <t>Confecção de tubos de concreto poroso D = 0,20 m - areia e brita comerciais</t>
  </si>
  <si>
    <t>4816099</t>
  </si>
  <si>
    <t>Confecção de tubos de concreto poroso D = 0,20 m - areia extraída e brita produzida</t>
  </si>
  <si>
    <t>4816102</t>
  </si>
  <si>
    <t>Confecção de tubos de concreto poroso D = 0,30 m - areia e brita comerciais</t>
  </si>
  <si>
    <t>4816101</t>
  </si>
  <si>
    <t>Confecção de tubos de concreto poroso D = 0,30 m - areia extraída e brita produzida</t>
  </si>
  <si>
    <t>4816104</t>
  </si>
  <si>
    <t>Confecção de tubos de concreto poroso D = 0,40 m - areia e brita comerciais</t>
  </si>
  <si>
    <t>4816103</t>
  </si>
  <si>
    <t>Confecção de tubos de concreto poroso D = 0,40 m - areia extraída e brita produzida</t>
  </si>
  <si>
    <t>4815804</t>
  </si>
  <si>
    <t>Dobramento de chapas de alumínio com espessura de 1,5 mm e comprimento de dobra de até 500 mm</t>
  </si>
  <si>
    <t>4816002</t>
  </si>
  <si>
    <t>Escavação de tunnel liner em material de 3ª categoria</t>
  </si>
  <si>
    <t>4805765</t>
  </si>
  <si>
    <t>Escavação de vala em material de 3ª categoria</t>
  </si>
  <si>
    <t>4816000</t>
  </si>
  <si>
    <t>Escavação manual de tunnel liner em material de 1ª categoria</t>
  </si>
  <si>
    <t>4816001</t>
  </si>
  <si>
    <t>Escavação manual de tunnel liner em material de 2ª categoria</t>
  </si>
  <si>
    <t>4805749</t>
  </si>
  <si>
    <t>Escavação manual de vala em material de 1ª categoria</t>
  </si>
  <si>
    <t>4805751</t>
  </si>
  <si>
    <t>Escavação manual em material de 1ª categoria na profundidade de 1 a 2 m</t>
  </si>
  <si>
    <t>4805752</t>
  </si>
  <si>
    <t>Escavação manual em material de 1ª categoria na profundidade de 2 a 3 m</t>
  </si>
  <si>
    <t>4805753</t>
  </si>
  <si>
    <t>Escavação manual em material de 1ª categoria na profundidade de 3 a 4 m</t>
  </si>
  <si>
    <t>4805750</t>
  </si>
  <si>
    <t>Escavação manual em material de 1ª categoria na profundidade de até 1 m</t>
  </si>
  <si>
    <t>4805767</t>
  </si>
  <si>
    <t>Escavação manual em material de 2ª categoria na profundidade de 1 a 2 m</t>
  </si>
  <si>
    <t>4805769</t>
  </si>
  <si>
    <t>Escavação manual em material de 2ª categoria na profundidade de 2 a 3 m</t>
  </si>
  <si>
    <t>4805770</t>
  </si>
  <si>
    <t>Escavação manual em material de 2ª categoria na profundidade de 3 a 4 m</t>
  </si>
  <si>
    <t>4805760</t>
  </si>
  <si>
    <t>Escavação manual em material de 2ª categoria na profundidade de até 1 m</t>
  </si>
  <si>
    <t>4805757</t>
  </si>
  <si>
    <t>Escavação mecânica de vala em material de 1ª categoria</t>
  </si>
  <si>
    <t>4805762</t>
  </si>
  <si>
    <t>Escavação mecânica de vala em material de 2ª categoria</t>
  </si>
  <si>
    <t>4806395</t>
  </si>
  <si>
    <t>Fixação de parafuso em estrutura metálica</t>
  </si>
  <si>
    <t>4816003</t>
  </si>
  <si>
    <t>Iluminação provisória para tunnel liner</t>
  </si>
  <si>
    <t>4816017</t>
  </si>
  <si>
    <t>Material pétreo produzido em britador de mandíbulas móvel - camada final de aterro em rocha</t>
  </si>
  <si>
    <t>4816023</t>
  </si>
  <si>
    <t>Operação de mergulho autônomo em profundidade de até 20 m</t>
  </si>
  <si>
    <t>4816025</t>
  </si>
  <si>
    <t>Operação de mergulho dependente em profundidade de 30 a 50 m - inclusive descompressão</t>
  </si>
  <si>
    <t>4816024</t>
  </si>
  <si>
    <t>Operação de mergulho dependente em profundidade de até 30 m - inclusive descompressão</t>
  </si>
  <si>
    <t>4816005</t>
  </si>
  <si>
    <t>Pedra de mão produzida manualmente</t>
  </si>
  <si>
    <t>4800400</t>
  </si>
  <si>
    <t>Preparo e regularização de terreno em desnível</t>
  </si>
  <si>
    <t>4816016</t>
  </si>
  <si>
    <t>Rachão ou pedra de mão produzida</t>
  </si>
  <si>
    <t>4800412</t>
  </si>
  <si>
    <t>Raspagem e limpeza de terreno plano</t>
  </si>
  <si>
    <t>4815671</t>
  </si>
  <si>
    <t>4815803</t>
  </si>
  <si>
    <t>Rebordeamento de chapa metálica com espessura de 5 mm</t>
  </si>
  <si>
    <t>4816011</t>
  </si>
  <si>
    <t>Recarga de cilindro com ar respirável para atividades de mergulho</t>
  </si>
  <si>
    <t>4816014</t>
  </si>
  <si>
    <t>Rocha para britagem com perfuratriz manual</t>
  </si>
  <si>
    <t>4816010</t>
  </si>
  <si>
    <t>Rocha para britagem com perfuratriz sobre esteira</t>
  </si>
  <si>
    <t>4816015</t>
  </si>
  <si>
    <t>Rocha para britagem com perfuratriz sobre esteira - camada final de aterro em rocha</t>
  </si>
  <si>
    <t>4816119</t>
  </si>
  <si>
    <t>Selo de argila apiloado (solo local)</t>
  </si>
  <si>
    <t>4816004</t>
  </si>
  <si>
    <t>Ventilação provisória para tunnel liner</t>
  </si>
  <si>
    <t>4915652</t>
  </si>
  <si>
    <t>Bico de adesão para injeção de adesivo estrutural à base de resina epóxi - fornecimento, instalação e retirada</t>
  </si>
  <si>
    <t>4915651</t>
  </si>
  <si>
    <t>Bico de perfuração para injeção de adesivo estrutural à base de resina epóxi - fornecimento, instalação e retirada</t>
  </si>
  <si>
    <t>4915723</t>
  </si>
  <si>
    <t>Caiação manual com fixador de cal</t>
  </si>
  <si>
    <t>4915724</t>
  </si>
  <si>
    <t>Caiação mecanizada com fixador de cal</t>
  </si>
  <si>
    <t>4915637</t>
  </si>
  <si>
    <t>Capa selante - areia comercial</t>
  </si>
  <si>
    <t>4915779</t>
  </si>
  <si>
    <t>Capa selante - areia extraída</t>
  </si>
  <si>
    <t>4915638</t>
  </si>
  <si>
    <t>Capa selante - brita produzida</t>
  </si>
  <si>
    <t>4915636</t>
  </si>
  <si>
    <t>Capa selante - pedrisco comercial</t>
  </si>
  <si>
    <t>4915744</t>
  </si>
  <si>
    <t>Capina manual</t>
  </si>
  <si>
    <t>4915700</t>
  </si>
  <si>
    <t>Combate à exsudação - areia comercial</t>
  </si>
  <si>
    <t>4915590</t>
  </si>
  <si>
    <t>Combate à exsudação - areia extraída</t>
  </si>
  <si>
    <t>4915591</t>
  </si>
  <si>
    <t>Combate à exsudação - brita produzida</t>
  </si>
  <si>
    <t>4915701</t>
  </si>
  <si>
    <t>Combate à exsudação - pedrisco comercial</t>
  </si>
  <si>
    <t>4915703</t>
  </si>
  <si>
    <t>Correção de defeitos com mistura betuminosa</t>
  </si>
  <si>
    <t>4915705</t>
  </si>
  <si>
    <t>Correção de defeitos por fresagem descontínua do revestimento asfáltico - espessura de 5 cm</t>
  </si>
  <si>
    <t>4915743</t>
  </si>
  <si>
    <t>Corte e limpeza de áreas gramadas</t>
  </si>
  <si>
    <t>4915768</t>
  </si>
  <si>
    <t>Corte e remoção de árvores</t>
  </si>
  <si>
    <t>4915713</t>
  </si>
  <si>
    <t>Desobstrução de bueiro</t>
  </si>
  <si>
    <t>4915655</t>
  </si>
  <si>
    <t>Fresagem contínua de revestimento asfáltico - espessura de 3 cm</t>
  </si>
  <si>
    <t>4915656</t>
  </si>
  <si>
    <t>Fresagem contínua de revestimento asfáltico - espessura de 4 cm</t>
  </si>
  <si>
    <t>4915657</t>
  </si>
  <si>
    <t>Fresagem contínua de revestimento asfáltico - espessura de 5 cm</t>
  </si>
  <si>
    <t>4915658</t>
  </si>
  <si>
    <t>Fresagem contínua de revestimento asfáltico - espessura de 6 cm</t>
  </si>
  <si>
    <t>4915659</t>
  </si>
  <si>
    <t>Fresagem contínua de revestimento asfáltico - espessura de 7 cm</t>
  </si>
  <si>
    <t>4915660</t>
  </si>
  <si>
    <t>Fresagem contínua de revestimento asfáltico - espessura de 8 cm</t>
  </si>
  <si>
    <t>4915661</t>
  </si>
  <si>
    <t>Fresagem descontínua de revestimento asfáltico - espessura de 3 cm</t>
  </si>
  <si>
    <t>4915662</t>
  </si>
  <si>
    <t>Fresagem descontínua de revestimento asfáltico - espessura de 4 cm</t>
  </si>
  <si>
    <t>4915663</t>
  </si>
  <si>
    <t>Fresagem descontínua de revestimento asfáltico - espessura de 5 cm</t>
  </si>
  <si>
    <t>4915664</t>
  </si>
  <si>
    <t>Fresagem descontínua de revestimento asfáltico - espessura de 6 cm</t>
  </si>
  <si>
    <t>4915665</t>
  </si>
  <si>
    <t>Fresagem descontínua de revestimento asfáltico - espessura de 7 cm</t>
  </si>
  <si>
    <t>4915666</t>
  </si>
  <si>
    <t>Fresagem descontínua de revestimento asfáltico - espessura de 8 cm</t>
  </si>
  <si>
    <t>4915650</t>
  </si>
  <si>
    <t>Injeção de adesivo estrutural à base de resina epóxi de baixa viscosidade para tratamento de fissuras em estruturas de concreto - fornecimento e aplicação manual</t>
  </si>
  <si>
    <t>4915645</t>
  </si>
  <si>
    <t>Injeção de adesivo estrutural à base de resina epóxi de baixa viscosidade para tratamento de fissuras em estruturas de concreto - fornecimento e aplicação mecanizada</t>
  </si>
  <si>
    <t>4915712</t>
  </si>
  <si>
    <t>Limpeza de bueiro</t>
  </si>
  <si>
    <t>4915711</t>
  </si>
  <si>
    <t>Limpeza de descida d'água</t>
  </si>
  <si>
    <t>4915718</t>
  </si>
  <si>
    <t>Limpeza de dispositivos de sinalização viária - placas e delineadores refletivos</t>
  </si>
  <si>
    <t>4915790</t>
  </si>
  <si>
    <t>Limpeza de emulsão asfáltica ou asfalto diluído derramados na pista - remoção com minicarregadeira com vassoura e descarga livre</t>
  </si>
  <si>
    <t>4915793</t>
  </si>
  <si>
    <t>Limpeza de líquidos combustíveis derramados na pista - remoção com minicarregadeira com vassoura e descarga livre</t>
  </si>
  <si>
    <t>4915792</t>
  </si>
  <si>
    <t>Limpeza de material asfáltico derramado fora da pista - remoção com escavadeira hidráulica e caminhão basculante</t>
  </si>
  <si>
    <t>4915672</t>
  </si>
  <si>
    <t>Limpeza de ponte</t>
  </si>
  <si>
    <t>4915708</t>
  </si>
  <si>
    <t>Limpeza de sarjeta e meio-fio</t>
  </si>
  <si>
    <t>4915710</t>
  </si>
  <si>
    <t>Limpeza de vala de drenagem</t>
  </si>
  <si>
    <t>4915709</t>
  </si>
  <si>
    <t>Limpeza de valeta de corte</t>
  </si>
  <si>
    <t>4915686</t>
  </si>
  <si>
    <t>Limpeza e desobstrução de dispositivos de drenagem em OAE</t>
  </si>
  <si>
    <t>4915687</t>
  </si>
  <si>
    <t>Limpeza e desobstrução de drenos de obras de contenção</t>
  </si>
  <si>
    <t>4915634</t>
  </si>
  <si>
    <t>Limpeza e desobstrução mecanizada de bueiros com diâmetro acima de 1,00 até 1,50 m</t>
  </si>
  <si>
    <t>4915633</t>
  </si>
  <si>
    <t>Limpeza e desobstrução mecanizada de bueiros com diâmetro de até 1,00 m</t>
  </si>
  <si>
    <t>4915714</t>
  </si>
  <si>
    <t>Limpeza e enchimento com resina epóxi de fissuras niveladas com abertura máxima de 0,4 mm e profundidade de 20 mm em pavimento de concreto que não atravessam toda a espessura da placa</t>
  </si>
  <si>
    <t>4915507</t>
  </si>
  <si>
    <t>Limpeza e remoção de vegetação entre escamas de concreto com o uso de herbicida em alturas acima de 4 metros</t>
  </si>
  <si>
    <t>4915587</t>
  </si>
  <si>
    <t>Limpeza e remoção de vegetação entre escamas de concreto com o uso de herbicida em alturas de até 4 metros</t>
  </si>
  <si>
    <t>4915759</t>
  </si>
  <si>
    <t>Limpeza e remoção de vegetação junto aos aparelhos de apoio de OAE com o uso de herbicida</t>
  </si>
  <si>
    <t>4915758</t>
  </si>
  <si>
    <t>Limpeza e remoção de vegetação nas juntas de dilatação com o uso de herbicida</t>
  </si>
  <si>
    <t>4915640</t>
  </si>
  <si>
    <t>Limpeza e remoção manual de material retido em terra firme em OAE</t>
  </si>
  <si>
    <t>4915639</t>
  </si>
  <si>
    <t>Limpeza em superfície de concreto com escova de aço</t>
  </si>
  <si>
    <t>4915508</t>
  </si>
  <si>
    <t>Limpeza em superfície de escamas de concreto com escova de aço em alturas acima de 4 metros</t>
  </si>
  <si>
    <t>4915588</t>
  </si>
  <si>
    <t>Limpeza em superfície de escamas de concreto com escova de aço em alturas de até 4 metros</t>
  </si>
  <si>
    <t>4915695</t>
  </si>
  <si>
    <t>Limpeza, serragem e enchimento de fissuras niveladas com abertura entre 0,4 mm e 1,0 mm e profundidade de 25 mm em pavimento de concreto com CAP</t>
  </si>
  <si>
    <t>4915696</t>
  </si>
  <si>
    <t>Limpeza, serragem e enchimento de fissuras niveladas com abertura entre 0,4 mm e 1,0 mm e profundidade de 25 mm em pavimento de concreto com CAP com polímero</t>
  </si>
  <si>
    <t>4915694</t>
  </si>
  <si>
    <t>Limpeza, serragem e enchimento de fissuras niveladas com abertura entre 0,4 mm e 1,0 mm e profundidade de 25 mm em pavimento de concreto com selante elástico a frio</t>
  </si>
  <si>
    <t>4915654</t>
  </si>
  <si>
    <t>Lixamento mecanizado em superfície de concreto</t>
  </si>
  <si>
    <t>4900001</t>
  </si>
  <si>
    <t>Material de base</t>
  </si>
  <si>
    <t>4915801</t>
  </si>
  <si>
    <t>Mistura betuminosa</t>
  </si>
  <si>
    <t>4916290</t>
  </si>
  <si>
    <t>Mistura betuminosa a frio executada em betoneira - faixa C - areia e brita comerciais</t>
  </si>
  <si>
    <t>4915765</t>
  </si>
  <si>
    <t>Poda de árvores com 5,0 m a 7,5 m de altura</t>
  </si>
  <si>
    <t>4915766</t>
  </si>
  <si>
    <t>Poda de árvores com 7,5 m a 10 m de altura</t>
  </si>
  <si>
    <t>4915764</t>
  </si>
  <si>
    <t>Poda de árvores com até 5 m de altura</t>
  </si>
  <si>
    <t>4915767</t>
  </si>
  <si>
    <t>Poda de árvores com mais de 10 m de altura</t>
  </si>
  <si>
    <t>4915777</t>
  </si>
  <si>
    <t>Reassentamento manual de meio-fio com material arrancado da pista</t>
  </si>
  <si>
    <t>4915618</t>
  </si>
  <si>
    <t>Recomposição de camada granular do pavimento com material de jazida - 100% Proctor modificado</t>
  </si>
  <si>
    <t>4915774</t>
  </si>
  <si>
    <t>Recomposição de erosão em corte ou aterro com material de jazida</t>
  </si>
  <si>
    <t>4915719</t>
  </si>
  <si>
    <t>Recomposição de placa de sinalização</t>
  </si>
  <si>
    <t>4915611</t>
  </si>
  <si>
    <t>Recomposição de revestimento primário com material de jazida - 100% Proctor intermediário</t>
  </si>
  <si>
    <t>4915733</t>
  </si>
  <si>
    <t>Recomposição manual de aterro com material de jazida</t>
  </si>
  <si>
    <t>4915734</t>
  </si>
  <si>
    <t>Recomposição mecanizada de aterro com material de jazida</t>
  </si>
  <si>
    <t>4915727</t>
  </si>
  <si>
    <t>Recomposição parcial de cerca com mourão de concreto - arame</t>
  </si>
  <si>
    <t>4915726</t>
  </si>
  <si>
    <t>Recomposição parcial de cerca com mourão de concreto seção quadrada - mourão - areia e brita comerciais</t>
  </si>
  <si>
    <t>4915594</t>
  </si>
  <si>
    <t>Recomposição parcial de cerca com mourão de concreto seção quadrada - mourão - areia extraída e brita produzida</t>
  </si>
  <si>
    <t>4915729</t>
  </si>
  <si>
    <t>Recomposição parcial de cerca com mourão de concreto seção triangular - mourão - areia e brita comerciais</t>
  </si>
  <si>
    <t>4915596</t>
  </si>
  <si>
    <t>Recomposição parcial de cerca com mourão de concreto seção triangular - mourão - areia extraída e brita comercial</t>
  </si>
  <si>
    <t>4915732</t>
  </si>
  <si>
    <t>Recomposição parcial de cerca com mourão de madeira - arame</t>
  </si>
  <si>
    <t>4915731</t>
  </si>
  <si>
    <t>Recomposição parcial de cerca com mourão de madeira - mourão</t>
  </si>
  <si>
    <t>4915725</t>
  </si>
  <si>
    <t>Recomposição total de cerca com mourão de concreto seção quadrada - areia e brita comerciais</t>
  </si>
  <si>
    <t>4915593</t>
  </si>
  <si>
    <t>Recomposição total de cerca com mourão de concreto seção quadrada - areia extraída e brita produzida</t>
  </si>
  <si>
    <t>4915728</t>
  </si>
  <si>
    <t>Recomposição total de cerca com mourão de concreto seção triangular - areia e brita comerciais</t>
  </si>
  <si>
    <t>4915595</t>
  </si>
  <si>
    <t>Recomposição total de cerca com mourão de concreto seção triangular - areia extraída e brita produzida</t>
  </si>
  <si>
    <t>4915730</t>
  </si>
  <si>
    <t>Recomposição total de cerca com mourão de madeira</t>
  </si>
  <si>
    <t>4915598</t>
  </si>
  <si>
    <t>Reconformação da plataforma</t>
  </si>
  <si>
    <t>4915748</t>
  </si>
  <si>
    <t>Recuperação de desgaste superficial em pavimentos de concreto</t>
  </si>
  <si>
    <t>4915608</t>
  </si>
  <si>
    <t>Regularização de taludes e valas com soquete vibratório</t>
  </si>
  <si>
    <t>4915613</t>
  </si>
  <si>
    <t>Regularização mecânica da faixa de domínio</t>
  </si>
  <si>
    <t>4915692</t>
  </si>
  <si>
    <t>Remendo profundo com imprimação com asfalto diluído - demolição manual</t>
  </si>
  <si>
    <t>4915746</t>
  </si>
  <si>
    <t>Remendo profundo com imprimação com asfalto diluído - demolição mecânica e corte com serra</t>
  </si>
  <si>
    <t>4915630</t>
  </si>
  <si>
    <t>Remendo profundo com imprimação com emulsão asfáltica - demolição manual</t>
  </si>
  <si>
    <t>4915631</t>
  </si>
  <si>
    <t>Remendo profundo com imprimação com emulsão asfáltica - demolição mecânica e corte com serra</t>
  </si>
  <si>
    <t>4915785</t>
  </si>
  <si>
    <t>Remoção de animais de grande porte mortos em rodovia - carga e descarga com guindauto</t>
  </si>
  <si>
    <t>4915786</t>
  </si>
  <si>
    <t>Remoção de animais de pequeno porte mortos em rodovia - carga manual</t>
  </si>
  <si>
    <t>4915795</t>
  </si>
  <si>
    <t>Remoção de emborrachados de pneus em rodovia</t>
  </si>
  <si>
    <t>4915800</t>
  </si>
  <si>
    <t>Remoção de espécimes arbóreos de 20 a 40 m tombados na pista</t>
  </si>
  <si>
    <t>4915799</t>
  </si>
  <si>
    <t>Remoção de espécimes arbóreos de até 20 m tombados na pista</t>
  </si>
  <si>
    <t>4915698</t>
  </si>
  <si>
    <t>Remoção de grãos, agregados e solos derramados na pista em rodovias</t>
  </si>
  <si>
    <t>4915794</t>
  </si>
  <si>
    <t>Remoção de sucatas derramadas em rodovia - cinta com utilização de 100 vezes</t>
  </si>
  <si>
    <t>4915789</t>
  </si>
  <si>
    <t>Remoção de veículos de grande porte incendiados em rodovia - carga e descarga com guindaste - cinta com utilização de 100 vezes</t>
  </si>
  <si>
    <t>4915798</t>
  </si>
  <si>
    <t>Remoção de veículos de grande porte tombados em rodovia - cinta com utilização de 100 vezes</t>
  </si>
  <si>
    <t>4915788</t>
  </si>
  <si>
    <t>Remoção de veículos de médio porte incendiados em rodovia - carga e descarga com guindaste - cinta com utilização de 100 vezes</t>
  </si>
  <si>
    <t>4915797</t>
  </si>
  <si>
    <t>Remoção de veículos de médio porte tombados em rodovia - cinta com utilização de 100 vezes</t>
  </si>
  <si>
    <t>4915787</t>
  </si>
  <si>
    <t>Remoção de veículos de pequeno porte incendiados em rodovia - carga e descarga com guindauto - cinta com utilização de 100 vezes</t>
  </si>
  <si>
    <t>4915796</t>
  </si>
  <si>
    <t>Remoção de veículos de pequeno porte tombados em rodovia - cinta com utilização de 100 vezes</t>
  </si>
  <si>
    <t>4915760</t>
  </si>
  <si>
    <t>Remoção de vestígios de óleo ou graxa na superfície do revestimento do pavimento</t>
  </si>
  <si>
    <t>4915699</t>
  </si>
  <si>
    <t>Remoção de vidros, caixas e engradados derramados na pista em rodovia</t>
  </si>
  <si>
    <t>4915736</t>
  </si>
  <si>
    <t>Remoção manual de barreira em rocha</t>
  </si>
  <si>
    <t>4915735</t>
  </si>
  <si>
    <t>Remoção manual de barreira em solo</t>
  </si>
  <si>
    <t>4915670</t>
  </si>
  <si>
    <t>Remoção manual de camada granular do pavimento</t>
  </si>
  <si>
    <t>4915668</t>
  </si>
  <si>
    <t>Remoção manual de revestimento asfáltico</t>
  </si>
  <si>
    <t>4915761</t>
  </si>
  <si>
    <t>Remoção manual de vegetação daninha</t>
  </si>
  <si>
    <t>4915762</t>
  </si>
  <si>
    <t>Remoção manual de vegetação daninha em frestas</t>
  </si>
  <si>
    <t>4915738</t>
  </si>
  <si>
    <t>Remoção mecanizada de barreira em rocha</t>
  </si>
  <si>
    <t>4915737</t>
  </si>
  <si>
    <t>Remoção mecanizada de barreira em solo</t>
  </si>
  <si>
    <t>4915669</t>
  </si>
  <si>
    <t>Remoção mecanizada de camada granular do pavimento</t>
  </si>
  <si>
    <t>4915667</t>
  </si>
  <si>
    <t>Remoção mecanizada de revestimento asfáltico</t>
  </si>
  <si>
    <t>4915632</t>
  </si>
  <si>
    <t>Reparo localizado com pintura de ligação - demolição mecânica e corte com serra</t>
  </si>
  <si>
    <t>4915753</t>
  </si>
  <si>
    <t>Reparo no interior de placa de pavimento de concreto</t>
  </si>
  <si>
    <t>4915776</t>
  </si>
  <si>
    <t>Roçada com roçadeira costal</t>
  </si>
  <si>
    <t>ha</t>
  </si>
  <si>
    <t>4915740</t>
  </si>
  <si>
    <t>Roçada manual</t>
  </si>
  <si>
    <t>4915741</t>
  </si>
  <si>
    <t>Roçada manual de capim colonião</t>
  </si>
  <si>
    <t>4915775</t>
  </si>
  <si>
    <t>Roçada mecanizada com roçadeira articulada</t>
  </si>
  <si>
    <t>4915742</t>
  </si>
  <si>
    <t>Roçada mecanizada com roçadeira de arraste</t>
  </si>
  <si>
    <t>4915626</t>
  </si>
  <si>
    <t>Selagem de trincas mecanizada em pavimento flexível com emulsão - areia comercial</t>
  </si>
  <si>
    <t>4915653</t>
  </si>
  <si>
    <t>Selagem superficial de fissuras com adesivo estrutural à base de resina epóxi de alta viscosidade, inclusive limpeza superficial - fornecimento e aplicação</t>
  </si>
  <si>
    <t>4915623</t>
  </si>
  <si>
    <t>Solo brita para base de remendo profundo - brita comercial</t>
  </si>
  <si>
    <t>4915625</t>
  </si>
  <si>
    <t>Solo melhorado com cimento para base de remendo profundo</t>
  </si>
  <si>
    <t>4915621</t>
  </si>
  <si>
    <t>Solo para base de remendo profundo</t>
  </si>
  <si>
    <t>4915720</t>
  </si>
  <si>
    <t>Substituição de balizador - areia e brita comerciais</t>
  </si>
  <si>
    <t>4915592</t>
  </si>
  <si>
    <t>Substituição de balizador - areia extraída e brita produzida</t>
  </si>
  <si>
    <t>4913703</t>
  </si>
  <si>
    <t>Substituição de cartucho de absorção de energia tipo A - fornecimento e instalação, e reposicionamento do amortecedor retrátil</t>
  </si>
  <si>
    <t>4913704</t>
  </si>
  <si>
    <t>Substituição de cartucho de absorção de energia tipo B - fornecimento, instalação e reposicionamento do amortecedor retrátil</t>
  </si>
  <si>
    <t>4915757</t>
  </si>
  <si>
    <t>Tapa buraco com pintura de ligação - demolição com serra corta piso</t>
  </si>
  <si>
    <t>4915678</t>
  </si>
  <si>
    <t>Tapa buraco com pintura de ligação - demolição manual</t>
  </si>
  <si>
    <t>4919547</t>
  </si>
  <si>
    <t>Tela de proteção para roçada em tubo galvanizado 4,0 X 1,5 m - confecção</t>
  </si>
  <si>
    <t>4915716</t>
  </si>
  <si>
    <t>Tratamento de fissuras do tipo rendilhado em pavimentos de concreto</t>
  </si>
  <si>
    <t>4915750</t>
  </si>
  <si>
    <t>Tratamento de fissuras transversais com abertura maior que 1,0 mm em pavimentos de concreto</t>
  </si>
  <si>
    <t>4915769</t>
  </si>
  <si>
    <t>Trituração de galhos e troncos com diâmetro de até 350 mm</t>
  </si>
  <si>
    <t>5213836</t>
  </si>
  <si>
    <t>Balizador cônico refletivo em polietileno semiflexível de 114 x 11 x 40 cm - utilização de 150 ciclos - fornecimento, 01 implantação e 01 retirada diária</t>
  </si>
  <si>
    <t>un.dia</t>
  </si>
  <si>
    <t>5213368</t>
  </si>
  <si>
    <t>Balizador de concreto - areia e brita comerciais - fornecimento e implantação</t>
  </si>
  <si>
    <t>5213367</t>
  </si>
  <si>
    <t>Balizador de concreto - areia extraída e brita produzida - fornecimento e implantação</t>
  </si>
  <si>
    <t>5213385</t>
  </si>
  <si>
    <t>Barreira de sinalização tipo I de direcionamento ou bloqueio - confecção</t>
  </si>
  <si>
    <t>5213343</t>
  </si>
  <si>
    <t>Barreira de sinalização tipo I de direcionamento ou bloqueio - utilização de 150 ciclos - fornecimento, 01 implantação e 01 retirada diária</t>
  </si>
  <si>
    <t>5213390</t>
  </si>
  <si>
    <t>Barreira de sinalização tipo I de direcionamento ou bloqueio contínua - confecção</t>
  </si>
  <si>
    <t>5213344</t>
  </si>
  <si>
    <t>Barreira de sinalização tipo I de direcionamento ou bloqueio contínua - utilização de 150 ciclos - fornecimento, 01 implantação e 01 retirada diária</t>
  </si>
  <si>
    <t>m.dia</t>
  </si>
  <si>
    <t>5213386</t>
  </si>
  <si>
    <t>Barreira de sinalização tipo II de direcionamento ou bloqueio - confecção</t>
  </si>
  <si>
    <t>5213345</t>
  </si>
  <si>
    <t>Barreira de sinalização tipo 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</si>
  <si>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</si>
  <si>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</si>
  <si>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5213346</t>
  </si>
  <si>
    <t>Barreira de sinalização tipo III de direcionamento ou bloqueio - utilização de 150 ciclos - fornecimento, 01 implantação e 01 retirada diária</t>
  </si>
  <si>
    <t>5213843</t>
  </si>
  <si>
    <t>Barreira plástica articulável modular 240 x 100 cm na cor amarela - utilização de 600 ciclos - fornecimento, 01 implantação e 01 retirada diária</t>
  </si>
  <si>
    <t>5213833</t>
  </si>
  <si>
    <t>Barreira plástica monobloco para canalização de trânsito - 101 x 50 x 55 cm - utilização de 600 ciclos - fornecimento, 01 implantação e 01 retirada diária</t>
  </si>
  <si>
    <t>5213834</t>
  </si>
  <si>
    <t>Barreira plástica para canalização de trânsito - 60 x 45 x 60 cm - utilização de 600 ciclos - fornecimento, 01 implantação e 01 retirada diária</t>
  </si>
  <si>
    <t>5219544</t>
  </si>
  <si>
    <t>Cavalete em perfil metálico para placa de sinalização - 1,00 m x 1,00 m - confecção</t>
  </si>
  <si>
    <t>5213383</t>
  </si>
  <si>
    <t>Cavalete em polietileno zebrado com faixa refletiva - H = 1,00 m - utilização de 600 ciclos - fornecimento, 01 implantação e 01 retirada diária</t>
  </si>
  <si>
    <t>5213380</t>
  </si>
  <si>
    <t>Cavalete em polietileno zebrado com faixa refletiva e com sinalizador a LED com bateria - H = 1,00 m - utilização de 600 ciclos - fornecimento, 01 implantação e 01 retirada diária</t>
  </si>
  <si>
    <t>5213838</t>
  </si>
  <si>
    <t>Cilindro canalizador de tráfego com base quadrada de 111 x 56 x 56 cm - utilização de 600 ciclos - fornecimento, 01 implantação e 01 retirada diária</t>
  </si>
  <si>
    <t>5213837</t>
  </si>
  <si>
    <t>Cilindro flexível delimitador de tráfego com duas faixas refletivas e chumbador - D = 20 cm e H = 80 cm</t>
  </si>
  <si>
    <t>5213835</t>
  </si>
  <si>
    <t>Cone plástico para canalização de trânsito - utilização de 150 ciclos - fornecimento, 01 implantação e 01 retirada diária</t>
  </si>
  <si>
    <t>5213839</t>
  </si>
  <si>
    <t>Dispositivo de direcionamento ou bloqueio tipo tapume - confecção</t>
  </si>
  <si>
    <t>5213347</t>
  </si>
  <si>
    <t>Dispositivo de direcionamento ou bloqueio tipo tapume - utilização de 150 ciclos - fornecimento, 01 implantação e 01 retirada diária</t>
  </si>
  <si>
    <t>m².dia</t>
  </si>
  <si>
    <t>5213840</t>
  </si>
  <si>
    <t>Dispositivo de direcionamento ou bloqueio tipo tela plástica com suporte fixo - confecção</t>
  </si>
  <si>
    <t>5213349</t>
  </si>
  <si>
    <t>Dispositivo de direcionamento ou bloqueio tipo tela plástica com suporte fixo - utilização de 150 ciclos - fornecimento, 01 implantação e 01 retirada diária</t>
  </si>
  <si>
    <t>5213841</t>
  </si>
  <si>
    <t>Dispositivo de direcionamento ou bloqueio tipo tela plástica com suporte móvel afixado em bloco de concreto - confecção</t>
  </si>
  <si>
    <t>5213348</t>
  </si>
  <si>
    <t>Dispositivo de direcionamento ou bloqueio tipo tela plástica com suporte móvel afixado em bloco de concreto - utilização de 150 ciclos - fornecimento, 01 implantação e 01 retirada diária</t>
  </si>
  <si>
    <t>5216116</t>
  </si>
  <si>
    <t>Fabricação de balizador de concreto - seção circular de 10 cm - areia e brita comerciais</t>
  </si>
  <si>
    <t>5216115</t>
  </si>
  <si>
    <t>Fabricação de balizador de concreto - seção circular de 10 cm - areia extraída e brita produzida</t>
  </si>
  <si>
    <t>5213842</t>
  </si>
  <si>
    <t>Fita zebrada para dispositivos de canalização de trânsito - fornecimento, implantação e retirada</t>
  </si>
  <si>
    <t>5213358</t>
  </si>
  <si>
    <t>Laminado elastoplástico para sinalização horizontal - espessura de 1,5 mm - fornecimento e implantação</t>
  </si>
  <si>
    <t>5213848</t>
  </si>
  <si>
    <t>Luz de advertência e bateria para dispositivos de sinalização - utilização de 200 ciclos - fornecimento, 01 implantação e 01 retirada diária</t>
  </si>
  <si>
    <t>5214012</t>
  </si>
  <si>
    <t>Manutenção/recomposição de sinalização - pintura de faixa com tinta acrílica - espessura de 0,4 mm</t>
  </si>
  <si>
    <t>5213356</t>
  </si>
  <si>
    <t>Manutenção/recomposição de sinalização - pintura de faixa com tinta acrílica - espessura de 0,6 mm</t>
  </si>
  <si>
    <t>5214011</t>
  </si>
  <si>
    <t>Manutenção/recomposição de sinalização - pintura de faixa com tinta acrílica emulsionada em água - espessura de 0,3 mm</t>
  </si>
  <si>
    <t>5213354</t>
  </si>
  <si>
    <t>Manutenção/recomposição de sinalização - pintura de faixa com tinta acrílica emulsionada em água - espessura de 0,4 mm</t>
  </si>
  <si>
    <t>5213355</t>
  </si>
  <si>
    <t>Manutenção/recomposição de sinalização - pintura de faixa com tinta acrílica emulsionada em água - espessura de 0,5 mm</t>
  </si>
  <si>
    <t>5213850</t>
  </si>
  <si>
    <t>Operação de sinalização por bandeirola de tecido ou com placa metálica</t>
  </si>
  <si>
    <t>5213846</t>
  </si>
  <si>
    <t>Painel com seta luminosa montado em chassi de caminhão com prancha</t>
  </si>
  <si>
    <t>5213847</t>
  </si>
  <si>
    <t>Painel com seta luminosa montado em chassi de caminhão com prancha e amortecedor retrátil</t>
  </si>
  <si>
    <t>5213845</t>
  </si>
  <si>
    <t>Painel de mensagens variáveis, portátil móvel, LED, com banco fotovoltaico de energia e montado em chassi com engate</t>
  </si>
  <si>
    <t>5213412</t>
  </si>
  <si>
    <t>Pintura de faixa com plástico a frio bicomponente à base de resinas metacrílicas por dispersão (estrutura)</t>
  </si>
  <si>
    <t>5213411</t>
  </si>
  <si>
    <t>Pintura de faixa com plástico a frio bicomponente à base de resinas metacrílicas por extrusão (alto relevo)</t>
  </si>
  <si>
    <t>5214009</t>
  </si>
  <si>
    <t>Pintura de faixa com plástico a frio bicomponente à base de resinas metacrílicas por extrusão (plano) - espessura de 1,5 mm</t>
  </si>
  <si>
    <t>5214010</t>
  </si>
  <si>
    <t>Pintura de faixa com plástico a frio bicomponente à base de resinas metacrílicas por extrusão (plano) - espessura de 3,0 mm</t>
  </si>
  <si>
    <t>5213413</t>
  </si>
  <si>
    <t>Pintura de faixa com plástico a frio tricomponente à base de resinas metacrílicas por aspersão - espessura de 0,6 mm</t>
  </si>
  <si>
    <t>5213410</t>
  </si>
  <si>
    <t>Pintura de faixa com termoplástico em alto relevo tipo I por extrusão - relevo duplo com base</t>
  </si>
  <si>
    <t>5214004</t>
  </si>
  <si>
    <t>Pintura de faixa com termoplástico em alto relevo tipo II por extrusão - relevo simples ranhurado com base</t>
  </si>
  <si>
    <t>5214005</t>
  </si>
  <si>
    <t>Pintura de faixa com termoplástico em alto relevo tipo III por extrusão - relevo simples com base</t>
  </si>
  <si>
    <t>5214006</t>
  </si>
  <si>
    <t>Pintura de faixa com termoplástico em alto relevo tipo IV por extrusão - relevo simples sem base</t>
  </si>
  <si>
    <t>5214007</t>
  </si>
  <si>
    <t>Pintura de faixa com termoplástico em alto relevo tipo V por extrusão - relevo multipontos sem base (gotas)</t>
  </si>
  <si>
    <t>5214008</t>
  </si>
  <si>
    <t>Pintura de faixa com termoplástico em alto relevo tipo VI por extrusão - relevo multipontos sem base (calotas)</t>
  </si>
  <si>
    <t>5213408</t>
  </si>
  <si>
    <t>Pintura de faixa com termoplástico por aspersão - espessura de 1,5 mm</t>
  </si>
  <si>
    <t>5213400</t>
  </si>
  <si>
    <t>Pintura de faixa com tinta acrílica - espessura de 0,4 mm</t>
  </si>
  <si>
    <t>5213401</t>
  </si>
  <si>
    <t>Pintura de faixa com tinta acrílica - espessura de 0,6 mm</t>
  </si>
  <si>
    <t>5214001</t>
  </si>
  <si>
    <t>5213402</t>
  </si>
  <si>
    <t>Pintura de faixa com tinta acrílica emulsionada em água - espessura de 0,4 mm</t>
  </si>
  <si>
    <t>5213403</t>
  </si>
  <si>
    <t>Pintura de faixa com tinta acrílica emulsionada em água - espessura de 0,5 mm</t>
  </si>
  <si>
    <t>5214003</t>
  </si>
  <si>
    <t>Pintura de setas e zebrados com termoplástico por aspersão - espessura de 1,5 mm</t>
  </si>
  <si>
    <t>5213409</t>
  </si>
  <si>
    <t>Pintura de setas e zebrados com termoplástico por extrusão - espessura de 3,0 mm</t>
  </si>
  <si>
    <t>5213404</t>
  </si>
  <si>
    <t>Pintura de setas e zebrados com tinta acrílica - espessura de 0,4 mm</t>
  </si>
  <si>
    <t>5213405</t>
  </si>
  <si>
    <t>Pintura de setas e zebrados com tinta acrílica - espessura de 0,6 mm</t>
  </si>
  <si>
    <t>5214002</t>
  </si>
  <si>
    <t>Pintura de setas e zebrados com tinta acrílica emulsionada em água - espessura de 0,3 mm</t>
  </si>
  <si>
    <t>5213406</t>
  </si>
  <si>
    <t>Pintura de setas e zebrados com tinta acrílica emulsionada em água - espessura de 0,4 mm</t>
  </si>
  <si>
    <t>5213407</t>
  </si>
  <si>
    <t>Pintura de setas e zebrados com tinta acrílica emulsionada em água - espessura de 0,5 mm</t>
  </si>
  <si>
    <t>5212552</t>
  </si>
  <si>
    <t>Pintura eletrostática a pó com tinta poliéster em chapa de aço</t>
  </si>
  <si>
    <t>5213464</t>
  </si>
  <si>
    <t>Placa de advertência em aço, lado de 0,60 m - película retrorrefletiva tipo I + SI - fornecimento e implantação</t>
  </si>
  <si>
    <t>5213465</t>
  </si>
  <si>
    <t>Placa de advertência em aço, lado de 0,80 m - película retrorrefletiva tipo I + SI - fornecimento e implantação</t>
  </si>
  <si>
    <t>5213466</t>
  </si>
  <si>
    <t>Placa de advertência em aço, lado de 1,00 m - película retrorrefletiva tipo I + SI - fornecimento e implantação</t>
  </si>
  <si>
    <t>5213467</t>
  </si>
  <si>
    <t>Placa de advertência em aço, lado de 1,20 m - película retrorrefletiva tipo III + SI - fornecimento e implantação</t>
  </si>
  <si>
    <t>5213468</t>
  </si>
  <si>
    <t>Placa de advertência em fibra, lado de 0,60 m - película retrorrefletiva tipo I + SI - fornecimento e implantação</t>
  </si>
  <si>
    <t>5213469</t>
  </si>
  <si>
    <t>Placa de advertência em fibra, lado de 0,80 m - película retrorrefletiva tipo I + SI - fornecimento e implantação</t>
  </si>
  <si>
    <t>5213470</t>
  </si>
  <si>
    <t>Placa de advertência em fibra, lado de 1,00 m - película retrorrefletiva tipo I + SI - fornecimento e implantação</t>
  </si>
  <si>
    <t>5213471</t>
  </si>
  <si>
    <t>Placa de advertência em fibra, lado de 1,20 m - película retrorrefletiva tipo III + SI - fornecimento e implantação</t>
  </si>
  <si>
    <t>5212560</t>
  </si>
  <si>
    <t>Placa de advertência para sinalização de obras montada em suporte metálico móvel, lado 1,00 m - utilização de 600 ciclos - fornecimento, 01 implantação e 01 retirada diária</t>
  </si>
  <si>
    <t>5213472</t>
  </si>
  <si>
    <t>Placa de marco quilométrico em aço - 0,60 x 0,865 m - película retrorrefletiva tipo I + I - fornecimento e implantação</t>
  </si>
  <si>
    <t>5213473</t>
  </si>
  <si>
    <t>Placa de marco quilométrico em aço - 0,70 x 1,00 m - película retrorrefletiva tipo I + III - fornecimento e implantação</t>
  </si>
  <si>
    <t>5213474</t>
  </si>
  <si>
    <t>Placa de marco quilométrico em fibra - 0,60 x 0,865 m - película retrorrefletiva tipo I + I - fornecimento e implantação</t>
  </si>
  <si>
    <t>5213475</t>
  </si>
  <si>
    <t>Placa de marco quilométrico em fibra - 0,70 x 1,00 m - película retrorrefletiva tipo I + III - fornecimento e implantação</t>
  </si>
  <si>
    <t>5213440</t>
  </si>
  <si>
    <t>Placa de regulamentação em aço D = 0,60 m - película retrorrefletiva tipo I + SI - fornecimento e implantação</t>
  </si>
  <si>
    <t>5213441</t>
  </si>
  <si>
    <t>Placa de regulamentação em aço D = 0,80 m - película retrorrefletiva tipo I + SI - fornecimento e implantação</t>
  </si>
  <si>
    <t>5213442</t>
  </si>
  <si>
    <t>Placa de regulamentação em aço D = 1,00 m - película retrorrefletiva tipo I + SI - fornecimento e implantação</t>
  </si>
  <si>
    <t>5213443</t>
  </si>
  <si>
    <t>Placa de regulamentação em aço D = 1,20 m - película retrorrefletiva tipo III + SI - fornecimento e implantação</t>
  </si>
  <si>
    <t>5213444</t>
  </si>
  <si>
    <t>Placa de regulamentação em aço, R1 lado 0,248 m - película retrorrefletiva tipo I + SI - fornecimento e implantação</t>
  </si>
  <si>
    <t>5213445</t>
  </si>
  <si>
    <t>Placa de regulamentação em aço, R1 lado 0,331 m - película retrorrefletiva tipo I + SI - fornecimento e implantação</t>
  </si>
  <si>
    <t>5213446</t>
  </si>
  <si>
    <t>Placa de regulamentação em aço, R1 lado 0,414 m - película retrorrefletiva tipo I + SI - fornecimento e implantação</t>
  </si>
  <si>
    <t>5213447</t>
  </si>
  <si>
    <t>Placa de regulamentação em aço, R1 lado 0,497 m - película retrorrefletiva tipo III + SI - fornecimento e implantação</t>
  </si>
  <si>
    <t>5213448</t>
  </si>
  <si>
    <t>Placa de regulamentação em aço, R2 lado 0,60 m - película retrorrefletiva tipo I + SI - fornecimento e implantação</t>
  </si>
  <si>
    <t>5213449</t>
  </si>
  <si>
    <t>Placa de regulamentação em aço, R2 lado 0,80 m - película retrorrefletiva tipo I + SI - fornecimento e implantação</t>
  </si>
  <si>
    <t>5213450</t>
  </si>
  <si>
    <t>Placa de regulamentação em aço, R2 lado 1,00 m - película retrorrefletiva tipo I + SI - fornecimento e implantação</t>
  </si>
  <si>
    <t>5213451</t>
  </si>
  <si>
    <t>Placa de regulamentação em aço, R2 lado 1,20 m - película retrorrefletiva tipo III + SI - fornecimento e implantação</t>
  </si>
  <si>
    <t>5213452</t>
  </si>
  <si>
    <t>Placa de regulamentação em fibra, D = 0,60 m - película retrorrefletiva tipo I + SI - fornecimento e implantação</t>
  </si>
  <si>
    <t>5213453</t>
  </si>
  <si>
    <t>Placa de regulamentação em fibra, D = 0,80 m - película retrorrefletiva tipo I + SI - fornecimento e implantação</t>
  </si>
  <si>
    <t>5213454</t>
  </si>
  <si>
    <t>Placa de regulamentação em fibra, D = 1,00 m - película retrorrefletiva tipo I + SI - fornecimento e implantação</t>
  </si>
  <si>
    <t>5213455</t>
  </si>
  <si>
    <t>Placa de regulamentação em fibra, D = 1,20 m - película retrorrefletiva tipo III + SI - fornecimento e implantação</t>
  </si>
  <si>
    <t>5213456</t>
  </si>
  <si>
    <t>Placa de regulamentação em fibra, R1 lado 0,248 m - película retrorrefletiva tipo I + SI - fornecimento e implantação</t>
  </si>
  <si>
    <t>5213457</t>
  </si>
  <si>
    <t>Placa de regulamentação em fibra, R1 lado 0,331 m - película retrorrefletiva tipo I + SI - fornecimento e implantação</t>
  </si>
  <si>
    <t>5213458</t>
  </si>
  <si>
    <t>Placa de regulamentação em fibra, R1 lado 0,414 m - película retrorrefletiva tipo I + SI - fornecimento e implantação</t>
  </si>
  <si>
    <t>5213459</t>
  </si>
  <si>
    <t>Placa de regulamentação em fibra, R1 lado 0,497 m - película retrorrefletiva tipo III + SI - fornecimento e implantação</t>
  </si>
  <si>
    <t>5213460</t>
  </si>
  <si>
    <t>Placa de regulamentação em fibra, R2 lado 0,60 m - película retrorrefletiva tipo I + SI - fornecimento e implantação</t>
  </si>
  <si>
    <t>5213461</t>
  </si>
  <si>
    <t>Placa de regulamentação em fibra, R2 lado 0,80 m - película retrorrefletiva tipo I + SI - fornecimento e implantação</t>
  </si>
  <si>
    <t>5213462</t>
  </si>
  <si>
    <t>Placa de regulamentação em fibra, R2 lado 1,00 m - película retrorrefletiva tipo I + SI - fornecimento e implantação</t>
  </si>
  <si>
    <t>5213463</t>
  </si>
  <si>
    <t>Placa de regulamentação em fibra, R2 lado 1,20 m - película retrorrefletiva tipo I + SI - fornecimento e implantação</t>
  </si>
  <si>
    <t>5212557</t>
  </si>
  <si>
    <t>Placa de regulamentação para sinalização de obras montada em suporte metálico móvel - D = 1,00 m - utilização de 600 ciclos - fornecimento, 01 implantação e 01 retirada diária</t>
  </si>
  <si>
    <t>5212558</t>
  </si>
  <si>
    <t>Placa de regulamentação para sinalização de obras montada em suporte metálico móvel, R1 lado 0,414 m - utilização de 600 ciclos - fornecimento, 01 implantação e 01 retirada diária</t>
  </si>
  <si>
    <t>5212559</t>
  </si>
  <si>
    <t>Placa de regulamentação para sinalização de obras montada em suporte metálico móvel, R2 lado 1,00 m - utilização de 600 ciclos - fornecimento, 01 implantação e 01 retirada diária</t>
  </si>
  <si>
    <t>5213477</t>
  </si>
  <si>
    <t>Placa delineador em aço - 0,30 x 0,90 m - película retrorrefletiva tipo I + IV - fornecimento e implantação</t>
  </si>
  <si>
    <t>5213476</t>
  </si>
  <si>
    <t>Placa delineador em aço - 0,50 x 0,60 m - película retrorrefletiva tipo I + IV - fornecimento e implantação</t>
  </si>
  <si>
    <t>5213479</t>
  </si>
  <si>
    <t>Placa delineador em fibra - 0,30 x 0,90 m - película retrorrefletiva tipo I + IV - fornecimento e implantação</t>
  </si>
  <si>
    <t>5213478</t>
  </si>
  <si>
    <t>Placa delineador em fibra - 0,50 x 0,60 m - película retrorrefletiva tipo I + IV - fornecimento e implantação</t>
  </si>
  <si>
    <t>5213489</t>
  </si>
  <si>
    <t>Placa em aço - 2,00 x 1,00 m - película retrorrefletiva tipo I + I - fornecimento e implantação</t>
  </si>
  <si>
    <t>5213498</t>
  </si>
  <si>
    <t>Placa em aço - 2,00 x 1,00 m - película retrorrefletiva tipo I + III - fornecimento e implantação</t>
  </si>
  <si>
    <t>5213365</t>
  </si>
  <si>
    <t>Placa em aço - 2,00 x 1,00 m - película retrorrefletiva tipo I + X - fornecimento e implantação</t>
  </si>
  <si>
    <t>5213507</t>
  </si>
  <si>
    <t>Placa em aço - 2,00 x 1,00 m - película retrorrefletiva tipo III + III - fornecimento e implantação</t>
  </si>
  <si>
    <t>5213372</t>
  </si>
  <si>
    <t>Placa em aço - 2,00 x 1,00 m - película retrorrefletiva tipo III + X - fornecimento e implantação</t>
  </si>
  <si>
    <t>5213490</t>
  </si>
  <si>
    <t>Placa em aço - 3,00 x 1,50 m - película retrorrefletiva tipo I + I - fornecimento e implantação</t>
  </si>
  <si>
    <t>5213499</t>
  </si>
  <si>
    <t>Placa em aço - 3,00 x 1,50 m - película retrorrefletiva tipo I + III - fornecimento e implantação</t>
  </si>
  <si>
    <t>5213366</t>
  </si>
  <si>
    <t>Placa em aço - 3,00 x 1,50 m - película retrorrefletiva tipo I + X - fornecimento e implantação</t>
  </si>
  <si>
    <t>5213508</t>
  </si>
  <si>
    <t>Placa em aço - 3,00 x 1,50 m - película retrorrefletiva tipo III + III - fornecimento e implantação</t>
  </si>
  <si>
    <t>5213373</t>
  </si>
  <si>
    <t>Placa em aço - 3,00 x 1,50 m - película retrorrefletiva tipo III + X - fornecimento e implantação</t>
  </si>
  <si>
    <t>5213491</t>
  </si>
  <si>
    <t>Placa em aço - 3,00 x 2,00 m - película retrorrefletiva tipo I + I - fornecimento e implantação</t>
  </si>
  <si>
    <t>5213500</t>
  </si>
  <si>
    <t>Placa em aço - 3,00 x 2,00 m - película retrorrefletiva tipo I + III - fornecimento e implantação</t>
  </si>
  <si>
    <t>5213369</t>
  </si>
  <si>
    <t>Placa em aço - 3,00 x 2,00 m - película retrorrefletiva tipo I + X - fornecimento e implantação</t>
  </si>
  <si>
    <t>5213509</t>
  </si>
  <si>
    <t>Placa em aço - 3,00 x 2,00 m - película retrorrefletiva tipo III + III - fornecimento e implantação</t>
  </si>
  <si>
    <t>5213374</t>
  </si>
  <si>
    <t>Placa em aço - 3,00 x 2,00 m - película retrorrefletiva tipo III + X - fornecimento e implantação</t>
  </si>
  <si>
    <t>5213492</t>
  </si>
  <si>
    <t>Placa em aço - 4,00 x 2,00 m - película retrorrefletiva tipo I + I - fornecimento e implantação</t>
  </si>
  <si>
    <t>5213501</t>
  </si>
  <si>
    <t>Placa em aço - 4,00 x 2,00 m - película retrorrefletiva tipo I + III - fornecimento e implantação</t>
  </si>
  <si>
    <t>5213370</t>
  </si>
  <si>
    <t>Placa em aço - 4,00 x 2,00 m - película retrorrefletiva tipo I + X - fornecimento e implantação</t>
  </si>
  <si>
    <t>5213510</t>
  </si>
  <si>
    <t>Placa em aço - 4,00 x 2,00 m - película retrorrefletiva tipo III + III - fornecimento e implantação</t>
  </si>
  <si>
    <t>5213375</t>
  </si>
  <si>
    <t>Placa em aço - 4,00 x 2,00 m - película retrorrefletiva tipo III + X - fornecimento e implantação</t>
  </si>
  <si>
    <t>5213494</t>
  </si>
  <si>
    <t>Placa em aço - 4,00 x 3,00 m - película retrorrefletiva tipo I + I - fornecimento e implantação</t>
  </si>
  <si>
    <t>5213503</t>
  </si>
  <si>
    <t>Placa em aço - 4,00 x 3,00 m - película retrorrefletiva tipo I + III - fornecimento e implantação</t>
  </si>
  <si>
    <t>5213371</t>
  </si>
  <si>
    <t>Placa em aço - 4,00 x 3,00 m - película retrorrefletiva tipo I + X - fornecimento e implantação</t>
  </si>
  <si>
    <t>5213512</t>
  </si>
  <si>
    <t>Placa em aço - 4,00 x 3,00 m - película retrorrefletiva tipo III + III - fornecimento e implantação</t>
  </si>
  <si>
    <t>5213376</t>
  </si>
  <si>
    <t>Placa em aço - 4,00 x 3,00 m - película retrorrefletiva tipo III + X - fornecimento e implantação</t>
  </si>
  <si>
    <t>5213377</t>
  </si>
  <si>
    <t>Placa em aço - película I + I - chapa recuperada - fornecimento e implantação</t>
  </si>
  <si>
    <t>5213570</t>
  </si>
  <si>
    <t>Placa em aço - película I + I - fornecimento e implantação</t>
  </si>
  <si>
    <t>5213378</t>
  </si>
  <si>
    <t>Placa em aço - película I + III - chapa recuperada - fornecimento e implantação</t>
  </si>
  <si>
    <t>5213571</t>
  </si>
  <si>
    <t>Placa em aço - película I + III - fornecimento e implantação</t>
  </si>
  <si>
    <t>5213379</t>
  </si>
  <si>
    <t>Placa em aço - película III + III - chapa recuperada - fornecimento e implantação</t>
  </si>
  <si>
    <t>5213572</t>
  </si>
  <si>
    <t>Placa em aço - película III + III - fornecimento e implantação</t>
  </si>
  <si>
    <t>5212553</t>
  </si>
  <si>
    <t>Placa em aço nº 16 galvanizado com película retrorrefletiva tipo I + I - chapa recuperada - confecção</t>
  </si>
  <si>
    <t>5213416</t>
  </si>
  <si>
    <t>Placa em aço nº 16 galvanizado com película retrorrefletiva tipo I + I - confecção</t>
  </si>
  <si>
    <t>5212554</t>
  </si>
  <si>
    <t>Placa em aço nº 16 galvanizado com película retrorrefletiva tipo I + III - chapa recuperada - confecção</t>
  </si>
  <si>
    <t>5213417</t>
  </si>
  <si>
    <t>Placa em aço nº 16 galvanizado com película retrorrefletiva tipo I + III - confecção</t>
  </si>
  <si>
    <t>5213421</t>
  </si>
  <si>
    <t>Placa em aço nº 16 galvanizado com película retrorrefletiva tipo I + IV - confecção</t>
  </si>
  <si>
    <t>5213414</t>
  </si>
  <si>
    <t>Placa em aço nº 16 galvanizado com película retrorrefletiva tipo I + SI - confecção</t>
  </si>
  <si>
    <t>5213419</t>
  </si>
  <si>
    <t>Placa em aço nº 16 galvanizado com película retrorrefletiva tipo I + X - confecção</t>
  </si>
  <si>
    <t>5212555</t>
  </si>
  <si>
    <t>Placa em aço nº 16 galvanizado com película retrorrefletiva tipo III + III - chapa recuperada - confecção</t>
  </si>
  <si>
    <t>5213418</t>
  </si>
  <si>
    <t>Placa em aço nº 16 galvanizado com película retrorrefletiva tipo III + III - confecção</t>
  </si>
  <si>
    <t>5213415</t>
  </si>
  <si>
    <t>Placa em aço nº 16 galvanizado com película retrorrefletiva tipo III + SI - confecção</t>
  </si>
  <si>
    <t>5213420</t>
  </si>
  <si>
    <t>Placa em aço nº 16 galvanizado com película retrorrefletiva tipo III + X - confecção</t>
  </si>
  <si>
    <t>5213543</t>
  </si>
  <si>
    <t>Placa em aço, modulada - 2,00 x 1,00 m - película retrorrefletiva tipo I + I - fornecimento e implantação</t>
  </si>
  <si>
    <t>5213552</t>
  </si>
  <si>
    <t>Placa em aço, modulada - 2,00 x 1,00 m - película retrorrefletiva tipo I + III - fornecimento e implantação</t>
  </si>
  <si>
    <t>5213561</t>
  </si>
  <si>
    <t>Placa em aço, modulada - 2,00 x 1,00 m - película retrorrefletiva tipo III + III - fornecimento e implantação</t>
  </si>
  <si>
    <t>5213544</t>
  </si>
  <si>
    <t>Placa em aço, modulada - 3,00 x 1,50 m - película retrorrefletiva tipo I + I - fornecimento e implantação</t>
  </si>
  <si>
    <t>5213553</t>
  </si>
  <si>
    <t>Placa em aço, modulada - 3,00 x 1,50 m - película retrorrefletiva tipo I + III - fornecimento e implantação</t>
  </si>
  <si>
    <t>5213562</t>
  </si>
  <si>
    <t>Placa em aço, modulada - 3,00 x 1,50 m - película retrorrefletiva tipo III + III - fornecimento e implantação</t>
  </si>
  <si>
    <t>5213545</t>
  </si>
  <si>
    <t>Placa em aço, modulada - 3,00 x 2,00 m - película retrorrefletiva tipo I + I - fornecimento e implantação</t>
  </si>
  <si>
    <t>5213554</t>
  </si>
  <si>
    <t>Placa em aço, modulada - 3,00 x 2,00 m - película retrorrefletiva tipo I + III - fornecimento e implantação</t>
  </si>
  <si>
    <t>5213563</t>
  </si>
  <si>
    <t>Placa em aço, modulada - 3,00 x 2,00 m - película retrorrefletiva tipo III + III - fornecimento e implantação</t>
  </si>
  <si>
    <t>5213546</t>
  </si>
  <si>
    <t>Placa em aço, modulada - 4,00 x 2,00 m - película retrorrefletiva tipo I + I - fornecimento e implantação</t>
  </si>
  <si>
    <t>5213555</t>
  </si>
  <si>
    <t>Placa em aço, modulada - 4,00 x 2,00 m - película retrorrefletiva tipo I + III - fornecimento e implantação</t>
  </si>
  <si>
    <t>5213564</t>
  </si>
  <si>
    <t>Placa em aço, modulada - 4,00 x 2,00 m - película retrorrefletiva tipo III + III - fornecimento e implantação</t>
  </si>
  <si>
    <t>5213548</t>
  </si>
  <si>
    <t>Placa em aço, modulada - 4,00 x 3,00 m - película retrorrefletiva tipo I + I - fornecimento e implantação</t>
  </si>
  <si>
    <t>5213557</t>
  </si>
  <si>
    <t>Placa em aço, modulada - 4,00 x 3,00 m - película retrorrefletiva tipo I + III - fornecimento e implantação</t>
  </si>
  <si>
    <t>5213566</t>
  </si>
  <si>
    <t>Placa em aço, modulada - 4,00 x 3,00 m - película retrorrefletiva tipo III + III - fornecimento e implantação</t>
  </si>
  <si>
    <t>5213576</t>
  </si>
  <si>
    <t>Placa em aço, modulada - acima de 2 m² - película I + I - fornecimento e implantação</t>
  </si>
  <si>
    <t>5213577</t>
  </si>
  <si>
    <t>Placa em aço, modulada - acima de 2 m² - película I + III - fornecimento e implantação</t>
  </si>
  <si>
    <t>5213578</t>
  </si>
  <si>
    <t>Placa em aço, modulada - acima de 2 m² - película III + III - fornecimento e implantação</t>
  </si>
  <si>
    <t>5213425</t>
  </si>
  <si>
    <t>Placa em alumínio composto de 3 mm, modulada, aérea, com película retrorrefletiva tipo I + III - confecção</t>
  </si>
  <si>
    <t>5213426</t>
  </si>
  <si>
    <t>Placa em alumínio composto de 3 mm, modulada, aérea, com película retrorrefletiva tipo III + III - confecção</t>
  </si>
  <si>
    <t>5213427</t>
  </si>
  <si>
    <t>Placa em alumínio composto de 3 mm, modulada, aérea, com película retrorrefletiva tipo III + X - confecção</t>
  </si>
  <si>
    <t>5213567</t>
  </si>
  <si>
    <t>Placa em alumínio composto de 3 mm, modulada, aérea, com película retrorrefletiva tipo X + SI - confecção</t>
  </si>
  <si>
    <t>5213486</t>
  </si>
  <si>
    <t>Placa em alumínio composto, espessura de 3,0 mm, modulada, aérea - película retrorrefletiva tipo I + III - fornecimento e implantação</t>
  </si>
  <si>
    <t>5213487</t>
  </si>
  <si>
    <t>Placa em alumínio composto, espessura de 3,0 mm, modulada, aérea - película retrorrefletiva tipo III + III - fornecimento e implantação</t>
  </si>
  <si>
    <t>5213488</t>
  </si>
  <si>
    <t>Placa em alumínio composto, espessura de 3,0 mm, modulada, aérea - película retrorrefletiva tipo III + X - fornecimento e implantação</t>
  </si>
  <si>
    <t>5213568</t>
  </si>
  <si>
    <t>Placa em alumínio composto, espessura de 3,0 mm, modulada, aérea - película retrorrefletiva tipo X + SI - fornecimento e implantação</t>
  </si>
  <si>
    <t>5213483</t>
  </si>
  <si>
    <t>Placa em alumínio, espessura de 1,5 mm, modulada, aérea - película retrorrefletiva tipo I + III - fornecimento e implantação</t>
  </si>
  <si>
    <t>5213484</t>
  </si>
  <si>
    <t>Placa em alumínio, espessura de 1,5 mm, modulada, aérea - película retrorrefletiva tipo III + III - fornecimento e implantação</t>
  </si>
  <si>
    <t>5213485</t>
  </si>
  <si>
    <t>Placa em alumínio, espessura de 1,5 mm, modulada, aérea - película retrorrefletiva tipo III + X - fornecimento e implantação</t>
  </si>
  <si>
    <t>5213434</t>
  </si>
  <si>
    <t>Placa em alumínio, espessura de 1,5 mm, modulada, aérea, com película retrorrefletiva tipo I + III - confecção</t>
  </si>
  <si>
    <t>5213435</t>
  </si>
  <si>
    <t>Placa em alumínio, espessura de 1,5 mm, modulada, aérea, com película retrorrefletiva tipo III + III - confecção</t>
  </si>
  <si>
    <t>5213436</t>
  </si>
  <si>
    <t>Placa em alumínio, espessura de 1,5 mm, modulada, aérea, com película retrorrefletiva tipo III + X - confecção</t>
  </si>
  <si>
    <t>5213430</t>
  </si>
  <si>
    <t>Placa em chapa de poliéster reforçada com fibra de vidro com película retrorrefletiva tipo I + I - confecção</t>
  </si>
  <si>
    <t>5213431</t>
  </si>
  <si>
    <t>Placa em chapa de poliéster reforçada com fibra de vidro com película retrorrefletiva tipo I + III - confecção</t>
  </si>
  <si>
    <t>5213433</t>
  </si>
  <si>
    <t>Placa em chapa de poliéster reforçada com fibra de vidro com película retrorrefletiva tipo I + IV - confecção</t>
  </si>
  <si>
    <t>5213428</t>
  </si>
  <si>
    <t>Placa em chapa de poliéster reforçada com fibra de vidro com película retrorrefletiva tipo I + SI - confecção</t>
  </si>
  <si>
    <t>5213432</t>
  </si>
  <si>
    <t>Placa em chapa de poliéster reforçada com fibra de vidro com película retrorrefletiva tipo III + III - confecção</t>
  </si>
  <si>
    <t>5213429</t>
  </si>
  <si>
    <t>Placa em chapa de poliéster reforçada com fibra de vidro com película retrorrefletiva tipo III + SI - confecção</t>
  </si>
  <si>
    <t>5213516</t>
  </si>
  <si>
    <t>Placa em fibra - 2,00 x 1,00 m - película retrorrefletiva tipo I + I - fornecimento e implantação</t>
  </si>
  <si>
    <t>5213525</t>
  </si>
  <si>
    <t>Placa em fibra - 2,00 x 1,00 m - película retrorrefletiva tipo I + III - fornecimento e implantação</t>
  </si>
  <si>
    <t>5213534</t>
  </si>
  <si>
    <t>Placa em fibra - 2,00 x 1,00 m - película retrorrefletiva tipo III + III - fornecimento e implantação</t>
  </si>
  <si>
    <t>5213517</t>
  </si>
  <si>
    <t>Placa em fibra - 3,00 x 1,50 m - película retrorrefletiva tipo I + I - fornecimento e implantação</t>
  </si>
  <si>
    <t>5213526</t>
  </si>
  <si>
    <t>Placa em fibra - 3,00 x 1,50 m - película retrorrefletiva tipo I + III - fornecimento e implantação</t>
  </si>
  <si>
    <t>5213535</t>
  </si>
  <si>
    <t>Placa em fibra - 3,00 x 1,50 m - película retrorrefletiva tipo III + III - fornecimento e implantação</t>
  </si>
  <si>
    <t>5213518</t>
  </si>
  <si>
    <t>Placa em fibra - 3,00 x 2,00 m - película retrorrefletiva tipo I + I - fornecimento e implantação</t>
  </si>
  <si>
    <t>5213527</t>
  </si>
  <si>
    <t>Placa em fibra - 3,00 x 2,00 m - película retrorrefletiva tipo I + III - fornecimento e implantação</t>
  </si>
  <si>
    <t>5213536</t>
  </si>
  <si>
    <t>Placa em fibra - 3,00 x 2,00 m - película retrorrefletiva tipo III + III - fornecimento e implantação</t>
  </si>
  <si>
    <t>5213519</t>
  </si>
  <si>
    <t>Placa em fibra - 4,00 x 2,00 m - película retrorrefletiva tipo I + I - fornecimento e implantação</t>
  </si>
  <si>
    <t>5213528</t>
  </si>
  <si>
    <t>Placa em fibra - 4,00 x 2,00 m - película retrorrefletiva tipo I + III - fornecimento e implantação</t>
  </si>
  <si>
    <t>5213537</t>
  </si>
  <si>
    <t>Placa em fibra - 4,00 x 2,00 m - película retrorrefletiva tipo III + III - fornecimento e implantação</t>
  </si>
  <si>
    <t>5213521</t>
  </si>
  <si>
    <t>Placa em fibra - 4,00 x 3,00 m - película retrorrefletiva tipo I + I - fornecimento e implantação</t>
  </si>
  <si>
    <t>5213530</t>
  </si>
  <si>
    <t>Placa em fibra - 4,00 x 3,00 m - película retrorrefletiva tipo I + III - fornecimento e implantação</t>
  </si>
  <si>
    <t>5213539</t>
  </si>
  <si>
    <t>Placa em fibra - 4,00 x 3,00 m - película retrorrefletiva tipo III + III - fornecimento e implantação</t>
  </si>
  <si>
    <t>5213573</t>
  </si>
  <si>
    <t>Placa em fibra - película I + I - fornecimento e implantação</t>
  </si>
  <si>
    <t>5213574</t>
  </si>
  <si>
    <t>Placa em fibra - película I + III - fornecimento e implantação</t>
  </si>
  <si>
    <t>5213575</t>
  </si>
  <si>
    <t>Placa em fibra - película III + III - fornecimento e implantação</t>
  </si>
  <si>
    <t>5213480</t>
  </si>
  <si>
    <t>Placa em fibra, modulada, aérea - película retrorrefletiva tipo I + III - fornecimento e implantação</t>
  </si>
  <si>
    <t>5213481</t>
  </si>
  <si>
    <t>Placa em fibra, modulada, aérea - película retrorrefletiva tipo III + III - fornecimento e implantação</t>
  </si>
  <si>
    <t>5213482</t>
  </si>
  <si>
    <t>Placa em fibra, modulada, aérea - película retrorrefletiva tipo III + X - fornecimento e implantação</t>
  </si>
  <si>
    <t>5213422</t>
  </si>
  <si>
    <t>Placa modulada em aço nº 18 galvanizado com película retrorrefletiva tipo I + I - confecção</t>
  </si>
  <si>
    <t>5213423</t>
  </si>
  <si>
    <t>Placa modulada em aço nº 18 galvanizado com película retrorrefletiva tipo I + III - confecção</t>
  </si>
  <si>
    <t>5213424</t>
  </si>
  <si>
    <t>Placa modulada em aço nº 18 galvanizado com película retrorrefletiva tipo III + III - confecção</t>
  </si>
  <si>
    <t>5213437</t>
  </si>
  <si>
    <t>Placa modulada em chapa de poliéster reforçada com fibra de vidro, aérea, com película retrorrefletiva tipo I + III - confecção</t>
  </si>
  <si>
    <t>5213438</t>
  </si>
  <si>
    <t>Placa modulada em chapa de poliéster reforçada com fibra de vidro, aérea, com película retrorrefletiva tipo III + III - confecção</t>
  </si>
  <si>
    <t>5213439</t>
  </si>
  <si>
    <t>Placa modulada em chapa de poliéster reforçada com fibra de vidro, aérea, com película retrorrefletiva tipo III + X - confecção</t>
  </si>
  <si>
    <t>5212556</t>
  </si>
  <si>
    <t>Placa para sinalização de obras montada em cavalete metálico - 1,00 x 1,00 m - utilização de 600 ciclos - fornecimento, 01 implantação e 01 retirada diária</t>
  </si>
  <si>
    <t>5213649</t>
  </si>
  <si>
    <t>Pórtico metálico com vão de 15,9 m, vento de 35 m/s e área de exposição de até 23,85 m² - fornecimento e implantação - areia e brita comerciais</t>
  </si>
  <si>
    <t>5213591</t>
  </si>
  <si>
    <t>Pórtico metálico com vão de 15,9 m, vento de 35 m/s e área de exposição de até 23,85 m² - fornecimento e implantação - areia extraída e brita produzida</t>
  </si>
  <si>
    <t>5213718</t>
  </si>
  <si>
    <t>Pórtico metálico com vão de 15,9 m, vento de 40 m/s e área de exposição de até 23,85 m² - fornecimento e implantação - areia e brita comerciais</t>
  </si>
  <si>
    <t>5213741</t>
  </si>
  <si>
    <t>Pórtico metálico com vão de 15,9 m, vento de 40 m/s e área de exposição de até 23,85 m² - fornecimento e implantação - areia extraída e brita produzida</t>
  </si>
  <si>
    <t>5213776</t>
  </si>
  <si>
    <t>Pórtico metálico com vão de 15,9 m, vento de 45 m/s e área de exposição de até 23,85 m² - fornecimento e implantação - areia e brita comerciais</t>
  </si>
  <si>
    <t>5213799</t>
  </si>
  <si>
    <t>Pórtico metálico com vão de 15,9 m, vento de 45 m/s e área de exposição de até 23,85 m² - fornecimento e implantação - areia extraída e brita produzida</t>
  </si>
  <si>
    <t>5213363</t>
  </si>
  <si>
    <t>Recuperação de chapa em aço para placa de sinalização</t>
  </si>
  <si>
    <t>5213667</t>
  </si>
  <si>
    <t>Remoção da estrutura de pórtico metálico</t>
  </si>
  <si>
    <t>5213683</t>
  </si>
  <si>
    <t>Remoção da estrutura de semipórtico duplo metálico</t>
  </si>
  <si>
    <t>5213660</t>
  </si>
  <si>
    <t>Remoção da estrutura de semipórtico metálico</t>
  </si>
  <si>
    <t>5213364</t>
  </si>
  <si>
    <t>Remoção de placa de sinalização</t>
  </si>
  <si>
    <t>5213832</t>
  </si>
  <si>
    <t>Remoção de sinalização horizontal com maçarico</t>
  </si>
  <si>
    <t>5213830</t>
  </si>
  <si>
    <t>Remoção de sinalização horizontal por fresagem</t>
  </si>
  <si>
    <t>5213831</t>
  </si>
  <si>
    <t>Remoção de sinalização horizontal tipo pintura acrílica por jateamento abrasivo úmido com vidro - utilização de 3 vezes</t>
  </si>
  <si>
    <t>5213849</t>
  </si>
  <si>
    <t>Semáforo móvel com 3 lentes D = 200 mm</t>
  </si>
  <si>
    <t>5213636</t>
  </si>
  <si>
    <t>Semipórtico duplo metálico com vão de 2 x 8,3 m, vento de 35 m/s e área de exposição de até 2 x 12,45 m² - fornecimento e implantação - areia e brita comerciais</t>
  </si>
  <si>
    <t>5213642</t>
  </si>
  <si>
    <t>Semipórtico duplo metálico com vão de 2 x 8,3 m, vento de 35 m/s e área de exposição de até 2 x 12,45 m² - fornecimento e implantação - areia extraída e brita produzida</t>
  </si>
  <si>
    <t>5213757</t>
  </si>
  <si>
    <t>Semipórtico duplo metálico com vão de 2 x 8,3 m, vento de 40 m/s e área de exposição de até 2 x 12,45 m² - fornecimento e implantação - areia e brita comerciais</t>
  </si>
  <si>
    <t>5213763</t>
  </si>
  <si>
    <t>Semipórtico duplo metálico com vão de 2 x 8,3 m, vento de 40 m/s e área de exposição de até 2 x 12,45 m² - fornecimento e implantação - areia extraída e brita produzida</t>
  </si>
  <si>
    <t>5213815</t>
  </si>
  <si>
    <t>Semipórtico duplo metálico com vão de 2 x 8,3 m, vento de 45 m/s e área de exposição de até 2 x 12,45 m² - fornecimento e implantação - areia e brita comerciais</t>
  </si>
  <si>
    <t>5213821</t>
  </si>
  <si>
    <t>Semipórtico duplo metálico com vão de 2 x 8,3 m, vento de 45 m/s e área de exposição de até 2 x 12,45 m² - fornecimento e implantação - areia extraída e brita produzida</t>
  </si>
  <si>
    <t>5213630</t>
  </si>
  <si>
    <t>Semipórtico metálico com vão de 8,3 m, vento de 35 m/s e área de exposição de até 12,45 m² - fornecimento e implantação - areia e brita comerciais</t>
  </si>
  <si>
    <t>5213584</t>
  </si>
  <si>
    <t>Semipórtico metálico com vão de 8,3 m, vento de 35 m/s e área de exposição de até 12,45 m² - fornecimento e implantação - areia extraída e brita produzida</t>
  </si>
  <si>
    <t>5213711</t>
  </si>
  <si>
    <t>Semipórtico metálico com vão de 8,3 m, vento de 40 m/s e área de exposição de até 12,45 m² - fornecimento e implantação - areia e brita comerciais</t>
  </si>
  <si>
    <t>5213734</t>
  </si>
  <si>
    <t>Semipórtico metálico com vão de 8,3 m, vento de 40 m/s e área de exposição de até 12,45 m² - fornecimento e implantação - areia extraída e brita produzida</t>
  </si>
  <si>
    <t>5213769</t>
  </si>
  <si>
    <t>Semipórtico metálico com vão de 8,3 m, vento de 45 m/s e área de exposição de até 12,45 m² - fornecimento e implantação - areia e brita comerciais</t>
  </si>
  <si>
    <t>5213792</t>
  </si>
  <si>
    <t>Semipórtico metálico com vão de 8,3 m, vento de 45 m/s e área de exposição de até 12,45 m² - fornecimento e implantação - areia extraída e brita produzida</t>
  </si>
  <si>
    <t>5213844</t>
  </si>
  <si>
    <t>Sinalizador direcional móvel, LED, com banco fotovoltaico de energia e montado em chassi com engate</t>
  </si>
  <si>
    <t>5213869</t>
  </si>
  <si>
    <t>Suporte duplo metálico galvanizado para placas - 3,00 x 1,50 m - fornecimento e implantação</t>
  </si>
  <si>
    <t>5213870</t>
  </si>
  <si>
    <t>Suporte duplo metálico galvanizado para placas - 3,00 x 2,00 m - fornecimento e implantação</t>
  </si>
  <si>
    <t>5213871</t>
  </si>
  <si>
    <t>Suporte duplo metálico galvanizado para placas - 4,00 x 2,00 m - fornecimento e implantação</t>
  </si>
  <si>
    <t>5213872</t>
  </si>
  <si>
    <t>Suporte duplo metálico galvanizado para placas - 4,00 x 3,00 m - fornecimento e implantação</t>
  </si>
  <si>
    <t>5213867</t>
  </si>
  <si>
    <t>Suporte metálico galvanizado para marco quilométrico - fornecimento e implantação</t>
  </si>
  <si>
    <t>5213863</t>
  </si>
  <si>
    <t>Suporte metálico galvanizado para placa de advertência ou regulamentação - lado ou diâmetro de 0,60 m - fornecimento e implantação</t>
  </si>
  <si>
    <t>5213864</t>
  </si>
  <si>
    <t>Suporte metálico galvanizado para placa de advertência ou regulamentação - lado ou diâmetro de 0,80 m - fornecimento e implantação</t>
  </si>
  <si>
    <t>5213865</t>
  </si>
  <si>
    <t>Suporte metálico galvanizado para placa de advertência ou regulamentação - lado ou diâmetro de 1,00 m - fornecimento e implantação</t>
  </si>
  <si>
    <t>5213866</t>
  </si>
  <si>
    <t>Suporte metálico galvanizado para placa de advertência ou regulamentação - lado ou diâmetro de 1,20 m - fornecimento e implantação</t>
  </si>
  <si>
    <t>5213855</t>
  </si>
  <si>
    <t>Suporte metálico galvanizado para placa de regulamentação - R1 - lado de 0,248 m - fornecimento e implantação</t>
  </si>
  <si>
    <t>5213856</t>
  </si>
  <si>
    <t>Suporte metálico galvanizado para placa de regulamentação - R1 - lado de 0,331 m - fornecimento e implantação</t>
  </si>
  <si>
    <t>5213857</t>
  </si>
  <si>
    <t>Suporte metálico galvanizado para placa de regulamentação - R1 - lado de 0,414 m - fornecimento e implantação</t>
  </si>
  <si>
    <t>5213858</t>
  </si>
  <si>
    <t>Suporte metálico galvanizado para placa de regulamentação - R1 - lado de 0,497 m - fornecimento e implantação</t>
  </si>
  <si>
    <t>5213859</t>
  </si>
  <si>
    <t>Suporte metálico galvanizado para placa de regulamentação - R2 - lado de 0,60 m - fornecimento e implantação</t>
  </si>
  <si>
    <t>5213860</t>
  </si>
  <si>
    <t>Suporte metálico galvanizado para placa de regulamentação - R2 - lado de 0,80 m - fornecimento e implantação</t>
  </si>
  <si>
    <t>5213861</t>
  </si>
  <si>
    <t>Suporte metálico galvanizado para placa de regulamentação - R2 - lado de 1,00 m - fornecimento e implantação</t>
  </si>
  <si>
    <t>5213862</t>
  </si>
  <si>
    <t>Suporte metálico galvanizado para placa de regulamentação - R2 - lado de 1,20 m - fornecimento e implantação</t>
  </si>
  <si>
    <t>5213868</t>
  </si>
  <si>
    <t>Suporte metálico galvanizado para placas - 2,00 x 1,00 m - fornecimento e implantação</t>
  </si>
  <si>
    <t>5219546</t>
  </si>
  <si>
    <t>Suporte metálico móvel para placa de sinalização - confecção</t>
  </si>
  <si>
    <t>5216111</t>
  </si>
  <si>
    <t>5213351</t>
  </si>
  <si>
    <t>Suporte polimérico ecológico maciço colapsível D = 6,5 cm para placa de sinalização - fornecimento e implantação</t>
  </si>
  <si>
    <t>5213350</t>
  </si>
  <si>
    <t>Suporte polimérico ecológico maciço colapsível quadrado de 10 cm para placa de sinalização - fornecimento e implantação</t>
  </si>
  <si>
    <t>5213352</t>
  </si>
  <si>
    <t>Suporte polimérico ecológico maciço colapsível quadrado de 8 cm para placa de sinalização - fornecimento e implantação</t>
  </si>
  <si>
    <t>5213353</t>
  </si>
  <si>
    <t>Suporte polimérico ecológico maciço colapsível retangular de 7 x 15 cm para placa de sinalização - fornecimento e implantação</t>
  </si>
  <si>
    <t>5213360</t>
  </si>
  <si>
    <t>Tacha refletiva em plástico injetado - bidirecional tipo I - com um pino - fornecimento e colocação</t>
  </si>
  <si>
    <t>5219605</t>
  </si>
  <si>
    <t>Tacha refletiva em plástico injetado - bidirecional tipo I - fornecimento e colocação</t>
  </si>
  <si>
    <t>5219606</t>
  </si>
  <si>
    <t>Tacha refletiva em plástico injetado - bidirecional tipo II - com um pino - fornecimento e colocação</t>
  </si>
  <si>
    <t>5219607</t>
  </si>
  <si>
    <t>Tacha refletiva em plástico injetado - bidirecional tipo II - fornecimento e colocação</t>
  </si>
  <si>
    <t>5219608</t>
  </si>
  <si>
    <t>Tacha refletiva em plástico injetado - bidirecional tipo III - com um pino - fornecimento e colocação</t>
  </si>
  <si>
    <t>5219609</t>
  </si>
  <si>
    <t>Tacha refletiva em plástico injetado - bidirecional tipo III - fornecimento e colocação</t>
  </si>
  <si>
    <t>5219610</t>
  </si>
  <si>
    <t>Tacha refletiva em plástico injetado - bidirecional tipo IV - com um pino - fornecimento e colocação</t>
  </si>
  <si>
    <t>5219611</t>
  </si>
  <si>
    <t>Tacha refletiva em plástico injetado - bidirecional tipo IV - fornecimento e colocação</t>
  </si>
  <si>
    <t>5213359</t>
  </si>
  <si>
    <t>Tacha refletiva em plástico injetado - monodirecional tipo I - com um pino - fornecimento e colocação</t>
  </si>
  <si>
    <t>5219612</t>
  </si>
  <si>
    <t>Tacha refletiva em plástico injetado - monodirecional tipo I - fornecimento e colocação</t>
  </si>
  <si>
    <t>5219613</t>
  </si>
  <si>
    <t>Tacha refletiva em plástico injetado - monodirecional tipo II - com um pino - fornecimento e colocação</t>
  </si>
  <si>
    <t>5219614</t>
  </si>
  <si>
    <t>Tacha refletiva em plástico injetado - monodirecional tipo II - fornecimento e colocação</t>
  </si>
  <si>
    <t>5219615</t>
  </si>
  <si>
    <t>Tacha refletiva em plástico injetado - monodirecional tipo III - com um pino - fornecimento e colocação</t>
  </si>
  <si>
    <t>5219616</t>
  </si>
  <si>
    <t>Tacha refletiva em plástico injetado - monodirecional tipo III - fornecimento e colocação</t>
  </si>
  <si>
    <t>5219617</t>
  </si>
  <si>
    <t>Tacha refletiva em plástico injetado - monodirecional tipo IV - com um pino - fornecimento e colocação</t>
  </si>
  <si>
    <t>5219618</t>
  </si>
  <si>
    <t>Tacha refletiva em plástico injetado - monodirecional tipo IV - fornecimento e colocação</t>
  </si>
  <si>
    <t>5219619</t>
  </si>
  <si>
    <t>Tacha refletiva em resina sintética - bidirecional tipo I - com um pino - fornecimento e colocação</t>
  </si>
  <si>
    <t>5219620</t>
  </si>
  <si>
    <t>Tacha refletiva em resina sintética - bidirecional tipo I - fornecimento e colocação</t>
  </si>
  <si>
    <t>5219621</t>
  </si>
  <si>
    <t>Tacha refletiva em resina sintética - bidirecional tipo II - com um pino - fornecimento e colocação</t>
  </si>
  <si>
    <t>5219622</t>
  </si>
  <si>
    <t>Tacha refletiva em resina sintética - bidirecional tipo II - fornecimento e colocação</t>
  </si>
  <si>
    <t>5219623</t>
  </si>
  <si>
    <t>Tacha refletiva em resina sintética - bidirecional tipo III - com um pino - fornecimento e colocação</t>
  </si>
  <si>
    <t>5219624</t>
  </si>
  <si>
    <t>Tacha refletiva em resina sintética - bidirecional tipo III - fornecimento e colocação</t>
  </si>
  <si>
    <t>5219625</t>
  </si>
  <si>
    <t>Tacha refletiva em resina sintética - bidirecional tipo IV - com um pino - fornecimento e colocação</t>
  </si>
  <si>
    <t>5219626</t>
  </si>
  <si>
    <t>Tacha refletiva em resina sintética - bidirecional tipo IV - fornecimento e colocação</t>
  </si>
  <si>
    <t>5219627</t>
  </si>
  <si>
    <t>Tacha refletiva em resina sintética - monodirecional tipo I - com um pino - fornecimento e colocação</t>
  </si>
  <si>
    <t>5219628</t>
  </si>
  <si>
    <t>Tacha refletiva em resina sintética - monodirecional tipo I - fornecimento e colocação</t>
  </si>
  <si>
    <t>5219629</t>
  </si>
  <si>
    <t>Tacha refletiva em resina sintética - monodirecional tipo II - com um pino - fornecimento e colocação</t>
  </si>
  <si>
    <t>5219630</t>
  </si>
  <si>
    <t>Tacha refletiva em resina sintética - monodirecional tipo II - fornecimento e colocação</t>
  </si>
  <si>
    <t>5219631</t>
  </si>
  <si>
    <t>Tacha refletiva em resina sintética - monodirecional tipo III - com um pino - fornecimento e colocação</t>
  </si>
  <si>
    <t>5219632</t>
  </si>
  <si>
    <t>Tacha refletiva em resina sintética - monodirecional tipo III - fornecimento e colocação</t>
  </si>
  <si>
    <t>5219633</t>
  </si>
  <si>
    <t>Tacha refletiva em resina sintética - monodirecional tipo IV - com um pino - fornecimento e colocação</t>
  </si>
  <si>
    <t>5219634</t>
  </si>
  <si>
    <t>Tacha refletiva em resina sintética - monodirecional tipo IV - fornecimento e colocação</t>
  </si>
  <si>
    <t>5213395</t>
  </si>
  <si>
    <t>Tacha refletiva metálica - bidirecional tipo II - com dois pinos - fornecimento e colocação</t>
  </si>
  <si>
    <t>5213394</t>
  </si>
  <si>
    <t>Tacha refletiva metálica - bidirecional tipo II - com um pino - fornecimento e colocação</t>
  </si>
  <si>
    <t>5219635</t>
  </si>
  <si>
    <t>Tacha refletiva metálica - bidirecional tipo III - com dois pinos - fornecimento e colocação</t>
  </si>
  <si>
    <t>5219636</t>
  </si>
  <si>
    <t>Tacha refletiva metálica - bidirecional tipo III - com um pino - fornecimento e colocação</t>
  </si>
  <si>
    <t>5219637</t>
  </si>
  <si>
    <t>Tacha refletiva metálica - bidirecional tipo IV - com dois pinos - fornecimento e colocação</t>
  </si>
  <si>
    <t>5219638</t>
  </si>
  <si>
    <t>Tacha refletiva metálica - bidirecional tipo IV - com um pino - fornecimento e colocação</t>
  </si>
  <si>
    <t>5213393</t>
  </si>
  <si>
    <t>Tacha refletiva metálica - monodirecional tipo II - com dois pinos - fornecimento e colocação</t>
  </si>
  <si>
    <t>5213392</t>
  </si>
  <si>
    <t>Tacha refletiva metálica - monodirecional tipo II - com um pino - fornecimento e colocação</t>
  </si>
  <si>
    <t>5219639</t>
  </si>
  <si>
    <t>Tacha refletiva metálica - monodirecional tipo III - com dois pinos - fornecimento e colocação</t>
  </si>
  <si>
    <t>5219640</t>
  </si>
  <si>
    <t>Tacha refletiva metálica - monodirecional tipo III - com um pino - fornecimento e colocação</t>
  </si>
  <si>
    <t>5219641</t>
  </si>
  <si>
    <t>Tacha refletiva metálica - monodirecional tipo IV - com dois pinos - fornecimento e colocação</t>
  </si>
  <si>
    <t>5219642</t>
  </si>
  <si>
    <t>Tacha refletiva metálica - monodirecional tipo IV - com um pino - fornecimento e colocação</t>
  </si>
  <si>
    <t>5213362</t>
  </si>
  <si>
    <t>Tachão refletivo em plástico injetado - bidirecional - fornecimento e colocação</t>
  </si>
  <si>
    <t>5213361</t>
  </si>
  <si>
    <t>Tachão refletivo em plástico injetado - monodirecional - fornecimento e colocação</t>
  </si>
  <si>
    <t>5219643</t>
  </si>
  <si>
    <t>Tachão refletivo em resina sintética - bidirecional - fornecimento e colocação</t>
  </si>
  <si>
    <t>5219644</t>
  </si>
  <si>
    <t>Tachão refletivo em resina sintética - monodirecional - fornecimento e colocação</t>
  </si>
  <si>
    <t>5214000</t>
  </si>
  <si>
    <t>Termoplástico pré-formado para sinalização horizontal - espessura de 2 mm - fornecimento e implantação</t>
  </si>
  <si>
    <t>5301014</t>
  </si>
  <si>
    <t>Comboio balizador em deslocamento</t>
  </si>
  <si>
    <t>5300995</t>
  </si>
  <si>
    <t>Confecção de corpo de boia flutuante cilíndrico D = 1,10m</t>
  </si>
  <si>
    <t>5300996</t>
  </si>
  <si>
    <t>Confecção de corpo de boia flutuante cilíndrico D = 1,10m - com lastro</t>
  </si>
  <si>
    <t>5300998</t>
  </si>
  <si>
    <t>Confecção de corpo de boia flutuante cilíndrico D = 1,42m - boia de amarração</t>
  </si>
  <si>
    <t>5300997</t>
  </si>
  <si>
    <t>Confecção de corpo de boia flutuante cilíndrico D = 1,43m - com lastro</t>
  </si>
  <si>
    <t>5300999</t>
  </si>
  <si>
    <t>Confecção de mangrulho H = 0,90m</t>
  </si>
  <si>
    <t>5301000</t>
  </si>
  <si>
    <t>Confecção de mangrulho H = 1,50m</t>
  </si>
  <si>
    <t>5301001</t>
  </si>
  <si>
    <t>Confecção de marca de tope de bombordo</t>
  </si>
  <si>
    <t>5301002</t>
  </si>
  <si>
    <t>Confecção de marca de tope de boreste</t>
  </si>
  <si>
    <t>5301003</t>
  </si>
  <si>
    <t>Confecção de marca de tope especial</t>
  </si>
  <si>
    <t>5301064</t>
  </si>
  <si>
    <t>Fornecimento e implantação de suporte duplo em madeira com travessa para placa de sinalização náutica em margem - altura total de 4,0 m</t>
  </si>
  <si>
    <t>5301046</t>
  </si>
  <si>
    <t>Fornecimento e implantação de suporte duplo em madeira com travessa para placa de sinalização náutica em margem - altura total de 4,0 m - com embarcação</t>
  </si>
  <si>
    <t>5301065</t>
  </si>
  <si>
    <t>Fornecimento e implantação de suporte duplo em madeira com travessa para placa de sinalização náutica em margem - altura total de 5,0 m</t>
  </si>
  <si>
    <t>5301047</t>
  </si>
  <si>
    <t>Fornecimento e implantação de suporte duplo em madeira com travessa para placa de sinalização náutica em margem - altura total de 5,0 m - com embarcação</t>
  </si>
  <si>
    <t>5301066</t>
  </si>
  <si>
    <t>Fornecimento e implantação de suporte duplo em madeira com travessa para placa de sinalização náutica em margem - altura total de 5,5 m</t>
  </si>
  <si>
    <t>5301048</t>
  </si>
  <si>
    <t>Fornecimento e implantação de suporte duplo em madeira com travessa para placa de sinalização náutica em margem - altura total de 5,5 m - com embarcação</t>
  </si>
  <si>
    <t>5301040</t>
  </si>
  <si>
    <t>Fornecimento e implantação de suporte duplo metálico galvanizado para placa de sinalização náutica em margem - altura total de 4 m - com embarcação</t>
  </si>
  <si>
    <t>5301058</t>
  </si>
  <si>
    <t>Fornecimento e implantação de suporte duplo metálico galvanizado para placa de sinalização náutica em margem - altura total de 4,0 m</t>
  </si>
  <si>
    <t>5301041</t>
  </si>
  <si>
    <t>Fornecimento e implantação de suporte duplo metálico galvanizado para placa de sinalização náutica em margem - altura total de 5 m - com embarcação</t>
  </si>
  <si>
    <t>5301059</t>
  </si>
  <si>
    <t>Fornecimento e implantação de suporte duplo metálico galvanizado para placa de sinalização náutica em margem - altura total de 5,0 m</t>
  </si>
  <si>
    <t>5301060</t>
  </si>
  <si>
    <t>Fornecimento e implantação de suporte duplo metálico galvanizado para placa de sinalização náutica em margem - altura total de 5,5 m</t>
  </si>
  <si>
    <t>5301042</t>
  </si>
  <si>
    <t>Fornecimento e implantação de suporte duplo metálico galvanizado para placa de sinalização náutica em margem - altura total de 5,5 m - com embarcação</t>
  </si>
  <si>
    <t>5301072</t>
  </si>
  <si>
    <t>Fornecimento e implantação de suporte duplo polimérico ecológico maciço quadrado de 10 cm para placa de sinalização náutica em margem - altura total de 5,5 m</t>
  </si>
  <si>
    <t>5301054</t>
  </si>
  <si>
    <t>Fornecimento e implantação de suporte duplo polimérico ecológico maciço quadrado de 10 cm para placa de sinalização náutica em margem - altura total de 5,5 m - com embarcação</t>
  </si>
  <si>
    <t>5301070</t>
  </si>
  <si>
    <t>Fornecimento e implantação de suporte duplo polimérico ecológico maciço quadrado de 8 cm para placa de sinalização náutica em margem - altura total de 4,0 m</t>
  </si>
  <si>
    <t>5301052</t>
  </si>
  <si>
    <t>Fornecimento e implantação de suporte duplo polimérico ecológico maciço quadrado de 8 cm para placa de sinalização náutica em margem - altura total de 4,0 m - com embarcação</t>
  </si>
  <si>
    <t>5301071</t>
  </si>
  <si>
    <t>Fornecimento e implantação de suporte duplo polimérico ecológico maciço quadrado de 8 cm para placa de sinalização náutica em margem - altura total de 5,0 m</t>
  </si>
  <si>
    <t>5301053</t>
  </si>
  <si>
    <t>Fornecimento e implantação de suporte duplo polimérico ecológico maciço quadrado de 8 cm para placa de sinalização náutica em margem - altura total de 5,0 m - com embarcação</t>
  </si>
  <si>
    <t>5301061</t>
  </si>
  <si>
    <t>Fornecimento e implantação de suporte simples em madeira com travessa para placa de sinalização náutica em margem - altura total de 4 m</t>
  </si>
  <si>
    <t>5301043</t>
  </si>
  <si>
    <t>Fornecimento e implantação de suporte simples em madeira com travessa para placa de sinalização náutica em margem - altura total de 4 m - com embarcação</t>
  </si>
  <si>
    <t>5301062</t>
  </si>
  <si>
    <t>Fornecimento e implantação de suporte simples em madeira com travessa para placa de sinalização náutica em margem - altura total de 5 m</t>
  </si>
  <si>
    <t>5301044</t>
  </si>
  <si>
    <t>Fornecimento e implantação de suporte simples em madeira com travessa para placa de sinalização náutica em margem - altura total de 5 m - com embarcação</t>
  </si>
  <si>
    <t>5301063</t>
  </si>
  <si>
    <t>Fornecimento e implantação de suporte simples em madeira com travessa para placa de sinalização náutica em margem - altura total de 5,5 m</t>
  </si>
  <si>
    <t>5301045</t>
  </si>
  <si>
    <t>Fornecimento e implantação de suporte simples em madeira com travessa para placa de sinalização náutica em margem - altura total de 5,5 m - com embarcação</t>
  </si>
  <si>
    <t>5301037</t>
  </si>
  <si>
    <t>Fornecimento e implantação de suporte simples metálico galvanizado para placa de sinalização náutica em margem - altura total de 4 m - com embarcação</t>
  </si>
  <si>
    <t>5301055</t>
  </si>
  <si>
    <t>Fornecimento e implantação de suporte simples metálico galvanizado para placa de sinalização náutica em margem - altura total de 4,0 m</t>
  </si>
  <si>
    <t>5301038</t>
  </si>
  <si>
    <t>Fornecimento e implantação de suporte simples metálico galvanizado para placa de sinalização náutica em margem - altura total de 5 m - com embarcação</t>
  </si>
  <si>
    <t>5301056</t>
  </si>
  <si>
    <t>Fornecimento e implantação de suporte simples metálico galvanizado para placa de sinalização náutica em margem - altura total de 5,0 m</t>
  </si>
  <si>
    <t>5301057</t>
  </si>
  <si>
    <t>Fornecimento e implantação de suporte simples metálico galvanizado para placa de sinalização náutica em margem - altura total de 5,5 m</t>
  </si>
  <si>
    <t>5301039</t>
  </si>
  <si>
    <t>Fornecimento e implantação de suporte simples metálico galvanizado para placa de sinalização náutica em margem - altura total de 5,5 m - com embarcação</t>
  </si>
  <si>
    <t>5301069</t>
  </si>
  <si>
    <t>Fornecimento e implantação de suporte simples polimérico ecológico maciço quadrado de 10 cm para placa de sinalização náutica em margem - altura total de 5,5 m</t>
  </si>
  <si>
    <t>5301051</t>
  </si>
  <si>
    <t>Fornecimento e implantação de suporte simples polimérico ecológico maciço quadrado de 10 cm para placa de sinalização náutica em margem - altura total de 5,5 m - com embarcação</t>
  </si>
  <si>
    <t>5301067</t>
  </si>
  <si>
    <t>Fornecimento e implantação de suporte simples polimérico ecológico maciço quadrado de 8 cm para placa de sinalização náutica em margem - altura total de 4 m</t>
  </si>
  <si>
    <t>5301049</t>
  </si>
  <si>
    <t>Fornecimento e implantação de suporte simples polimérico ecológico maciço quadrado de 8 cm para placa de sinalização náutica em margem - altura total de 4 m - com embarcação</t>
  </si>
  <si>
    <t>5301068</t>
  </si>
  <si>
    <t>Fornecimento e implantação de suporte simples polimérico ecológico maciço quadrado de 8 cm para placa de sinalização náutica em margem - altura total de 5 m</t>
  </si>
  <si>
    <t>5301050</t>
  </si>
  <si>
    <t>Fornecimento e implantação de suporte simples polimérico ecológico maciço quadrado de 8 cm para placa de sinalização náutica em margem - altura total de 5 m - com embarcação</t>
  </si>
  <si>
    <t>5301022</t>
  </si>
  <si>
    <t>Fornecimento e instalação de conjunto de acessórios para sistema de fundeio de boia de amarração náutica com 4 manilhas</t>
  </si>
  <si>
    <t>5301021</t>
  </si>
  <si>
    <t>Fornecimento e instalação de conjunto de acessórios para sistema de fundeio de boia de sinalização náutica com 7 manilhas</t>
  </si>
  <si>
    <t>5301020</t>
  </si>
  <si>
    <t>Fornecimento e instalação de corrente 1" para sistema de fundeio de boia de sinalização náutica</t>
  </si>
  <si>
    <t>5301018</t>
  </si>
  <si>
    <t>Fornecimento e instalação de corrente 1/2" para sistema de fundeio de boia de sinalização náutica</t>
  </si>
  <si>
    <t>5301019</t>
  </si>
  <si>
    <t>Fornecimento e instalação de corrente 3/4" para sistema de fundeio de boia de sinalização náutica</t>
  </si>
  <si>
    <t>5301077</t>
  </si>
  <si>
    <t>Fornecimento e instalação de lanterna de sinalização náutica com alcance luminoso de 2 MN em obra de arte especial - com embarcação</t>
  </si>
  <si>
    <t>5301078</t>
  </si>
  <si>
    <t>Fornecimento e instalação de lanterna de sinalização náutica com alcance luminoso de 3 MN em obra de arte especial - com embarcação</t>
  </si>
  <si>
    <t>5301079</t>
  </si>
  <si>
    <t>Fornecimento e instalação de lanterna de sinalização náutica com alcance luminoso de 4 MN em obra de arte especial - com embarcação</t>
  </si>
  <si>
    <t>5301080</t>
  </si>
  <si>
    <t>Fornecimento e instalação de lanterna de sinalização náutica com alcance luminoso de 5 MN em obra de arte especial - com embarcação</t>
  </si>
  <si>
    <t>5301081</t>
  </si>
  <si>
    <t>Fornecimento e instalação de lanterna de sinalização náutica com alcance luminoso de 8 MN em obra de arte especial - com embarcação</t>
  </si>
  <si>
    <t>5301023</t>
  </si>
  <si>
    <t>Fornecimento e instalação de suporte e lanterna de sinalização náutica com alcance luminoso de 2 MN em boia</t>
  </si>
  <si>
    <t>5301024</t>
  </si>
  <si>
    <t>Fornecimento e instalação de suporte e lanterna de sinalização náutica com alcance luminoso de 3 MN em boia</t>
  </si>
  <si>
    <t>5301025</t>
  </si>
  <si>
    <t>Fornecimento e instalação de suporte e lanterna de sinalização náutica com alcance luminoso de 4 MN em boia</t>
  </si>
  <si>
    <t>5301026</t>
  </si>
  <si>
    <t>Fornecimento e instalação de suporte e lanterna de sinalização náutica com alcance luminoso de 5 MN em boia</t>
  </si>
  <si>
    <t>5301027</t>
  </si>
  <si>
    <t>Fornecimento e instalação de suporte e lanterna de sinalização náutica com alcance luminoso de 8 MN em boia</t>
  </si>
  <si>
    <t>5301028</t>
  </si>
  <si>
    <t>Fornecimento e substituição de lanterna de sinalização náutica com alcance luminoso de 2 MN em boia</t>
  </si>
  <si>
    <t>5301082</t>
  </si>
  <si>
    <t>Fornecimento e substituição de lanterna de sinalização náutica com alcance luminoso de 2 MN em obra de arte especial - com embarcação</t>
  </si>
  <si>
    <t>5301029</t>
  </si>
  <si>
    <t>Fornecimento e substituição de lanterna de sinalização náutica com alcance luminoso de 3 MN em boia</t>
  </si>
  <si>
    <t>5301083</t>
  </si>
  <si>
    <t>Fornecimento e substituição de lanterna de sinalização náutica com alcance luminoso de 3 MN em obra de arte especial - com embarcação</t>
  </si>
  <si>
    <t>5301030</t>
  </si>
  <si>
    <t>Fornecimento e substituição de lanterna de sinalização náutica com alcance luminoso de 4 MN em boia</t>
  </si>
  <si>
    <t>5301084</t>
  </si>
  <si>
    <t>Fornecimento e substituição de lanterna de sinalização náutica com alcance luminoso de 4 MN em obra de arte especial - com embarcação</t>
  </si>
  <si>
    <t>5301031</t>
  </si>
  <si>
    <t>Fornecimento e substituição de lanterna de sinalização náutica com alcance luminoso de 5 MN em boia</t>
  </si>
  <si>
    <t>5301085</t>
  </si>
  <si>
    <t>Fornecimento e substituição de lanterna de sinalização náutica com alcance luminoso de 5 MN em obra de arte especial - com embarcação</t>
  </si>
  <si>
    <t>5301032</t>
  </si>
  <si>
    <t>Fornecimento e substituição de lanterna de sinalização náutica com alcance luminoso de 8 MN em boia</t>
  </si>
  <si>
    <t>5301086</t>
  </si>
  <si>
    <t>Fornecimento e substituição de lanterna de sinalização náutica com alcance luminoso de 8 MN em obra de arte especial - com embarcação</t>
  </si>
  <si>
    <t>5301033</t>
  </si>
  <si>
    <t>Implantação de placa de sinalização náutica em margem - equipamentos e mão de obra</t>
  </si>
  <si>
    <t>5301034</t>
  </si>
  <si>
    <t>Implantação de placa de sinalização náutica em margem - equipamentos e mão de obra - com embarcação</t>
  </si>
  <si>
    <t>5301073</t>
  </si>
  <si>
    <t>Implantação de placa de sinalização náutica em obra de arte especial - equipamentos e mão de obra</t>
  </si>
  <si>
    <t>5301074</t>
  </si>
  <si>
    <t>Implantação de placa de sinalização náutica em obra de arte especial - equipamentos e mão de obra - com embarcação</t>
  </si>
  <si>
    <t>5301015</t>
  </si>
  <si>
    <t>Lançamento de boia de sinalização náutica com sistema de fundeio - equipamentos e mão de obra</t>
  </si>
  <si>
    <t>5300992</t>
  </si>
  <si>
    <t>Pintura com epóxi óxido de ferro em chapa metálica com pistola a ar comprimido, uma demão, espessura de 35 µm</t>
  </si>
  <si>
    <t>5300994</t>
  </si>
  <si>
    <t>Pintura com esmalte poliuretano de dois componentes em chapa metálica com pistola a ar comprimido, uma demão, espessura de 35 µm</t>
  </si>
  <si>
    <t>5300993</t>
  </si>
  <si>
    <t>Pintura com fundo fosfatizante, uma demão, em chapa de alumínio com pistola a ar comprimido</t>
  </si>
  <si>
    <t>5301088</t>
  </si>
  <si>
    <t>Poita de concreto com 1.000 kg para boia de sinalização náutica</t>
  </si>
  <si>
    <t>5301004</t>
  </si>
  <si>
    <t>Poita de concreto com 1.500 kg para boia de sinalização náutica</t>
  </si>
  <si>
    <t>5301087</t>
  </si>
  <si>
    <t>Poita de concreto com 500 kg para boia de sinalização náutica</t>
  </si>
  <si>
    <t>5301005</t>
  </si>
  <si>
    <t>Reforma de corpo de boia flutuante cilíndrico D = 1,10m</t>
  </si>
  <si>
    <t>5301006</t>
  </si>
  <si>
    <t>Reforma de corpo de boia flutuante cilíndrico D = 1,10m - com lastro</t>
  </si>
  <si>
    <t>5301008</t>
  </si>
  <si>
    <t>Reforma de corpo de boia flutuante cilíndrico D = 1,42m - boia de amarração</t>
  </si>
  <si>
    <t>5301007</t>
  </si>
  <si>
    <t>Reforma de corpo de boia flutuante cilíndrico D = 1,43m - com lastro</t>
  </si>
  <si>
    <t>5301009</t>
  </si>
  <si>
    <t>Reforma de mangrulho H = 0,90m</t>
  </si>
  <si>
    <t>5301010</t>
  </si>
  <si>
    <t>Reforma de mangrulho H = 1,50m</t>
  </si>
  <si>
    <t>5301011</t>
  </si>
  <si>
    <t>Reforma de marca de tope de bombordo</t>
  </si>
  <si>
    <t>5301012</t>
  </si>
  <si>
    <t>Reforma de marca de tope de boreste</t>
  </si>
  <si>
    <t>5301013</t>
  </si>
  <si>
    <t>Reforma de marca de tope especial</t>
  </si>
  <si>
    <t>5301016</t>
  </si>
  <si>
    <t>Substituição de boia de sinalização náutica com sistema de fundeio - equipamentos e mão de obra</t>
  </si>
  <si>
    <t>5301017</t>
  </si>
  <si>
    <t>Substituição de boia de sinalização náutica sem sistema de fundeio - equipamentos e mão de obra</t>
  </si>
  <si>
    <t>5301035</t>
  </si>
  <si>
    <t>Substituição de placa de sinalização náutica em margem - equipamentos e mão de obra</t>
  </si>
  <si>
    <t>5301036</t>
  </si>
  <si>
    <t>Substituição de placa de sinalização náutica em margem - equipamentos e mão de obra - com embarcação</t>
  </si>
  <si>
    <t>5301075</t>
  </si>
  <si>
    <t>Substituição de placa de sinalização náutica em obra de arte especial - equipamentos e mão de obra</t>
  </si>
  <si>
    <t>5301076</t>
  </si>
  <si>
    <t>Substituição de placa de sinalização náutica em obra de arte especial - equipamentos e mão de obra - com embarcação</t>
  </si>
  <si>
    <t>5405980</t>
  </si>
  <si>
    <t>Aterro compactado em solo reforçado com fita metálica galvanizada - material de jazida</t>
  </si>
  <si>
    <t>5405981</t>
  </si>
  <si>
    <t>Aterro compactado em solo reforçado com fita polimérica - material de jazida</t>
  </si>
  <si>
    <t>5405975</t>
  </si>
  <si>
    <t>Escoramento da primeira linha de escamas de concreto armado em solo reforçado com fita metálica ou polimérica – utilização de 3 vezes - confecção, instalação e retirada</t>
  </si>
  <si>
    <t>5405970</t>
  </si>
  <si>
    <t>Fabricação de escama de concreto armado para solo reforçado com fita metálica - 2 a 5 ligações - tipo 1 - areia e brita comerciais</t>
  </si>
  <si>
    <t>5405972</t>
  </si>
  <si>
    <t>Fabricação de escama de concreto armado para solo reforçado com fita metálica - 2 a 5 ligações - tipo 1 - areia extraída e brita produzida</t>
  </si>
  <si>
    <t>5405971</t>
  </si>
  <si>
    <t>Fabricação de escama de concreto armado para solo reforçado com fita metálica - 6 a 8 ligações - tipo 2 - areia e brita comerciais</t>
  </si>
  <si>
    <t>5405973</t>
  </si>
  <si>
    <t>Fabricação de escama de concreto armado para solo reforçado com fita metálica - 6 a 8 ligações - tipo 2 - areia extraída e brita produzida</t>
  </si>
  <si>
    <t>5406736</t>
  </si>
  <si>
    <t>Fabricação de escama de concreto armado para solo reforçado com fita polimérica - 4 a 8 ligações - areia e brita comerciais</t>
  </si>
  <si>
    <t>5406737</t>
  </si>
  <si>
    <t>Fabricação de escama de concreto armado para solo reforçado com fita polimérica - 4 a 8 ligações - areia extraída e brita produzida</t>
  </si>
  <si>
    <t>5405986</t>
  </si>
  <si>
    <t>Moldes metálicos para escama de concreto armado para solo reforçado com fita metálica ou polimérica - formato cruciforme de 1,50 x 1,50 m - utilização de 100 vezes</t>
  </si>
  <si>
    <t>5405976</t>
  </si>
  <si>
    <t>Montagem das escamas de concreto armado em solo reforçado com fita metálica ou polimérica</t>
  </si>
  <si>
    <t>5406023</t>
  </si>
  <si>
    <t>Muro de escama de concreto armado em solo reforçado com fita metálica com altura até 4 m - tipo 1 - areia e brita comerciais</t>
  </si>
  <si>
    <t>5406033</t>
  </si>
  <si>
    <t>Muro de escama de concreto armado em solo reforçado com fita metálica com altura até 4 m - tipo 1 - areia extraída e brita produzida</t>
  </si>
  <si>
    <t>5406024</t>
  </si>
  <si>
    <t>Muro de escama de concreto armado em solo reforçado com fita metálica com altura até 4 m - tipo 2 - areia e brita comerciais</t>
  </si>
  <si>
    <t>5406034</t>
  </si>
  <si>
    <t>Muro de escama de concreto armado em solo reforçado com fita metálica com altura até 4 m - tipo 2 - areia extraída e brita produzida</t>
  </si>
  <si>
    <t>5406031</t>
  </si>
  <si>
    <t>Muro de escama de concreto armado em solo reforçado com fita metálica com altura de 10,0 a 12 m - tipo 1 - areia e brita comerciais</t>
  </si>
  <si>
    <t>5406041</t>
  </si>
  <si>
    <t>Muro de escama de concreto armado em solo reforçado com fita metálica com altura de 10,0 a 12 m - tipo 1 - areia extraída e brita produzida</t>
  </si>
  <si>
    <t>5406032</t>
  </si>
  <si>
    <t>Muro de escama de concreto armado em solo reforçado com fita metálica com altura de 10,0 a 12 m - tipo 2 - areia e brita comerciais</t>
  </si>
  <si>
    <t>5406042</t>
  </si>
  <si>
    <t>Muro de escama de concreto armado em solo reforçado com fita metálica com altura de 10,0 a 12 m - tipo 2 - areia extraída e brita produzida</t>
  </si>
  <si>
    <t>5406025</t>
  </si>
  <si>
    <t>Muro de escama de concreto armado em solo reforçado com fita metálica com altura de 4,0 a 6 m - tipo 1 - areia e brita comerciais</t>
  </si>
  <si>
    <t>5406035</t>
  </si>
  <si>
    <t>Muro de escama de concreto armado em solo reforçado com fita metálica com altura de 4,0 a 6 m - tipo 1 - areia extraída e brita produzida</t>
  </si>
  <si>
    <t>5406026</t>
  </si>
  <si>
    <t>Muro de escama de concreto armado em solo reforçado com fita metálica com altura de 4,0 a 6 m - tipo 2 - areia e brita comerciais</t>
  </si>
  <si>
    <t>5406036</t>
  </si>
  <si>
    <t>Muro de escama de concreto armado em solo reforçado com fita metálica com altura de 4,0 a 6 m - tipo 2 - areia extraída e brita produzida</t>
  </si>
  <si>
    <t>5406027</t>
  </si>
  <si>
    <t>Muro de escama de concreto armado em solo reforçado com fita metálica com altura de 6,0 a 8 m - tipo 1 - areia e brita comerciais</t>
  </si>
  <si>
    <t>5406037</t>
  </si>
  <si>
    <t>Muro de escama de concreto armado em solo reforçado com fita metálica com altura de 6,0 a 8 m - tipo 1 - areia extraída e brita produzida</t>
  </si>
  <si>
    <t>5406028</t>
  </si>
  <si>
    <t>Muro de escama de concreto armado em solo reforçado com fita metálica com altura de 6,0 a 8 m - tipo 2 - areia e brita comerciais</t>
  </si>
  <si>
    <t>5406038</t>
  </si>
  <si>
    <t>Muro de escama de concreto armado em solo reforçado com fita metálica com altura de 6,0 a 8 m - tipo 2 - areia extraída e brita produzida</t>
  </si>
  <si>
    <t>5406029</t>
  </si>
  <si>
    <t>Muro de escama de concreto armado em solo reforçado com fita metálica com altura de 8,0 a 10 m - tipo 1 - areia e brita comerciais</t>
  </si>
  <si>
    <t>5406039</t>
  </si>
  <si>
    <t>Muro de escama de concreto armado em solo reforçado com fita metálica com altura de 8,0 a 10 m - tipo 1 - areia extraída e brita produzida</t>
  </si>
  <si>
    <t>5406030</t>
  </si>
  <si>
    <t>Muro de escama de concreto armado em solo reforçado com fita metálica com altura de 8,0 a 10 m - tipo 2 - areia e brita comerciais</t>
  </si>
  <si>
    <t>5406040</t>
  </si>
  <si>
    <t>Muro de escama de concreto armado em solo reforçado com fita metálica com altura de 8,0 a 10 m - tipo 2 - areia extraída e brita produzida</t>
  </si>
  <si>
    <t>5406738</t>
  </si>
  <si>
    <t>Muro de escama de concreto armado em solo reforçado com fita polimérica com altura até 4 m - areia e brita comerciais</t>
  </si>
  <si>
    <t>5406739</t>
  </si>
  <si>
    <t>Muro de escama de concreto armado em solo reforçado com fita polimérica com altura até 4 m - areia extraída e brita produzida</t>
  </si>
  <si>
    <t>5406746</t>
  </si>
  <si>
    <t>Muro de escama de concreto armado em solo reforçado com fita polimérica com altura de 10,0 a 12 m - areia e brita comerciais</t>
  </si>
  <si>
    <t>5406747</t>
  </si>
  <si>
    <t>Muro de escama de concreto armado em solo reforçado com fita polimérica com altura de 10,0 a 12 m - areia extraída e brita produzida</t>
  </si>
  <si>
    <t>5406740</t>
  </si>
  <si>
    <t>Muro de escama de concreto armado em solo reforçado com fita polimérica com altura de 4,0 a 6 m - areia e brita comerciais</t>
  </si>
  <si>
    <t>5406741</t>
  </si>
  <si>
    <t>Muro de escama de concreto armado em solo reforçado com fita polimérica com altura de 4,0 a 6 m - areia extraída e brita produzida</t>
  </si>
  <si>
    <t>5406742</t>
  </si>
  <si>
    <t>Muro de escama de concreto armado em solo reforçado com fita polimérica com altura de 6,0 a 8 m - areia e brita comerciais</t>
  </si>
  <si>
    <t>5406743</t>
  </si>
  <si>
    <t>Muro de escama de concreto armado em solo reforçado com fita polimérica com altura de 6,0 a 8 m - areia extraída e brita produzida</t>
  </si>
  <si>
    <t>5406744</t>
  </si>
  <si>
    <t>Muro de escama de concreto armado em solo reforçado com fita polimérica com altura de 8,0 a 10 m - areia e brita comerciais</t>
  </si>
  <si>
    <t>5406745</t>
  </si>
  <si>
    <t>Muro de escama de concreto armado em solo reforçado com fita polimérica com altura de 8,0 a 10 m - areia extraída e brita produzida</t>
  </si>
  <si>
    <t>5405987</t>
  </si>
  <si>
    <t>Travador de madeira para escama de concreto armado - utilização de 10 vezes</t>
  </si>
  <si>
    <t>5405979</t>
  </si>
  <si>
    <t>Travamento e nivelamento de escama de concreto armado em solo reforçado com fita metálica ou polimérica</t>
  </si>
  <si>
    <t>5502806</t>
  </si>
  <si>
    <t>Camada drenante com conformação de trator de esteira - areia comercial</t>
  </si>
  <si>
    <t>5502807</t>
  </si>
  <si>
    <t>Camada drenante com conformação de trator de esteira - areia extraída</t>
  </si>
  <si>
    <t>5503041</t>
  </si>
  <si>
    <t>Compactação de aterros a 100% do Proctor intermediário</t>
  </si>
  <si>
    <t>5502978</t>
  </si>
  <si>
    <t>Compactação de aterros a 100% do Proctor normal</t>
  </si>
  <si>
    <t>5502822</t>
  </si>
  <si>
    <t>Compactação de camada final de aterro de rocha</t>
  </si>
  <si>
    <t>5502979</t>
  </si>
  <si>
    <t>Construção de corpo de aterro com material de 3ª categoria oriundo de corte</t>
  </si>
  <si>
    <t>5501700</t>
  </si>
  <si>
    <t>Desmatamento, destocamento e limpeza de área com árvores de diâmetro até 0,15 m</t>
  </si>
  <si>
    <t>5500991</t>
  </si>
  <si>
    <t>Desmonte de blocos de rocha com martelete pneumático</t>
  </si>
  <si>
    <t>5515739</t>
  </si>
  <si>
    <t>Desmonte de matacões ou bloco de rocha por meio de explosivos</t>
  </si>
  <si>
    <t>5505766</t>
  </si>
  <si>
    <t>Desmonte de material de 3ª categoria a frio com argamassa expansiva a céu aberto</t>
  </si>
  <si>
    <t>5501701</t>
  </si>
  <si>
    <t>Destocamento de árvores com diâmetro de 0,15 a 0,30 m</t>
  </si>
  <si>
    <t>5501702</t>
  </si>
  <si>
    <t>Destocamento de árvores com diâmetro maior que 0,30 m</t>
  </si>
  <si>
    <t>5502972</t>
  </si>
  <si>
    <t>Escavação de vala em material de 3ª categoria - resistência à compressão acima de 110 MPa - com escavadeira e rompedor hidráulico 1.700 kg</t>
  </si>
  <si>
    <t>5502968</t>
  </si>
  <si>
    <t>Escavação de vala em material de 3ª categoria - resistência à compressão até 50 MPa - com escavadeira e rompedor hidráulico 1.700 kg</t>
  </si>
  <si>
    <t>5502969</t>
  </si>
  <si>
    <t>Escavação de vala em material de 3ª categoria - resistência à compressão de 50 a 70 MPa - com escavadeira e rompedor hidráulico 1.700 kg</t>
  </si>
  <si>
    <t>5502970</t>
  </si>
  <si>
    <t>Escavação de vala em material de 3ª categoria - resistência à compressão de 70 a 90 MPa - com escavadeira e rompedor hidráulico 1.700 kg</t>
  </si>
  <si>
    <t>5502971</t>
  </si>
  <si>
    <t>Escavação de vala em material de 3ª categoria - resistência à compressão de 90 a 110 MPa - com escavadeira e rompedor hidráulico 1.700 kg</t>
  </si>
  <si>
    <t>5502663</t>
  </si>
  <si>
    <t>Escavação e transporte de material de 3ª categoria - DMT de 0 a 50 m</t>
  </si>
  <si>
    <t>5502993</t>
  </si>
  <si>
    <t>Escavação em material de 3ª categoria</t>
  </si>
  <si>
    <t>5502967</t>
  </si>
  <si>
    <t>Escavação em material de 3ª categoria - resistência à compressão acima de 110 MPa - com escavadeira e rompedor hidráulico 1.700 kg</t>
  </si>
  <si>
    <t>5502963</t>
  </si>
  <si>
    <t>Escavação em material de 3ª categoria - resistência à compressão até 50 MPa - com escavadeira e rompedor hidráulico 1.700 kg</t>
  </si>
  <si>
    <t>5502964</t>
  </si>
  <si>
    <t>Escavação em material de 3ª categoria - resistência à compressão de 50 a 70 MPa - com escavadeira e rompedor hidráulico 1.700 kg</t>
  </si>
  <si>
    <t>5502965</t>
  </si>
  <si>
    <t>Escavação em material de 3ª categoria - resistência à compressão de 70 a 90 MPa - com escavadeira e rompedor hidráulico 1.700 kg</t>
  </si>
  <si>
    <t>5502966</t>
  </si>
  <si>
    <t>Escavação em material de 3ª categoria - resistência à compressão de 90 a 110 MPa - com escavadeira e rompedor hidráulico 1.700 kg</t>
  </si>
  <si>
    <t>5501706</t>
  </si>
  <si>
    <t>Escavação mecânica com retroescavadeira em material de 1ª categoria</t>
  </si>
  <si>
    <t>5501880</t>
  </si>
  <si>
    <t>Escavação, carga e transporte de material de 1ª categoria - DMT de 1.000 a 1.200 m - caminho de serviço em leito natural - com carregadeira e caminhão basculante de 14 m³</t>
  </si>
  <si>
    <t>5502114</t>
  </si>
  <si>
    <t>Escavação, carga e transporte de material de 1ª categoria - DMT de 1.000 a 1.200 m - caminho de serviço em leito natural - com escavadeira e caminhão basculante de 14 m³</t>
  </si>
  <si>
    <t>5501906</t>
  </si>
  <si>
    <t>Escavação, carga e transporte de material de 1ª categoria - DMT de 1.000 a 1.200 m - caminho de serviço em revestimento primário - com carregadeira e caminhão basculante de 14 m³</t>
  </si>
  <si>
    <t>5502140</t>
  </si>
  <si>
    <t>Escavação, carga e transporte de material de 1ª categoria - DMT de 1.000 a 1.200 m - caminho de serviço em revestimento primário - com escavadeira e caminhão basculante de 14 m³</t>
  </si>
  <si>
    <t>5501932</t>
  </si>
  <si>
    <t>Escavação, carga e transporte de material de 1ª categoria - DMT de 1.000 a 1.200 m - caminho de serviço pavimentado - com carregadeira e caminhão basculante de 14 m³</t>
  </si>
  <si>
    <t>5502166</t>
  </si>
  <si>
    <t>Escavação, carga e transporte de material de 1ª categoria - DMT de 1.000 a 1.200 m - caminho de serviço pavimentado - com escavadeira e caminhão basculante de 14 m³</t>
  </si>
  <si>
    <t>5501881</t>
  </si>
  <si>
    <t>Escavação, carga e transporte de material de 1ª categoria - DMT de 1.200 a 1.400 m - caminho de serviço em leito natural - com carregadeira e caminhão basculante de 14 m³</t>
  </si>
  <si>
    <t>5502115</t>
  </si>
  <si>
    <t>Escavação, carga e transporte de material de 1ª categoria - DMT de 1.200 a 1.400 m - caminho de serviço em leito natural - com escavadeira e caminhão basculante de 14 m³</t>
  </si>
  <si>
    <t>5501907</t>
  </si>
  <si>
    <t>Escavação, carga e transporte de material de 1ª categoria - DMT de 1.200 a 1.400 m - caminho de serviço em revestimento primário - com carregadeira e caminhão basculante de 14 m³</t>
  </si>
  <si>
    <t>5502141</t>
  </si>
  <si>
    <t>Escavação, carga e transporte de material de 1ª categoria - DMT de 1.200 a 1.400 m - caminho de serviço em revestimento primário - com escavadeira e caminhão basculante de 14 m³</t>
  </si>
  <si>
    <t>5501933</t>
  </si>
  <si>
    <t>Escavação, carga e transporte de material de 1ª categoria - DMT de 1.200 a 1.400 m - caminho de serviço pavimentado - com carregadeira e caminhão basculante de 14 m³</t>
  </si>
  <si>
    <t>5502167</t>
  </si>
  <si>
    <t>Escavação, carga e transporte de material de 1ª categoria - DMT de 1.200 a 1.400 m - caminho de serviço pavimentado - com escavadeira e caminhão basculante de 14 m³</t>
  </si>
  <si>
    <t>5501882</t>
  </si>
  <si>
    <t>Escavação, carga e transporte de material de 1ª categoria - DMT de 1.400 a 1.600 m - caminho de serviço em leito natural - com carregadeira e caminhão basculante de 14 m³</t>
  </si>
  <si>
    <t>5502116</t>
  </si>
  <si>
    <t>Escavação, carga e transporte de material de 1ª categoria - DMT de 1.400 a 1.600 m - caminho de serviço em leito natural - com escavadeira e caminhão basculante de 14 m³</t>
  </si>
  <si>
    <t>5501908</t>
  </si>
  <si>
    <t>Escavação, carga e transporte de material de 1ª categoria - DMT de 1.400 a 1.600 m - caminho de serviço em revestimento primário - com carregadeira e caminhão basculante de 14 m³</t>
  </si>
  <si>
    <t>5502142</t>
  </si>
  <si>
    <t>Escavação, carga e transporte de material de 1ª categoria - DMT de 1.400 a 1.600 m - caminho de serviço em revestimento primário - com escavadeira e caminhão basculante de 14 m³</t>
  </si>
  <si>
    <t>5501934</t>
  </si>
  <si>
    <t>Escavação, carga e transporte de material de 1ª categoria - DMT de 1.400 a 1.600 m - caminho de serviço pavimentado - com carregadeira e caminhão basculante de 14 m³</t>
  </si>
  <si>
    <t>5502168</t>
  </si>
  <si>
    <t>Escavação, carga e transporte de material de 1ª categoria - DMT de 1.400 a 1.600 m - caminho de serviço pavimentado - com escavadeira e caminhão basculante de 14 m³</t>
  </si>
  <si>
    <t>5501883</t>
  </si>
  <si>
    <t>Escavação, carga e transporte de material de 1ª categoria - DMT de 1.600 a 1.800 m - caminho de serviço em leito natural - com carregadeira e caminhão basculante de 14 m³</t>
  </si>
  <si>
    <t>5502117</t>
  </si>
  <si>
    <t>Escavação, carga e transporte de material de 1ª categoria - DMT de 1.600 a 1.800 m - caminho de serviço em leito natural - com escavadeira e caminhão basculante de 14 m³</t>
  </si>
  <si>
    <t>5501909</t>
  </si>
  <si>
    <t>Escavação, carga e transporte de material de 1ª categoria - DMT de 1.600 a 1.800 m - caminho de serviço em revestimento primário - com carregadeira e caminhão basculante de 14 m³</t>
  </si>
  <si>
    <t>5502143</t>
  </si>
  <si>
    <t>Escavação, carga e transporte de material de 1ª categoria - DMT de 1.600 a 1.800 m - caminho de serviço em revestimento primário - com escavadeira e caminhão basculante de 14 m³</t>
  </si>
  <si>
    <t>5501935</t>
  </si>
  <si>
    <t>Escavação, carga e transporte de material de 1ª categoria - DMT de 1.600 a 1.800 m - caminho de serviço pavimentado - com carregadeira e caminhão basculante de 14 m³</t>
  </si>
  <si>
    <t>5502169</t>
  </si>
  <si>
    <t>Escavação, carga e transporte de material de 1ª categoria - DMT de 1.600 a 1.800 m - caminho de serviço pavimentado - com escavadeira e caminhão basculante de 14 m³</t>
  </si>
  <si>
    <t>5501884</t>
  </si>
  <si>
    <t>Escavação, carga e transporte de material de 1ª categoria - DMT de 1.800 a 2.000 m - caminho de serviço em leito natural - com carregadeira e caminhão basculante de 14 m³</t>
  </si>
  <si>
    <t>5502118</t>
  </si>
  <si>
    <t>Escavação, carga e transporte de material de 1ª categoria - DMT de 1.800 a 2.000 m - caminho de serviço em leito natural - com escavadeira e caminhão basculante de 14 m³</t>
  </si>
  <si>
    <t>5501910</t>
  </si>
  <si>
    <t>Escavação, carga e transporte de material de 1ª categoria - DMT de 1.800 a 2.000 m - caminho de serviço em revestimento primário - com carregadeira e caminhão basculante de 14 m³</t>
  </si>
  <si>
    <t>5502144</t>
  </si>
  <si>
    <t>Escavação, carga e transporte de material de 1ª categoria - DMT de 1.800 a 2.000 m - caminho de serviço em revestimento primário - com escavadeira e caminhão basculante de 14 m³</t>
  </si>
  <si>
    <t>5501936</t>
  </si>
  <si>
    <t>Escavação, carga e transporte de material de 1ª categoria - DMT de 1.800 a 2.000 m - caminho de serviço pavimentado - com carregadeira e caminhão basculante de 14 m³</t>
  </si>
  <si>
    <t>5502170</t>
  </si>
  <si>
    <t>Escavação, carga e transporte de material de 1ª categoria - DMT de 1.800 a 2.000 m - caminho de serviço pavimentado - com escavadeira e caminhão basculante de 14 m³</t>
  </si>
  <si>
    <t>5501885</t>
  </si>
  <si>
    <t>Escavação, carga e transporte de material de 1ª categoria - DMT de 2.000 a 2.500 m - caminho de serviço em leito natural - com carregadeira e caminhão basculante de 14 m³</t>
  </si>
  <si>
    <t>5502119</t>
  </si>
  <si>
    <t>Escavação, carga e transporte de material de 1ª categoria - DMT de 2.000 a 2.500 m - caminho de serviço em leito natural - com escavadeira e caminhão basculante de 14 m³</t>
  </si>
  <si>
    <t>5501911</t>
  </si>
  <si>
    <t>Escavação, carga e transporte de material de 1ª categoria - DMT de 2.000 a 2.500 m - caminho de serviço em revestimento primário - com carregadeira e caminhão basculante de 14 m³</t>
  </si>
  <si>
    <t>5502145</t>
  </si>
  <si>
    <t>Escavação, carga e transporte de material de 1ª categoria - DMT de 2.000 a 2.500 m - caminho de serviço em revestimento primário - com escavadeira e caminhão basculante de 14 m³</t>
  </si>
  <si>
    <t>5501937</t>
  </si>
  <si>
    <t>Escavação, carga e transporte de material de 1ª categoria - DMT de 2.000 a 2.500 m - caminho de serviço pavimentado - com carregadeira e caminhão basculante de 14 m³</t>
  </si>
  <si>
    <t>5502171</t>
  </si>
  <si>
    <t>Escavação, carga e transporte de material de 1ª categoria - DMT de 2.000 a 2.500 m - caminho de serviço pavimentado - com escavadeira e caminhão basculante de 14 m³</t>
  </si>
  <si>
    <t>5501886</t>
  </si>
  <si>
    <t>Escavação, carga e transporte de material de 1ª categoria - DMT de 2.500 a 3.000 m - caminho de serviço em leito natural - com carregadeira e caminhão basculante de 14 m³</t>
  </si>
  <si>
    <t>5502120</t>
  </si>
  <si>
    <t>Escavação, carga e transporte de material de 1ª categoria - DMT de 2.500 a 3.000 m - caminho de serviço em leito natural - com escavadeira e caminhão basculante de 14 m³</t>
  </si>
  <si>
    <t>5501912</t>
  </si>
  <si>
    <t>Escavação, carga e transporte de material de 1ª categoria - DMT de 2.500 a 3.000 m - caminho de serviço em revestimento primário - com carregadeira e caminhão basculante de 14 m³</t>
  </si>
  <si>
    <t>5502146</t>
  </si>
  <si>
    <t>Escavação, carga e transporte de material de 1ª categoria - DMT de 2.500 a 3.000 m - caminho de serviço em revestimento primário - com escavadeira e caminhão basculante de 14 m³</t>
  </si>
  <si>
    <t>5501938</t>
  </si>
  <si>
    <t>Escavação, carga e transporte de material de 1ª categoria - DMT de 2.500 a 3.000 m - caminho de serviço pavimentado - com carregadeira e caminhão basculante de 14 m³</t>
  </si>
  <si>
    <t>5502172</t>
  </si>
  <si>
    <t>Escavação, carga e transporte de material de 1ª categoria - DMT de 2.500 a 3.000 m - caminho de serviço pavimentado - com escavadeira e caminhão basculante de 14 m³</t>
  </si>
  <si>
    <t>5501876</t>
  </si>
  <si>
    <t>Escavação, carga e transporte de material de 1ª categoria - DMT de 200 a 400 m - caminho de serviço em leito natural - com carregadeira e caminhão basculante de 14 m³</t>
  </si>
  <si>
    <t>5502110</t>
  </si>
  <si>
    <t>Escavação, carga e transporte de material de 1ª categoria - DMT de 200 a 400 m - caminho de serviço em leito natural - com escavadeira e caminhão basculante de 14 m³</t>
  </si>
  <si>
    <t>5501902</t>
  </si>
  <si>
    <t>Escavação, carga e transporte de material de 1ª categoria - DMT de 200 a 400 m - caminho de serviço em revestimento primário - com carregadeira e caminhão basculante de 14 m³</t>
  </si>
  <si>
    <t>5502136</t>
  </si>
  <si>
    <t>Escavação, carga e transporte de material de 1ª categoria - DMT de 200 a 400 m - caminho de serviço em revestimento primário - com escavadeira e caminhão basculante de 14 m³</t>
  </si>
  <si>
    <t>5501928</t>
  </si>
  <si>
    <t>Escavação, carga e transporte de material de 1ª categoria - DMT de 200 a 400 m - caminho de serviço pavimentado - com carregadeira e caminhão basculante de 14 m³</t>
  </si>
  <si>
    <t>5502162</t>
  </si>
  <si>
    <t>Escavação, carga e transporte de material de 1ª categoria - DMT de 200 a 400 m - caminho de serviço pavimentado - com escavadeira e caminhão basculante de 14 m³</t>
  </si>
  <si>
    <t>5501877</t>
  </si>
  <si>
    <t>Escavação, carga e transporte de material de 1ª categoria - DMT de 400 a 600 m - caminho de serviço em leito natural - com carregadeira e caminhão basculante de 14 m³</t>
  </si>
  <si>
    <t>5502111</t>
  </si>
  <si>
    <t>Escavação, carga e transporte de material de 1ª categoria - DMT de 400 a 600 m - caminho de serviço em leito natural - com escavadeira e caminhão basculante de 14 m³</t>
  </si>
  <si>
    <t>5501903</t>
  </si>
  <si>
    <t>Escavação, carga e transporte de material de 1ª categoria - DMT de 400 a 600 m - caminho de serviço em revestimento primário - com carregadeira e caminhão basculante de 14 m³</t>
  </si>
  <si>
    <t>5502137</t>
  </si>
  <si>
    <t>Escavação, carga e transporte de material de 1ª categoria - DMT de 400 a 600 m - caminho de serviço em revestimento primário - com escavadeira e caminhão basculante de 14 m³</t>
  </si>
  <si>
    <t>5501929</t>
  </si>
  <si>
    <t>Escavação, carga e transporte de material de 1ª categoria - DMT de 400 a 600 m - caminho de serviço pavimentado - com carregadeira e caminhão basculante de 14 m³</t>
  </si>
  <si>
    <t>5502163</t>
  </si>
  <si>
    <t>Escavação, carga e transporte de material de 1ª categoria - DMT de 400 a 600 m - caminho de serviço pavimentado - com escavadeira e caminhão basculante de 14 m³</t>
  </si>
  <si>
    <t>5501875</t>
  </si>
  <si>
    <t>Escavação, carga e transporte de material de 1ª categoria - DMT de 50 a 200 m - caminho de serviço em leito natural - com carregadeira e caminhão basculante de 14 m³</t>
  </si>
  <si>
    <t>5502109</t>
  </si>
  <si>
    <t>5501901</t>
  </si>
  <si>
    <t>Escavação, carga e transporte de material de 1ª categoria - DMT de 50 a 200 m - caminho de serviço em revestimento primário - com carregadeira e caminhão basculante de 14 m³</t>
  </si>
  <si>
    <t>5502135</t>
  </si>
  <si>
    <t>Escavação, carga e transporte de material de 1ª categoria - DMT de 50 a 200 m - caminho de serviço em revestimento primário - com escavadeira e caminhão basculante de 14 m³</t>
  </si>
  <si>
    <t>5501927</t>
  </si>
  <si>
    <t>Escavação, carga e transporte de material de 1ª categoria - DMT de 50 a 200 m - caminho de serviço pavimentado - com carregadeira e caminhão basculante de 14 m³</t>
  </si>
  <si>
    <t>5502161</t>
  </si>
  <si>
    <t>Escavação, carga e transporte de material de 1ª categoria - DMT de 50 a 200 m - caminho de serviço pavimentado - com escavadeira e caminhão basculante de 14 m³</t>
  </si>
  <si>
    <t>5501878</t>
  </si>
  <si>
    <t>Escavação, carga e transporte de material de 1ª categoria - DMT de 600 a 800 m - caminho de serviço em leito natural - com carregadeira e caminhão basculante de 14 m³</t>
  </si>
  <si>
    <t>5502112</t>
  </si>
  <si>
    <t>Escavação, carga e transporte de material de 1ª categoria - DMT de 600 a 800 m - caminho de serviço em leito natural - com escavadeira e caminhão basculante de 14 m³</t>
  </si>
  <si>
    <t>5501904</t>
  </si>
  <si>
    <t>Escavação, carga e transporte de material de 1ª categoria - DMT de 600 a 800 m - caminho de serviço em revestimento primário - com carregadeira e caminhão basculante de 14 m³</t>
  </si>
  <si>
    <t>5502138</t>
  </si>
  <si>
    <t>Escavação, carga e transporte de material de 1ª categoria - DMT de 600 a 800 m - caminho de serviço em revestimento primário - com escavadeira e caminhão basculante de 14 m³</t>
  </si>
  <si>
    <t>5501930</t>
  </si>
  <si>
    <t>Escavação, carga e transporte de material de 1ª categoria - DMT de 600 a 800 m - caminho de serviço pavimentado - com carregadeira e caminhão basculante de 14 m³</t>
  </si>
  <si>
    <t>5502164</t>
  </si>
  <si>
    <t>Escavação, carga e transporte de material de 1ª categoria - DMT de 600 a 800 m - caminho de serviço pavimentado - com escavadeira e caminhão basculante de 14 m³</t>
  </si>
  <si>
    <t>5501879</t>
  </si>
  <si>
    <t>Escavação, carga e transporte de material de 1ª categoria - DMT de 800 a 1.000 m - caminho de serviço em leito natural - com carregadeira e caminhão basculante de 14 m³</t>
  </si>
  <si>
    <t>5502113</t>
  </si>
  <si>
    <t>Escavação, carga e transporte de material de 1ª categoria - DMT de 800 a 1.000 m - caminho de serviço em leito natural - com escavadeira e caminhão basculante de 14 m³</t>
  </si>
  <si>
    <t>5501905</t>
  </si>
  <si>
    <t>Escavação, carga e transporte de material de 1ª categoria - DMT de 800 a 1.000 m - caminho de serviço em revestimento primário - com carregadeira e caminhão basculante de 14 m³</t>
  </si>
  <si>
    <t>5502139</t>
  </si>
  <si>
    <t>Escavação, carga e transporte de material de 1ª categoria - DMT de 800 a 1.000 m - caminho de serviço em revestimento primário - com escavadeira e caminhão basculante de 14 m³</t>
  </si>
  <si>
    <t>5501931</t>
  </si>
  <si>
    <t>Escavação, carga e transporte de material de 1ª categoria - DMT de 800 a 1.000 m - caminho de serviço pavimentado - com carregadeira e caminhão basculante de 14 m³</t>
  </si>
  <si>
    <t>5502165</t>
  </si>
  <si>
    <t>Escavação, carga e transporte de material de 1ª categoria - DMT de 800 a 1.000 m - caminho de serviço pavimentado - com escavadeira e caminhão basculante de 14 m³</t>
  </si>
  <si>
    <t>5502825</t>
  </si>
  <si>
    <t>Escavação, carga e transporte de material de 1ª categoria na distância de 3.000 m - caminho de serviço em leito natural - com carregadeira e caminhão basculante de 14 m³</t>
  </si>
  <si>
    <t>5502834</t>
  </si>
  <si>
    <t>Escavação, carga e transporte de material de 1ª categoria na distância de 3.000 m - caminho de serviço em leito natural - com escavadeira e caminhão basculante de 14 m³</t>
  </si>
  <si>
    <t>5502826</t>
  </si>
  <si>
    <t>Escavação, carga e transporte de material de 1ª categoria na distância de 3.000 m - caminho de serviço em revestimento primário - com carregadeira e caminhão basculante de 14 m³</t>
  </si>
  <si>
    <t>5502835</t>
  </si>
  <si>
    <t>Escavação, carga e transporte de material de 1ª categoria na distância de 3.000 m - caminho de serviço em revestimento primário - com escavadeira e caminhão basculante de 14 m³</t>
  </si>
  <si>
    <t>5502827</t>
  </si>
  <si>
    <t>Escavação, carga e transporte de material de 1ª categoria na distância de 3.000 m - caminho de serviço pavimentado - com carregadeira e caminhão basculante de 14 m³</t>
  </si>
  <si>
    <t>5502836</t>
  </si>
  <si>
    <t>Escavação, carga e transporte de material de 1ª categoria na distância de 3.000 m - caminho de serviço pavimentado - com escavadeira e caminhão basculante de 14 m³</t>
  </si>
  <si>
    <t>5502356</t>
  </si>
  <si>
    <t>Escavação, carga e transporte de material de 2ª categoria - DMT de 1.000 a 1.200 m - caminho de serviço em leito natural - com carregadeira e caminhão basculante de 14 m³</t>
  </si>
  <si>
    <t>5502590</t>
  </si>
  <si>
    <t>Escavação, carga e transporte de material de 2ª categoria - DMT de 1.000 a 1.200 m - caminho de serviço em leito natural - com escavadeira e caminhão basculante de 14 m³</t>
  </si>
  <si>
    <t>5502382</t>
  </si>
  <si>
    <t>Escavação, carga e transporte de material de 2ª categoria - DMT de 1.000 a 1.200 m - caminho de serviço em revestimento primário - com carregadeira e caminhão basculante de 14 m³</t>
  </si>
  <si>
    <t>5502616</t>
  </si>
  <si>
    <t>Escavação, carga e transporte de material de 2ª categoria - DMT de 1.000 a 1.200 m - caminho de serviço em revestimento primário - com escavadeira e caminhão basculante de 14 m³</t>
  </si>
  <si>
    <t>5502408</t>
  </si>
  <si>
    <t>Escavação, carga e transporte de material de 2ª categoria - DMT de 1.000 a 1.200 m - caminho de serviço pavimentado - com carregadeira e caminhão basculante de 14 m³</t>
  </si>
  <si>
    <t>5502642</t>
  </si>
  <si>
    <t>Escavação, carga e transporte de material de 2ª categoria - DMT de 1.000 a 1.200 m - caminho de serviço pavimentado - com escavadeira e caminhão basculante de 14 m³</t>
  </si>
  <si>
    <t>5502357</t>
  </si>
  <si>
    <t>Escavação, carga e transporte de material de 2ª categoria - DMT de 1.200 a 1.400 m - caminho de serviço em leito natural - com carregadeira e caminhão basculante de 14 m³</t>
  </si>
  <si>
    <t>5502591</t>
  </si>
  <si>
    <t>Escavação, carga e transporte de material de 2ª categoria - DMT de 1.200 a 1.400 m - caminho de serviço em leito natural - com escavadeira e caminhão basculante de 14 m³</t>
  </si>
  <si>
    <t>5502383</t>
  </si>
  <si>
    <t>Escavação, carga e transporte de material de 2ª categoria - DMT de 1.200 a 1.400 m - caminho de serviço em revestimento primário - com carregadeira e caminhão basculante de 14 m³</t>
  </si>
  <si>
    <t>5502617</t>
  </si>
  <si>
    <t>Escavação, carga e transporte de material de 2ª categoria - DMT de 1.200 a 1.400 m - caminho de serviço em revestimento primário - com escavadeira e caminhão basculante de 14 m³</t>
  </si>
  <si>
    <t>5502409</t>
  </si>
  <si>
    <t>Escavação, carga e transporte de material de 2ª categoria - DMT de 1.200 a 1.400 m - caminho de serviço pavimentado - com carregadeira e caminhão basculante de 14 m³</t>
  </si>
  <si>
    <t>5502643</t>
  </si>
  <si>
    <t>Escavação, carga e transporte de material de 2ª categoria - DMT de 1.200 a 1.400 m - caminho de serviço pavimentado - com escavadeira e caminhão basculante de 14 m³</t>
  </si>
  <si>
    <t>5502358</t>
  </si>
  <si>
    <t>Escavação, carga e transporte de material de 2ª categoria - DMT de 1.400 a 1.600 m - caminho de serviço em leito natural - com carregadeira e caminhão basculante de 14 m³</t>
  </si>
  <si>
    <t>5502592</t>
  </si>
  <si>
    <t>Escavação, carga e transporte de material de 2ª categoria - DMT de 1.400 a 1.600 m - caminho de serviço em leito natural - com escavadeira e caminhão basculante de 14 m³</t>
  </si>
  <si>
    <t>5502384</t>
  </si>
  <si>
    <t>Escavação, carga e transporte de material de 2ª categoria - DMT de 1.400 a 1.600 m - caminho de serviço em revestimento primário - com carregadeira e caminhão basculante de 14 m³</t>
  </si>
  <si>
    <t>5502618</t>
  </si>
  <si>
    <t>Escavação, carga e transporte de material de 2ª categoria - DMT de 1.400 a 1.600 m - caminho de serviço em revestimento primário - com escavadeira e caminhão basculante de 14 m³</t>
  </si>
  <si>
    <t>5502410</t>
  </si>
  <si>
    <t>Escavação, carga e transporte de material de 2ª categoria - DMT de 1.400 a 1.600 m - caminho de serviço pavimentado - com carregadeira e caminhão basculante de 14 m³</t>
  </si>
  <si>
    <t>5502644</t>
  </si>
  <si>
    <t>Escavação, carga e transporte de material de 2ª categoria - DMT de 1.400 a 1.600 m - caminho de serviço pavimentado - com escavadeira e caminhão basculante de 14 m³</t>
  </si>
  <si>
    <t>5502359</t>
  </si>
  <si>
    <t>Escavação, carga e transporte de material de 2ª categoria - DMT de 1.600 a 1.800 m - caminho de serviço em leito natural - com carregadeira e caminhão basculante de 14 m³</t>
  </si>
  <si>
    <t>5502593</t>
  </si>
  <si>
    <t>Escavação, carga e transporte de material de 2ª categoria - DMT de 1.600 a 1.800 m - caminho de serviço em leito natural - com escavadeira e caminhão basculante de 14 m³</t>
  </si>
  <si>
    <t>5502385</t>
  </si>
  <si>
    <t>Escavação, carga e transporte de material de 2ª categoria - DMT de 1.600 a 1.800 m - caminho de serviço em revestimento primário - com carregadeira e caminhão basculante de 14 m³</t>
  </si>
  <si>
    <t>5502619</t>
  </si>
  <si>
    <t>Escavação, carga e transporte de material de 2ª categoria - DMT de 1.600 a 1.800 m - caminho de serviço em revestimento primário - com escavadeira e caminhão basculante de 14 m³</t>
  </si>
  <si>
    <t>5502411</t>
  </si>
  <si>
    <t>Escavação, carga e transporte de material de 2ª categoria - DMT de 1.600 a 1.800 m - caminho de serviço pavimentado - com carregadeira e caminhão basculante de 14 m³</t>
  </si>
  <si>
    <t>5502645</t>
  </si>
  <si>
    <t>Escavação, carga e transporte de material de 2ª categoria - DMT de 1.600 a 1.800 m - caminho de serviço pavimentado - com escavadeira e caminhão basculante de 14 m³</t>
  </si>
  <si>
    <t>5502360</t>
  </si>
  <si>
    <t>Escavação, carga e transporte de material de 2ª categoria - DMT de 1.800 a 2.000 m - caminho de serviço em leito natural - com carregadeira e caminhão basculante de 14 m³</t>
  </si>
  <si>
    <t>5502594</t>
  </si>
  <si>
    <t>Escavação, carga e transporte de material de 2ª categoria - DMT de 1.800 a 2.000 m - caminho de serviço em leito natural - com escavadeira e caminhão basculante de 14 m³</t>
  </si>
  <si>
    <t>5502386</t>
  </si>
  <si>
    <t>Escavação, carga e transporte de material de 2ª categoria - DMT de 1.800 a 2.000 m - caminho de serviço em revestimento primário - com carregadeira e caminhão basculante de 14 m³</t>
  </si>
  <si>
    <t>5502620</t>
  </si>
  <si>
    <t>Escavação, carga e transporte de material de 2ª categoria - DMT de 1.800 a 2.000 m - caminho de serviço em revestimento primário - com escavadeira e caminhão basculante de 14 m³</t>
  </si>
  <si>
    <t>5502412</t>
  </si>
  <si>
    <t>Escavação, carga e transporte de material de 2ª categoria - DMT de 1.800 a 2.000 m - caminho de serviço pavimentado - com carregadeira e caminhão basculante de 14 m³</t>
  </si>
  <si>
    <t>5502646</t>
  </si>
  <si>
    <t>Escavação, carga e transporte de material de 2ª categoria - DMT de 1.800 a 2.000 m - caminho de serviço pavimentado - com escavadeira e caminhão basculante de 14 m³</t>
  </si>
  <si>
    <t>5502361</t>
  </si>
  <si>
    <t>Escavação, carga e transporte de material de 2ª categoria - DMT de 2.000 a 2.500 m - caminho de serviço em leito natural - com carregadeira e caminhão basculante de 14 m³</t>
  </si>
  <si>
    <t>5502595</t>
  </si>
  <si>
    <t>Escavação, carga e transporte de material de 2ª categoria - DMT de 2.000 a 2.500 m - caminho de serviço em leito natural - com escavadeira e caminhão basculante de 14 m³</t>
  </si>
  <si>
    <t>5502387</t>
  </si>
  <si>
    <t>Escavação, carga e transporte de material de 2ª categoria - DMT de 2.000 a 2.500 m - caminho de serviço em revestimento primário - com carregadeira e caminhão basculante de 14 m³</t>
  </si>
  <si>
    <t>5502621</t>
  </si>
  <si>
    <t>Escavação, carga e transporte de material de 2ª categoria - DMT de 2.000 a 2.500 m - caminho de serviço em revestimento primário - com escavadeira e caminhão basculante de 14 m³</t>
  </si>
  <si>
    <t>5502413</t>
  </si>
  <si>
    <t>Escavação, carga e transporte de material de 2ª categoria - DMT de 2.000 a 2.500 m - caminho de serviço pavimentado - com carregadeira e caminhão basculante de 14 m³</t>
  </si>
  <si>
    <t>5502647</t>
  </si>
  <si>
    <t>Escavação, carga e transporte de material de 2ª categoria - DMT de 2.000 a 2.500 m - caminho de serviço pavimentado - com escavadeira e caminhão basculante de 14 m³</t>
  </si>
  <si>
    <t>5502362</t>
  </si>
  <si>
    <t>Escavação, carga e transporte de material de 2ª categoria - DMT de 2.500 a 3.000 m - caminho de serviço em leito natural - com carregadeira e caminhão basculante de 14 m³</t>
  </si>
  <si>
    <t>5502596</t>
  </si>
  <si>
    <t>Escavação, carga e transporte de material de 2ª categoria - DMT de 2.500 a 3.000 m - caminho de serviço em leito natural - com escavadeira e caminhão basculante de 14 m³</t>
  </si>
  <si>
    <t>5502388</t>
  </si>
  <si>
    <t>Escavação, carga e transporte de material de 2ª categoria - DMT de 2.500 a 3.000 m - caminho de serviço em revestimento primário - com carregadeira e caminhão basculante de 14 m³</t>
  </si>
  <si>
    <t>5502622</t>
  </si>
  <si>
    <t>Escavação, carga e transporte de material de 2ª categoria - DMT de 2.500 a 3.000 m - caminho de serviço em revestimento primário - com escavadeira e caminhão basculante de 14 m³</t>
  </si>
  <si>
    <t>5502414</t>
  </si>
  <si>
    <t>Escavação, carga e transporte de material de 2ª categoria - DMT de 2.500 a 3.000 m - caminho de serviço pavimentado - com carregadeira e caminhão basculante de 14 m³</t>
  </si>
  <si>
    <t>5502648</t>
  </si>
  <si>
    <t>Escavação, carga e transporte de material de 2ª categoria - DMT de 2.500 a 3.000 m - caminho de serviço pavimentado - com escavadeira e caminhão basculante de 14 m³</t>
  </si>
  <si>
    <t>5502352</t>
  </si>
  <si>
    <t>Escavação, carga e transporte de material de 2ª categoria - DMT de 200 a 400 m - caminho de serviço em leito natural - com carregadeira e caminhão basculante de 14 m³</t>
  </si>
  <si>
    <t>5502586</t>
  </si>
  <si>
    <t>Escavação, carga e transporte de material de 2ª categoria - DMT de 200 a 400 m - caminho de serviço em leito natural - com escavadeira e caminhão basculante de 14 m³</t>
  </si>
  <si>
    <t>5502378</t>
  </si>
  <si>
    <t>Escavação, carga e transporte de material de 2ª categoria - DMT de 200 a 400 m - caminho de serviço em revestimento primário - com carregadeira e caminhão basculante de 14 m³</t>
  </si>
  <si>
    <t>5502612</t>
  </si>
  <si>
    <t>Escavação, carga e transporte de material de 2ª categoria - DMT de 200 a 400 m - caminho de serviço em revestimento primário - com escavadeira e caminhão basculante de 14 m³</t>
  </si>
  <si>
    <t>5502404</t>
  </si>
  <si>
    <t>Escavação, carga e transporte de material de 2ª categoria - DMT de 200 a 400 m - caminho de serviço pavimentado - com carregadeira e caminhão basculante de 14 m³</t>
  </si>
  <si>
    <t>5502638</t>
  </si>
  <si>
    <t>Escavação, carga e transporte de material de 2ª categoria - DMT de 200 a 400 m - caminho de serviço pavimentado - com escavadeira e caminhão basculante de 14 m³</t>
  </si>
  <si>
    <t>5502353</t>
  </si>
  <si>
    <t>Escavação, carga e transporte de material de 2ª categoria - DMT de 400 a 600 m - caminho de serviço em leito natural - com carregadeira e caminhão basculante de 14 m³</t>
  </si>
  <si>
    <t>5502587</t>
  </si>
  <si>
    <t>Escavação, carga e transporte de material de 2ª categoria - DMT de 400 a 600 m - caminho de serviço em leito natural - com escavadeira e caminhão basculante de 14 m³</t>
  </si>
  <si>
    <t>5502379</t>
  </si>
  <si>
    <t>Escavação, carga e transporte de material de 2ª categoria - DMT de 400 a 600 m - caminho de serviço em revestimento primário - com carregadeira e caminhão basculante de 14 m³</t>
  </si>
  <si>
    <t>5502613</t>
  </si>
  <si>
    <t>Escavação, carga e transporte de material de 2ª categoria - DMT de 400 a 600 m - caminho de serviço em revestimento primário - com escavadeira e caminhão basculante de 14 m³</t>
  </si>
  <si>
    <t>5502405</t>
  </si>
  <si>
    <t>Escavação, carga e transporte de material de 2ª categoria - DMT de 400 a 600 m - caminho de serviço pavimentado - com carregadeira e caminhão basculante de 14 m³</t>
  </si>
  <si>
    <t>5502639</t>
  </si>
  <si>
    <t>Escavação, carga e transporte de material de 2ª categoria - DMT de 400 a 600 m - caminho de serviço pavimentado - com escavadeira e caminhão basculante de 14 m³</t>
  </si>
  <si>
    <t>5502351</t>
  </si>
  <si>
    <t>Escavação, carga e transporte de material de 2ª categoria - DMT de 50 a 200 m - caminho de serviço em leito natural - com carregadeira e caminhão basculante de 14 m³</t>
  </si>
  <si>
    <t>5502585</t>
  </si>
  <si>
    <t>Escavação, carga e transporte de material de 2ª categoria - DMT de 50 a 200 m - caminho de serviço em leito natural - com escavadeira e caminhão basculante de 14 m³</t>
  </si>
  <si>
    <t>5502377</t>
  </si>
  <si>
    <t>Escavação, carga e transporte de material de 2ª categoria - DMT de 50 a 200 m - caminho de serviço em revestimento primário - com carregadeira e caminhão basculante de 14 m³</t>
  </si>
  <si>
    <t>5502611</t>
  </si>
  <si>
    <t>Escavação, carga e transporte de material de 2ª categoria - DMT de 50 a 200 m - caminho de serviço em revestimento primário - com escavadeira e caminhão basculante de 14 m³</t>
  </si>
  <si>
    <t>5502403</t>
  </si>
  <si>
    <t>Escavação, carga e transporte de material de 2ª categoria - DMT de 50 a 200 m - caminho de serviço pavimentado - com carregadeira e caminhão basculante de 14 m³</t>
  </si>
  <si>
    <t>5502637</t>
  </si>
  <si>
    <t>Escavação, carga e transporte de material de 2ª categoria - DMT de 50 a 200 m - caminho de serviço pavimentado - com escavadeira e caminhão basculante de 14 m³</t>
  </si>
  <si>
    <t>5502187</t>
  </si>
  <si>
    <t>Escavação, carga e transporte de material de 2ª categoria - DMT de 50 m</t>
  </si>
  <si>
    <t>5502354</t>
  </si>
  <si>
    <t>Escavação, carga e transporte de material de 2ª categoria - DMT de 600 a 800 m - caminho de serviço em leito natural - com carregadeira e caminhão basculante de 14 m³</t>
  </si>
  <si>
    <t>5502588</t>
  </si>
  <si>
    <t>Escavação, carga e transporte de material de 2ª categoria - DMT de 600 a 800 m - caminho de serviço em leito natural - com escavadeira e caminhão basculante de 14 m³</t>
  </si>
  <si>
    <t>5502380</t>
  </si>
  <si>
    <t>Escavação, carga e transporte de material de 2ª categoria - DMT de 600 a 800 m - caminho de serviço em revestimento primário - com carregadeira e caminhão basculante de 14 m³</t>
  </si>
  <si>
    <t>5502614</t>
  </si>
  <si>
    <t>Escavação, carga e transporte de material de 2ª categoria - DMT de 600 a 800 m - caminho de serviço em revestimento primário - com escavadeira e caminhão basculante de 14 m³</t>
  </si>
  <si>
    <t>5502406</t>
  </si>
  <si>
    <t>Escavação, carga e transporte de material de 2ª categoria - DMT de 600 a 800 m - caminho de serviço pavimentado - com carregadeira e caminhão basculante de 14 m³</t>
  </si>
  <si>
    <t>5502640</t>
  </si>
  <si>
    <t>Escavação, carga e transporte de material de 2ª categoria - DMT de 600 a 800 m - caminho de serviço pavimentado - com escavadeira e caminhão basculante de 14 m³</t>
  </si>
  <si>
    <t>5502355</t>
  </si>
  <si>
    <t>Escavação, carga e transporte de material de 2ª categoria - DMT de 800 a 1.000 m - caminho de serviço em leito natural - com carregadeira e caminhão basculante de 14 m³</t>
  </si>
  <si>
    <t>5502589</t>
  </si>
  <si>
    <t>Escavação, carga e transporte de material de 2ª categoria - DMT de 800 a 1.000 m - caminho de serviço em leito natural - com escavadeira e caminhão basculante de 14 m³</t>
  </si>
  <si>
    <t>5502381</t>
  </si>
  <si>
    <t>Escavação, carga e transporte de material de 2ª categoria - DMT de 800 a 1.000 m - caminho de serviço em revestimento primário - com carregadeira e caminhão basculante de 14 m³</t>
  </si>
  <si>
    <t>5502615</t>
  </si>
  <si>
    <t>Escavação, carga e transporte de material de 2ª categoria - DMT de 800 a 1.000 m - caminho de serviço em revestimento primário - com escavadeira e caminhão basculante de 14 m³</t>
  </si>
  <si>
    <t>5502407</t>
  </si>
  <si>
    <t>Escavação, carga e transporte de material de 2ª categoria - DMT de 800 a 1.000 m - caminho de serviço pavimentado - com carregadeira e caminhão basculante de 14 m³</t>
  </si>
  <si>
    <t>5502641</t>
  </si>
  <si>
    <t>Escavação, carga e transporte de material de 2ª categoria - DMT de 800 a 1.000 m - caminho de serviço pavimentado - com escavadeira e caminhão basculante de 14 m³</t>
  </si>
  <si>
    <t>5502880</t>
  </si>
  <si>
    <t>Escavação, carga e transporte de material de 2ª categoria na distância de 3.000 m - caminho de serviço em leito natural - com escavadeira e caminhão basculante de 14 m³</t>
  </si>
  <si>
    <t>5502857</t>
  </si>
  <si>
    <t>Escavação, carga e transporte de material de 2ª categoria na distância de 3.000 m - caminho de serviço em leito natural com carregadeira e caminhão basculante de 14 m³</t>
  </si>
  <si>
    <t>5502881</t>
  </si>
  <si>
    <t>Escavação, carga e transporte de material de 2ª categoria na distância de 3.000 m - caminho de serviço em revestimento primário - com escavadeira e caminhão basculante de 14 m³</t>
  </si>
  <si>
    <t>5502859</t>
  </si>
  <si>
    <t>Escavação, carga e transporte de material de 2ª categoria na distância de 3.000 m - caminho de serviço pavimentado - com carregadeira e caminhão basculante de 14 m³</t>
  </si>
  <si>
    <t>5502882</t>
  </si>
  <si>
    <t>Escavação, carga e transporte de material de 2ª categoria na distância de 3.000 m - caminho de serviço pavimentado - com escavadeira e caminhão basculante de 14 m³</t>
  </si>
  <si>
    <t>5502858</t>
  </si>
  <si>
    <t>Escavação, carga e transporte de material de 2ª categoria na distância de 3.000 m -caminho de serviço com revestimento primário com carregadeira e caminhão basculante de 14 m³</t>
  </si>
  <si>
    <t>5502747</t>
  </si>
  <si>
    <t>Escavação, carga e transporte de material de 3ª categoria - DMT de 1.000 a 1.200 m - caminho de serviço em leito natural com caminhão basculante de 12 m³</t>
  </si>
  <si>
    <t>5502773</t>
  </si>
  <si>
    <t>Escavação, carga e transporte de material de 3ª categoria - DMT de 1.000 a 1.200 m - caminho de serviço em revestimento primário - com caminhão basculante de 12 m³</t>
  </si>
  <si>
    <t>5502799</t>
  </si>
  <si>
    <t>Escavação, carga e transporte de material de 3ª categoria - DMT de 1.000 a 1.200 m - caminho de serviço pavimentado - com caminhão basculante de 12 m³</t>
  </si>
  <si>
    <t>5502748</t>
  </si>
  <si>
    <t>Escavação, carga e transporte de material de 3ª categoria - DMT de 1.200 a 1.400 m - caminho de serviço em leito natural com caminhão basculante de 12 m³</t>
  </si>
  <si>
    <t>5502774</t>
  </si>
  <si>
    <t>Escavação, carga e transporte de material de 3ª categoria - DMT de 1.200 a 1.400 m - caminho de serviço em revestimento primário - com caminhão basculante de 12 m³</t>
  </si>
  <si>
    <t>5502800</t>
  </si>
  <si>
    <t>Escavação, carga e transporte de material de 3ª categoria - DMT de 1.200 a 1.400 m - caminho de serviço pavimentado - com caminhão basculante de 12 m³</t>
  </si>
  <si>
    <t>5502749</t>
  </si>
  <si>
    <t>Escavação, carga e transporte de material de 3ª categoria - DMT de 1.400 a 1.600 m - caminho de serviço em leito natural com caminhão basculante de 12 m³</t>
  </si>
  <si>
    <t>5502775</t>
  </si>
  <si>
    <t>Escavação, carga e transporte de material de 3ª categoria - DMT de 1.400 a 1.600 m - caminho de serviço em revestimento primário - com caminhão basculante de 12 m³</t>
  </si>
  <si>
    <t>5502801</t>
  </si>
  <si>
    <t>Escavação, carga e transporte de material de 3ª categoria - DMT de 1.400 a 1.600 m - caminho de serviço pavimentado - com caminhão basculante de 12 m³</t>
  </si>
  <si>
    <t>5502750</t>
  </si>
  <si>
    <t>Escavação, carga e transporte de material de 3ª categoria - DMT de 1.600 a 1.800 m - caminho de serviço em leito natural com caminhão basculante de 12 m³</t>
  </si>
  <si>
    <t>5502776</t>
  </si>
  <si>
    <t>Escavação, carga e transporte de material de 3ª categoria - DMT de 1.600 a 1.800 m - caminho de serviço em revestimento primário - com caminhão basculante de 12 m³</t>
  </si>
  <si>
    <t>5502802</t>
  </si>
  <si>
    <t>Escavação, carga e transporte de material de 3ª categoria - DMT de 1.600 a 1.800 m - caminho de serviço pavimentado - com caminhão basculante de 12 m³</t>
  </si>
  <si>
    <t>5502751</t>
  </si>
  <si>
    <t>Escavação, carga e transporte de material de 3ª categoria - DMT de 1.800 a 2.000 m - caminho de serviço em leito natural com caminhão basculante de 12 m³</t>
  </si>
  <si>
    <t>5502777</t>
  </si>
  <si>
    <t>Escavação, carga e transporte de material de 3ª categoria - DMT de 1.800 a 2.000 m - caminho de serviço em revestimento primário - com caminhão basculante de 12 m³</t>
  </si>
  <si>
    <t>5502803</t>
  </si>
  <si>
    <t>Escavação, carga e transporte de material de 3ª categoria - DMT de 1.800 a 2.000 m - caminho de serviço pavimentado - com caminhão basculante de 12 m³</t>
  </si>
  <si>
    <t>5502752</t>
  </si>
  <si>
    <t>Escavação, carga e transporte de material de 3ª categoria - DMT de 2.000 a 2.500 m - caminho de serviço em leito natural com caminhão basculante de 12 m³</t>
  </si>
  <si>
    <t>5502778</t>
  </si>
  <si>
    <t>Escavação, carga e transporte de material de 3ª categoria - DMT de 2.000 a 2.500 m - caminho de serviço em revestimento primário - com caminhão basculante de 12 m³</t>
  </si>
  <si>
    <t>5502804</t>
  </si>
  <si>
    <t>Escavação, carga e transporte de material de 3ª categoria - DMT de 2.000 a 2.500 m - caminho de serviço pavimentado - com caminhão basculante de 12 m³</t>
  </si>
  <si>
    <t>5502753</t>
  </si>
  <si>
    <t>Escavação, carga e transporte de material de 3ª categoria - DMT de 2.500 a 3.000 m - caminho de serviço em leito natural com caminhão basculante de 12 m³</t>
  </si>
  <si>
    <t>5502779</t>
  </si>
  <si>
    <t>Escavação, carga e transporte de material de 3ª categoria - DMT de 2.500 a 3.000 m - caminho de serviço em revestimento primário - com caminhão basculante de 12 m³</t>
  </si>
  <si>
    <t>5502805</t>
  </si>
  <si>
    <t>Escavação, carga e transporte de material de 3ª categoria - DMT de 2.500 a 3.000 m - caminho de serviço pavimentado - com caminhão basculante de 12 m³</t>
  </si>
  <si>
    <t>5502743</t>
  </si>
  <si>
    <t>Escavação, carga e transporte de material de 3ª categoria - DMT de 200 a 400 m - caminho de serviço em leito natural com caminhão basculante de 12 m³</t>
  </si>
  <si>
    <t>5502769</t>
  </si>
  <si>
    <t>Escavação, carga e transporte de material de 3ª categoria - DMT de 200 a 400 m - caminho de serviço em revestimento primário - com caminhão basculante de 12 m³</t>
  </si>
  <si>
    <t>5502795</t>
  </si>
  <si>
    <t>Escavação, carga e transporte de material de 3ª categoria - DMT de 200 a 400 m - caminho de serviço pavimentado - com caminhão basculante de 12 m³</t>
  </si>
  <si>
    <t>5502744</t>
  </si>
  <si>
    <t>Escavação, carga e transporte de material de 3ª categoria - DMT de 400 a 600 m - caminho de serviço em leito natural com caminhão basculante de 12 m³</t>
  </si>
  <si>
    <t>5502770</t>
  </si>
  <si>
    <t>Escavação, carga e transporte de material de 3ª categoria - DMT de 400 a 600 m - caminho de serviço em revestimento primário - com caminhão basculante de 12 m³</t>
  </si>
  <si>
    <t>5502796</t>
  </si>
  <si>
    <t>Escavação, carga e transporte de material de 3ª categoria - DMT de 400 a 600 m - caminho de serviço pavimentado - com caminhão basculante de 12 m³</t>
  </si>
  <si>
    <t>5502742</t>
  </si>
  <si>
    <t>Escavação, carga e transporte de material de 3ª categoria - DMT de 50 a 200 m - caminho de serviço em leito natural com caminhão basculante de 12 m³</t>
  </si>
  <si>
    <t>5502768</t>
  </si>
  <si>
    <t>Escavação, carga e transporte de material de 3ª categoria - DMT de 50 a 200 m - caminho de serviço em revestimento primário - com caminhão basculante de 12 m³</t>
  </si>
  <si>
    <t>5502794</t>
  </si>
  <si>
    <t>Escavação, carga e transporte de material de 3ª categoria - DMT de 50 a 200 m - caminho de serviço pavimentado - com caminhão basculante de 12 m³</t>
  </si>
  <si>
    <t>5502745</t>
  </si>
  <si>
    <t>Escavação, carga e transporte de material de 3ª categoria - DMT de 600 a 800 m - caminho de serviço em leito natural com caminhão basculante de 12 m³</t>
  </si>
  <si>
    <t>5502771</t>
  </si>
  <si>
    <t>Escavação, carga e transporte de material de 3ª categoria - DMT de 600 a 800 m - caminho de serviço em revestimento primário - com caminhão basculante de 12 m³</t>
  </si>
  <si>
    <t>5502797</t>
  </si>
  <si>
    <t>Escavação, carga e transporte de material de 3ª categoria - DMT de 600 a 800 m - caminho de serviço pavimentado - com caminhão basculante de 12 m³</t>
  </si>
  <si>
    <t>5502746</t>
  </si>
  <si>
    <t>Escavação, carga e transporte de material de 3ª categoria - DMT de 800 a 1.000 m - caminho de serviço em leito natural com caminhão basculante de 12 m³</t>
  </si>
  <si>
    <t>5502772</t>
  </si>
  <si>
    <t>Escavação, carga e transporte de material de 3ª categoria - DMT de 800 a 1.000 m - caminho de serviço em revestimento primário - com caminhão basculante de 12 m³</t>
  </si>
  <si>
    <t>5502798</t>
  </si>
  <si>
    <t>Escavação, carga e transporte de material de 3ª categoria - DMT de 800 a 1.000 m - caminho de serviço pavimentado - com caminhão basculante de 12 m³</t>
  </si>
  <si>
    <t>5502886</t>
  </si>
  <si>
    <t>Escavação, carga e transporte de material de 3ª categoria na distância de 3.000 m - caminho de serviço em leito natural com caminhão basculante de 12 m³</t>
  </si>
  <si>
    <t>5502887</t>
  </si>
  <si>
    <t>Escavação, carga e transporte de material de 3ª categoria na distância de 3.000 m - caminho de serviço em revestimento primário - com caminhão basculante de 12 m³</t>
  </si>
  <si>
    <t>5502888</t>
  </si>
  <si>
    <t>Escavação, carga e transporte de material de 3ª categoria na distância de 3.000 m - caminho de serviço pavimentado - com caminhão basculante de 12 m³</t>
  </si>
  <si>
    <t>5502820</t>
  </si>
  <si>
    <t>Escavação, carga e transporte de solos moles - DMT de 0 a 50 m</t>
  </si>
  <si>
    <t>5502904</t>
  </si>
  <si>
    <t>Escavação, carga e transporte de solos moles - DMT de 1.000 a 1.200 m - caminho de serviço em leito natural - com caminhão basculante de 14 m³</t>
  </si>
  <si>
    <t>5502930</t>
  </si>
  <si>
    <t>Escavação, carga e transporte de solos moles - DMT de 1.000 a 1.200 m - caminho de serviço em revestimento primário - com caminhão basculante de 14 m³</t>
  </si>
  <si>
    <t>5502956</t>
  </si>
  <si>
    <t>Escavação, carga e transporte de solos moles - DMT de 1.000 a 1.200 m - caminho de serviço pavimentado - com caminhão basculante de 14 m³</t>
  </si>
  <si>
    <t>5502905</t>
  </si>
  <si>
    <t>Escavação, carga e transporte de solos moles - DMT de 1.200 a 1.400 m - caminho de serviço em leito natural - com caminhão basculante de 14 m³</t>
  </si>
  <si>
    <t>5502931</t>
  </si>
  <si>
    <t>Escavação, carga e transporte de solos moles - DMT de 1.200 a 1.400 m - caminho de serviço em revestimento primário - com caminhão basculante de 14 m³</t>
  </si>
  <si>
    <t>5502957</t>
  </si>
  <si>
    <t>Escavação, carga e transporte de solos moles - DMT de 1.200 a 1.400 m - caminho de serviço pavimentado - com caminhão basculante de 14 m³</t>
  </si>
  <si>
    <t>5502906</t>
  </si>
  <si>
    <t>Escavação, carga e transporte de solos moles - DMT de 1.400 a 1.600 m - caminho de serviço em leito natural - com caminhão basculante de 14 m³</t>
  </si>
  <si>
    <t>5502932</t>
  </si>
  <si>
    <t>Escavação, carga e transporte de solos moles - DMT de 1.400 a 1.600 m - caminho de serviço em revestimento primário - com caminhão basculante de 14 m³</t>
  </si>
  <si>
    <t>5502958</t>
  </si>
  <si>
    <t>Escavação, carga e transporte de solos moles - DMT de 1.400 a 1.600 m - caminho de serviço pavimentado - com caminhão basculante de 14 m³</t>
  </si>
  <si>
    <t>5502907</t>
  </si>
  <si>
    <t>Escavação, carga e transporte de solos moles - DMT de 1.600 a 1.800 m - caminho de serviço em leito natural - com caminhão basculante de 14 m³</t>
  </si>
  <si>
    <t>5502933</t>
  </si>
  <si>
    <t>Escavação, carga e transporte de solos moles - DMT de 1.600 a 1.800 m - caminho de serviço em revestimento primário - com caminhão basculante de 14 m³</t>
  </si>
  <si>
    <t>5502959</t>
  </si>
  <si>
    <t>Escavação, carga e transporte de solos moles - DMT de 1.600 a 1.800 m - caminho de serviço pavimentado - com caminhão basculante de 14 m³</t>
  </si>
  <si>
    <t>5502908</t>
  </si>
  <si>
    <t>Escavação, carga e transporte de solos moles - DMT de 1.800 a 2.000 m - caminho de serviço em leito natural - com caminhão basculante de 14 m³</t>
  </si>
  <si>
    <t>5502934</t>
  </si>
  <si>
    <t>Escavação, carga e transporte de solos moles - DMT de 1.800 a 2.000 m - caminho de serviço em revestimento primário - com caminhão basculante de 14 m³</t>
  </si>
  <si>
    <t>5502960</t>
  </si>
  <si>
    <t>Escavação, carga e transporte de solos moles - DMT de 1.800 a 2.000 m - caminho de serviço pavimentado - com caminhão basculante de 14 m³</t>
  </si>
  <si>
    <t>5502909</t>
  </si>
  <si>
    <t>Escavação, carga e transporte de solos moles - DMT de 2.000 a 2.500 m - caminho de serviço em leito natural - com caminhão basculante de 14 m³</t>
  </si>
  <si>
    <t>5502935</t>
  </si>
  <si>
    <t>Escavação, carga e transporte de solos moles - DMT de 2.000 a 2.500 m - caminho de serviço em revestimento primário - com caminhão basculante de 14 m³</t>
  </si>
  <si>
    <t>5502961</t>
  </si>
  <si>
    <t>Escavação, carga e transporte de solos moles - DMT de 2.000 a 2.500 m - caminho de serviço pavimentado - com caminhão basculante de 14 m³</t>
  </si>
  <si>
    <t>5502910</t>
  </si>
  <si>
    <t>Escavação, carga e transporte de solos moles - DMT de 2.500 a 3.000 m - caminho de serviço em leito natural - com caminhão basculante de 14 m³</t>
  </si>
  <si>
    <t>5502936</t>
  </si>
  <si>
    <t>Escavação, carga e transporte de solos moles - DMT de 2.500 a 3.000 m - caminho de serviço em revestimento primário - com caminhão basculante de 14 m³</t>
  </si>
  <si>
    <t>5502962</t>
  </si>
  <si>
    <t>Escavação, carga e transporte de solos moles - DMT de 2.500 a 3.000 m - caminho de serviço pavimentado - com caminhão basculante de 14 m³</t>
  </si>
  <si>
    <t>5502900</t>
  </si>
  <si>
    <t>Escavação, carga e transporte de solos moles - DMT de 200 a 400 m - caminho de serviço em leito natural - com caminhão basculante de 14 m³</t>
  </si>
  <si>
    <t>5502926</t>
  </si>
  <si>
    <t>Escavação, carga e transporte de solos moles - DMT de 200 a 400 m - caminho de serviço em revestimento primário - com caminhão basculante de 14 m³</t>
  </si>
  <si>
    <t>5502952</t>
  </si>
  <si>
    <t>Escavação, carga e transporte de solos moles - DMT de 200 a 400 m - caminho de serviço pavimentado - com caminhão basculante de 14 m³</t>
  </si>
  <si>
    <t>5502901</t>
  </si>
  <si>
    <t>Escavação, carga e transporte de solos moles - DMT de 400 a 600 m - caminho de serviço em leito natural - com caminhão basculante de 14 m³</t>
  </si>
  <si>
    <t>5502927</t>
  </si>
  <si>
    <t>Escavação, carga e transporte de solos moles - DMT de 400 a 600 m - caminho de serviço em revestimento primário - com caminhão basculante de 14 m³</t>
  </si>
  <si>
    <t>5502953</t>
  </si>
  <si>
    <t>Escavação, carga e transporte de solos moles - DMT de 400 a 600 m - caminho de serviço pavimentado - com caminhão basculante de 14 m³</t>
  </si>
  <si>
    <t>5502899</t>
  </si>
  <si>
    <t>Escavação, carga e transporte de solos moles - DMT de 50 a 200 m - caminho de serviço em leito natural - com caminhão basculante de 14 m³</t>
  </si>
  <si>
    <t>5502925</t>
  </si>
  <si>
    <t>Escavação, carga e transporte de solos moles - DMT de 50 a 200 m - caminho de serviço em revestimento primário - com caminhão basculante de 14 m³</t>
  </si>
  <si>
    <t>5502951</t>
  </si>
  <si>
    <t>Escavação, carga e transporte de solos moles - DMT de 50 a 200 m - caminho de serviço pavimentado - com caminhão basculante de 14 m³</t>
  </si>
  <si>
    <t>5502902</t>
  </si>
  <si>
    <t>Escavação, carga e transporte de solos moles - DMT de 600 a 800 m - caminho de serviço em leito natural - com caminhão basculante de 14 m³</t>
  </si>
  <si>
    <t>5502928</t>
  </si>
  <si>
    <t>Escavação, carga e transporte de solos moles - DMT de 600 a 800 m - caminho de serviço em revestimento primário - com caminhão basculante de 14 m³</t>
  </si>
  <si>
    <t>5502954</t>
  </si>
  <si>
    <t>Escavação, carga e transporte de solos moles - DMT de 600 a 800 m - caminho de serviço pavimentado - com caminhão basculante de 14 m³</t>
  </si>
  <si>
    <t>5502903</t>
  </si>
  <si>
    <t>Escavação, carga e transporte de solos moles - DMT de 800 a 1.000 m - caminho de serviço em leito natural - com caminhão basculante de 14 m³</t>
  </si>
  <si>
    <t>5502929</t>
  </si>
  <si>
    <t>Escavação, carga e transporte de solos moles - DMT de 800 a 1.000 m - caminho de serviço em revestimento primário - com caminhão basculante de 14 m³</t>
  </si>
  <si>
    <t>5502955</t>
  </si>
  <si>
    <t>Escavação, carga e transporte de solos moles - DMT de 800 a 1.000 m - caminho de serviço pavimentado - com caminhão basculante de 14 m³</t>
  </si>
  <si>
    <t>5502889</t>
  </si>
  <si>
    <t>Escavação, carga e transporte de solos moles na distância de 3.000 m - caminho de serviço em leito natural - com caminhão basculante de 14 m³</t>
  </si>
  <si>
    <t>5502996</t>
  </si>
  <si>
    <t>Escavação, carga e transporte de solos moles na distância de 3.000 m - caminho de serviço em revestimento primário - com caminhão basculante de 14 m³</t>
  </si>
  <si>
    <t>5502997</t>
  </si>
  <si>
    <t>Escavação, carga e transporte de solos moles na distância de 3.000 m - caminho de serviço pavimentado - com caminhão basculante de 14 m³</t>
  </si>
  <si>
    <t>5501716</t>
  </si>
  <si>
    <t>Escavação, carga e transporte em material de 1ª categoria - DMT de 1.000 a 1.200 m com motoscraper</t>
  </si>
  <si>
    <t>5501717</t>
  </si>
  <si>
    <t>Escavação, carga e transporte em material de 1ª categoria - DMT de 1.200 a 1.400 m com motoscraper</t>
  </si>
  <si>
    <t>5501712</t>
  </si>
  <si>
    <t>Escavação, carga e transporte em material de 1ª categoria - DMT de 200 a 400 m com motoscraper</t>
  </si>
  <si>
    <t>5501713</t>
  </si>
  <si>
    <t>Escavação, carga e transporte em material de 1ª categoria - DMT de 400 a 600 m com motoscraper</t>
  </si>
  <si>
    <t>5501711</t>
  </si>
  <si>
    <t>Escavação, carga e transporte em material de 1ª categoria - DMT de 50 a 200 m com motoscraper</t>
  </si>
  <si>
    <t>5501710</t>
  </si>
  <si>
    <t>Escavação, carga e transporte em material de 1ª categoria - DMT de 50 m</t>
  </si>
  <si>
    <t>5501714</t>
  </si>
  <si>
    <t>Escavação, carga e transporte em material de 1ª categoria - DMT de 600 a 800 m com motoscraper</t>
  </si>
  <si>
    <t>5501715</t>
  </si>
  <si>
    <t>Escavação, carga e transporte em material de 1ª categoria - DMT de 800 a 1.000 m com motoscraper</t>
  </si>
  <si>
    <t>5502986</t>
  </si>
  <si>
    <t>Expurgo de jazida</t>
  </si>
  <si>
    <t>5502977</t>
  </si>
  <si>
    <t>Fragmentação de blocos de rocha com escavadeira e rompedor hidráulico 1.700 kg</t>
  </si>
  <si>
    <t>5502985</t>
  </si>
  <si>
    <t>Limpeza mecanizada da camada vegetal</t>
  </si>
  <si>
    <t>5503018</t>
  </si>
  <si>
    <t>Manutenção de caminho de serviço</t>
  </si>
  <si>
    <t>5505768</t>
  </si>
  <si>
    <t>Pré-fissuramento de material de 3ª categoria</t>
  </si>
  <si>
    <t>5503020</t>
  </si>
  <si>
    <t>Umedecimento de caminho de serviço</t>
  </si>
  <si>
    <t>5605798</t>
  </si>
  <si>
    <t>Chumbador de aço CA-50 - D = 20 mm com perfuratriz sobre pneus - ancorado na rocha com cartucho de cimento - fornecimento, perfuração e instalação</t>
  </si>
  <si>
    <t>5605925</t>
  </si>
  <si>
    <t>Chumbador de aço CA-50 - D = 20 mm com perfuratriz sobre pneus - ancorado na rocha com injeção de nata de cimento - fornecimento, perfuração e instalação</t>
  </si>
  <si>
    <t>5605799</t>
  </si>
  <si>
    <t>Chumbador de aço CA-50 - D = 22 mm com perfuratriz sobre pneus - ancorado na rocha com cartucho de cimento - fornecimento, perfuração e instalação</t>
  </si>
  <si>
    <t>5605800</t>
  </si>
  <si>
    <t>Chumbador de aço CA-50 - D = 25 mm com perfuratriz sobre pneus - ancorado na rocha com cartucho de cimento - fornecimento, perfuração e instalação</t>
  </si>
  <si>
    <t>5613944</t>
  </si>
  <si>
    <t>Chumbador de aço CA-50 - D = 32 mm com martelete perfurador manual - ancorado na rocha com cartucho de cimento - fornecimento, perfuração e instalação</t>
  </si>
  <si>
    <t>5605894</t>
  </si>
  <si>
    <t>Grampo de aço CA-50 D = 12,5 mm para solo grampeado com capacidade de 30 kN - fornecimento, perfuração e instalação</t>
  </si>
  <si>
    <t>5605895</t>
  </si>
  <si>
    <t>Grampo de aço CA-50 D = 16 mm para solo grampeado com capacidade de 50 kN - fornecimento, perfuração e instalação</t>
  </si>
  <si>
    <t>5605896</t>
  </si>
  <si>
    <t>Grampo de aço CA-50 D = 20 mm para solo grampeado com capacidade de 80 kN - fornecimento, perfuração e instalação</t>
  </si>
  <si>
    <t>5605911</t>
  </si>
  <si>
    <t>Perfuração para tirante permanente protendido autoinjetável em material de 1ª categoria com diâmetro de até 120 mm</t>
  </si>
  <si>
    <t>5605912</t>
  </si>
  <si>
    <t>Perfuração para tirante permanente protendido autoinjetável em material de 2ª categoria com diâmetro de até 87 mm</t>
  </si>
  <si>
    <t>5605938</t>
  </si>
  <si>
    <t>Perfuração para tirantes em material de 1ª categoria com diâmetro de até 120 mm</t>
  </si>
  <si>
    <t>5605939</t>
  </si>
  <si>
    <t>Perfuração para tirantes em material de 2ª categoria com diâmetro de até 120 mm</t>
  </si>
  <si>
    <t>5605940</t>
  </si>
  <si>
    <t>Perfuração para tirantes em material de 3ª categoria com diâmetro de até 120 mm</t>
  </si>
  <si>
    <t>5605942</t>
  </si>
  <si>
    <t>Pintura eletrostática com tinta em pó à base de resina epóxi - E = 200 µm</t>
  </si>
  <si>
    <t>5605955</t>
  </si>
  <si>
    <t>Protensão de tirante com 10 cordoalhas D = 12,7 mm aço CP 190 RB, com capacidade de 860 kN - inclusive ancoragem e grauteamento da cabeça</t>
  </si>
  <si>
    <t>5605956</t>
  </si>
  <si>
    <t>Protensão de tirante com 12 cordoalhas D = 12,7 mm aço CP 190 RB, com capacidade de 1.040 kN - inclusive ancoragem e grauteamento da cabeça</t>
  </si>
  <si>
    <t>5605953</t>
  </si>
  <si>
    <t>Protensão de tirante com 6 cordoalhas D = 12,7 mm aço CP 190 RB, com capacidade de 520 kN - inclusive ancoragem e grauteamento da cabeça</t>
  </si>
  <si>
    <t>5605954</t>
  </si>
  <si>
    <t>Protensão de tirante com 8 cordoalhas D = 12,7 mm aço CP 190 RB, com capacidade de 690 kN - inclusive ancoragem e grauteamento da cabeça</t>
  </si>
  <si>
    <t>5605909</t>
  </si>
  <si>
    <t>Protensão de tirante permanente autoinjetável de aço D = 40 mm, seção de 684 mm², tensão de escoamento = 440 MPa e tensão de ruptura = 580 MPa - inclusive ancoragem e grauteamento da cabeça</t>
  </si>
  <si>
    <t>5605908</t>
  </si>
  <si>
    <t>Protensão de tirante permanente autoinjetável de aço D = 40 mm, seção de 822 mm², tensão de escoamento = 470 MPa e tensão de ruptura = 600 MPa - inclusive ancoragem e grauteamento da cabeça</t>
  </si>
  <si>
    <t>5605907</t>
  </si>
  <si>
    <t>Protensão de tirante permanente autoinjetável de aço D = 40 mm, seção de 936 mm², tensão de escoamento = 700 MPa e tensão de ruptura = 830 MPa - inclusive ancoragem e grauteamento da cabeça</t>
  </si>
  <si>
    <t>5605906</t>
  </si>
  <si>
    <t>Protensão de tirante permanente autoinjetável de aço D = 50 mm, seção de 1.330 mm², tensão de escoamento = 630 MPa e tensão de ruptura = 740 MPa - inclusive ancoragem e grauteamento da cabeça</t>
  </si>
  <si>
    <t>5605905</t>
  </si>
  <si>
    <t>Protensão de tirante permanente autoinjetável de aço D = 50 mm, seção de 1.569 mm², tensão de escoamento = 630 MPa e tensão de ruptura = 740 MP - inclusive ancoragem e grauteamento da cabeça</t>
  </si>
  <si>
    <t>5605944</t>
  </si>
  <si>
    <t>Protensão de tirante permanente protendido de aço D = 30 mm, tensão de escoamento = 600 MPa e tensão de ruptura = 720 MPa - inclusive ancoragem e grauteamento da cabeça</t>
  </si>
  <si>
    <t>5605910</t>
  </si>
  <si>
    <t>Protensão de tirante permanente protendido de aço D = 32 mm, tensão de escoamento = 520 MPa e tensão de ruptura = 690 MPa - inclusive ancoragem e grauteamento da cabeça</t>
  </si>
  <si>
    <t>5605945</t>
  </si>
  <si>
    <t>Protensão de tirante permanente protendido de aço D = 32 mm, tensão de escoamento = 950 MPa e tensão de ruptura = 1.050 MPa - inclusive ancoragem e grauteamento da cabeça</t>
  </si>
  <si>
    <t>5605946</t>
  </si>
  <si>
    <t>Protensão de tirante permanente protendido de aço D = 40 mm, tensão de escoamento = 600 MPa e tensão de ruptura = 720 MPa - inclusive ancoragem e grauteamento da cabeça</t>
  </si>
  <si>
    <t>5605947</t>
  </si>
  <si>
    <t>Protensão de tirante permanente protendido de aço D = 44 mm, tensão de escoamento = 680 MPa e tensão de ruptura = 870 MPa - inclusive ancoragem e grauteamento da cabeça</t>
  </si>
  <si>
    <t>5605948</t>
  </si>
  <si>
    <t>Protensão de tirante permanente protendido de aço D = 50 mm, tensão de escoamento = 600 MPa e tensão de ruptura = 720 MPa - inclusive ancoragem e grauteamento da cabeça</t>
  </si>
  <si>
    <t>5605949</t>
  </si>
  <si>
    <t>Protensão de tirante permanente protendido de aço D = 53 mm, tensão de escoamento = 600 MPa e tensão de ruptura = 720 MPa - inclusive ancoragem e grauteamento da cabeça</t>
  </si>
  <si>
    <t>5605950</t>
  </si>
  <si>
    <t>Protensão de tirante permanente protendido de aço D = 57 mm, tensão de escoamento = 600 MPa e tensão de ruptura = 720 MPa - inclusive ancoragem e grauteamento da cabeça</t>
  </si>
  <si>
    <t>5605951</t>
  </si>
  <si>
    <t>Protensão de tirante permanente protendido de aço D = 63 mm, tensão de escoamento = 600 MPa e tensão de ruptura = 720 MPa - inclusive ancoragem e grauteamento da cabeça</t>
  </si>
  <si>
    <t>5605952</t>
  </si>
  <si>
    <t>Protensão de tirante permanente protendido de aço D = 69 mm, tensão de escoamento = 600 MPa e tensão de ruptura = 720 MPa - inclusive ancoragem e grauteamento da cabeça</t>
  </si>
  <si>
    <t>5605932</t>
  </si>
  <si>
    <t>Tirante de barra de aço ancorado na rocha com resina de poliéster, D = 19 mm, tensão de escoamento = 700 MPa e tensão de ruptura = 800 MPa - fornecimento, perfuração e instalação</t>
  </si>
  <si>
    <t>5605934</t>
  </si>
  <si>
    <t>Tirante de barra de aço ancorado na rocha com resina de poliéster, D = 22 mm, tensão de escoamento = 700 MPa e tensão de ruptura = 800 MPa - fornecimento, perfuração e instalação</t>
  </si>
  <si>
    <t>5605928</t>
  </si>
  <si>
    <t>Tirante de barra de aço ancorado na rocha com resina de poliéster, D = 25 mm, tensão de escoamento = 520 MPa e tensão de ruptura = 690 MPa - fornecimento, perfuração e instalação</t>
  </si>
  <si>
    <t>5605935</t>
  </si>
  <si>
    <t>Tirante de barra de aço ancorado na rocha com resina de poliéster, D = 25 mm, tensão de escoamento = 700 MPa, tensão de ruptura = 800 MPa - fornecimento, perfuração e instalação</t>
  </si>
  <si>
    <t>5605936</t>
  </si>
  <si>
    <t>Tirante de barra de aço ancorado na rocha com resina de poliéster, D = 32 mm, tensão de escoamento = 700 MPa, tensão de ruptura = 800 MPa - fornecimento, perfuração e instalação</t>
  </si>
  <si>
    <t>5605937</t>
  </si>
  <si>
    <t>Tirante de barra de aço ancorado na rocha com resina de poliéster, D = 36 mm, tensão de escoamento = 700 MPa e tensão de ruptura = 800 MPa - fornecimento, perfuração e instalação</t>
  </si>
  <si>
    <t>5605957</t>
  </si>
  <si>
    <t>Tirante permanente protendido autoinjetável de aço D = 40 mm, seção de 684 mm², tensão de escoamento = 440 MPa e tensão de ruptura = 580 MPa - exceto perfuração</t>
  </si>
  <si>
    <t>5605958</t>
  </si>
  <si>
    <t>Tirante permanente protendido autoinjetável de aço D = 40 mm, seção de 822 mm², tensão de escoamento = 470 MPa e tensão de ruptura = 600 MPa - exceto perfuração</t>
  </si>
  <si>
    <t>5605959</t>
  </si>
  <si>
    <t>Tirante permanente protendido autoinjetável de aço D = 40 mm, seção de 936 mm², tensão de escoamento = 700 MPa e tensão de ruptura = 830 MPa - exceto perfuração</t>
  </si>
  <si>
    <t>5605960</t>
  </si>
  <si>
    <t>Tirante permanente protendido autoinjetável de aço D = 50 mm, seção de 1.330 mm², tensão de escoamento = 630 MPa e tensão de ruptura = 740 MPa - exceto perfuração</t>
  </si>
  <si>
    <t>5605961</t>
  </si>
  <si>
    <t>Tirante permanente protendido autoinjetável de aço D = 50 mm, seção de 1.569 mm², tensão de escoamento = 630 MPa e tensão de ruptura = 740 MPa - exceto perfuração</t>
  </si>
  <si>
    <t>5605885</t>
  </si>
  <si>
    <t>Tirante permanente protendido com 10 cordoalhas D = 12,7 mm, aço CP 190 RB, com capacidade de 860 kN - exceto perfuração</t>
  </si>
  <si>
    <t>5605886</t>
  </si>
  <si>
    <t>Tirante permanente protendido com 12 cordoalhas D = 12,7 mm, aço CP 190 RB, com capacidade de 1.030 kN - exceto perfuração</t>
  </si>
  <si>
    <t>5605883</t>
  </si>
  <si>
    <t>Tirante permanente protendido com 6 cordoalhas D = 12,7 mm, aço CP 190 RB, com capacidade de 510 kN - exceto perfuração</t>
  </si>
  <si>
    <t>5605884</t>
  </si>
  <si>
    <t>Tirante permanente protendido com 8 cordoalhas D = 12,7 mm, aço CP 190 RB, com capacidade de 690 kN - exceto perfuração</t>
  </si>
  <si>
    <t>5605962</t>
  </si>
  <si>
    <t>Tirante permanente protendido de aço D = 30 mm, tensão de escoamento = 600 MPa e tensão de ruptura = 720 MPa - exceto perfuração</t>
  </si>
  <si>
    <t>5605881</t>
  </si>
  <si>
    <t>Tirante permanente protendido de aço D = 32 mm, tensão de escoamento = 520 MPa e tensão de ruptura = 690 MPa - exceto perfuração</t>
  </si>
  <si>
    <t>5605882</t>
  </si>
  <si>
    <t>Tirante permanente protendido de aço D = 32 mm, tensão de escoamento = 950 MPa e tensão de ruptura = 1.050 MPa - exceto perfuração</t>
  </si>
  <si>
    <t>5605963</t>
  </si>
  <si>
    <t>Tirante permanente protendido de aço D = 40 mm, tensão de escoamento = 600 MPa e tensão de ruptura = 720 MPa - exceto perfuração</t>
  </si>
  <si>
    <t>5605964</t>
  </si>
  <si>
    <t>Tirante permanente protendido de aço D = 44 mm, tensão de escoamento = 680 MPa e tensão de ruptura = 870 MPa - exceto perfuração</t>
  </si>
  <si>
    <t>5605965</t>
  </si>
  <si>
    <t>Tirante permanente protendido de aço D = 50 mm, tensão de escoamento = 600 MPa e tensão de ruptura = 720 MPa - exceto perfuração</t>
  </si>
  <si>
    <t>5605966</t>
  </si>
  <si>
    <t>Tirante permanente protendido de aço D = 53mm, tensão de escoamento = 600 MPa e tensão de ruptura = 720 MPa - exceto perfuração</t>
  </si>
  <si>
    <t>5605967</t>
  </si>
  <si>
    <t>Tirante permanente protendido de aço D = 57 mm, tensão de escoamento = 600 MPa e tensão de ruptura = 720 MPa - exceto perfuração</t>
  </si>
  <si>
    <t>5605968</t>
  </si>
  <si>
    <t>Tirante permanente protendido de aço D = 63 mm, tensão de escoamento = 600 MPa e tensão de ruptura = 720 MPa - exceto perfuração</t>
  </si>
  <si>
    <t>5605969</t>
  </si>
  <si>
    <t>Tirante permanente protendido de aço D = 69 mm, tensão de escoamento = 600 MPa e tensão de ruptura = 720 MPa - exceto perfuração</t>
  </si>
  <si>
    <t>5909130</t>
  </si>
  <si>
    <t>Carga e manobra de aduelas de concreto pré-moldadas em cavalo mecânico com semirreboque 20 t - carga com caminhão guindauto com capacidade de elevação de 11,9 t</t>
  </si>
  <si>
    <t>5914703</t>
  </si>
  <si>
    <t>Carga e manobra de brita para lastro com locomotiva diesel-elétrica em vagão hopper aberto com capacidade de 45 m³ - carga com carregadeira e descarga automática - bitola métrica</t>
  </si>
  <si>
    <t>5914704</t>
  </si>
  <si>
    <t>Carga e manobra de brita para lastro com locomotiva diesel-elétrica em vagão hopper aberto com capacidade de 63 m³ - carga com carregadeira e descarga automática - bitola larga</t>
  </si>
  <si>
    <t>5914710</t>
  </si>
  <si>
    <t>Carga e manobra de dormentes de concreto de bitola larga com locomotiva diesel-elétrica e vagão plataforma com capacidade de 98 t - carga com carregadeira - bitola larga</t>
  </si>
  <si>
    <t>5914711</t>
  </si>
  <si>
    <t>Carga e manobra de dormentes de concreto de bitola métrica com locomotiva diesel-elétrica e vagão plataforma com capacidade de 82 t - carga com carregadeira - bitola métrica</t>
  </si>
  <si>
    <t>5914712</t>
  </si>
  <si>
    <t>Carga e manobra de dormentes de concreto de bitola mista com locomotiva diesel-elétrica e vagão plataforma com capacidade de 98 t - carga com carregadeira - bitola larga</t>
  </si>
  <si>
    <t>5915369</t>
  </si>
  <si>
    <t>Carga, descarga e manobra de vigas pré-moldadas de 1.000 a 1.250 kN em cavalo mecânico com reboques de 5 e 4 eixos com capacidade de 130 t</t>
  </si>
  <si>
    <t>5915401</t>
  </si>
  <si>
    <t>Carga, descarga e manobra de vigas pré-moldadas de 500 a 750 kN em cavalo mecânico com dollys de 3 e 4 eixos com capacidade de 77 t</t>
  </si>
  <si>
    <t>5915402</t>
  </si>
  <si>
    <t>Carga, descarga e manobra de vigas pré-moldadas de 750 a 1.000 kN em cavalo mecânico com dollys de 5 e 4 eixos com capacidade de 111 t</t>
  </si>
  <si>
    <t>5915400</t>
  </si>
  <si>
    <t>Carga, descarga e manobra de vigas pré-moldadas de até 500 kN em cavalo mecânico com dolly de 4 eixos com capacidade de 57 t</t>
  </si>
  <si>
    <t>5914651</t>
  </si>
  <si>
    <t>Carga, manobra e descarga de agregados ou solos em caminhão basculante de 10 m³ - carga com carregadeira de 3,40 m³ (exclusa) e descarga em distribuidor autopropelido</t>
  </si>
  <si>
    <t>5914648</t>
  </si>
  <si>
    <t>Carga, manobra e descarga de agregados ou solos em caminhão basculante de 10 m³ - carga com carregadeira de 3,40 m³ (exclusa) e descarga em distribuidor rebocável</t>
  </si>
  <si>
    <t>5914647</t>
  </si>
  <si>
    <t>Carga, manobra e descarga de agregados ou solos em caminhão basculante de 10 m³ - carga com carregadeira de 3,40 m³ (exclusa) e descarga livre</t>
  </si>
  <si>
    <t>5915411</t>
  </si>
  <si>
    <t>Carga, manobra e descarga de agregados ou solos em caminhão basculante de 10 m³ - carga com carregadeira de 3,40 m³ e descarga em distribuidor autopropelido</t>
  </si>
  <si>
    <t>5915409</t>
  </si>
  <si>
    <t>Carga, manobra e descarga de agregados ou solos em caminhão basculante de 10 m³ - carga com carregadeira de 3,40 m³ e descarga em distribuidor rebocável</t>
  </si>
  <si>
    <t>5915407</t>
  </si>
  <si>
    <t>Carga, manobra e descarga de agregados ou solos em caminhão basculante de 10 m³ - carga com carregadeira de 3,40 m³ e descarga livre</t>
  </si>
  <si>
    <t>5914354</t>
  </si>
  <si>
    <t>Carga, manobra e descarga de agregados ou solos em caminhão basculante de 10 m³ - carga com escavadeira de 1,56 m³ (exclusa) e descarga livre</t>
  </si>
  <si>
    <t>5915406</t>
  </si>
  <si>
    <t>Carga, manobra e descarga de agregados ou solos em caminhão basculante de 10 m³ - carga em usina de 60 t/h (PMF) e descarga livre</t>
  </si>
  <si>
    <t>5914652</t>
  </si>
  <si>
    <t>Carga, manobra e descarga de agregados ou solos em caminhão basculante de 10 m³ - carga em usina de solos de 300 t/h e descarga em distribuidor autopropelido</t>
  </si>
  <si>
    <t>5915417</t>
  </si>
  <si>
    <t>Carga, manobra e descarga de agregados ou solos em caminhão basculante de 10 m³ - carga em usina de solos de 300 t/h e descarga em vibroacabadora</t>
  </si>
  <si>
    <t>5915414</t>
  </si>
  <si>
    <t>Carga, manobra e descarga de agregados ou solos em caminhão basculante de 10 m³ - carga em usina de solos de 300 t/h e descarga livre</t>
  </si>
  <si>
    <t>5914351</t>
  </si>
  <si>
    <t>Carga, manobra e descarga de agregados ou solos em caminhão basculante de 14 m³ - carga com carregadeira de 3,40 m³ e descarga livre</t>
  </si>
  <si>
    <t>5914645</t>
  </si>
  <si>
    <t>Carga, manobra e descarga de agregados ou solos em caminhão basculante de 6 m³ - carga com carregadeira de 1,72 m³ (exclusa) e descarga em distribuidor autopropelido</t>
  </si>
  <si>
    <t>5914642</t>
  </si>
  <si>
    <t>Carga, manobra e descarga de agregados ou solos em caminhão basculante de 6 m³ - carga com carregadeira de 1,72 m³ (exclusa) e descarga em distribuidor rebocável</t>
  </si>
  <si>
    <t>5914641</t>
  </si>
  <si>
    <t>Carga, manobra e descarga de agregados ou solos em caminhão basculante de 6 m³ - carga com carregadeira de 1,72 m³ (exclusa) e descarga livre</t>
  </si>
  <si>
    <t>5915456</t>
  </si>
  <si>
    <t>Carga, manobra e descarga de agregados ou solos em caminhão basculante de 6 m³ - carga com carregadeira de 1,72 m³ e descarga em distribuidor autopropelido</t>
  </si>
  <si>
    <t>5915454</t>
  </si>
  <si>
    <t>Carga, manobra e descarga de agregados ou solos em caminhão basculante de 6 m³ - carga com carregadeira de 1,72 m³ e descarga em distribuidor rebocável</t>
  </si>
  <si>
    <t>5915399</t>
  </si>
  <si>
    <t>Carga, manobra e descarga de agregados ou solos em caminhão basculante de 6 m³ - carga com carregadeira de 1,72 m³ e descarga livre</t>
  </si>
  <si>
    <t>5914353</t>
  </si>
  <si>
    <t>Carga, manobra e descarga de agregados ou solos em caminhão basculante de 6 m³ - carga com escavadeira de 1,56 m³ (exclusa) e descarga livre</t>
  </si>
  <si>
    <t>5915470</t>
  </si>
  <si>
    <t>Carga, manobra e descarga de agregados ou solos em caminhão basculante de 6 m³ - carga com escavadeira de 1,56 m³ e descarga livre</t>
  </si>
  <si>
    <t>5915459</t>
  </si>
  <si>
    <t>Carga, manobra e descarga de agregados ou solos em caminhão basculante de 6 m³ - carga com minicarregadeira de 0,45 m³ e descarga livre</t>
  </si>
  <si>
    <t>5915476</t>
  </si>
  <si>
    <t>Carga, manobra e descarga de agregados ou solos em caminhão basculante de 6 m³ - carga manual e descarga livre</t>
  </si>
  <si>
    <t>5914702</t>
  </si>
  <si>
    <t>Carga, manobra e descarga de barras de trilho de 12 m com locomotiva diesel-elétrica em vagão plataforma com capacidade de 82 t - carga e descarga com carregadeira - bitola métrica</t>
  </si>
  <si>
    <t>5914701</t>
  </si>
  <si>
    <t>Carga, manobra e descarga de barras de trilho de 12 m com locomotiva diesel-elétrica em vagão plataforma com capacidade de 98 t - carga e descarga com carregadeira - bitola larga</t>
  </si>
  <si>
    <t>5915018</t>
  </si>
  <si>
    <t>Carga, manobra e descarga de barras de trilho de 12 m em cavalo mecânico com semirreboque com capacidade de 32 t - carga e descarga com carregadeira</t>
  </si>
  <si>
    <t>5906592</t>
  </si>
  <si>
    <t>Carga, manobra e descarga de blocos artificiais de concreto com 10 a 12 t para molhe em cavalo mecânico com semirreboque com capacidade de 32 t - carga e descarga com guindaste com pinça</t>
  </si>
  <si>
    <t>5906591</t>
  </si>
  <si>
    <t>Carga, manobra e descarga de blocos artificiais de concreto com 8 a 9 t para molhe em cavalo mecânico com semirreboque com capacidade de 32 t - carga e descarga com guindaste com pinça</t>
  </si>
  <si>
    <t>5914653</t>
  </si>
  <si>
    <t>Carga, manobra e descarga de blocos de rocha em caminhão basculante de 8 m³ - carga com carregadeira de 1,72 m³ (exclusa) e descarga livre</t>
  </si>
  <si>
    <t>5915405</t>
  </si>
  <si>
    <t>Carga, manobra e descarga de blocos de rocha em caminhão basculante de 8 m³ - carga com carregadeira de 1,72 m³ e descarga livre</t>
  </si>
  <si>
    <t>5914657</t>
  </si>
  <si>
    <t>Carga, manobra e descarga de blocos de rocha em caminhão basculante de 8 m³ - carga com retroescavadeira de 0,29 m³ e descarga livre</t>
  </si>
  <si>
    <t>5914363</t>
  </si>
  <si>
    <t>Carga, manobra e descarga de cimento ou cal hidratada a granel em caminhão silo de 30 m³</t>
  </si>
  <si>
    <t>5914646</t>
  </si>
  <si>
    <t>Carga, manobra e descarga de concreto asfáltico com borracha em caminhão basculante de 10 m³ - carga em usina de asfalto 100/140 t/h e descarga em vibroacabadora</t>
  </si>
  <si>
    <t>5919535</t>
  </si>
  <si>
    <t>Carga, manobra e descarga de concreto com caminhão betoneira - carga em central de concreto de 30 m³/h e descarga em extrusora de barreira de concreto</t>
  </si>
  <si>
    <t>5919533</t>
  </si>
  <si>
    <t>Carga, manobra e descarga de concreto com caminhão betoneira - carga em central de concreto de 30 m³/h e descarga em extrusora de meio-fio</t>
  </si>
  <si>
    <t>5919534</t>
  </si>
  <si>
    <t>Carga, manobra e descarga de concreto com caminhão betoneira - carga em central de concreto de 30 m³/h e descarga em extrusora de sarjeta</t>
  </si>
  <si>
    <t>5909007</t>
  </si>
  <si>
    <t>Carga, manobra e descarga de concreto com caminhão betoneira - carga em central de concreto de 30 m³/h e descarga livre</t>
  </si>
  <si>
    <t>5919538</t>
  </si>
  <si>
    <t>Carga, manobra e descarga de concreto com caminhão betoneira - carga em central de concreto de 40 m³/h e descarga livre</t>
  </si>
  <si>
    <t>5919540</t>
  </si>
  <si>
    <t>Carga, manobra e descarga de concreto de cimento em caminhão basculante de 10 m³ - carga em central de concreto de 150 m³/h e descarga em vibroacabadora</t>
  </si>
  <si>
    <t>5914705</t>
  </si>
  <si>
    <t>Carga, manobra e descarga de dormentes de concreto de bitola larga com locomotiva diesel-elétrica e vagão plataforma com capacidade de 98 t - carga e descarga com carregadeira - bitola larga</t>
  </si>
  <si>
    <t>5914706</t>
  </si>
  <si>
    <t>Carga, manobra e descarga de dormentes de concreto de bitola métrica com locomotiva diesel-elétrica e vagão plataforma com capacidade de 82 t - carga e descarga com carregadeira - bitola métrica</t>
  </si>
  <si>
    <t>5914707</t>
  </si>
  <si>
    <t>Carga, manobra e descarga de dormentes de concreto de bitola mista com locomotiva diesel-elétrica e vagão plataforma com capacidade de 98 t - carga e descarga com carregadeira - bitola larga</t>
  </si>
  <si>
    <t>5914677</t>
  </si>
  <si>
    <t>Carga, manobra e descarga de dormentes de madeira com locomotiva diesel-elétrica em vagão plataforma com capacidade de 82 t - carga e descarga com carregadeira - bitola métrica</t>
  </si>
  <si>
    <t>5914676</t>
  </si>
  <si>
    <t>Carga, manobra e descarga de dormentes de madeira com locomotiva diesel-elétrica em vagão plataforma com capacidade de 98 t - carga e descarga com carregadeira - bitola larga</t>
  </si>
  <si>
    <t>5915016</t>
  </si>
  <si>
    <t>Carga, manobra e descarga de dormentes de madeira de bitola larga ou mista em cavalo mecânico com semirreboque com capacidade de 32 t - carga e descarga com carregadeira</t>
  </si>
  <si>
    <t>5915017</t>
  </si>
  <si>
    <t>Carga, manobra e descarga de dormentes de madeira de bitola métrica em cavalo mecânico com semirreboque com capacidade de 32 t - carga e descarga com carregadeira</t>
  </si>
  <si>
    <t>5914678</t>
  </si>
  <si>
    <t>Carga, manobra e descarga de jogo de dormentes de concreto para AMV de bitola larga ou mista, qualquer abertura, com locomotiva diesel-elétrica em vagão plataforma com capacidade de 98 t - carga e descarga com carregadeira - bitola larga</t>
  </si>
  <si>
    <t>5914679</t>
  </si>
  <si>
    <t>Carga, manobra e descarga de jogo de dormentes de concreto para AMV de bitola métrica, qualquer abertura, com locomotiva diesel-elétrica em vagão plataforma com capacidade de 82 t - carga e descarga com carregadeira - bitola métrica</t>
  </si>
  <si>
    <t>5914681</t>
  </si>
  <si>
    <t>Carga, manobra e descarga de jogo de dormentes de madeira para AMV bitola métrica, qualquer abertura, com locomotiva diesel-elétrica em vagão plataforma com capacidade de 82 t - carga e descarga com carregadeira - bitola métrica</t>
  </si>
  <si>
    <t>5914680</t>
  </si>
  <si>
    <t>Carga, manobra e descarga de jogo de dormentes de madeira para AMV de bitola larga ou mista, qualquer abertura, com locomotiva diesel-elétrica em vagão plataforma com capacidade de 98 t - carga e descarga com carregadeira - bitola larga</t>
  </si>
  <si>
    <t>5915015</t>
  </si>
  <si>
    <t>Carga, manobra e descarga de materiais diversos em caminhão carroceria com capacidade de 11,5 t e com guindauto com capacidade de elevação de 11,9 t</t>
  </si>
  <si>
    <t>5915373</t>
  </si>
  <si>
    <t>Carga, manobra e descarga de materiais diversos em caminhão carroceria com capacidade de 7 t e com guindauto com capacidade de elevação de 6,2 t</t>
  </si>
  <si>
    <t>5914333</t>
  </si>
  <si>
    <t>Carga, manobra e descarga de materiais diversos em caminhão carroceria de 15 t - carga e descarga com caminhão guindauto com capacidade de elevação de 6,2 t</t>
  </si>
  <si>
    <t>5914655</t>
  </si>
  <si>
    <t>Carga, manobra e descarga de materiais diversos em caminhão carroceria de 15 t - carga e descarga manuais</t>
  </si>
  <si>
    <t>5915474</t>
  </si>
  <si>
    <t>Carga, manobra e descarga de materiais diversos em caminhão carroceria de 5 t - carga e descarga manuais</t>
  </si>
  <si>
    <t>5914654</t>
  </si>
  <si>
    <t>Carga, manobra e descarga de materiais diversos em caminhão carroceria de 9 t - carga e descarga manuais</t>
  </si>
  <si>
    <t>5914686</t>
  </si>
  <si>
    <t>Carga, manobra e descarga de materiais metálicos e acessórios diversos com locomotiva diesel-elétrica em vagão fechado com capacidade de 64 t - carga e descarga com carregadeira - bitola métrica</t>
  </si>
  <si>
    <t>5914685</t>
  </si>
  <si>
    <t>Carga, manobra e descarga de materiais metálicos e acessórios diversos com locomotiva diesel-elétrica em vagão fechado com capacidade de 99 t - carga e descarga com carregadeira - bitola larga</t>
  </si>
  <si>
    <t>5914682</t>
  </si>
  <si>
    <t>Carga, manobra e descarga de materiais metálicos para AMV de bitola larga, qualquer abertura, com locomotiva diesel-elétrica em vagão plataforma com capacidade de 98 t - carga e descarga com carregadeira - bitola larga</t>
  </si>
  <si>
    <t>5915019</t>
  </si>
  <si>
    <t>Carga, manobra e descarga de materiais metálicos para AMV de bitola larga, qualquer abertura, em cavalo mecânico com semirreboque com capacidade de 32 t - carga e descarga com carregadeira</t>
  </si>
  <si>
    <t>5914683</t>
  </si>
  <si>
    <t>Carga, manobra e descarga de materiais metálicos para AMV de bitola métrica, qualquer abertura, com locomotiva diesel-elétrica em vagão plataforma com capacidade de 82 t - carga e descarga com carregadeira - bitola métrica</t>
  </si>
  <si>
    <t>5915020</t>
  </si>
  <si>
    <t>Carga, manobra e descarga de materiais metálicos para AMV de bitola métrica, qualquer abertura, em cavalo mecânico com semirreboque com capacidade de 32 t - carga e descarga com carregadeira</t>
  </si>
  <si>
    <t>5914684</t>
  </si>
  <si>
    <t>Carga, manobra e descarga de materiais metálicos para AMV de bitola mista, qualquer abertura, com locomotiva diesel-elétrica e vagão plataforma com capacidade de 98 t - carga e descarga com carregadeira</t>
  </si>
  <si>
    <t>5915021</t>
  </si>
  <si>
    <t>Carga, manobra e descarga de materiais metálicos para AMV de bitola mista, qualquer abertura, em cavalo mecânico com semirreboque com capacidade de 32 t - carga e descarga com carregadeira</t>
  </si>
  <si>
    <t>5914675</t>
  </si>
  <si>
    <t>Carga, manobra e descarga de material demolido em caminhão basculante de 6 m³ - carga com carregadeira de 1,72 m³ e descarga livre</t>
  </si>
  <si>
    <t>5915433</t>
  </si>
  <si>
    <t>Carga, manobra e descarga de material demolido em caminhão basculante de 6 m³ - carga manual e descarga livre</t>
  </si>
  <si>
    <t>5914304</t>
  </si>
  <si>
    <t>Carga, manobra e descarga de material fresado em caminhão basculante de 10 m³ - fresagem contínua em espessura de 3 cm - carga com fresadora e descarga livre</t>
  </si>
  <si>
    <t>5914305</t>
  </si>
  <si>
    <t>Carga, manobra e descarga de material fresado em caminhão basculante de 10 m³ - fresagem contínua em espessura de 4 cm - carga com fresadora e descarga livre</t>
  </si>
  <si>
    <t>5915440</t>
  </si>
  <si>
    <t>Carga, manobra e descarga de material fresado em caminhão basculante de 10 m³ - fresagem contínua em espessura de 5 cm - carga com fresadora e descarga livre</t>
  </si>
  <si>
    <t>5914306</t>
  </si>
  <si>
    <t>Carga, manobra e descarga de material fresado em caminhão basculante de 10 m³ - fresagem contínua em espessura de 6 cm - carga com fresadora e descarga livre</t>
  </si>
  <si>
    <t>5914307</t>
  </si>
  <si>
    <t>Carga, manobra e descarga de material fresado em caminhão basculante de 10 m³ - fresagem contínua em espessura de 7 cm - carga com fresadora e descarga livre</t>
  </si>
  <si>
    <t>5914308</t>
  </si>
  <si>
    <t>Carga, manobra e descarga de material fresado em caminhão basculante de 10 m³ - fresagem contínua em espessura de 8 cm - carga com fresadora e descarga livre</t>
  </si>
  <si>
    <t>5914309</t>
  </si>
  <si>
    <t>Carga, manobra e descarga de material fresado em caminhão basculante de 10 m³ - fresagem descontínua em espessura de 3 cm - carga com fresadora e descarga livre</t>
  </si>
  <si>
    <t>5914310</t>
  </si>
  <si>
    <t>Carga, manobra e descarga de material fresado em caminhão basculante de 10 m³ - fresagem descontínua em espessura de 4 cm - carga com fresadora e descarga livre</t>
  </si>
  <si>
    <t>5914352</t>
  </si>
  <si>
    <t>Carga, manobra e descarga de material fresado em caminhão basculante de 10 m³ - fresagem descontínua em espessura de 5 cm - carga com fresadora e descarga livre</t>
  </si>
  <si>
    <t>5914311</t>
  </si>
  <si>
    <t>Carga, manobra e descarga de material fresado em caminhão basculante de 10 m³ - fresagem descontínua em espessura de 6 cm - carga com fresadora e descarga livre</t>
  </si>
  <si>
    <t>5914312</t>
  </si>
  <si>
    <t>Carga, manobra e descarga de material fresado em caminhão basculante de 10 m³ - fresagem descontínua em espessura de 7 cm - carga com fresadora e descarga livre</t>
  </si>
  <si>
    <t>5914313</t>
  </si>
  <si>
    <t>Carga, manobra e descarga de material fresado em caminhão basculante de 10 m³ - fresagem descontínua em espessura de 8 cm - carga com fresadora e descarga livre</t>
  </si>
  <si>
    <t>5914339</t>
  </si>
  <si>
    <t>Carga, manobra e descarga de material fresado em caminhão basculante de 6 m³ - fresagem descontínua em espessura de 5 cm - carga com fresadora e descarga livre</t>
  </si>
  <si>
    <t>5914650</t>
  </si>
  <si>
    <t>Carga, manobra e descarga de mistura betuminosa a frio em caminhão basculante de 10 m³ - carga em usina de 60 t/h (PMF) e descarga em vibroacabadora</t>
  </si>
  <si>
    <t>5914358</t>
  </si>
  <si>
    <t>Carga, manobra e descarga de mistura betuminosa a frio em caminhão basculante de 6 m³ - carga em usina de 60 t/h (PMF) e descarga em vibroacabadora</t>
  </si>
  <si>
    <t>5915421</t>
  </si>
  <si>
    <t>Carga, manobra e descarga de mistura betuminosa a frio em caminhão basculante de 6 m³ - carga em usina de 60 t/h (PMF) e descarga manual</t>
  </si>
  <si>
    <t>5914649</t>
  </si>
  <si>
    <t>Carga, manobra e descarga de mistura betuminosa a quente em caminhão basculante de 10 m³ - carga em usina de asfalto 100/140 t/h e descarga em vibroacabadora</t>
  </si>
  <si>
    <t>5914643</t>
  </si>
  <si>
    <t>Carga, manobra e descarga de mistura betuminosa a quente em caminhão basculante de 6 m³ - carga em usina de asfalto 100/140 t/h e descarga em vibroacabadora</t>
  </si>
  <si>
    <t>5914328</t>
  </si>
  <si>
    <t>Carga, manobra e descarga de mistura betuminosa a quente em caminhão basculante de 6 m³ - carga em usina de asfalto 100/140 t/h e descarga manual</t>
  </si>
  <si>
    <t>5914610</t>
  </si>
  <si>
    <t>Carga, manobra e descarga de mistura betuminosa a quente em caminhão com caçamba térmica de 6 m³ - carga em usina de asfalto de 100/140 t/h e descarga manual</t>
  </si>
  <si>
    <t>5915408</t>
  </si>
  <si>
    <t>Carga, manobra e descarga de mistura reciclada com espuma de asfalto em caminhão basculante de 10 m³ - carga em usina de reciclagem a frio e descarga em vibroacabadora</t>
  </si>
  <si>
    <t>5915306</t>
  </si>
  <si>
    <t>Carga, manobra e descarga de tetrápodes em cavalo mecânico com semirreboque com capacidade de 32 t - carga e descarga com guindaste</t>
  </si>
  <si>
    <t>5914708</t>
  </si>
  <si>
    <t>Carga, manobra e descarga de TLS de TR45 de 120 m com locomotiva diesel-elétrica em vagão plataforma com capacidade de 82 t - carga e descarga com manipulador de TLS - bitola métrica</t>
  </si>
  <si>
    <t>5914687</t>
  </si>
  <si>
    <t>Carga, manobra e descarga de TLS de TR45 de 120 m com locomotiva diesel-elétrica em vagão plataforma com capacidade de 98 t - carga e descarga com manipulador de TLS - bitola larga</t>
  </si>
  <si>
    <t>5914709</t>
  </si>
  <si>
    <t>Carga, manobra e descarga de TLS de TR45 de 240 m com locomotiva diesel-elétrica em vagão plataforma com capacidade de 82 t - carga e descarga com manipulador de TLS - bitola métrica</t>
  </si>
  <si>
    <t>5914688</t>
  </si>
  <si>
    <t>Carga, manobra e descarga de TLS de TR45 de 240 m com locomotiva diesel-elétrica em vagão plataforma com capacidade de 98 t - carga e descarga com manipulador de TLS - bitola larga</t>
  </si>
  <si>
    <t>5914695</t>
  </si>
  <si>
    <t>Carga, manobra e descarga de TLS de TR57 de 120 m com locomotiva diesel-elétrica em vagão plataforma com capacidade de 82 t - carga e descarga com manipulador de TLS - bitola métrica</t>
  </si>
  <si>
    <t>5914689</t>
  </si>
  <si>
    <t>Carga, manobra e descarga de TLS de TR57 de 120 m com locomotiva diesel-elétrica em vagão plataforma com capacidade de 98 t - carga e descarga com manipulador de TLS - bitola larga</t>
  </si>
  <si>
    <t>5914696</t>
  </si>
  <si>
    <t>Carga, manobra e descarga de TLS de TR57 de 240 m com locomotiva diesel-elétrica em vagão plataforma com capacidade de 82 t - carga e descarga com manipulador de TLS - bitola métrica</t>
  </si>
  <si>
    <t>5914690</t>
  </si>
  <si>
    <t>Carga, manobra e descarga de TLS de TR57 de 240 m com locomotiva diesel-elétrica em vagão plataforma com capacidade de 98 t - carga e descarga com manipulador de TLS - bitola larga</t>
  </si>
  <si>
    <t>5914697</t>
  </si>
  <si>
    <t>Carga, manobra e descarga de TLS de TR68 de 120 m com locomotiva diesel-elétrica em vagão plataforma com capacidade de 82 t - carga e descarga com manipulador de TLS - bitola métrica</t>
  </si>
  <si>
    <t>5914691</t>
  </si>
  <si>
    <t>Carga, manobra e descarga de TLS de TR68 de 120 m com locomotiva diesel-elétrica em vagão plataforma com capacidade de 98 t - carga e descarga com manipulador de TLS - bitola larga</t>
  </si>
  <si>
    <t>5914698</t>
  </si>
  <si>
    <t>Carga, manobra e descarga de TLS de TR68 de 240 m com locomotiva diesel-elétrica em vagão plataforma com capacidade de 82 t - carga e descarga com manipulador de TLS - bitola métrica</t>
  </si>
  <si>
    <t>5914692</t>
  </si>
  <si>
    <t>Carga, manobra e descarga de TLS de TR68 de 240 m com locomotiva diesel-elétrica em vagão plataforma com capacidade de 98 t - carga e descarga com manipulador de TLS - bitola larga</t>
  </si>
  <si>
    <t>5914699</t>
  </si>
  <si>
    <t>Carga, manobra e descarga de TLS de UIC60 de 120 m com locomotiva diesel-elétrica em vagão plataforma com capacidade de 82 t - carga e descarga com manipulador de TLS - bitola métrica</t>
  </si>
  <si>
    <t>5914693</t>
  </si>
  <si>
    <t>Carga, manobra e descarga de TLS de UIC60 de 120 m com locomotiva diesel-elétrica em vagão plataforma com capacidade de 98 t - carga e descarga com manipulador de TLS - bitola larga</t>
  </si>
  <si>
    <t>5914700</t>
  </si>
  <si>
    <t>Carga, manobra e descarga de TLS de UIC60 de 240 m com locomotiva diesel-elétrica em vagão plataforma com capacidade de 82 t - carga e descarga com manipulador de TLS - bitola métrica</t>
  </si>
  <si>
    <t>5914694</t>
  </si>
  <si>
    <t>Carga, manobra e descarga de TLS de UIC60 de 240 m com locomotiva diesel-elétrica em vagão plataforma com capacidade de 98 t - carga e descarga com manipulador de TLS - bitola larga</t>
  </si>
  <si>
    <t>5915441</t>
  </si>
  <si>
    <t>Carga, manobra e descarga de trituração de galhos e troncos em caminhão basculante de 6 m³ - carga com trituradora e descarga livre</t>
  </si>
  <si>
    <t>5901639</t>
  </si>
  <si>
    <t>Transporte com caminhão basculante com caçamba estanque com capacidade de 14 m³ - rodovia em leito natural</t>
  </si>
  <si>
    <t>tkm</t>
  </si>
  <si>
    <t>5901638</t>
  </si>
  <si>
    <t>Transporte com caminhão basculante com caçamba estanque com capacidade de 14 m³ - rodovia em revestimento primário</t>
  </si>
  <si>
    <t>5901640</t>
  </si>
  <si>
    <t>Transporte com caminhão basculante com caçamba estanque com capacidade de 14 m³ - rodovia pavimentada</t>
  </si>
  <si>
    <t>5914359</t>
  </si>
  <si>
    <t>Transporte com caminhão basculante de 10 m³ - rodovia em leito natural</t>
  </si>
  <si>
    <t>5914374</t>
  </si>
  <si>
    <t>Transporte com caminhão basculante de 10 m³ - rodovia em revestimento primário</t>
  </si>
  <si>
    <t>5914389</t>
  </si>
  <si>
    <t>Transporte com caminhão basculante de 10 m³ - rodovia pavimentada</t>
  </si>
  <si>
    <t>5915319</t>
  </si>
  <si>
    <t>Transporte com caminhão basculante de 14 m³ - rodovia em leito natural</t>
  </si>
  <si>
    <t>5915320</t>
  </si>
  <si>
    <t>Transporte com caminhão basculante de 14 m³ - rodovia em revestimento primário</t>
  </si>
  <si>
    <t>5915321</t>
  </si>
  <si>
    <t>Transporte com caminhão basculante de 14 m³ - rodovia pavimentada</t>
  </si>
  <si>
    <t>5914314</t>
  </si>
  <si>
    <t>Transporte com caminhão basculante de 6 m³ - rodovia em leito natural</t>
  </si>
  <si>
    <t>5914329</t>
  </si>
  <si>
    <t>Transporte com caminhão basculante de 6 m³ - rodovia em revestimento primário</t>
  </si>
  <si>
    <t>5914344</t>
  </si>
  <si>
    <t>Transporte com caminhão basculante de 6 m³ - rodovia pavimentada</t>
  </si>
  <si>
    <t>5914539</t>
  </si>
  <si>
    <t>Transporte com caminhão betoneira - rodovia em leito natural</t>
  </si>
  <si>
    <t>5914554</t>
  </si>
  <si>
    <t>Transporte com caminhão betoneira - rodovia em revestimento primário</t>
  </si>
  <si>
    <t>5914569</t>
  </si>
  <si>
    <t>Transporte com caminhão betoneira - rodovia pavimentada</t>
  </si>
  <si>
    <t>5915012</t>
  </si>
  <si>
    <t>Transporte com caminhão carroceria com capacidade de 11,5 t e com guindauto com capacidade de elevação de 11,9 t - rodovia em leito natural</t>
  </si>
  <si>
    <t>5915013</t>
  </si>
  <si>
    <t>Transporte com caminhão carroceria com capacidade de 11,5 t e com guindauto com capacidade de elevação de 11,9 t - rodovia em revestimento primário</t>
  </si>
  <si>
    <t>5915014</t>
  </si>
  <si>
    <t>Transporte com caminhão carroceria com capacidade de 11,5 t e com guindauto com capacidade de elevação de 11,9 t - rodovia pavimentada</t>
  </si>
  <si>
    <t>5914584</t>
  </si>
  <si>
    <t>Transporte com caminhão carroceria com capacidade de 7 t e com guindauto com capacidade de elevação de 6,2 t - rodovia em leito natural</t>
  </si>
  <si>
    <t>5914599</t>
  </si>
  <si>
    <t>Transporte com caminhão carroceria com capacidade de 7 t e com guindauto com capacidade de elevação de 6,2 t - rodovia em revestimento primário</t>
  </si>
  <si>
    <t>5914614</t>
  </si>
  <si>
    <t>Transporte com caminhão carroceria com capacidade de 7 t e com guindauto com capacidade de elevação de 6,2 t - rodovia pavimentada</t>
  </si>
  <si>
    <t>5914581</t>
  </si>
  <si>
    <t>Transporte com caminhão carroceria com capacidade de 8,5 t e com guindauto com capacidade de elevação de 5,7 t - rodovia em leito natural</t>
  </si>
  <si>
    <t>5914582</t>
  </si>
  <si>
    <t>Transporte com caminhão carroceria com capacidade de 8,5 t e com guindauto com capacidade de elevação de 5,7 t - rodovia em revestimento primário</t>
  </si>
  <si>
    <t>5914583</t>
  </si>
  <si>
    <t>Transporte com caminhão carroceria com capacidade de 8,5 t e com guindauto com capacidade de elevação de 5,7 t - rodovia pavimentada</t>
  </si>
  <si>
    <t>5914449</t>
  </si>
  <si>
    <t>Transporte com caminhão carroceria de 15 t - rodovia em leito natural</t>
  </si>
  <si>
    <t>5914464</t>
  </si>
  <si>
    <t>Transporte com caminhão carroceria de 15 t - rodovia em revestimento primário</t>
  </si>
  <si>
    <t>5914479</t>
  </si>
  <si>
    <t>Transporte com caminhão carroceria de 15 t - rodovia pavimentada</t>
  </si>
  <si>
    <t>5915322</t>
  </si>
  <si>
    <t>Transporte com caminhão carroceria de 5 t - rodovia em leito natural</t>
  </si>
  <si>
    <t>5915323</t>
  </si>
  <si>
    <t>Transporte com caminhão carroceria de 5 t - rodovia em revestimento primário</t>
  </si>
  <si>
    <t>5915324</t>
  </si>
  <si>
    <t>Transporte com caminhão carroceria de 5 t - rodovia pavimentada</t>
  </si>
  <si>
    <t>5914404</t>
  </si>
  <si>
    <t>Transporte com caminhão carroceria de 9 t - rodovia em leito natural</t>
  </si>
  <si>
    <t>5914419</t>
  </si>
  <si>
    <t>Transporte com caminhão carroceria de 9 t - rodovia em revestimento primário</t>
  </si>
  <si>
    <t>5914434</t>
  </si>
  <si>
    <t>Transporte com caminhão carroceria de 9 t - rodovia pavimentada</t>
  </si>
  <si>
    <t>5914635</t>
  </si>
  <si>
    <t>Transporte com cavalo mecânico com semirreboque com capacidade de 20 t - rodovia em leito natural</t>
  </si>
  <si>
    <t>5914636</t>
  </si>
  <si>
    <t>Transporte com cavalo mecânico com semirreboque com capacidade de 20 t - rodovia em revestimento primário</t>
  </si>
  <si>
    <t>5914637</t>
  </si>
  <si>
    <t>Transporte com cavalo mecânico com semirreboque com capacidade de 20 t - rodovia pavimentada</t>
  </si>
  <si>
    <t>5914638</t>
  </si>
  <si>
    <t>Transporte com cavalo mecânico com semirreboque com capacidade de 32 t - rodovia em leito natural</t>
  </si>
  <si>
    <t>5914639</t>
  </si>
  <si>
    <t>Transporte com cavalo mecânico com semirreboque com capacidade de 32 t - rodovia em revestimento primário</t>
  </si>
  <si>
    <t>5914640</t>
  </si>
  <si>
    <t>Transporte com cavalo mecânico com semirreboque com capacidade de 32 t - rodovia pavimentada</t>
  </si>
  <si>
    <t>5915466</t>
  </si>
  <si>
    <t>Transporte de água com caminhão tanque de 10.000 l - rodovia em leito natural</t>
  </si>
  <si>
    <t>5915467</t>
  </si>
  <si>
    <t>Transporte de água com caminhão tanque de 10.000 l - rodovia em revestimento primário</t>
  </si>
  <si>
    <t>5915468</t>
  </si>
  <si>
    <t>Transporte de água com caminhão tanque de 10.000 l - rodovia pavimentada</t>
  </si>
  <si>
    <t>5914617</t>
  </si>
  <si>
    <t>Transporte de água com caminhão tanque de 13.000 l - rodovia em leito natural</t>
  </si>
  <si>
    <t>5914618</t>
  </si>
  <si>
    <t>Transporte de água com caminhão tanque de 13.000 l - rodovia em revestimento primário</t>
  </si>
  <si>
    <t>5914619</t>
  </si>
  <si>
    <t>Transporte de água com caminhão tanque de 13.000 l - rodovia pavimentada</t>
  </si>
  <si>
    <t>5915451</t>
  </si>
  <si>
    <t>Transporte de água com caminhão tanque de 6.000 l - rodovia em leito natural</t>
  </si>
  <si>
    <t>5915452</t>
  </si>
  <si>
    <t>Transporte de água com caminhão tanque de 6.000 l - rodovia em revestimento primário</t>
  </si>
  <si>
    <t>5915453</t>
  </si>
  <si>
    <t>Transporte de água com caminhão tanque de 6.000 l - rodovia pavimentada</t>
  </si>
  <si>
    <t>5915448</t>
  </si>
  <si>
    <t>Transporte de água com caminhão tanque de 8.000 l - rodovia em leito natural</t>
  </si>
  <si>
    <t>5915449</t>
  </si>
  <si>
    <t>Transporte de água com caminhão tanque de 8.000 l - rodovia em revestimento primário</t>
  </si>
  <si>
    <t>5915450</t>
  </si>
  <si>
    <t>Transporte de água com caminhão tanque de 8.000 l - rodovia pavimentada</t>
  </si>
  <si>
    <t>5901641</t>
  </si>
  <si>
    <t>Transporte de areia fina com draga hopper - capacidade da cisterna de 1.000 m³</t>
  </si>
  <si>
    <t>m³km</t>
  </si>
  <si>
    <t>5901642</t>
  </si>
  <si>
    <t>Transporte de areia fina com draga hopper - capacidade da cisterna de 10.000 m³</t>
  </si>
  <si>
    <t>5901643</t>
  </si>
  <si>
    <t>Transporte de areia fina com draga hopper - capacidade da cisterna de 15.000 m³</t>
  </si>
  <si>
    <t>5901644</t>
  </si>
  <si>
    <t>Transporte de areia fina com draga hopper - capacidade da cisterna de 2.000 m³</t>
  </si>
  <si>
    <t>5901645</t>
  </si>
  <si>
    <t>Transporte de areia fina com draga hopper - capacidade da cisterna de 20.000 m³</t>
  </si>
  <si>
    <t>5901646</t>
  </si>
  <si>
    <t>Transporte de areia fina com draga hopper - capacidade da cisterna de 3.000 m³</t>
  </si>
  <si>
    <t>5901647</t>
  </si>
  <si>
    <t>Transporte de areia fina com draga hopper - capacidade da cisterna de 4.000 m³</t>
  </si>
  <si>
    <t>5901648</t>
  </si>
  <si>
    <t>Transporte de areia fina com draga hopper - capacidade da cisterna de 5.000 m³</t>
  </si>
  <si>
    <t>5901649</t>
  </si>
  <si>
    <t>Transporte de areia fina com draga hopper - capacidade da cisterna de 750 m³</t>
  </si>
  <si>
    <t>5901650</t>
  </si>
  <si>
    <t>Transporte de areia grossa com draga hopper - capacidade da cisterna de 1.000 m³</t>
  </si>
  <si>
    <t>5901651</t>
  </si>
  <si>
    <t>Transporte de areia grossa com draga hopper - capacidade da cisterna de 10.000 m³</t>
  </si>
  <si>
    <t>5901652</t>
  </si>
  <si>
    <t>Transporte de areia grossa com draga hopper - capacidade da cisterna de 15.000 m³</t>
  </si>
  <si>
    <t>5901653</t>
  </si>
  <si>
    <t>Transporte de areia grossa com draga hopper - capacidade da cisterna de 2.000 m³</t>
  </si>
  <si>
    <t>5901654</t>
  </si>
  <si>
    <t>Transporte de areia grossa com draga hopper - capacidade da cisterna de 20.000 m³</t>
  </si>
  <si>
    <t>5901655</t>
  </si>
  <si>
    <t>Transporte de areia grossa com draga hopper - capacidade da cisterna de 3.000 m³</t>
  </si>
  <si>
    <t>5901656</t>
  </si>
  <si>
    <t>Transporte de areia grossa com draga hopper - capacidade da cisterna de 4.000 m³</t>
  </si>
  <si>
    <t>5901657</t>
  </si>
  <si>
    <t>Transporte de areia grossa com draga hopper - capacidade da cisterna de 5.000 m³</t>
  </si>
  <si>
    <t>5901658</t>
  </si>
  <si>
    <t>Transporte de areia grossa com draga hopper - capacidade da cisterna de 750 m³</t>
  </si>
  <si>
    <t>5901659</t>
  </si>
  <si>
    <t>Transporte de areia média com draga hopper - capacidade da cisterna de 1.000 m³</t>
  </si>
  <si>
    <t>5901660</t>
  </si>
  <si>
    <t>Transporte de areia média com draga hopper - capacidade da cisterna de 10.000 m³</t>
  </si>
  <si>
    <t>5901661</t>
  </si>
  <si>
    <t>Transporte de areia média com draga hopper - capacidade da cisterna de 15.000 m³</t>
  </si>
  <si>
    <t>5901662</t>
  </si>
  <si>
    <t>Transporte de areia média com draga hopper - capacidade da cisterna de 2.000 m³</t>
  </si>
  <si>
    <t>5901663</t>
  </si>
  <si>
    <t>Transporte de areia média com draga hopper - capacidade da cisterna de 20.000 m³</t>
  </si>
  <si>
    <t>5901664</t>
  </si>
  <si>
    <t>Transporte de areia média com draga hopper - capacidade da cisterna de 3.000 m³</t>
  </si>
  <si>
    <t>5901665</t>
  </si>
  <si>
    <t>Transporte de areia média com draga hopper - capacidade da cisterna de 4.000 m³</t>
  </si>
  <si>
    <t>5901666</t>
  </si>
  <si>
    <t>Transporte de areia média com draga hopper - capacidade da cisterna de 5.000 m³</t>
  </si>
  <si>
    <t>5901667</t>
  </si>
  <si>
    <t>Transporte de areia média com draga hopper - capacidade da cisterna de 750 m³</t>
  </si>
  <si>
    <t>5914511</t>
  </si>
  <si>
    <t>Transporte de barras de trilho de 12 m com locomotiva diesel-elétrica em vagão plataforma com capacidade de 82 t - bitola métrica</t>
  </si>
  <si>
    <t>5914510</t>
  </si>
  <si>
    <t>Transporte de barras de trilho de 12 m com locomotiva diesel-elétrica em vagão plataforma com capacidade de 98 t - bitola larga</t>
  </si>
  <si>
    <t>5906597</t>
  </si>
  <si>
    <t>Transporte de blocos artificiais de concreto com 10 a 12 t para a execução de molhe com cavalo mecânico com semirreboque com capacidade de 32 t - rodovia em leito natural</t>
  </si>
  <si>
    <t>unkm</t>
  </si>
  <si>
    <t>5906598</t>
  </si>
  <si>
    <t>Transporte de blocos artificiais de concreto com 10 a 12 t para a execução de molhe com cavalo mecânico com semirreboque com capacidade de 32 t - rodovia em revestimento primário</t>
  </si>
  <si>
    <t>5906599</t>
  </si>
  <si>
    <t>Transporte de blocos artificiais de concreto com 10 a 12 t para a execução de molhe com cavalo mecânico com semirreboque com capacidade de 32 t - rodovia pavimentada</t>
  </si>
  <si>
    <t>5906594</t>
  </si>
  <si>
    <t>Transporte de blocos artificiais de concreto com 8 a 9 t para a execução de molhe com cavalo mecânico com semirreboque com capacidade de 32 t - rodovia em leito natural</t>
  </si>
  <si>
    <t>5906595</t>
  </si>
  <si>
    <t>Transporte de blocos artificiais de concreto com 8 a 9 t para a execução de molhe com cavalo mecânico com semirreboque com capacidade de 32 t - rodovia em revestimento primário</t>
  </si>
  <si>
    <t>5906596</t>
  </si>
  <si>
    <t>Transporte de blocos artificiais de concreto com 8 a 9 t para a execução de molhe com cavalo mecânico com semirreboque com capacidade de 32 t - rodovia pavimentada</t>
  </si>
  <si>
    <t>5901668</t>
  </si>
  <si>
    <t>Transporte de cascalho com draga hopper - capacidade da cisterna de 1.000 m³</t>
  </si>
  <si>
    <t>5901669</t>
  </si>
  <si>
    <t>Transporte de cascalho com draga hopper - capacidade da cisterna de 10.000 m³</t>
  </si>
  <si>
    <t>5901670</t>
  </si>
  <si>
    <t>Transporte de cascalho com draga hopper - capacidade da cisterna de 15.000 m³</t>
  </si>
  <si>
    <t>5901671</t>
  </si>
  <si>
    <t>Transporte de cascalho com draga hopper - capacidade da cisterna de 2.000 m³</t>
  </si>
  <si>
    <t>5901672</t>
  </si>
  <si>
    <t>Transporte de cascalho com draga hopper - capacidade da cisterna de 20.000 m³</t>
  </si>
  <si>
    <t>5901673</t>
  </si>
  <si>
    <t>Transporte de cascalho com draga hopper - capacidade da cisterna de 3.000 m³</t>
  </si>
  <si>
    <t>5901674</t>
  </si>
  <si>
    <t>Transporte de cascalho com draga hopper - capacidade da cisterna de 4.000 m³</t>
  </si>
  <si>
    <t>5901675</t>
  </si>
  <si>
    <t>Transporte de cascalho com draga hopper - capacidade da cisterna de 5.000 m³</t>
  </si>
  <si>
    <t>5901676</t>
  </si>
  <si>
    <t>Transporte de cascalho com draga hopper - capacidade da cisterna de 750 m³</t>
  </si>
  <si>
    <t>5901677</t>
  </si>
  <si>
    <t>Transporte de cascalho fino com draga hopper - capacidade da cisterna de 1.000 m³</t>
  </si>
  <si>
    <t>5901678</t>
  </si>
  <si>
    <t>Transporte de cascalho fino com draga hopper - capacidade da cisterna de 10.000 m³</t>
  </si>
  <si>
    <t>5901679</t>
  </si>
  <si>
    <t>Transporte de cascalho fino com draga hopper - capacidade da cisterna de 15.000 m³</t>
  </si>
  <si>
    <t>5901680</t>
  </si>
  <si>
    <t>Transporte de cascalho fino com draga hopper - capacidade da cisterna de 2.000 m³</t>
  </si>
  <si>
    <t>5901681</t>
  </si>
  <si>
    <t>Transporte de cascalho fino com draga hopper - capacidade da cisterna de 20.000 m³</t>
  </si>
  <si>
    <t>5901682</t>
  </si>
  <si>
    <t>Transporte de cascalho fino com draga hopper - capacidade da cisterna de 3.000 m³</t>
  </si>
  <si>
    <t>5901683</t>
  </si>
  <si>
    <t>Transporte de cascalho fino com draga hopper - capacidade da cisterna de 4.000 m³</t>
  </si>
  <si>
    <t>5901684</t>
  </si>
  <si>
    <t>Transporte de cascalho fino com draga hopper - capacidade da cisterna de 5.000 m³</t>
  </si>
  <si>
    <t>5901685</t>
  </si>
  <si>
    <t>Transporte de cascalho fino com draga hopper - capacidade da cisterna de 750 m³</t>
  </si>
  <si>
    <t>5914360</t>
  </si>
  <si>
    <t>Transporte de cimento ou cal com caminhão distribuidor de 15 m³ - rodovia em leito natural</t>
  </si>
  <si>
    <t>5914361</t>
  </si>
  <si>
    <t>Transporte de cimento ou cal com caminhão distribuidor de 15 m³ - rodovia em revestimento primário</t>
  </si>
  <si>
    <t>5914362</t>
  </si>
  <si>
    <t>Transporte de cimento ou cal com caminhão distribuidor de 15 m³ - rodovia pavimentada</t>
  </si>
  <si>
    <t>5914364</t>
  </si>
  <si>
    <t>Transporte de cimento ou cal hidratada a granel com caminhão silo de 30 m³ - rodovia em leito natural</t>
  </si>
  <si>
    <t>5914365</t>
  </si>
  <si>
    <t>Transporte de cimento ou cal hidratada a granel com caminhão silo de 30 m³ - rodovia em revestimento primário</t>
  </si>
  <si>
    <t>5914366</t>
  </si>
  <si>
    <t>Transporte de cimento ou cal hidratada a granel com caminhão silo de 30 m³ - rodovia pavimentada</t>
  </si>
  <si>
    <t>5914315</t>
  </si>
  <si>
    <t>Transporte de concreto com caminhão basculante de 10 m³ - rodovia em leito natural</t>
  </si>
  <si>
    <t>5914330</t>
  </si>
  <si>
    <t>Transporte de concreto com caminhão basculante de 10 m³ - rodovia em revestimento primário</t>
  </si>
  <si>
    <t>5914345</t>
  </si>
  <si>
    <t>Transporte de concreto com caminhão basculante de 10 m³ - rodovia pavimentada</t>
  </si>
  <si>
    <t>5914367</t>
  </si>
  <si>
    <t>Transporte de detritos com caminhão de hidrojateamento de alta pressão e vácuo de 9 m³ - rodovia em leito natural</t>
  </si>
  <si>
    <t>5914368</t>
  </si>
  <si>
    <t>Transporte de detritos com caminhão de hidrojateamento de alta pressão e vácuo de 9 m³ - rodovia em revestimento primário</t>
  </si>
  <si>
    <t>5914369</t>
  </si>
  <si>
    <t>Transporte de detritos com caminhão de hidrojateamento de alta pressão e vácuo de 9 m³ - rodovia pavimentada</t>
  </si>
  <si>
    <t>5914489</t>
  </si>
  <si>
    <t>Transporte de dormentes de concreto monobloco protendido de bitola larga com locomotiva diesel-elétrica em vagão plataforma com capacidade de 98 t - bitola larga</t>
  </si>
  <si>
    <t>5914491</t>
  </si>
  <si>
    <t>Transporte de dormentes de concreto monobloco protendido de bitola métrica com locomotiva diesel-elétrica em vagão plataforma com capacidade de 82 t - bitola métrica</t>
  </si>
  <si>
    <t>5914490</t>
  </si>
  <si>
    <t>Transporte de dormentes de concreto monobloco protendido de bitola mista com locomotiva diesel-elétrica em vagão plataforma com capacidade de 98 t - bitola larga</t>
  </si>
  <si>
    <t>5914495</t>
  </si>
  <si>
    <t>Transporte de dormentes de concreto monobloco protendido para AMV de bitola larga ou mista com locomotiva diesel-elétrica em vagão plataforma com capacidade de 98 t - bitola larga</t>
  </si>
  <si>
    <t>5914494</t>
  </si>
  <si>
    <t>Transporte de dormentes de concreto monobloco protendido para AMV de bitola métrica com locomotiva diesel-elétrica em vagão plataforma com capacidade de 82 t - bitola métrica</t>
  </si>
  <si>
    <t>5914487</t>
  </si>
  <si>
    <t>Transporte de dormentes de madeira de bitola larga com locomotiva diesel-elétrica em vagão plataforma com capacidade de 98 t - bitola larga</t>
  </si>
  <si>
    <t>5914488</t>
  </si>
  <si>
    <t>Transporte de dormentes de madeira de bitola métrica com locomotiva diesel-elétrica em vagão plataforma com capacidade de 82 t - bitola métrica</t>
  </si>
  <si>
    <t>5914493</t>
  </si>
  <si>
    <t>Transporte de dormentes de madeira para AMV de bitola larga ou mista com locomotiva diesel-elétrica em vagão plataforma com capacidade de 98 t - bitola larga</t>
  </si>
  <si>
    <t>5914492</t>
  </si>
  <si>
    <t>Transporte de dormentes de madeira para AMV de bitola métrica com locomotiva diesel-elétrica em vagão plataforma com capacidade de 82 t - bitola métrica</t>
  </si>
  <si>
    <t>5914482</t>
  </si>
  <si>
    <t>Transporte de lastro de brita com locomotiva diesel-elétrica em vagão hopper aberto com capacidade de 45 m³ - bitola métrica</t>
  </si>
  <si>
    <t>5914483</t>
  </si>
  <si>
    <t>Transporte de lastro de brita com locomotiva diesel-elétrica em vagão hopper aberto com capacidade de 63 m³ - bitola larga</t>
  </si>
  <si>
    <t>5914480</t>
  </si>
  <si>
    <t>Transporte de materiais metálicos e acessórios diversos com locomotiva diesel-elétrica em vagão fechado com capacidade de 64 t - bitola métrica</t>
  </si>
  <si>
    <t>5914481</t>
  </si>
  <si>
    <t>Transporte de materiais metálicos e acessórios diversos com locomotiva diesel-elétrica em vagão fechado com capacidade de 99 t - bitola larga</t>
  </si>
  <si>
    <t>5914485</t>
  </si>
  <si>
    <t>Transporte de materiais metálicos para AMV de bitola larga com locomotiva diesel-elétrica em vagão plataforma com capacidade de 98 t - bitola larga</t>
  </si>
  <si>
    <t>5914486</t>
  </si>
  <si>
    <t>Transporte de materiais metálicos para AMV de bitola métrica com locomotiva diesel-elétrica em vagão plataforma com capacidade de 82 t - bitola métrica</t>
  </si>
  <si>
    <t>5914484</t>
  </si>
  <si>
    <t>Transporte de materiais metálicos para AMV de bitola mista com locomotiva diesel-elétrica em vagão plataforma com capacidade de 98 t - bitola larga</t>
  </si>
  <si>
    <t>5914620</t>
  </si>
  <si>
    <t>Transporte de material betuminoso com caminhão tanque distribuidor - rodovia em leito natural</t>
  </si>
  <si>
    <t>5914621</t>
  </si>
  <si>
    <t>Transporte de material betuminoso com caminhão tanque distribuidor - rodovia em revestimento primário</t>
  </si>
  <si>
    <t>5914622</t>
  </si>
  <si>
    <t>Transporte de material betuminoso com caminhão tanque distribuidor - rodovia pavimentada</t>
  </si>
  <si>
    <t>5901695</t>
  </si>
  <si>
    <t>Transporte de material de 1ª categoria com batelão autopropelido com capacidade de 300 m³</t>
  </si>
  <si>
    <t>5901696</t>
  </si>
  <si>
    <t>Transporte de material de 1ª categoria com batelão autopropelido com capacidade de 500 m³</t>
  </si>
  <si>
    <t>5901697</t>
  </si>
  <si>
    <t>Transporte de material de 1ª categoria com batelão rebocado com capacidade de 66 m³</t>
  </si>
  <si>
    <t>5901698</t>
  </si>
  <si>
    <t>Transporte de material de 1ª categoria com batelão rebocado montado na obra com capacidade de 66 m³</t>
  </si>
  <si>
    <t>5916654</t>
  </si>
  <si>
    <t>Transporte de material de 3ª categoria com batelão autopropelido com capacidade de 300 m³</t>
  </si>
  <si>
    <t>5916637</t>
  </si>
  <si>
    <t>Transporte de material de 3ª categoria com batelão rebocado com capacidade de 66 m³</t>
  </si>
  <si>
    <t>5916618</t>
  </si>
  <si>
    <t>Transporte de material de 3ª categoria com batelão rebocado montado na obra com capacidade de 66 m³</t>
  </si>
  <si>
    <t>5914334</t>
  </si>
  <si>
    <t>Transporte de material de 3ª categoria com caminhão basculante de 12 m³ para rocha - rodovia em leito natural</t>
  </si>
  <si>
    <t>5914335</t>
  </si>
  <si>
    <t>Transporte de material de 3ª categoria com caminhão basculante de 12 m³ para rocha - rodovia em revestimento primário</t>
  </si>
  <si>
    <t>5914336</t>
  </si>
  <si>
    <t>Transporte de material de 3ª categoria com caminhão basculante de 12 m³ para rocha - rodovia pavimentada</t>
  </si>
  <si>
    <t>5914346</t>
  </si>
  <si>
    <t>Transporte de material de 3ª categoria com caminhão basculante de 8 m³ para rocha - rodovia em leito natural</t>
  </si>
  <si>
    <t>5914347</t>
  </si>
  <si>
    <t>Transporte de material de 3ª categoria com caminhão basculante de 8 m³ para rocha - rodovia em revestimento primário</t>
  </si>
  <si>
    <t>5914348</t>
  </si>
  <si>
    <t>Transporte de material de 3ª categoria com caminhão basculante de 8 m³ para rocha - rodovia pavimentada</t>
  </si>
  <si>
    <t>5914611</t>
  </si>
  <si>
    <t>Transporte de mistura betuminosa a quente com caminhão com caçamba térmica de 6 m³ - rodovia em leito natural</t>
  </si>
  <si>
    <t>5914613</t>
  </si>
  <si>
    <t>Transporte de mistura betuminosa a quente com caminhão com caçamba térmica de 6 m³ - rodovia em revestimento primário</t>
  </si>
  <si>
    <t>5914612</t>
  </si>
  <si>
    <t>Transporte de mistura betuminosa a quente com caminhão com caçamba térmica de 6 m³ - rodovia pavimentada</t>
  </si>
  <si>
    <t>5901686</t>
  </si>
  <si>
    <t>Transporte de silte com draga hopper - capacidade da cisterna de 1.000 m³</t>
  </si>
  <si>
    <t>5901687</t>
  </si>
  <si>
    <t>Transporte de silte com draga hopper - capacidade da cisterna de 10.000 m³</t>
  </si>
  <si>
    <t>5901688</t>
  </si>
  <si>
    <t>Transporte de silte com draga hopper - capacidade da cisterna de 15.000 m³</t>
  </si>
  <si>
    <t>5901689</t>
  </si>
  <si>
    <t>Transporte de silte com draga hopper - capacidade da cisterna de 2.000 m³</t>
  </si>
  <si>
    <t>5901690</t>
  </si>
  <si>
    <t>Transporte de silte com draga hopper - capacidade da cisterna de 20.000 m³</t>
  </si>
  <si>
    <t>5901691</t>
  </si>
  <si>
    <t>Transporte de silte com draga hopper - capacidade da cisterna de 3.000 m³</t>
  </si>
  <si>
    <t>5901692</t>
  </si>
  <si>
    <t>Transporte de silte com draga hopper - capacidade da cisterna de 4.000 m³</t>
  </si>
  <si>
    <t>5901693</t>
  </si>
  <si>
    <t>Transporte de silte com draga hopper - capacidade da cisterna de 5.000 m³</t>
  </si>
  <si>
    <t>5901694</t>
  </si>
  <si>
    <t>Transporte de silte com draga hopper - capacidade da cisterna de 750 m³</t>
  </si>
  <si>
    <t>5914512</t>
  </si>
  <si>
    <t>Transporte de TLS TR45 de 120 m com locomotiva diesel-elétrica em vagão plataforma com capacidade de 82 t - bitola métrica</t>
  </si>
  <si>
    <t>5914496</t>
  </si>
  <si>
    <t>Transporte de TLS TR45 de 120 m com locomotiva diesel-elétrica em vagão plataforma com capacidade de 98 t - bitola larga</t>
  </si>
  <si>
    <t>5914513</t>
  </si>
  <si>
    <t>Transporte de TLS TR45 de 240 m com locomotiva diesel-elétrica em vagão plataforma com capacidade de 82 t - bitola métrica</t>
  </si>
  <si>
    <t>5914497</t>
  </si>
  <si>
    <t>Transporte de TLS TR45 de 240 m com locomotiva diesel-elétrica em vagão plataforma com capacidade de 98 t - bitola larga</t>
  </si>
  <si>
    <t>5914500</t>
  </si>
  <si>
    <t>Transporte de TLS TR57 de 120 m com locomotiva diesel-elétrica em vagão plataforma com capacidade de 82 t - bitola métrica</t>
  </si>
  <si>
    <t>5914498</t>
  </si>
  <si>
    <t>Transporte de TLS TR57 de 120 m com locomotiva diesel-elétrica em vagão plataforma com capacidade de 98 t - bitola larga</t>
  </si>
  <si>
    <t>5914501</t>
  </si>
  <si>
    <t>Transporte de TLS TR57 de 240 m com locomotiva diesel-elétrica em vagão plataforma com capacidade de 82 t - bitola métrica</t>
  </si>
  <si>
    <t>5914499</t>
  </si>
  <si>
    <t>Transporte de TLS TR57 de 240 m com locomotiva diesel-elétrica em vagão plataforma com capacidade de 98 t - bitola larga</t>
  </si>
  <si>
    <t>5914504</t>
  </si>
  <si>
    <t>Transporte de TLS TR68 de 120 m com locomotiva diesel-elétrica em vagão plataforma com capacidade de 82 t - bitola métrica</t>
  </si>
  <si>
    <t>5914502</t>
  </si>
  <si>
    <t>Transporte de TLS TR68 de 120 m com locomotiva diesel-elétrica em vagão plataforma com capacidade de 98 t - bitola larga</t>
  </si>
  <si>
    <t>5914505</t>
  </si>
  <si>
    <t>Transporte de TLS TR68 de 240 m com locomotiva diesel-elétrica em vagão plataforma com capacidade de 82 t - bitola métrica</t>
  </si>
  <si>
    <t>5914503</t>
  </si>
  <si>
    <t>Transporte de TLS TR68 de 240 m com locomotiva diesel-elétrica em vagão plataforma com capacidade de 98 t - bitola larga</t>
  </si>
  <si>
    <t>5914508</t>
  </si>
  <si>
    <t>Transporte de TLS UIC60 de 120 m com locomotiva diesel-elétrica em vagão plataforma com capacidade de 82 t - bitola métrica</t>
  </si>
  <si>
    <t>5914506</t>
  </si>
  <si>
    <t>Transporte de TLS UIC60 de 120 m com locomotiva diesel-elétrica em vagão plataforma com capacidade de 98 t - bitola larga</t>
  </si>
  <si>
    <t>5914509</t>
  </si>
  <si>
    <t>Transporte de TLS UIC60 de 240 m com locomotiva diesel-elétrica em vagão plataforma com capacidade de 82 t - bitola métrica</t>
  </si>
  <si>
    <t>5914507</t>
  </si>
  <si>
    <t>Transporte de TLS UIC60 de 240 m com locomotiva diesel-elétrica em vagão plataforma com capacidade de 98 t - bitola larga</t>
  </si>
  <si>
    <t>5915491</t>
  </si>
  <si>
    <t>Transporte de veículos de médio porte com guincho de resgate de 20 t - rodovia em leito natural</t>
  </si>
  <si>
    <t>5915492</t>
  </si>
  <si>
    <t>Transporte de veículos de médio porte com guincho de resgate de 20 t - rodovia em revestimento primário</t>
  </si>
  <si>
    <t>5915493</t>
  </si>
  <si>
    <t>Transporte de veículos de médio porte com guincho de resgate de 20 t - rodovia pavimentada</t>
  </si>
  <si>
    <t>5915488</t>
  </si>
  <si>
    <t>Transporte de veículos leves com guincho de resgate de 5 t - rodovia em leito natural</t>
  </si>
  <si>
    <t>5915489</t>
  </si>
  <si>
    <t>Transporte de veículos leves com guincho de resgate de 5 t - rodovia em revestimento primário</t>
  </si>
  <si>
    <t>5915490</t>
  </si>
  <si>
    <t>Transporte de veículos leves com guincho de resgate de 5 t - rodovia pavimentada</t>
  </si>
  <si>
    <t>5915494</t>
  </si>
  <si>
    <t>Transporte de veículos pesados com guincho de resgate de 35 t - rodovia em leito natural</t>
  </si>
  <si>
    <t>5915495</t>
  </si>
  <si>
    <t>Transporte de veículos pesados com guincho de resgate de 35 t - rodovia em revestimento primário</t>
  </si>
  <si>
    <t>5915496</t>
  </si>
  <si>
    <t>Transporte de veículos pesados com guincho de resgate de 35 t - rodovia pavimentada</t>
  </si>
  <si>
    <t>5915325</t>
  </si>
  <si>
    <t>Transporte em cavalo mecânico com dolly de 4 eixos com capacidade de 57 t - rodovia em leito natural</t>
  </si>
  <si>
    <t>5915326</t>
  </si>
  <si>
    <t>Transporte em cavalo mecânico com dolly de 4 eixos com capacidade de 57 t - rodovia em revestimento primário</t>
  </si>
  <si>
    <t>5915327</t>
  </si>
  <si>
    <t>Transporte em cavalo mecânico com dolly de 4 eixos com capacidade de 57 t - rodovia pavimentada</t>
  </si>
  <si>
    <t>5915328</t>
  </si>
  <si>
    <t>Transporte em cavalo mecânico com dollys de 3 e 4 eixos com capacidade de 77 t - rodovia em leito natural</t>
  </si>
  <si>
    <t>5915329</t>
  </si>
  <si>
    <t>Transporte em cavalo mecânico com dollys de 3 e 4 eixos com capacidade de 77 t - rodovia em revestimento primário</t>
  </si>
  <si>
    <t>5915330</t>
  </si>
  <si>
    <t>Transporte em cavalo mecânico com dollys de 3 e 4 eixos com capacidade de 77 t - rodovia pavimentada</t>
  </si>
  <si>
    <t>5915331</t>
  </si>
  <si>
    <t>Transporte em cavalo mecânico com dollys de 5 e 4 eixos com capacidade de 111 t - rodovia em leito natural</t>
  </si>
  <si>
    <t>5915332</t>
  </si>
  <si>
    <t>Transporte em cavalo mecânico com dollys de 5 e 4 eixos com capacidade de 111 t - rodovia em revestimento primário</t>
  </si>
  <si>
    <t>5915333</t>
  </si>
  <si>
    <t>Transporte em cavalo mecânico com dollys de 5 e 4 eixos com capacidade de 111 t - rodovia pavimentada</t>
  </si>
  <si>
    <t>5915364</t>
  </si>
  <si>
    <t>Transporte em cavalo mecânico com reboques de 5 e 4 eixos com capacidade de 130 t - rodovia em leito natural</t>
  </si>
  <si>
    <t>5915365</t>
  </si>
  <si>
    <t>Transporte em cavalo mecânico com reboques de 5 e 4 eixos com capacidade de 130 t - rodovia em revestimento primário</t>
  </si>
  <si>
    <t>5915361</t>
  </si>
  <si>
    <t>Transporte em cavalo mecânico com reboques de 5 e 4 eixos com capacidade de 130 t - rodovia pavimentada</t>
  </si>
  <si>
    <t>5919716</t>
  </si>
  <si>
    <t>Transporte fluvial de materiais diversos com pontão flutuante - capacidade de 500 t</t>
  </si>
  <si>
    <t>5919717</t>
  </si>
  <si>
    <t>Transporte fluvial do flutuante</t>
  </si>
  <si>
    <t>6106220</t>
  </si>
  <si>
    <t>Armação de fuste de tubulão em aço CA-50 com apoio de guindaste - fornecimento, preparo e colocação</t>
  </si>
  <si>
    <t>6106183</t>
  </si>
  <si>
    <t>Escavação manual de base alargada de tubulão a céu aberto em material de 1ª categoria na profundidade de 10 a 15 m</t>
  </si>
  <si>
    <t>6106182</t>
  </si>
  <si>
    <t>Escavação manual de base alargada de tubulão a céu aberto em material de 1ª categoria na profundidade de até 10 m</t>
  </si>
  <si>
    <t>6106194</t>
  </si>
  <si>
    <t>Escavação manual de base alargada de tubulão a céu aberto em material de 2ª categoria na profundidade até 10 m</t>
  </si>
  <si>
    <t>6106195</t>
  </si>
  <si>
    <t>Escavação manual de base alargada de tubulão a céu aberto em material de 2ª categoria na profundidade de 10 a 15 m</t>
  </si>
  <si>
    <t>6106331</t>
  </si>
  <si>
    <t>Escavação manual de base alargada de tubulão a céu aberto em material de 3ª categoria a frio na profundidade até 10 m</t>
  </si>
  <si>
    <t>6106332</t>
  </si>
  <si>
    <t>Escavação manual de base alargada de tubulão a céu aberto em material de 3ª categoria a frio na profundidade de 10 a 15 m</t>
  </si>
  <si>
    <t>6106206</t>
  </si>
  <si>
    <t>Escavação manual de base alargada de tubulão a céu aberto em material de 3ª categoria na profundidade até 10 m</t>
  </si>
  <si>
    <t>6106207</t>
  </si>
  <si>
    <t>Escavação manual de base alargada de tubulão a céu aberto em material de 3ª categoria na profundidade de 10 a 15 m</t>
  </si>
  <si>
    <t>6106222</t>
  </si>
  <si>
    <t>Escavação manual de fuste de tubulão a céu aberto em material de 1ª categoria na profundidade de 10 a 15 m</t>
  </si>
  <si>
    <t>6106221</t>
  </si>
  <si>
    <t>Escavação manual de fuste de tubulão a céu aberto em material de 1ª categoria na profundidade de até 10 m</t>
  </si>
  <si>
    <t>6106224</t>
  </si>
  <si>
    <t>Escavação manual de fuste de tubulão a céu aberto em material de 2ª categoria na profundidade até 10 m</t>
  </si>
  <si>
    <t>6106225</t>
  </si>
  <si>
    <t>Escavação manual de fuste de tubulão a céu aberto em material de 2ª categoria na profundidade de 10 a 15 m</t>
  </si>
  <si>
    <t>6106228</t>
  </si>
  <si>
    <t>Escavação manual de fuste de tubulão a céu aberto em material de 3ª categoria na profundidade até 10 m</t>
  </si>
  <si>
    <t>6106229</t>
  </si>
  <si>
    <t>Escavação manual de fuste de tubulão a céu aberto em material de 3ª categoria na profundidade de 10 a 15 m</t>
  </si>
  <si>
    <t>6106328</t>
  </si>
  <si>
    <t>Escavação mecânica de fuste de tubulão com caçamba para rocha em material de 2ª categoria</t>
  </si>
  <si>
    <t>6106330</t>
  </si>
  <si>
    <t>Escavação mecânica de fuste de tubulão com caçamba para rocha em material de 3ª categoria</t>
  </si>
  <si>
    <t>6106326</t>
  </si>
  <si>
    <t>Escavação mecânica de fuste de tubulão com caçamba para solos em material de 1ª categoria</t>
  </si>
  <si>
    <t>6106324</t>
  </si>
  <si>
    <t>Escavação mecânica de fuste de tubulão com Hammer Grab em material de 1ª categoria</t>
  </si>
  <si>
    <t>6106327</t>
  </si>
  <si>
    <t>Escavação mecânica de fuste de tubulão com trado para rocha em material de 2ª categoria</t>
  </si>
  <si>
    <t>6106329</t>
  </si>
  <si>
    <t>Escavação mecânica de fuste de tubulão com trado para rocha em material de 3ª categoria</t>
  </si>
  <si>
    <t>6106325</t>
  </si>
  <si>
    <t>Escavação mecânica de fuste de tubulão com trado para solos em material de 1ª categoria</t>
  </si>
  <si>
    <t>6208126</t>
  </si>
  <si>
    <t>Armação de tela de aço eletrossoldada em túneis com auxílio de plataforma pantográfica - confecção e instalação</t>
  </si>
  <si>
    <t>6205797</t>
  </si>
  <si>
    <t>Cambotas metálicas treliçadas - confecção e instalação</t>
  </si>
  <si>
    <t>6205791</t>
  </si>
  <si>
    <t>Coluna de jet grouting horizontal CCPH em solo - D = 40 cm - perfuração e injeção</t>
  </si>
  <si>
    <t>6205792</t>
  </si>
  <si>
    <t>Coluna de jet grouting horizontal CCPH em solo - D = 50 cm - perfuração e injeção</t>
  </si>
  <si>
    <t>6205793</t>
  </si>
  <si>
    <t>Coluna de jet grouting horizontal CCPH em solo - D = 60 cm - perfuração e injeção</t>
  </si>
  <si>
    <t>6205796</t>
  </si>
  <si>
    <t>Coluna de jet grouting vertical em solo - D = 100 cm - perfuração e injeção</t>
  </si>
  <si>
    <t>6219451</t>
  </si>
  <si>
    <t>Coluna de jet grouting vertical em solo - D = 110 cm - perfuração e injeção</t>
  </si>
  <si>
    <t>6219452</t>
  </si>
  <si>
    <t>Coluna de jet grouting vertical em solo - D = 120 cm - perfuração e injeção</t>
  </si>
  <si>
    <t>6205794</t>
  </si>
  <si>
    <t>Coluna de jet grouting vertical em solo - D = 80 cm - perfuração e injeção</t>
  </si>
  <si>
    <t>6205795</t>
  </si>
  <si>
    <t>Coluna de jet grouting vertical em solo - D = 90 cm - perfuração e injeção</t>
  </si>
  <si>
    <t>6219521</t>
  </si>
  <si>
    <t>Desmonte a frio e carga de rocha em túnel com cunha hidráulica - DMT de 0 a 200 m</t>
  </si>
  <si>
    <t>6219527</t>
  </si>
  <si>
    <t>Drenagem de túnel com manta drenante de malha de polietileno e geotêxtil em face revestida com argamassa polimérica com espessura de 25 mm</t>
  </si>
  <si>
    <t>6219526</t>
  </si>
  <si>
    <t>Dreno filtrante em tubos de PVC D = 40 mm aplicado em paredes e tetos de túnel - fornecimento e instalação</t>
  </si>
  <si>
    <t>6219525</t>
  </si>
  <si>
    <t>Dreno não filtrante em tubos de PVC D = 40 mm aplicado em paredes e tetos de túnel - fornecimento e instalação</t>
  </si>
  <si>
    <t>6219508</t>
  </si>
  <si>
    <t>Enfilagem tubular sistema autoperfurante - D = 76 mm</t>
  </si>
  <si>
    <t>6219511</t>
  </si>
  <si>
    <t>Enfilagem tubular sistema convencional schedule 40 - D = 65 mm</t>
  </si>
  <si>
    <t>6219500</t>
  </si>
  <si>
    <t>Escavação subterrânea e carregamento do material da calota em túnel classe I - DMT de 0 a 200 m - seção acima de 90 m²</t>
  </si>
  <si>
    <t>6219418</t>
  </si>
  <si>
    <t>Escavação subterrânea e carregamento do material da calota em túnel classe I - DMT de 0 a 200 m - seção de 20 a 40 m²</t>
  </si>
  <si>
    <t>6219412</t>
  </si>
  <si>
    <t>Escavação subterrânea e carregamento do material da calota em túnel classe I - DMT de 0 a 200 m - seção de 40 a 60 m²</t>
  </si>
  <si>
    <t>6219406</t>
  </si>
  <si>
    <t>Escavação subterrânea e carregamento do material da calota em túnel classe I - DMT de 0 a 200 m - seção de 60 a 90 m²</t>
  </si>
  <si>
    <t>6219501</t>
  </si>
  <si>
    <t>Escavação subterrânea e carregamento do material da calota em túnel classe II - DMT de 0 a 200 m - seção acima de 90 m²</t>
  </si>
  <si>
    <t>6219419</t>
  </si>
  <si>
    <t>Escavação subterrânea e carregamento do material da calota em túnel classe II - DMT de 0 a 200 m - seção de 20 a 40 m²</t>
  </si>
  <si>
    <t>6219413</t>
  </si>
  <si>
    <t>Escavação subterrânea e carregamento do material da calota em túnel classe II - DMT de 0 a 200 m - seção de 40 a 60 m²</t>
  </si>
  <si>
    <t>6219407</t>
  </si>
  <si>
    <t>Escavação subterrânea e carregamento do material da calota em túnel classe II - DMT de 0 a 200 m - seção de 60 a 90 m²</t>
  </si>
  <si>
    <t>6219502</t>
  </si>
  <si>
    <t>Escavação subterrânea e carregamento do material da calota em túnel classe III - DMT de 0 a 200 m - seção acima de 90 m²</t>
  </si>
  <si>
    <t>6219420</t>
  </si>
  <si>
    <t>Escavação subterrânea e carregamento do material da calota em túnel classe III - DMT de 0 a 200 m - seção de 20 a 40 m²</t>
  </si>
  <si>
    <t>6219414</t>
  </si>
  <si>
    <t>Escavação subterrânea e carregamento do material da calota em túnel classe III - DMT de 0 a 200 m - seção de 40 a 60 m²</t>
  </si>
  <si>
    <t>6219408</t>
  </si>
  <si>
    <t>Escavação subterrânea e carregamento do material da calota em túnel classe III - DMT de 0 a 200 m - seção de 60 a 90 m²</t>
  </si>
  <si>
    <t>6219503</t>
  </si>
  <si>
    <t>Escavação subterrânea e carregamento do material da calota em túnel classe IV - DMT de 0 a 200 m - seção acima de 90 m²</t>
  </si>
  <si>
    <t>6219421</t>
  </si>
  <si>
    <t>Escavação subterrânea e carregamento do material da calota em túnel classe IV - DMT de 0 a 200 m - seção de 20 a 40 m²</t>
  </si>
  <si>
    <t>6219415</t>
  </si>
  <si>
    <t>Escavação subterrânea e carregamento do material da calota em túnel classe IV - DMT de 0 a 200 m - seção de 40 a 60 m²</t>
  </si>
  <si>
    <t>6219409</t>
  </si>
  <si>
    <t>Escavação subterrânea e carregamento do material da calota em túnel classe IV - DMT de 0 a 200 m - seção de 60 a 90 m²</t>
  </si>
  <si>
    <t>6219518</t>
  </si>
  <si>
    <t>Escavação subterrânea e carregamento do material do rebaixo em túnel classe I a IV - DMT de 0 a 200 m</t>
  </si>
  <si>
    <t>6219504</t>
  </si>
  <si>
    <t>Escavação subterrânea e carregamento em túnel classe V - DMT de 0 a 200 m - seção acima de 90 m²</t>
  </si>
  <si>
    <t>6219422</t>
  </si>
  <si>
    <t>Escavação subterrânea e carregamento em túnel classe V - DMT de 0 a 200 m - seção de 20 a 40 m²</t>
  </si>
  <si>
    <t>6219416</t>
  </si>
  <si>
    <t>Escavação subterrânea e carregamento em túnel classe V - DMT de 0 a 200 m - seção de 40 a 60 m²</t>
  </si>
  <si>
    <t>6219410</t>
  </si>
  <si>
    <t>Escavação subterrânea e carregamento em túnel classe V - DMT de 0 a 200 m - seção de 60 a 90 m²</t>
  </si>
  <si>
    <t>6219505</t>
  </si>
  <si>
    <t>Escavação subterrânea e carregamento em túnel classe VI - DMT de 0 a 200 m - seção acima de 90 m²</t>
  </si>
  <si>
    <t>6219423</t>
  </si>
  <si>
    <t>Escavação subterrânea e carregamento em túnel classe VI - DMT de 0 a 200 m - seção de 20 a 40 m²</t>
  </si>
  <si>
    <t>6219417</t>
  </si>
  <si>
    <t>Escavação subterrânea e carregamento em túnel classe VI - DMT de 0 a 200 m - seção de 40 a 60 m²</t>
  </si>
  <si>
    <t>6219411</t>
  </si>
  <si>
    <t>Escavação subterrânea e carregamento em túnel classe VI - DMT de 0 a 200 m - seção de 60 a 90 m²</t>
  </si>
  <si>
    <t>6219520</t>
  </si>
  <si>
    <t>Pré-fissuramento em túnel</t>
  </si>
  <si>
    <t>6219433</t>
  </si>
  <si>
    <t>Pregagem da frente com vergalhão de fibra de vidro D = 25 mm com perfuração em D = 75 mm e injeção de calda de cimento</t>
  </si>
  <si>
    <t>6205801</t>
  </si>
  <si>
    <t>Pregagem da frente em tubo de PVC D = 50 mm com perfuração em D = 100 mm e injeção de argamassa de cimento e areia 1:1</t>
  </si>
  <si>
    <t>6219524</t>
  </si>
  <si>
    <t>Prego guia para controle de espessura de concreto projetado D = 16 mm em túnel - fornecimento e instalação</t>
  </si>
  <si>
    <t>6416036</t>
  </si>
  <si>
    <t>Usinagem de agregados para microrrevestimento a frio - faixa II - brita comercial</t>
  </si>
  <si>
    <t>6416038</t>
  </si>
  <si>
    <t>Usinagem de agregados para microrrevestimento a frio - faixa II - brita produzida</t>
  </si>
  <si>
    <t>6416037</t>
  </si>
  <si>
    <t>Usinagem de agregados para microrrevestimento a frio - faixa III - brita comercial</t>
  </si>
  <si>
    <t>6416035</t>
  </si>
  <si>
    <t>Usinagem de agregados para microrrevestimento a frio - faixa III - brita produzida</t>
  </si>
  <si>
    <t>6416076</t>
  </si>
  <si>
    <t>Usinagem de areia-asfalto a quente - faixa A - areia comercial</t>
  </si>
  <si>
    <t>6416075</t>
  </si>
  <si>
    <t>Usinagem de areia-asfalto a quente - faixa A - areia extraída</t>
  </si>
  <si>
    <t>6416226</t>
  </si>
  <si>
    <t>Usinagem de areia-asfalto a quente - faixa B - areia comercial</t>
  </si>
  <si>
    <t>6416225</t>
  </si>
  <si>
    <t>Usinagem de areia-asfalto a quente - faixa B - areia extraída</t>
  </si>
  <si>
    <t>6416084</t>
  </si>
  <si>
    <t>Usinagem de areia-asfalto a quente com asfalto polímero - faixa A - areia comercial</t>
  </si>
  <si>
    <t>6416083</t>
  </si>
  <si>
    <t>Usinagem de areia-asfalto a quente com asfalto polímero - faixa A - areia extraída</t>
  </si>
  <si>
    <t>6416234</t>
  </si>
  <si>
    <t>Usinagem de areia-asfalto a quente com asfalto polímero - faixa B - areia comercial</t>
  </si>
  <si>
    <t>6416233</t>
  </si>
  <si>
    <t>Usinagem de areia-asfalto a quente com asfalto polímero - faixa B - areia extraída</t>
  </si>
  <si>
    <t>6416236</t>
  </si>
  <si>
    <t>Usinagem de areia-asfalto a quente com asfalto polímero - faixa C - areia comercial</t>
  </si>
  <si>
    <t>6416235</t>
  </si>
  <si>
    <t>Usinagem de areia-asfalto a quente com asfalto polímero - faixa C - areia extraída</t>
  </si>
  <si>
    <t>6416040</t>
  </si>
  <si>
    <t>Usinagem de brita graduada com brita comercial em usina de 300 t/h</t>
  </si>
  <si>
    <t>6416039</t>
  </si>
  <si>
    <t>Usinagem de brita graduada com brita produzida em usina de 300 t/h</t>
  </si>
  <si>
    <t>6416042</t>
  </si>
  <si>
    <t>Usinagem de brita graduada tratada com cimento e brita comercial em usina de 300 t/h</t>
  </si>
  <si>
    <t>6416041</t>
  </si>
  <si>
    <t>Usinagem de brita graduada tratada com cimento e brita produzida em usina de 300 t/h</t>
  </si>
  <si>
    <t>6416080</t>
  </si>
  <si>
    <t>Usinagem de concreto asfáltico - faixa A-25 - areia e brita comerciais</t>
  </si>
  <si>
    <t>6416079</t>
  </si>
  <si>
    <t>Usinagem de concreto asfáltico - faixa A-25 - areia extraída e brita produzida</t>
  </si>
  <si>
    <t>6416143</t>
  </si>
  <si>
    <t>Usinagem de concreto asfáltico - faixa B-19 - areia e brita comerciais</t>
  </si>
  <si>
    <t>6416262</t>
  </si>
  <si>
    <t>Usinagem de concreto asfáltico - faixa B-19 - areia extraída e brita produzida</t>
  </si>
  <si>
    <t>6416078</t>
  </si>
  <si>
    <t>Usinagem de concreto asfáltico - faixa C-12,5 - areia e brita comerciais</t>
  </si>
  <si>
    <t>6416077</t>
  </si>
  <si>
    <t>Usinagem de concreto asfáltico - faixa C-12,5 - areia extraída e brita produzida</t>
  </si>
  <si>
    <t>6416071</t>
  </si>
  <si>
    <t>Usinagem de concreto asfáltico - faixa D-9,5 - areia e brita comerciais</t>
  </si>
  <si>
    <t>6416072</t>
  </si>
  <si>
    <t>Usinagem de concreto asfáltico - faixa D-9,5 - areia extraída e brita produzida</t>
  </si>
  <si>
    <t>6416088</t>
  </si>
  <si>
    <t>Usinagem de concreto asfáltico com asfalto polímero - faixa A - areia e brita comerciais</t>
  </si>
  <si>
    <t>6416087</t>
  </si>
  <si>
    <t>Usinagem de concreto asfáltico com asfalto polímero - faixa A - areia extraída e brita produzida</t>
  </si>
  <si>
    <t>6416246</t>
  </si>
  <si>
    <t>Usinagem de concreto asfáltico com asfalto polímero - faixa B - areia e brita comerciais</t>
  </si>
  <si>
    <t>6416245</t>
  </si>
  <si>
    <t>Usinagem de concreto asfáltico com asfalto polímero - faixa B - areia extraída e brita produzida</t>
  </si>
  <si>
    <t>6416248</t>
  </si>
  <si>
    <t>Usinagem de concreto asfáltico com asfalto polímero - faixa C - areia e brita comerciais</t>
  </si>
  <si>
    <t>6416247</t>
  </si>
  <si>
    <t>Usinagem de concreto asfáltico com asfalto polímero - faixa C - areia extraída e brita produzida</t>
  </si>
  <si>
    <t>6416214</t>
  </si>
  <si>
    <t>Usinagem de concreto asfáltico com borracha (Gap Graded) - brita comercial</t>
  </si>
  <si>
    <t>6416218</t>
  </si>
  <si>
    <t>Usinagem de concreto asfáltico com borracha (Gap Graded) - brita produzida</t>
  </si>
  <si>
    <t>6416211</t>
  </si>
  <si>
    <t>Usinagem de concreto asfáltico com borracha - faixa A - brita comercial</t>
  </si>
  <si>
    <t>6416215</t>
  </si>
  <si>
    <t>Usinagem de concreto asfáltico com borracha - faixa A - brita produzida</t>
  </si>
  <si>
    <t>6416212</t>
  </si>
  <si>
    <t>Usinagem de concreto asfáltico com borracha - faixa B - brita comercial</t>
  </si>
  <si>
    <t>6416216</t>
  </si>
  <si>
    <t>Usinagem de concreto asfáltico com borracha - faixa B - brita produzida</t>
  </si>
  <si>
    <t>6416213</t>
  </si>
  <si>
    <t>Usinagem de concreto asfáltico com borracha - faixa C - brita comercial</t>
  </si>
  <si>
    <t>6416217</t>
  </si>
  <si>
    <t>Usinagem de concreto asfáltico com borracha - faixa C - brita produzida</t>
  </si>
  <si>
    <t>6416289</t>
  </si>
  <si>
    <t>Usinagem de concreto asfáltico reciclado a frio com espuma de asfalto, agregado comercial e cimento</t>
  </si>
  <si>
    <t>6416288</t>
  </si>
  <si>
    <t>Usinagem de concreto asfáltico reciclado a frio com espuma de asfalto, agregado produzido e cimento</t>
  </si>
  <si>
    <t>6416098</t>
  </si>
  <si>
    <t>Usinagem de concreto asfáltico reciclado em usina fixa com adição de material fresado e brita comercial</t>
  </si>
  <si>
    <t>6416097</t>
  </si>
  <si>
    <t>Usinagem de concreto asfáltico reciclado em usina fixa com adição de material fresado e brita produzida</t>
  </si>
  <si>
    <t>6416258</t>
  </si>
  <si>
    <t>Usinagem de micro pré-misturado a quente com asfalto polímero - brita comercial</t>
  </si>
  <si>
    <t>6416259</t>
  </si>
  <si>
    <t>Usinagem de micro pré-misturado a quente com asfalto polímero - brita produzida</t>
  </si>
  <si>
    <t>6416074</t>
  </si>
  <si>
    <t>Usinagem de pré-misturado a frio - faixa A - areia e brita comerciais</t>
  </si>
  <si>
    <t>6416073</t>
  </si>
  <si>
    <t>Usinagem de pré-misturado a frio - faixa A - areia extraída e brita produzida</t>
  </si>
  <si>
    <t>6416220</t>
  </si>
  <si>
    <t>Usinagem de pré-misturado a frio - faixa B - areia e brita comerciais</t>
  </si>
  <si>
    <t>6416219</t>
  </si>
  <si>
    <t>Usinagem de pré-misturado a frio - faixa B - areia extraída e brita produzida</t>
  </si>
  <si>
    <t>6416222</t>
  </si>
  <si>
    <t>Usinagem de pré-misturado a frio - faixa C - areia e brita comerciais</t>
  </si>
  <si>
    <t>6416221</t>
  </si>
  <si>
    <t>Usinagem de pré-misturado a frio - faixa C - areia extraída e brita produzida</t>
  </si>
  <si>
    <t>6416224</t>
  </si>
  <si>
    <t>Usinagem de pré-misturado a frio - faixa D - areia e brita comerciais</t>
  </si>
  <si>
    <t>6416223</t>
  </si>
  <si>
    <t>Usinagem de pré-misturado a frio - faixa D - areia extraída e brita produzida</t>
  </si>
  <si>
    <t>6416082</t>
  </si>
  <si>
    <t>Usinagem de pré-misturado a frio com asfalto polímero - faixa A - areia e brita comerciais</t>
  </si>
  <si>
    <t>6416081</t>
  </si>
  <si>
    <t>Usinagem de pré-misturado a frio com asfalto polímero - faixa A - areia extraída e brita produzida</t>
  </si>
  <si>
    <t>6416228</t>
  </si>
  <si>
    <t>Usinagem de pré-misturado a frio com asfalto polímero - faixa B - areia e brita comerciais</t>
  </si>
  <si>
    <t>6416227</t>
  </si>
  <si>
    <t>Usinagem de pré-misturado a frio com asfalto polímero - faixa B - areia extraída e brita produzida</t>
  </si>
  <si>
    <t>6416230</t>
  </si>
  <si>
    <t>Usinagem de pré-misturado a frio com asfalto polímero - faixa C - areia e brita comerciais</t>
  </si>
  <si>
    <t>6416229</t>
  </si>
  <si>
    <t>Usinagem de pré-misturado a frio com asfalto polímero - faixa C - areia extraída e brita produzida</t>
  </si>
  <si>
    <t>6416232</t>
  </si>
  <si>
    <t>Usinagem de pré-misturado a frio com asfalto polímero - faixa D - areia e brita comerciais</t>
  </si>
  <si>
    <t>6416231</t>
  </si>
  <si>
    <t>Usinagem de pré-misturado a frio com asfalto polímero - faixa D - areia extraída e brita produzida</t>
  </si>
  <si>
    <t>6416086</t>
  </si>
  <si>
    <t>Usinagem de pré-misturado a quente com asfalto polímero - faixa I - camada porosa de atrito - areia e brita comerciais</t>
  </si>
  <si>
    <t>6416085</t>
  </si>
  <si>
    <t>Usinagem de pré-misturado a quente com asfalto polímero - faixa I - camada porosa de atrito - areia extraída e brita produzida</t>
  </si>
  <si>
    <t>6416238</t>
  </si>
  <si>
    <t>Usinagem de pré-misturado a quente com asfalto polímero - faixa II - camada porosa de atrito - areia e brita comerciais</t>
  </si>
  <si>
    <t>6416237</t>
  </si>
  <si>
    <t>Usinagem de pré-misturado a quente com asfalto polímero - faixa II - camada porosa de atrito - areia extraída e brita produzida</t>
  </si>
  <si>
    <t>6416240</t>
  </si>
  <si>
    <t>Usinagem de pré-misturado a quente com asfalto polímero - faixa III - camada porosa de atrito - areia e brita comerciais</t>
  </si>
  <si>
    <t>6416239</t>
  </si>
  <si>
    <t>Usinagem de pré-misturado a quente com asfalto polímero - faixa III - camada porosa de atrito - areia extraída e brita produzida</t>
  </si>
  <si>
    <t>6416242</t>
  </si>
  <si>
    <t>Usinagem de pré-misturado a quente com asfalto polímero - faixa IV - camada porosa de atrito - areia e brita comerciais</t>
  </si>
  <si>
    <t>6416241</t>
  </si>
  <si>
    <t>Usinagem de pré-misturado a quente com asfalto polímero - faixa IV - camada porosa de atrito - areia extraída e brita produzida</t>
  </si>
  <si>
    <t>6416244</t>
  </si>
  <si>
    <t>Usinagem de pré-misturado a quente com asfalto polímero - faixa V - camada porosa de atrito - areia e brita comerciais</t>
  </si>
  <si>
    <t>6416243</t>
  </si>
  <si>
    <t>Usinagem de pré-misturado a quente com asfalto polímero - faixa V - camada porosa de atrito - areia extraída e brita produzida</t>
  </si>
  <si>
    <t>6416250</t>
  </si>
  <si>
    <t>Usinagem de solo areia (70% - 30%) - material de jazida e areia comercial</t>
  </si>
  <si>
    <t>6416153</t>
  </si>
  <si>
    <t>Usinagem de solo areia (70% - 30%) - material de jazida e areia extraída</t>
  </si>
  <si>
    <t>6416185</t>
  </si>
  <si>
    <t>Usinagem de solo brita (70% - 30%) com 3% cimento - material de jazida e brita comercial</t>
  </si>
  <si>
    <t>6416184</t>
  </si>
  <si>
    <t>Usinagem de solo brita (70% - 30%) com 3% cimento - material de jazida e brita produzida</t>
  </si>
  <si>
    <t>6416030</t>
  </si>
  <si>
    <t>Usinagem de solo brita (70% - 30%) com material de jazida e brita comercial em usina de 300 t/h</t>
  </si>
  <si>
    <t>6416029</t>
  </si>
  <si>
    <t>Usinagem de solo brita (70% - 30%) com material de jazida e brita produzida em usina de 300 t/h</t>
  </si>
  <si>
    <t>6416056</t>
  </si>
  <si>
    <t>Usinagem de solo cimento com 7% de cimento com material de jazida em usina de 300 t/h</t>
  </si>
  <si>
    <t>6416278</t>
  </si>
  <si>
    <t>Usinagem de solo escória de aciaria (50% - 50%) com material de jazida em usina de 300 t/h</t>
  </si>
  <si>
    <t>6416047</t>
  </si>
  <si>
    <t>Usinagem de solo melhorado com 3% de cimento com material de jazida em usina de 300 t/h</t>
  </si>
  <si>
    <t>6416090</t>
  </si>
  <si>
    <t>Usinagem para pavimento de concreto com fôrmas deslizantes - areia e brita comerciais</t>
  </si>
  <si>
    <t>6416089</t>
  </si>
  <si>
    <t>Usinagem para pavimento de concreto com fôrmas deslizantes - areia extraída e brita produzida</t>
  </si>
  <si>
    <t>6416094</t>
  </si>
  <si>
    <t>Usinagem para pavimento de concreto compactado com rolo - brita comercial</t>
  </si>
  <si>
    <t>6416093</t>
  </si>
  <si>
    <t>Usinagem para pavimento de concreto compactado com rolo - brita produzida</t>
  </si>
  <si>
    <t>6416092</t>
  </si>
  <si>
    <t>Usinagem para sub-base de concreto compactado com rolo - brita comercial</t>
  </si>
  <si>
    <t>6416091</t>
  </si>
  <si>
    <t>Usinagem para sub-base de concreto compactado com rolo - brita produzida</t>
  </si>
  <si>
    <t>6817809</t>
  </si>
  <si>
    <t>Confecção de BSCC - seção canal de 1,5 x 1,5 m - areia e brita comerciais</t>
  </si>
  <si>
    <t>6817810</t>
  </si>
  <si>
    <t>Confecção de BSCC - seção canal de 1,5 x 1,5 m - areia extraída e brita produzida</t>
  </si>
  <si>
    <t>6817811</t>
  </si>
  <si>
    <t>Confecção de BSCC - seção canal de 2,0 x 1,5 m - areia e brita comerciais</t>
  </si>
  <si>
    <t>6817812</t>
  </si>
  <si>
    <t>Confecção de BSCC - seção canal de 2,0 x 1,5 m - areia extraída e brita produzida</t>
  </si>
  <si>
    <t>6817813</t>
  </si>
  <si>
    <t>Confecção de BSCC - seção canal de 2,0 x 2,0 m - tipo I - areia e brita comerciais</t>
  </si>
  <si>
    <t>6817814</t>
  </si>
  <si>
    <t>Confecção de BSCC - seção canal de 2,0 x 2,0 m - tipo I - areia extraída e brita produzida</t>
  </si>
  <si>
    <t>6817815</t>
  </si>
  <si>
    <t>Confecção de BSCC - seção canal de 2,0 x 2,0 m - tipo II - areia e brita comerciais</t>
  </si>
  <si>
    <t>6817816</t>
  </si>
  <si>
    <t>Confecção de BSCC - seção canal de 2,0 x 2,0 m - tipo II - areia extraída e brita produzida</t>
  </si>
  <si>
    <t>6817817</t>
  </si>
  <si>
    <t>Confecção de BSCC - seção canal de 2,5 x 1,5 m - areia e brita comerciais</t>
  </si>
  <si>
    <t>6817818</t>
  </si>
  <si>
    <t>Confecção de BSCC - seção canal de 2,5 x 1,5 m - areia extraída e brita produzida</t>
  </si>
  <si>
    <t>6817819</t>
  </si>
  <si>
    <t>Confecção de BSCC - seção canal de 2,5 x 2,0 m - tipo I - areia e brita comerciais</t>
  </si>
  <si>
    <t>6817820</t>
  </si>
  <si>
    <t>Confecção de BSCC - seção canal de 2,5 x 2,0 m - tipo I - areia extraída e brita produzida</t>
  </si>
  <si>
    <t>6817821</t>
  </si>
  <si>
    <t>Confecção de BSCC - seção canal de 2,5 x 2,0 m - tipo II - areia e brita comerciais</t>
  </si>
  <si>
    <t>6817822</t>
  </si>
  <si>
    <t>Confecção de BSCC - seção canal de 2,5 x 2,0 m - tipo II - areia extraída e brita produzida</t>
  </si>
  <si>
    <t>6817823</t>
  </si>
  <si>
    <t>Confecção de BSCC - seção canal de 3,0 x 1,5 m - areia e brita comerciais</t>
  </si>
  <si>
    <t>6817824</t>
  </si>
  <si>
    <t>Confecção de BSCC - seção canal de 3,0 x 1,5 m - areia extraída e brita produzida</t>
  </si>
  <si>
    <t>6817825</t>
  </si>
  <si>
    <t>Confecção de BSCC - seção canal de 3,0 x 2,0 m - tipo I - areia e brita comerciais</t>
  </si>
  <si>
    <t>6817826</t>
  </si>
  <si>
    <t>Confecção de BSCC - seção canal de 3,0 x 2,0 m - tipo I - areia extraída e brita produzida</t>
  </si>
  <si>
    <t>6817827</t>
  </si>
  <si>
    <t>Confecção de BSCC - seção canal de 3,0 x 2,0 m - tipo II - areia e brita comerciais</t>
  </si>
  <si>
    <t>6817828</t>
  </si>
  <si>
    <t>Confecção de BSCC - seção canal de 3,0 x 2,0 m - tipo II - areia extraída e brita produzida</t>
  </si>
  <si>
    <t>6817753</t>
  </si>
  <si>
    <t>Confecção de BSCC - seção fechada de 1,5 x 1,5 m - altura do aterro de 0,25 a 1,00 m - areia e brita comerciais</t>
  </si>
  <si>
    <t>6817754</t>
  </si>
  <si>
    <t>Confecção de BSCC - seção fechada de 1,5 x 1,5 m - altura do aterro de 0,25 a 1,00 m - areia extraída e brita produzida</t>
  </si>
  <si>
    <t>6817755</t>
  </si>
  <si>
    <t>Confecção de BSCC - seção fechada de 1,5 x 1,5 m - altura do aterro de 1,00 a 2,50 m - areia e brita comerciais</t>
  </si>
  <si>
    <t>6817756</t>
  </si>
  <si>
    <t>Confecção de BSCC - seção fechada de 1,5 x 1,5 m - altura do aterro de 1,00 a 2,50 m - areia extraída e brita produzida</t>
  </si>
  <si>
    <t>6817763</t>
  </si>
  <si>
    <t>Confecção de BSCC - seção fechada de 1,5 x 1,5 m - altura do aterro de 10,00 a 12,50 m - areia e brita comerciais</t>
  </si>
  <si>
    <t>6817764</t>
  </si>
  <si>
    <t>Confecção de BSCC - seção fechada de 1,5 x 1,5 m - altura do aterro de 10,00 a 12,50 m - areia extraída e brita produzida</t>
  </si>
  <si>
    <t>6817765</t>
  </si>
  <si>
    <t>Confecção de BSCC - seção fechada de 1,5 x 1,5 m - altura do aterro de 12,50 a 15,00 m - areia e brita comerciais</t>
  </si>
  <si>
    <t>6817766</t>
  </si>
  <si>
    <t>Confecção de BSCC - seção fechada de 1,5 x 1,5 m - altura do aterro de 12,50 a 15,00 m - areia extraída e brita produzida</t>
  </si>
  <si>
    <t>6817757</t>
  </si>
  <si>
    <t>Confecção de BSCC - seção fechada de 1,5 x 1,5 m - altura do aterro de 2,50 a 5,00 m - areia e brita comerciais</t>
  </si>
  <si>
    <t>6817758</t>
  </si>
  <si>
    <t>Confecção de BSCC - seção fechada de 1,5 x 1,5 m - altura do aterro de 2,50 a 5,00 m - areia extraída e brita produzida</t>
  </si>
  <si>
    <t>6817759</t>
  </si>
  <si>
    <t>Confecção de BSCC - seção fechada de 1,5 x 1,5 m - altura do aterro de 5,00 a 7,50 m - areia e brita comerciais</t>
  </si>
  <si>
    <t>6817760</t>
  </si>
  <si>
    <t>Confecção de BSCC - seção fechada de 1,5 x 1,5 m - altura do aterro de 5,00 a 7,50 m - areia extraída e brita produzida</t>
  </si>
  <si>
    <t>6817761</t>
  </si>
  <si>
    <t>Confecção de BSCC - seção fechada de 1,5 x 1,5 m - altura do aterro de 7,50 a 10,00 m - areia e brita comerciais</t>
  </si>
  <si>
    <t>6817762</t>
  </si>
  <si>
    <t>Confecção de BSCC - seção fechada de 1,5 x 1,5 m - altura do aterro de 7,50 a 10,00 m - areia extraída e brita produzida</t>
  </si>
  <si>
    <t>6817767</t>
  </si>
  <si>
    <t>Confecção de BSCC - seção fechada de 2,0 x 2,0 m - altura do aterro de 0,25 a 1,00 m - areia e brita comerciais</t>
  </si>
  <si>
    <t>6817768</t>
  </si>
  <si>
    <t>Confecção de BSCC - seção fechada de 2,0 x 2,0 m - altura do aterro de 0,25 a 1,00 m - areia extraída e brita produzida</t>
  </si>
  <si>
    <t>6817769</t>
  </si>
  <si>
    <t>Confecção de BSCC - seção fechada de 2,0 x 2,0 m - altura do aterro de 1,00 a 2,50 m - areia e brita comerciais</t>
  </si>
  <si>
    <t>6817770</t>
  </si>
  <si>
    <t>Confecção de BSCC - seção fechada de 2,0 x 2,0 m - altura do aterro de 1,00 a 2,50 m - areia extraída e brita produzida</t>
  </si>
  <si>
    <t>6817777</t>
  </si>
  <si>
    <t>Confecção de BSCC - seção fechada de 2,0 x 2,0 m - altura do aterro de 10,00 a 12,50 m - areia e brita comerciais</t>
  </si>
  <si>
    <t>6817778</t>
  </si>
  <si>
    <t>Confecção de BSCC - seção fechada de 2,0 x 2,0 m - altura do aterro de 10,00 a 12,50 m - areia extraída e brita produzida</t>
  </si>
  <si>
    <t>6817779</t>
  </si>
  <si>
    <t>Confecção de BSCC - seção fechada de 2,0 x 2,0 m - altura do aterro de 12,50 a 15,00 m - areia e brita comerciais</t>
  </si>
  <si>
    <t>6817780</t>
  </si>
  <si>
    <t>Confecção de BSCC - seção fechada de 2,0 x 2,0 m - altura do aterro de 12,50 a 15,00 m - areia extraída e brita produzida</t>
  </si>
  <si>
    <t>6817771</t>
  </si>
  <si>
    <t>Confecção de BSCC - seção fechada de 2,0 x 2,0 m - altura do aterro de 2,50 a 5,00 m - areia e brita comerciais</t>
  </si>
  <si>
    <t>6817772</t>
  </si>
  <si>
    <t>Confecção de BSCC - seção fechada de 2,0 x 2,0 m - altura do aterro de 2,50 a 5,00 m - areia extraída e brita produzida</t>
  </si>
  <si>
    <t>6817773</t>
  </si>
  <si>
    <t>Confecção de BSCC - seção fechada de 2,0 x 2,0 m - altura do aterro de 5,00 a 7,50 m - areia e brita comerciais</t>
  </si>
  <si>
    <t>6817774</t>
  </si>
  <si>
    <t>Confecção de BSCC - seção fechada de 2,0 x 2,0 m - altura do aterro de 5,00 a 7,50 m - areia extraída e brita produzida</t>
  </si>
  <si>
    <t>6817775</t>
  </si>
  <si>
    <t>Confecção de BSCC - seção fechada de 2,0 x 2,0 m - altura do aterro de 7,50 a 10,00 m - areia e brita comerciais</t>
  </si>
  <si>
    <t>6817776</t>
  </si>
  <si>
    <t>Confecção de BSCC - seção fechada de 2,0 x 2,0 m - altura do aterro de 7,50 a 10,00 m - areia extraída e brita produzida</t>
  </si>
  <si>
    <t>6817781</t>
  </si>
  <si>
    <t>Confecção de BSCC - seção fechada de 2,5 x 2,5 m - altura do aterro de 0,25 a 1,00 m - areia e brita comerciais</t>
  </si>
  <si>
    <t>6817782</t>
  </si>
  <si>
    <t>Confecção de BSCC - seção fechada de 2,5 x 2,5 m - altura do aterro de 0,25 a 1,00 m - areia extraída e brita produzida</t>
  </si>
  <si>
    <t>6817783</t>
  </si>
  <si>
    <t>Confecção de BSCC - seção fechada de 2,5 x 2,5 m - altura do aterro de 1,00 a 2,50 m - areia e brita comerciais</t>
  </si>
  <si>
    <t>6817784</t>
  </si>
  <si>
    <t>Confecção de BSCC - seção fechada de 2,5 x 2,5 m - altura do aterro de 1,00 a 2,50 m - areia extraída e brita produzida</t>
  </si>
  <si>
    <t>6817791</t>
  </si>
  <si>
    <t>Confecção de BSCC - seção fechada de 2,5 x 2,5 m - altura do aterro de 10,00 a 12,50 m - areia e brita comerciais</t>
  </si>
  <si>
    <t>6817792</t>
  </si>
  <si>
    <t>Confecção de BSCC - seção fechada de 2,5 x 2,5 m - altura do aterro de 10,00 a 12,50 m - areia extraída e brita produzida</t>
  </si>
  <si>
    <t>6817793</t>
  </si>
  <si>
    <t>Confecção de BSCC - seção fechada de 2,5 x 2,5 m - altura do aterro de 12,50 a 15,00 m - areia e brita comerciais</t>
  </si>
  <si>
    <t>6817794</t>
  </si>
  <si>
    <t>Confecção de BSCC - seção fechada de 2,5 x 2,5 m - altura do aterro de 12,50 a 15,00 m - areia extraída e brita produzida</t>
  </si>
  <si>
    <t>6817785</t>
  </si>
  <si>
    <t>Confecção de BSCC - seção fechada de 2,5 x 2,5 m - altura do aterro de 2,50 a 5,00 m - areia e brita comerciais</t>
  </si>
  <si>
    <t>6817786</t>
  </si>
  <si>
    <t>Confecção de BSCC - seção fechada de 2,5 x 2,5 m - altura do aterro de 2,50 a 5,00 m - areia extraída e brita produzida</t>
  </si>
  <si>
    <t>6817787</t>
  </si>
  <si>
    <t>Confecção de BSCC - seção fechada de 2,5 x 2,5 m - altura do aterro de 5,00 a 7,50 m - areia e brita comerciais</t>
  </si>
  <si>
    <t>6817788</t>
  </si>
  <si>
    <t>Confecção de BSCC - seção fechada de 2,5 x 2,5 m - altura do aterro de 5,00 a 7,50 m - areia extraída e brita produzida</t>
  </si>
  <si>
    <t>6817789</t>
  </si>
  <si>
    <t>Confecção de BSCC - seção fechada de 2,5 x 2,5 m - altura do aterro de 7,50 a 10,00 m - areia e brita comerciais</t>
  </si>
  <si>
    <t>6817790</t>
  </si>
  <si>
    <t>Confecção de BSCC - seção fechada de 2,5 x 2,5 m - altura do aterro de 7,50 a 10,00 m - areia extraída e brita produzida</t>
  </si>
  <si>
    <t>6817795</t>
  </si>
  <si>
    <t>Confecção de BSCC - seção fechada de 3,0 x 3,0 m - altura do aterro de 0,25 a 1,00 m - areia e brita comerciais</t>
  </si>
  <si>
    <t>6817796</t>
  </si>
  <si>
    <t>Confecção de BSCC - seção fechada de 3,0 x 3,0 m - altura do aterro de 0,25 a 1,00 m - areia extraída e brita produzida</t>
  </si>
  <si>
    <t>6817797</t>
  </si>
  <si>
    <t>Confecção de BSCC - seção fechada de 3,0 x 3,0 m - altura do aterro de 1,00 a 2,50 m - areia e brita comerciais</t>
  </si>
  <si>
    <t>6817798</t>
  </si>
  <si>
    <t>Confecção de BSCC - seção fechada de 3,0 x 3,0 m - altura do aterro de 1,00 a 2,50 m - areia extraída e brita produzida</t>
  </si>
  <si>
    <t>6817805</t>
  </si>
  <si>
    <t>Confecção de BSCC - seção fechada de 3,0 x 3,0 m - altura do aterro de 10,00 a 12,50 m - areia e brita comerciais</t>
  </si>
  <si>
    <t>6817806</t>
  </si>
  <si>
    <t>Confecção de BSCC - seção fechada de 3,0 x 3,0 m - altura do aterro de 10,00 a 12,50 m - areia extraída e brita produzida</t>
  </si>
  <si>
    <t>6817807</t>
  </si>
  <si>
    <t>Confecção de BSCC - seção fechada de 3,0 x 3,0 m - altura do aterro de 12,50 a 15,00 m - areia e brita comerciais</t>
  </si>
  <si>
    <t>6817808</t>
  </si>
  <si>
    <t>Confecção de BSCC - seção fechada de 3,0 x 3,0 m - altura do aterro de 12,50 a 15,00 m - areia extraída e brita produzida</t>
  </si>
  <si>
    <t>6817799</t>
  </si>
  <si>
    <t>Confecção de BSCC - seção fechada de 3,0 x 3,0 m - altura do aterro de 2,50 a 5,00 m - areia e brita comerciais</t>
  </si>
  <si>
    <t>6817800</t>
  </si>
  <si>
    <t>Confecção de BSCC - seção fechada de 3,0 x 3,0 m - altura do aterro de 2,50 a 5,00 m - areia extraída e brita produzida</t>
  </si>
  <si>
    <t>6817801</t>
  </si>
  <si>
    <t>Confecção de BSCC - seção fechada de 3,0 x 3,0 m - altura do aterro de 5,00 a 7,50 m - areia e brita comerciais</t>
  </si>
  <si>
    <t>6817802</t>
  </si>
  <si>
    <t>Confecção de BSCC - seção fechada de 3,0 x 3,0 m - altura do aterro de 5,00 a 7,50 m - areia extraída e brita produzida</t>
  </si>
  <si>
    <t>6817803</t>
  </si>
  <si>
    <t>Confecção de BSCC - seção fechada de 3,0 x 3,0 m - altura do aterro de 7,50 a 10,00 m - areia e brita comerciais</t>
  </si>
  <si>
    <t>6817804</t>
  </si>
  <si>
    <t>Confecção de BSCC - seção fechada de 3,0 x 3,0 m - altura do aterro de 7,50 a 10,00 m - areia extraída e brita produzida</t>
  </si>
  <si>
    <t>6817885</t>
  </si>
  <si>
    <t>Corpo de BSCC - seção canal de 1,5 x 1,5 m - pré-moldado - areia e brita comerciais</t>
  </si>
  <si>
    <t>6817886</t>
  </si>
  <si>
    <t>Corpo de BSCC - seção canal de 1,5 x 1,5 m - pré-moldado - areia extraída e brita produzida</t>
  </si>
  <si>
    <t>6817887</t>
  </si>
  <si>
    <t>Corpo de BSCC - seção canal de 2,0 x 1,5 m - pré-moldado - areia e brita comerciais</t>
  </si>
  <si>
    <t>6817888</t>
  </si>
  <si>
    <t>Corpo de BSCC - seção canal de 2,0 x 1,5 m - pré-moldado - areia extraída e brita produzida</t>
  </si>
  <si>
    <t>6817889</t>
  </si>
  <si>
    <t>Corpo de BSCC - seção canal de 2,0 x 2,0 m - pré-moldado - tipo I - areia e brita comerciais</t>
  </si>
  <si>
    <t>6817890</t>
  </si>
  <si>
    <t>Corpo de BSCC - seção canal de 2,0 x 2,0 m - pré-moldado - tipo I - areia extraída e brita produzida</t>
  </si>
  <si>
    <t>6817891</t>
  </si>
  <si>
    <t>Corpo de BSCC - seção canal de 2,0 x 2,0 m - pré-moldado - tipo II - areia e brita comerciais</t>
  </si>
  <si>
    <t>6817892</t>
  </si>
  <si>
    <t>Corpo de BSCC - seção canal de 2,0 x 2,0 m - pré-moldado - tipo II - areia extraída e brita produzida</t>
  </si>
  <si>
    <t>6817893</t>
  </si>
  <si>
    <t>Corpo de BSCC - seção canal de 2,5 x 1,5 m - pré-moldado - areia e brita comerciais</t>
  </si>
  <si>
    <t>6817894</t>
  </si>
  <si>
    <t>Corpo de BSCC - seção canal de 2,5 x 1,5 m - pré-moldado - areia extraída e brita produzida</t>
  </si>
  <si>
    <t>6817895</t>
  </si>
  <si>
    <t>Corpo de BSCC - seção canal de 2,5 x 2,0 m - pré-moldado - tipo I - areia e brita comerciais</t>
  </si>
  <si>
    <t>6817896</t>
  </si>
  <si>
    <t>Corpo de BSCC - seção canal de 2,5 x 2,0 m - pré-moldado - tipo I - areia extraída e brita produzida</t>
  </si>
  <si>
    <t>6817897</t>
  </si>
  <si>
    <t>Corpo de BSCC - seção canal de 2,5 x 2,0 m - pré-moldado - tipo II - areia e brita comerciais</t>
  </si>
  <si>
    <t>6817898</t>
  </si>
  <si>
    <t>Corpo de BSCC - seção canal de 2,5 x 2,0 m - pré-moldado - tipo II - areia extraída e brita produzida</t>
  </si>
  <si>
    <t>6817899</t>
  </si>
  <si>
    <t>Corpo de BSCC - seção canal de 3,0 x 1,5 m - pré-moldado - areia e brita comerciais</t>
  </si>
  <si>
    <t>6817900</t>
  </si>
  <si>
    <t>Corpo de BSCC - seção canal de 3,0 x 1,5 m - pré-moldado - areia extraída e brita produzida</t>
  </si>
  <si>
    <t>6817901</t>
  </si>
  <si>
    <t>Corpo de BSCC - seção canal de 3,0 x 2,0 m - pré-moldado - tipo I - areia e brita comerciais</t>
  </si>
  <si>
    <t>6817902</t>
  </si>
  <si>
    <t>Corpo de BSCC - seção canal de 3,0 x 2,0 m - pré-moldado - tipo I - areia extraída e brita produzida</t>
  </si>
  <si>
    <t>6817903</t>
  </si>
  <si>
    <t>Corpo de BSCC - seção canal de 3,0 x 2,0 m - pré-moldado - tipo II - areia e brita comerciais</t>
  </si>
  <si>
    <t>6817904</t>
  </si>
  <si>
    <t>Corpo de BSCC - seção canal de 3,0 x 2,0 m - pré-moldado - tipo II - areia extraída e brita produzida</t>
  </si>
  <si>
    <t>6817829</t>
  </si>
  <si>
    <t>Corpo de BSCC - seção fechada de 1,5 x 1,5 m - pré-moldado - altura do aterro de 0,25 a 1,00 m - areia e brita comerciais</t>
  </si>
  <si>
    <t>6817830</t>
  </si>
  <si>
    <t>Corpo de BSCC - seção fechada de 1,5 x 1,5 m - pré-moldado - altura do aterro de 0,25 a 1,00 m - areia extraída e brita produzida</t>
  </si>
  <si>
    <t>6817831</t>
  </si>
  <si>
    <t>Corpo de BSCC - seção fechada de 1,5 x 1,5 m - pré-moldado - altura do aterro de 1,00 a 2,50 m - areia e brita comerciais</t>
  </si>
  <si>
    <t>6817832</t>
  </si>
  <si>
    <t>Corpo de BSCC - seção fechada de 1,5 x 1,5 m - pré-moldado - altura do aterro de 1,00 a 2,50 m - areia extraída e brita produzida</t>
  </si>
  <si>
    <t>6817839</t>
  </si>
  <si>
    <t>Corpo de BSCC - seção fechada de 1,5 x 1,5 m - pré-moldado - altura do aterro de 10,00 a 12,50 m - areia e brita comerciais</t>
  </si>
  <si>
    <t>6817840</t>
  </si>
  <si>
    <t>Corpo de BSCC - seção fechada de 1,5 x 1,5 m - pré-moldado - altura do aterro de 10,00 a 12,50 m - areia extraída e brita produzida</t>
  </si>
  <si>
    <t>6817841</t>
  </si>
  <si>
    <t>Corpo de BSCC - seção fechada de 1,5 x 1,5 m - pré-moldado - altura do aterro de 12,50 a 15,00 m - areia e brita comerciais</t>
  </si>
  <si>
    <t>6817842</t>
  </si>
  <si>
    <t>Corpo de BSCC - seção fechada de 1,5 x 1,5 m - pré-moldado - altura do aterro de 12,50 a 15,00 m - areia extraída e brita produzida</t>
  </si>
  <si>
    <t>6817833</t>
  </si>
  <si>
    <t>Corpo de BSCC - seção fechada de 1,5 x 1,5 m - pré-moldado - altura do aterro de 2,50 a 5,00 m - areia e brita comerciais</t>
  </si>
  <si>
    <t>6817834</t>
  </si>
  <si>
    <t>Corpo de BSCC - seção fechada de 1,5 x 1,5 m - pré-moldado - altura do aterro de 2,50 a 5,00 m - areia extraída e brita produzida</t>
  </si>
  <si>
    <t>6817835</t>
  </si>
  <si>
    <t>Corpo de BSCC - seção fechada de 1,5 x 1,5 m - pré-moldado - altura do aterro de 5,00 a 7,50 m - areia e brita comerciais</t>
  </si>
  <si>
    <t>6817836</t>
  </si>
  <si>
    <t>Corpo de BSCC - seção fechada de 1,5 x 1,5 m - pré-moldado - altura do aterro de 5,00 a 7,50 m - areia extraída e brita produzida</t>
  </si>
  <si>
    <t>6817837</t>
  </si>
  <si>
    <t>Corpo de BSCC - seção fechada de 1,5 x 1,5 m - pré-moldado - altura do aterro de 7,50 a 10,00 m - areia e brita comerciais</t>
  </si>
  <si>
    <t>6817838</t>
  </si>
  <si>
    <t>Corpo de BSCC - seção fechada de 1,5 x 1,5 m - pré-moldado - altura do aterro de 7,50 a 10,00 m - areia extraída e brita produzida</t>
  </si>
  <si>
    <t>6817843</t>
  </si>
  <si>
    <t>Corpo de BSCC - seção fechada de 2,0 x 2,0 m - pré-moldado - altura do aterro de 0,25 a 1,00 m - areia e brita comerciais</t>
  </si>
  <si>
    <t>6817844</t>
  </si>
  <si>
    <t>Corpo de BSCC - seção fechada de 2,0 x 2,0 m - pré-moldado - altura do aterro de 0,25 a 1,00 m - areia extraída e brita produzida</t>
  </si>
  <si>
    <t>6817845</t>
  </si>
  <si>
    <t>Corpo de BSCC - seção fechada de 2,0 x 2,0 m - pré-moldado - altura do aterro de 1,00 a 2,50 m - areia e brita comerciais</t>
  </si>
  <si>
    <t>6817846</t>
  </si>
  <si>
    <t>Corpo de BSCC - seção fechada de 2,0 x 2,0 m - pré-moldado - altura do aterro de 1,00 a 2,50 m - areia extraída e brita produzida</t>
  </si>
  <si>
    <t>6817853</t>
  </si>
  <si>
    <t>Corpo de BSCC - seção fechada de 2,0 x 2,0 m - pré-moldado - altura do aterro de 10,00 a 12,50 m - areia e brita comerciais</t>
  </si>
  <si>
    <t>6817854</t>
  </si>
  <si>
    <t>Corpo de BSCC - seção fechada de 2,0 x 2,0 m - pré-moldado - altura do aterro de 10,00 a 12,50 m - areia extraída e brita produzida</t>
  </si>
  <si>
    <t>6817855</t>
  </si>
  <si>
    <t>Corpo de BSCC - seção fechada de 2,0 x 2,0 m - pré-moldado - altura do aterro de 12,50 a 15,00 m - areia e brita comerciais</t>
  </si>
  <si>
    <t>6817856</t>
  </si>
  <si>
    <t>Corpo de BSCC - seção fechada de 2,0 x 2,0 m - pré-moldado - altura do aterro de 12,50 a 15,00 m - areia extraída e brita produzida</t>
  </si>
  <si>
    <t>6817847</t>
  </si>
  <si>
    <t>Corpo de BSCC - seção fechada de 2,0 x 2,0 m - pré-moldado - altura do aterro de 2,50 a 5,00 m - areia e brita comerciais</t>
  </si>
  <si>
    <t>6817848</t>
  </si>
  <si>
    <t>Corpo de BSCC - seção fechada de 2,0 x 2,0 m - pré-moldado - altura do aterro de 2,50 a 5,00 m - areia extraída e brita produzida</t>
  </si>
  <si>
    <t>6817849</t>
  </si>
  <si>
    <t>Corpo de BSCC - seção fechada de 2,0 x 2,0 m - pré-moldado - altura do aterro de 5,00 a 7,50 m - areia e brita comerciais</t>
  </si>
  <si>
    <t>6817850</t>
  </si>
  <si>
    <t>Corpo de BSCC - seção fechada de 2,0 x 2,0 m - pré-moldado - altura do aterro de 5,00 a 7,50 m - areia extraída e brita produzida</t>
  </si>
  <si>
    <t>6817851</t>
  </si>
  <si>
    <t>Corpo de BSCC - seção fechada de 2,0 x 2,0 m - pré-moldado - altura do aterro de 7,50 a 10,00 m - areia e brita comerciais</t>
  </si>
  <si>
    <t>6817852</t>
  </si>
  <si>
    <t>Corpo de BSCC - seção fechada de 2,0 x 2,0 m - pré-moldado - altura do aterro de 7,50 a 10,00 m - areia extraída e brita produzida</t>
  </si>
  <si>
    <t>6817857</t>
  </si>
  <si>
    <t>Corpo de BSCC - seção fechada de 2,5 x 2,5 m - pré-moldado - altura do aterro de 0,25 a 1,00 m - areia e brita comerciais</t>
  </si>
  <si>
    <t>6817858</t>
  </si>
  <si>
    <t>Corpo de BSCC - seção fechada de 2,5 x 2,5 m - pré-moldado - altura do aterro de 0,25 a 1,00 m - areia extraída e brita produzida</t>
  </si>
  <si>
    <t>6817859</t>
  </si>
  <si>
    <t>Corpo de BSCC - seção fechada de 2,5 x 2,5 m - pré-moldado - altura do aterro de 1,00 a 2,50 m - areia e brita comerciais</t>
  </si>
  <si>
    <t>6817860</t>
  </si>
  <si>
    <t>Corpo de BSCC - seção fechada de 2,5 x 2,5 m - pré-moldado - altura do aterro de 1,00 a 2,50 m - areia extraída e brita produzida</t>
  </si>
  <si>
    <t>6817867</t>
  </si>
  <si>
    <t>Corpo de BSCC - seção fechada de 2,5 x 2,5 m - pré-moldado - altura do aterro de 10,00 a 12,50 m - areia e brita comerciais</t>
  </si>
  <si>
    <t>6817868</t>
  </si>
  <si>
    <t>Corpo de BSCC - seção fechada de 2,5 x 2,5 m - pré-moldado - altura do aterro de 10,00 a 12,50 m - areia extraída e brita produzida</t>
  </si>
  <si>
    <t>6817869</t>
  </si>
  <si>
    <t>Corpo de BSCC - seção fechada de 2,5 x 2,5 m - pré-moldado - altura do aterro de 12,50 a 15,00 m - areia e brita comerciais</t>
  </si>
  <si>
    <t>6817870</t>
  </si>
  <si>
    <t>Corpo de BSCC - seção fechada de 2,5 x 2,5 m - pré-moldado - altura do aterro de 12,50 a 15,00 m - areia extraída e brita produzida</t>
  </si>
  <si>
    <t>6817861</t>
  </si>
  <si>
    <t>Corpo de BSCC - seção fechada de 2,5 x 2,5 m - pré-moldado - altura do aterro de 2,50 a 5,00 m - areia e brita comerciais</t>
  </si>
  <si>
    <t>6817862</t>
  </si>
  <si>
    <t>Corpo de BSCC - seção fechada de 2,5 x 2,5 m - pré-moldado - altura do aterro de 2,50 a 5,00 m - areia extraída e brita produzida</t>
  </si>
  <si>
    <t>6817863</t>
  </si>
  <si>
    <t>Corpo de BSCC - seção fechada de 2,5 x 2,5 m - pré-moldado - altura do aterro de 5,00 a 7,50 m - areia e brita comerciais</t>
  </si>
  <si>
    <t>6817864</t>
  </si>
  <si>
    <t>Corpo de BSCC - seção fechada de 2,5 x 2,5 m - pré-moldado - altura do aterro de 5,00 a 7,50 m - areia extraída e brita produzida</t>
  </si>
  <si>
    <t>6817865</t>
  </si>
  <si>
    <t>Corpo de BSCC - seção fechada de 2,5 x 2,5 m - pré-moldado - altura do aterro de 7,50 a 10,00 m - areia e brita comerciais</t>
  </si>
  <si>
    <t>6817866</t>
  </si>
  <si>
    <t>Corpo de BSCC - seção fechada de 2,5 x 2,5 m - pré-moldado - altura do aterro de 7,50 a 10,00 m - areia extraída e brita produzida</t>
  </si>
  <si>
    <t>6817871</t>
  </si>
  <si>
    <t>Corpo de BSCC - seção fechada de 3,0 x 3,0 m - pré-moldado - altura do aterro de 0,25 a 1,00 m - areia e brita comerciais</t>
  </si>
  <si>
    <t>6817872</t>
  </si>
  <si>
    <t>Corpo de BSCC - seção fechada de 3,0 x 3,0 m - pré-moldado - altura do aterro de 0,25 a 1,00 m - areia extraída e brita produzida</t>
  </si>
  <si>
    <t>6817873</t>
  </si>
  <si>
    <t>Corpo de BSCC - seção fechada de 3,0 x 3,0 m - pré-moldado - altura do aterro de 1,00 a 2,50 m - areia e brita comerciais</t>
  </si>
  <si>
    <t>6817874</t>
  </si>
  <si>
    <t>Corpo de BSCC - seção fechada de 3,0 x 3,0 m - pré-moldado - altura do aterro de 1,00 a 2,50 m - areia extraída e brita produzida</t>
  </si>
  <si>
    <t>6817881</t>
  </si>
  <si>
    <t>Corpo de BSCC - seção fechada de 3,0 x 3,0 m - pré-moldado - altura do aterro de 10,00 a 12,50 m - areia e brita comerciais</t>
  </si>
  <si>
    <t>6817882</t>
  </si>
  <si>
    <t>Corpo de BSCC - seção fechada de 3,0 x 3,0 m - pré-moldado - altura do aterro de 10,00 a 12,50 m - areia extraída e brita produzida</t>
  </si>
  <si>
    <t>6817883</t>
  </si>
  <si>
    <t>Corpo de BSCC - seção fechada de 3,0 x 3,0 m - pré-moldado - altura do aterro de 12,50 a 15,00 m - areia e brita comerciais</t>
  </si>
  <si>
    <t>6817884</t>
  </si>
  <si>
    <t>Corpo de BSCC - seção fechada de 3,0 x 3,0 m - pré-moldado - altura do aterro de 12,50 a 15,00 m - areia extraída e brita produzida</t>
  </si>
  <si>
    <t>6817875</t>
  </si>
  <si>
    <t>Corpo de BSCC - seção fechada de 3,0 x 3,0 m - pré-moldado - altura do aterro de 2,50 a 5,00 m - areia e brita comerciais</t>
  </si>
  <si>
    <t>6817876</t>
  </si>
  <si>
    <t>Corpo de BSCC - seção fechada de 3,0 x 3,0 m - pré-moldado - altura do aterro de 2,50 a 5,00 m - areia extraída e brita produzida</t>
  </si>
  <si>
    <t>6817877</t>
  </si>
  <si>
    <t>Corpo de BSCC - seção fechada de 3,0 x 3,0 m - pré-moldado - altura do aterro de 5,00 a 7,50 m - areia e brita comerciais</t>
  </si>
  <si>
    <t>6817878</t>
  </si>
  <si>
    <t>Corpo de BSCC - seção fechada de 3,0 x 3,0 m - pré-moldado - altura do aterro de 5,00 a 7,50 m - areia extraída e brita produzida</t>
  </si>
  <si>
    <t>6817879</t>
  </si>
  <si>
    <t>Corpo de BSCC - seção fechada de 3,0 x 3,0 m - pré-moldado - altura do aterro de 7,50 a 10,00 m - areia e brita comerciais</t>
  </si>
  <si>
    <t>6817880</t>
  </si>
  <si>
    <t>Corpo de BSCC - seção fechada de 3,0 x 3,0 m - pré-moldado - altura do aterro de 7,50 a 10,00 m - areia extraída e brita produzida</t>
  </si>
  <si>
    <t>7119788</t>
  </si>
  <si>
    <t>Administração local do estaleiro de beneficiamento do aço naval para construção de instalações portuárias de pequeno porte</t>
  </si>
  <si>
    <t>7107389</t>
  </si>
  <si>
    <t>Amarração do sistema de fundeio com mergulho para poita de 25 a 58,3 t (pesos submersos de 15 a 35 t) - profundidade de até 50 m</t>
  </si>
  <si>
    <t>7107388</t>
  </si>
  <si>
    <t>Amarração do sistema de fundeio com mergulho para poita de até 25 t (peso submerso = 15 t) - profundidade de até 50 m</t>
  </si>
  <si>
    <t>7107387</t>
  </si>
  <si>
    <t>Amarração do sistema de fundeio para poita de 25 a 58,3 t (pesos submersos de 15 a 35 t)</t>
  </si>
  <si>
    <t>7107386</t>
  </si>
  <si>
    <t>Amarração do sistema de fundeio para poita de até 25 t (peso submerso = 15 t)</t>
  </si>
  <si>
    <t>7119715</t>
  </si>
  <si>
    <t>Ânodo de sacrifício para proteção do casco - fornecimento e instalação</t>
  </si>
  <si>
    <t>7119678</t>
  </si>
  <si>
    <t>Beneficiamento de aço naval para construção de instalações portuárias de pequeno porte - excluso o aço naval</t>
  </si>
  <si>
    <t>7119712</t>
  </si>
  <si>
    <t>Cabo de segurança para conexão da ponte - fornecimento e instalação</t>
  </si>
  <si>
    <t>7119694</t>
  </si>
  <si>
    <t>Confecção de morto de concreto de 13 t</t>
  </si>
  <si>
    <t>7119695</t>
  </si>
  <si>
    <t>Confecção de morto de concreto de 14 t</t>
  </si>
  <si>
    <t>7119696</t>
  </si>
  <si>
    <t>Confecção de morto de concreto de 22 t</t>
  </si>
  <si>
    <t>7119697</t>
  </si>
  <si>
    <t>Confecção de morto de concreto de 36 t</t>
  </si>
  <si>
    <t>7119698</t>
  </si>
  <si>
    <t>Confecção de morto de concreto de 48 t</t>
  </si>
  <si>
    <t>7119688</t>
  </si>
  <si>
    <t>Confecção de poita de concreto com garras metálicas de 13,3 t (peso submerso = 8 t)</t>
  </si>
  <si>
    <t>7119689</t>
  </si>
  <si>
    <t>Confecção de poita de concreto com garras metálicas de 25 t (peso submerso = 15 t)</t>
  </si>
  <si>
    <t>7119690</t>
  </si>
  <si>
    <t>Confecção de poita de concreto com garras metálicas de 30 t (peso submerso = 18 t)</t>
  </si>
  <si>
    <t>7119691</t>
  </si>
  <si>
    <t>Confecção de poita de concreto com garras metálicas de 41,7 t (peso submerso = 25 t)</t>
  </si>
  <si>
    <t>7119692</t>
  </si>
  <si>
    <t>Confecção de poita de concreto com garras metálicas de 45,8 t (peso submerso = 27,5 t)</t>
  </si>
  <si>
    <t>7119693</t>
  </si>
  <si>
    <t>Confecção de poita de concreto com garras metálicas de 58,3 t (peso submerso = 35 t)</t>
  </si>
  <si>
    <t>7119687</t>
  </si>
  <si>
    <t>Confecção de poita de concreto com garras metálicas de 6,7 t (peso submerso = 4 t)</t>
  </si>
  <si>
    <t>7119681</t>
  </si>
  <si>
    <t>Confecção de poita de concreto de 13,3 t (peso submerso = 8 t)</t>
  </si>
  <si>
    <t>7119682</t>
  </si>
  <si>
    <t>Confecção de poita de concreto de 25 t (peso submerso = 15 t)</t>
  </si>
  <si>
    <t>7119683</t>
  </si>
  <si>
    <t>Confecção de poita de concreto de 30 t (peso submerso = 18 t)</t>
  </si>
  <si>
    <t>7119684</t>
  </si>
  <si>
    <t>Confecção de poita de concreto de 41,7 t (peso submerso = 25 t)</t>
  </si>
  <si>
    <t>7119685</t>
  </si>
  <si>
    <t>Confecção de poita de concreto de 45,8 t (peso submerso = 27,5 t)</t>
  </si>
  <si>
    <t>7119686</t>
  </si>
  <si>
    <t>Confecção de poita de concreto de 58,3 t (peso submerso = 35 t)</t>
  </si>
  <si>
    <t>7119680</t>
  </si>
  <si>
    <t>Confecção de poita de concreto de 6,7 t (peso submerso = 4 t)</t>
  </si>
  <si>
    <t>7119710</t>
  </si>
  <si>
    <t>Defensa de pneus para proteção do flutuante - confecção e instalação</t>
  </si>
  <si>
    <t>7107375</t>
  </si>
  <si>
    <t>Fornecimento e instalação de reservatório metálico tipo taça de 10.000 litros pintura interna e externa com escada de acesso e base de concreto armado - areia e brita comerciais</t>
  </si>
  <si>
    <t>7107376</t>
  </si>
  <si>
    <t>Fornecimento e instalação de reservatório metálico tipo taça de 20.000 litros pintura interna e externa com escada de acesso e base de concreto armado - areia e brita comerciais</t>
  </si>
  <si>
    <t>7107377</t>
  </si>
  <si>
    <t>Fornecimento e instalação de reservatório metálico tipo taça de 30.000 litros pintura interna e externa com escada de acesso e base de concreto armado - areia e brita comerciais</t>
  </si>
  <si>
    <t>7107374</t>
  </si>
  <si>
    <t>Fornecimento e instalação de reservatório metálico tipo taça de 5.000 litros pintura interna e externa com escada de acesso e base de concreto armado - areia e brita comerciais</t>
  </si>
  <si>
    <t>7119708</t>
  </si>
  <si>
    <t>Guincho manual para sistema de fundeio com capacidade de tração de 100 kN - fornecimento e instalação</t>
  </si>
  <si>
    <t>7119709</t>
  </si>
  <si>
    <t>Guincho manual para sistema de fundeio com capacidade de tração de 200 kN - fornecimento e instalação</t>
  </si>
  <si>
    <t>7119706</t>
  </si>
  <si>
    <t>Implantação do sistema naval tipo I - ponte móvel e flutuante principal</t>
  </si>
  <si>
    <t>7119707</t>
  </si>
  <si>
    <t>Implantação do sistema naval tipo II - pontes móveis, flutuante intermediário e flutuante principal</t>
  </si>
  <si>
    <t>7119648</t>
  </si>
  <si>
    <t>Lançamento da embarcação com uso de airbag</t>
  </si>
  <si>
    <t>7107385</t>
  </si>
  <si>
    <t>Lançamento de poita de concreto de 15 a 35 t - peso submerso</t>
  </si>
  <si>
    <t>7107390</t>
  </si>
  <si>
    <t>Lançamento de poita de concreto de até 15 t - peso submerso</t>
  </si>
  <si>
    <t>7119711</t>
  </si>
  <si>
    <t>Mancal de conexão - confecção e instalação</t>
  </si>
  <si>
    <t>7107379</t>
  </si>
  <si>
    <t>Manutenção de tratamento superficial e pintura da área interna do flutuante (tanques de reserva de flutuabilidade)</t>
  </si>
  <si>
    <t>7107381</t>
  </si>
  <si>
    <t>Manutenção de tratamento superficial e pintura da parte externa do flutuante (costados e espelhos de proa e popa) - exceto fundo</t>
  </si>
  <si>
    <t>7107380</t>
  </si>
  <si>
    <t>Manutenção de tratamento superficial e pintura da ponte, convés, casarias e demais estruturas metálicas navais sobre os flutuantes</t>
  </si>
  <si>
    <t>7107382</t>
  </si>
  <si>
    <t>Manutenção de tratamento superficial e pintura do fundo do flutuante</t>
  </si>
  <si>
    <t>7119713</t>
  </si>
  <si>
    <t>Molinete manual para sistema de fundeio com capacidade de tração de 70 kN - fornecimento e instalação</t>
  </si>
  <si>
    <t>7119646</t>
  </si>
  <si>
    <t>Transporte interno em estaleiro</t>
  </si>
  <si>
    <t>7107384</t>
  </si>
  <si>
    <t>Tratamento superficial e pintura da ponte e demais estruturas metálicas navais - exceto fundo do flutuante</t>
  </si>
  <si>
    <t>7107378</t>
  </si>
  <si>
    <t>Tratamento superficial e pintura do fundo do flutuante</t>
  </si>
  <si>
    <t>INSUMO    15,27%    SERVIÇO     23,91%</t>
  </si>
  <si>
    <t>SEM DESONERAÇÃO SICRO (JANEIRO/2026) NÃO DESONERADO SINAPI (JANEIRO/2026)</t>
  </si>
  <si>
    <t xml:space="preserve">Utilizado no(s) item(ns): </t>
  </si>
  <si>
    <t>FIT:</t>
  </si>
  <si>
    <t>Produção da equipe:</t>
  </si>
  <si>
    <t>FIC:</t>
  </si>
  <si>
    <t>Utilização</t>
  </si>
  <si>
    <t>Custo Horário</t>
  </si>
  <si>
    <t>Custo</t>
  </si>
  <si>
    <t>A - EQUIPAMENTOS</t>
  </si>
  <si>
    <t>Operativa</t>
  </si>
  <si>
    <t>Improdutiva</t>
  </si>
  <si>
    <t>Produtivo</t>
  </si>
  <si>
    <t>Improdutivo</t>
  </si>
  <si>
    <t>Horário Total</t>
  </si>
  <si>
    <t>Custo horário total de equipamentos</t>
  </si>
  <si>
    <t>B - MÃO DE OBRA</t>
  </si>
  <si>
    <t>Custo Horário Total</t>
  </si>
  <si>
    <t>Custo horário total de mão de obra</t>
  </si>
  <si>
    <t>Custo horário total de execução</t>
  </si>
  <si>
    <t>Custo unitário da execução</t>
  </si>
  <si>
    <t>Custo do FIC</t>
  </si>
  <si>
    <t>Custo do FIT</t>
  </si>
  <si>
    <t>C - MATERIAL</t>
  </si>
  <si>
    <t>Custo Unitário</t>
  </si>
  <si>
    <t>SIN5069</t>
  </si>
  <si>
    <t>Prego de aço polido com cabeça 17 x 27 (2.1/2 x 11)</t>
  </si>
  <si>
    <t>SIN5065</t>
  </si>
  <si>
    <t>Prego de aço polido com cabeça 10 x 10 (7/8 x 17)</t>
  </si>
  <si>
    <t>SIN4813</t>
  </si>
  <si>
    <t>Placa de obra (para construção civil) em chapa galvanizada *N. 22*, adesivada, de *2,4 x 1,2* m (sem postes para fixação)</t>
  </si>
  <si>
    <t>SIN4509</t>
  </si>
  <si>
    <t>Sarrafo *2,5 x 10* cm em pinus, mista ou equivalente da região - bruta</t>
  </si>
  <si>
    <t>Custo unitario total de material</t>
  </si>
  <si>
    <t>D - ATIVIDADES AUXILIARES</t>
  </si>
  <si>
    <t>Pintura imunizante para madeira, 2 demãos - AF_01/2021</t>
  </si>
  <si>
    <t>Custo unitario total de atividades auxiliares</t>
  </si>
  <si>
    <t>Subtotal</t>
  </si>
  <si>
    <t>E - TEMPO FIXO</t>
  </si>
  <si>
    <t>Mat</t>
  </si>
  <si>
    <t>Custo unitario total do tempo fixo</t>
  </si>
  <si>
    <t>F - MOMENTO DE TRANSPORTE</t>
  </si>
  <si>
    <t>LN</t>
  </si>
  <si>
    <t>RP</t>
  </si>
  <si>
    <t>PV</t>
  </si>
  <si>
    <t>Custo unitario total de transporte</t>
  </si>
  <si>
    <t>Custo calculado:</t>
  </si>
  <si>
    <t>IMT0000154</t>
  </si>
  <si>
    <t>Passagem de Ônibus</t>
  </si>
  <si>
    <t>Aço CA 50</t>
  </si>
  <si>
    <t>M0075</t>
  </si>
  <si>
    <t>Arame liso recozido em aço-carbono - D = 1,24 mm (18 BWG)</t>
  </si>
  <si>
    <t>M1606</t>
  </si>
  <si>
    <t>Trilho TR68 em aço-carbono usado</t>
  </si>
  <si>
    <t>M0030</t>
  </si>
  <si>
    <t>Aditivo plastificante e retardador de pega para concreto e argamassa</t>
  </si>
  <si>
    <t>Areia média lavada</t>
  </si>
  <si>
    <t>Cimento Portland CP II - 32 - saco</t>
  </si>
  <si>
    <t>M0284</t>
  </si>
  <si>
    <t>Caibro de pinho - L = 7,5 cm e E = 7,5 cm</t>
  </si>
  <si>
    <t>M0447</t>
  </si>
  <si>
    <t>Compensado resinado - E = 12 mm</t>
  </si>
  <si>
    <t>M0560</t>
  </si>
  <si>
    <t>Desmoldante para fôrmas de madeira</t>
  </si>
  <si>
    <t>l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</si>
  <si>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</si>
  <si>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</si>
  <si>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</si>
  <si>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</si>
  <si>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</si>
  <si>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</si>
  <si>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</si>
  <si>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</si>
  <si>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M0543</t>
  </si>
  <si>
    <t>Diagonal tubular para andaime - C = 212 cm</t>
  </si>
  <si>
    <t>M0538</t>
  </si>
  <si>
    <t>Escada metálica tipo marinheiro para andaime</t>
  </si>
  <si>
    <t>M0546</t>
  </si>
  <si>
    <t>Plataforma metálica de piso para andaime - C = 150 e L = 37 cm</t>
  </si>
  <si>
    <t>M0540</t>
  </si>
  <si>
    <t>Quadro tubular contraventado para andaime - H = 100 cm e L = 150 cm</t>
  </si>
  <si>
    <t>M0549</t>
  </si>
  <si>
    <t>Quadro tubular tipo guarda-corpo com acessórios para andaime - H = 120 cm e L = 150 cm</t>
  </si>
  <si>
    <t>M0537</t>
  </si>
  <si>
    <t>Sapata ajustável para andaime - base quadrada de 15 x 15 cm</t>
  </si>
  <si>
    <t>M1097</t>
  </si>
  <si>
    <t>Pedra de mão ou rachão</t>
  </si>
  <si>
    <t>IMT0000071</t>
  </si>
  <si>
    <t>Mangueira cristal (incolor) Φ 1.1/4" (32 mm) espessura 3 mm</t>
  </si>
  <si>
    <t>IMT9900025</t>
  </si>
  <si>
    <t>Abraçadeira rosca sem fim rsf fita 9,5 mm aço inox AISI 304 Φ 1"</t>
  </si>
  <si>
    <t>IMT0000070</t>
  </si>
  <si>
    <t>Graxa industrial GCA NLGI 2</t>
  </si>
  <si>
    <t>M0014</t>
  </si>
  <si>
    <t>Aço CA 60</t>
  </si>
  <si>
    <t>M0427</t>
  </si>
  <si>
    <t>Cordoalha nua tipo CP 190 RB - D = 12,7 mm</t>
  </si>
  <si>
    <t>M0076</t>
  </si>
  <si>
    <t>Disco de corte abrasivo para policorte - D = 300 mm</t>
  </si>
  <si>
    <t>M2037</t>
  </si>
  <si>
    <t>Microesferas refletivas de vidro tipo I-B</t>
  </si>
  <si>
    <t>M2038</t>
  </si>
  <si>
    <t>Microesferas refletivas de vidro tipo II-A</t>
  </si>
  <si>
    <t>M2036</t>
  </si>
  <si>
    <t>Tinta à base de resina acrílica emulsionada em água para demarcação viária</t>
  </si>
  <si>
    <t>M2044</t>
  </si>
  <si>
    <t>Tinta à base de resina acrílica emulsionada em água para pré-marcação viária</t>
  </si>
  <si>
    <t>M0789</t>
  </si>
  <si>
    <t>Conjunto para fixação de placas em aço galvanizado composto por barra chata, abraçadeira, parafusos, porcas e arruelas</t>
  </si>
  <si>
    <t>M1662</t>
  </si>
  <si>
    <t>Suporte em madeira de eucalipto tratado - seção de 8 x 8 cm</t>
  </si>
  <si>
    <t>M2128</t>
  </si>
  <si>
    <t>Tinta esmalte sintético acetinado</t>
  </si>
  <si>
    <t>M1673</t>
  </si>
  <si>
    <t>Tubo de PVC rosqueável para água fria - D = 100 mm (4")</t>
  </si>
  <si>
    <t>E9675</t>
  </si>
  <si>
    <t>Martelete perfurador/rompedor elétrico - 1,50 kW</t>
  </si>
  <si>
    <t>M2389</t>
  </si>
  <si>
    <t>Broca de widia - D = 19 mm e C = 160 mm</t>
  </si>
  <si>
    <t>M0410</t>
  </si>
  <si>
    <t>Chumbador de expansão controlada por torque em aço zincado para concreto - D = 20,0 mm</t>
  </si>
  <si>
    <t>M0365</t>
  </si>
  <si>
    <t>Cantoneira em ferro de abas iguais - L = 25,4 mm e E = 4,76 mm</t>
  </si>
  <si>
    <t>E9076</t>
  </si>
  <si>
    <t>Equipamento para pintura eletrostática com cabine dupla de 7,00 kW e estufa de 80.000 kCal</t>
  </si>
  <si>
    <t>E9753</t>
  </si>
  <si>
    <t>Grupo gerador - 23 kVA</t>
  </si>
  <si>
    <t>M3153</t>
  </si>
  <si>
    <t>Tinta em pó à base de resina poliéster</t>
  </si>
  <si>
    <t>E9568</t>
  </si>
  <si>
    <t>Furadeira de impacto de 12,5 mm - 0,80 kW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</si>
  <si>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</si>
  <si>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</si>
  <si>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</si>
  <si>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</si>
  <si>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</si>
  <si>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</si>
  <si>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</si>
  <si>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</si>
  <si>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</si>
  <si>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</si>
  <si>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</si>
  <si>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</si>
  <si>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M3237</t>
  </si>
  <si>
    <t>Película retrorrefletiva tipo III</t>
  </si>
  <si>
    <t>E9592</t>
  </si>
  <si>
    <t>Caminhão carroceria com capacidade de 15 t - 188 kW</t>
  </si>
  <si>
    <t>E9686</t>
  </si>
  <si>
    <t>Caminhão guindauto com capacidade de elevação de 6,2 t e carroceria de 7 t - 136 kW</t>
  </si>
  <si>
    <t>E9579</t>
  </si>
  <si>
    <t>Caminhão basculante com capacidade de 10 m³ - 210 kW</t>
  </si>
  <si>
    <t>Caminhão guindauto com capacidade de elevação de 11,9 t e carroceria de 11,5 t - 188 kW</t>
  </si>
  <si>
    <t>Preço Unitário (R$)</t>
  </si>
  <si>
    <t>Preço Adotado (R$)</t>
  </si>
  <si>
    <t>Preço Cotação (R$)</t>
  </si>
  <si>
    <t>M0003</t>
  </si>
  <si>
    <t>M0005</t>
  </si>
  <si>
    <t>M0006</t>
  </si>
  <si>
    <t>M0007</t>
  </si>
  <si>
    <t>M0008</t>
  </si>
  <si>
    <t>M0009</t>
  </si>
  <si>
    <t>M0010</t>
  </si>
  <si>
    <t>M0011</t>
  </si>
  <si>
    <t>M0012</t>
  </si>
  <si>
    <t>M0013</t>
  </si>
  <si>
    <t>M0015</t>
  </si>
  <si>
    <t>M0016</t>
  </si>
  <si>
    <t>M0017</t>
  </si>
  <si>
    <t>M0018</t>
  </si>
  <si>
    <t>M0019</t>
  </si>
  <si>
    <t>M0020</t>
  </si>
  <si>
    <t>M0021</t>
  </si>
  <si>
    <t>M0025</t>
  </si>
  <si>
    <t>M0026</t>
  </si>
  <si>
    <t>M0028</t>
  </si>
  <si>
    <t>M0029</t>
  </si>
  <si>
    <t>M0032</t>
  </si>
  <si>
    <t>M0039</t>
  </si>
  <si>
    <t>M0043</t>
  </si>
  <si>
    <t>M0044</t>
  </si>
  <si>
    <t>M0045</t>
  </si>
  <si>
    <t>M0046</t>
  </si>
  <si>
    <t>M0047</t>
  </si>
  <si>
    <t>M0048</t>
  </si>
  <si>
    <t>M0049</t>
  </si>
  <si>
    <t>M0050</t>
  </si>
  <si>
    <t>M0051</t>
  </si>
  <si>
    <t>M0052</t>
  </si>
  <si>
    <t>M0053</t>
  </si>
  <si>
    <t>M0054</t>
  </si>
  <si>
    <t>M0055</t>
  </si>
  <si>
    <t>M0056</t>
  </si>
  <si>
    <t>M0066</t>
  </si>
  <si>
    <t>M0067</t>
  </si>
  <si>
    <t>M0068</t>
  </si>
  <si>
    <t>M0069</t>
  </si>
  <si>
    <t>M0072</t>
  </si>
  <si>
    <t>M0073</t>
  </si>
  <si>
    <t>M0074</t>
  </si>
  <si>
    <t>M0080</t>
  </si>
  <si>
    <t>M0081</t>
  </si>
  <si>
    <t>M0083</t>
  </si>
  <si>
    <t>M0084</t>
  </si>
  <si>
    <t>M0085</t>
  </si>
  <si>
    <t>M0086</t>
  </si>
  <si>
    <t>M0087</t>
  </si>
  <si>
    <t>M0088</t>
  </si>
  <si>
    <t>M0089</t>
  </si>
  <si>
    <t>M0091</t>
  </si>
  <si>
    <t>M0092</t>
  </si>
  <si>
    <t>M0093</t>
  </si>
  <si>
    <t>M0094</t>
  </si>
  <si>
    <t>M0098</t>
  </si>
  <si>
    <t>M0100</t>
  </si>
  <si>
    <t>M0101</t>
  </si>
  <si>
    <t>M0102</t>
  </si>
  <si>
    <t>M0103</t>
  </si>
  <si>
    <t>M0104</t>
  </si>
  <si>
    <t>M0105</t>
  </si>
  <si>
    <t>M0106</t>
  </si>
  <si>
    <t>M0107</t>
  </si>
  <si>
    <t>M0108</t>
  </si>
  <si>
    <t>M0109</t>
  </si>
  <si>
    <t>M0110</t>
  </si>
  <si>
    <t>M0111</t>
  </si>
  <si>
    <t>M0112</t>
  </si>
  <si>
    <t>M0113</t>
  </si>
  <si>
    <t>M0114</t>
  </si>
  <si>
    <t>M0115</t>
  </si>
  <si>
    <t>M0116</t>
  </si>
  <si>
    <t>M0117</t>
  </si>
  <si>
    <t>M0118</t>
  </si>
  <si>
    <t>M0119</t>
  </si>
  <si>
    <t>M0120</t>
  </si>
  <si>
    <t>M0121</t>
  </si>
  <si>
    <t>M0122</t>
  </si>
  <si>
    <t>M0123</t>
  </si>
  <si>
    <t>M0124</t>
  </si>
  <si>
    <t>M0125</t>
  </si>
  <si>
    <t>M0126</t>
  </si>
  <si>
    <t>M0127</t>
  </si>
  <si>
    <t>M0128</t>
  </si>
  <si>
    <t>M0129</t>
  </si>
  <si>
    <t>M0130</t>
  </si>
  <si>
    <t>M0131</t>
  </si>
  <si>
    <t>M0132</t>
  </si>
  <si>
    <t>M0133</t>
  </si>
  <si>
    <t>M0134</t>
  </si>
  <si>
    <t>M0135</t>
  </si>
  <si>
    <t>M0136</t>
  </si>
  <si>
    <t>M0137</t>
  </si>
  <si>
    <t>M0138</t>
  </si>
  <si>
    <t>M0139</t>
  </si>
  <si>
    <t>M0140</t>
  </si>
  <si>
    <t>M0141</t>
  </si>
  <si>
    <t>M0142</t>
  </si>
  <si>
    <t>M0143</t>
  </si>
  <si>
    <t>M0145</t>
  </si>
  <si>
    <t>M0146</t>
  </si>
  <si>
    <t>M0148</t>
  </si>
  <si>
    <t>M0151</t>
  </si>
  <si>
    <t>M0152</t>
  </si>
  <si>
    <t>M0153</t>
  </si>
  <si>
    <t>M0156</t>
  </si>
  <si>
    <t>M0158</t>
  </si>
  <si>
    <t>M0160</t>
  </si>
  <si>
    <t>M0161</t>
  </si>
  <si>
    <t>M0162</t>
  </si>
  <si>
    <t>M0163</t>
  </si>
  <si>
    <t>M0164</t>
  </si>
  <si>
    <t>M0166</t>
  </si>
  <si>
    <t>M0167</t>
  </si>
  <si>
    <t>M0168</t>
  </si>
  <si>
    <t>M0169</t>
  </si>
  <si>
    <t>M0173</t>
  </si>
  <si>
    <t>M0178</t>
  </si>
  <si>
    <t>M0181</t>
  </si>
  <si>
    <t>M0184</t>
  </si>
  <si>
    <t>M0193</t>
  </si>
  <si>
    <t>M0194</t>
  </si>
  <si>
    <t>M0198</t>
  </si>
  <si>
    <t>M0201</t>
  </si>
  <si>
    <t>M0202</t>
  </si>
  <si>
    <t>M0217</t>
  </si>
  <si>
    <t>M0220</t>
  </si>
  <si>
    <t>M0222</t>
  </si>
  <si>
    <t>M0223</t>
  </si>
  <si>
    <t>M0224</t>
  </si>
  <si>
    <t>M0225</t>
  </si>
  <si>
    <t>M0229</t>
  </si>
  <si>
    <t>M0230</t>
  </si>
  <si>
    <t>M0231</t>
  </si>
  <si>
    <t>M0232</t>
  </si>
  <si>
    <t>M0233</t>
  </si>
  <si>
    <t>M0234</t>
  </si>
  <si>
    <t>M0235</t>
  </si>
  <si>
    <t>M0236</t>
  </si>
  <si>
    <t>M0237</t>
  </si>
  <si>
    <t>M0253</t>
  </si>
  <si>
    <t>M0254</t>
  </si>
  <si>
    <t>M0256</t>
  </si>
  <si>
    <t>M0257</t>
  </si>
  <si>
    <t>M0260</t>
  </si>
  <si>
    <t>M0264</t>
  </si>
  <si>
    <t>M0265</t>
  </si>
  <si>
    <t>M0266</t>
  </si>
  <si>
    <t>M0269</t>
  </si>
  <si>
    <t>M0285</t>
  </si>
  <si>
    <t>M0289</t>
  </si>
  <si>
    <t>M0301</t>
  </si>
  <si>
    <t>M0344</t>
  </si>
  <si>
    <t>M0345</t>
  </si>
  <si>
    <t>M0346</t>
  </si>
  <si>
    <t>M0348</t>
  </si>
  <si>
    <t>M0350</t>
  </si>
  <si>
    <t>M0351</t>
  </si>
  <si>
    <t>M0366</t>
  </si>
  <si>
    <t>M0395</t>
  </si>
  <si>
    <t>M0408</t>
  </si>
  <si>
    <t>M0409</t>
  </si>
  <si>
    <t>M0411</t>
  </si>
  <si>
    <t>M0412</t>
  </si>
  <si>
    <t>M0413</t>
  </si>
  <si>
    <t>M0421</t>
  </si>
  <si>
    <t>M0428</t>
  </si>
  <si>
    <t>M0429</t>
  </si>
  <si>
    <t>M0434</t>
  </si>
  <si>
    <t>M0442</t>
  </si>
  <si>
    <t>M0443</t>
  </si>
  <si>
    <t>M0444</t>
  </si>
  <si>
    <t>M0445</t>
  </si>
  <si>
    <t>M0446</t>
  </si>
  <si>
    <t>M0448</t>
  </si>
  <si>
    <t>M0450</t>
  </si>
  <si>
    <t>M0451</t>
  </si>
  <si>
    <t>M0452</t>
  </si>
  <si>
    <t>M0453</t>
  </si>
  <si>
    <t>M0454</t>
  </si>
  <si>
    <t>M0459</t>
  </si>
  <si>
    <t>M0467</t>
  </si>
  <si>
    <t>M0468</t>
  </si>
  <si>
    <t>M0469</t>
  </si>
  <si>
    <t>M0470</t>
  </si>
  <si>
    <t>M0471</t>
  </si>
  <si>
    <t>M0472</t>
  </si>
  <si>
    <t>M0481</t>
  </si>
  <si>
    <t>M0502</t>
  </si>
  <si>
    <t>M0506</t>
  </si>
  <si>
    <t>M0511</t>
  </si>
  <si>
    <t>M0512</t>
  </si>
  <si>
    <t>M0521</t>
  </si>
  <si>
    <t>M0532</t>
  </si>
  <si>
    <t>M0533</t>
  </si>
  <si>
    <t>M0534</t>
  </si>
  <si>
    <t>M0536</t>
  </si>
  <si>
    <t>M0601</t>
  </si>
  <si>
    <t>M0603</t>
  </si>
  <si>
    <t>M0614</t>
  </si>
  <si>
    <t>M0615</t>
  </si>
  <si>
    <t>M0646</t>
  </si>
  <si>
    <t>M0647</t>
  </si>
  <si>
    <t>M0648</t>
  </si>
  <si>
    <t>M0649</t>
  </si>
  <si>
    <t>M0650</t>
  </si>
  <si>
    <t>M0666</t>
  </si>
  <si>
    <t>M0667</t>
  </si>
  <si>
    <t>M0668</t>
  </si>
  <si>
    <t>M0669</t>
  </si>
  <si>
    <t>M0673</t>
  </si>
  <si>
    <t>M0677</t>
  </si>
  <si>
    <t>M0682</t>
  </si>
  <si>
    <t>M0686</t>
  </si>
  <si>
    <t>M0719</t>
  </si>
  <si>
    <t>M0721</t>
  </si>
  <si>
    <t>M0722</t>
  </si>
  <si>
    <t>M0729</t>
  </si>
  <si>
    <t>M0734</t>
  </si>
  <si>
    <t>M0741</t>
  </si>
  <si>
    <t>M0745</t>
  </si>
  <si>
    <t>M0755</t>
  </si>
  <si>
    <t>M0756</t>
  </si>
  <si>
    <t>M0767</t>
  </si>
  <si>
    <t>M0769</t>
  </si>
  <si>
    <t>M0771</t>
  </si>
  <si>
    <t>M0773</t>
  </si>
  <si>
    <t>M0786</t>
  </si>
  <si>
    <t>M0787</t>
  </si>
  <si>
    <t>M0796</t>
  </si>
  <si>
    <t>M0798</t>
  </si>
  <si>
    <t>M0804</t>
  </si>
  <si>
    <t>M0805</t>
  </si>
  <si>
    <t>M0808</t>
  </si>
  <si>
    <t>M0809</t>
  </si>
  <si>
    <t>M0812</t>
  </si>
  <si>
    <t>M0818</t>
  </si>
  <si>
    <t>M0824</t>
  </si>
  <si>
    <t>M0831</t>
  </si>
  <si>
    <t>M0848</t>
  </si>
  <si>
    <t>M0849</t>
  </si>
  <si>
    <t>M0851</t>
  </si>
  <si>
    <t>M0852</t>
  </si>
  <si>
    <t>M0858</t>
  </si>
  <si>
    <t>M0865</t>
  </si>
  <si>
    <t>M0868</t>
  </si>
  <si>
    <t>M0875</t>
  </si>
  <si>
    <t>M0876</t>
  </si>
  <si>
    <t>M0879</t>
  </si>
  <si>
    <t>M0942</t>
  </si>
  <si>
    <t>M0945</t>
  </si>
  <si>
    <t>M0947</t>
  </si>
  <si>
    <t>M0998</t>
  </si>
  <si>
    <t>M0999</t>
  </si>
  <si>
    <t>M1000</t>
  </si>
  <si>
    <t>M1010</t>
  </si>
  <si>
    <t>M1011</t>
  </si>
  <si>
    <t>M1022</t>
  </si>
  <si>
    <t>M1066</t>
  </si>
  <si>
    <t>M1078</t>
  </si>
  <si>
    <t>M1079</t>
  </si>
  <si>
    <t>M1103</t>
  </si>
  <si>
    <t>M1118</t>
  </si>
  <si>
    <t>M1130</t>
  </si>
  <si>
    <t>M1131</t>
  </si>
  <si>
    <t>M1132</t>
  </si>
  <si>
    <t>M1134</t>
  </si>
  <si>
    <t>M1135</t>
  </si>
  <si>
    <t>M1142</t>
  </si>
  <si>
    <t>M1150</t>
  </si>
  <si>
    <t>M1151</t>
  </si>
  <si>
    <t>M1152</t>
  </si>
  <si>
    <t>M1176</t>
  </si>
  <si>
    <t>M1210</t>
  </si>
  <si>
    <t>M1218</t>
  </si>
  <si>
    <t>M1242</t>
  </si>
  <si>
    <t>M1243</t>
  </si>
  <si>
    <t>M1244</t>
  </si>
  <si>
    <t>M1245</t>
  </si>
  <si>
    <t>M1300</t>
  </si>
  <si>
    <t>M1301</t>
  </si>
  <si>
    <t>M1302</t>
  </si>
  <si>
    <t>M1303</t>
  </si>
  <si>
    <t>M1304</t>
  </si>
  <si>
    <t>M1305</t>
  </si>
  <si>
    <t>M1306</t>
  </si>
  <si>
    <t>M1307</t>
  </si>
  <si>
    <t>M1308</t>
  </si>
  <si>
    <t>M1309</t>
  </si>
  <si>
    <t>M1310</t>
  </si>
  <si>
    <t>M1311</t>
  </si>
  <si>
    <t>M1313</t>
  </si>
  <si>
    <t>M1314</t>
  </si>
  <si>
    <t>M1315</t>
  </si>
  <si>
    <t>M1316</t>
  </si>
  <si>
    <t>M1317</t>
  </si>
  <si>
    <t>M1318</t>
  </si>
  <si>
    <t>M1319</t>
  </si>
  <si>
    <t>M1320</t>
  </si>
  <si>
    <t>M1321</t>
  </si>
  <si>
    <t>M1322</t>
  </si>
  <si>
    <t>M1323</t>
  </si>
  <si>
    <t>M1324</t>
  </si>
  <si>
    <t>M1325</t>
  </si>
  <si>
    <t>M1328</t>
  </si>
  <si>
    <t>M1337</t>
  </si>
  <si>
    <t>M1341</t>
  </si>
  <si>
    <t>M1350</t>
  </si>
  <si>
    <t>M1351</t>
  </si>
  <si>
    <t>M1356</t>
  </si>
  <si>
    <t>M1358</t>
  </si>
  <si>
    <t>M1359</t>
  </si>
  <si>
    <t>M1360</t>
  </si>
  <si>
    <t>M1361</t>
  </si>
  <si>
    <t>M1362</t>
  </si>
  <si>
    <t>M1364</t>
  </si>
  <si>
    <t>M1366</t>
  </si>
  <si>
    <t>M1368</t>
  </si>
  <si>
    <t>M1369</t>
  </si>
  <si>
    <t>M1370</t>
  </si>
  <si>
    <t>M1376</t>
  </si>
  <si>
    <t>M1377</t>
  </si>
  <si>
    <t>M1378</t>
  </si>
  <si>
    <t>M1379</t>
  </si>
  <si>
    <t>M1382</t>
  </si>
  <si>
    <t>M1383</t>
  </si>
  <si>
    <t>M1384</t>
  </si>
  <si>
    <t>M1385</t>
  </si>
  <si>
    <t>M1387</t>
  </si>
  <si>
    <t>M1388</t>
  </si>
  <si>
    <t>M1391</t>
  </si>
  <si>
    <t>M1397</t>
  </si>
  <si>
    <t>M1398</t>
  </si>
  <si>
    <t>M1408</t>
  </si>
  <si>
    <t>M1409</t>
  </si>
  <si>
    <t>M1429</t>
  </si>
  <si>
    <t>M1432</t>
  </si>
  <si>
    <t>M1433</t>
  </si>
  <si>
    <t>M1434</t>
  </si>
  <si>
    <t>M1446</t>
  </si>
  <si>
    <t>M1447</t>
  </si>
  <si>
    <t>M1448</t>
  </si>
  <si>
    <t>M1449</t>
  </si>
  <si>
    <t>M1450</t>
  </si>
  <si>
    <t>M1451</t>
  </si>
  <si>
    <t>M1452</t>
  </si>
  <si>
    <t>M1453</t>
  </si>
  <si>
    <t>M1454</t>
  </si>
  <si>
    <t>M1455</t>
  </si>
  <si>
    <t>M1456</t>
  </si>
  <si>
    <t>M1457</t>
  </si>
  <si>
    <t>M1458</t>
  </si>
  <si>
    <t>M1459</t>
  </si>
  <si>
    <t>M1460</t>
  </si>
  <si>
    <t>M1461</t>
  </si>
  <si>
    <t>M1462</t>
  </si>
  <si>
    <t>M1463</t>
  </si>
  <si>
    <t>M1464</t>
  </si>
  <si>
    <t>M1465</t>
  </si>
  <si>
    <t>M1472</t>
  </si>
  <si>
    <t>M1481</t>
  </si>
  <si>
    <t>M1496</t>
  </si>
  <si>
    <t>M1498</t>
  </si>
  <si>
    <t>M1518</t>
  </si>
  <si>
    <t>M1519</t>
  </si>
  <si>
    <t>M1520</t>
  </si>
  <si>
    <t>M1526</t>
  </si>
  <si>
    <t>M1527</t>
  </si>
  <si>
    <t>M1528</t>
  </si>
  <si>
    <t>M1546</t>
  </si>
  <si>
    <t>M1553</t>
  </si>
  <si>
    <t>M1575</t>
  </si>
  <si>
    <t>M1577</t>
  </si>
  <si>
    <t>M1585</t>
  </si>
  <si>
    <t>M1591</t>
  </si>
  <si>
    <t>M1600</t>
  </si>
  <si>
    <t>M1602</t>
  </si>
  <si>
    <t>M1603</t>
  </si>
  <si>
    <t>M1605</t>
  </si>
  <si>
    <t>M1614</t>
  </si>
  <si>
    <t>M1616</t>
  </si>
  <si>
    <t>M1617</t>
  </si>
  <si>
    <t>M1618</t>
  </si>
  <si>
    <t>M1624</t>
  </si>
  <si>
    <t>M1636</t>
  </si>
  <si>
    <t>M1638</t>
  </si>
  <si>
    <t>M1639</t>
  </si>
  <si>
    <t>M1640</t>
  </si>
  <si>
    <t>M1642</t>
  </si>
  <si>
    <t>M1643</t>
  </si>
  <si>
    <t>M1644</t>
  </si>
  <si>
    <t>M1646</t>
  </si>
  <si>
    <t>M1649</t>
  </si>
  <si>
    <t>M1653</t>
  </si>
  <si>
    <t>M1655</t>
  </si>
  <si>
    <t>M1656</t>
  </si>
  <si>
    <t>M1665</t>
  </si>
  <si>
    <t>M1675</t>
  </si>
  <si>
    <t>M1702</t>
  </si>
  <si>
    <t>M1719</t>
  </si>
  <si>
    <t>M1720</t>
  </si>
  <si>
    <t>M1731</t>
  </si>
  <si>
    <t>M1732</t>
  </si>
  <si>
    <t>M1733</t>
  </si>
  <si>
    <t>M1735</t>
  </si>
  <si>
    <t>M1736</t>
  </si>
  <si>
    <t>M1737</t>
  </si>
  <si>
    <t>M1739</t>
  </si>
  <si>
    <t>M1740</t>
  </si>
  <si>
    <t>M1741</t>
  </si>
  <si>
    <t>M1742</t>
  </si>
  <si>
    <t>M1747</t>
  </si>
  <si>
    <t>M1749</t>
  </si>
  <si>
    <t>M1750</t>
  </si>
  <si>
    <t>M1753</t>
  </si>
  <si>
    <t>M1755</t>
  </si>
  <si>
    <t>M1756</t>
  </si>
  <si>
    <t>M1765</t>
  </si>
  <si>
    <t>M1773</t>
  </si>
  <si>
    <t>M1774</t>
  </si>
  <si>
    <t>M1775</t>
  </si>
  <si>
    <t>M1776</t>
  </si>
  <si>
    <t>M1777</t>
  </si>
  <si>
    <t>M1778</t>
  </si>
  <si>
    <t>M1779</t>
  </si>
  <si>
    <t>M1780</t>
  </si>
  <si>
    <t>M1781</t>
  </si>
  <si>
    <t>M1782</t>
  </si>
  <si>
    <t>M1783</t>
  </si>
  <si>
    <t>M1784</t>
  </si>
  <si>
    <t>M1785</t>
  </si>
  <si>
    <t>M1786</t>
  </si>
  <si>
    <t>M1787</t>
  </si>
  <si>
    <t>M1789</t>
  </si>
  <si>
    <t>M1790</t>
  </si>
  <si>
    <t>M1795</t>
  </si>
  <si>
    <t>M1796</t>
  </si>
  <si>
    <t>M1797</t>
  </si>
  <si>
    <t>M1800</t>
  </si>
  <si>
    <t>M1811</t>
  </si>
  <si>
    <t>M1812</t>
  </si>
  <si>
    <t>M1819</t>
  </si>
  <si>
    <t>M1820</t>
  </si>
  <si>
    <t>M1844</t>
  </si>
  <si>
    <t>M1845</t>
  </si>
  <si>
    <t>M1868</t>
  </si>
  <si>
    <t>M1869</t>
  </si>
  <si>
    <t>M1870</t>
  </si>
  <si>
    <t>M1874</t>
  </si>
  <si>
    <t>M1875</t>
  </si>
  <si>
    <t>M1876</t>
  </si>
  <si>
    <t>M1877</t>
  </si>
  <si>
    <t>M1879</t>
  </si>
  <si>
    <t>M1880</t>
  </si>
  <si>
    <t>M1907</t>
  </si>
  <si>
    <t>M1909</t>
  </si>
  <si>
    <t>M1911</t>
  </si>
  <si>
    <t>M1912</t>
  </si>
  <si>
    <t>M1913</t>
  </si>
  <si>
    <t>M1919</t>
  </si>
  <si>
    <t>M1922</t>
  </si>
  <si>
    <t>M1926</t>
  </si>
  <si>
    <t>M1927</t>
  </si>
  <si>
    <t>M1928</t>
  </si>
  <si>
    <t>M1931</t>
  </si>
  <si>
    <t>M1935</t>
  </si>
  <si>
    <t>M1936</t>
  </si>
  <si>
    <t>M1937</t>
  </si>
  <si>
    <t>M1941</t>
  </si>
  <si>
    <t>M1942</t>
  </si>
  <si>
    <t>M1943</t>
  </si>
  <si>
    <t>-</t>
  </si>
  <si>
    <t>M1944</t>
  </si>
  <si>
    <t>M1945</t>
  </si>
  <si>
    <t>M1946</t>
  </si>
  <si>
    <t>M1947</t>
  </si>
  <si>
    <t>M1948</t>
  </si>
  <si>
    <t>M1949</t>
  </si>
  <si>
    <t>M1950</t>
  </si>
  <si>
    <t>M1952</t>
  </si>
  <si>
    <t>M1953</t>
  </si>
  <si>
    <t>M1954</t>
  </si>
  <si>
    <t>M1955</t>
  </si>
  <si>
    <t>M1956</t>
  </si>
  <si>
    <t>M1958</t>
  </si>
  <si>
    <t>M1959</t>
  </si>
  <si>
    <t>M1960</t>
  </si>
  <si>
    <t>M1961</t>
  </si>
  <si>
    <t>M1962</t>
  </si>
  <si>
    <t>M1965</t>
  </si>
  <si>
    <t>M1966</t>
  </si>
  <si>
    <t>M1967</t>
  </si>
  <si>
    <t>M1968</t>
  </si>
  <si>
    <t>M1969</t>
  </si>
  <si>
    <t>M1970</t>
  </si>
  <si>
    <t>M1971</t>
  </si>
  <si>
    <t>M1974</t>
  </si>
  <si>
    <t>M1976</t>
  </si>
  <si>
    <t>M1977</t>
  </si>
  <si>
    <t>M1979</t>
  </si>
  <si>
    <t>M1980</t>
  </si>
  <si>
    <t>M1981</t>
  </si>
  <si>
    <t>M1982</t>
  </si>
  <si>
    <t>M1983</t>
  </si>
  <si>
    <t>M1984</t>
  </si>
  <si>
    <t>M1985</t>
  </si>
  <si>
    <t>M1986</t>
  </si>
  <si>
    <t>M1987</t>
  </si>
  <si>
    <t>M1988</t>
  </si>
  <si>
    <t>M1990</t>
  </si>
  <si>
    <t>M1991</t>
  </si>
  <si>
    <t>M1994</t>
  </si>
  <si>
    <t>M1996</t>
  </si>
  <si>
    <t>M1997</t>
  </si>
  <si>
    <t>M1998</t>
  </si>
  <si>
    <t>M1999</t>
  </si>
  <si>
    <t>M2000</t>
  </si>
  <si>
    <t>M2001</t>
  </si>
  <si>
    <t>M2002</t>
  </si>
  <si>
    <t>M2003</t>
  </si>
  <si>
    <t>M2004</t>
  </si>
  <si>
    <t>M2005</t>
  </si>
  <si>
    <t>M2006</t>
  </si>
  <si>
    <t>M2007</t>
  </si>
  <si>
    <t>M2008</t>
  </si>
  <si>
    <t>M2009</t>
  </si>
  <si>
    <t>M2010</t>
  </si>
  <si>
    <t>M2011</t>
  </si>
  <si>
    <t>M2012</t>
  </si>
  <si>
    <t>M2014</t>
  </si>
  <si>
    <t>M2016</t>
  </si>
  <si>
    <t>M2017</t>
  </si>
  <si>
    <t>M2018</t>
  </si>
  <si>
    <t>M2019</t>
  </si>
  <si>
    <t>M2020</t>
  </si>
  <si>
    <t>M2021</t>
  </si>
  <si>
    <t>M2024</t>
  </si>
  <si>
    <t>M2025</t>
  </si>
  <si>
    <t>M2026</t>
  </si>
  <si>
    <t>M2027</t>
  </si>
  <si>
    <t>M2028</t>
  </si>
  <si>
    <t>M2029</t>
  </si>
  <si>
    <t>M2030</t>
  </si>
  <si>
    <t>M2031</t>
  </si>
  <si>
    <t>M2032</t>
  </si>
  <si>
    <t>M2033</t>
  </si>
  <si>
    <t>M2034</t>
  </si>
  <si>
    <t>M2035</t>
  </si>
  <si>
    <t>M2040</t>
  </si>
  <si>
    <t>M2041</t>
  </si>
  <si>
    <t>M2042</t>
  </si>
  <si>
    <t>M2045</t>
  </si>
  <si>
    <t>M2046</t>
  </si>
  <si>
    <t>M2047</t>
  </si>
  <si>
    <t>M2048</t>
  </si>
  <si>
    <t>M2049</t>
  </si>
  <si>
    <t>M2050</t>
  </si>
  <si>
    <t>M2051</t>
  </si>
  <si>
    <t>M2052</t>
  </si>
  <si>
    <t>M2053</t>
  </si>
  <si>
    <t>M2054</t>
  </si>
  <si>
    <t>M2055</t>
  </si>
  <si>
    <t>M2056</t>
  </si>
  <si>
    <t>M2057</t>
  </si>
  <si>
    <t>M2058</t>
  </si>
  <si>
    <t>M2059</t>
  </si>
  <si>
    <t>M2060</t>
  </si>
  <si>
    <t>M2061</t>
  </si>
  <si>
    <t>M2062</t>
  </si>
  <si>
    <t>M2063</t>
  </si>
  <si>
    <t>M2064</t>
  </si>
  <si>
    <t>M2065</t>
  </si>
  <si>
    <t>M2066</t>
  </si>
  <si>
    <t>M2067</t>
  </si>
  <si>
    <t>M2069</t>
  </si>
  <si>
    <t>M2070</t>
  </si>
  <si>
    <t>M2071</t>
  </si>
  <si>
    <t>M2072</t>
  </si>
  <si>
    <t>M2073</t>
  </si>
  <si>
    <t>M2074</t>
  </si>
  <si>
    <t>M2075</t>
  </si>
  <si>
    <t>M2079</t>
  </si>
  <si>
    <t>M2092</t>
  </si>
  <si>
    <t>M2093</t>
  </si>
  <si>
    <t>M2097</t>
  </si>
  <si>
    <t>M2102</t>
  </si>
  <si>
    <t>M2110</t>
  </si>
  <si>
    <t>M2111</t>
  </si>
  <si>
    <t>M2112</t>
  </si>
  <si>
    <t>M2113</t>
  </si>
  <si>
    <t>M2114</t>
  </si>
  <si>
    <t>M2115</t>
  </si>
  <si>
    <t>M2117</t>
  </si>
  <si>
    <t>M2118</t>
  </si>
  <si>
    <t>M2119</t>
  </si>
  <si>
    <t>M2130</t>
  </si>
  <si>
    <t>M2135</t>
  </si>
  <si>
    <t>M2137</t>
  </si>
  <si>
    <t>M2138</t>
  </si>
  <si>
    <t>M2140</t>
  </si>
  <si>
    <t>M2141</t>
  </si>
  <si>
    <t>M2142</t>
  </si>
  <si>
    <t>M2143</t>
  </si>
  <si>
    <t>M2144</t>
  </si>
  <si>
    <t>M2145</t>
  </si>
  <si>
    <t>M2146</t>
  </si>
  <si>
    <t>M2147</t>
  </si>
  <si>
    <t>M2148</t>
  </si>
  <si>
    <t>M2150</t>
  </si>
  <si>
    <t>M2152</t>
  </si>
  <si>
    <t>M2153</t>
  </si>
  <si>
    <t>M2156</t>
  </si>
  <si>
    <t>M2158</t>
  </si>
  <si>
    <t>M2160</t>
  </si>
  <si>
    <t>M2162</t>
  </si>
  <si>
    <t>M2163</t>
  </si>
  <si>
    <t>M2164</t>
  </si>
  <si>
    <t>M2165</t>
  </si>
  <si>
    <t>M2166</t>
  </si>
  <si>
    <t>M2167</t>
  </si>
  <si>
    <t>M2168</t>
  </si>
  <si>
    <t>M2169</t>
  </si>
  <si>
    <t>M2170</t>
  </si>
  <si>
    <t>M2171</t>
  </si>
  <si>
    <t>M2172</t>
  </si>
  <si>
    <t>M2173</t>
  </si>
  <si>
    <t>M2174</t>
  </si>
  <si>
    <t>M2175</t>
  </si>
  <si>
    <t>M2176</t>
  </si>
  <si>
    <t>M2177</t>
  </si>
  <si>
    <t>M2178</t>
  </si>
  <si>
    <t>M2179</t>
  </si>
  <si>
    <t>M2180</t>
  </si>
  <si>
    <t>M2181</t>
  </si>
  <si>
    <t>M2182</t>
  </si>
  <si>
    <t>M2183</t>
  </si>
  <si>
    <t>M2184</t>
  </si>
  <si>
    <t>M2185</t>
  </si>
  <si>
    <t>M2186</t>
  </si>
  <si>
    <t>M2187</t>
  </si>
  <si>
    <t>M2188</t>
  </si>
  <si>
    <t>M2189</t>
  </si>
  <si>
    <t>M2190</t>
  </si>
  <si>
    <t>M2192</t>
  </si>
  <si>
    <t>M2193</t>
  </si>
  <si>
    <t>M2197</t>
  </si>
  <si>
    <t>M2198</t>
  </si>
  <si>
    <t>M2200</t>
  </si>
  <si>
    <t>M2202</t>
  </si>
  <si>
    <t>M2204</t>
  </si>
  <si>
    <t>M2206</t>
  </si>
  <si>
    <t>M2207</t>
  </si>
  <si>
    <t>M2208</t>
  </si>
  <si>
    <t>M2209</t>
  </si>
  <si>
    <t>M2210</t>
  </si>
  <si>
    <t>M2211</t>
  </si>
  <si>
    <t>M2213</t>
  </si>
  <si>
    <t>M2214</t>
  </si>
  <si>
    <t>M2215</t>
  </si>
  <si>
    <t>M2216</t>
  </si>
  <si>
    <t>M2217</t>
  </si>
  <si>
    <t>M2218</t>
  </si>
  <si>
    <t>M2219</t>
  </si>
  <si>
    <t>M2220</t>
  </si>
  <si>
    <t>M2221</t>
  </si>
  <si>
    <t>M2222</t>
  </si>
  <si>
    <t>M2225</t>
  </si>
  <si>
    <t>M2227</t>
  </si>
  <si>
    <t>M2229</t>
  </si>
  <si>
    <t>M2233</t>
  </si>
  <si>
    <t>M2234</t>
  </si>
  <si>
    <t>M2236</t>
  </si>
  <si>
    <t>M2237</t>
  </si>
  <si>
    <t>M2238</t>
  </si>
  <si>
    <t>M2239</t>
  </si>
  <si>
    <t>M2240</t>
  </si>
  <si>
    <t>M2241</t>
  </si>
  <si>
    <t>M2242</t>
  </si>
  <si>
    <t>M2243</t>
  </si>
  <si>
    <t>M2244</t>
  </si>
  <si>
    <t>M2245</t>
  </si>
  <si>
    <t>M2246</t>
  </si>
  <si>
    <t>M2247</t>
  </si>
  <si>
    <t>M2248</t>
  </si>
  <si>
    <t>M2249</t>
  </si>
  <si>
    <t>M2250</t>
  </si>
  <si>
    <t>M2251</t>
  </si>
  <si>
    <t>M2252</t>
  </si>
  <si>
    <t>M2253</t>
  </si>
  <si>
    <t>M2254</t>
  </si>
  <si>
    <t>M2255</t>
  </si>
  <si>
    <t>M2256</t>
  </si>
  <si>
    <t>M2257</t>
  </si>
  <si>
    <t>M2258</t>
  </si>
  <si>
    <t>M2259</t>
  </si>
  <si>
    <t>M2260</t>
  </si>
  <si>
    <t>M2261</t>
  </si>
  <si>
    <t>M2262</t>
  </si>
  <si>
    <t>M2263</t>
  </si>
  <si>
    <t>M2264</t>
  </si>
  <si>
    <t>M2265</t>
  </si>
  <si>
    <t>M2266</t>
  </si>
  <si>
    <t>M2267</t>
  </si>
  <si>
    <t>M2268</t>
  </si>
  <si>
    <t>M2269</t>
  </si>
  <si>
    <t>M2270</t>
  </si>
  <si>
    <t>M2271</t>
  </si>
  <si>
    <t>M2272</t>
  </si>
  <si>
    <t>M2273</t>
  </si>
  <si>
    <t>M2274</t>
  </si>
  <si>
    <t>M2275</t>
  </si>
  <si>
    <t>M2276</t>
  </si>
  <si>
    <t>M2277</t>
  </si>
  <si>
    <t>M2281</t>
  </si>
  <si>
    <t>M2282</t>
  </si>
  <si>
    <t>M2284</t>
  </si>
  <si>
    <t>M2285</t>
  </si>
  <si>
    <t>M2292</t>
  </si>
  <si>
    <t>M2293</t>
  </si>
  <si>
    <t>M2294</t>
  </si>
  <si>
    <t>M2298</t>
  </si>
  <si>
    <t>M2299</t>
  </si>
  <si>
    <t>M2300</t>
  </si>
  <si>
    <t>M2301</t>
  </si>
  <si>
    <t>M2303</t>
  </si>
  <si>
    <t>M2304</t>
  </si>
  <si>
    <t>M2308</t>
  </si>
  <si>
    <t>M2313</t>
  </si>
  <si>
    <t>M2314</t>
  </si>
  <si>
    <t>M2316</t>
  </si>
  <si>
    <t>M2317</t>
  </si>
  <si>
    <t>M2318</t>
  </si>
  <si>
    <t>M2319</t>
  </si>
  <si>
    <t>M2320</t>
  </si>
  <si>
    <t>M2321</t>
  </si>
  <si>
    <t>M2334</t>
  </si>
  <si>
    <t>M2356</t>
  </si>
  <si>
    <t>M2358</t>
  </si>
  <si>
    <t>M2364</t>
  </si>
  <si>
    <t>M2365</t>
  </si>
  <si>
    <t>M2370</t>
  </si>
  <si>
    <t>M2379</t>
  </si>
  <si>
    <t>M2383</t>
  </si>
  <si>
    <t>M2386</t>
  </si>
  <si>
    <t>M2388</t>
  </si>
  <si>
    <t>M2419</t>
  </si>
  <si>
    <t>M2420</t>
  </si>
  <si>
    <t>M2421</t>
  </si>
  <si>
    <t>M2423</t>
  </si>
  <si>
    <t>M2424</t>
  </si>
  <si>
    <t>M2425</t>
  </si>
  <si>
    <t>M2426</t>
  </si>
  <si>
    <t>M2427</t>
  </si>
  <si>
    <t>M2428</t>
  </si>
  <si>
    <t>M2429</t>
  </si>
  <si>
    <t>M2430</t>
  </si>
  <si>
    <t>M2431</t>
  </si>
  <si>
    <t>M2432</t>
  </si>
  <si>
    <t>M2433</t>
  </si>
  <si>
    <t>M2434</t>
  </si>
  <si>
    <t>M2435</t>
  </si>
  <si>
    <t>M2436</t>
  </si>
  <si>
    <t>M2437</t>
  </si>
  <si>
    <t>M2438</t>
  </si>
  <si>
    <t>M2439</t>
  </si>
  <si>
    <t>M2440</t>
  </si>
  <si>
    <t>M2441</t>
  </si>
  <si>
    <t>M2442</t>
  </si>
  <si>
    <t>M2443</t>
  </si>
  <si>
    <t>M2444</t>
  </si>
  <si>
    <t>M2445</t>
  </si>
  <si>
    <t>M2446</t>
  </si>
  <si>
    <t>M2447</t>
  </si>
  <si>
    <t>M2448</t>
  </si>
  <si>
    <t>M2449</t>
  </si>
  <si>
    <t>M2450</t>
  </si>
  <si>
    <t>M2451</t>
  </si>
  <si>
    <t>M2452</t>
  </si>
  <si>
    <t>M2453</t>
  </si>
  <si>
    <t>M2454</t>
  </si>
  <si>
    <t>M2455</t>
  </si>
  <si>
    <t>M2456</t>
  </si>
  <si>
    <t>M2457</t>
  </si>
  <si>
    <t>M2458</t>
  </si>
  <si>
    <t>M2459</t>
  </si>
  <si>
    <t>M2460</t>
  </si>
  <si>
    <t>M2461</t>
  </si>
  <si>
    <t>M2462</t>
  </si>
  <si>
    <t>M2465</t>
  </si>
  <si>
    <t>M2466</t>
  </si>
  <si>
    <t>M2467</t>
  </si>
  <si>
    <t>M2468</t>
  </si>
  <si>
    <t>M2469</t>
  </si>
  <si>
    <t>M2470</t>
  </si>
  <si>
    <t>M2471</t>
  </si>
  <si>
    <t>M2472</t>
  </si>
  <si>
    <t>M2473</t>
  </si>
  <si>
    <t>M2474</t>
  </si>
  <si>
    <t>M2475</t>
  </si>
  <si>
    <t>M2476</t>
  </si>
  <si>
    <t>M2477</t>
  </si>
  <si>
    <t>M2478</t>
  </si>
  <si>
    <t>M2479</t>
  </si>
  <si>
    <t>M2480</t>
  </si>
  <si>
    <t>M2481</t>
  </si>
  <si>
    <t>M2482</t>
  </si>
  <si>
    <t>M2483</t>
  </si>
  <si>
    <t>M2484</t>
  </si>
  <si>
    <t>M2485</t>
  </si>
  <si>
    <t>M2486</t>
  </si>
  <si>
    <t>M2487</t>
  </si>
  <si>
    <t>M2488</t>
  </si>
  <si>
    <t>M2489</t>
  </si>
  <si>
    <t>M2500</t>
  </si>
  <si>
    <t>M2501</t>
  </si>
  <si>
    <t>M2502</t>
  </si>
  <si>
    <t>M2503</t>
  </si>
  <si>
    <t>M2504</t>
  </si>
  <si>
    <t>M2505</t>
  </si>
  <si>
    <t>M2506</t>
  </si>
  <si>
    <t>M2507</t>
  </si>
  <si>
    <t>M2508</t>
  </si>
  <si>
    <t>M2509</t>
  </si>
  <si>
    <t>M2510</t>
  </si>
  <si>
    <t>M2511</t>
  </si>
  <si>
    <t>M2512</t>
  </si>
  <si>
    <t>M2513</t>
  </si>
  <si>
    <t>M2514</t>
  </si>
  <si>
    <t>M2515</t>
  </si>
  <si>
    <t>M2516</t>
  </si>
  <si>
    <t>M2517</t>
  </si>
  <si>
    <t>M2518</t>
  </si>
  <si>
    <t>M2519</t>
  </si>
  <si>
    <t>M2520</t>
  </si>
  <si>
    <t>M2521</t>
  </si>
  <si>
    <t>M2522</t>
  </si>
  <si>
    <t>M2523</t>
  </si>
  <si>
    <t>M2524</t>
  </si>
  <si>
    <t>M2525</t>
  </si>
  <si>
    <t>M2526</t>
  </si>
  <si>
    <t>M2527</t>
  </si>
  <si>
    <t>M2528</t>
  </si>
  <si>
    <t>M2529</t>
  </si>
  <si>
    <t>M2530</t>
  </si>
  <si>
    <t>M2531</t>
  </si>
  <si>
    <t>M2532</t>
  </si>
  <si>
    <t>M2533</t>
  </si>
  <si>
    <t>M2534</t>
  </si>
  <si>
    <t>M2535</t>
  </si>
  <si>
    <t>M2536</t>
  </si>
  <si>
    <t>M2537</t>
  </si>
  <si>
    <t>M2538</t>
  </si>
  <si>
    <t>M2539</t>
  </si>
  <si>
    <t>M2540</t>
  </si>
  <si>
    <t>M2541</t>
  </si>
  <si>
    <t>M2542</t>
  </si>
  <si>
    <t>M2543</t>
  </si>
  <si>
    <t>M2544</t>
  </si>
  <si>
    <t>M2545</t>
  </si>
  <si>
    <t>M2546</t>
  </si>
  <si>
    <t>M2547</t>
  </si>
  <si>
    <t>M2548</t>
  </si>
  <si>
    <t>M2549</t>
  </si>
  <si>
    <t>M2550</t>
  </si>
  <si>
    <t>M2551</t>
  </si>
  <si>
    <t>M2552</t>
  </si>
  <si>
    <t>M2553</t>
  </si>
  <si>
    <t>M2554</t>
  </si>
  <si>
    <t>M2555</t>
  </si>
  <si>
    <t>M2556</t>
  </si>
  <si>
    <t>M2557</t>
  </si>
  <si>
    <t>M2558</t>
  </si>
  <si>
    <t>M2559</t>
  </si>
  <si>
    <t>M2560</t>
  </si>
  <si>
    <t>M2561</t>
  </si>
  <si>
    <t>M2562</t>
  </si>
  <si>
    <t>M2563</t>
  </si>
  <si>
    <t>M2564</t>
  </si>
  <si>
    <t>M2565</t>
  </si>
  <si>
    <t>M2566</t>
  </si>
  <si>
    <t>M2567</t>
  </si>
  <si>
    <t>M2568</t>
  </si>
  <si>
    <t>M2569</t>
  </si>
  <si>
    <t>M2570</t>
  </si>
  <si>
    <t>M2571</t>
  </si>
  <si>
    <t>M2572</t>
  </si>
  <si>
    <t>M2573</t>
  </si>
  <si>
    <t>M2574</t>
  </si>
  <si>
    <t>M2580</t>
  </si>
  <si>
    <t>M2597</t>
  </si>
  <si>
    <t>M2598</t>
  </si>
  <si>
    <t>M2599</t>
  </si>
  <si>
    <t>M2601</t>
  </si>
  <si>
    <t>M2602</t>
  </si>
  <si>
    <t>M2603</t>
  </si>
  <si>
    <t>M2604</t>
  </si>
  <si>
    <t>M2605</t>
  </si>
  <si>
    <t>M2606</t>
  </si>
  <si>
    <t>M2607</t>
  </si>
  <si>
    <t>M2608</t>
  </si>
  <si>
    <t>M2609</t>
  </si>
  <si>
    <t>M2610</t>
  </si>
  <si>
    <t>M2611</t>
  </si>
  <si>
    <t>M2612</t>
  </si>
  <si>
    <t>M2613</t>
  </si>
  <si>
    <t>M2614</t>
  </si>
  <si>
    <t>M2615</t>
  </si>
  <si>
    <t>M2616</t>
  </si>
  <si>
    <t>M2617</t>
  </si>
  <si>
    <t>M2618</t>
  </si>
  <si>
    <t>M2619</t>
  </si>
  <si>
    <t>M2620</t>
  </si>
  <si>
    <t>M2621</t>
  </si>
  <si>
    <t>M2622</t>
  </si>
  <si>
    <t>M2623</t>
  </si>
  <si>
    <t>M2624</t>
  </si>
  <si>
    <t>M2625</t>
  </si>
  <si>
    <t>M2626</t>
  </si>
  <si>
    <t>M2627</t>
  </si>
  <si>
    <t>M2628</t>
  </si>
  <si>
    <t>M2629</t>
  </si>
  <si>
    <t>M2631</t>
  </si>
  <si>
    <t>M2632</t>
  </si>
  <si>
    <t>M2633</t>
  </si>
  <si>
    <t>M2634</t>
  </si>
  <si>
    <t>M2635</t>
  </si>
  <si>
    <t>M2636</t>
  </si>
  <si>
    <t>M2637</t>
  </si>
  <si>
    <t>M2638</t>
  </si>
  <si>
    <t>M2639</t>
  </si>
  <si>
    <t>M2640</t>
  </si>
  <si>
    <t>M2641</t>
  </si>
  <si>
    <t>M2642</t>
  </si>
  <si>
    <t>M2643</t>
  </si>
  <si>
    <t>M2644</t>
  </si>
  <si>
    <t>M2645</t>
  </si>
  <si>
    <t>M2646</t>
  </si>
  <si>
    <t>M2647</t>
  </si>
  <si>
    <t>M2648</t>
  </si>
  <si>
    <t>M2649</t>
  </si>
  <si>
    <t>M2650</t>
  </si>
  <si>
    <t>M2651</t>
  </si>
  <si>
    <t>M2652</t>
  </si>
  <si>
    <t>M2653</t>
  </si>
  <si>
    <t>M2654</t>
  </si>
  <si>
    <t>M2655</t>
  </si>
  <si>
    <t>M2656</t>
  </si>
  <si>
    <t>M2657</t>
  </si>
  <si>
    <t>M2658</t>
  </si>
  <si>
    <t>M2659</t>
  </si>
  <si>
    <t>M2660</t>
  </si>
  <si>
    <t>M2661</t>
  </si>
  <si>
    <t>M2662</t>
  </si>
  <si>
    <t>M2663</t>
  </si>
  <si>
    <t>M2664</t>
  </si>
  <si>
    <t>M2665</t>
  </si>
  <si>
    <t>M2666</t>
  </si>
  <si>
    <t>M2667</t>
  </si>
  <si>
    <t>M2668</t>
  </si>
  <si>
    <t>M2669</t>
  </si>
  <si>
    <t>M2670</t>
  </si>
  <si>
    <t>M2671</t>
  </si>
  <si>
    <t>M2672</t>
  </si>
  <si>
    <t>M2673</t>
  </si>
  <si>
    <t>M2674</t>
  </si>
  <si>
    <t>M2675</t>
  </si>
  <si>
    <t>M2676</t>
  </si>
  <si>
    <t>M2677</t>
  </si>
  <si>
    <t>M2678</t>
  </si>
  <si>
    <t>M2679</t>
  </si>
  <si>
    <t>M2680</t>
  </si>
  <si>
    <t>M2681</t>
  </si>
  <si>
    <t>M2682</t>
  </si>
  <si>
    <t>M2683</t>
  </si>
  <si>
    <t>M2684</t>
  </si>
  <si>
    <t>M2685</t>
  </si>
  <si>
    <t>M2686</t>
  </si>
  <si>
    <t>M2687</t>
  </si>
  <si>
    <t>M2688</t>
  </si>
  <si>
    <t>M2689</t>
  </si>
  <si>
    <t>M2690</t>
  </si>
  <si>
    <t>M2691</t>
  </si>
  <si>
    <t>M2692</t>
  </si>
  <si>
    <t>M2693</t>
  </si>
  <si>
    <t>M2694</t>
  </si>
  <si>
    <t>M2695</t>
  </si>
  <si>
    <t>M2696</t>
  </si>
  <si>
    <t>M2697</t>
  </si>
  <si>
    <t>M2700</t>
  </si>
  <si>
    <t>M2701</t>
  </si>
  <si>
    <t>M2702</t>
  </si>
  <si>
    <t>M2703</t>
  </si>
  <si>
    <t>M2704</t>
  </si>
  <si>
    <t>M2705</t>
  </si>
  <si>
    <t>M2706</t>
  </si>
  <si>
    <t>M2707</t>
  </si>
  <si>
    <t>M2708</t>
  </si>
  <si>
    <t>M2709</t>
  </si>
  <si>
    <t>M2710</t>
  </si>
  <si>
    <t>M2711</t>
  </si>
  <si>
    <t>M2712</t>
  </si>
  <si>
    <t>M2713</t>
  </si>
  <si>
    <t>M2714</t>
  </si>
  <si>
    <t>M2715</t>
  </si>
  <si>
    <t>M2716</t>
  </si>
  <si>
    <t>M2717</t>
  </si>
  <si>
    <t>M2718</t>
  </si>
  <si>
    <t>M2719</t>
  </si>
  <si>
    <t>M2720</t>
  </si>
  <si>
    <t>M2721</t>
  </si>
  <si>
    <t>M2722</t>
  </si>
  <si>
    <t>M2723</t>
  </si>
  <si>
    <t>M2724</t>
  </si>
  <si>
    <t>M2725</t>
  </si>
  <si>
    <t>M2726</t>
  </si>
  <si>
    <t>M2727</t>
  </si>
  <si>
    <t>M2728</t>
  </si>
  <si>
    <t>M2729</t>
  </si>
  <si>
    <t>M2730</t>
  </si>
  <si>
    <t>M2731</t>
  </si>
  <si>
    <t>M2732</t>
  </si>
  <si>
    <t>M2733</t>
  </si>
  <si>
    <t>M2734</t>
  </si>
  <si>
    <t>M2735</t>
  </si>
  <si>
    <t>M2736</t>
  </si>
  <si>
    <t>M2737</t>
  </si>
  <si>
    <t>M2738</t>
  </si>
  <si>
    <t>M2739</t>
  </si>
  <si>
    <t>M2740</t>
  </si>
  <si>
    <t>M2741</t>
  </si>
  <si>
    <t>M2742</t>
  </si>
  <si>
    <t>M2743</t>
  </si>
  <si>
    <t>M2744</t>
  </si>
  <si>
    <t>M2745</t>
  </si>
  <si>
    <t>M2746</t>
  </si>
  <si>
    <t>M2747</t>
  </si>
  <si>
    <t>M2748</t>
  </si>
  <si>
    <t>M2749</t>
  </si>
  <si>
    <t>M2750</t>
  </si>
  <si>
    <t>M2751</t>
  </si>
  <si>
    <t>M2752</t>
  </si>
  <si>
    <t>M2753</t>
  </si>
  <si>
    <t>M2754</t>
  </si>
  <si>
    <t>M2755</t>
  </si>
  <si>
    <t>M2756</t>
  </si>
  <si>
    <t>M2757</t>
  </si>
  <si>
    <t>M2758</t>
  </si>
  <si>
    <t>M2759</t>
  </si>
  <si>
    <t>M2760</t>
  </si>
  <si>
    <t>M2761</t>
  </si>
  <si>
    <t>M2762</t>
  </si>
  <si>
    <t>M2763</t>
  </si>
  <si>
    <t>M2764</t>
  </si>
  <si>
    <t>M2765</t>
  </si>
  <si>
    <t>M2766</t>
  </si>
  <si>
    <t>M2767</t>
  </si>
  <si>
    <t>M2768</t>
  </si>
  <si>
    <t>M2769</t>
  </si>
  <si>
    <t>M2770</t>
  </si>
  <si>
    <t>M2771</t>
  </si>
  <si>
    <t>M2772</t>
  </si>
  <si>
    <t>M2773</t>
  </si>
  <si>
    <t>M2774</t>
  </si>
  <si>
    <t>M2775</t>
  </si>
  <si>
    <t>M2776</t>
  </si>
  <si>
    <t>M2777</t>
  </si>
  <si>
    <t>M2780</t>
  </si>
  <si>
    <t>M2781</t>
  </si>
  <si>
    <t>M2782</t>
  </si>
  <si>
    <t>M2783</t>
  </si>
  <si>
    <t>M2784</t>
  </si>
  <si>
    <t>M2785</t>
  </si>
  <si>
    <t>M2786</t>
  </si>
  <si>
    <t>M2787</t>
  </si>
  <si>
    <t>M2788</t>
  </si>
  <si>
    <t>M2789</t>
  </si>
  <si>
    <t>M2790</t>
  </si>
  <si>
    <t>M2791</t>
  </si>
  <si>
    <t>M2792</t>
  </si>
  <si>
    <t>M2793</t>
  </si>
  <si>
    <t>M2794</t>
  </si>
  <si>
    <t>M2795</t>
  </si>
  <si>
    <t>M2796</t>
  </si>
  <si>
    <t>M2797</t>
  </si>
  <si>
    <t>M2798</t>
  </si>
  <si>
    <t>M2799</t>
  </si>
  <si>
    <t>M2800</t>
  </si>
  <si>
    <t>M2801</t>
  </si>
  <si>
    <t>M2802</t>
  </si>
  <si>
    <t>M2803</t>
  </si>
  <si>
    <t>M2804</t>
  </si>
  <si>
    <t>M2805</t>
  </si>
  <si>
    <t>M2806</t>
  </si>
  <si>
    <t>M2807</t>
  </si>
  <si>
    <t>M2808</t>
  </si>
  <si>
    <t>M2809</t>
  </si>
  <si>
    <t>M2810</t>
  </si>
  <si>
    <t>M2811</t>
  </si>
  <si>
    <t>M2812</t>
  </si>
  <si>
    <t>M2813</t>
  </si>
  <si>
    <t>M2814</t>
  </si>
  <si>
    <t>M2815</t>
  </si>
  <si>
    <t>M2816</t>
  </si>
  <si>
    <t>M2817</t>
  </si>
  <si>
    <t>M2818</t>
  </si>
  <si>
    <t>M2819</t>
  </si>
  <si>
    <t>M2820</t>
  </si>
  <si>
    <t>M2821</t>
  </si>
  <si>
    <t>M2822</t>
  </si>
  <si>
    <t>M2823</t>
  </si>
  <si>
    <t>M2824</t>
  </si>
  <si>
    <t>M2825</t>
  </si>
  <si>
    <t>M2826</t>
  </si>
  <si>
    <t>M2827</t>
  </si>
  <si>
    <t>M2828</t>
  </si>
  <si>
    <t>M2829</t>
  </si>
  <si>
    <t>M2830</t>
  </si>
  <si>
    <t>M2831</t>
  </si>
  <si>
    <t>M2832</t>
  </si>
  <si>
    <t>M2833</t>
  </si>
  <si>
    <t>M2834</t>
  </si>
  <si>
    <t>M2835</t>
  </si>
  <si>
    <t>M2836</t>
  </si>
  <si>
    <t>M2837</t>
  </si>
  <si>
    <t>M2838</t>
  </si>
  <si>
    <t>M2839</t>
  </si>
  <si>
    <t>M2840</t>
  </si>
  <si>
    <t>M2841</t>
  </si>
  <si>
    <t>M2842</t>
  </si>
  <si>
    <t>M2843</t>
  </si>
  <si>
    <t>M2844</t>
  </si>
  <si>
    <t>M2845</t>
  </si>
  <si>
    <t>M2846</t>
  </si>
  <si>
    <t>M2847</t>
  </si>
  <si>
    <t>M2848</t>
  </si>
  <si>
    <t>M2849</t>
  </si>
  <si>
    <t>M2850</t>
  </si>
  <si>
    <t>M2851</t>
  </si>
  <si>
    <t>M2852</t>
  </si>
  <si>
    <t>M2853</t>
  </si>
  <si>
    <t>M2854</t>
  </si>
  <si>
    <t>M2855</t>
  </si>
  <si>
    <t>M2856</t>
  </si>
  <si>
    <t>M2857</t>
  </si>
  <si>
    <t>M2858</t>
  </si>
  <si>
    <t>M2859</t>
  </si>
  <si>
    <t>M2860</t>
  </si>
  <si>
    <t>M2861</t>
  </si>
  <si>
    <t>M2862</t>
  </si>
  <si>
    <t>M2863</t>
  </si>
  <si>
    <t>M2864</t>
  </si>
  <si>
    <t>M2865</t>
  </si>
  <si>
    <t>M2866</t>
  </si>
  <si>
    <t>M2867</t>
  </si>
  <si>
    <t>M2868</t>
  </si>
  <si>
    <t>M2869</t>
  </si>
  <si>
    <t>M2870</t>
  </si>
  <si>
    <t>M2871</t>
  </si>
  <si>
    <t>M2872</t>
  </si>
  <si>
    <t>M2873</t>
  </si>
  <si>
    <t>M2874</t>
  </si>
  <si>
    <t>M2875</t>
  </si>
  <si>
    <t>M2876</t>
  </si>
  <si>
    <t>M2877</t>
  </si>
  <si>
    <t>M2878</t>
  </si>
  <si>
    <t>M2879</t>
  </si>
  <si>
    <t>M2880</t>
  </si>
  <si>
    <t>M2881</t>
  </si>
  <si>
    <t>M2882</t>
  </si>
  <si>
    <t>M2883</t>
  </si>
  <si>
    <t>M2884</t>
  </si>
  <si>
    <t>M2885</t>
  </si>
  <si>
    <t>M2886</t>
  </si>
  <si>
    <t>M2887</t>
  </si>
  <si>
    <t>M2888</t>
  </si>
  <si>
    <t>M2889</t>
  </si>
  <si>
    <t>M2890</t>
  </si>
  <si>
    <t>M2891</t>
  </si>
  <si>
    <t>M2892</t>
  </si>
  <si>
    <t>M2893</t>
  </si>
  <si>
    <t>M2894</t>
  </si>
  <si>
    <t>M2895</t>
  </si>
  <si>
    <t>M2896</t>
  </si>
  <si>
    <t>M2897</t>
  </si>
  <si>
    <t>M2898</t>
  </si>
  <si>
    <t>M2899</t>
  </si>
  <si>
    <t>M2900</t>
  </si>
  <si>
    <t>M2901</t>
  </si>
  <si>
    <t>M2902</t>
  </si>
  <si>
    <t>M2979</t>
  </si>
  <si>
    <t>M3089</t>
  </si>
  <si>
    <t>M3091</t>
  </si>
  <si>
    <t>M3093</t>
  </si>
  <si>
    <t>M3094</t>
  </si>
  <si>
    <t>M3095</t>
  </si>
  <si>
    <t>M3126</t>
  </si>
  <si>
    <t>M3137</t>
  </si>
  <si>
    <t>M3170</t>
  </si>
  <si>
    <t>M3171</t>
  </si>
  <si>
    <t>M3172</t>
  </si>
  <si>
    <t>M3173</t>
  </si>
  <si>
    <t>M3174</t>
  </si>
  <si>
    <t>M3177</t>
  </si>
  <si>
    <t>M3178</t>
  </si>
  <si>
    <t>M3179</t>
  </si>
  <si>
    <t>M3180</t>
  </si>
  <si>
    <t>M3181</t>
  </si>
  <si>
    <t>M3182</t>
  </si>
  <si>
    <t>M3183</t>
  </si>
  <si>
    <t>M3184</t>
  </si>
  <si>
    <t>M3185</t>
  </si>
  <si>
    <t>M3186</t>
  </si>
  <si>
    <t>M3187</t>
  </si>
  <si>
    <t>M3188</t>
  </si>
  <si>
    <t>M3189</t>
  </si>
  <si>
    <t>M3190</t>
  </si>
  <si>
    <t>M3191</t>
  </si>
  <si>
    <t>M3192</t>
  </si>
  <si>
    <t>M3193</t>
  </si>
  <si>
    <t>M3194</t>
  </si>
  <si>
    <t>M3195</t>
  </si>
  <si>
    <t>M3196</t>
  </si>
  <si>
    <t>M3197</t>
  </si>
  <si>
    <t>M3198</t>
  </si>
  <si>
    <t>M3199</t>
  </si>
  <si>
    <t>M3200</t>
  </si>
  <si>
    <t>M3201</t>
  </si>
  <si>
    <t>M3202</t>
  </si>
  <si>
    <t>M3203</t>
  </si>
  <si>
    <t>M3204</t>
  </si>
  <si>
    <t>M3205</t>
  </si>
  <si>
    <t>M3206</t>
  </si>
  <si>
    <t>M3207</t>
  </si>
  <si>
    <t>M3208</t>
  </si>
  <si>
    <t>M3209</t>
  </si>
  <si>
    <t>M3210</t>
  </si>
  <si>
    <t>M3211</t>
  </si>
  <si>
    <t>M3212</t>
  </si>
  <si>
    <t>M3213</t>
  </si>
  <si>
    <t>M3214</t>
  </si>
  <si>
    <t>M3215</t>
  </si>
  <si>
    <t>M3216</t>
  </si>
  <si>
    <t>M3217</t>
  </si>
  <si>
    <t>M3218</t>
  </si>
  <si>
    <t>M3219</t>
  </si>
  <si>
    <t>M3220</t>
  </si>
  <si>
    <t>M3227</t>
  </si>
  <si>
    <t>M3228</t>
  </si>
  <si>
    <t>M3229</t>
  </si>
  <si>
    <t>M3230</t>
  </si>
  <si>
    <t>M3231</t>
  </si>
  <si>
    <t>M3233</t>
  </si>
  <si>
    <t>M3236</t>
  </si>
  <si>
    <t>M3238</t>
  </si>
  <si>
    <t>M3239</t>
  </si>
  <si>
    <t>M3240</t>
  </si>
  <si>
    <t>M3241</t>
  </si>
  <si>
    <t>M3242</t>
  </si>
  <si>
    <t>M3245</t>
  </si>
  <si>
    <t>M3270</t>
  </si>
  <si>
    <t>M3271</t>
  </si>
  <si>
    <t>M3272</t>
  </si>
  <si>
    <t>M3273</t>
  </si>
  <si>
    <t>M3274</t>
  </si>
  <si>
    <t>M3275</t>
  </si>
  <si>
    <t>M3276</t>
  </si>
  <si>
    <t>M3277</t>
  </si>
  <si>
    <t>M3278</t>
  </si>
  <si>
    <t>M3279</t>
  </si>
  <si>
    <t>M3280</t>
  </si>
  <si>
    <t>M3353</t>
  </si>
  <si>
    <t>M3360</t>
  </si>
  <si>
    <t>M3361</t>
  </si>
  <si>
    <t>M3362</t>
  </si>
  <si>
    <t>M3363</t>
  </si>
  <si>
    <t>M3364</t>
  </si>
  <si>
    <t>M3365</t>
  </si>
  <si>
    <t>M3366</t>
  </si>
  <si>
    <t>M3367</t>
  </si>
  <si>
    <t>M3368</t>
  </si>
  <si>
    <t>M3369</t>
  </si>
  <si>
    <t>M3370</t>
  </si>
  <si>
    <t>M3371</t>
  </si>
  <si>
    <t>M3372</t>
  </si>
  <si>
    <t>M3501</t>
  </si>
  <si>
    <t>M3502</t>
  </si>
  <si>
    <t>M3503</t>
  </si>
  <si>
    <t>M3504</t>
  </si>
  <si>
    <t>M3505</t>
  </si>
  <si>
    <t>M3506</t>
  </si>
  <si>
    <t>M3507</t>
  </si>
  <si>
    <t>M3508</t>
  </si>
  <si>
    <t>M3509</t>
  </si>
  <si>
    <t>M3510</t>
  </si>
  <si>
    <t>M3511</t>
  </si>
  <si>
    <t>M3512</t>
  </si>
  <si>
    <t>M3513</t>
  </si>
  <si>
    <t>M3514</t>
  </si>
  <si>
    <t>M3515</t>
  </si>
  <si>
    <t>M3516</t>
  </si>
  <si>
    <t>M3795</t>
  </si>
  <si>
    <t>M3801</t>
  </si>
  <si>
    <t>M3802</t>
  </si>
  <si>
    <t>M3803</t>
  </si>
  <si>
    <t>M3804</t>
  </si>
  <si>
    <t>M3805</t>
  </si>
  <si>
    <t>M3806</t>
  </si>
  <si>
    <t>M3807</t>
  </si>
  <si>
    <t>M3808</t>
  </si>
  <si>
    <t>M3809</t>
  </si>
  <si>
    <t>M3810</t>
  </si>
  <si>
    <t>M3811</t>
  </si>
  <si>
    <t>M3813</t>
  </si>
  <si>
    <t>M3900</t>
  </si>
  <si>
    <t>M3901</t>
  </si>
  <si>
    <t>M3902</t>
  </si>
  <si>
    <t>M3903</t>
  </si>
  <si>
    <t>M3904</t>
  </si>
  <si>
    <t>M3905</t>
  </si>
  <si>
    <t>M3906</t>
  </si>
  <si>
    <t>M3907</t>
  </si>
  <si>
    <t>M3908</t>
  </si>
  <si>
    <t>M3909</t>
  </si>
  <si>
    <t>M3910</t>
  </si>
  <si>
    <t>M3911</t>
  </si>
  <si>
    <t>M3912</t>
  </si>
  <si>
    <t>M3913</t>
  </si>
  <si>
    <t>M3914</t>
  </si>
  <si>
    <t>M3915</t>
  </si>
  <si>
    <t>M3916</t>
  </si>
  <si>
    <t>M3917</t>
  </si>
  <si>
    <t>M3918</t>
  </si>
  <si>
    <t>M3919</t>
  </si>
  <si>
    <t>M3920</t>
  </si>
  <si>
    <t>M3921</t>
  </si>
  <si>
    <t>M3922</t>
  </si>
  <si>
    <t>M3923</t>
  </si>
  <si>
    <t>M3924</t>
  </si>
  <si>
    <t>M3925</t>
  </si>
  <si>
    <t>M3926</t>
  </si>
  <si>
    <t>M3927</t>
  </si>
  <si>
    <t>M3928</t>
  </si>
  <si>
    <t>M3929</t>
  </si>
  <si>
    <t>M3931</t>
  </si>
  <si>
    <t>M3932</t>
  </si>
  <si>
    <t>M3933</t>
  </si>
  <si>
    <t>M3934</t>
  </si>
  <si>
    <t>M3935</t>
  </si>
  <si>
    <t>M3936</t>
  </si>
  <si>
    <t>M3939</t>
  </si>
  <si>
    <t>M3947</t>
  </si>
  <si>
    <t>M3949</t>
  </si>
  <si>
    <t>M4413</t>
  </si>
  <si>
    <t>MVT2920</t>
  </si>
  <si>
    <t>Viga Pré-Moldada (Pré-tendida) 29,20/45 - Mesa: 1,00 m</t>
  </si>
  <si>
    <t>MVT1920X</t>
  </si>
  <si>
    <t>Viga pré-moldada tipo T/45 com 19,20 m - H = 107 cm</t>
  </si>
  <si>
    <t>IMT0000152</t>
  </si>
  <si>
    <t>Placa de obra em chapa de aço galvanizado (4813 - insumo - SINAPI)</t>
  </si>
  <si>
    <t>SIN7340</t>
  </si>
  <si>
    <t>Imunizante para madeira, incolor</t>
  </si>
  <si>
    <t>Salário (R$)</t>
  </si>
  <si>
    <t>Encargos Total</t>
  </si>
  <si>
    <t>Custo (R$)</t>
  </si>
  <si>
    <t>Periculosidade / Insalubridade (%)</t>
  </si>
  <si>
    <t>Custo mensal (R$)</t>
  </si>
  <si>
    <t>Custo horário (R$)</t>
  </si>
  <si>
    <t>Verificador</t>
  </si>
  <si>
    <t>P9802</t>
  </si>
  <si>
    <t>P9803</t>
  </si>
  <si>
    <t>P9804</t>
  </si>
  <si>
    <t>P9809</t>
  </si>
  <si>
    <t>P9811</t>
  </si>
  <si>
    <t>P9814</t>
  </si>
  <si>
    <t>P9815</t>
  </si>
  <si>
    <t>P9819</t>
  </si>
  <si>
    <t>P9825</t>
  </si>
  <si>
    <t>P9837</t>
  </si>
  <si>
    <t>P9840</t>
  </si>
  <si>
    <t>P9842</t>
  </si>
  <si>
    <t>P9843</t>
  </si>
  <si>
    <t>P9845</t>
  </si>
  <si>
    <t>P9846</t>
  </si>
  <si>
    <t>P9847</t>
  </si>
  <si>
    <t>P9848</t>
  </si>
  <si>
    <t>P9849</t>
  </si>
  <si>
    <t>P9851</t>
  </si>
  <si>
    <t>P9852</t>
  </si>
  <si>
    <t>P9855</t>
  </si>
  <si>
    <t>P9856</t>
  </si>
  <si>
    <t>P9857</t>
  </si>
  <si>
    <t>P9859</t>
  </si>
  <si>
    <t>P9861</t>
  </si>
  <si>
    <t>P9864</t>
  </si>
  <si>
    <t>P9866</t>
  </si>
  <si>
    <t>P9867</t>
  </si>
  <si>
    <t>P9869</t>
  </si>
  <si>
    <t>P9870</t>
  </si>
  <si>
    <t>P9871</t>
  </si>
  <si>
    <t>P9875</t>
  </si>
  <si>
    <t>P9880</t>
  </si>
  <si>
    <t>P9882</t>
  </si>
  <si>
    <t>P9883</t>
  </si>
  <si>
    <t>P9884</t>
  </si>
  <si>
    <t>P9885</t>
  </si>
  <si>
    <t>P9889</t>
  </si>
  <si>
    <t>P9892</t>
  </si>
  <si>
    <t>P9893</t>
  </si>
  <si>
    <t>P9896</t>
  </si>
  <si>
    <t>P9897</t>
  </si>
  <si>
    <t>P9901</t>
  </si>
  <si>
    <t>P9903</t>
  </si>
  <si>
    <t>P9907</t>
  </si>
  <si>
    <t>P9908</t>
  </si>
  <si>
    <t>P9909</t>
  </si>
  <si>
    <t>P9910</t>
  </si>
  <si>
    <t>P9913</t>
  </si>
  <si>
    <t>P9916</t>
  </si>
  <si>
    <t>P9920</t>
  </si>
  <si>
    <t>P9927</t>
  </si>
  <si>
    <t>P9930</t>
  </si>
  <si>
    <t>P9932</t>
  </si>
  <si>
    <t>P9934</t>
  </si>
  <si>
    <t>P9938</t>
  </si>
  <si>
    <t>P9939</t>
  </si>
  <si>
    <t>P9942</t>
  </si>
  <si>
    <t>P9944</t>
  </si>
  <si>
    <t>P9946</t>
  </si>
  <si>
    <t>P9947</t>
  </si>
  <si>
    <t>P9948</t>
  </si>
  <si>
    <t>P9951</t>
  </si>
  <si>
    <t>P9955</t>
  </si>
  <si>
    <t>P9956</t>
  </si>
  <si>
    <t>P9972</t>
  </si>
  <si>
    <t>SIN_MO_88310</t>
  </si>
  <si>
    <t>Pintor com encargos complementares</t>
  </si>
  <si>
    <t>Valor da Aquisição (R$)</t>
  </si>
  <si>
    <t>Depreciação (R$/h)</t>
  </si>
  <si>
    <t>Oportunidade de Capital (R$/h)</t>
  </si>
  <si>
    <t>Seguros e Impostos (R$/h)</t>
  </si>
  <si>
    <t>Manutenção (R$/h)</t>
  </si>
  <si>
    <t>Operação (R$/h)</t>
  </si>
  <si>
    <t>Mão de obra de Operação (R$/h)</t>
  </si>
  <si>
    <t>Custo Produtivo (R$/h)</t>
  </si>
  <si>
    <t>Custo Improdutivo (R$/h)</t>
  </si>
  <si>
    <t>E9001</t>
  </si>
  <si>
    <t>E9002</t>
  </si>
  <si>
    <t>E9003</t>
  </si>
  <si>
    <t>E9004</t>
  </si>
  <si>
    <t>E9005</t>
  </si>
  <si>
    <t>E9006</t>
  </si>
  <si>
    <t>E9007</t>
  </si>
  <si>
    <t>E9008</t>
  </si>
  <si>
    <t>E9009</t>
  </si>
  <si>
    <t>E9011</t>
  </si>
  <si>
    <t>E9013</t>
  </si>
  <si>
    <t>E9014</t>
  </si>
  <si>
    <t>E9015</t>
  </si>
  <si>
    <t>E9016</t>
  </si>
  <si>
    <t>E9017</t>
  </si>
  <si>
    <t>E9018</t>
  </si>
  <si>
    <t>E9020</t>
  </si>
  <si>
    <t>E9021</t>
  </si>
  <si>
    <t>E9022</t>
  </si>
  <si>
    <t>E9023</t>
  </si>
  <si>
    <t>E9024</t>
  </si>
  <si>
    <t>E9025</t>
  </si>
  <si>
    <t>E9026</t>
  </si>
  <si>
    <t>E9027</t>
  </si>
  <si>
    <t>E9028</t>
  </si>
  <si>
    <t>E9029</t>
  </si>
  <si>
    <t>E9030</t>
  </si>
  <si>
    <t>E9031</t>
  </si>
  <si>
    <t>E9032</t>
  </si>
  <si>
    <t>E9033</t>
  </si>
  <si>
    <t>E9034</t>
  </si>
  <si>
    <t>E9035</t>
  </si>
  <si>
    <t>E9036</t>
  </si>
  <si>
    <t>E9037</t>
  </si>
  <si>
    <t>E9038</t>
  </si>
  <si>
    <t>E9039</t>
  </si>
  <si>
    <t>E9040</t>
  </si>
  <si>
    <t>E9042</t>
  </si>
  <si>
    <t>E9043</t>
  </si>
  <si>
    <t>E9044</t>
  </si>
  <si>
    <t>E9045</t>
  </si>
  <si>
    <t>E9046</t>
  </si>
  <si>
    <t>E9047</t>
  </si>
  <si>
    <t>E9048</t>
  </si>
  <si>
    <t>E9049</t>
  </si>
  <si>
    <t>E9050</t>
  </si>
  <si>
    <t>E9051</t>
  </si>
  <si>
    <t>E9052</t>
  </si>
  <si>
    <t>E9053</t>
  </si>
  <si>
    <t>E9054</t>
  </si>
  <si>
    <t>E9055</t>
  </si>
  <si>
    <t>E9056</t>
  </si>
  <si>
    <t>E9057</t>
  </si>
  <si>
    <t>E9058</t>
  </si>
  <si>
    <t>E9059</t>
  </si>
  <si>
    <t>E9060</t>
  </si>
  <si>
    <t>E9061</t>
  </si>
  <si>
    <t>E9062</t>
  </si>
  <si>
    <t>E9063</t>
  </si>
  <si>
    <t>E9065</t>
  </si>
  <si>
    <t>E9067</t>
  </si>
  <si>
    <t>E9068</t>
  </si>
  <si>
    <t>E9070</t>
  </si>
  <si>
    <t>E9072</t>
  </si>
  <si>
    <t>E9073</t>
  </si>
  <si>
    <t>E9074</t>
  </si>
  <si>
    <t>E9075</t>
  </si>
  <si>
    <t>E9077</t>
  </si>
  <si>
    <t>E9078</t>
  </si>
  <si>
    <t>E9079</t>
  </si>
  <si>
    <t>E9080</t>
  </si>
  <si>
    <t>E9081</t>
  </si>
  <si>
    <t>E9082</t>
  </si>
  <si>
    <t>E9083</t>
  </si>
  <si>
    <t>E9084</t>
  </si>
  <si>
    <t>E9085</t>
  </si>
  <si>
    <t>E9086</t>
  </si>
  <si>
    <t>E9089</t>
  </si>
  <si>
    <t>E9095</t>
  </si>
  <si>
    <t>E9096</t>
  </si>
  <si>
    <t>E9097</t>
  </si>
  <si>
    <t>E9098</t>
  </si>
  <si>
    <t>E9099</t>
  </si>
  <si>
    <t>E9100</t>
  </si>
  <si>
    <t>E9101</t>
  </si>
  <si>
    <t>E9102</t>
  </si>
  <si>
    <t>E9103</t>
  </si>
  <si>
    <t>E9105</t>
  </si>
  <si>
    <t>E9106</t>
  </si>
  <si>
    <t>E9107</t>
  </si>
  <si>
    <t>E9108</t>
  </si>
  <si>
    <t>E9110</t>
  </si>
  <si>
    <t>E9111</t>
  </si>
  <si>
    <t>E9112</t>
  </si>
  <si>
    <t>E9113</t>
  </si>
  <si>
    <t>E9114</t>
  </si>
  <si>
    <t>E9115</t>
  </si>
  <si>
    <t>E9116</t>
  </si>
  <si>
    <t>E9117</t>
  </si>
  <si>
    <t>E9118</t>
  </si>
  <si>
    <t>E9119</t>
  </si>
  <si>
    <t>E9120</t>
  </si>
  <si>
    <t>E9122</t>
  </si>
  <si>
    <t>E9126</t>
  </si>
  <si>
    <t>E9127</t>
  </si>
  <si>
    <t>E9134</t>
  </si>
  <si>
    <t>E9141</t>
  </si>
  <si>
    <t>E9144</t>
  </si>
  <si>
    <t>E9145</t>
  </si>
  <si>
    <t>E9146</t>
  </si>
  <si>
    <t>E9148</t>
  </si>
  <si>
    <t>E9169</t>
  </si>
  <si>
    <t>E9200</t>
  </si>
  <si>
    <t>E9201</t>
  </si>
  <si>
    <t>E9202</t>
  </si>
  <si>
    <t>E9203</t>
  </si>
  <si>
    <t>E9204</t>
  </si>
  <si>
    <t>E9205</t>
  </si>
  <si>
    <t>E9206</t>
  </si>
  <si>
    <t>E9207</t>
  </si>
  <si>
    <t>E9209</t>
  </si>
  <si>
    <t>E9213</t>
  </si>
  <si>
    <t>E9251</t>
  </si>
  <si>
    <t>E9252</t>
  </si>
  <si>
    <t>E9253</t>
  </si>
  <si>
    <t>E9254</t>
  </si>
  <si>
    <t>E9255</t>
  </si>
  <si>
    <t>E9501</t>
  </si>
  <si>
    <t>E9503</t>
  </si>
  <si>
    <t>E9505</t>
  </si>
  <si>
    <t>E9506</t>
  </si>
  <si>
    <t>E9508</t>
  </si>
  <si>
    <t>E9509</t>
  </si>
  <si>
    <t>E9510</t>
  </si>
  <si>
    <t>E9511</t>
  </si>
  <si>
    <t>E9513</t>
  </si>
  <si>
    <t>E9514</t>
  </si>
  <si>
    <t>E9516</t>
  </si>
  <si>
    <t>E9518</t>
  </si>
  <si>
    <t>E9520</t>
  </si>
  <si>
    <t>E9521</t>
  </si>
  <si>
    <t>E9522</t>
  </si>
  <si>
    <t>E9523</t>
  </si>
  <si>
    <t>E9524</t>
  </si>
  <si>
    <t>E9525</t>
  </si>
  <si>
    <t>E9526</t>
  </si>
  <si>
    <t>E9527</t>
  </si>
  <si>
    <t>E9528</t>
  </si>
  <si>
    <t>E9529</t>
  </si>
  <si>
    <t>E9530</t>
  </si>
  <si>
    <t>E9532</t>
  </si>
  <si>
    <t>E9536</t>
  </si>
  <si>
    <t>E9538</t>
  </si>
  <si>
    <t>E9539</t>
  </si>
  <si>
    <t>E9540</t>
  </si>
  <si>
    <t>E9541</t>
  </si>
  <si>
    <t>E9544</t>
  </si>
  <si>
    <t>E9545</t>
  </si>
  <si>
    <t>E9547</t>
  </si>
  <si>
    <t>E9548</t>
  </si>
  <si>
    <t>E9552</t>
  </si>
  <si>
    <t>E9553</t>
  </si>
  <si>
    <t>E9556</t>
  </si>
  <si>
    <t>E9558</t>
  </si>
  <si>
    <t>E9559</t>
  </si>
  <si>
    <t>E9560</t>
  </si>
  <si>
    <t>E9561</t>
  </si>
  <si>
    <t>E9562</t>
  </si>
  <si>
    <t>E9563</t>
  </si>
  <si>
    <t>E9565</t>
  </si>
  <si>
    <t>E9566</t>
  </si>
  <si>
    <t>E9567</t>
  </si>
  <si>
    <t>E9569</t>
  </si>
  <si>
    <t>E9571</t>
  </si>
  <si>
    <t>E9574</t>
  </si>
  <si>
    <t>E9575</t>
  </si>
  <si>
    <t>E9576</t>
  </si>
  <si>
    <t>E9577</t>
  </si>
  <si>
    <t>E9578</t>
  </si>
  <si>
    <t>E9580</t>
  </si>
  <si>
    <t>E9583</t>
  </si>
  <si>
    <t>E9584</t>
  </si>
  <si>
    <t>E9585</t>
  </si>
  <si>
    <t>E9586</t>
  </si>
  <si>
    <t>E9588</t>
  </si>
  <si>
    <t>E9589</t>
  </si>
  <si>
    <t>E9590</t>
  </si>
  <si>
    <t>E9591</t>
  </si>
  <si>
    <t>E9593</t>
  </si>
  <si>
    <t>E9594</t>
  </si>
  <si>
    <t>E9595</t>
  </si>
  <si>
    <t>E9596</t>
  </si>
  <si>
    <t>E9597</t>
  </si>
  <si>
    <t>E9598</t>
  </si>
  <si>
    <t>E9599</t>
  </si>
  <si>
    <t>E9600</t>
  </si>
  <si>
    <t>E9601</t>
  </si>
  <si>
    <t>E9603</t>
  </si>
  <si>
    <t>E9604</t>
  </si>
  <si>
    <t>E9605</t>
  </si>
  <si>
    <t>E9606</t>
  </si>
  <si>
    <t>E9607</t>
  </si>
  <si>
    <t>E9609</t>
  </si>
  <si>
    <t>E9611</t>
  </si>
  <si>
    <t>E9612</t>
  </si>
  <si>
    <t>E9613</t>
  </si>
  <si>
    <t>E9614</t>
  </si>
  <si>
    <t>E9615</t>
  </si>
  <si>
    <t>E9617</t>
  </si>
  <si>
    <t>E9618</t>
  </si>
  <si>
    <t>E9619</t>
  </si>
  <si>
    <t>E9620</t>
  </si>
  <si>
    <t>E9621</t>
  </si>
  <si>
    <t>E9624</t>
  </si>
  <si>
    <t>E9625</t>
  </si>
  <si>
    <t>E9626</t>
  </si>
  <si>
    <t>E9628</t>
  </si>
  <si>
    <t>E9631</t>
  </si>
  <si>
    <t>E9632</t>
  </si>
  <si>
    <t>E9633</t>
  </si>
  <si>
    <t>E9634</t>
  </si>
  <si>
    <t>E9635</t>
  </si>
  <si>
    <t>E9636</t>
  </si>
  <si>
    <t>E9637</t>
  </si>
  <si>
    <t>E9638</t>
  </si>
  <si>
    <t>E9639</t>
  </si>
  <si>
    <t>E9640</t>
  </si>
  <si>
    <t>E9641</t>
  </si>
  <si>
    <t>E9642</t>
  </si>
  <si>
    <t>E9643</t>
  </si>
  <si>
    <t>E9645</t>
  </si>
  <si>
    <t>E9646</t>
  </si>
  <si>
    <t>E9648</t>
  </si>
  <si>
    <t>E9649</t>
  </si>
  <si>
    <t>E9651</t>
  </si>
  <si>
    <t>E9652</t>
  </si>
  <si>
    <t>E9653</t>
  </si>
  <si>
    <t>E9654</t>
  </si>
  <si>
    <t>E9656</t>
  </si>
  <si>
    <t>E9657</t>
  </si>
  <si>
    <t>E9660</t>
  </si>
  <si>
    <t>E9661</t>
  </si>
  <si>
    <t>E9662</t>
  </si>
  <si>
    <t>E9663</t>
  </si>
  <si>
    <t>E9664</t>
  </si>
  <si>
    <t>E9668</t>
  </si>
  <si>
    <t>E9669</t>
  </si>
  <si>
    <t>E9670</t>
  </si>
  <si>
    <t>E9671</t>
  </si>
  <si>
    <t>E9672</t>
  </si>
  <si>
    <t>E9677</t>
  </si>
  <si>
    <t>E9678</t>
  </si>
  <si>
    <t>E9679</t>
  </si>
  <si>
    <t>E9680</t>
  </si>
  <si>
    <t>E9681</t>
  </si>
  <si>
    <t>E9682</t>
  </si>
  <si>
    <t>E9684</t>
  </si>
  <si>
    <t>E9685</t>
  </si>
  <si>
    <t>E9689</t>
  </si>
  <si>
    <t>E9690</t>
  </si>
  <si>
    <t>E9691</t>
  </si>
  <si>
    <t>E9692</t>
  </si>
  <si>
    <t>E9693</t>
  </si>
  <si>
    <t>E9694</t>
  </si>
  <si>
    <t>E9697</t>
  </si>
  <si>
    <t>E9700</t>
  </si>
  <si>
    <t>E9701</t>
  </si>
  <si>
    <t>E9703</t>
  </si>
  <si>
    <t>E9704</t>
  </si>
  <si>
    <t>E9705</t>
  </si>
  <si>
    <t>E9706</t>
  </si>
  <si>
    <t>E9707</t>
  </si>
  <si>
    <t>E9708</t>
  </si>
  <si>
    <t>E9710</t>
  </si>
  <si>
    <t>E9712</t>
  </si>
  <si>
    <t>E9714</t>
  </si>
  <si>
    <t>E9716</t>
  </si>
  <si>
    <t>E9718</t>
  </si>
  <si>
    <t>E9719</t>
  </si>
  <si>
    <t>E9720</t>
  </si>
  <si>
    <t>E9721</t>
  </si>
  <si>
    <t>E9722</t>
  </si>
  <si>
    <t>E9723</t>
  </si>
  <si>
    <t>E9724</t>
  </si>
  <si>
    <t>E9725</t>
  </si>
  <si>
    <t>E9726</t>
  </si>
  <si>
    <t>E9727</t>
  </si>
  <si>
    <t>E9729</t>
  </si>
  <si>
    <t>E9730</t>
  </si>
  <si>
    <t>E9732</t>
  </si>
  <si>
    <t>E9733</t>
  </si>
  <si>
    <t>E9734</t>
  </si>
  <si>
    <t>E9735</t>
  </si>
  <si>
    <t>E9736</t>
  </si>
  <si>
    <t>E9738</t>
  </si>
  <si>
    <t>E9745</t>
  </si>
  <si>
    <t>E9746</t>
  </si>
  <si>
    <t>E9747</t>
  </si>
  <si>
    <t>E9748</t>
  </si>
  <si>
    <t>E9749</t>
  </si>
  <si>
    <t>E9755</t>
  </si>
  <si>
    <t>E9756</t>
  </si>
  <si>
    <t>E9758</t>
  </si>
  <si>
    <t>E9760</t>
  </si>
  <si>
    <t>E9761</t>
  </si>
  <si>
    <t>E9762</t>
  </si>
  <si>
    <t>E9763</t>
  </si>
  <si>
    <t>E9766</t>
  </si>
  <si>
    <t>E9768</t>
  </si>
  <si>
    <t>E9769</t>
  </si>
  <si>
    <t>E9775</t>
  </si>
  <si>
    <t>E9776</t>
  </si>
  <si>
    <t>E9777</t>
  </si>
  <si>
    <t>E9778</t>
  </si>
  <si>
    <t>E9779</t>
  </si>
  <si>
    <t>E9780</t>
  </si>
  <si>
    <t>E9781</t>
  </si>
  <si>
    <t>E9782</t>
  </si>
  <si>
    <t>E9783</t>
  </si>
  <si>
    <t>E9784</t>
  </si>
  <si>
    <t>E9785</t>
  </si>
  <si>
    <t>E9787</t>
  </si>
  <si>
    <t>E9788</t>
  </si>
  <si>
    <t>E9789</t>
  </si>
  <si>
    <t>E9790</t>
  </si>
  <si>
    <t>E9792</t>
  </si>
  <si>
    <t>E9793</t>
  </si>
  <si>
    <t>E9795</t>
  </si>
  <si>
    <t>E9797</t>
  </si>
  <si>
    <t>E9798</t>
  </si>
  <si>
    <t>DEMONSTRAÇÃO DA BONIFICAÇÃO E DESPESAS INDIRETAS - BDI</t>
  </si>
  <si>
    <t>DEMONSTRAÇÃO DA BONIFICAÇÃO E DESPESAS INDIRETAS</t>
  </si>
  <si>
    <t>Acórdão 2622/2013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</si>
  <si>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</si>
  <si>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</si>
  <si>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</si>
  <si>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</si>
  <si>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</si>
  <si>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</si>
  <si>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</si>
  <si>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</si>
  <si>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</si>
  <si>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</si>
  <si>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</si>
  <si>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</si>
  <si>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</si>
  <si>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</si>
  <si>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</si>
  <si>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</si>
  <si>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</si>
  <si>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</si>
  <si>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</si>
  <si>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</si>
  <si>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</si>
  <si>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</si>
  <si>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</si>
  <si>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</si>
  <si>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</si>
  <si>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</si>
  <si>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</si>
  <si>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COTAÇÕES - ANÁLISE BINOMIAL DE INSUMOS RELEVANTES</t>
  </si>
  <si>
    <t>PREÇO COTAÇÃO</t>
  </si>
  <si>
    <t>INCC</t>
  </si>
  <si>
    <t>PREÇO AJUST.</t>
  </si>
  <si>
    <t>PREÇO UNIT. TRANSPORTE</t>
  </si>
  <si>
    <t>CUSTO TRANSP.</t>
  </si>
  <si>
    <t>PREÇO UNIT. C/ TRANSP.</t>
  </si>
  <si>
    <t>DATA-BASE</t>
  </si>
  <si>
    <t>TIPO</t>
  </si>
  <si>
    <t>ÍNDICE</t>
  </si>
  <si>
    <t>FOB</t>
  </si>
  <si>
    <t>AÇOTELHA - DOURADOS/MS</t>
  </si>
  <si>
    <t>CIF</t>
  </si>
  <si>
    <t>COMERCIAL GERDAU - MATERIAL ENTREGUE NA OBRA</t>
  </si>
  <si>
    <t>GRANDE AÇO - CAMPO GRANDE/MS</t>
  </si>
  <si>
    <t>ADOTADO</t>
  </si>
  <si>
    <t>X</t>
  </si>
  <si>
    <t>ANÁLISE DA MEDIANA</t>
  </si>
  <si>
    <t>AREIA</t>
  </si>
  <si>
    <t>AREEIRO SAARA - ANASTÁCIO/MS</t>
  </si>
  <si>
    <t>SHALOM MINERADORA - CAMPO GRANDE/MS</t>
  </si>
  <si>
    <t>DISTRIBUIDORA DE AREIA TRÊS LAGOAS - CAMPO GRANDE/MS</t>
  </si>
  <si>
    <t>PORTO DE AREIA RIBEIRO FILHO LTDA - PRESIDENTE EPITÁCIO/SP</t>
  </si>
  <si>
    <t>BRITA 1</t>
  </si>
  <si>
    <t>PEDREIRA ESTEIO - ITAPORÃ/MS</t>
  </si>
  <si>
    <t>BRITA 2</t>
  </si>
  <si>
    <t>CIMENTO CP-II 32</t>
  </si>
  <si>
    <t>VOTORANTIM CIMENTOS - CAMPO GRANDE/MS</t>
  </si>
  <si>
    <t>CIMENSHOP CAMPO GRANDE - CAMPO GRANDE/MS</t>
  </si>
  <si>
    <t>DSO DISTRIBUIÇÃO - CAMPO GRANDE/MS</t>
  </si>
  <si>
    <t>TRILHO TR-68 USADO</t>
  </si>
  <si>
    <t>TRILHOS FERROVIÁRIOS LTDA - EMBU DAS ARTES/SP</t>
  </si>
  <si>
    <t>AL DESENVOLVIMENTO DE NEGÓCIOS LTDA ME - SÃO PAULO/SP</t>
  </si>
  <si>
    <t>RAILBRASIL - AÇAILANDIA/MA</t>
  </si>
  <si>
    <t>PASSAGEM DE ÔNIBUS</t>
  </si>
  <si>
    <t>un.</t>
  </si>
  <si>
    <t>CAMPO GRANDE - DEODÁPOLIS/MS</t>
  </si>
  <si>
    <t>ÍNDICES DE REAJUSTAMENTO DE OBRAS RODOVIÁRIAS</t>
  </si>
  <si>
    <t>NOME DO ÍNDICE</t>
  </si>
  <si>
    <t>AÇO E TRILHO TR-68</t>
  </si>
  <si>
    <t>SERVIÇOS COM AÇO PARA OBRAS DE ARTE ESPECIAIS</t>
  </si>
  <si>
    <t>AREIA, BRITA 1, BRITA 2, CIMENTO</t>
  </si>
  <si>
    <t>OBRAS DE ARTE ESPECIAIS SEM AÇO</t>
  </si>
  <si>
    <t>IGP - DI</t>
  </si>
  <si>
    <t>Preço Unitário
(R$)</t>
  </si>
  <si>
    <t>Aço CA 25</t>
  </si>
  <si>
    <t>Brita 0</t>
  </si>
  <si>
    <t>Fibra de poliamida para concreto</t>
  </si>
  <si>
    <t>Fibra de aço para concreto</t>
  </si>
  <si>
    <t>Detergente líquido neutro</t>
  </si>
  <si>
    <t>Aço CP 175 RB</t>
  </si>
  <si>
    <t xml:space="preserve">Aditivo superplastificante à base de policarboxilato para concreto e argamassa </t>
  </si>
  <si>
    <t>Aditivo modificador de viscosidade para concreto e argamassa</t>
  </si>
  <si>
    <t>Silicato de alumínio</t>
  </si>
  <si>
    <t>Grampo de ancoragem em aço CA 50 - D = 12,5 mm</t>
  </si>
  <si>
    <t>Espoleta elétrica Nº 8 - D = 6,0 mm</t>
  </si>
  <si>
    <t>Grampo sargento em ferro fundido tipo C com abertura útil de 105 mm (4")</t>
  </si>
  <si>
    <t>Saco de aniagem ou de ráfia de 50 kg - C = 95 cm e L = 65 cm</t>
  </si>
  <si>
    <t>Grampo pesado em aço-carbono para cabo de aço - D = 13 mm (1/2")</t>
  </si>
  <si>
    <t>Esticador em aço tipo olhal x olhal para cabo de aço - D = 13 mm</t>
  </si>
  <si>
    <t>Grampo de ancoragem em aço CA 50 - D = 6,3 mm</t>
  </si>
  <si>
    <t>Herbicida glifosato para áreas contínuas</t>
  </si>
  <si>
    <t>Adesivo plástico para tubos de PVC</t>
  </si>
  <si>
    <t>Aditivo aglutinante para argamassa</t>
  </si>
  <si>
    <t>Areia média</t>
  </si>
  <si>
    <t>Sílica ativa para concreto e argamassa (microssílica)</t>
  </si>
  <si>
    <t>Adesivo de contato para laminado elastoplástico</t>
  </si>
  <si>
    <t>M0035</t>
  </si>
  <si>
    <t>Diluente tipo aguarrás para tintas e vernizes</t>
  </si>
  <si>
    <t>Gasolina comum</t>
  </si>
  <si>
    <t>Contêiner com 2 banheiros - L = 2,44 m e C = 6,09 m (1 TEU)</t>
  </si>
  <si>
    <t>Contêiner com janela - L = 2,44 m e C = 6,09 m (1 TEU)</t>
  </si>
  <si>
    <t>Óleo diesel</t>
  </si>
  <si>
    <t>Abrasivo de vidro com granulometria de 210 a 420 micra</t>
  </si>
  <si>
    <t>Barreira plástica monobloco para canalização de trânsito - C = 100 cm, L = 50 cm e H = 55 cm</t>
  </si>
  <si>
    <t>Barreira plástica para canalização de trânsito - C = 60 cm, L = 45 cm e H = 60 cm</t>
  </si>
  <si>
    <t>Cone de sinalização em polietileno - H = 75 cm e base quadrada de 40 x 40 cm</t>
  </si>
  <si>
    <t>Balizador cônico refletivo em polietileno semiflexível - H = 114 cm e base octogonal de D = 40 cm</t>
  </si>
  <si>
    <t>Delimitador de tráfego flexível com chumbador e duas faixas refletivas - H = 77 cm e D = 21 cm</t>
  </si>
  <si>
    <t>Aditivo natural tipo goma xantana para hidrossemeadura</t>
  </si>
  <si>
    <t>Cilindro canalizador de tráfego em polietileno - H = 117 cm e base quadrada de 60 x 60 cm</t>
  </si>
  <si>
    <t>Fita adesiva de PVC - L = 50 mm e C = 50 m</t>
  </si>
  <si>
    <t>Tela plástica em polipropileno na cor laranja para tapume - L = 1,2 m</t>
  </si>
  <si>
    <t>Fita zebrada de cor laranja e branca - L = 7 a 8 cm</t>
  </si>
  <si>
    <t>Barreira plástica articulável modular - C = 240 cm e H = 100 cm</t>
  </si>
  <si>
    <t>Ferramenta de corte para removedora de faixa de sinalização (Smith Cutter)</t>
  </si>
  <si>
    <t>Contêiner com janela - L = 4,88 m e C = 6,09 m (1 TEU duplo)</t>
  </si>
  <si>
    <t>Contêiner com janela e 2 banheiros - L = 4,88 m e C = 6,09 m (1 TEU duplo)</t>
  </si>
  <si>
    <t>Contêiner com revestimento térmico, janela e banheiro - L = 2,44 m e C = 6,09 m (1 TEU)</t>
  </si>
  <si>
    <t>Contêiner com revestimento térmico, janela e banheiro - L = 2,44 m e C = 12,19 m (2 TEU)</t>
  </si>
  <si>
    <t>Tubo PEAD PE 100 PN 10 com flanges - D = 160 mm</t>
  </si>
  <si>
    <t>Caibro de pinho - L = 7,5 cm e E = 10,0 cm</t>
  </si>
  <si>
    <t>Arame farpado em aço galvanizado - D = 1,60 mm</t>
  </si>
  <si>
    <t>Contêiner com 3 janelas para guarita - L = 2,44 m e C = 3,05 m (1/2 TEU)</t>
  </si>
  <si>
    <t>Arame liso em aço galvanizado - D = 2,10 mm (14 BWG)</t>
  </si>
  <si>
    <t>Muda de árvore com altura de 0,30 a 0,80 m</t>
  </si>
  <si>
    <t>Muda de arbusto com altura até 0,50 m</t>
  </si>
  <si>
    <t>Areia fina</t>
  </si>
  <si>
    <t>Areia grossa</t>
  </si>
  <si>
    <t>Argamassa pré-dosada para grauteamento</t>
  </si>
  <si>
    <t>Argamassa pré-dosada autoadensável para grauteamento</t>
  </si>
  <si>
    <t>Ancoragem ativa para 4 cordoalhas - D = 12,7 mm</t>
  </si>
  <si>
    <t>Ancoragem ativa para 6 cordoalhas - D = 12,7 mm</t>
  </si>
  <si>
    <t>Ancoragem ativa para 7 cordoalhas - D = 12,7 mm</t>
  </si>
  <si>
    <t>Ancoragem ativa para 8 cordoalhas - D = 12,7 mm</t>
  </si>
  <si>
    <t>Ancoragem ativa para 9 cordoalhas - D = 12,7 mm</t>
  </si>
  <si>
    <t>Ancoragem ativa para 10 cordoalhas - D = 12,7 mm</t>
  </si>
  <si>
    <t>Ancoragem ativa para 12 cordoalhas - D = 12,7 mm</t>
  </si>
  <si>
    <t>Ancoragem ativa para 15 cordoalhas - D = 12,7 mm</t>
  </si>
  <si>
    <t>Ancoragem ativa para 19 cordoalhas - D = 12,7 mm</t>
  </si>
  <si>
    <t>Bambu com diâmetro médio de 10 cm</t>
  </si>
  <si>
    <t>Ancoragem ativa para 22 cordoalhas - D = 12,7 mm</t>
  </si>
  <si>
    <t>Ancoragem ativa para 27 cordoalhas - D = 12,7 mm</t>
  </si>
  <si>
    <t>Ancoragem ativa para 31 cordoalhas - D = 12,7 mm</t>
  </si>
  <si>
    <t>Aditivo acelerador de pega para concreto e argamassa projetados</t>
  </si>
  <si>
    <t>Asfalto diluído de petróleo - CM-30</t>
  </si>
  <si>
    <t>Ancoragem ativa para 4 cordoalhas - D = 15,2 mm</t>
  </si>
  <si>
    <t>Ancoragem ativa para 6 cordoalhas - D = 15,2 mm</t>
  </si>
  <si>
    <t>Geocomposto para drenagem</t>
  </si>
  <si>
    <t>Ancoragem ativa para 7 cordoalhas - D = 15,2 mm</t>
  </si>
  <si>
    <t>Geodreno vertical - L = 10 cm e E = 5 mm</t>
  </si>
  <si>
    <t>Ancoragem ativa para 10 cordoalhas - D = 15,2 mm</t>
  </si>
  <si>
    <t>Ancoragem ativa para 9 cordoalhas - D = 15,2 mm</t>
  </si>
  <si>
    <t>Disco diamantado segmentado para corte de pavimento - D = 1.000 mm</t>
  </si>
  <si>
    <t>Ancoragem ativa para 12 cordoalhas - D = 15,2 mm</t>
  </si>
  <si>
    <t>Disco diamantado segmentado para corte de pavimento - D = 1.500 mm</t>
  </si>
  <si>
    <t>Biomanta vegetal de fibras de coco entrelaçadas com fios de polipropileno biodegradáveis - densidade 0,4 kg/m²</t>
  </si>
  <si>
    <t>Mangote flangeado de borracha reforçada com lonas sintéticas - C = 1,80 m e D = 0,30 m</t>
  </si>
  <si>
    <t>Mangote flangeado de borracha reforçada com lonas sintéticas - C = 1,80 m e D = 0,40 m</t>
  </si>
  <si>
    <t>Mangote flangeado de borracha reforçada com lonas sintéticas - C = 1,80 m e D = 0,45 m</t>
  </si>
  <si>
    <t>Mangote flangeado de borracha reforçada com lonas sintéticas - C = 1,80 m e D = 0,50 m</t>
  </si>
  <si>
    <t>Tubo PEAD PE 100 PN 8 com flanges - D = 250 mm</t>
  </si>
  <si>
    <t>Tubo PEAD PE 100 PN 8 com flanges - D = 400 mm</t>
  </si>
  <si>
    <t>Tubo PEAD PE 100 PN 8 com flanges - D = 450 mm</t>
  </si>
  <si>
    <t>Tubo PEAD PE 100 PN 8 com flanges - D = 500 mm</t>
  </si>
  <si>
    <t>Flutuador bipartido em polietileno com núcleo de espuma em poliuretano para tubos - D = 0,30 m</t>
  </si>
  <si>
    <t>Flutuador bipartido em polietileno com núcleo de espuma em poliuretano para tubos - D = 0,40 m</t>
  </si>
  <si>
    <t>Flutuador bipartido em polietileno com núcleo de espuma em poliuretano para tubos - D = 0,45 m</t>
  </si>
  <si>
    <t>Flutuador bipartido em polietileno com núcleo de espuma em poliuretano para tubos - D = 0,50 m</t>
  </si>
  <si>
    <t>Biomanta vegetal de fibras de palha entrelaçadas com fios de polipropileno biodegradáveis - densidade 0,6 kg/m²</t>
  </si>
  <si>
    <t>Retentor de sedimento em fibras vegetais - D = 20 cm</t>
  </si>
  <si>
    <t>Ancoragem ativa para 15 cordoalhas - D = 15,2 mm</t>
  </si>
  <si>
    <t>Tubo PEAD corrugado com paredes estruturadas para drenagem - D = 400 mm</t>
  </si>
  <si>
    <t>Tubo PEAD corrugado com paredes estruturadas para drenagem - D = 450 mm</t>
  </si>
  <si>
    <t>Tubo PEAD corrugado com paredes estruturadas para drenagem - D = 500 mm</t>
  </si>
  <si>
    <t>Tubo PEAD corrugado com paredes estruturadas para drenagem - D = 600 mm</t>
  </si>
  <si>
    <t>Tubo PEAD corrugado com paredes estruturadas para drenagem - D = 750 mm</t>
  </si>
  <si>
    <t>Tubo PEAD corrugado com paredes estruturadas para drenagem - D = 800 mm</t>
  </si>
  <si>
    <t>Tubo PEAD corrugado com paredes estruturadas para drenagem - D = 900 mm</t>
  </si>
  <si>
    <t>Ancoragem ativa para 19 cordoalhas - D = 15,2 mm</t>
  </si>
  <si>
    <t>Tubo PEAD corrugado com paredes estruturadas para drenagem - D = 1.000 mm</t>
  </si>
  <si>
    <t>Bentonita</t>
  </si>
  <si>
    <t>Tubo PEAD corrugado com paredes estruturadas para drenagem - D = 1.050 mm</t>
  </si>
  <si>
    <t>Tubo PEAD corrugado com paredes estruturadas para drenagem - D = 1.200 mm</t>
  </si>
  <si>
    <t>Tubo PEAD corrugado com paredes estruturadas para drenagem - D = 1.500 mm</t>
  </si>
  <si>
    <t>Ancoragem ativa para 22 cordoalhas - D = 15,2 mm</t>
  </si>
  <si>
    <t>Ancoragem ativa para 27 cordoalhas - D = 15,2 mm</t>
  </si>
  <si>
    <t>Ancoragem ativa para lajes para 1 cordoalha - D = 12,7 mm</t>
  </si>
  <si>
    <t>Ancoragem ativa para lajes para 2 cordoalhas - D = 12,7 mm</t>
  </si>
  <si>
    <t>Ancoragem ativa para lajes para 3 cordoalhas - D = 12,7 mm</t>
  </si>
  <si>
    <t>Ancoragem ativa para lajes para 4 cordoalhas - D = 12,7 mm</t>
  </si>
  <si>
    <t>Bloco de concreto - L = 19 cm, A = 19 cm e C = 39 cm</t>
  </si>
  <si>
    <t>Tela metálica galvanizada dobrada em L - C = 2,0 m, L = 0,4 m e H = 0,4 m</t>
  </si>
  <si>
    <t>Extintor de incêndio tipo espuma mecânica - V = 10 l</t>
  </si>
  <si>
    <t>Barra de fibra de vidro (vergalhão) - D = 25,0 mm</t>
  </si>
  <si>
    <t>Corrente de elo soldado em aço galvanizado com acabamento polido - D = 3,18 mm (1/8")</t>
  </si>
  <si>
    <t>Gonzo com aba em aço galvanizado - D = 12,7 mm (1/2")</t>
  </si>
  <si>
    <t>Tubo em aço galvanizado - E = 1,50 mm e seção de 20 x 20 mm</t>
  </si>
  <si>
    <t>Tubo em aço galvanizado - E = 2,25 mm e D = 20 mm (3/4")</t>
  </si>
  <si>
    <t>Tela de poliamida industrial - E = 0,40 mm e malha de 1,6 mm</t>
  </si>
  <si>
    <t>Abraçadeira de poliamida - E = 3,6 mm e C = 200 mm</t>
  </si>
  <si>
    <t>Roda em aço e pneu com câmara de ar 83/203 mm (3,25"/8") para carrinho de mão</t>
  </si>
  <si>
    <t>Ancoragem ativa para lajes para 1 cordoalha - D = 15,2 mm</t>
  </si>
  <si>
    <t>Ancoragem ativa para lajes para 2 cordoalhas - D = 15,2 mm</t>
  </si>
  <si>
    <t>Ancoragem ativa para lajes para 3 cordoalhas - D = 15,2 mm</t>
  </si>
  <si>
    <t>Ancoragem ativa para lajes para 4 cordoalhas - D = 15,2 mm</t>
  </si>
  <si>
    <t>Brita 3</t>
  </si>
  <si>
    <t>Escória de aciaria</t>
  </si>
  <si>
    <t>Parafuso de cabeça chata em aço - D = 4,5 mm e bucha plástica - D = 8 mm (S8)</t>
  </si>
  <si>
    <t>M0199</t>
  </si>
  <si>
    <t>Coroa de botões cruzados linha R32 - D = 43 mm (1 11/16’’)</t>
  </si>
  <si>
    <t>Coroa de botões esféricos linha T38 - D = 89 mm (3 1/2")</t>
  </si>
  <si>
    <t>Coroa de botões esféricos linha T45 - D = 76 mm (3")</t>
  </si>
  <si>
    <t>Enxofre</t>
  </si>
  <si>
    <t>Adubo à base de nitrogênio, fósforo e potássio (NPK)</t>
  </si>
  <si>
    <t>Filer calcário</t>
  </si>
  <si>
    <t>Sementes para hidrossemeadura</t>
  </si>
  <si>
    <t>Guia-chapéu pré-moldada - C = 120 cm</t>
  </si>
  <si>
    <t>Adubo orgânico composto</t>
  </si>
  <si>
    <t>Gabião tipo colchão em liga de zinco e alumínio revestido com polímero de malha hexagonal - E = 0,17 m</t>
  </si>
  <si>
    <t>Gabião tipo caixa em liga de zinco e alumínio de malha hexagonal - C = 2,00 m, L = 1,00 m e H = 0,50 m</t>
  </si>
  <si>
    <t>Gabião tipo caixa em liga de zinco e alumínio de malha hexagonal - C = 2,00 m, L = 1,00 m e H = 1,00 m</t>
  </si>
  <si>
    <t>Gabião tipo caixa em liga de zinco e alumínio revestido com polímero de malha hexagonal - C = 2,00 m, L = 1,00 m e H = 0,50 m</t>
  </si>
  <si>
    <t>Gabião tipo caixa em liga de zinco e alumínio revestido com polímero de malha hexagonal - C = 2,00 m, L = 1,00 m e H = 1,00 m</t>
  </si>
  <si>
    <t>Gabião tipo saco em liga de zinco e alumínio revestido com polímero de malha hexagonal - D = 0,65 m</t>
  </si>
  <si>
    <t>Gabião tipo colchão em liga de zinco e alumínio revestido com polímero de malha hexagonal - E = 0,23 m</t>
  </si>
  <si>
    <t>Gabião tipo colchão em liga de zinco e alumínio revestido com polímero de malha hexagonal - E = 0,30 m</t>
  </si>
  <si>
    <t>Energia elétrica</t>
  </si>
  <si>
    <t>kWh</t>
  </si>
  <si>
    <t>Cabo de cobre flexível antichama isolado em PVC - tensão de 450/750 V e seção de 16 mm²</t>
  </si>
  <si>
    <t>Mistura gasosa de argônio e dióxido de carbono para solda MIG/MAG</t>
  </si>
  <si>
    <t>Tinta à base de etil silicato de zinco bicomponente para fundo preparador de pintura</t>
  </si>
  <si>
    <t>Diluente para tinta à base de etil silicato de zinco</t>
  </si>
  <si>
    <t>Cabo de cobre PP flexível isolado em PVC - tensão de 300/500 V e seção de 3 x 1,5 mm²</t>
  </si>
  <si>
    <t>Bomba de combustível industrial eletrônica simples</t>
  </si>
  <si>
    <t>Tanque de combustível aéreo horizontal com escada para visita - capacidade de 5.000 l</t>
  </si>
  <si>
    <t>Cabo de cobre flexível antichama isolado em PVC - tensão de 0,6/1,0 kV e seção de 240 mm²</t>
  </si>
  <si>
    <t>M0267</t>
  </si>
  <si>
    <t>Módulo de torre de elevador de cremalheira</t>
  </si>
  <si>
    <t>M0268</t>
  </si>
  <si>
    <t>Módulo de ancoragem de torre de elevador de cremalheira</t>
  </si>
  <si>
    <t>Cabo de cobre flexível antichama isolado em PVC - tensão de 0,6/1,0 kV e seção de 50 mm²</t>
  </si>
  <si>
    <t>Pontalete para escoramento - D = 15 cm</t>
  </si>
  <si>
    <t>Tábua - E = 2,5 cm e L = 15 cm</t>
  </si>
  <si>
    <t>Pontalete para escoramento - D = 10 cm</t>
  </si>
  <si>
    <t>M0311</t>
  </si>
  <si>
    <t xml:space="preserve">Filtro de aspiração de ar externo com capacidade 3,58 l/s para compressor de ar respirável </t>
  </si>
  <si>
    <t>M0312</t>
  </si>
  <si>
    <t xml:space="preserve">Filtro de purificação de ar comprimido com capacidade de 35 MPa para compressor de ar respirável </t>
  </si>
  <si>
    <t>Cal hidratada - a granel</t>
  </si>
  <si>
    <t>Cal hidratada - saco</t>
  </si>
  <si>
    <t>Disco de aço para bomba de projeção via seca</t>
  </si>
  <si>
    <t>M0347</t>
  </si>
  <si>
    <t>Disco de aço para bomba de projeção via úmida</t>
  </si>
  <si>
    <t>Disco de borracha para bomba de projeção via seca</t>
  </si>
  <si>
    <t>M0349</t>
  </si>
  <si>
    <t>Disco de borracha para bomba de projeção via úmida</t>
  </si>
  <si>
    <t>Bico para bomba de projeção</t>
  </si>
  <si>
    <t>Mangote para bomba de projeção</t>
  </si>
  <si>
    <t>M0364</t>
  </si>
  <si>
    <t>Perfil cartola em aço carbono SAE 1010/1020 galvanizado - 50 x 70 x 3 mm - aba 20 mm</t>
  </si>
  <si>
    <t>Cantoneira em aço ASTM A36 galvanizado</t>
  </si>
  <si>
    <t>M0375</t>
  </si>
  <si>
    <t>Serra copo com suporte para furadeira para chapas de até 3 mm - D = 25 mm</t>
  </si>
  <si>
    <t>M0377</t>
  </si>
  <si>
    <t>Cinta para elevação de cargas tipo grab com 4 ramais - C = 1,50 m, capacidade de carga de 31,5 t, F. S. = 4:1</t>
  </si>
  <si>
    <t>M0378</t>
  </si>
  <si>
    <t>Cinta para elevação de cargas tipo grab com 4 ramais - C = 2,00 m, capacidade de carga de 63 t, F. S. = 4:1</t>
  </si>
  <si>
    <t>M0379</t>
  </si>
  <si>
    <t>Manilha reta em aço forjado com porca e cupilha - DN = 50,8 mm (2”)</t>
  </si>
  <si>
    <t>M0380</t>
  </si>
  <si>
    <t>Sapatilha em aço carbono - D = 19,05 mm (3/4”)</t>
  </si>
  <si>
    <t>M0381</t>
  </si>
  <si>
    <t>Sapatilha em aço carbono - D = 25,4 mm (1”)</t>
  </si>
  <si>
    <t>M0382</t>
  </si>
  <si>
    <t>Grampo pesado em aço-carbono para cabo de aço - D = 19,05 mm (3/4”)</t>
  </si>
  <si>
    <t>M0383</t>
  </si>
  <si>
    <t>Grampo pesado em aço-carbono para cabo de aço - D = 25,4 mm (1”)</t>
  </si>
  <si>
    <t>Chapa de alumínio - E = 1,5 mm</t>
  </si>
  <si>
    <t>Chumbador de expansão controlada por torque em aço zincado para concreto - D = 12,5 mm</t>
  </si>
  <si>
    <t>Chumbador de expansão controlada por torque em aço zincado para concreto - D = 6,3 mm</t>
  </si>
  <si>
    <t>Chumbador de expansão controlada por torque em aço zincado para concreto - D = 10,0 mm</t>
  </si>
  <si>
    <t>Chumbador de expansão controlada por torque em aço zincado para concreto - D = 16,0 mm</t>
  </si>
  <si>
    <t>Chumbador de expansão controlada por torque em aço zincado para concreto - D = 25,0 mm</t>
  </si>
  <si>
    <t>Argamassa expansiva para desmonte de rocha e demolição de concreto</t>
  </si>
  <si>
    <t>Cordoalha nua tipo CP 190 RB - D = 15,2 mm</t>
  </si>
  <si>
    <t>Perfil de alumínio tipo L421 para placa de sinalização - seção de 33 x 40 mm</t>
  </si>
  <si>
    <t>Tirante de barra de aço - tensão de escoamento = 950 MPa, tensão de ruptura = 1.050 MPa e D = 32 mm</t>
  </si>
  <si>
    <t>Compensado plastificado - E = 10 mm</t>
  </si>
  <si>
    <t>Compensado plastificado - E = 12 mm</t>
  </si>
  <si>
    <t>Luva em aço para emenda tipo prensada - D = 12,5 mm</t>
  </si>
  <si>
    <t>Luva em aço para emenda tipo prensada - D = 16,0 mm</t>
  </si>
  <si>
    <t>Compensado resinado - E = 10 mm</t>
  </si>
  <si>
    <t>Compensado resinado - E = 14 mm</t>
  </si>
  <si>
    <t>Compensado de virola - E = 6 mm</t>
  </si>
  <si>
    <t>Concreto usinado - fck = 20 MPa (comercial)</t>
  </si>
  <si>
    <t>Concreto usinado - fck = 25 MPa (comercial)</t>
  </si>
  <si>
    <t>Concreto usinado - fck = 30 MPa (comercial)</t>
  </si>
  <si>
    <t>Concreto usinado - fck = 35 MPa (comercial)</t>
  </si>
  <si>
    <t>Compensado plastificado - E = 14 mm</t>
  </si>
  <si>
    <t>Luva em aço para emenda tipo prensada - D = 20,0 mm</t>
  </si>
  <si>
    <t>Luva em aço para emenda tipo prensada - D = 25,0 mm</t>
  </si>
  <si>
    <t>Luva em aço para emenda tipo prensada - D = 32,0 mm</t>
  </si>
  <si>
    <t>Luva em aço para emenda com rosca cônica - D = 12,5 mm</t>
  </si>
  <si>
    <t>Luva em aço para emenda com rosca cônica - D = 16,0 mm</t>
  </si>
  <si>
    <t>Luva em aço para emenda com rosca cônica - D = 20,0 mm</t>
  </si>
  <si>
    <t>Luva em aço para emenda com rosca cônica - D = 25,0 mm</t>
  </si>
  <si>
    <t>Luva em aço para emenda com rosca cônica - D = 32,0 mm</t>
  </si>
  <si>
    <t>M0505</t>
  </si>
  <si>
    <t>Broca de widia - D = 6,5 mm e C = 100 mm</t>
  </si>
  <si>
    <t>Broca de widia - D = 8 mm e C = 120 mm</t>
  </si>
  <si>
    <t>Abrasivo tipo granalha de aço</t>
  </si>
  <si>
    <t>Bico venturi longo - D = 7,9 mm (5/16")</t>
  </si>
  <si>
    <t>Laminado elastoplástico - E = 1,5 mm</t>
  </si>
  <si>
    <t>Escora tubular galvanizada regulável telescópica para tunnel liner - L = 2,42 a 4,00 m e capacidade de 1.750 a 625 kg</t>
  </si>
  <si>
    <t>Escora tubular galvanizada regulável - L = 3,00 a 4,50 m e capacidade de 2.100 a 750 kg</t>
  </si>
  <si>
    <t>Escora tubular galvanizada regulável - L = 2,00 a 3,10 m e capacidade de 3.200 a 1.500 kg</t>
  </si>
  <si>
    <t>Quadro tubular contraventado com acessórios - C = 1,00 m, L = 1,00 m e H = 1,25 m</t>
  </si>
  <si>
    <t>M0539</t>
  </si>
  <si>
    <t>Quadro tubular contraventado para andaime - H = 100 cm e L = 100 cm</t>
  </si>
  <si>
    <t>M0541</t>
  </si>
  <si>
    <t>Quadro tubular contraventado para andaime - H = 100 cm e L = 200 cm</t>
  </si>
  <si>
    <t>M0542</t>
  </si>
  <si>
    <t>Diagonal tubular para andaime - C = 141 cm</t>
  </si>
  <si>
    <t>M0544</t>
  </si>
  <si>
    <t>Diagonal tubular para andaime - C = 283 cm</t>
  </si>
  <si>
    <t>M0545</t>
  </si>
  <si>
    <t>Plataforma metálica de piso para andaime - C = 100 e L = 33 cm</t>
  </si>
  <si>
    <t>M0547</t>
  </si>
  <si>
    <t>Plataforma metálica de piso para andaime - C = 200 e L = 33 cm</t>
  </si>
  <si>
    <t>M0548</t>
  </si>
  <si>
    <t>Quadro tubular tipo guarda-corpo para andaime - H = 120 cm e L = 100 cm</t>
  </si>
  <si>
    <t>M0550</t>
  </si>
  <si>
    <t>Quadro tubular tipo guarda-corpo com acessórios para andaime - H = 120 cm e L = 200 cm</t>
  </si>
  <si>
    <t>M0562</t>
  </si>
  <si>
    <t>Abraçadeira giratória em aço galvanizado para escada multidirecional - D = 48 mm</t>
  </si>
  <si>
    <t>M0563</t>
  </si>
  <si>
    <t>Tubo em aço galvanizado para escada multidirecional - C = 100 cm</t>
  </si>
  <si>
    <t>M0564</t>
  </si>
  <si>
    <t>Peça base em aço galvanizado para escada multidirecional - C = 33 cm</t>
  </si>
  <si>
    <t>M0565</t>
  </si>
  <si>
    <t>Poste vertical em aço galvanizado para escada multidirecional - C = 100 cm</t>
  </si>
  <si>
    <t>M0566</t>
  </si>
  <si>
    <t>Poste vertical em aço galvanizado para escada multidirecional - C = 200 cm</t>
  </si>
  <si>
    <t>M0567</t>
  </si>
  <si>
    <t>Travessa em aço galvanizado para escada multidirecional - C = 75 cm</t>
  </si>
  <si>
    <t>M0568</t>
  </si>
  <si>
    <t>Travessa em aço galvanizado para escada multidirecional - C = 150 cm</t>
  </si>
  <si>
    <t>M0569</t>
  </si>
  <si>
    <t>Travessa em aço galvanizado para escada multidirecional - C = 250 cm</t>
  </si>
  <si>
    <t>M0570</t>
  </si>
  <si>
    <t>Diagonal em aço galvanizado para escada multidirecional - C = 150 cm para módulos de H = 200 cm</t>
  </si>
  <si>
    <t>M0571</t>
  </si>
  <si>
    <t>Diagonal em aço galvanizado para escada multidirecional - C = 250 cm para módulos de H = 200 cm</t>
  </si>
  <si>
    <t>M0572</t>
  </si>
  <si>
    <t>Piso em aço galvanizado para escada multidirecional - L = 32 cm e C = 150 cm</t>
  </si>
  <si>
    <t>M0573</t>
  </si>
  <si>
    <t>Escada de alumínio para escada multidirecional - H = 200 cm e C = 250 cm</t>
  </si>
  <si>
    <t>M0574</t>
  </si>
  <si>
    <t>Corrimão externo em alumínio para escada multidirecional - C = 250 cm</t>
  </si>
  <si>
    <t>M0575</t>
  </si>
  <si>
    <t>Corrimão interno em alumínio para escada multidirecional - C = 250 cm</t>
  </si>
  <si>
    <t>M0576</t>
  </si>
  <si>
    <t>Conexão tubular em aço galvanizado com semiabraçadeira para travessas - C = 30 cm e D = 48,3 mm</t>
  </si>
  <si>
    <t>Ponteiro para martelete - D = 32 mm e C = 1,00 m</t>
  </si>
  <si>
    <t>M0602</t>
  </si>
  <si>
    <t>Ponteiro para rompedor hidráulico de 1.700 kg</t>
  </si>
  <si>
    <t>Ponteiro para rompedor hidráulico de 520 kg</t>
  </si>
  <si>
    <t>Concreto usinado - fctM,k = 4,5 MPa (comercial)</t>
  </si>
  <si>
    <t>Aditivo incorporador de ar para concreto e argamassa</t>
  </si>
  <si>
    <t>M0639</t>
  </si>
  <si>
    <t>Bico para corte a plasma CNC - 130A</t>
  </si>
  <si>
    <t>M0640</t>
  </si>
  <si>
    <t>Bocal para corte a plasma CNC - 130A</t>
  </si>
  <si>
    <t>M0641</t>
  </si>
  <si>
    <t>Capa do bico para corte a plasma CNC - 130A</t>
  </si>
  <si>
    <t>M0642</t>
  </si>
  <si>
    <t>Capa do bocal para corte a plasma CNC - 130A</t>
  </si>
  <si>
    <t>M0643</t>
  </si>
  <si>
    <t>Distribuidor de gás para corte a plasma CNC - 130A</t>
  </si>
  <si>
    <t>M0644</t>
  </si>
  <si>
    <t>Eletrodo para corte a plasma CNC - 130A</t>
  </si>
  <si>
    <t>M0645</t>
  </si>
  <si>
    <t>Tubo de água para corte a plasma CNC - 130A</t>
  </si>
  <si>
    <t>Estaca pré-moldada de concreto protendido com compressão admissível de 100 t</t>
  </si>
  <si>
    <t>Estaca pré-moldada de concreto protendido com compressão admissível de 25 t</t>
  </si>
  <si>
    <t>Estaca pré-moldada de concreto protendido com compressão admissível de 35 t</t>
  </si>
  <si>
    <t>Estaca pré-moldada de concreto protendido com compressão admissível de 60 t</t>
  </si>
  <si>
    <t>Estaca pré-moldada de concreto protendido com compressão admissível de 75 t</t>
  </si>
  <si>
    <t>Martelo de fundo DTH - DN = 76 mm (3")</t>
  </si>
  <si>
    <t>Martelo de fundo DTH - DN = 127 mm (5")</t>
  </si>
  <si>
    <t>Martelo de fundo DTH - DN = 152 mm (6")</t>
  </si>
  <si>
    <t>Martelo de fundo DTH - DN = 203 mm (8")</t>
  </si>
  <si>
    <t>Estaca pré-moldada de concreto armado centrifugado com compressão admissível de 55 t</t>
  </si>
  <si>
    <t>Estaca pré-moldada de concreto armado centrifugado com compressão admissível de 80 t</t>
  </si>
  <si>
    <t>Aço em perfis ASTM A36</t>
  </si>
  <si>
    <t>Estaca pré-moldada de concreto armado centrifugado com compressão admissível de 100 t</t>
  </si>
  <si>
    <t>M0713</t>
  </si>
  <si>
    <t>Cinta com cerdas de aço</t>
  </si>
  <si>
    <t>M0714</t>
  </si>
  <si>
    <t>Tinta de acabamento poliuretano acrílico alifático brilhante bicomponente</t>
  </si>
  <si>
    <t>M0715</t>
  </si>
  <si>
    <t>Tinta selante epóxi vinílico bicomponente curada com poliamida</t>
  </si>
  <si>
    <t>M0716</t>
  </si>
  <si>
    <t>Tinta anti-incrustante livre de estanho</t>
  </si>
  <si>
    <t>M0717</t>
  </si>
  <si>
    <t>Tinta à base de resina epóxi bicomponente para fundo preparador de pintura</t>
  </si>
  <si>
    <t>M0718</t>
  </si>
  <si>
    <t>Tinta esmalte à base de resina epóxi bicomponente</t>
  </si>
  <si>
    <t>Diluente epóxi</t>
  </si>
  <si>
    <t>Tinta anticorrosiva zarcão para fundo preparador de pintura</t>
  </si>
  <si>
    <t>Estaca pré-moldada de concreto armado centrifugado com compressão admissível de 125 t</t>
  </si>
  <si>
    <t>Fixador de cal para pintura</t>
  </si>
  <si>
    <t>Estaca pré-moldada de concreto armado centrifugado com compressão admissível de 170 t</t>
  </si>
  <si>
    <t>Grama tipo batatais</t>
  </si>
  <si>
    <t>Grampo em aço galvanizado para cerca - C = 25,4 mm e E = 3,76 mm (1" x 9 BWG)</t>
  </si>
  <si>
    <t>Estaca pré-moldada de concreto armado centrifugado com compressão admissível de 230 t</t>
  </si>
  <si>
    <t>Estaca pré-moldada de concreto armado centrifugado com compressão admissível de 300 t</t>
  </si>
  <si>
    <t>Sinalizador a LED com bateria</t>
  </si>
  <si>
    <t>Lona plástica - E = 200 micra</t>
  </si>
  <si>
    <t>Cavalete em polietileno zebrado com faixa refletiva</t>
  </si>
  <si>
    <t>Perfil de alumínio tipo L463 para placa de sinalização - seção de 50 x 50 mm</t>
  </si>
  <si>
    <t>M0785</t>
  </si>
  <si>
    <t>Massa asfáltica comercial</t>
  </si>
  <si>
    <t>Placa de poliestireno expandido (EPS)</t>
  </si>
  <si>
    <t>Suporte em aço-carbono galvanizado tipo perfil C para placa de sinalização</t>
  </si>
  <si>
    <t>Semipórtico metálico para vão de 8,3 m e vento de 35 m/s</t>
  </si>
  <si>
    <t>Apoio de neoprene fretado</t>
  </si>
  <si>
    <t>Cabo de aço - D = 12,70 mm (1/2")</t>
  </si>
  <si>
    <t>Semipórtico duplo metálico para vão de 2 x 8,3 m e vento de 35 m/s</t>
  </si>
  <si>
    <t>Brita 4</t>
  </si>
  <si>
    <t>Cabo de aço - D = 6,35 mm (1/4")</t>
  </si>
  <si>
    <t>M0810</t>
  </si>
  <si>
    <t>Cabo de aço - D = 52,00 mm (2")</t>
  </si>
  <si>
    <t>Sapatilha em aço inox - D = 6,35 mm (1/4")</t>
  </si>
  <si>
    <t>Semipórtico metálico para vão de 8,3 m e vento de 40 m/s</t>
  </si>
  <si>
    <t>Semipórtico duplo metálico para vão de 2 x 8,3 m e vento de 40 m/s</t>
  </si>
  <si>
    <t>Pórtico metálico para vão de 15,9 m e vento de 40 m/s</t>
  </si>
  <si>
    <t>Semipórtico metálico para vão de 8,3 m e vento de 45 m/s</t>
  </si>
  <si>
    <t>Corda de sisal - D = 12,0 mm</t>
  </si>
  <si>
    <t>Grampo leve em aço-carbono para cabo de aço - D = 6,3 mm (1/4")</t>
  </si>
  <si>
    <t>Poste de concreto - carga nominal de 800 daN, H = 15 m e D = 520 mm</t>
  </si>
  <si>
    <t>Semipórtico duplo metálico para vão de 2 x 8,3 m e vento de 45 m/s</t>
  </si>
  <si>
    <t>Pórtico metálico para vão de 15,9 m e vento de 45 m/s</t>
  </si>
  <si>
    <t>Lâmpada fluorescente compacta eletrônica - potência de 20 W</t>
  </si>
  <si>
    <t>Manta asfáltica não-tecido em poliéster - E = 3 mm</t>
  </si>
  <si>
    <t>Manta asfáltica não-tecido em poliéster - E = 4 mm</t>
  </si>
  <si>
    <t>Lixa para ferro Nº 150</t>
  </si>
  <si>
    <t>Estaca prancha metálica</t>
  </si>
  <si>
    <t>Parafuso de cabeça sextavada em aço galvanizado com porca e arruela de pressão - D = 6,35 mm (1/4")</t>
  </si>
  <si>
    <t>cj</t>
  </si>
  <si>
    <t>M0946</t>
  </si>
  <si>
    <t>Aço em perfis ASTM A572 grau 50</t>
  </si>
  <si>
    <t>Parafuso de cabeça sextavada em aço galvanizado com porca e arruela de pressão - D = 9,525 mm (3/8")</t>
  </si>
  <si>
    <t>M0948</t>
  </si>
  <si>
    <t>Arruela lisa em aço ASTM F436 para parafuso - D = 12,7 mm</t>
  </si>
  <si>
    <t>M0949</t>
  </si>
  <si>
    <t>Arruela lisa em aço ASTM F436 para parafuso - D = 16,0 mm</t>
  </si>
  <si>
    <t>M0950</t>
  </si>
  <si>
    <t>Arruela lisa em aço ASTM F436 para parafuso - D = 20,0 mm</t>
  </si>
  <si>
    <t>M0951</t>
  </si>
  <si>
    <t>Parafuso de cabeça sextavada em aço ASTM A325 de alta resistência com rosca parcial - D = 12,7 mm e C = 38,10 mm</t>
  </si>
  <si>
    <t>M0952</t>
  </si>
  <si>
    <t>Parafuso de cabeça sextavada em aço ASTM A325 de alta resistência com rosca parcial - D = 12,7 mm e C = 44,45 mm</t>
  </si>
  <si>
    <t>M0953</t>
  </si>
  <si>
    <t>Parafuso de cabeça sextavada em aço ASTM A325 de alta resistência com rosca parcial - D = 12,7 mm e C = 50,80 mm</t>
  </si>
  <si>
    <t>M0954</t>
  </si>
  <si>
    <t>Parafuso de cabeça sextavada em aço ASTM A325 de alta resistência com rosca parcial - D = 12,7 mm e C = 57,15 mm</t>
  </si>
  <si>
    <t>M0955</t>
  </si>
  <si>
    <t>Parafuso de cabeça sextavada em aço ASTM A325 de alta resistência com rosca parcial - D = 16 mm e C = 44,45 mm</t>
  </si>
  <si>
    <t>M0956</t>
  </si>
  <si>
    <t>Parafuso de cabeça sextavada em aço ASTM A325 de alta resistência com rosca parcial - D = 16 mm e C = 50,80 mm</t>
  </si>
  <si>
    <t>M0957</t>
  </si>
  <si>
    <t>Parafuso de cabeça sextavada em aço ASTM A325 de alta resistência com rosca parcial - D = 16 mm e C = 63,50 mm</t>
  </si>
  <si>
    <t>M0958</t>
  </si>
  <si>
    <t>Parafuso de cabeça sextavada em aço ASTM A325 de alta resistência com rosca parcial - D = 20 mm e C = 50,80 mm</t>
  </si>
  <si>
    <t>M0959</t>
  </si>
  <si>
    <t>Parafuso de cabeça sextavada em aço ASTM A325 de alta resistência com rosca parcial - D = 20 mm e C = 57,15 mm</t>
  </si>
  <si>
    <t>M0960</t>
  </si>
  <si>
    <t>Parafuso de cabeça sextavada em aço ASTM A325 de alta resistência com rosca parcial - D = 20 mm e C = 63,50 mm</t>
  </si>
  <si>
    <t>M0961</t>
  </si>
  <si>
    <t>Parafuso de cabeça sextavada em aço ASTM A325 de alta resistência com rosca parcial - D = 20 mm e C = 76,20 mm</t>
  </si>
  <si>
    <t>M0962</t>
  </si>
  <si>
    <t>Tubo em aço galvanizado - E = 2,00 mm e D = 50,80 mm (2")</t>
  </si>
  <si>
    <t>M0963</t>
  </si>
  <si>
    <t>Tubo em aço galvanizado - E = 3,00 mm e seção de 80 x 80 mm</t>
  </si>
  <si>
    <t>M0964</t>
  </si>
  <si>
    <t>Aço em perfis ASTM A572 grau 50 perfurado</t>
  </si>
  <si>
    <t>M0965</t>
  </si>
  <si>
    <t>Pino conector de cisalhamento para laje steel deck - D = 19 mm e C = 80 mm</t>
  </si>
  <si>
    <t>M0966</t>
  </si>
  <si>
    <t>Porca sextavada pesada em aço ASTM A194 grau 2H para parafuso - D = 12,7 mm</t>
  </si>
  <si>
    <t>M0967</t>
  </si>
  <si>
    <t>Porca sextavada pesada em aço ASTM A194 grau 2H para parafuso - D = 16 mm</t>
  </si>
  <si>
    <t>M0968</t>
  </si>
  <si>
    <t>Porca sextavada pesada em aço ASTM A194 grau 2H para parafuso - D = 20 mm</t>
  </si>
  <si>
    <t>M0969</t>
  </si>
  <si>
    <t>Steel deck em aço galvanizado ASTM A653 grau 40</t>
  </si>
  <si>
    <t>M0970</t>
  </si>
  <si>
    <t>Chapa de aço ASTM A572 grau 50 cortada e perfurada</t>
  </si>
  <si>
    <t>M0971</t>
  </si>
  <si>
    <t>Suporte em aço-carbono para corrimão de guarda-corpo metálico</t>
  </si>
  <si>
    <t>M0972</t>
  </si>
  <si>
    <t>Fluido de resfriamento para usinagem de metais</t>
  </si>
  <si>
    <t>Madeira estrutural de eucalipto</t>
  </si>
  <si>
    <t>Tela em aço CA 60 soldada nervurada</t>
  </si>
  <si>
    <t>Tela em aço galvanizado para alambrado - E = 1,64 mm (BWG 16) e malha de 50 mm</t>
  </si>
  <si>
    <t>M1001</t>
  </si>
  <si>
    <t>Tela em aço galvanizado para passarelas rodoviárias - E = 2,75 mm e malha de 50 mm</t>
  </si>
  <si>
    <t>Manta de PVC reforçada com tela de poliéster - E = 1,2 mm</t>
  </si>
  <si>
    <t>Manta de PVC reforçada com tela de poliéster - E = 1,5 mm</t>
  </si>
  <si>
    <t>Massa para vidro</t>
  </si>
  <si>
    <t>Cera de proteção para ancoragem de estais</t>
  </si>
  <si>
    <t>Parafuso de cabeça sextavada em aço inox - D = 12,7 mm (1/2") e C = 127,0 mm (5")</t>
  </si>
  <si>
    <t>Parafuso de cabeça sextavada em aço galvanizado tipo auto-atarraxante com arruelas de vedação - D = 6,3 mm e C = 19 mm</t>
  </si>
  <si>
    <t>Pedrisco</t>
  </si>
  <si>
    <t>Cruzeta de madeira para poste - H = 240 cm</t>
  </si>
  <si>
    <t>M1129</t>
  </si>
  <si>
    <t>Selante elástico à base de poliuretano</t>
  </si>
  <si>
    <t>Cordão de polietileno expandido de baixa densidade - D = 15,0 mm</t>
  </si>
  <si>
    <t>Junta de dilatação em elastômero e perfil VV - L = 20 mm e H = 40 mm</t>
  </si>
  <si>
    <t>Junta de dilatação em elastômero e perfil VV - L = 25 mm e H = 50 mm</t>
  </si>
  <si>
    <t>Pó de pedra</t>
  </si>
  <si>
    <t>M1136</t>
  </si>
  <si>
    <t>Cordão de polietileno expandido de baixa densidade - D = 10,0 mm</t>
  </si>
  <si>
    <t>Junta de dilatação em elastômero e perfil VV - L = 35 mm e H = 60 mm</t>
  </si>
  <si>
    <t>Adesivo estrutural à base de resina epóxi bicomponente tipo ADE-52 ou similar</t>
  </si>
  <si>
    <t>Junta de dilatação em elastômero e perfil VV - L = 40 mm e H = 70 mm</t>
  </si>
  <si>
    <t>Junta de dilatação em elastômero e perfil VV - L = 50 mm e H = 80 mm</t>
  </si>
  <si>
    <t>Arame liso em aço galvanizado - D = 1,65 mm (16 BWG)</t>
  </si>
  <si>
    <t>Pórtico metálico para vão de 15,9 m e vento de 35 m/s</t>
  </si>
  <si>
    <t>Projetor externo em alumínio fundido para lâmpada de até 2.000 W</t>
  </si>
  <si>
    <t>Coroa diamantada - D = 15,87 mm (5/8")</t>
  </si>
  <si>
    <t>Coroa diamantada - D = 19,50 mm (3/4")</t>
  </si>
  <si>
    <t>Coroa diamantada - D = 25,40 mm (1")</t>
  </si>
  <si>
    <t>Barra em aço SAE 1010/1020 roscada - D = 9,5 mm (3/8")</t>
  </si>
  <si>
    <t>Roller bit - Tooth cutter - série 8 - D = 700 mm</t>
  </si>
  <si>
    <t>Roller bit - Tooth cutter - série 8 - D = 800 mm</t>
  </si>
  <si>
    <t>Roller bit - Tooth cutter - série 8 - D = 900 mm</t>
  </si>
  <si>
    <t>Roller bit - Tooth cutter - série 8 - D = 1.000 mm</t>
  </si>
  <si>
    <t>Roller bit - Tooth cutter - série 8 - D = 1.100 mm</t>
  </si>
  <si>
    <t>Roller bit - Tooth cutter - série 8 - D = 1.200 mm</t>
  </si>
  <si>
    <t>Roller bit - Tooth cutter - série 8 - D = 1.300 mm</t>
  </si>
  <si>
    <t>Roller bit - Tooth cutter - série 13 - D = 1.400 mm</t>
  </si>
  <si>
    <t>Roller bit - Tooth cutter - série 13 - D = 1.500 mm</t>
  </si>
  <si>
    <t>Roller bit - Tooth cutter - série 13 - D = 1.600 mm</t>
  </si>
  <si>
    <t>Roller bit - Tooth cutter - série 13 - D = 1.700 mm</t>
  </si>
  <si>
    <t>Roller bit - Tooth cutter - série 13 - D = 1.800 mm</t>
  </si>
  <si>
    <t>M1312</t>
  </si>
  <si>
    <t>Roller bit - Tooth cutter - cantilever - D = 600 mm</t>
  </si>
  <si>
    <t>Roller bit - TCI button cutter - cantilever - D = 600 mm</t>
  </si>
  <si>
    <t>Roller bit - TCI button cutter - série 8 - D = 700 mm</t>
  </si>
  <si>
    <t>Roller bit - TCI button cutter - série 8 - D = 800 mm</t>
  </si>
  <si>
    <t>Roller bit - TCI button cutter - série 8 - D = 900 mm</t>
  </si>
  <si>
    <t>Roller bit - TCI button cutter - série 8 - D = 1.000 mm</t>
  </si>
  <si>
    <t>Roller bit - TCI button cutter - série 8 - D = 1.100 mm</t>
  </si>
  <si>
    <t>Roller bit - TCI button cutter - série 8 - D = 1.200 mm</t>
  </si>
  <si>
    <t>Roller bit - TCI button cutter - série 8 - D = 1.300 mm</t>
  </si>
  <si>
    <t>Roller bit - TCI button cutter - série 13 - D = 1.400 mm</t>
  </si>
  <si>
    <t>Roller bit - TCI button cutter - série 13 - D = 1.500 mm</t>
  </si>
  <si>
    <t>Roller bit - TCI button cutter - série 13 - D = 1.600 mm</t>
  </si>
  <si>
    <t>Roller bit - TCI button cutter - série 13 - D = 1.700 mm</t>
  </si>
  <si>
    <t>Roller bit - TCI button cutter - série 13 - D = 1.800 mm</t>
  </si>
  <si>
    <t>Ripa de madeira - E = 4,0 cm e L = 1,5 cm</t>
  </si>
  <si>
    <t>Série de brocas integrais S11</t>
  </si>
  <si>
    <t>Parafuso de cabeça sextavada em aço galvanizado - D = 15,875 mm (5/8") e C = 101,600 mm (4")</t>
  </si>
  <si>
    <t>Muda de árvore ornamental com altura de 2,00 a 3,00 m</t>
  </si>
  <si>
    <t>Muda de árvore ornamental com altura de 1,00 a 2,00 m</t>
  </si>
  <si>
    <t>Muda de árvore ornamental com altura até 1,00 m</t>
  </si>
  <si>
    <t>Sarrafo em madeira de terceira - E = 2,5 cm e L = 5 cm</t>
  </si>
  <si>
    <t>Muda de árvore frutífera com altura de 2,00 a 3,00 m</t>
  </si>
  <si>
    <t>Muda de árvore frutífera com altura de 1,00 a 2,00 m</t>
  </si>
  <si>
    <t>Muda de árvore frutífera com altura até 1,00 m</t>
  </si>
  <si>
    <t>Tapete de floríferas com altura até 0,50 m</t>
  </si>
  <si>
    <t>Herbicida glifosato para aplicação localizada</t>
  </si>
  <si>
    <t>Desengraxante líquido biodegradável</t>
  </si>
  <si>
    <t>Pingadeira de elastômero com aba inclinada - L = 40 mm e H = 40 mm</t>
  </si>
  <si>
    <t>Selador acrílico para pintura</t>
  </si>
  <si>
    <t>Aditivo látex de polímero SBR para concreto e argamassa</t>
  </si>
  <si>
    <t>M1374</t>
  </si>
  <si>
    <t>Chapa fina em aço ASTM A588 - Aço Corten</t>
  </si>
  <si>
    <t>M1375</t>
  </si>
  <si>
    <t>Chapa grossa em aço ASTM A588 - Aço Corten</t>
  </si>
  <si>
    <t>Chapa fina em aço ASTM A36</t>
  </si>
  <si>
    <t>Treliça nervurada eletrossoldada em aço CA 60</t>
  </si>
  <si>
    <t>Chapa grossa em aço ASTM A36</t>
  </si>
  <si>
    <t>Argamassa polimérica monocomponente para reparos estruturais</t>
  </si>
  <si>
    <t>Areia grossa lavada</t>
  </si>
  <si>
    <t>Areia fina lavada</t>
  </si>
  <si>
    <t>Tubo em aço-carbono com funil cônico tremonha para lançamento de concreto</t>
  </si>
  <si>
    <t>Disco de corte diamantado para concreto e asfalto - D = 350 mm</t>
  </si>
  <si>
    <t>Adesivo estrutural à base de resina epóxi de média viscosidade</t>
  </si>
  <si>
    <t>Cordoalha tipo CP 177 RB para estais - D = 15,7 mm</t>
  </si>
  <si>
    <t>M1390</t>
  </si>
  <si>
    <t>Adesivo estrutural à base de resina epóxi de baixa viscosidade</t>
  </si>
  <si>
    <t>Ponteiro para martelete - D = 22 mm e C = 1,00 m</t>
  </si>
  <si>
    <t>Eletrodo revestido E60XX</t>
  </si>
  <si>
    <t>Vareta em aço-carbono para solda oxiacetileno AWS A 5.2 R45</t>
  </si>
  <si>
    <t>M1399</t>
  </si>
  <si>
    <t>Broca de widia - D = 14 mm e C = 150 mm</t>
  </si>
  <si>
    <t>M1400</t>
  </si>
  <si>
    <t>Adesivo estrutural à base de resina epóxi de alta viscosidade</t>
  </si>
  <si>
    <t>M1401</t>
  </si>
  <si>
    <t>Bico de adesão para injeção de adesivo estrutural à base de resina epóxi</t>
  </si>
  <si>
    <t>M1402</t>
  </si>
  <si>
    <t>Bico de perfuração para injeção de adesivo estrutural à base de resina epóxi</t>
  </si>
  <si>
    <t>M1404</t>
  </si>
  <si>
    <t>Aplicador manual de adesivo estrutural</t>
  </si>
  <si>
    <t>M1405</t>
  </si>
  <si>
    <t>Disco diamantado para desbaste - D = 180 mm</t>
  </si>
  <si>
    <t>M1406</t>
  </si>
  <si>
    <t>Broca de aço rápido - D = 12,5 mm e C = 151 mm</t>
  </si>
  <si>
    <t>Grelha metálica para canaletas - C = 1,00 m e L = 0,30 m</t>
  </si>
  <si>
    <t>Porta-grelha metálica - C = 1,00 m e L = 0,30 m</t>
  </si>
  <si>
    <t>Tábua de pinho de terceira - E = 2,5 cm</t>
  </si>
  <si>
    <t>Tampão de ferro fundido articulado para águas pluviais - DN 600 classe 400</t>
  </si>
  <si>
    <t>Grelha metálica para canaletas - C = 0,50 m e L = 0,50 m</t>
  </si>
  <si>
    <t>Porta-grelha metálica - C = 0,50 m e L = 0,50 m</t>
  </si>
  <si>
    <t>Geogrelha bidirecional em polipropileno extrudado - resistência à tração de 30 kN/m, deformação inferior a 5% e malha de 36 x 34 mm</t>
  </si>
  <si>
    <t>Geogrelha unidirecional em poliéster - resistência à tração longitudinal de 50 kN/m</t>
  </si>
  <si>
    <t>Geogrelha unidirecional em poliéster - resistência à tração longitudinal de 90 kN/m</t>
  </si>
  <si>
    <t>Geogrelha unidirecional em poliéster - resistência à tração longitudinal de 100 kN/m</t>
  </si>
  <si>
    <t>Geogrelha unidirecional em poliéster - resistência à tração longitudinal de 150 kN/m</t>
  </si>
  <si>
    <t>Geogrelha unidirecional em poliéster - resistência à tração longitudinal de 200 kN/m</t>
  </si>
  <si>
    <t>Geogrelha unidirecional em poliéster - resistência à tração longitudinal de 300 kN/m</t>
  </si>
  <si>
    <t>Geogrelha unidirecional em poliéster - resistência à tração longitudinal de 400 kN/m</t>
  </si>
  <si>
    <t>Geocélula em PEAD - H = 75 mm e célula de 289 cm²</t>
  </si>
  <si>
    <t>Geocélula em PEAD - H = 100 mm e célula de 289 cm²</t>
  </si>
  <si>
    <t>Geocélula em PEAD - H = 150 mm e célula de 289 cm²</t>
  </si>
  <si>
    <t>Geocélula em PEAD - H = 200 mm e célula de 289 cm²</t>
  </si>
  <si>
    <t>Geocélula em PEAD - H = 75 mm e célula de 460 cm²</t>
  </si>
  <si>
    <t>Geocélula em PEAD - H = 100 mm e célula de 460 cm²</t>
  </si>
  <si>
    <t>Geocélula em PEAD - H = 150 mm e célula de 460 cm²</t>
  </si>
  <si>
    <t>Geocélula em PEAD - H = 200 mm e célula de 460 cm²</t>
  </si>
  <si>
    <t>Geocélula em PEAD - H = 75 mm e célula de 1.206 cm²</t>
  </si>
  <si>
    <t>Geocélula em PEAD - H = 100 mm e célula de 1.206 cm²</t>
  </si>
  <si>
    <t>Geocélula em PEAD - H = 150 mm e célula de 1.206 cm²</t>
  </si>
  <si>
    <t>Geocélula em PEAD - H = 200 mm e célula de 1.206 cm²</t>
  </si>
  <si>
    <t>Tubo de PVC rosqueável para água fria - D = 75 mm (3")</t>
  </si>
  <si>
    <t>Coroa diamantada - D = 31,80 mm (1 1/4")</t>
  </si>
  <si>
    <t>Coroa diamantada - D = 38,10 mm (1 1/2")</t>
  </si>
  <si>
    <t>Coroa diamantada - D = 44,50 mm (1 3/4")</t>
  </si>
  <si>
    <t>Coroa diamantada - D = 50,80 mm (2")</t>
  </si>
  <si>
    <t>Coroa diamantada - D = 63,50 mm (2 1/2")</t>
  </si>
  <si>
    <t>Coroa diamantada - D = 76,20 mm (3")</t>
  </si>
  <si>
    <t>Coroa diamantada - D = 101,60 mm (4")</t>
  </si>
  <si>
    <t>Broca de widia - D = 10 mm e C = 150 mm</t>
  </si>
  <si>
    <t>Broca de widia - D = 13 mm e C = 150 mm</t>
  </si>
  <si>
    <t>Telha trapezoidal em aço zincado - E = 0,43 mm</t>
  </si>
  <si>
    <t>Geotêxtil não-tecido agulhado em poliéster - resistência à tração longitudinal de 31 kN/m</t>
  </si>
  <si>
    <t>M1556</t>
  </si>
  <si>
    <t>Terra vegetal produzida</t>
  </si>
  <si>
    <t>Tinta látex à base de resina acrílica</t>
  </si>
  <si>
    <t>Tinta plástica à base de resina metacrílica aplicada a frio por dispersão ou extrusão</t>
  </si>
  <si>
    <t>Massa termoplástica aplicada por extrusão</t>
  </si>
  <si>
    <t>Suporte polimérico ecológico maciço colapsível para placa de sinalização - D = 6,4 cm</t>
  </si>
  <si>
    <t>Trilho TR25 em aço-carbono usado</t>
  </si>
  <si>
    <t>Trilho TR37 em aço-carbono usado</t>
  </si>
  <si>
    <t>Trilho TR45 em aço-carbono usado</t>
  </si>
  <si>
    <t>Trilho TR57 em aço-carbono usado</t>
  </si>
  <si>
    <t>Tubo em aço galvanizado com rosca BSP classe leve - D = 50 mm (2")</t>
  </si>
  <si>
    <t>Tubo em aço galvanizado com rosca BSP classe leve - D = 20 mm (3/4")</t>
  </si>
  <si>
    <t>Tubo em aço galvanizado com rosca BSP classe leve - D = 80 mm (3")</t>
  </si>
  <si>
    <t>Tubo em aço galvanizado com rosca BSP classe leve - D = 100 mm (4")</t>
  </si>
  <si>
    <t>Suporte polimérico ecológico maciço colapsível para placa de sinalização - seção de 8 x 8 cm</t>
  </si>
  <si>
    <t>Suporte polimérico ecológico maciço colapsível para placa de sinalização - seção de 7 x 15 cm</t>
  </si>
  <si>
    <t>Mourão de madeira - H = 2,10 m e D = 0,10 m</t>
  </si>
  <si>
    <t>Mourão de madeira - H = 2,20 m e D = 0,15 m</t>
  </si>
  <si>
    <t>Nonel iniciador - C = 300,0 m</t>
  </si>
  <si>
    <t>Coroa de botões esféricos - D = 130 mm (5 1/8")</t>
  </si>
  <si>
    <t>Coroa de botões esféricos - D = 194 mm (7 5/8")</t>
  </si>
  <si>
    <t>Coroa de botões esféricos - D = 251 mm (9 7/8")</t>
  </si>
  <si>
    <t>M1645</t>
  </si>
  <si>
    <t>Coroa de botões esféricos - D = 305 mm (12")</t>
  </si>
  <si>
    <t>Coroa de botões esféricos - D = 355 mm (14")</t>
  </si>
  <si>
    <t>M1648</t>
  </si>
  <si>
    <t>Dente de corte para trado ou caçamba de perfuração</t>
  </si>
  <si>
    <t>Coroa de botões esféricos linha ST68 - D = 102 mm (4")</t>
  </si>
  <si>
    <t>M1650</t>
  </si>
  <si>
    <t>Coroa de botões esféricos para tirante autoinjetável - D = 87 mm (3 7/16")</t>
  </si>
  <si>
    <t>M1651</t>
  </si>
  <si>
    <t>Tricone para tirante autoinjetável - D = 120 mm</t>
  </si>
  <si>
    <t>Coroa piloto de botões esféricos para sistema autoperfurante - D = 76,2 mm (3")</t>
  </si>
  <si>
    <t>Tubo de PVC ponta e bolsa para esgoto - D = 50 mm (2")</t>
  </si>
  <si>
    <t>Tubo de PVC ponta e bolsa para esgoto - D = 75 mm (3")</t>
  </si>
  <si>
    <t>M1657</t>
  </si>
  <si>
    <t>Tubo PEAD corrugado perfurado para drenagem - D = 170 mm</t>
  </si>
  <si>
    <t>M1658</t>
  </si>
  <si>
    <t>Tubo PEAD corrugado perfurado para drenagem - D = 230 mm</t>
  </si>
  <si>
    <t>Tubo de PVC rosqueável para água fria - D = 40 mm (1 1/2")</t>
  </si>
  <si>
    <t>Tubo de PVC rosqueável para água fria - D = 150 mm (6")</t>
  </si>
  <si>
    <t>Duto flexível de ventilação em PVC - D = 1,20 m</t>
  </si>
  <si>
    <t>Broca integral série H19 - D = 24 mm e C = 0,4 m</t>
  </si>
  <si>
    <t>Geotêxtil não-tecido agulhado em poliéster - resistência à tração longitudinal de 10 kN/m</t>
  </si>
  <si>
    <t>M1728</t>
  </si>
  <si>
    <t>Punho linha R25 para martelete perfurador e rompedor - D = 25 mm (1")</t>
  </si>
  <si>
    <t>M1729</t>
  </si>
  <si>
    <t>Haste linha R25 para martelete perfurador e rompedor - D = 25 mm (1") e C = 1,00 m</t>
  </si>
  <si>
    <t>M1730</t>
  </si>
  <si>
    <t>Luva de acoplamento linha R25 para martelete perfurador e rompedor - D = 25 mm (1")</t>
  </si>
  <si>
    <t>Haste de perfuração simples para jet grouting - D = 88,9 mm (3 1/2") e C = 3,00 m</t>
  </si>
  <si>
    <t>Luva em aço galvanizado com rosca BSP classe leve - D = 50 mm (2")</t>
  </si>
  <si>
    <t>Manta drenante em malha de polietileno e geotêxtil de polipropileno em uma das faces</t>
  </si>
  <si>
    <t>Punho linha ST68 para perfuração - D = 80 mm (3 5/32")</t>
  </si>
  <si>
    <t>Adesivo à base de resina poliéster bicomponente para ancoragem</t>
  </si>
  <si>
    <t>Tubo em aço-carbono para ar comprimido - D = 150 mm (6")</t>
  </si>
  <si>
    <t>Haste linha T45 para perfuratriz sobre esteiras - D = 45,0 mm (1 3/4") e C = 3,60 m</t>
  </si>
  <si>
    <t>Punho linha T45 para perfuratriz sobre esteiras - D = 45 mm (1 3/4")</t>
  </si>
  <si>
    <t>Luva em aço linha T45 para perfuratriz sobre esteiras - D = 45,0 mm (1 3/4")</t>
  </si>
  <si>
    <t>Coroa de botões esféricos linha T45 - D = 89 mm (3 1/2")</t>
  </si>
  <si>
    <t>Tubo em aço-carbono para sistema autoperfurante - D = 76,2 mm</t>
  </si>
  <si>
    <t>M1748</t>
  </si>
  <si>
    <t>Tubo em aço-carbono iniciador para sistema autoperfurante com anel da coroa piloto - D = 76,2 mm (3") e C = 3 m</t>
  </si>
  <si>
    <t>Haste linha ST68 para perfuração - D = 87,0 mm (3 7/16") e C = 1,83 m</t>
  </si>
  <si>
    <t>Hidromonitor com bico de injeção para jet grouting - D = 88,9 mm (3 1/2")</t>
  </si>
  <si>
    <t>M1751</t>
  </si>
  <si>
    <t>Válvula manchete - D = 73 mm</t>
  </si>
  <si>
    <t>M1752</t>
  </si>
  <si>
    <t>Borracha para obturador mecânico</t>
  </si>
  <si>
    <t>Disco de corte diamantado segmentado para concreto - D = 110 mm</t>
  </si>
  <si>
    <t>M1754</t>
  </si>
  <si>
    <t>Conjunto de lâminas de corte para trituradora de galhos e troncos</t>
  </si>
  <si>
    <t>Pó calcário dolomítico</t>
  </si>
  <si>
    <t>Material formador de camada protetora para hidrossemeadura</t>
  </si>
  <si>
    <t>Tubo em aço-carbono schedule 40 - D = 65 mm (2 1/2")</t>
  </si>
  <si>
    <t>Ancoragem regulável para estais de 19 cordoalhas - D = 15,7 mm</t>
  </si>
  <si>
    <t>Ancoragem regulável para estais de 31 cordoalhas - D = 15,7 mm</t>
  </si>
  <si>
    <t>Ancoragem regulável para estais de 37 cordoalhas - D = 15,7 mm</t>
  </si>
  <si>
    <t>Ancoragem regulável para estais de 55 cordoalhas - D = 15,7 mm</t>
  </si>
  <si>
    <t>Ancoragem regulável para estais de 61 cordoalhas - D = 15,7 mm</t>
  </si>
  <si>
    <t>Ancoragem regulável para estais de 73 cordoalhas - D = 15,7 mm</t>
  </si>
  <si>
    <t>Ancoragem regulável para estais de 91 cordoalhas - D = 15,7 mm</t>
  </si>
  <si>
    <t>Ancoragem fixa para estais de 19 cordoalhas - D = 15,7 mm</t>
  </si>
  <si>
    <t>Ancoragem fixa para estais de 31 cordoalhas - D = 15,7 mm</t>
  </si>
  <si>
    <t>Ancoragem fixa para estais de 37 cordoalhas - D = 15,7 mm</t>
  </si>
  <si>
    <t>Ancoragem fixa para estais de 55 cordoalhas - D = 15,7 mm</t>
  </si>
  <si>
    <t>Ancoragem fixa para estais de 61 cordoalhas - D = 15,7 mm</t>
  </si>
  <si>
    <t>Ancoragem fixa para estais de 73 cordoalhas - D = 15,7 mm</t>
  </si>
  <si>
    <t>Ancoragem fixa para estais de 91 cordoalhas - D = 15,7 mm</t>
  </si>
  <si>
    <t>Estaca de tutoramento - D = 5 cm e H = 2 m</t>
  </si>
  <si>
    <t>Ancoragem ativa para 31 cordoalhas - D = 15,2 mm</t>
  </si>
  <si>
    <t>Gás liquefeito de petróleo (GLP)</t>
  </si>
  <si>
    <t>Gás oxigênio</t>
  </si>
  <si>
    <t>Gás acetileno</t>
  </si>
  <si>
    <t>Fita de espuma EPDM para vedação com adesivo em uma face - E = 4 mm e L = 40 mm</t>
  </si>
  <si>
    <t>Manta asfáltica não-tecido em poliéster - antirraíz - E = 3 mm</t>
  </si>
  <si>
    <t>Longarina de madeira de primeira - L = 16 cm e E = 6 cm</t>
  </si>
  <si>
    <t>Estronca de madeira - D = 20 cm</t>
  </si>
  <si>
    <t>M1814</t>
  </si>
  <si>
    <t>Tela metálica galvanizada dobrada em L - C = 2,0 m, L = 0,5 m e H = 0,5 m</t>
  </si>
  <si>
    <t>Cartucho de cimento - D = 25 mm e C = 320 mm</t>
  </si>
  <si>
    <t>Cartucho de resina poliéster - D = 38 mm e C = 500 mm</t>
  </si>
  <si>
    <t>Ancoragem ativa para 8 cordoalhas - D = 15,2 mm</t>
  </si>
  <si>
    <t>Ancoragem passiva aderente para 10 cordoalhas - D = 15,2 mm</t>
  </si>
  <si>
    <t>Tinta em pó à base de resina epóxi</t>
  </si>
  <si>
    <t>Coroa de botões esféricos - D = 120 mm (4 3/4")</t>
  </si>
  <si>
    <t>Cunha metálica para cordoalha - D = 12,7 mm</t>
  </si>
  <si>
    <t>Martelo de fundo DTH - DN = 102 mm (4")</t>
  </si>
  <si>
    <t>Haste de perfuração com rosca API 2 3/8" - D = 73 mm (2 7/8")</t>
  </si>
  <si>
    <t>Válvula manchete - D = 32 mm</t>
  </si>
  <si>
    <t>Válvula manchete - D = 40 mm</t>
  </si>
  <si>
    <t>Tubo PEAD PE 80 PN 6 - D = 40 mm</t>
  </si>
  <si>
    <t>Tubo PEAD PE 80 PN 16 - D = 20 mm</t>
  </si>
  <si>
    <t>M1894</t>
  </si>
  <si>
    <t>Cabo de aço - D = 16,00 mm (5/8")</t>
  </si>
  <si>
    <t>M1895</t>
  </si>
  <si>
    <t>Coroa de botões esféricos linha R25 - D = 48 mm (1 7/8")</t>
  </si>
  <si>
    <t>M1898</t>
  </si>
  <si>
    <t>Pasta lubrificante para tubo PEAD</t>
  </si>
  <si>
    <t>M1899</t>
  </si>
  <si>
    <t>Tela metálica de dupla torção em liga de zinco e alumínio com cabos de aço longitudinais - resistência longitudinal à tração de 121 kN/m - inclusive grampos e clipes de junção</t>
  </si>
  <si>
    <t>Tubo PEAD PE 80 PN 8 - D = 32 mm</t>
  </si>
  <si>
    <t>Tubo PEAD PE 80 PN 8 - D = 40 mm</t>
  </si>
  <si>
    <t>Tubo PEAD PE 80 PN 8 - D = 50 mm</t>
  </si>
  <si>
    <t>Tubo PEAD PE 80 PN 8 - D = 63 mm</t>
  </si>
  <si>
    <t>Tubo PEAD PE 80 PN 8 - D = 75 mm</t>
  </si>
  <si>
    <t>Tubo PEAD PE 80 PN 8 - D = 110 mm</t>
  </si>
  <si>
    <t>M1920</t>
  </si>
  <si>
    <t>Duto flexível de poliéster aluminizado sem isolamento para exaustão - D = 263 mm</t>
  </si>
  <si>
    <t>Tubo de PVC espaguete - D = 14 mm</t>
  </si>
  <si>
    <t>M1923</t>
  </si>
  <si>
    <t>Duto flexível de poliéster aluminizado sem isolamento para ventilação forçada - D = 161 mm</t>
  </si>
  <si>
    <t>Espaçador plástico tipo disco separador para tirante com 6 cordoalhas - D = 12,7 mm</t>
  </si>
  <si>
    <t>Espaçador plástico tipo disco separador para tirante com 8 cordoalhas - D = 12,7 mm</t>
  </si>
  <si>
    <t>Espaçador plástico tipo disco separador para tirante com 10 cordoalhas - D = 12,7 mm</t>
  </si>
  <si>
    <t>Espaçador plástico tipo disco separador para tirante com 12 cordoalhas - D = 12,7 mm</t>
  </si>
  <si>
    <t>Espaçador plástico tipo centralizador carambola para tirante de barra de aço - D = 32,0 mm</t>
  </si>
  <si>
    <t>Espaçador plástico tipo centralizador carambola para tirante de barra de aço - D = 30,0 mm</t>
  </si>
  <si>
    <t>Espaçador plástico tipo centralizador carambola para tirante de barra de aço - D = 40,0 mm</t>
  </si>
  <si>
    <t>Óleo tipo A1</t>
  </si>
  <si>
    <t>Espaçador plástico tipo centralizador carambola para tirante de barra de aço - D = 47,0 mm</t>
  </si>
  <si>
    <t>Cimento asfáltico de petróleo - CAP 50/70</t>
  </si>
  <si>
    <t>Cimento asfáltico de petróleo - CAP 150/200</t>
  </si>
  <si>
    <t>Cimento asfáltico de petróleo - CAP 85/100</t>
  </si>
  <si>
    <t>Emulsão asfáltica - RR-1C</t>
  </si>
  <si>
    <t>Emulsão asfáltica - RM-1C</t>
  </si>
  <si>
    <t>Espaçador plástico tipo centralizador carambola para tirante de barra de aço - D = 50,0 mm</t>
  </si>
  <si>
    <t>Emulsão asfáltica - RL-1C</t>
  </si>
  <si>
    <t>Emulsão asfáltica com polímero - RC-1C-E</t>
  </si>
  <si>
    <t>Cimento asfáltico de petróleo com polímero - CAP 150/200-E</t>
  </si>
  <si>
    <t>Aditivo asfáltico de reciclagem para misturas a quente</t>
  </si>
  <si>
    <t>Cimento Portland CP II - 32 - a granel</t>
  </si>
  <si>
    <t>Cimento asfáltico de petróleo com polímero - CAP 55/75-E</t>
  </si>
  <si>
    <t>Emulsão asfáltica com polímero - RR-2C-E</t>
  </si>
  <si>
    <t>Emulsão asfáltica com polímero - RM-1C-E</t>
  </si>
  <si>
    <t>Espaçador plástico tipo centralizador carambola para tirante de barra de aço - D = 53,0 mm</t>
  </si>
  <si>
    <t>Espaçador plástico tipo centralizador carambola para tirante de barra de aço - D = 57,0 mm</t>
  </si>
  <si>
    <t>Espaçador plástico tipo centralizador carambola para tirante de barra de aço - D = 63,0 mm</t>
  </si>
  <si>
    <t>Espaçador plástico tipo centralizador carambola para tirante de barra de aço - D = 69,0 mm</t>
  </si>
  <si>
    <t>Cantoneira em ferro de abas iguais - L = 63,5 mm e E = 9,53 mm</t>
  </si>
  <si>
    <t>Defensa metálica maleável simples</t>
  </si>
  <si>
    <t>Defensa metálica maleável dupla</t>
  </si>
  <si>
    <t>Defensa metálica semimaleável simples</t>
  </si>
  <si>
    <t>Defensa metálica semimaleável dupla</t>
  </si>
  <si>
    <t>Dente de corte para fresadora de 155 kW</t>
  </si>
  <si>
    <t>Módulo de transição de defensa metálica tipo dupla onda com lâmina adicional para barreira rígida</t>
  </si>
  <si>
    <t>Dente de corte para fresadora de 455 kW</t>
  </si>
  <si>
    <t>Terminal aéreo de defensa metálica (tipo A)</t>
  </si>
  <si>
    <t>Terminal de ancoragem de defensa metálica em barreira rígida (tipo D)</t>
  </si>
  <si>
    <t>Luva em aço para emenda de tirantes - D = 38 mm e C = 115 mm</t>
  </si>
  <si>
    <t>Luva em aço para emenda de tirantes - D = 48 mm e C = 120 mm</t>
  </si>
  <si>
    <t>Luva em aço para emenda de tirantes - D = 60 mm e C = 160 mm</t>
  </si>
  <si>
    <t>Luva em aço para emenda de tirantes - D = 50 mm e C = 130 mm</t>
  </si>
  <si>
    <t>Luva em aço para emenda de tirantes - D = 63 mm e C = 180 mm</t>
  </si>
  <si>
    <t>Luva em aço para emenda de tirantes - D = 73 mm e C = 180 mm</t>
  </si>
  <si>
    <t>Luva em aço para emenda de tirantes - D = 73 mm e C = 200 mm</t>
  </si>
  <si>
    <t>Luva em aço para emenda de tirantes - D = 82 mm e C = 200 mm</t>
  </si>
  <si>
    <t>Luva em aço para emenda de tirantes - D = 89 mm e C = 210 mm</t>
  </si>
  <si>
    <t>Luva em aço para emenda de tirantes - D = 97 mm e C = 210 mm</t>
  </si>
  <si>
    <t>Placa de ancoragem para tirante de barra de aço - E = 16,0 mm e seção de 160 x 160 mm</t>
  </si>
  <si>
    <t>Placa de ancoragem para tirante de barra de aço - E = 16,0 mm e seção de 200 x 200 mm</t>
  </si>
  <si>
    <t>Placa de ancoragem para tirante de barra de aço - E = 22,0 mm e seção de 200 x 200 mm</t>
  </si>
  <si>
    <t>Amortecedor retrátil tipo TAU II paralelo PCB ou similar para velocidade de projeto de 100 km/h</t>
  </si>
  <si>
    <t>Amortecedor retrátil tipo TAU II combinado PCB ou similar para velocidade de projeto de 100 km/h e âncora traseira de 900 mm</t>
  </si>
  <si>
    <t>Amortecedor retrátil tipo TAU II combinado PCB ou similar para velocidade de projeto de 100 km/h e âncora traseira de 1.060 mm</t>
  </si>
  <si>
    <t>Amortecedor retrátil tipo TAU II combinado PCB ou similar para velocidade de projeto de 100 km/h e âncora traseira de 1.220 mm</t>
  </si>
  <si>
    <t>Amortecedor retrátil tipo TAU II combinado PCB ou similar para velocidade de projeto de 100 km/h e âncora traseira de 1.370 mm</t>
  </si>
  <si>
    <t>Dispositivo de ancoragem de fixação elástica Pandrol - ombreira</t>
  </si>
  <si>
    <t>Amortecedor retrátil tipo TAU II combinado PCB ou similar para velocidade de projeto de 100 km/h e âncora traseira de 1.520 mm</t>
  </si>
  <si>
    <t>Amortecedor retrátil tipo TAU II afunilado PCB ou similar para velocidade de projeto de 100 km/h e âncora traseira de 1.680 mm</t>
  </si>
  <si>
    <t>Amortecedor retrátil tipo TAU II afunilado PCB ou similar para velocidade de projeto de 100 km/h e âncora traseira de 1.830 mm</t>
  </si>
  <si>
    <t>Placa de ancoragem para tirante de barra de aço - E = 32,0 mm e seção de 250 x 250 mm</t>
  </si>
  <si>
    <t>Placa de ancoragem para tirante de barra de aço - E = 38,0 mm e seção de 250 x 250 mm</t>
  </si>
  <si>
    <t>Placa de ancoragem para tirante de barra de aço - E = 51,0 mm e seção de 300 x 300 mm</t>
  </si>
  <si>
    <t>Placa de ancoragem para tirante de barra de aço - E = 64,0 mm e seção de 350 x 350 mm</t>
  </si>
  <si>
    <t>Placa de ancoragem para tirante com 6 cordoalhas de D = 12,7 mm</t>
  </si>
  <si>
    <t>Placa de ancoragem para tirante com 8 cordoalhas de D = 12,7 mm</t>
  </si>
  <si>
    <t>Placa de ancoragem para tirante com 10 cordoalhas de D = 12,7 mm</t>
  </si>
  <si>
    <t>Placa de ancoragem para tirante com 12 cordoalhas de D = 12,7 mm</t>
  </si>
  <si>
    <t>Mourão de madeira - H = 2,20 m e D = 0,10 m</t>
  </si>
  <si>
    <t>Amortecedor retrátil tipo TAU II afunilado PCB ou similar para velocidade de projeto de 100 km/h e âncora traseira de 1.980 mm</t>
  </si>
  <si>
    <t>Porca em aço para ancoragem de tirantes - D = 38 mm e C = 55 mm</t>
  </si>
  <si>
    <t>Gastalho - L = 10 cm e E = 2 cm</t>
  </si>
  <si>
    <t>Porca em aço para ancoragem de tirantes - D = 38 mm e C = 60 mm</t>
  </si>
  <si>
    <t>Porca em aço para ancoragem de tirantes - D = 48 mm e C = 65 mm</t>
  </si>
  <si>
    <t>Amortecedor retrátil tipo TAU II afunilado PCB ou similar para velocidade de projeto de 100 km/h e âncora traseira de 2.130 mm</t>
  </si>
  <si>
    <t>Cordel detonante NP 10</t>
  </si>
  <si>
    <t>Retardo de cordel</t>
  </si>
  <si>
    <t>Estopim</t>
  </si>
  <si>
    <t>Tinta à base de resina acrílica estirenada para demarcação viária</t>
  </si>
  <si>
    <t>Coroa de botões cônicos - TCI tricone - D = 75 mm (2 15/16")</t>
  </si>
  <si>
    <t>Porca em aço para ancoragem de tirantes - D = 60 mm e C = 65 mm</t>
  </si>
  <si>
    <t>Porca em aço para ancoragem de tirantes - D = 73 mm e C = 80 mm</t>
  </si>
  <si>
    <t>Porca em aço para ancoragem de tirantes - D = 73 mm e C = 100 mm</t>
  </si>
  <si>
    <t>Porca em aço para ancoragem de tirantes - D = 82 mm e C = 100 mm</t>
  </si>
  <si>
    <t>Porca em aço para ancoragem de tirantes - D = 89 mm e C = 100 mm</t>
  </si>
  <si>
    <t>Solvente para tinta à base de resina acrílica</t>
  </si>
  <si>
    <t>Porca em aço para ancoragem de tirantes - D = 97 mm e C = 110 mm</t>
  </si>
  <si>
    <t>Massa termoplástica para aspersão</t>
  </si>
  <si>
    <t>Adesivo à base de resina poliéster</t>
  </si>
  <si>
    <t>Emulsão explosiva encartuchada</t>
  </si>
  <si>
    <t>Microesferas refletivas de vidro tipo II-C</t>
  </si>
  <si>
    <t>Coroa de botões cônicos - TCI tricone - D = 121 mm (4 3/4")</t>
  </si>
  <si>
    <t>Tirante autoinjetável de aço - tensão de escoamento = 440 MPa, tensão de ruptura = 580 MPa, seção de 684 mm² e D = 40 mm</t>
  </si>
  <si>
    <t>Tirante autoinjetável de aço - tensão de escoamento = 470 MPa, tensão de ruptura = 600 MPa, seção de 822 mm² e D = 40 mm</t>
  </si>
  <si>
    <t>Tirante autoinjetável de aço - tensão de escoamento = 700 MPa, tensão de ruptura = 830 MPa, seção de 936 mm² e D = 40 mm</t>
  </si>
  <si>
    <t>Geotêxtil não-tecido agulhado em poliéster - resistência à tração longitudinal de 9 kN/m</t>
  </si>
  <si>
    <t>Geotêxtil não-tecido agulhado em poliéster - resistência à tração longitudinal de 14 kN/m</t>
  </si>
  <si>
    <t>Tirante autoinjetável de aço - tensão de escoamento = 630 MPa, tensão de ruptura = 740 MPa, seção de 1.330 mm² e D = 50 mm</t>
  </si>
  <si>
    <t>Tirante autoinjetável de aço - tensão de escoamento = 630 MPa, tensão de ruptura = 740 MPa, seção de 1.569 mm² e D = 50 mm</t>
  </si>
  <si>
    <t>Tirante de barra de aço - tensão de escoamento = 600 MPa, tensão de ruptura = 720 MPa e D = 30 mm</t>
  </si>
  <si>
    <t>Tirante de barra de aço - tensão de escoamento = 600 MPa, tensão de ruptura = 720 MPa e D = 40 mm</t>
  </si>
  <si>
    <t>Tirante de barra de aço - tensão de escoamento = 680 MPa, tensão de ruptura = 870 MPa e D = 44 mm</t>
  </si>
  <si>
    <t>Tirante de barra de aço - tensão de escoamento = 600 MPa, tensão de ruptura = 720 MPa e D = 50 mm</t>
  </si>
  <si>
    <t>Tirante de barra de aço - tensão de escoamento = 600 MPa, tensão de ruptura = 720 MPa e D = 53 mm</t>
  </si>
  <si>
    <t>Tirante de barra de aço - tensão de escoamento = 600 MPa, tensão de ruptura = 720 MPa e D = 57 mm</t>
  </si>
  <si>
    <t>Amortecedor retrátil tipo TAU II afunilado PCB ou similar para velocidade de projeto de 100 km/h e âncora traseira de 2.290 mm</t>
  </si>
  <si>
    <t>Amortecedor retrátil tipo TAU II afunilado PCB ou similar para velocidade de projeto de 100 km/h e âncora traseira de 2.440 mm</t>
  </si>
  <si>
    <t>Coroa de botões esféricos linha T38 - D = 64 mm (2 1/2")</t>
  </si>
  <si>
    <t>Tirante de barra de aço - tensão de escoamento = 600 MPa, tensão de ruptura = 720 MPa e D = 63 mm</t>
  </si>
  <si>
    <t>Termoplástico pré-formado - E = 2,00 mm</t>
  </si>
  <si>
    <t>Haste linha T38 para perfuratriz sobre esteiras - D = 38,0 mm (1 1/2") e C = 3,05 m</t>
  </si>
  <si>
    <t>Luva em aço linha T38 para perfuratriz sobre esteiras - D = 38,0 mm (1 1/2")</t>
  </si>
  <si>
    <t>Punho linha T38 para perfuratriz sobre esteiras - D = 38 mm (1 1/2")</t>
  </si>
  <si>
    <t>Tirante de barra de aço - tensão de escoamento = 600 MPa, tensão de ruptura = 720 MPa e D = 69 mm</t>
  </si>
  <si>
    <t>Haste linha R/T38 - R32 para jumbo hidráulico - D = 38 mm (1 1/2") e C = 4,50 m</t>
  </si>
  <si>
    <t>Coroa de botões esféricos linha R32 - D = 51 mm (2")</t>
  </si>
  <si>
    <t>Luva de acoplamento linha T38 para jumbo hidráulico - D = 38,0 mm (1 1/2")</t>
  </si>
  <si>
    <t>Punho linha T38 para jumbo hidráulico - D = 38 mm (1 1/2")</t>
  </si>
  <si>
    <t>Cartucho de absorção de energia para amortecedor retrátil - tipo A</t>
  </si>
  <si>
    <t>Cartucho de absorção de energia para amortecedor retrátil - tipo B</t>
  </si>
  <si>
    <t>Fio de poliamida Nº 40 - E = 0,40 mm</t>
  </si>
  <si>
    <t>M2087</t>
  </si>
  <si>
    <t>Placa de ancoragem para tirante de barra de aço - E = 25,4 mm e seção de 225 x 225 mm</t>
  </si>
  <si>
    <t>M2088</t>
  </si>
  <si>
    <t>Placa de ancoragem para tirante de barra de aço - E = 20,0 mm e seção de 200 x 200 mm</t>
  </si>
  <si>
    <t>M2089</t>
  </si>
  <si>
    <t>Porca sextavada em aço para ancoragem de tirantes - D = 50 mm e C = 85 mm</t>
  </si>
  <si>
    <t>M2090</t>
  </si>
  <si>
    <t>Porca em aço para ancoragem de tirantes - D = 73 mm e C = 60 mm</t>
  </si>
  <si>
    <t>M2091</t>
  </si>
  <si>
    <t>Porca sextavada em aço para ancoragem de tirantes - D = 50 mm e C = 50 mm</t>
  </si>
  <si>
    <t>Emulsão asfáltica para imprimação</t>
  </si>
  <si>
    <t>Material fresado</t>
  </si>
  <si>
    <t>M2094</t>
  </si>
  <si>
    <t>Porca em aço para ancoragem de tirantes - D = 49 mm e C = 60 mm</t>
  </si>
  <si>
    <t>M2095</t>
  </si>
  <si>
    <t>Porca em aço para ancoragem de tirantes - D = 60 mm e C = 90 mm</t>
  </si>
  <si>
    <t>M2096</t>
  </si>
  <si>
    <t>Porca em aço para ancoragem de tirantes - D = 60 mm e C = 110 mm</t>
  </si>
  <si>
    <t>Emulsão asfáltica - RR-2C</t>
  </si>
  <si>
    <t>M2100</t>
  </si>
  <si>
    <t>Placa de ancoragem para tirante de barra de aço - E = 16,0 mm e seção de 140 x 140 mm</t>
  </si>
  <si>
    <t>M2101</t>
  </si>
  <si>
    <t>Porca sextavada em aço para ancoragem de tirantes - D = 41 mm e C = 50 mm</t>
  </si>
  <si>
    <t>Adesivo à base de PVA</t>
  </si>
  <si>
    <t>Mandíbula móvel para britador - abertura de alimentação com L = 930 mm</t>
  </si>
  <si>
    <t>Mandíbula fixa para britador - abertura de alimentação com L = 930 mm</t>
  </si>
  <si>
    <t>Manta do britador cônico HP200 ou similar</t>
  </si>
  <si>
    <t>Revestimento do bojo interno do britador cônico HP200 ou similar</t>
  </si>
  <si>
    <t>Cunha lateral superior para britador</t>
  </si>
  <si>
    <t>Cunha lateral inferior para britador</t>
  </si>
  <si>
    <t>Meio tubo de concreto simples - D = 0,40 m</t>
  </si>
  <si>
    <t>Calha metálica semicircular corrugada e galvanizada, incluindo fixações - D = 400 mm</t>
  </si>
  <si>
    <t>Mourão de madeira - H = 2,80 m e D = 0,15 m</t>
  </si>
  <si>
    <t>Eletrodo revestido E70XX</t>
  </si>
  <si>
    <t>M2131</t>
  </si>
  <si>
    <t>Eletrodo revestido E80XX</t>
  </si>
  <si>
    <t>Nonel de coluna (túnel) - C = 4,8 m</t>
  </si>
  <si>
    <t>Tubo de PVC soldável para água fria - D = 50 mm (2")</t>
  </si>
  <si>
    <t>Nonel de coluna - C = 12,0 m</t>
  </si>
  <si>
    <t>Coroa de diamante linha AWG</t>
  </si>
  <si>
    <t>Nonel de iniciação para fogacho - C = 6,0 m</t>
  </si>
  <si>
    <t>Nonel de coluna - C = 4,8 m</t>
  </si>
  <si>
    <t>Nonel de ligação - C = 6,0 m</t>
  </si>
  <si>
    <t>Nonel de coluna - C = 6,0 m</t>
  </si>
  <si>
    <t>Série de brocas integrais S12</t>
  </si>
  <si>
    <t>Nonel iniciador - C = 150,0 m</t>
  </si>
  <si>
    <t>Dente de corte para recicladora</t>
  </si>
  <si>
    <t>Porta-dente de corte para fresadora e recicladora a frio</t>
  </si>
  <si>
    <t>Selante elástico à base de poliuretano e asfalto</t>
  </si>
  <si>
    <t>Aditivo de cura para concreto</t>
  </si>
  <si>
    <t>Coroa de diamante linha HWG</t>
  </si>
  <si>
    <t>Coroa de diamante linha NWG</t>
  </si>
  <si>
    <t>Argamassa asfáltica</t>
  </si>
  <si>
    <t>Tubo PEAD corrugado perfurado para drenagem - D = 100 mm</t>
  </si>
  <si>
    <t>Coroa de widia linha AWG</t>
  </si>
  <si>
    <t>Tubo de concreto armado PA1 - D = 0,40 m</t>
  </si>
  <si>
    <t>Tubo de concreto armado PA2 - D = 0,40 m</t>
  </si>
  <si>
    <t>Tubo de concreto armado PA3 - D = 0,40 m</t>
  </si>
  <si>
    <t>Tubo de concreto armado PA4 - D = 0,40 m</t>
  </si>
  <si>
    <t>Tubo de concreto armado PA1 - D = 0,60 m</t>
  </si>
  <si>
    <t>Tubo de concreto armado PA2 - D = 0,60 m</t>
  </si>
  <si>
    <t>Tubo de concreto armado PA3 - D = 0,60 m</t>
  </si>
  <si>
    <t>Tubo de concreto armado PA4 - D = 0,60 m</t>
  </si>
  <si>
    <t>Tubo de concreto armado PA1 - D = 0,80 m</t>
  </si>
  <si>
    <t>Tubo de concreto armado PA2 - D = 0,80 m</t>
  </si>
  <si>
    <t>Tubo de concreto armado PA3 - D = 0,80 m</t>
  </si>
  <si>
    <t>Tubo de concreto armado PA4 - D = 0,80 m</t>
  </si>
  <si>
    <t>Tubo de concreto armado PA1 - D = 1,00 m</t>
  </si>
  <si>
    <t>Tubo de concreto armado PA2 - D = 1,00 m</t>
  </si>
  <si>
    <t>Tubo de concreto armado PA3 - D = 1,00 m</t>
  </si>
  <si>
    <t>Tubo de concreto armado PA4 - D = 1,00 m</t>
  </si>
  <si>
    <t>Tubo de concreto armado PA1 - D = 1,20 m</t>
  </si>
  <si>
    <t>Tubo de concreto armado PA2 - D = 1,20 m</t>
  </si>
  <si>
    <t>Tubo de concreto armado PA3 - D = 1,20 m</t>
  </si>
  <si>
    <t>Tubo de concreto armado PA4 - D = 1,20 m</t>
  </si>
  <si>
    <t>Tubo de concreto armado PA1 - D = 1,50 m</t>
  </si>
  <si>
    <t>Tubo de concreto armado PA2 - D = 1,50 m</t>
  </si>
  <si>
    <t>Tubo de concreto armado PA3 - D = 1,50 m</t>
  </si>
  <si>
    <t>Tubo de concreto armado PA4 - D = 1,50 m</t>
  </si>
  <si>
    <t>Tubo de concreto armado PA1 - D = 0,50 m</t>
  </si>
  <si>
    <t>Tubo de concreto armado PA2 - D = 0,50 m</t>
  </si>
  <si>
    <t>Tubo de concreto armado PA3 - D = 0,50 m</t>
  </si>
  <si>
    <t>Tubo de concreto armado PA4 - D = 0,50 m</t>
  </si>
  <si>
    <t>Coroa de widia linha HWG</t>
  </si>
  <si>
    <t>Coroa de widia linha NWG</t>
  </si>
  <si>
    <t>Haste de paredes paralelas com niple linha NW</t>
  </si>
  <si>
    <t>Trilho UIC60 em aço-carbono - C = 12 m</t>
  </si>
  <si>
    <t>Trilho TR45 em aço-carbono - C = 12 m</t>
  </si>
  <si>
    <t>Trilho TR57 em aço-carbono - C = 12 m</t>
  </si>
  <si>
    <t>Trilho TR68 em aço-carbono - C = 12 m</t>
  </si>
  <si>
    <t>Tirefão - D = 24 mm e C = 188 mm</t>
  </si>
  <si>
    <t>Tirefão - D = 22 mm e C = 155 mm</t>
  </si>
  <si>
    <t>Retensor para via férrea de TR45</t>
  </si>
  <si>
    <t>Retensor para via férrea de TR57</t>
  </si>
  <si>
    <t>Retensor para via férrea de TR68</t>
  </si>
  <si>
    <t>Placa de apoio em aço laminado para UIC60 com fixação rígida</t>
  </si>
  <si>
    <t>Grampo elástico Pandrol para fixação elástica</t>
  </si>
  <si>
    <t>Placa de apoio em aço laminado para TR45 com fixação elástica</t>
  </si>
  <si>
    <t>Placa de apoio em aço laminado para TR57 com fixação elástica</t>
  </si>
  <si>
    <t>Placa de apoio em aço laminado para TR68 com fixação elástica</t>
  </si>
  <si>
    <t>Placa de apoio em aço laminado para TR45 com fixação rígida</t>
  </si>
  <si>
    <t>Placa de apoio em aço laminado para TR57 com fixação rígida</t>
  </si>
  <si>
    <t>Placa de apoio em aço laminado para TR68 com fixação rígida</t>
  </si>
  <si>
    <t>Retensor para via férrea de UIC60</t>
  </si>
  <si>
    <t>Placa de apoio em aço laminado para UIC60 com fixação elástica</t>
  </si>
  <si>
    <t>Tala de junção TJ 45 não isolada com 6 furos</t>
  </si>
  <si>
    <t>par</t>
  </si>
  <si>
    <t>Tala de junção TJ 57 não isolada com 6 furos</t>
  </si>
  <si>
    <t>Tala de junção TJ 68 não isolada com 6 furos</t>
  </si>
  <si>
    <t>Parafuso de cabeça abaulada em aço inox com porca e arruela de pressão para tala de junção - D = 25,4 mm</t>
  </si>
  <si>
    <t>Tala de junção TJ 60 não isolada com 6 furos</t>
  </si>
  <si>
    <t>AMV tipo TR45, abertura 1:8, bitola métrica</t>
  </si>
  <si>
    <t>AMV tipo TR45, abertura 1:10, bitola métrica</t>
  </si>
  <si>
    <t>AMV tipo TR45, abertura 1:12, bitola métrica</t>
  </si>
  <si>
    <t>AMV tipo TR45, abertura 1:14, bitola métrica</t>
  </si>
  <si>
    <t>AMV tipo TR57, abertura 1:8, bitola métrica</t>
  </si>
  <si>
    <t>AMV tipo TR57, abertura 1:10, bitola métrica</t>
  </si>
  <si>
    <t>AMV tipo TR57, abertura 1:12, bitola métrica</t>
  </si>
  <si>
    <t>AMV tipo TR57, abertura 1:14, bitola métrica</t>
  </si>
  <si>
    <t>AMV tipo TR57, abertura 1:20, bitola métrica</t>
  </si>
  <si>
    <t>AMV tipo TR68, abertura 1:10, bitola métrica</t>
  </si>
  <si>
    <t>AMV tipo TR68, abertura 1:12, bitola métrica</t>
  </si>
  <si>
    <t>AMV tipo TR68, abertura 1:14, bitola métrica</t>
  </si>
  <si>
    <t>AMV tipo UIC60, abertura 1:10, bitola métrica</t>
  </si>
  <si>
    <t>AMV tipo TR68, abertura 1:20, bitola métrica</t>
  </si>
  <si>
    <t>AMV tipo TR45, abertura 1:8, bitola larga</t>
  </si>
  <si>
    <t>AMV tipo TR45, abertura 1:10, bitola larga</t>
  </si>
  <si>
    <t>AMV tipo TR45, abertura 1:12, bitola larga</t>
  </si>
  <si>
    <t>AMV tipo TR45, abertura 1:14, bitola larga</t>
  </si>
  <si>
    <t>AMV tipo TR57, abertura 1:8, bitola larga</t>
  </si>
  <si>
    <t>AMV tipo TR57, abertura 1:10, bitola larga</t>
  </si>
  <si>
    <t>AMV tipo TR57, abertura 1:12, bitola larga</t>
  </si>
  <si>
    <t>AMV tipo TR57, abertura 1:14, bitola larga</t>
  </si>
  <si>
    <t>AMV tipo TR57, abertura 1:20, bitola larga</t>
  </si>
  <si>
    <t>AMV tipo TR68, abertura 1:10, bitola larga</t>
  </si>
  <si>
    <t>AMV tipo TR68, abertura 1:12, bitola larga</t>
  </si>
  <si>
    <t>AMV tipo TR68, abertura 1:14, bitola larga</t>
  </si>
  <si>
    <t>AMV tipo UIC60, abertura 1:10, bitola larga</t>
  </si>
  <si>
    <t>AMV tipo TR68, abertura 1:20, bitola larga</t>
  </si>
  <si>
    <t>AMV tipo TR45, abertura 1:8, bitola mista</t>
  </si>
  <si>
    <t>AMV tipo TR45, abertura 1:10, bitola mista</t>
  </si>
  <si>
    <t>AMV tipo TR45, abertura 1:12, bitola mista</t>
  </si>
  <si>
    <t>AMV tipo TR45, abertura 1:14, bitola mista</t>
  </si>
  <si>
    <t>AMV tipo TR57, abertura 1:8, bitola mista</t>
  </si>
  <si>
    <t>AMV tipo TR57, abertura 1:10, bitola mista</t>
  </si>
  <si>
    <t>AMV tipo TR57, abertura 1:12, bitola mista</t>
  </si>
  <si>
    <t>AMV tipo TR57, abertura 1:14, bitola mista</t>
  </si>
  <si>
    <t>AMV tipo TR57, abertura 1:20, bitola mista</t>
  </si>
  <si>
    <t>AMV tipo TR68, abertura 1:10, bitola mista</t>
  </si>
  <si>
    <t>AMV tipo TR68, abertura 1:12, bitola mista</t>
  </si>
  <si>
    <t>AMV tipo TR68, abertura 1:14, bitola mista</t>
  </si>
  <si>
    <t>Revestimento com conector linha AW</t>
  </si>
  <si>
    <t>AMV tipo TR68, abertura 1:20, bitola mista</t>
  </si>
  <si>
    <t>Dormente de madeira bitola larga - C = 280 cm, L = 24 cm e H = 17 cm</t>
  </si>
  <si>
    <t>Dormente de madeira bitola métrica - C = 200 cm, L = 22 cm e H = 16 cm</t>
  </si>
  <si>
    <t>Revestimento com conector linha HW</t>
  </si>
  <si>
    <t>Revestimento com conector linha NW</t>
  </si>
  <si>
    <t>AMV tipo UIC60, abertura 1:12, bitola métrica</t>
  </si>
  <si>
    <t>AMV tipo UIC60, abertura 1:14, bitola métrica</t>
  </si>
  <si>
    <t>AMV tipo UIC60, abertura 1:20, bitola métrica</t>
  </si>
  <si>
    <t>AMV tipo UIC60, abertura 1:10, bitola mista</t>
  </si>
  <si>
    <t>AMV tipo UIC60, abertura 1:12, bitola mista</t>
  </si>
  <si>
    <t>AMV tipo UIC60, abertura 1:14, bitola mista</t>
  </si>
  <si>
    <t>AMV tipo UIC60, abertura 1:20, bitola mista</t>
  </si>
  <si>
    <t>Sapata de widia linha NW</t>
  </si>
  <si>
    <t>Broca de arraste com três asas linha NW</t>
  </si>
  <si>
    <t>Dormente de madeira para pontes - C = 300 cm, L = 25 cm e H = 20 cm</t>
  </si>
  <si>
    <t>AMV tipo UIC60, abertura 1:12, bitola larga</t>
  </si>
  <si>
    <t>AMV tipo UIC60, abertura 1:14, bitola larga</t>
  </si>
  <si>
    <t>AMV tipo UIC60, abertura 1:20, bitola larga</t>
  </si>
  <si>
    <t>Tubo de revestimento em aço-carbono schedule 40 para estaca raiz - ponteira schedule 80, D = 141,3 mm, peso 24 kg/m</t>
  </si>
  <si>
    <t>Tubo de revestimento em aço-carbono schedule 40 para estaca raiz - ponteira schedule 80, D = 168,3 mm, peso 31 kg/m</t>
  </si>
  <si>
    <t>Tubo de revestimento em aço-carbono schedule 40 para estaca raiz - ponteira schedule 80, D = 219,1 mm, peso 47 kg/m</t>
  </si>
  <si>
    <t>Tubo de revestimento em aço-carbono schedule 40 para estaca raiz - ponteira schedule 80, D = 273,0 mm, peso 67 kg/m</t>
  </si>
  <si>
    <t>Tubo de revestimento em aço-carbono schedule 40 para estaca raiz - ponteira schedule 80, D = 323,8 mm, peso 90 kg/m</t>
  </si>
  <si>
    <t>M2322</t>
  </si>
  <si>
    <t>Tubo de revestimento em aço-carbono schedule 40 para estaca raiz - ponteira schedule 80, D = 406,0 mm, peso 143 kg/m</t>
  </si>
  <si>
    <t>M2325</t>
  </si>
  <si>
    <t>Anel de compensação angular para tirantes com diâmetro de 30 mm</t>
  </si>
  <si>
    <t>M2326</t>
  </si>
  <si>
    <t>Anel de compensação angular para tirantes com diâmetro de 32 mm</t>
  </si>
  <si>
    <t>M2327</t>
  </si>
  <si>
    <t>Anel de compensação angular para tirantes com diâmetro de 40 mm</t>
  </si>
  <si>
    <t>M2328</t>
  </si>
  <si>
    <t>Anel de compensação angular para tirantes com diâmetro de 44 mm</t>
  </si>
  <si>
    <t>M2329</t>
  </si>
  <si>
    <t>Anel de compensação angular para tirantes com diâmetro de 50 mm</t>
  </si>
  <si>
    <t>M2330</t>
  </si>
  <si>
    <t>Anel de compensação angular para tirantes com diâmetro de 53 mm</t>
  </si>
  <si>
    <t>M2331</t>
  </si>
  <si>
    <t>Anel de compensação angular para tirantes com diâmetro de 57 mm</t>
  </si>
  <si>
    <t>M2332</t>
  </si>
  <si>
    <t>Anel de compensação angular para tirantes com diâmetro de 63 mm</t>
  </si>
  <si>
    <t>M2333</t>
  </si>
  <si>
    <t>Anel de compensação angular para tirantes com diâmetro de 69 mm</t>
  </si>
  <si>
    <t>Coroa de widia linha BWG</t>
  </si>
  <si>
    <t>M2335</t>
  </si>
  <si>
    <t>Jogo de dormentes de concreto para AMV 1:10, bitola métrica</t>
  </si>
  <si>
    <t>M2336</t>
  </si>
  <si>
    <t>Jogo de dormentes de concreto para AMV 1:10, bitola larga</t>
  </si>
  <si>
    <t>M2337</t>
  </si>
  <si>
    <t>Jogo de dormentes de concreto para AMV 1:10, bitola mista</t>
  </si>
  <si>
    <t>M2338</t>
  </si>
  <si>
    <t>Jogo de dormentes de concreto para AMV 1:12, bitola métrica</t>
  </si>
  <si>
    <t>M2339</t>
  </si>
  <si>
    <t>Jogo de dormentes de concreto para AMV 1:12, bitola larga</t>
  </si>
  <si>
    <t>M2340</t>
  </si>
  <si>
    <t>Jogo de dormentes de concreto para AMV 1:12, bitola mista</t>
  </si>
  <si>
    <t>M2341</t>
  </si>
  <si>
    <t>Jogo de dormentes de concreto para AMV 1:14, bitola métrica</t>
  </si>
  <si>
    <t>M2342</t>
  </si>
  <si>
    <t>Jogo de dormentes de concreto para AMV 1:14, bitola larga</t>
  </si>
  <si>
    <t>M2343</t>
  </si>
  <si>
    <t>Jogo de dormentes de concreto para AMV 1:14, bitola mista</t>
  </si>
  <si>
    <t>M2344</t>
  </si>
  <si>
    <t>Jogo de dormentes de concreto para AMV 1:20, bitola métrica</t>
  </si>
  <si>
    <t>M2345</t>
  </si>
  <si>
    <t>Jogo de dormentes de concreto para AMV 1:20, bitola larga</t>
  </si>
  <si>
    <t>M2346</t>
  </si>
  <si>
    <t>Jogo de dormentes de concreto para AMV 1:20, bitola mista</t>
  </si>
  <si>
    <t>M2352</t>
  </si>
  <si>
    <t>Conjunto para solda aluminotérmica de TR45 - porção, fôrmas, acendedor, pasta de vedação e cadinho descartável</t>
  </si>
  <si>
    <t>M2353</t>
  </si>
  <si>
    <t>Conjunto para solda aluminotérmica de TR57 - porção, fôrmas, acendedor, pasta de vedação e cadinho descartável</t>
  </si>
  <si>
    <t>M2354</t>
  </si>
  <si>
    <t>Conjunto para solda aluminotérmica de TR68 - porção, fôrmas, acendedor, pasta de vedação e cadinho descartável</t>
  </si>
  <si>
    <t>M2355</t>
  </si>
  <si>
    <t>Conjunto para solda aluminotérmica de UIC60 - porção, fôrmas, acendedor, pasta de vedação e cadinho descartável</t>
  </si>
  <si>
    <t>Brita padrão para lastro ferroviário</t>
  </si>
  <si>
    <t>Palmilha de borracha para dormente de concreto</t>
  </si>
  <si>
    <t>Broca para furar trilho - D = 29 mm (1 1/8")</t>
  </si>
  <si>
    <t>Disco de corte abrasivo para máquina para serrar trilho - D = 350 mm</t>
  </si>
  <si>
    <t>Dormentes de madeira para AMV</t>
  </si>
  <si>
    <t>Coroa de diamante linha BWG</t>
  </si>
  <si>
    <t>Revestimento com conector linha BW</t>
  </si>
  <si>
    <t>Corda de poliamida - D = 12,0 mm e capacidade de carga de 2.200 kg</t>
  </si>
  <si>
    <t>Broca de widia - D = 16 mm e C = 150 mm</t>
  </si>
  <si>
    <t>Parafuso de cabeça abaulada em aço inox com porca e arruela - D = 6 mm (M6) e C = 30 mm</t>
  </si>
  <si>
    <t>Parafuso de cabeça abaulada em aço inox com porca e arruela - D = 8 mm (M8) e C = 50 mm</t>
  </si>
  <si>
    <t>Mangueira cristal trançada de PVC com pressão de trabalho de 1,50 MPa (250 psi) - D = 9,5 mm (3/8")</t>
  </si>
  <si>
    <t>Fôrma plástica para nicho de protensão de cordoalha - D = 15,2 mm</t>
  </si>
  <si>
    <t>Fôrma plástica para nicho de protensão de cordoalha - D = 12,7 mm</t>
  </si>
  <si>
    <t>Cordoalha engraxada tipo CP 190 RB - D = 15,2 mm</t>
  </si>
  <si>
    <t>Cordoalha engraxada tipo CP 190 RB - D = 12,7 mm</t>
  </si>
  <si>
    <t>Bainha metálica para protensão - D = 35 mm</t>
  </si>
  <si>
    <t>Bainha metálica para protensão - D = 30 mm</t>
  </si>
  <si>
    <t>Ancoragem passiva aderente para 8 cordoalhas - D = 15,2 mm</t>
  </si>
  <si>
    <t>Ancoragem passiva aderente para 31 cordoalhas - D = 15,2 mm</t>
  </si>
  <si>
    <t>Ancoragem ativa para cordoalha engraxada - D = 12,7 mm</t>
  </si>
  <si>
    <t>Ancoragem ativa para cordoalha engraxada - D = 15,2 mm</t>
  </si>
  <si>
    <t>Ancoragem passiva aderente para 10 cordoalhas - D = 12,7 mm</t>
  </si>
  <si>
    <t>Ancoragem passiva aderente para 12 cordoalhas - D = 12,7 mm</t>
  </si>
  <si>
    <t>Ancoragem passiva aderente para 12 cordoalhas - D = 15,2 mm</t>
  </si>
  <si>
    <t>Ancoragem passiva aderente para 15 cordoalhas - D = 12,7 mm</t>
  </si>
  <si>
    <t>Ancoragem passiva aderente para 15 cordoalhas - D = 15,2 mm</t>
  </si>
  <si>
    <t>Ancoragem passiva aderente para 19 cordoalhas - D = 12,7 mm</t>
  </si>
  <si>
    <t>Ancoragem passiva aderente para 19 cordoalhas - D = 15,2 mm</t>
  </si>
  <si>
    <t>Ancoragem passiva aderente para 22 cordoalhas - D = 12,7 mm</t>
  </si>
  <si>
    <t>Ancoragem passiva aderente para 22 cordoalhas - D = 15,2 mm</t>
  </si>
  <si>
    <t>Ancoragem passiva aderente para 27 cordoalhas - D = 12,7 mm</t>
  </si>
  <si>
    <t>Ancoragem passiva aderente para 27 cordoalhas - D = 15,2 mm</t>
  </si>
  <si>
    <t>Ancoragem passiva aderente para 31 cordoalhas - D = 12,7 mm</t>
  </si>
  <si>
    <t>Ancoragem passiva aderente para 4 cordoalhas - D = 12,7 mm</t>
  </si>
  <si>
    <t>Ancoragem passiva aderente para 4 cordoalhas - D = 15,2 mm</t>
  </si>
  <si>
    <t>Ancoragem passiva aderente para 6 cordoalhas - D = 12,7 mm</t>
  </si>
  <si>
    <t>Ancoragem passiva aderente para 6 cordoalhas - D = 15,2 mm</t>
  </si>
  <si>
    <t>Ancoragem passiva aderente para 7 cordoalhas - D = 12,7 mm</t>
  </si>
  <si>
    <t>Ancoragem passiva aderente para 7 cordoalhas - D = 15,2 mm</t>
  </si>
  <si>
    <t>Ancoragem passiva aderente para 8 cordoalhas - D = 12,7 mm</t>
  </si>
  <si>
    <t>Ancoragem passiva aderente para 9 cordoalhas - D = 12,7 mm</t>
  </si>
  <si>
    <t>Ancoragem passiva aderente para 9 cordoalhas - D = 15,2 mm</t>
  </si>
  <si>
    <t>Ancoragem passiva aderente para lajes para 1 cordoalha - D = 12,7 mm</t>
  </si>
  <si>
    <t>Ancoragem passiva aderente para lajes para 1 cordoalha - D = 15,2 mm</t>
  </si>
  <si>
    <t>Ancoragem passiva aderente para lajes para 2 cordoalhas - D = 12,7 mm</t>
  </si>
  <si>
    <t>Ancoragem passiva aderente para lajes para 2 cordoalhas - D = 15,2 mm</t>
  </si>
  <si>
    <t>Ancoragem passiva aderente para lajes para 3 cordoalhas - D = 12,7 mm</t>
  </si>
  <si>
    <t>Ancoragem passiva aderente para lajes para 3 cordoalhas - D = 15,2 mm</t>
  </si>
  <si>
    <t>Ancoragem passiva aderente para lajes para 4 cordoalhas - D = 12,7 mm</t>
  </si>
  <si>
    <t>Ancoragem passiva aderente para lajes para 4 cordoalhas - D = 15,2 mm</t>
  </si>
  <si>
    <t>Mangueira cristal trançada de PVC com pressão de trabalho de 1,50 MPa (250 psi) - D = 19,0 mm (3/4")</t>
  </si>
  <si>
    <t>Bainha metálica para protensão - D = 40 mm</t>
  </si>
  <si>
    <t>Bainha metálica para protensão - D = 45 mm</t>
  </si>
  <si>
    <t>Bainha metálica para protensão - D = 50 mm</t>
  </si>
  <si>
    <t>Bainha metálica para protensão - D = 55 mm</t>
  </si>
  <si>
    <t>Bainha metálica para protensão - D = 60 mm</t>
  </si>
  <si>
    <t>Bainha metálica para protensão - D = 65 mm</t>
  </si>
  <si>
    <t>Bainha metálica para protensão - D = 70 mm</t>
  </si>
  <si>
    <t>Bainha metálica para protensão - D = 75 mm</t>
  </si>
  <si>
    <t>Bainha metálica para protensão - D = 80 mm</t>
  </si>
  <si>
    <t>Bainha metálica para protensão - D = 85 mm</t>
  </si>
  <si>
    <t>Bainha metálica para protensão - D = 90 mm</t>
  </si>
  <si>
    <t>Bainha metálica para protensão - D = 95 mm</t>
  </si>
  <si>
    <t>Bainha metálica para protensão - D = 100 mm</t>
  </si>
  <si>
    <t>Bainha metálica para protensão - D = 110 mm</t>
  </si>
  <si>
    <t>Bainha metálica para protensão - D = 120 mm</t>
  </si>
  <si>
    <t>Bainha metálica para protensão - D = 130 mm</t>
  </si>
  <si>
    <t>Bainha metálica ovalizada para protensão - seção de 19 x 36 mm</t>
  </si>
  <si>
    <t>Bainha metálica ovalizada para protensão - seção de 19 x 48 mm</t>
  </si>
  <si>
    <t>Bainha metálica ovalizada para protensão - seção de 19 x 62 mm</t>
  </si>
  <si>
    <t>Bainha metálica ovalizada para protensão - seção de 22 x 32 mm</t>
  </si>
  <si>
    <t>Bainha metálica ovalizada para protensão - seção de 22 x 55 mm</t>
  </si>
  <si>
    <t>Bainha metálica ovalizada para protensão - seção de 22 x 73 mm</t>
  </si>
  <si>
    <t>Espaçador plástico tipo centralizador carambola para grampo de barra de aço - D ≤ 25,4 mm</t>
  </si>
  <si>
    <t>Cinta para elevação de cargas tipo Grab com 1 ramal, anel de suspensão e gancho - C = 3 m a 5 m, capacidade de carga de 5.000 kg, F. S. = 4:1</t>
  </si>
  <si>
    <t>Cinta para elevação de cargas tipo Grab com 2 ramais, anel de suspensão e ganchos - C = 3 m a 5 m, capacidade de carga de 5.000 kg, F. S. = 4:1</t>
  </si>
  <si>
    <t>M2490</t>
  </si>
  <si>
    <t>Cinta para elevação de cargas tipo sling com 1 ramal - C = 2 m a 3 m, capacidade de carga de 1.000 kg, F. S. = 7:1</t>
  </si>
  <si>
    <t>Chapa metálica corrugada galvanizada para tunnel liner - E = 2,2 mm e D = 1,2 m</t>
  </si>
  <si>
    <t>Chapa metálica corrugada galvanizada para tunnel liner - E = 2,2 mm e D = 1,4 m</t>
  </si>
  <si>
    <t>Chapa metálica corrugada galvanizada para tunnel liner - E = 2,2 mm e D = 1,6 m</t>
  </si>
  <si>
    <t>Chapa metálica corrugada galvanizada para tunnel liner - E = 2,2 mm e D = 1,8 m</t>
  </si>
  <si>
    <t>Chapa metálica corrugada galvanizada para tunnel liner - E = 2,2 mm e D = 2,0 m</t>
  </si>
  <si>
    <t>Chapa metálica corrugada galvanizada para tunnel liner - E = 2,2 mm e D = 2,2 m</t>
  </si>
  <si>
    <t>Chapa metálica corrugada galvanizada para tunnel liner - E = 2,2 mm e D = 2,4 m</t>
  </si>
  <si>
    <t>Chapa metálica corrugada galvanizada para tunnel liner - E = 2,2 mm e D = 2,6 m</t>
  </si>
  <si>
    <t>Chapa metálica corrugada galvanizada para tunnel liner - E = 2,2 mm e D = 2,8 m</t>
  </si>
  <si>
    <t>Chapa metálica corrugada galvanizada para tunnel liner - E = 2,2 mm e D = 3,0 m</t>
  </si>
  <si>
    <t>Chapa metálica corrugada galvanizada para tunnel liner - E = 2,7 mm e D = 3,2 m</t>
  </si>
  <si>
    <t>Chapa metálica corrugada galvanizada para tunnel liner - E = 2,7 mm e D = 3,4 m</t>
  </si>
  <si>
    <t>Chapa metálica corrugada galvanizada para tunnel liner - E = 2,7 mm e D = 3,6 m</t>
  </si>
  <si>
    <t>Chapa metálica corrugada galvanizada para tunnel liner - E = 2,7 mm e D = 3,8 m</t>
  </si>
  <si>
    <t>Chapa metálica corrugada galvanizada para tunnel liner - E = 2,7 mm e D = 4,0 m</t>
  </si>
  <si>
    <t>Chapa metálica corrugada galvanizada para tunnel liner - E = 3,4 mm e D = 4,2 m</t>
  </si>
  <si>
    <t>Chapa metálica corrugada galvanizada para tunnel liner - E = 3,4 mm e D = 4,4 m</t>
  </si>
  <si>
    <t>Chapa metálica corrugada galvanizada para tunnel liner - E = 3,4 mm e D = 4,6 m</t>
  </si>
  <si>
    <t>Chapa metálica corrugada galvanizada para tunnel liner - E = 3,9 mm e D = 4,8 m</t>
  </si>
  <si>
    <t>Chapa metálica corrugada galvanizada para tunnel liner - E = 3,9 mm e D = 5,0 m</t>
  </si>
  <si>
    <t>Chapa metálica corrugada galvanizada revestida com epóxi para tunnel liner - E = 2,2 mm e D = 1,2 m</t>
  </si>
  <si>
    <t>Chapa metálica corrugada galvanizada revestida com epóxi para tunnel liner - E = 2,2 mm e D = 1,4 m</t>
  </si>
  <si>
    <t>Chapa metálica corrugada galvanizada revestida com epóxi para tunnel liner - E = 2,2 mm e D = 1,6 m</t>
  </si>
  <si>
    <t>Chapa metálica corrugada galvanizada revestida com epóxi para tunnel liner - E = 2,2 mm e D = 1,8 m</t>
  </si>
  <si>
    <t>Chapa metálica corrugada galvanizada revestida com epóxi para tunnel liner - E = 2,2 mm e D = 2,0 m</t>
  </si>
  <si>
    <t>Chapa metálica corrugada galvanizada revestida com epóxi para tunnel liner - E = 2,2 mm e D = 2,2 m</t>
  </si>
  <si>
    <t>Chapa metálica corrugada galvanizada revestida com epóxi para tunnel liner - E = 2,2 mm e D = 2,4 m</t>
  </si>
  <si>
    <t>Chapa metálica corrugada galvanizada revestida com epóxi para tunnel liner - E = 2,2 mm e D = 2,6 m</t>
  </si>
  <si>
    <t>Chapa metálica corrugada galvanizada revestida com epóxi para tunnel liner - E = 2,2 mm e D = 2,8 m</t>
  </si>
  <si>
    <t>Chapa metálica corrugada galvanizada revestida com epóxi para tunnel liner - E = 2,2 mm e D = 3,0 m</t>
  </si>
  <si>
    <t>Chapa metálica corrugada galvanizada revestida com epóxi para tunnel liner - E = 2,7 mm e D = 3,2 m</t>
  </si>
  <si>
    <t>Chapa múltipla metálica corrugada galvanizada tipo MP 100 ou similar - E = 1,60 mm e D = 0,60 m</t>
  </si>
  <si>
    <t>Chapa múltipla metálica corrugada galvanizada tipo MP 100 ou similar - E = 1,60 mm e D = 0,70 m</t>
  </si>
  <si>
    <t>Chapa múltipla metálica corrugada galvanizada tipo MP 100 ou similar - E = 1,60 mm e D = 0,80 m</t>
  </si>
  <si>
    <t>Chapa múltipla metálica corrugada galvanizada tipo MP 100 ou similar - E = 1,60 mm e D = 0,90 m</t>
  </si>
  <si>
    <t>Chapa múltipla metálica corrugada galvanizada tipo MP 100 ou similar - E = 1,60 mm e D = 1,00 m</t>
  </si>
  <si>
    <t>Chapa múltipla metálica corrugada galvanizada tipo MP 100 ou similar - E = 1,60 mm e D = 1,10 m</t>
  </si>
  <si>
    <t>Chapa múltipla metálica corrugada galvanizada tipo MP 100 ou similar - E = 1,60 mm e D = 1,20 m</t>
  </si>
  <si>
    <t>Chapa múltipla metálica corrugada galvanizada tipo MP 100 ou similar - E = 1,60 mm e D = 1,30 m</t>
  </si>
  <si>
    <t>Chapa múltipla metálica corrugada galvanizada tipo MP 100 ou similar - E = 1,60 mm e D = 1,40 m</t>
  </si>
  <si>
    <t>Chapa múltipla metálica corrugada galvanizada tipo MP 100 ou similar - E = 1,60 mm e D = 1,50 m</t>
  </si>
  <si>
    <t>Chapa múltipla metálica corrugada galvanizada tipo MP 100 ou similar - E = 1,60 mm e D = 1,60 m</t>
  </si>
  <si>
    <t>Chapa múltipla metálica corrugada galvanizada tipo MP 100 ou similar - E = 1,60 mm e D = 1,70 m</t>
  </si>
  <si>
    <t>Chapa múltipla metálica corrugada galvanizada tipo MP 100 ou similar - E = 1,60 mm e D = 1,80 m</t>
  </si>
  <si>
    <t>Chapa múltipla metálica corrugada galvanizada tipo MP 100 ou similar - E = 2,00 mm e D = 1,90 m</t>
  </si>
  <si>
    <t>Chapa múltipla metálica corrugada galvanizada tipo MP 100 ou similar - E = 2,00 mm e D = 2,00 m</t>
  </si>
  <si>
    <t>Chapa múltipla metálica corrugada galvanizada tipo MP 100 ou similar - E = 2,00 mm e D = 2,10 m</t>
  </si>
  <si>
    <t>Chapa múltipla metálica corrugada galvanizada tipo MP 100 ou similar - E = 2,00 mm e D = 2,20 m</t>
  </si>
  <si>
    <t>Chapa múltipla metálica corrugada galvanizada tipo MP 100 ou similar - E = 2,00 mm e D = 2,30 m</t>
  </si>
  <si>
    <t>Chapa múltipla metálica corrugada galvanizada tipo MP 100 ou similar - E = 2,70 mm e D = 2,40 m</t>
  </si>
  <si>
    <t>Chapa múltipla metálica corrugada galvanizada tipo MP 100 ou similar - E = 3,40 mm e D = 2,50 m</t>
  </si>
  <si>
    <t>Chapa múltipla metálica corrugada galvanizada tipo MP 100 ou similar - E = 3,40 mm e D = 2,60 m</t>
  </si>
  <si>
    <t>Chapa múltipla metálica corrugada galvanizada tipo MP 100 ou similar - E = 3,40 mm e D = 2,70 m</t>
  </si>
  <si>
    <t>Chapa múltipla metálica corrugada galvanizada tipo MP 100 ou similar - E = 3,40 mm e D = 2,80 m</t>
  </si>
  <si>
    <t>Chapa múltipla metálica corrugada galvanizada tipo MP 152 ou similar - E = 2,70 mm e D = 1,50 m</t>
  </si>
  <si>
    <t>Chapa múltipla metálica corrugada galvanizada tipo MP 152 ou similar - E = 2,70 mm e D = 1,80 m</t>
  </si>
  <si>
    <t>Chapa múltipla metálica corrugada galvanizada tipo MP 152 ou similar - E = 2,70 mm e D = 1,90 m</t>
  </si>
  <si>
    <t>Chapa múltipla metálica corrugada galvanizada tipo MP 152 ou similar - E = 2,70 mm e D = 2,15 m</t>
  </si>
  <si>
    <t>Chapa múltipla metálica corrugada galvanizada tipo MP 152 ou similar - E = 2,70 mm e D = 2,30 m</t>
  </si>
  <si>
    <t>Chapa múltipla metálica corrugada galvanizada tipo MP 152 ou similar - E = 2,70 mm e D = 2,65 m</t>
  </si>
  <si>
    <t>Chapa múltipla metálica corrugada galvanizada tipo MP 152 ou similar - E = 2,70 mm e D = 3,05 m</t>
  </si>
  <si>
    <t>Chapa múltipla metálica corrugada galvanizada tipo MP 152 ou similar - E = 2,70 mm e D = 3,20 m</t>
  </si>
  <si>
    <t>Chapa múltipla metálica corrugada galvanizada tipo MP 152 ou similar - E = 2,70 mm e D = 3,40 m</t>
  </si>
  <si>
    <t>Chapa múltipla metálica corrugada galvanizada tipo MP 152 ou similar - E = 2,70 mm e D = 3,65 m</t>
  </si>
  <si>
    <t>Chapa múltipla metálica corrugada galvanizada tipo MP 152 ou similar - E = 2,70 mm e D = 3,80 m</t>
  </si>
  <si>
    <t>Chapa múltipla metálica corrugada galvanizada tipo MP 152 ou similar - E = 2,70 mm e D = 4,20 m</t>
  </si>
  <si>
    <t>Chapa múltipla metálica corrugada galvanizada tipo MP 152 ou similar - E = 2,70 mm e D = 4,60 m</t>
  </si>
  <si>
    <t>Chapa múltipla metálica corrugada galvanizada tipo MP 152 ou similar - E = 3,40 mm e D = 4,80 m</t>
  </si>
  <si>
    <t>Chapa múltipla metálica corrugada galvanizada tipo MP 152 ou similar - E = 3,40 mm e D = 5,00 m</t>
  </si>
  <si>
    <t>Chapa múltipla metálica corrugada galvanizada tipo MP 152 ou similar - E = 3,90 mm e D = 5,35 m</t>
  </si>
  <si>
    <t>Chapa múltipla metálica corrugada galvanizada tipo MP 152 ou similar - E = 3,90 mm e D = 5,70 m</t>
  </si>
  <si>
    <t>Chapa múltipla metálica corrugada galvanizada tipo MP 152 ou similar - E = 4,70 mm e D = 6,10 m</t>
  </si>
  <si>
    <t>Chapa múltipla metálica corrugada galvanizada tipo MP 152 ou similar - E = 6,40 mm e D = 6,50 m</t>
  </si>
  <si>
    <t>Chapa múltipla metálica corrugada galvanizada tipo MP 152 ou similar - E = 6,40 mm e D = 6,85 m</t>
  </si>
  <si>
    <t>Chapa múltipla metálica corrugada galvanizada tipo MP 152 ou similar - E = 6,40 mm e D = 7,25 m</t>
  </si>
  <si>
    <t>Parafuso de cabeça sextavada em aço galvanizado com porca e arruela de pressão - D = 7,938 mm (5/16")</t>
  </si>
  <si>
    <t>M2585</t>
  </si>
  <si>
    <t>Tirante de barra de aço - tensão de escoamento = 520 MPa, tensão de ruptura = 690 MPa e D = 25 mm</t>
  </si>
  <si>
    <t>M2586</t>
  </si>
  <si>
    <t>Tirante de barra de aço - tensão de escoamento = 700 MPa, tensão de ruptura = 800 MPa e D = 19 mm</t>
  </si>
  <si>
    <t>M2587</t>
  </si>
  <si>
    <t>Tirante de barra de aço - tensão de escoamento = 700 MPa, tensão de ruptura = 800 MPa e D = 22 mm</t>
  </si>
  <si>
    <t>M2588</t>
  </si>
  <si>
    <t>Tirante de barra de aço - tensão de escoamento = 700 MPa, tensão de ruptura = 800 MPa e D = 25 mm</t>
  </si>
  <si>
    <t>M2589</t>
  </si>
  <si>
    <t>Tirante de barra de aço - tensão de escoamento = 700 MPa, tensão de ruptura = 800 MPa e D = 32 mm</t>
  </si>
  <si>
    <t>M2590</t>
  </si>
  <si>
    <t>Tirante de barra de aço - tensão de escoamento = 700 MPa, tensão de ruptura = 800 MPa e D = 36 mm</t>
  </si>
  <si>
    <t>M2591</t>
  </si>
  <si>
    <t>Luva em aço para emenda de tirantes - D = 73 mm e C = 150 mm</t>
  </si>
  <si>
    <t>Concreto usinado - fck = 40 MPa (comercial)</t>
  </si>
  <si>
    <t>Concreto usinado - fck = 45 MPa (comercial)</t>
  </si>
  <si>
    <t>Concreto usinado - fck = 50 MPa (comercial)</t>
  </si>
  <si>
    <t>Aparelho de apoio metálico esférico fixo com 4 chumbadores e capacidade de 1.000 kN</t>
  </si>
  <si>
    <t>Aparelho de apoio metálico esférico unidirecional com 4 chumbadores e capacidade de 1.500 kN</t>
  </si>
  <si>
    <t>Aparelho de apoio metálico esférico fixo com 4 chumbadores e capacidade de 1.500 kN</t>
  </si>
  <si>
    <t>Aparelho de apoio metálico esférico fixo com 4 chumbadores e capacidade de 2.000 kN</t>
  </si>
  <si>
    <t>Aparelho de apoio metálico esférico fixo com 4 chumbadores e capacidade de 2.500 kN</t>
  </si>
  <si>
    <t>Aparelho de apoio metálico esférico fixo com 4 chumbadores e capacidade de 3.000 kN</t>
  </si>
  <si>
    <t>Aparelho de apoio metálico esférico fixo com 4 chumbadores e capacidade de 3.500 kN</t>
  </si>
  <si>
    <t>Aparelho de apoio metálico esférico fixo com 4 chumbadores e capacidade de 4.000 kN</t>
  </si>
  <si>
    <t>Aparelho de apoio metálico esférico unidirecional com 4 chumbadores e capacidade de 1.000 kN</t>
  </si>
  <si>
    <t>Aparelho de apoio metálico esférico unidirecional com 4 chumbadores e capacidade de 2.000 kN</t>
  </si>
  <si>
    <t>Aparelho de apoio metálico esférico unidirecional com 4 chumbadores e capacidade de 2.500 kN</t>
  </si>
  <si>
    <t>Aparelho de apoio metálico esférico unidirecional com 4 chumbadores e capacidade de 3.000 kN</t>
  </si>
  <si>
    <t>Aparelho de apoio metálico esférico unidirecional com 4 chumbadores e capacidade de 3.500 kN</t>
  </si>
  <si>
    <t>Aparelho de apoio metálico esférico unidirecional com 4 chumbadores e capacidade de 4.000 kN</t>
  </si>
  <si>
    <t>Aparelho de apoio metálico esférico fixo com 4 chumbadores e capacidade de 4.500 kN</t>
  </si>
  <si>
    <t>Aparelho de apoio metálico esférico fixo com 4 chumbadores e capacidade de 5.000 kN</t>
  </si>
  <si>
    <t>Aparelho de apoio metálico esférico fixo com 4 chumbadores e capacidade de 5.500 kN</t>
  </si>
  <si>
    <t>Aparelho de apoio metálico esférico fixo com 4 chumbadores e capacidade de 6.000 kN</t>
  </si>
  <si>
    <t>Aparelho de apoio metálico esférico fixo com 4 chumbadores e capacidade de 6.500 kN</t>
  </si>
  <si>
    <t>Aparelho de apoio metálico esférico fixo com 4 chumbadores e capacidade de 7.000 kN</t>
  </si>
  <si>
    <t>Aparelho de apoio metálico esférico fixo com 4 chumbadores e capacidade de 7.500 kN</t>
  </si>
  <si>
    <t>Aparelho de apoio metálico esférico fixo com 4 chumbadores e capacidade de 8.000 kN</t>
  </si>
  <si>
    <t>Grelha metálica para boca de lobo com capacidade de até 300 kN - C = 0,90 m e L = 0,30 m</t>
  </si>
  <si>
    <t>Grelha de piso em PVC para passagem de pedestres - C = 50 cm e L = 13 cm</t>
  </si>
  <si>
    <t>Marco em PVC para grelha de piso - L = 2,50 m</t>
  </si>
  <si>
    <t>Grelha de piso em PVC para passagem de veículos de até 3 t - C = 50 cm e L = 13 cm</t>
  </si>
  <si>
    <t>Grelha de piso em PVC para passagem de veículos de até 10 t - C = 50 cm e L = 13 cm</t>
  </si>
  <si>
    <t>Grelha de piso em PVC para passagem de pedestres - C = 50 cm e L = 20 cm</t>
  </si>
  <si>
    <t>Grelha de piso em PVC para passagem de veículos de até 3 t - C = 50 cm e L = 20 cm</t>
  </si>
  <si>
    <t>Grelha metálica para canaletas - C = 1,00 m e L = 0,10 m</t>
  </si>
  <si>
    <t>Grelha metálica para canaletas - C = 1,00 m e L = 0,15 m</t>
  </si>
  <si>
    <t>Porta-grelha metálica - C = 1,00 m e L = 0,15 m</t>
  </si>
  <si>
    <t>Grelha metálica para canaletas - C = 1,00 m e L = 0,20 m</t>
  </si>
  <si>
    <t>Porta-grelha metálica - C = 1,00 m e L = 0,20 m</t>
  </si>
  <si>
    <t>Porta-grelha metálica - C = 1,00 m e L = 0,10 m</t>
  </si>
  <si>
    <t>Aparelho de apoio metálico esférico fixo com 4 chumbadores e capacidade de 8.500 kN</t>
  </si>
  <si>
    <t>Aparelho de apoio metálico esférico fixo com 4 chumbadores e capacidade de 9.000 kN</t>
  </si>
  <si>
    <t>Aparelho de apoio metálico esférico fixo com 4 chumbadores e capacidade de 9.500 kN</t>
  </si>
  <si>
    <t>Aparelho de apoio metálico esférico fixo com 4 chumbadores e capacidade de 10.000 kN</t>
  </si>
  <si>
    <t>Aparelho de apoio metálico esférico unidirecional com 4 chumbadores e capacidade de 4.500 kN</t>
  </si>
  <si>
    <t>Aparelho de apoio metálico esférico unidirecional com 4 chumbadores e capacidade de 5.000 kN</t>
  </si>
  <si>
    <t>Aparelho de apoio metálico esférico unidirecional com 4 chumbadores e capacidade de 5.500 kN</t>
  </si>
  <si>
    <t>Aparelho de apoio metálico esférico unidirecional com 4 chumbadores e capacidade de 6.000 kN</t>
  </si>
  <si>
    <t>Aparelho de apoio metálico esférico unidirecional com 4 chumbadores e capacidade de 6.500 kN</t>
  </si>
  <si>
    <t>Aparelho de apoio metálico esférico unidirecional com 4 chumbadores e capacidade de 7.000 kN</t>
  </si>
  <si>
    <t>Aparelho de apoio metálico esférico unidirecional com 4 chumbadores e capacidade de 7.500 kN</t>
  </si>
  <si>
    <t>Fincapino de ação direta e pino com furo - D = 6,35 mm (1/4")</t>
  </si>
  <si>
    <t>Aparelho de apoio metálico esférico unidirecional com 4 chumbadores e capacidade de 8.000 kN</t>
  </si>
  <si>
    <t>Aparelho de apoio metálico esférico unidirecional com 4 chumbadores e capacidade de 8.500 kN</t>
  </si>
  <si>
    <t>Chapa múltipla metálica corrugada revestida em epóxi tipo MP 100 ou similar - E = 1,60 mm e D = 0,60 m</t>
  </si>
  <si>
    <t>Chapa múltipla metálica corrugada revestida em epóxi tipo MP 100 ou similar - E = 1,60 mm e D = 0,70 m</t>
  </si>
  <si>
    <t>Chapa múltipla metálica corrugada revestida em epóxi tipo MP 100 ou similar - E = 1,60 mm e D = 0,80 m</t>
  </si>
  <si>
    <t>Chapa múltipla metálica corrugada revestida em epóxi tipo MP 100 ou similar - E = 1,60 mm e D = 0,90 m</t>
  </si>
  <si>
    <t>Chapa múltipla metálica corrugada revestida em epóxi tipo MP 100 ou similar - E = 1,60 mm e D = 1,00 m</t>
  </si>
  <si>
    <t>Chapa múltipla metálica corrugada revestida em epóxi tipo MP 100 ou similar - E = 1,60 mm e D = 1,10 m</t>
  </si>
  <si>
    <t>Chapa múltipla metálica corrugada revestida em epóxi tipo MP 100 ou similar - E = 1,60 mm e D = 1,20 m</t>
  </si>
  <si>
    <t>Chapa múltipla metálica corrugada revestida em epóxi tipo MP 100 ou similar - E = 1,60 mm e D = 1,30 m</t>
  </si>
  <si>
    <t>Chapa múltipla metálica corrugada revestida em epóxi tipo MP 100 ou similar - E = 1,60 mm e D = 1,40 m</t>
  </si>
  <si>
    <t>Chapa múltipla metálica corrugada revestida em epóxi tipo MP 100 ou similar - E = 1,60 mm e D = 1,50 m</t>
  </si>
  <si>
    <t>Chapa múltipla metálica corrugada revestida em epóxi tipo MP 100 ou similar - E = 1,60 mm e D = 1,60 m</t>
  </si>
  <si>
    <t>Chapa múltipla metálica corrugada revestida em epóxi tipo MP 100 ou similar - E = 1,60 mm e D = 1,70 m</t>
  </si>
  <si>
    <t>Chapa múltipla metálica corrugada revestida em epóxi tipo MP 100 ou similar - E = 1,60 mm e D = 1,80 m</t>
  </si>
  <si>
    <t>Chapa múltipla metálica corrugada revestida em epóxi tipo MP 100 ou similar - E = 2,00 mm e D = 1,90 m</t>
  </si>
  <si>
    <t>Chapa múltipla metálica corrugada revestida em epóxi tipo MP 100 ou similar - E = 2,00 mm e D = 2,00 m</t>
  </si>
  <si>
    <t>Chapa múltipla metálica corrugada revestida em epóxi tipo MP 100 ou similar - E = 2,00 mm e D = 2,10 m</t>
  </si>
  <si>
    <t>Chapa múltipla metálica corrugada revestida em epóxi tipo MP 100 ou similar - E = 2,00 mm e D = 2,20 m</t>
  </si>
  <si>
    <t>Chapa múltipla metálica corrugada revestida em epóxi tipo MP 100 ou similar - E = 2,00 mm e D = 2,30 m</t>
  </si>
  <si>
    <t>Chapa múltipla metálica corrugada revestida em epóxi tipo MP 100 ou similar - E = 2,70 mm e D = 2,40 m</t>
  </si>
  <si>
    <t>Chapa múltipla metálica corrugada revestida em epóxi tipo MP 100 ou similar - E = 3,40 mm e D = 2,50 m</t>
  </si>
  <si>
    <t>Chapa múltipla metálica corrugada revestida em epóxi tipo MP 100 ou similar - E = 3,40 mm e D = 2,60 m</t>
  </si>
  <si>
    <t>Chapa múltipla metálica corrugada revestida em epóxi tipo MP 100 ou similar - E = 3,40 mm e D = 2,70 m</t>
  </si>
  <si>
    <t>Chapa múltipla metálica corrugada revestida em epóxi tipo MP 100 ou similar - E = 3,40 mm e D = 2,80 m</t>
  </si>
  <si>
    <t>Chapa múltipla metálica corrugada revestida em epóxi tipo MP 152 ou similar - E = 2,70 mm e D = 1,50 m</t>
  </si>
  <si>
    <t>Chapa múltipla metálica corrugada revestida em epóxi tipo MP 152 ou similar - E = 2,70 mm e D = 1,80 m</t>
  </si>
  <si>
    <t>Chapa múltipla metálica corrugada revestida em epóxi tipo MP 152 ou similar - E = 2,70 mm e D = 1,90 m</t>
  </si>
  <si>
    <t>Chapa múltipla metálica corrugada revestida em epóxi tipo MP 152 ou similar - E = 2,70 mm e D = 2,15 m</t>
  </si>
  <si>
    <t>Chapa múltipla metálica corrugada revestida em epóxi tipo MP 152 ou similar - E = 2,70 mm e D = 2,30 m</t>
  </si>
  <si>
    <t>Chapa múltipla metálica corrugada revestida em epóxi tipo MP 152 ou similar - E = 2,70 mm e D = 2,65 m</t>
  </si>
  <si>
    <t>Chapa múltipla metálica corrugada revestida em epóxi tipo MP 152 ou similar - E = 2,70 mm e D = 3,05 m</t>
  </si>
  <si>
    <t>Chapa múltipla metálica corrugada revestida em epóxi tipo MP 152 ou similar - E = 2,70 mm e D = 3,20 m</t>
  </si>
  <si>
    <t>Chapa múltipla metálica corrugada revestida em epóxi tipo MP 152 ou similar - E = 2,70 mm e D = 3,40 m</t>
  </si>
  <si>
    <t>Chapa múltipla metálica corrugada revestida em epóxi tipo MP 152 ou similar - E = 2,70 mm e D = 3,65 m</t>
  </si>
  <si>
    <t>Chapa múltipla metálica corrugada revestida em epóxi tipo MP 152 ou similar - E = 2,70 mm e D = 3,80 m</t>
  </si>
  <si>
    <t>Chapa múltipla metálica corrugada revestida em epóxi tipo MP 152 ou similar - E = 2,70 mm e D = 4,20 m</t>
  </si>
  <si>
    <t>Chapa múltipla metálica corrugada revestida em epóxi tipo MP 152 ou similar - E = 2,70 mm e D = 4,60 m</t>
  </si>
  <si>
    <t>Chapa múltipla metálica corrugada revestida em epóxi tipo MP 152 ou similar - E = 3,40 mm e D = 4,80 m</t>
  </si>
  <si>
    <t>Chapa múltipla metálica corrugada revestida em epóxi tipo MP 152 ou similar - E = 3,40 mm e D = 5,00 m</t>
  </si>
  <si>
    <t>Chapa múltipla metálica corrugada revestida em epóxi tipo MP 152 ou similar - E = 3,90 mm e D = 5,35 m</t>
  </si>
  <si>
    <t>Chapa múltipla metálica corrugada revestida em epóxi tipo MP 152 ou similar - E = 3,90 mm e D = 5,70 m</t>
  </si>
  <si>
    <t>Chapa múltipla metálica corrugada revestida em epóxi tipo MP 152 ou similar - E = 4,70 mm e D = 6,10 m</t>
  </si>
  <si>
    <t>Chapa múltipla metálica corrugada revestida em epóxi tipo MP 152 ou similar - E = 6,40 mm e D = 6,50 m</t>
  </si>
  <si>
    <t>Chapa múltipla metálica corrugada revestida em epóxi tipo MP 152 ou similar - E = 6,40 mm e D = 6,85 m</t>
  </si>
  <si>
    <t>Chapa múltipla metálica corrugada revestida em epóxi tipo MP 152 ou similar - E = 6,40 mm e D = 7,25 m</t>
  </si>
  <si>
    <t>Aparelho de apoio metálico esférico unidirecional com 4 chumbadores e capacidade de 9.000 kN</t>
  </si>
  <si>
    <t>Aparelho de apoio metálico esférico unidirecional com 4 chumbadores e capacidade de 9.500 kN</t>
  </si>
  <si>
    <t>Aparelho de apoio metálico esférico unidirecional com 4 chumbadores e capacidade de 10.000 kN</t>
  </si>
  <si>
    <t>M2698</t>
  </si>
  <si>
    <t>Fincapino de ação indireta e pino liso - D = 6,35 mm (1/4")</t>
  </si>
  <si>
    <t>Corpo de BSCC pré-moldado comercial - seção de 1,5 m x 1,5 m - tipo I</t>
  </si>
  <si>
    <t>Corpo de BSCC pré-moldado comercial - seção de 1,5 m x 1,5 m - tipo II</t>
  </si>
  <si>
    <t>Corpo de BSCC pré-moldado comercial - seção de 1,5 m x 1,5 m - tipo III</t>
  </si>
  <si>
    <t>Corpo de BSCC pré-moldado comercial - seção de 1,5 m x 1,5 m - tipo IV</t>
  </si>
  <si>
    <t>Corpo de BSCC pré-moldado comercial - seção de 1,5 m x 1,5 m - tipo V</t>
  </si>
  <si>
    <t>Corpo de BSCC pré-moldado comercial - seção de 1,5 m x 1,5 m - tipo VI</t>
  </si>
  <si>
    <t>Corpo de BSCC pré-moldado comercial - seção de 1,5 m x 1,5 m - tipo VII</t>
  </si>
  <si>
    <t>Corpo de BSCC pré-moldado comercial - seção de 2,0 m x 2,0 m - tipo I</t>
  </si>
  <si>
    <t>Corpo de BSCC pré-moldado comercial - seção de 2,0 m x 2,0 m - tipo II</t>
  </si>
  <si>
    <t>Corpo de BSCC pré-moldado comercial - seção de 2,0 m x 2,0 m - tipo III</t>
  </si>
  <si>
    <t>Corpo de BSCC pré-moldado comercial - seção de 2,0 m x 2,0 m - tipo IV</t>
  </si>
  <si>
    <t>Corpo de BSCC pré-moldado comercial - seção de 2,0 m x 2,0 m - tipo V</t>
  </si>
  <si>
    <t>Corpo de BSCC pré-moldado comercial - seção de 2,0 m x 2,0 m - tipo VI</t>
  </si>
  <si>
    <t>Corpo de BSCC pré-moldado comercial - seção de 2,0 m x 2,0 m - tipo VII</t>
  </si>
  <si>
    <t>Corpo de BSCC pré-moldado comercial - seção de 2,5 m x 2,5 m - tipo I</t>
  </si>
  <si>
    <t>Corpo de BSCC pré-moldado comercial - seção de 2,5 m x 2,5 m - tipo II</t>
  </si>
  <si>
    <t>Corpo de BSCC pré-moldado comercial - seção de 2,5 m x 2,5 m - tipo III</t>
  </si>
  <si>
    <t>Corpo de BSCC pré-moldado comercial - seção de 2,5 m x 2,5 m - tipo IV</t>
  </si>
  <si>
    <t>Corpo de BSCC pré-moldado comercial - seção de 2,5 m x 2,5 m - tipo V</t>
  </si>
  <si>
    <t>Corpo de BSCC pré-moldado comercial - seção de 2,5 m x 2,5 m - tipo VI</t>
  </si>
  <si>
    <t>Corpo de BSCC pré-moldado comercial - seção de 2,5 m x 2,5 m - tipo VII</t>
  </si>
  <si>
    <t>Corpo de BSCC pré-moldado comercial - seção de 3,0 m x 3,0 m - tipo I</t>
  </si>
  <si>
    <t>Corpo de BSCC pré-moldado comercial - seção de 3,0 m x 3,0 m - tipo II</t>
  </si>
  <si>
    <t>Corpo de BSCC pré-moldado comercial - seção de 3,0 m x 3,0 m - tipo III</t>
  </si>
  <si>
    <t>Corpo de BSCC pré-moldado comercial - seção de 3,0 m x 3,0 m - tipo IV</t>
  </si>
  <si>
    <t>Corpo de BSCC pré-moldado comercial - seção de 3,0 m x 3,0 m - tipo V</t>
  </si>
  <si>
    <t>Corpo de BSCC pré-moldado comercial - seção de 3,0 m x 3,0 m - tipo VI</t>
  </si>
  <si>
    <t>Corpo de BSCC pré-moldado comercial - seção de 3,0 m x 3,0 m - tipo VII</t>
  </si>
  <si>
    <t>Corpo de BSCC pré-moldado comercial - seção canal de 1,5 m x 1,5 m</t>
  </si>
  <si>
    <t>Corpo de BSCC pré-moldado comercial - seção canal de 2,0 m x 1,5 m</t>
  </si>
  <si>
    <t>Corpo de BSCC pré-moldado comercial - seção canal de 2,0 m x 2,0 m - tipo I</t>
  </si>
  <si>
    <t>Corpo de BSCC pré-moldado comercial - seção canal de 2,0 m x 2,0 m - tipo II</t>
  </si>
  <si>
    <t>Corpo de BSCC pré-moldado comercial - seção canal de 2,5 m x 1,5 m</t>
  </si>
  <si>
    <t>Corpo de BSCC pré-moldado comercial - seção canal de 2,5 m x 2,0 m - tipo I</t>
  </si>
  <si>
    <t>Corpo de BSCC pré-moldado comercial - seção canal de 2,5 m x 2,0 m - tipo II</t>
  </si>
  <si>
    <t>Corpo de BSCC pré-moldado comercial - seção canal de 3,0 m x 1,5 m</t>
  </si>
  <si>
    <t>Corpo de BSCC pré-moldado comercial - seção canal de 3,0 m x 2,0 m - tipo I</t>
  </si>
  <si>
    <t>Corpo de BSCC pré-moldado comercial - seção canal de 3,0 m x 2,0 m - tipo II</t>
  </si>
  <si>
    <t>Aparelho de apoio metálico esférico multidirecional com 4 chumbadores e capacidade de 1.000 kN</t>
  </si>
  <si>
    <t>Aparelho de apoio metálico esférico multidirecional com 4 chumbadores e capacidade de 1.500 kN</t>
  </si>
  <si>
    <t>Aparelho de apoio metálico esférico multidirecional com 4 chumbadores e capacidade de 2.000 kN</t>
  </si>
  <si>
    <t>Aparelho de apoio metálico esférico multidirecional com 4 chumbadores e capacidade de 2.500 kN</t>
  </si>
  <si>
    <t>Aparelho de apoio metálico esférico multidirecional com 4 chumbadores e capacidade de 3.000 kN</t>
  </si>
  <si>
    <t>Aparelho de apoio metálico esférico multidirecional com 4 chumbadores e capacidade de 3.500 kN</t>
  </si>
  <si>
    <t>Aparelho de apoio metálico esférico multidirecional com 4 chumbadores e capacidade de 4.000 kN</t>
  </si>
  <si>
    <t>Aparelho de apoio metálico esférico multidirecional com 4 chumbadores e capacidade de 4.500 kN</t>
  </si>
  <si>
    <t>Aparelho de apoio metálico esférico multidirecional com 4 chumbadores e capacidade de 5.000 kN</t>
  </si>
  <si>
    <t>Aparelho de apoio metálico esférico multidirecional com 4 chumbadores e capacidade de 5.500 kN</t>
  </si>
  <si>
    <t>Aparelho de apoio metálico esférico multidirecional com 4 chumbadores e capacidade de 6.000 kN</t>
  </si>
  <si>
    <t>Aparelho de apoio metálico esférico multidirecional com 4 chumbadores e capacidade de 6.500 kN</t>
  </si>
  <si>
    <t>Aparelho de apoio metálico esférico multidirecional com 4 chumbadores e capacidade de 7.000 kN</t>
  </si>
  <si>
    <t>Aparelho de apoio metálico esférico multidirecional com 4 chumbadores e capacidade de 7.500 kN</t>
  </si>
  <si>
    <t>Aparelho de apoio metálico esférico multidirecional com 4 chumbadores e capacidade de 8.000 kN</t>
  </si>
  <si>
    <t>Aparelho de apoio metálico esférico multidirecional com 4 chumbadores e capacidade de 8.500 kN</t>
  </si>
  <si>
    <t>Aparelho de apoio metálico esférico multidirecional com 4 chumbadores e capacidade de 9.000 kN</t>
  </si>
  <si>
    <t>Aparelho de apoio metálico esférico multidirecional com 4 chumbadores e capacidade de 9.500 kN</t>
  </si>
  <si>
    <t>Aparelho de apoio metálico esférico multidirecional com 4 chumbadores e capacidade de 10.000 kN</t>
  </si>
  <si>
    <t>Aparelho de apoio metálico elastomérico fixo com 4 chumbadores e capacidade de 700 kN</t>
  </si>
  <si>
    <t>Aparelho de apoio metálico elastomérico fixo com 4 chumbadores e capacidade de 1.500 kN</t>
  </si>
  <si>
    <t>Aparelho de apoio metálico elastomérico fixo com 4 chumbadores e capacidade de 2.500 kN</t>
  </si>
  <si>
    <t>Aparelho de apoio metálico elastomérico fixo com 4 chumbadores e capacidade de 4.000 kN</t>
  </si>
  <si>
    <t>Aparelho de apoio metálico elastomérico fixo com 4 chumbadores e capacidade de 5.500 kN</t>
  </si>
  <si>
    <t>Aparelho de apoio metálico elastomérico fixo com 4 chumbadores e capacidade de 7.500 kN</t>
  </si>
  <si>
    <t>Aparelho de apoio metálico elastomérico fixo com 4 chumbadores e capacidade de 10.000 kN</t>
  </si>
  <si>
    <t>Aparelho de apoio metálico elastomérico unidirecional com 4 chumbadores e capacidade de 700 kN</t>
  </si>
  <si>
    <t>Aparelho de apoio metálico elastomérico unidirecional com 4 chumbadores e capacidade de 1.500 kN</t>
  </si>
  <si>
    <t>Aparelho de apoio metálico elastomérico unidirecional com 4 chumbadores e capacidade de 2.500 kN</t>
  </si>
  <si>
    <t>Aparelho de apoio metálico elastomérico unidirecional com 4 chumbadores e capacidade de 4.000 kN</t>
  </si>
  <si>
    <t>Aparelho de apoio metálico elastomérico unidirecional com 4 chumbadores e capacidade de 5.500 kN</t>
  </si>
  <si>
    <t>Aparelho de apoio metálico elastomérico unidirecional com 4 chumbadores e capacidade de 7.500 kN</t>
  </si>
  <si>
    <t>Aparelho de apoio metálico elastomérico unidirecional com 4 chumbadores e capacidade de 10.000 kN</t>
  </si>
  <si>
    <t>Aparelho de apoio metálico elastomérico multidirecional com 4 chumbadores e capacidade de 700 kN</t>
  </si>
  <si>
    <t>Aparelho de apoio metálico elastomérico multidirecional com 4 chumbadores e capacidade de 1.500 kN</t>
  </si>
  <si>
    <t>Aparelho de apoio metálico elastomérico multidirecional com 4 chumbadores e capacidade de 2.500 kN</t>
  </si>
  <si>
    <t>Aparelho de apoio metálico elastomérico multidirecional com 4 chumbadores e capacidade de 4.000 kN</t>
  </si>
  <si>
    <t>Aparelho de apoio metálico elastomérico multidirecional com 4 chumbadores e capacidade de 5.500 kN</t>
  </si>
  <si>
    <t>Aparelho de apoio metálico elastomérico multidirecional com 4 chumbadores e capacidade de 7.500 kN</t>
  </si>
  <si>
    <t>Aparelho de apoio metálico elastomérico multidirecional com 4 chumbadores e capacidade de 10.000 kN</t>
  </si>
  <si>
    <t>Chapa metálica corrugada galvanizada para tunnel liner - E = 2,7 mm e D = 1,2 m</t>
  </si>
  <si>
    <t>Chapa metálica corrugada galvanizada para tunnel liner - E = 2,7 mm e D = 1,4 m</t>
  </si>
  <si>
    <t>Chapa metálica corrugada galvanizada para tunnel liner - E = 2,7 mm e D = 1,6 m</t>
  </si>
  <si>
    <t>Chapa metálica corrugada galvanizada para tunnel liner - E = 2,7 mm e D = 1,8 m</t>
  </si>
  <si>
    <t>Chapa metálica corrugada galvanizada para tunnel liner - E = 2,7 mm e D = 2,0 m</t>
  </si>
  <si>
    <t>Chapa metálica corrugada galvanizada para tunnel liner - E = 3,4 mm e D = 2,2 m</t>
  </si>
  <si>
    <t>Chapa metálica corrugada galvanizada para tunnel liner - E = 3,4 mm e D = 2,4 m</t>
  </si>
  <si>
    <t>Chapa metálica corrugada galvanizada para tunnel liner - E = 3,4 mm e D = 2,6 m</t>
  </si>
  <si>
    <t>Chapa metálica corrugada galvanizada para tunnel liner - E = 3,4 mm e D = 2,8 m</t>
  </si>
  <si>
    <t>Chapa metálica corrugada galvanizada para tunnel liner - E = 3,4 mm e D = 3,0 m</t>
  </si>
  <si>
    <t>Chapa metálica corrugada galvanizada para tunnel liner - E = 3,4 mm e D = 3,2 m</t>
  </si>
  <si>
    <t>Chapa metálica corrugada galvanizada para tunnel liner - E = 3,9 mm e D = 3,4 m</t>
  </si>
  <si>
    <t>Chapa metálica corrugada galvanizada para tunnel liner - E = 3,9 mm e D = 3,6 m</t>
  </si>
  <si>
    <t>Chapa metálica corrugada galvanizada para tunnel liner - E = 3,9 mm e D = 3,8 m</t>
  </si>
  <si>
    <t>Chapa metálica corrugada galvanizada para tunnel liner - E = 3,9 mm e D = 4,0 m</t>
  </si>
  <si>
    <t>Chapa metálica corrugada galvanizada para tunnel liner - E = 3,9 mm e D = 4,2 m</t>
  </si>
  <si>
    <t>Chapa metálica corrugada galvanizada para tunnel liner - E = 3,9 mm e D = 4,4 m</t>
  </si>
  <si>
    <t>Chapa metálica corrugada galvanizada para tunnel liner - E = 3,9 mm e D = 4,6 m</t>
  </si>
  <si>
    <t>Chapa metálica corrugada galvanizada para tunnel liner - E = 4,7 mm e D = 4,8 m</t>
  </si>
  <si>
    <t>Chapa metálica corrugada galvanizada para tunnel liner - E = 4,7 mm e D = 5,0 m</t>
  </si>
  <si>
    <t>Chapa metálica corrugada galvanizada revestida com epóxi para tunnel liner - E = 2,7 mm e D = 1,2 m</t>
  </si>
  <si>
    <t>Chapa metálica corrugada galvanizada revestida com epóxi para tunnel liner - E = 2,7 mm e D = 1,4 m</t>
  </si>
  <si>
    <t>Chapa metálica corrugada galvanizada revestida com epóxi para tunnel liner - E = 2,7 mm e D = 1,6 m</t>
  </si>
  <si>
    <t>Chapa metálica corrugada galvanizada revestida com epóxi para tunnel liner - E = 2,7 mm e D = 1,8 m</t>
  </si>
  <si>
    <t>Chapa metálica corrugada galvanizada revestida com epóxi para tunnel liner - E = 2,7 mm e D = 2,0 m</t>
  </si>
  <si>
    <t>Chapa metálica corrugada galvanizada revestida com epóxi para tunnel liner - E = 3,4 mm e D = 2,2 m</t>
  </si>
  <si>
    <t>Chapa metálica corrugada galvanizada revestida com epóxi para tunnel liner - E = 3,4 mm e D = 2,4 m</t>
  </si>
  <si>
    <t>Chapa metálica corrugada galvanizada revestida com epóxi para tunnel liner - E = 3,4 mm e D = 2,6 m</t>
  </si>
  <si>
    <t>Chapa metálica corrugada galvanizada revestida com epóxi para tunnel liner - E = 3,4 mm e D = 2,8 m</t>
  </si>
  <si>
    <t>Chapa metálica corrugada galvanizada revestida com epóxi para tunnel liner - E = 3,4 mm e D = 3,0 m</t>
  </si>
  <si>
    <t>Chapa metálica corrugada galvanizada revestida com epóxi para tunnel liner - E = 3,4 mm e D = 3,2 m</t>
  </si>
  <si>
    <t>Chapa múltipla metálica corrugada galvanizada tipo MP 152 lenticular ou similar - E = 2,70 mm, H = 1,40 m e vão = 1,95 m</t>
  </si>
  <si>
    <t>Chapa múltipla metálica corrugada galvanizada tipo MP 152 lenticular ou similar - E = 2,70 mm, H = 1,50 m e vão = 2,15 m</t>
  </si>
  <si>
    <t>Chapa múltipla metálica corrugada galvanizada tipo MP 152 lenticular ou similar - E = 2,70 mm, H = 1,60 m e vão = 2,30 m</t>
  </si>
  <si>
    <t>Chapa múltipla metálica corrugada galvanizada tipo MP 152 lenticular ou similar - E = 2,70 mm, H = 1,65 m e vão = 2,55 m</t>
  </si>
  <si>
    <t>Chapa múltipla metálica corrugada galvanizada tipo MP 152 lenticular ou similar - E = 2,70 mm, H = 1,85 m e vão = 2,70 m</t>
  </si>
  <si>
    <t>Chapa múltipla metálica corrugada galvanizada tipo MP 152 lenticular ou similar - E = 2,70 mm, H = 1,90 m e vão = 2,75 m</t>
  </si>
  <si>
    <t>Chapa múltipla metálica corrugada galvanizada tipo MP 152 lenticular ou similar - E = 2,70 mm, H = 2,00 m e vão = 3,00 m</t>
  </si>
  <si>
    <t>Chapa múltipla metálica corrugada galvanizada tipo MP 152 lenticular ou similar - E = 2,70 mm, H = 2,10 m e vão = 3,20 m</t>
  </si>
  <si>
    <t>Chapa múltipla metálica corrugada galvanizada tipo MP 152 lenticular ou similar - E = 2,70 mm, H = 2,15 m e vão = 3,35 m</t>
  </si>
  <si>
    <t>Chapa múltipla metálica corrugada galvanizada tipo MP 152 lenticular ou similar - E = 2,70 mm, H = 2,25 m e vão = 3,55 m</t>
  </si>
  <si>
    <t>Chapa múltipla metálica corrugada galvanizada tipo MP 152 lenticular ou similar - E = 2,70 mm, H = 2,35 m e vão = 3,70 m</t>
  </si>
  <si>
    <t>Chapa múltipla metálica corrugada galvanizada tipo MP 152 lenticular ou similar - E = 2,70 mm, H = 2,45 m e vão = 3,90 m</t>
  </si>
  <si>
    <t>Chapa múltipla metálica corrugada galvanizada tipo MP 152 lenticular ou similar - E = 2,70 mm, H = 2,55 m e vão = 4,00 m</t>
  </si>
  <si>
    <t>Chapa múltipla metálica corrugada galvanizada tipo MP 152 lenticular ou similar - E = 2,70 mm, H = 2,80 m e vão = 4,15 m</t>
  </si>
  <si>
    <t>Chapa múltipla metálica corrugada galvanizada tipo MP 152 lenticular ou similar - E = 2,70 mm, H = 2,90 m e vão = 4,40 m</t>
  </si>
  <si>
    <t>Chapa múltipla metálica corrugada galvanizada tipo MP 152 lenticular ou similar - E = 2,70 mm, H = 3,00 m e vão = 4,60 m</t>
  </si>
  <si>
    <t>Chapa múltipla metálica corrugada galvanizada tipo MP 152 lenticular ou similar - E = 3,40 mm, H = 3,05 m e vão = 4,80 m</t>
  </si>
  <si>
    <t>Chapa múltipla metálica corrugada galvanizada tipo MP 152 lenticular ou similar - E = 3,40 mm, H = 3,15 m e vão = 5,05 m</t>
  </si>
  <si>
    <t>Chapa múltipla metálica corrugada galvanizada tipo MP 152 lenticular ou similar - E = 3,40 mm, H = 3,25 m e vão = 5,25 m</t>
  </si>
  <si>
    <t>Chapa múltipla metálica corrugada galvanizada tipo MP 152 lenticular ou similar - E = 3,90 mm, H = 3,35 m e vão = 5,45 m</t>
  </si>
  <si>
    <t>Chapa múltipla metálica corrugada galvanizada tipo MP 152 lenticular ou similar - E = 3,90 mm, H = 3,40 m e vão = 5,60 m</t>
  </si>
  <si>
    <t>Chapa múltipla metálica corrugada galvanizada tipo MP 152 lenticular ou similar - E = 4,70 mm, H = 3,50 m e vão = 5,80 m</t>
  </si>
  <si>
    <t>Chapa múltipla metálica corrugada galvanizada tipo MP 152 lenticular ou similar - E = 4,70 mm, H = 3,55 m e vão = 5,90 m</t>
  </si>
  <si>
    <t>Chapa múltipla metálica corrugada galvanizada tipo MP 152 lenticular ou similar - E = 4,70 mm, H = 3,65 m e vão = 6,10 m</t>
  </si>
  <si>
    <t>Chapa múltipla metálica corrugada galvanizada tipo MP 152 lenticular ou similar - E = 4,70 mm, H = 3,65 m e vão = 6,25 m</t>
  </si>
  <si>
    <t>Chapa múltipla metálica corrugada galvanizada tipo MP 152 lenticular ou similar - E = 6,40 mm, H = 3,75 m e vão = 6,40 m</t>
  </si>
  <si>
    <t>Chapa múltipla metálica corrugada galvanizada tipo MP 152 lenticular ou similar - E = 6,40 mm, H = 3,85 m e vão = 6,60 m</t>
  </si>
  <si>
    <t>Chapa múltipla metálica corrugada galvanizada tipo MP 152 ou similar para passagem de gado - E = 2,70 mm, H = 2,25 m e vão = 2,20 m</t>
  </si>
  <si>
    <t>Chapa múltipla metálica corrugada galvanizada tipo MP 152 ou similar para passagem de gado - E = 2,70 mm, H = 3,10 m e vão = 2,90 m</t>
  </si>
  <si>
    <t>Chapa múltipla metálica corrugada galvanizada tipo MP 152 ou similar para passagem inferior - E = 2,70 mm, H = 3,50 m e vão = 3,70 m</t>
  </si>
  <si>
    <t>Chapa múltipla metálica corrugada galvanizada tipo MP 152 ou similar para passagem inferior - E = 2,70 mm, H = 3,60 m e vão = 3,90 m</t>
  </si>
  <si>
    <t>Chapa múltipla metálica corrugada galvanizada tipo MP 152 ou similar para passagem inferior - E = 2,70 mm, H = 3,75 m e vão = 4,00 m</t>
  </si>
  <si>
    <t>Chapa múltipla metálica corrugada galvanizada tipo MP 152 ou similar para passagem inferior - E = 2,70 mm, H = 3,90 m e vão = 4,20 m</t>
  </si>
  <si>
    <t>Chapa múltipla metálica corrugada galvanizada tipo MP 152 ou similar para passagem inferior - E = 2,70 mm, H = 4,10 m e vão = 4,25 m</t>
  </si>
  <si>
    <t>Chapa múltipla metálica corrugada galvanizada tipo MP 152 ou similar para passagem inferior - E = 2,70 mm, H = 4,25 m e vão = 4,40 m</t>
  </si>
  <si>
    <t>Chapa múltipla metálica corrugada galvanizada tipo MP 152 ou similar para passagem inferior - E = 2,70 mm, H = 4,40 m e vão = 4,50 m</t>
  </si>
  <si>
    <t>Chapa múltipla metálica corrugada galvanizada tipo MP 152 ou similar para passagem inferior - E = 3,40 mm, H = 4,50 m e vão = 4,70 m</t>
  </si>
  <si>
    <t>Chapa múltipla metálica corrugada galvanizada tipo MP 152 ou similar para passagem inferior - E = 3,40 mm, H = 4,75 m e vão = 4,80 m</t>
  </si>
  <si>
    <t>Chapa múltipla metálica corrugada galvanizada tipo MP 152 ou similar para passagem inferior - E = 3,40 mm, H = 4,85 m e vão = 5,00 m</t>
  </si>
  <si>
    <t>Chapa múltipla metálica corrugada galvanizada tipo MP 152 ou similar para passagem inferior - E = 3,40 mm, H = 4,90 m e vão = 5,15 m</t>
  </si>
  <si>
    <t>Chapa múltipla metálica corrugada galvanizada tipo MP 152 ou similar para passagem inferior - E = 3,40 mm, H = 5,00 m e vão = 5,25 m</t>
  </si>
  <si>
    <t>Chapa múltipla metálica corrugada galvanizada tipo MP 152 ou similar para passagem inferior - E = 3,40 mm, H = 5,30 m e vão = 5,30 m</t>
  </si>
  <si>
    <t>Chapa múltipla metálica corrugada galvanizada tipo MP 152 ou similar para passagem inferior - E = 3,90 mm, H = 5,25 m e vão = 5,65 m</t>
  </si>
  <si>
    <t>Chapa múltipla metálica corrugada galvanizada tipo MP 152 ou similar para passagem inferior - E = 4,70 mm, H = 5,30 m e vão = 5,85 m</t>
  </si>
  <si>
    <t>Chapa múltipla metálica corrugada galvanizada tipo MP 152 ou similar para passagem inferior - E = 4,70 mm, H = 5,45 m e vão = 6,00 m</t>
  </si>
  <si>
    <t>Chapa múltipla metálica corrugada galvanizada tipo MP 152 ou similar para passagem inferior - E = 4,70 mm, H = 5,50 m e vão = 6,25 m</t>
  </si>
  <si>
    <t>Chapa múltipla metálica corrugada galvanizada de arco alto tipo MP 152S ou similar - E = 4,70 mm, H = 2,77 m e vão = 6,12 m</t>
  </si>
  <si>
    <t>Chapa múltipla metálica corrugada galvanizada de arco alto tipo MP 152S ou similar - E = 4,70 mm, H = 3,68 m e vão = 6,30 m</t>
  </si>
  <si>
    <t>Chapa múltipla metálica corrugada galvanizada de arco alto tipo MP 152S ou similar - E = 4,70 mm, H = 3,56 m e vão = 6,55 m</t>
  </si>
  <si>
    <t>Chapa múltipla metálica corrugada galvanizada de arco alto tipo MP 152S ou similar - E = 4,70 mm, H = 4,42 m e vão = 6,96 m</t>
  </si>
  <si>
    <t>Chapa múltipla metálica corrugada galvanizada de arco alto tipo MP 152S ou similar - E = 4,70 mm, H = 3,61 m e vão = 6,78 m</t>
  </si>
  <si>
    <t>Chapa múltipla metálica corrugada galvanizada de arco alto tipo MP 152S ou similar - E = 4,70 mm, H = 4,27 m e vão = 6,99 m</t>
  </si>
  <si>
    <t>Chapa múltipla metálica corrugada galvanizada de arco alto tipo MP 152S ou similar - E = 4,70 mm, H = 3,63 m e vão = 7,01 m</t>
  </si>
  <si>
    <t>Chapa múltipla metálica corrugada galvanizada de arco alto tipo MP 152S ou similar - E = 4,70 mm, H = 4,52 m e vão = 7,42 m</t>
  </si>
  <si>
    <t>Chapa múltipla metálica corrugada galvanizada de arco alto tipo MP 152S ou similar - E = 4,70 mm, H = 3,68 m e vão = 7,24 m</t>
  </si>
  <si>
    <t>Chapa múltipla metálica corrugada galvanizada de arco alto tipo MP 152S ou similar - E = 4,70 mm, H = 4,19 m e vão = 7,47 m</t>
  </si>
  <si>
    <t>Chapa múltipla metálica corrugada galvanizada de arco alto tipo MP 152S ou similar - E = 4,70 mm, H = 4,60 m e vão = 7,85 m</t>
  </si>
  <si>
    <t>Chapa múltipla metálica corrugada galvanizada de arco alto tipo MP 152S ou similar - E = 4,70 mm, H = 3,99 m e vão = 7,67 m</t>
  </si>
  <si>
    <t>Chapa múltipla metálica corrugada galvanizada de arco alto tipo MP 152S ou similar - E = 4,70 mm, H = 4,65 m e vão = 8,08 m</t>
  </si>
  <si>
    <t>Chapa múltipla metálica corrugada galvanizada de arco alto tipo MP 152S ou similar - E = 4,70 mm, H = 4,04 m e vão = 7,90 m</t>
  </si>
  <si>
    <t>Chapa múltipla metálica corrugada galvanizada de arco alto tipo MP 152S ou similar - E = 4,70 mm, H = 4,70 m e vão = 8,31 m</t>
  </si>
  <si>
    <t>Chapa múltipla metálica corrugada galvanizada de arco alto tipo MP 152S ou similar - E = 4,70 mm, H = 4,11 m e vão = 8,36 m</t>
  </si>
  <si>
    <t>Chapa múltipla metálica corrugada galvanizada de arco alto tipo MP 152S ou similar - E = 4,70 mm, H = 5,00 m e vão = 8,97 m</t>
  </si>
  <si>
    <t>Chapa múltipla metálica corrugada galvanizada de arco alto tipo MP 152S ou similar - E = 4,70 mm, H = 4,39 m e vão = 8,59 m</t>
  </si>
  <si>
    <t>Chapa múltipla metálica corrugada galvanizada de arco alto tipo MP 152S ou similar - E = 4,70 mm, H = 5,49 m e vão = 9,17 m</t>
  </si>
  <si>
    <t>Chapa múltipla metálica corrugada galvanizada de arco alto tipo MP 152S ou similar - E = 4,70 mm, H = 4,70 m e vão = 9,22 m</t>
  </si>
  <si>
    <t>Chapa múltipla metálica corrugada galvanizada de arco alto tipo MP 152S ou similar - E = 4,70 mm, H = 5,59 m e vão = 9,63 m</t>
  </si>
  <si>
    <t>Chapa múltipla metálica corrugada galvanizada de arco alto tipo MP 152S ou similar - E = 4,70 mm, H = 4,75 m e vão = 9,45 m</t>
  </si>
  <si>
    <t>Chapa múltipla metálica corrugada galvanizada de arco alto tipo MP 152S ou similar - E = 4,70 mm, H = 5,41 m e vão = 9,65 m</t>
  </si>
  <si>
    <t>Chapa múltipla metálica corrugada galvanizada de arco alto tipo MP 152S ou similar - E = 4,70 mm, H = 6,07 m e vão = 9,86 m</t>
  </si>
  <si>
    <t>Chapa múltipla metálica corrugada galvanizada de arco alto tipo MP 152S ou similar - E = 4,70 mm, H = 5,23 m e vão = 9,68 m</t>
  </si>
  <si>
    <t>Chapa múltipla metálica corrugada galvanizada de arco alto tipo MP 152S ou similar - E = 4,70 mm, H = 6,12 m e vão = 10,08 m</t>
  </si>
  <si>
    <t>Chapa múltipla metálica corrugada galvanizada de arco alto tipo MP 152S ou similar - E = 4,70 mm, H = 5,28 m e vão = 9,91 m</t>
  </si>
  <si>
    <t>Chapa múltipla metálica corrugada galvanizada de arco alto tipo MP 152S ou similar - E = 4,70 mm, H = 6,17 m e vão = 10,31 m</t>
  </si>
  <si>
    <t>Chapa múltipla metálica corrugada galvanizada de arco alto tipo MP 152S ou similar - E = 4,70 mm, H = 5,38 m e vão = 10,36 m</t>
  </si>
  <si>
    <t>Chapa múltipla metálica corrugada galvanizada de arco alto tipo MP 152S ou similar - E = 4,70 mm, H = 6,05 m e vão = 10,54 m</t>
  </si>
  <si>
    <t>Chapa múltipla metálica corrugada galvanizada de arco alto tipo MP 152S ou similar - E = 4,70 mm, H = 6,48 m e vão = 10,74 m</t>
  </si>
  <si>
    <t>Chapa múltipla metálica corrugada galvanizada de arco alto tipo MP 152S ou similar - E = 4,70 mm, H = 7,12 m e vão = 11,35 m</t>
  </si>
  <si>
    <t>Chapa múltipla metálica corrugada galvanizada de arco alto tipo MP 152S ou similar - E = 6,40 mm, H = 5,41 m e vão = 10,57 m</t>
  </si>
  <si>
    <t>Chapa múltipla metálica corrugada galvanizada de arco alto tipo MP 152S ou similar - E = 6,40 mm, H = 6,10 m e vão = 10,77 m</t>
  </si>
  <si>
    <t>Chapa múltipla metálica corrugada galvanizada de arco alto tipo MP 152S ou similar - E = 6,40 mm, H = 6,53 m e vão = 10,97 m</t>
  </si>
  <si>
    <t>Chapa múltipla metálica corrugada galvanizada de arco alto tipo MP 152S ou similar - E = 6,40 mm, H = 7,16 m e vão = 11,58 m</t>
  </si>
  <si>
    <t>Chapa múltipla metálica corrugada galvanizada tipo MP 152S ovoide ou similar - E = 4,70 mm, H = 7,82 m e vão = 7,21 m</t>
  </si>
  <si>
    <t>Chapa múltipla metálica corrugada galvanizada tipo MP 152S ovoide ou similar - E = 4,70 mm, H = 7,87 m e vão = 7,31 m</t>
  </si>
  <si>
    <t>Chapa múltipla metálica corrugada galvanizada tipo MP 152S ovoide ou similar - E = 4,70 mm, H = 7,90 m e vão = 7,77 m</t>
  </si>
  <si>
    <t>Chapa múltipla metálica corrugada galvanizada tipo MP 152S ovoide ou similar - E = 4,70 mm, H = 8,44 m e vão = 7,57 m</t>
  </si>
  <si>
    <t>Chapa múltipla metálica corrugada galvanizada tipo MP 152S ovoide ou similar - E = 4,70 mm, H = 8,23 m e vão = 8,36 m</t>
  </si>
  <si>
    <t>Chapa múltipla metálica corrugada galvanizada tipo MP 152S ovoide ou similar - E = 4,70 mm, H = 8,01 m e vão = 8,13 m</t>
  </si>
  <si>
    <t>Chapa múltipla metálica corrugada galvanizada tipo MP 152S ovoide ou similar - E = 4,70 mm, H = 8,48 m e vão = 8,56 m</t>
  </si>
  <si>
    <t>Chapa múltipla metálica corrugada galvanizada tipo MP 152S ovoide ou similar - E = 4,70 mm, H = 9,32 m e vão = 8,71 m</t>
  </si>
  <si>
    <t>Chapa múltipla metálica corrugada galvanizada tipo MP 152S ovoide ou similar - E = 4,70 mm, H = 9,04 m e vão = 9,15 m</t>
  </si>
  <si>
    <t>Chapa múltipla metálica corrugada galvanizada tipo MP 152S ovoide ou similar - E = 4,70 mm, H = 9,50 m e vão = 9,15 m</t>
  </si>
  <si>
    <t>M2908</t>
  </si>
  <si>
    <t>Terminal absorvedor de energia de abertura com nível de contenção TL3 para defensa metálica</t>
  </si>
  <si>
    <t>Chumbador em aço CA 25</t>
  </si>
  <si>
    <t>Arame liso em aço galvanizado - D = 1,24 mm (18 BWG)</t>
  </si>
  <si>
    <t>Porca sextavada em aço para ancoragem de tirantes - D = 38 mm e C = 55 mm</t>
  </si>
  <si>
    <t>Tela de poliamida - malha de 60 fios/cm</t>
  </si>
  <si>
    <t>Tirante de barra de aço - tensão de escoamento = 520 MPa, tensão de ruptura = 690 MPa e D = 32 mm</t>
  </si>
  <si>
    <t>Válvula manchete - D = 20 mm</t>
  </si>
  <si>
    <t>Barra chata em aço galvanizado</t>
  </si>
  <si>
    <t>M3127</t>
  </si>
  <si>
    <t>Luva para bainha metálica - D = 30 mm</t>
  </si>
  <si>
    <t>M3128</t>
  </si>
  <si>
    <t>Luva para bainha metálica - D = 35 mm</t>
  </si>
  <si>
    <t>M3129</t>
  </si>
  <si>
    <t>Luva para bainha metálica - D = 40 mm</t>
  </si>
  <si>
    <t>M3130</t>
  </si>
  <si>
    <t>Luva para bainha metálica - D = 45 mm</t>
  </si>
  <si>
    <t>M3131</t>
  </si>
  <si>
    <t>Luva para bainha metálica - D = 50 mm</t>
  </si>
  <si>
    <t>M3132</t>
  </si>
  <si>
    <t>Luva para bainha metálica - D = 55 mm</t>
  </si>
  <si>
    <t>M3133</t>
  </si>
  <si>
    <t>Luva para bainha metálica - D = 60 mm</t>
  </si>
  <si>
    <t>M3134</t>
  </si>
  <si>
    <t>Luva para bainha metálica - D = 65 mm</t>
  </si>
  <si>
    <t>M3135</t>
  </si>
  <si>
    <t>Luva para bainha metálica - D = 70 mm</t>
  </si>
  <si>
    <t>M3136</t>
  </si>
  <si>
    <t>Luva para bainha metálica - D = 75 mm</t>
  </si>
  <si>
    <t>Luva para bainha metálica - D = 80 mm</t>
  </si>
  <si>
    <t>M3138</t>
  </si>
  <si>
    <t>Luva para bainha metálica - D = 85 mm</t>
  </si>
  <si>
    <t>M3139</t>
  </si>
  <si>
    <t>Luva para bainha metálica - D = 90 mm</t>
  </si>
  <si>
    <t>M3140</t>
  </si>
  <si>
    <t>Luva para bainha metálica - D = 95 mm</t>
  </si>
  <si>
    <t>M3141</t>
  </si>
  <si>
    <t>Luva para bainha metálica - D = 100 mm</t>
  </si>
  <si>
    <t>M3142</t>
  </si>
  <si>
    <t>Luva para bainha metálica - D = 110 mm</t>
  </si>
  <si>
    <t>M3143</t>
  </si>
  <si>
    <t>Luva para bainha metálica - D = 120 mm</t>
  </si>
  <si>
    <t>M3144</t>
  </si>
  <si>
    <t>Luva para bainha metálica - D = 130 mm</t>
  </si>
  <si>
    <t>M3145</t>
  </si>
  <si>
    <t>Luva para bainha metálica ovalizada de 19 x 36 mm</t>
  </si>
  <si>
    <t>M3146</t>
  </si>
  <si>
    <t>Luva para bainha metálica ovalizada de 19 x 48 mm</t>
  </si>
  <si>
    <t>M3147</t>
  </si>
  <si>
    <t>Luva para bainha metálica ovalizada de 19 x 62 mm</t>
  </si>
  <si>
    <t>M3148</t>
  </si>
  <si>
    <t>Luva para bainha metálica ovalizada de 22 x 32 mm</t>
  </si>
  <si>
    <t>M3149</t>
  </si>
  <si>
    <t>Luva para bainha metálica ovalizada de 22 x 55 mm</t>
  </si>
  <si>
    <t>M3150</t>
  </si>
  <si>
    <t>Luva para bainha metálica ovalizada de 22 x 73 mm</t>
  </si>
  <si>
    <t>Apoio de neoprene não fretado - C = 100 mm, L = 100 mm e E = 20 mm</t>
  </si>
  <si>
    <t>Porca sextavada em aço galvanizado para parafuso - D = 9,525 mm (3/8")</t>
  </si>
  <si>
    <t>Porca sextavada em aço galvanizado para parafuso - D = 12 mm (M12)</t>
  </si>
  <si>
    <t>Parafuso de cabeça sextavada em aço galvanizado, classe 8.8 - D = 12 mm (M12) e C = 30 mm</t>
  </si>
  <si>
    <t>Ligação tipo barra chata em aço galvanizado para contenção - L = 45 mm e E = 4 mm</t>
  </si>
  <si>
    <t>M3175</t>
  </si>
  <si>
    <t>Conector sintético para fita polimérica - 70 kN - tipo loop</t>
  </si>
  <si>
    <t>M3176</t>
  </si>
  <si>
    <t>Fita polimérica para solo reforçado - resistência nominal de 50 kN - L = 50mm</t>
  </si>
  <si>
    <t>Fita metálica SAE 1010/1020 para solo reforçado - L = 50 mm e E = 4 mm</t>
  </si>
  <si>
    <t>Material para aterro reforçado com fitas metálicas</t>
  </si>
  <si>
    <t>Tubo PEAD PE 100 PN 5 para estais - D = 140 mm</t>
  </si>
  <si>
    <t>Tubo PEAD PE 100 PN 5 para estais - D = 160 mm</t>
  </si>
  <si>
    <t>Tubo PEAD PE 100 PN 5 para estais - D = 180 mm</t>
  </si>
  <si>
    <t>Tubo PEAD PE 100 PN 5 para estais - D = 200 mm</t>
  </si>
  <si>
    <t>Tubo PEAD PE 100 PN 5 para estais - D = 225 mm</t>
  </si>
  <si>
    <t>Tubo PEAD PE 100 PN 5 para estais - D = 250 mm</t>
  </si>
  <si>
    <t>Tubo PEAD PE 100 PN 5 para estais - D = 280 mm</t>
  </si>
  <si>
    <t>Tubo PEAD PE 100 PN 5 para estais - D = 315 mm</t>
  </si>
  <si>
    <t>Tubo antivandalismo em aço galvanizado para estais de 12 cordoalhas - D = 15,7 mm</t>
  </si>
  <si>
    <t>Tubo antivandalismo em aço galvanizado para estais de 19 cordoalhas - D = 15,7 mm</t>
  </si>
  <si>
    <t>Tubo antivandalismo em aço galvanizado para estais de 22 cordoalhas - D = 15,7 mm</t>
  </si>
  <si>
    <t>Tubo antivandalismo em aço galvanizado para estais de 31 cordoalhas - D = 15,7 mm</t>
  </si>
  <si>
    <t>Tubo antivandalismo em aço galvanizado para estais de 37 cordoalhas - D = 15,7 mm</t>
  </si>
  <si>
    <t>Tubo antivandalismo em aço galvanizado para estais de 43 cordoalhas - D = 15,7 mm</t>
  </si>
  <si>
    <t>Tubo antivandalismo em aço galvanizado para estais de 55 cordoalhas - D = 15,7 mm</t>
  </si>
  <si>
    <t>Tubo antivandalismo em aço galvanizado para estais de 61 cordoalhas - D = 15,7 mm</t>
  </si>
  <si>
    <t>Tubo antivandalismo em aço galvanizado para estais de 73 cordoalhas - D = 15,7 mm</t>
  </si>
  <si>
    <t>Tubo antivandalismo em aço galvanizado para estais de 85 cordoalhas - D = 15,7 mm</t>
  </si>
  <si>
    <t>Tubo antivandalismo em aço galvanizado para estais de 91 cordoalhas - D = 15,7 mm</t>
  </si>
  <si>
    <t>Tubo fôrma lado fixo em aço galvanizado para estais de 12 cordoalhas - D = 15,7 mm</t>
  </si>
  <si>
    <t>Tubo fôrma lado fixo em aço galvanizado para estais de 19 cordoalhas - D = 15,7 mm</t>
  </si>
  <si>
    <t>Tubo fôrma lado fixo em aço galvanizado para estais de 22 cordoalhas - D = 15,7 mm</t>
  </si>
  <si>
    <t>Tubo fôrma lado fixo em aço galvanizado para estais de 31 cordoalhas - D = 15,7 mm</t>
  </si>
  <si>
    <t>Tubo fôrma lado fixo em aço galvanizado para estais de 37 cordoalhas - D = 15,7 mm</t>
  </si>
  <si>
    <t>Tubo fôrma lado fixo em aço galvanizado para estais de 43 cordoalhas - D = 15,7 mm</t>
  </si>
  <si>
    <t>Tubo fôrma lado fixo em aço galvanizado para estais de 55 cordoalhas - D = 15,7 mm</t>
  </si>
  <si>
    <t>Tubo fôrma lado fixo em aço galvanizado para estais de 61 cordoalhas - D = 15,7 mm</t>
  </si>
  <si>
    <t>Tubo fôrma lado fixo em aço galvanizado para estais de 73 cordoalhas - D = 15,7 mm</t>
  </si>
  <si>
    <t>Tubo fôrma lado fixo em aço galvanizado para estais de 85 cordoalhas - D = 15,7 mm</t>
  </si>
  <si>
    <t>Tubo fôrma lado fixo em aço galvanizado para estais de 91 cordoalhas - D = 15,7 mm</t>
  </si>
  <si>
    <t>Tubo fôrma lado regulável em aço galvanizado para estais de 12 cordoalhas - D = 15,7 mm</t>
  </si>
  <si>
    <t>Tubo fôrma lado regulável em aço galvanizado para estais de 19 cordoalhas - D = 15,7 mm</t>
  </si>
  <si>
    <t>Tubo fôrma lado regulável em aço galvanizado para estais de 22 cordoalhas - D = 15,7 mm</t>
  </si>
  <si>
    <t>Tubo fôrma lado regulável em aço galvanizado para estais de 31 cordoalhas - D = 15,7 mm</t>
  </si>
  <si>
    <t>Tubo fôrma lado regulável em aço galvanizado para estais de 37 cordoalhas - D = 15,7 mm</t>
  </si>
  <si>
    <t>Tubo fôrma lado regulável em aço galvanizado para estais de 43 cordoalhas - D = 15,7 mm</t>
  </si>
  <si>
    <t>Tubo fôrma lado regulável em aço galvanizado para estais de 55 cordoalhas - D = 15,7 mm</t>
  </si>
  <si>
    <t>Tubo fôrma lado regulável em aço galvanizado para estais de 61 cordoalhas - D = 15,7 mm</t>
  </si>
  <si>
    <t>Tubo fôrma lado regulável em aço galvanizado para estais de 73 cordoalhas - D = 15,7 mm</t>
  </si>
  <si>
    <t>Tubo fôrma lado regulável em aço galvanizado para estais de 85 cordoalhas - D = 15,7 mm</t>
  </si>
  <si>
    <t>Tubo fôrma lado regulável em aço galvanizado para estais de 91 cordoalhas - D = 15,7 mm</t>
  </si>
  <si>
    <t>Coroa de botões esféricos - Ring bit - D = 104 mm (4 3/32")</t>
  </si>
  <si>
    <t>M3225</t>
  </si>
  <si>
    <t>Película retrorrefletiva tipo III + SI (sinal impresso com película de sobreposição tipo V)</t>
  </si>
  <si>
    <t>Tubo de revestimento em aço-carbono schedule 40 - DN = 101,6 mm (4")</t>
  </si>
  <si>
    <t>Cimento asfáltico de petróleo com borracha - CAP 50/70 com 15% de borracha de pneu</t>
  </si>
  <si>
    <t>Película retrorrefletiva tipo I + SI (sinal impresso com película de sobreposição tipo V)</t>
  </si>
  <si>
    <t>Chapa de poliéster reforçada com fibra de vidro - E = 2,0 mm</t>
  </si>
  <si>
    <t>Chapa de alumínio composto (ACM) - E = 3,0 mm</t>
  </si>
  <si>
    <t>M3232</t>
  </si>
  <si>
    <t>Película retrorrefletiva tipo X + SI (sinal impresso com película de sobreposição tipo V)</t>
  </si>
  <si>
    <t>Fita adesiva estrutural dupla-face - E = 2 mm e L = 25 mm</t>
  </si>
  <si>
    <t>Película retrorrefletiva tipo III + SI</t>
  </si>
  <si>
    <t>Película não retrorrefletiva tipo IV</t>
  </si>
  <si>
    <t>Película retrorrefletiva tipo X</t>
  </si>
  <si>
    <t>Duto flexível de ventilação de poliéster aluminizado sem isolamento - D = 200 mm</t>
  </si>
  <si>
    <t>Cabo de cobre flexível antichama isolado em HEPR - tensão de 0,6/1,0 kV e seção de 2 x 6 mm²</t>
  </si>
  <si>
    <t>Cabo de cobre flexível antichama isolado em HEPR - tensão de 0,6/1,0 kV e seção de 4 x 6 mm²</t>
  </si>
  <si>
    <t>Tinta plástica à base de resina metacrílica aplicada a frio por aspersão (spray)</t>
  </si>
  <si>
    <t>Ancoragem fixa para estais de 12 cordoalhas - D = 15,7 mm</t>
  </si>
  <si>
    <t>Ancoragem fixa para estais de 22 cordoalhas - D = 15,7 mm</t>
  </si>
  <si>
    <t>Ancoragem fixa para estais de 43 cordoalhas - D = 15,7 mm</t>
  </si>
  <si>
    <t>Ancoragem fixa para estais de 85 cordoalhas - D = 15,7 mm</t>
  </si>
  <si>
    <t>Ancoragem regulável para estais de 12 cordoalhas - D = 15,7 mm</t>
  </si>
  <si>
    <t>Ancoragem regulável para estais de 22 cordoalhas - D = 15,7 mm</t>
  </si>
  <si>
    <t>Ancoragem regulável para estais de 43 cordoalhas - D = 15,7 mm</t>
  </si>
  <si>
    <t>Ancoragem regulável para estais de 85 cordoalhas - D = 15,7 mm</t>
  </si>
  <si>
    <t>Tubo PEAD PE 100 PN 5 para estais - D = 110 mm</t>
  </si>
  <si>
    <t>Arruela lisa em aço zincado branco para parafuso - D = 9,525 mm (3/8")</t>
  </si>
  <si>
    <t>Viga de madeira - E = 5 cm e L = 11 cm</t>
  </si>
  <si>
    <t>Purgador plástico</t>
  </si>
  <si>
    <t>Chumbador de expansão controlada por torque em aço zincado para concreto - D = 8,0 mm</t>
  </si>
  <si>
    <t>Corrente de elo soldado em aço SAE 1010/1020 com acabamento polido - E = 25,00 mm (1")</t>
  </si>
  <si>
    <t>Corrente de elo soldado em aço SAE 1010/1020 com acabamento polido - E = 12,50 mm (1/2")</t>
  </si>
  <si>
    <t>Corrente de elo soldado em aço SAE 1010/1020 com acabamento polido - E = 19,00 mm (3/4")</t>
  </si>
  <si>
    <t>Lanterna de sinalização náutica com acessórios de fixação - alcance 2 mn</t>
  </si>
  <si>
    <t>Lanterna de sinalização náutica com acessórios de fixação - alcance 3 mn</t>
  </si>
  <si>
    <t>Lanterna de sinalização náutica com acessórios de fixação - alcance 4 mn</t>
  </si>
  <si>
    <t>Lanterna de sinalização náutica com acessórios de fixação - alcance 6 mn</t>
  </si>
  <si>
    <t>Lanterna de sinalização náutica com acessórios de fixação - alcance 8 mn</t>
  </si>
  <si>
    <t>Manilha âncora em aço forjado com porca e cupilha - DN = 16,0 mm (5/8")</t>
  </si>
  <si>
    <t>Manilha reta em aço forjado com porca e cupilha - DN = 38,1 mm (1 1/2")</t>
  </si>
  <si>
    <t>Manilha reta em aço forjado com porca e cupilha - DN = 25,4 mm (1")</t>
  </si>
  <si>
    <t>Suporte polimérico ecológico maciço colapsível para placa de sinalização - seção de 10 x 10 cm</t>
  </si>
  <si>
    <t>Placa de ancoragem para tirante de barra de aço - E = 12,7 mm e seção de 160 x 160 mm</t>
  </si>
  <si>
    <t>Material demolido - concreto simples</t>
  </si>
  <si>
    <t>Material demolido - madeira</t>
  </si>
  <si>
    <t>Revestimento asfáltico</t>
  </si>
  <si>
    <t>Camada granular (base ou sub-base)</t>
  </si>
  <si>
    <t>Material demolido - remendo profundo</t>
  </si>
  <si>
    <t>Material demolido - alvenaria</t>
  </si>
  <si>
    <t>Acessórios e materiais metálicos</t>
  </si>
  <si>
    <t>Material demolido - concreto armado</t>
  </si>
  <si>
    <t>Material de 3ª categoria</t>
  </si>
  <si>
    <t>Solo</t>
  </si>
  <si>
    <t>Grãos, agregados e solos derramados na pista</t>
  </si>
  <si>
    <t>Veículos de pequeno porte incendiados em rodovia</t>
  </si>
  <si>
    <t>M3518</t>
  </si>
  <si>
    <t>Tinta à base de resina epóxi bicomponente</t>
  </si>
  <si>
    <t>M3519</t>
  </si>
  <si>
    <t>Tinta à base de resina epóxi poliamida bicomponente para fundo preparador de pintura</t>
  </si>
  <si>
    <t>M3520</t>
  </si>
  <si>
    <t>Tinta anticorrosiva à base de resina epóxi poliamida bicomponente</t>
  </si>
  <si>
    <t>M3521</t>
  </si>
  <si>
    <t>Guincho manual com capacidade de tração de 100 kN com cabo de aço</t>
  </si>
  <si>
    <t>M3522</t>
  </si>
  <si>
    <t>Guincho manual com capacidade de tração de 200 kN com cabo de aço</t>
  </si>
  <si>
    <t>M3523</t>
  </si>
  <si>
    <t>Pneu reaproveitado</t>
  </si>
  <si>
    <t>M3524</t>
  </si>
  <si>
    <t>Sapatilha em aço inox - D = 13 mm (1/2")</t>
  </si>
  <si>
    <t>M3525</t>
  </si>
  <si>
    <t>Molinete manual com capacidade de tração de 70 kN</t>
  </si>
  <si>
    <t>M3526</t>
  </si>
  <si>
    <t>Ânodo de sacrifício em liga de zinco - peso = 20 kg</t>
  </si>
  <si>
    <t>M3527</t>
  </si>
  <si>
    <t>Cabo de aço - D = 42,00 mm (1 5/8")</t>
  </si>
  <si>
    <t>M3528</t>
  </si>
  <si>
    <t>Terminal soquete fechado em aço galvanizado compatível com cabo de aço de D = 42 mm</t>
  </si>
  <si>
    <t>M3529</t>
  </si>
  <si>
    <t>Manilha reta em aço forjado com porca e cupilha - D = 57,2 mm (2 1/4")</t>
  </si>
  <si>
    <t>M3530</t>
  </si>
  <si>
    <t>Tubo mecânico em aço-carbono</t>
  </si>
  <si>
    <t>M3718</t>
  </si>
  <si>
    <t>Material combustível removido</t>
  </si>
  <si>
    <t>M3719</t>
  </si>
  <si>
    <t>Blocos de rocha ou matacões</t>
  </si>
  <si>
    <t>M3720</t>
  </si>
  <si>
    <t>Material asfáltico removido</t>
  </si>
  <si>
    <t>M3721</t>
  </si>
  <si>
    <t>Estrutura de pórtico metálico removida</t>
  </si>
  <si>
    <t>M3722</t>
  </si>
  <si>
    <t>Estrutura de semipórtico duplo metálico removida</t>
  </si>
  <si>
    <t>M3723</t>
  </si>
  <si>
    <t>Estrutura de semipórtico metálico removida</t>
  </si>
  <si>
    <t>M3727</t>
  </si>
  <si>
    <t>Mangueira para hidrojateamento com pressão de trabalho de até 17,5 MPa (2.538 psi) - D = 25 mm (1")</t>
  </si>
  <si>
    <t>M3728</t>
  </si>
  <si>
    <t>Mangueira para sistema de sucção a vácuo com vazão de entrada de até 3,6 m³/h (60 l/min) - D = 72,5 mm (3")</t>
  </si>
  <si>
    <t>M3729</t>
  </si>
  <si>
    <t>Detritos removidos de bueiros</t>
  </si>
  <si>
    <t>M3730</t>
  </si>
  <si>
    <t>Material triturado - galhos e troncos</t>
  </si>
  <si>
    <t>M3772</t>
  </si>
  <si>
    <t>Canal monobloco com corpo e grelha em concreto polímero com efeito autolimpante - carga de controle de 400 kN - C = 100,0 cm, L = 15,0 cm e H = 23,0 cm</t>
  </si>
  <si>
    <t>M3773</t>
  </si>
  <si>
    <t>Canal monobloco com corpo e grelha em concreto polímero com efeito autolimpante - carga de controle de 400 kN - C = 100,0 cm, L = 25,0 cm e H = 32,0 cm</t>
  </si>
  <si>
    <t>M3774</t>
  </si>
  <si>
    <t>Canal monobloco com corpo e grelha em concreto polímero com efeito autolimpante - carga de controle de 900 kN - C = 100,0 cm, L = 16,0 cm e H = 26,5 cm</t>
  </si>
  <si>
    <t>M3775</t>
  </si>
  <si>
    <t>Canal monobloco com corpo e grelha em concreto polímero com efeito autolimpante - carga de controle de 900 kN - C = 100,0 cm, L = 21,0 cm e H = 28,0 cm</t>
  </si>
  <si>
    <t>M3776</t>
  </si>
  <si>
    <t>Canal monobloco com corpo e grelha em concreto polímero com efeito autolimpante - carga de controle de 900 kN - C = 100,0 cm, L = 21,0 cm e H = 38,0 cm</t>
  </si>
  <si>
    <t>M3777</t>
  </si>
  <si>
    <t>Canal monobloco com corpo e grelha em concreto polímero com efeito autolimpante - carga de controle de 900 kN - C = 100,0 cm, L = 21,0 cm e H = 48,0 cm</t>
  </si>
  <si>
    <t>M3778</t>
  </si>
  <si>
    <t>Canal monobloco com corpo e grelha em concreto polímero com efeito autolimpante - carga de controle de 900 kN - C = 100,0 cm, L = 26,0 cm e H = 33,0 cm</t>
  </si>
  <si>
    <t>M3779</t>
  </si>
  <si>
    <t>Canal monobloco com corpo e grelha em concreto polímero com efeito autolimpante - carga de controle de 900 kN - C = 100,0 cm, L = 26,0 cm e H = 53,0 cm</t>
  </si>
  <si>
    <t>M3780</t>
  </si>
  <si>
    <t>Canal monobloco com corpo e grelha em concreto polímero com efeito autolimpante - carga de controle de 900 kN - C = 200,0 cm, L = 40,0 cm e H = 59,5 cm</t>
  </si>
  <si>
    <t>M3781</t>
  </si>
  <si>
    <t>Canal em polietileno e polipropileno com efeito autolimpante e grelha de encaixe em poliamida reforçada - carga de controle de 250 kN - C = 100,0 cm, L = 16,0 cm e H = 12,2 cm</t>
  </si>
  <si>
    <t>M3782</t>
  </si>
  <si>
    <t>Canal em polietileno e polipropileno com efeito autolimpante e grelha de encaixe em poliamida reforçada - carga de controle de 250 kN - C = 100,0 cm, L = 16,0 cm e H = 17,2 cm</t>
  </si>
  <si>
    <t>M3783</t>
  </si>
  <si>
    <t>Canal em polietileno e polipropileno com efeito autolimpante e grelha de encaixe em poliamida reforçada - carga de controle de 250 kN - C = 100,0 cm, L = 16,0 cm e H = 5,5 cm</t>
  </si>
  <si>
    <t>M3784</t>
  </si>
  <si>
    <t>Canal em polietileno e polipropileno com efeito autolimpante e grelha de encaixe em ferro fundido dúctil - carga de controle de 400 kN - C = 100,0 cm, L = 14,7 cm e H = 15,7 cm</t>
  </si>
  <si>
    <t>M3785</t>
  </si>
  <si>
    <t>Canal em polietileno e polipropileno com efeito autolimpante e grelha de encaixe em ferro fundido dúctil - carga de controle de 400 kN - C = 100,0 cm, L = 24,7 cm e H = 20,8 cm</t>
  </si>
  <si>
    <t>M3786</t>
  </si>
  <si>
    <t>Canal em polietileno e polipropileno com efeito autolimpante e grelha de encaixe em ferro fundido dúctil - carga de controle de 400 kN - C = 100,0 cm, L = 34,9 cm e H = 25,8 cm</t>
  </si>
  <si>
    <t>M3787</t>
  </si>
  <si>
    <t>Canal em polietileno e polipropileno com efeito autolimpante e grelha de encaixe em ferro fundido dúctil - carga de controle de 600 kN - C = 100,0 cm, L = 16,0 cm e H = 12,2 cm</t>
  </si>
  <si>
    <t>M3788</t>
  </si>
  <si>
    <t>Canal em polietileno e polipropileno com efeito autolimpante e grelha de encaixe em ferro fundido dúctil - carga de controle de 600 kN - C = 100,0 cm, L = 21,2 cm e H = 18,0 cm</t>
  </si>
  <si>
    <t>M3789</t>
  </si>
  <si>
    <t>Canal em polietileno e polipropileno com efeito autolimpante e grelha de encaixe em ferro fundido dúctil - carga de controle de 600 kN - C = 100,0 cm, L = 26,2 cm e H = 17,2 cm</t>
  </si>
  <si>
    <t>M3790</t>
  </si>
  <si>
    <t>Canal em polietileno e polipropileno com efeito autolimpante e abertura de captação em ferro fundido dúctil - carga de controle de 900 kN - C = 100,0 cm, L = 21,0 cm e H = 57,9 cm</t>
  </si>
  <si>
    <t>M3791</t>
  </si>
  <si>
    <t>Canal em polietileno e polipropileno com efeito autolimpante e abertura de captação em ferro fundido dúctil - carga de controle de 900 kN - C = 100,0 cm, L = 25,2 cm e H = 57,8 cm</t>
  </si>
  <si>
    <t>M3792</t>
  </si>
  <si>
    <t>Canal em polietileno e polipropileno com efeito autolimpante e abertura de captação em ferro fundido dúctil - carga de controle de 900 kN - C = 100,0 cm, L = 42,0 cm e H = 95,0 cm</t>
  </si>
  <si>
    <t>M3793</t>
  </si>
  <si>
    <t>Canal em polietileno e polipropileno com efeito autolimpante e abertura de captação em ferro fundido dúctil - carga de controle de 900 kN - C = 114,2 cm, L = 78,0 cm e H = 106,0 cm</t>
  </si>
  <si>
    <t>Custo equivalente da construção civil</t>
  </si>
  <si>
    <t>Animais de grande porte mortos em rodovia</t>
  </si>
  <si>
    <t>Animais de pequeno porte mortos em rodovia</t>
  </si>
  <si>
    <t>Emborrachados de pneus espalhados em rodovia</t>
  </si>
  <si>
    <t>Espécimes arbóreos de até 20 m tombados na pista</t>
  </si>
  <si>
    <t>Espécimes arbóreos de 20 a 40 m tombados na pista</t>
  </si>
  <si>
    <t>Sucatas derramadas em rodovia</t>
  </si>
  <si>
    <t>Veículos de grande porte incendiados em rodovia</t>
  </si>
  <si>
    <t>Veículos de médio porte incendiados em rodovia</t>
  </si>
  <si>
    <t>Veículos de grande porte tombados em rodovia</t>
  </si>
  <si>
    <t>Veículos de médio porte tombados em rodovia</t>
  </si>
  <si>
    <t>Veículos de pequeno porte tombados em rodovia</t>
  </si>
  <si>
    <t>Vidros, caixas e engradados derramados na pista</t>
  </si>
  <si>
    <t>M3821</t>
  </si>
  <si>
    <t>Tacha refletiva em plástico injetado bidirecional com um pino - tipo I</t>
  </si>
  <si>
    <t>M3822</t>
  </si>
  <si>
    <t>Tacha refletiva em plástico injetado bidirecional com um pino - tipo II</t>
  </si>
  <si>
    <t>M3823</t>
  </si>
  <si>
    <t>Tacha refletiva em plástico injetado bidirecional com um pino - tipo III</t>
  </si>
  <si>
    <t>M3824</t>
  </si>
  <si>
    <t>Tacha refletiva em plástico injetado bidirecional com um pino - tipo IV</t>
  </si>
  <si>
    <t>M3825</t>
  </si>
  <si>
    <t>Tacha refletiva em plástico injetado bidirecional sem pino - tipo I</t>
  </si>
  <si>
    <t>M3826</t>
  </si>
  <si>
    <t>Tacha refletiva em plástico injetado bidirecional sem pino - tipo II</t>
  </si>
  <si>
    <t>M3827</t>
  </si>
  <si>
    <t>Tacha refletiva em plástico injetado bidirecional sem pino - tipo III</t>
  </si>
  <si>
    <t>M3828</t>
  </si>
  <si>
    <t>Tacha refletiva em plástico injetado bidirecional sem pino - tipo IV</t>
  </si>
  <si>
    <t>M3829</t>
  </si>
  <si>
    <t>Tacha refletiva em plástico injetado monodirecional com um pino - tipo I</t>
  </si>
  <si>
    <t>M3830</t>
  </si>
  <si>
    <t>Tacha refletiva em plástico injetado monodirecional com um pino - tipo II</t>
  </si>
  <si>
    <t>M3831</t>
  </si>
  <si>
    <t>Tacha refletiva em plástico injetado monodirecional com um pino - tipo III</t>
  </si>
  <si>
    <t>M3832</t>
  </si>
  <si>
    <t>Tacha refletiva em plástico injetado monodirecional com um pino - tipo IV</t>
  </si>
  <si>
    <t>M3833</t>
  </si>
  <si>
    <t>Tacha refletiva em plástico injetado monodirecional sem pino - tipo I</t>
  </si>
  <si>
    <t>M3834</t>
  </si>
  <si>
    <t>Tacha refletiva em plástico injetado monodirecional sem pino - tipo II</t>
  </si>
  <si>
    <t>M3835</t>
  </si>
  <si>
    <t>Tacha refletiva em plástico injetado monodirecional sem pino - tipo III</t>
  </si>
  <si>
    <t>M3836</t>
  </si>
  <si>
    <t>Tacha refletiva em plástico injetado monodirecional sem pino - tipo IV</t>
  </si>
  <si>
    <t>M3837</t>
  </si>
  <si>
    <t>Tacha refletiva em resina sintética bidirecional com um pino - tipo I</t>
  </si>
  <si>
    <t>M3838</t>
  </si>
  <si>
    <t>Tacha refletiva em resina sintética bidirecional com um pino - tipo II</t>
  </si>
  <si>
    <t>M3839</t>
  </si>
  <si>
    <t>Tacha refletiva em resina sintética bidirecional com um pino - tipo III</t>
  </si>
  <si>
    <t>M3840</t>
  </si>
  <si>
    <t>Tacha refletiva em resina sintética bidirecional com um pino - tipo IV</t>
  </si>
  <si>
    <t>M3841</t>
  </si>
  <si>
    <t>Tacha refletiva em resina sintética bidirecional sem pino - tipo I</t>
  </si>
  <si>
    <t>M3842</t>
  </si>
  <si>
    <t>Tacha refletiva em resina sintética bidirecional sem pino - tipo II</t>
  </si>
  <si>
    <t>M3843</t>
  </si>
  <si>
    <t>Tacha refletiva em resina sintética bidirecional sem pino - tipo III</t>
  </si>
  <si>
    <t>M3844</t>
  </si>
  <si>
    <t>Tacha refletiva em resina sintética bidirecional sem pino - tipo IV</t>
  </si>
  <si>
    <t>M3845</t>
  </si>
  <si>
    <t>Tacha refletiva em resina sintética monodirecional com um pino - tipo I</t>
  </si>
  <si>
    <t>M3846</t>
  </si>
  <si>
    <t>Tacha refletiva em resina sintética monodirecional com um pino - tipo II</t>
  </si>
  <si>
    <t>M3847</t>
  </si>
  <si>
    <t>Tacha refletiva em resina sintética monodirecional com um pino - tipo III</t>
  </si>
  <si>
    <t>M3848</t>
  </si>
  <si>
    <t>Tacha refletiva em resina sintética monodirecional com um pino - tipo IV</t>
  </si>
  <si>
    <t>M3851</t>
  </si>
  <si>
    <t>Tacha refletiva em resina sintética monodirecional sem pino - tipo I</t>
  </si>
  <si>
    <t>M3852</t>
  </si>
  <si>
    <t>Tacha refletiva em resina sintética monodirecional sem pino - tipo II</t>
  </si>
  <si>
    <t>M3853</t>
  </si>
  <si>
    <t>Tacha refletiva em resina sintética monodirecional sem pino - tipo III</t>
  </si>
  <si>
    <t>M3854</t>
  </si>
  <si>
    <t>Tacha refletiva em resina sintética monodirecional sem pino - tipo IV</t>
  </si>
  <si>
    <t>M3855</t>
  </si>
  <si>
    <t>Tacha refletiva metálica bidirecional com dois pinos - tipo II</t>
  </si>
  <si>
    <t>M3856</t>
  </si>
  <si>
    <t>Tacha refletiva metálica bidirecional com dois pinos - tipo III</t>
  </si>
  <si>
    <t>M3857</t>
  </si>
  <si>
    <t>Tacha refletiva metálica bidirecional com dois pinos - tipo IV</t>
  </si>
  <si>
    <t>M3858</t>
  </si>
  <si>
    <t>Tacha refletiva metálica bidirecional com um pino - tipo II</t>
  </si>
  <si>
    <t>M3859</t>
  </si>
  <si>
    <t>Tacha refletiva metálica bidirecional com um pino - tipo III</t>
  </si>
  <si>
    <t>M3860</t>
  </si>
  <si>
    <t>Tacha refletiva metálica bidirecional com um pino - tipo IV</t>
  </si>
  <si>
    <t>M3861</t>
  </si>
  <si>
    <t>Tacha refletiva metálica monodirecional com dois pinos - tipo II</t>
  </si>
  <si>
    <t>M3862</t>
  </si>
  <si>
    <t>Tacha refletiva metálica monodirecional com dois pinos - tipo III</t>
  </si>
  <si>
    <t>M3863</t>
  </si>
  <si>
    <t>Tacha refletiva metálica monodirecional com dois pinos - tipo IV</t>
  </si>
  <si>
    <t>M3864</t>
  </si>
  <si>
    <t>Tacha refletiva metálica monodirecional com um pino - tipo II</t>
  </si>
  <si>
    <t>M3865</t>
  </si>
  <si>
    <t>Tacha refletiva metálica monodirecional com um pino - tipo III</t>
  </si>
  <si>
    <t>M3866</t>
  </si>
  <si>
    <t>Tacha refletiva metálica monodirecional com um pino - tipo IV</t>
  </si>
  <si>
    <t>M3867</t>
  </si>
  <si>
    <t>Tachão refletivo em plástico injetado bidirecional</t>
  </si>
  <si>
    <t>M3868</t>
  </si>
  <si>
    <t>Tachão refletivo em plástico injetado monodirecional</t>
  </si>
  <si>
    <t>M3869</t>
  </si>
  <si>
    <t>Tachão refletivo em resina sintética bidirecional</t>
  </si>
  <si>
    <t>M3870</t>
  </si>
  <si>
    <t>Tachão refletivo em resina sintética monodirecional</t>
  </si>
  <si>
    <t>Emulsão asfáltica com polímero - RR-1C-E</t>
  </si>
  <si>
    <t>Reservatório metálico tipo taça - capacidade de 5.000 l</t>
  </si>
  <si>
    <t>Reservatório metálico tipo taça - capacidade de 10.000 l</t>
  </si>
  <si>
    <t>Reservatório metálico tipo taça - capacidade de 20.000 l</t>
  </si>
  <si>
    <t>Reservatório metálico tipo taça - capacidade de 30.000 l</t>
  </si>
  <si>
    <t>AMV tipo TR37, abertura 1:8, bitola métrica</t>
  </si>
  <si>
    <t>AMV tipo TR37, abertura 1:10, bitola métrica</t>
  </si>
  <si>
    <t>AMV tipo TR37, abertura 1:12, bitola métrica</t>
  </si>
  <si>
    <t>AMV tipo TR37, abertura 1:14, bitola métrica</t>
  </si>
  <si>
    <t>Bico para corte a plasma manual - 65A</t>
  </si>
  <si>
    <t>Bico para corte a plasma manual - 45A</t>
  </si>
  <si>
    <t>Bocal para corte a plasma manual - 45A/65A</t>
  </si>
  <si>
    <t>Capa de retenção para corte a plasma manual - 45A/65A</t>
  </si>
  <si>
    <t>Eletrodo para corte a plasma manual - 45A/65A</t>
  </si>
  <si>
    <t>Distribuidor de gás para corte a plasma manual - 45A/65A</t>
  </si>
  <si>
    <t>Parafuso de cabeça sextavada em aço inox - D = 12,7 mm (1/2") e C = 38,1 mm (1.1/2")</t>
  </si>
  <si>
    <t>Porca sextavada em aço inox para parafuso - D = 12,7 mm (1/2")</t>
  </si>
  <si>
    <t>Arruela lisa em aço inox - D = 12,7 mm (1/2")</t>
  </si>
  <si>
    <t>Disco de corte com 80 dentes multimaterial - D = 250 mm</t>
  </si>
  <si>
    <t>Lixa d'água Nº 360</t>
  </si>
  <si>
    <t>Diluente para tinta epóxi bicomponente ou tricomponente</t>
  </si>
  <si>
    <t>Tinta à base de resina epóxi óxido de ferro</t>
  </si>
  <si>
    <t>Diluente para esmalte poliuretano de dois componentes</t>
  </si>
  <si>
    <t>Tinta esmalte poliuretano bicomponente</t>
  </si>
  <si>
    <t>Catalisador para tinta fosfatizante</t>
  </si>
  <si>
    <t>Tinta fosfatizante para fundo preparador de pintura</t>
  </si>
  <si>
    <t>Luva em aço galvanizado com rosca BSP classe leve - D = 12,5 mm (1/2")</t>
  </si>
  <si>
    <t>Plug tipo bujão em aço galvanizado com rosca BSP - D = 15 mm (1/2")</t>
  </si>
  <si>
    <t>Tubo em aço-carbono - E = 3,35 mm e D = 80 mm (3")</t>
  </si>
  <si>
    <t>Tubo em aço-carbono - E = 3,00 mm e D = 150 mm (6")</t>
  </si>
  <si>
    <t>Cantoneira em alumínio de abas iguais - L = 38,1 mm e E = 4,76 mm</t>
  </si>
  <si>
    <t>Parafuso de cabeça sextavada em aço inox - D = 8 mm (M8) e C = 20 mm</t>
  </si>
  <si>
    <t>Porca sextavada em aço inox para parafuso - D = 8 mm (M8)</t>
  </si>
  <si>
    <t>Arruela lisa em aço inox para parafuso - D = 8,4 mm (M8)</t>
  </si>
  <si>
    <t>Arruela de pressão em aço inox para parafuso - D = 8,1 mm (M8)</t>
  </si>
  <si>
    <t>Parafuso de cabeça sextavada em aço inox - D = 12,7 mm (1/2") e C = 19,05 mm (3/4")</t>
  </si>
  <si>
    <t>Barra redonda em aço SAE 1020 - D = 25,4 mm (1")</t>
  </si>
  <si>
    <t>M3940</t>
  </si>
  <si>
    <t>Cunha metálica para protensão de fios - D = 6,0 mm</t>
  </si>
  <si>
    <t>M3941</t>
  </si>
  <si>
    <t>Porta-cunha metálica fechada para protensão de fios - D = 6,0 mm</t>
  </si>
  <si>
    <t>M3942</t>
  </si>
  <si>
    <t>Porta-cunha metálica aberta para protensão de fios - D = 6,0 mm</t>
  </si>
  <si>
    <t>M3943</t>
  </si>
  <si>
    <t>Lona de laminado de PVC reforçado com poliéster</t>
  </si>
  <si>
    <t>M3944</t>
  </si>
  <si>
    <t>Espuma expansiva de poliuretano</t>
  </si>
  <si>
    <t>M3945</t>
  </si>
  <si>
    <t>Argamassa polimérica bicomponente para impermeabilização</t>
  </si>
  <si>
    <t>Tubo em aço - E = 3,00 mm e seção de 40 x 40 mm</t>
  </si>
  <si>
    <t>Desmoldante para fôrmas metálicas</t>
  </si>
  <si>
    <t>M3950</t>
  </si>
  <si>
    <t>Airbag marítimo de lançamento de embarcação - C = 20,0 m e D = 1,5 m</t>
  </si>
  <si>
    <t>Arame E70S6 para solda MIG/MAG - D = 0,9 mm</t>
  </si>
  <si>
    <t>Custo
 (R$)</t>
  </si>
  <si>
    <t>Ajudante especializado</t>
  </si>
  <si>
    <t>Almoxarife - mensalista</t>
  </si>
  <si>
    <t>Apontador - mensalista</t>
  </si>
  <si>
    <t>Encarregado administrativo - mensalista</t>
  </si>
  <si>
    <t>Encarregado especializado - mensalista</t>
  </si>
  <si>
    <t>P9813</t>
  </si>
  <si>
    <t>Almoxarife</t>
  </si>
  <si>
    <t>Auxiliar de produção - mensalista</t>
  </si>
  <si>
    <t>Jardineiro</t>
  </si>
  <si>
    <t>P9817</t>
  </si>
  <si>
    <t>Apontador</t>
  </si>
  <si>
    <t>P9818</t>
  </si>
  <si>
    <t>Auxiliar administrativo</t>
  </si>
  <si>
    <t>Engenheiro supervisor - mensalista</t>
  </si>
  <si>
    <t>P9820</t>
  </si>
  <si>
    <t>Auxiliar de laboratório</t>
  </si>
  <si>
    <t>Soldador</t>
  </si>
  <si>
    <t>P9828</t>
  </si>
  <si>
    <t>Auxiliar de topografia</t>
  </si>
  <si>
    <t>P9829</t>
  </si>
  <si>
    <t>Auxiliar técnico</t>
  </si>
  <si>
    <t>P9831</t>
  </si>
  <si>
    <t>Chefe do setor administrativo</t>
  </si>
  <si>
    <t>P9834</t>
  </si>
  <si>
    <t>Comandante de longo curso</t>
  </si>
  <si>
    <t>Oceanógrafo - mensalista</t>
  </si>
  <si>
    <t>P9839</t>
  </si>
  <si>
    <t>Condutor maquinista fluvial</t>
  </si>
  <si>
    <t>Encarregado geral - mensalista</t>
  </si>
  <si>
    <t>Faxineiro - mensalista</t>
  </si>
  <si>
    <t>Operador de equipamento leve</t>
  </si>
  <si>
    <t>Operador de equipamento pesado</t>
  </si>
  <si>
    <t>Operador de equipamento especial</t>
  </si>
  <si>
    <t>Perfurador de tubulão</t>
  </si>
  <si>
    <t>Desenhista - mensalista</t>
  </si>
  <si>
    <t>Condutor maquinista fluvial - mensalista</t>
  </si>
  <si>
    <t>Médico do trabalho - mensalista</t>
  </si>
  <si>
    <t>Blaster</t>
  </si>
  <si>
    <t>Marinheiro de máquinas - mensalista</t>
  </si>
  <si>
    <t>Marinheiro de convés</t>
  </si>
  <si>
    <t>Marinheiro de convés - mensalista</t>
  </si>
  <si>
    <t>Trabalhador de via</t>
  </si>
  <si>
    <t>Selecionador de material pétreo</t>
  </si>
  <si>
    <t>P9862</t>
  </si>
  <si>
    <t>Desenhista</t>
  </si>
  <si>
    <t>P9863</t>
  </si>
  <si>
    <t>Draguista</t>
  </si>
  <si>
    <t>Engenheiro de segurança do trabalho - mensalista</t>
  </si>
  <si>
    <t>Motorista de caminhão</t>
  </si>
  <si>
    <t>Técnico especializado - mensalista</t>
  </si>
  <si>
    <t>P9868</t>
  </si>
  <si>
    <t>Encarregado administrativo</t>
  </si>
  <si>
    <t>Encarregado de obras de artes especiais - mensalista</t>
  </si>
  <si>
    <t>Motorista de veículo leve</t>
  </si>
  <si>
    <t>Motorista de veículo especial</t>
  </si>
  <si>
    <t>P9872</t>
  </si>
  <si>
    <t>Encarregado de conservação rodoviária</t>
  </si>
  <si>
    <t>P9873</t>
  </si>
  <si>
    <t>Encarregado de obras de artes especiais</t>
  </si>
  <si>
    <t>P9874</t>
  </si>
  <si>
    <t>Encarregado de pavimentação</t>
  </si>
  <si>
    <t>Encarregado de turma - mensalista</t>
  </si>
  <si>
    <t>P9877</t>
  </si>
  <si>
    <t>Encarregado de superestrutura ferroviária</t>
  </si>
  <si>
    <t>P9879</t>
  </si>
  <si>
    <t>Encarregado de terraplenagem</t>
  </si>
  <si>
    <t>Piloto fluvial - mensalista</t>
  </si>
  <si>
    <t>P9881</t>
  </si>
  <si>
    <t>Encarregado de turma</t>
  </si>
  <si>
    <t>Técnico especializado</t>
  </si>
  <si>
    <t>Chefe do setor administrativo - mensalista</t>
  </si>
  <si>
    <t>Encarregado de terraplenagem - mensalista</t>
  </si>
  <si>
    <t>Frentista de túnel</t>
  </si>
  <si>
    <t>P9886</t>
  </si>
  <si>
    <t>Encarregado especializado</t>
  </si>
  <si>
    <t>P9887</t>
  </si>
  <si>
    <t>Encarregado geral</t>
  </si>
  <si>
    <t>P9888</t>
  </si>
  <si>
    <t>Engenheiro</t>
  </si>
  <si>
    <t>Técnico da qualidade - mensalista</t>
  </si>
  <si>
    <t>P9890</t>
  </si>
  <si>
    <t>Engenheiro auxiliar</t>
  </si>
  <si>
    <t>Auxiliar de blaster</t>
  </si>
  <si>
    <t>Encarregado de pavimentação - mensalista</t>
  </si>
  <si>
    <t>P9894</t>
  </si>
  <si>
    <t>Engenheiro chefe</t>
  </si>
  <si>
    <t>P9895</t>
  </si>
  <si>
    <t>Engenheiro de segurança do trabalho</t>
  </si>
  <si>
    <t>Porteiro - mensalista</t>
  </si>
  <si>
    <t>Técnico ambiental - mensalista</t>
  </si>
  <si>
    <t>P9898</t>
  </si>
  <si>
    <t>Engenheiro supervisor</t>
  </si>
  <si>
    <t>P9899</t>
  </si>
  <si>
    <t>Faxineiro</t>
  </si>
  <si>
    <t>Encarregado de superestrutura ferroviária - mensalista</t>
  </si>
  <si>
    <t>P9902</t>
  </si>
  <si>
    <t>Imediato</t>
  </si>
  <si>
    <t>Auxiliar técnico - mensalista</t>
  </si>
  <si>
    <t>P9904</t>
  </si>
  <si>
    <t>Laboratorista</t>
  </si>
  <si>
    <t>P9905</t>
  </si>
  <si>
    <t>Marinheiro de máquinas</t>
  </si>
  <si>
    <t>P9906</t>
  </si>
  <si>
    <t>Médico de câmara hiperbárica</t>
  </si>
  <si>
    <t>Comandante de longo curso - mensalista</t>
  </si>
  <si>
    <t>Imediato - mensalista</t>
  </si>
  <si>
    <t>Oficial de náutica - mensalista</t>
  </si>
  <si>
    <t>Oficial de máquinas - mensalista</t>
  </si>
  <si>
    <t>Draguista - mensalista</t>
  </si>
  <si>
    <t>P9914</t>
  </si>
  <si>
    <t>Médico do trabalho</t>
  </si>
  <si>
    <t>P9915</t>
  </si>
  <si>
    <t>Maquinista</t>
  </si>
  <si>
    <t>Encarregado de conservação rodoviária - mensalista</t>
  </si>
  <si>
    <t>P9917</t>
  </si>
  <si>
    <t>Mestre fluvial</t>
  </si>
  <si>
    <t>P9918</t>
  </si>
  <si>
    <t>Oceanógrafo</t>
  </si>
  <si>
    <t>P9919</t>
  </si>
  <si>
    <t>Oficial de máquinas</t>
  </si>
  <si>
    <t>Mestre fluvial - mensalista</t>
  </si>
  <si>
    <t>P9921</t>
  </si>
  <si>
    <t>Mergulhador raso autônomo de emergência</t>
  </si>
  <si>
    <t>P9922</t>
  </si>
  <si>
    <t>Mergulhador raso dependente de emergência</t>
  </si>
  <si>
    <t>P9924</t>
  </si>
  <si>
    <t>Mergulhador raso dependente</t>
  </si>
  <si>
    <t>P9925</t>
  </si>
  <si>
    <t>Mergulhador raso autônomo</t>
  </si>
  <si>
    <t>P9926</t>
  </si>
  <si>
    <t>Mergulhador raso auxiliar de superfície</t>
  </si>
  <si>
    <t>Frentista de túnel com periculosidade</t>
  </si>
  <si>
    <t>Eletricista com periculosidade</t>
  </si>
  <si>
    <t>P9931</t>
  </si>
  <si>
    <t>Operador de equipamento de mergulho</t>
  </si>
  <si>
    <t>Operador de equipamento pesado com periculosidade</t>
  </si>
  <si>
    <t>P9933</t>
  </si>
  <si>
    <t>Supervisor de mergulho raso - mensalista</t>
  </si>
  <si>
    <t>Motorista de veículo especial com periculosidade</t>
  </si>
  <si>
    <t>P9935</t>
  </si>
  <si>
    <t>Oficial de náutica</t>
  </si>
  <si>
    <t>P9936</t>
  </si>
  <si>
    <t>Auxiliar de produção</t>
  </si>
  <si>
    <t>P9937</t>
  </si>
  <si>
    <t>Piloto fluvial</t>
  </si>
  <si>
    <t>Operador de equipamento leve com periculosidade</t>
  </si>
  <si>
    <t>Operador de equipamento leve com insalubridade</t>
  </si>
  <si>
    <t>Marinheiro de convés com periculosidade</t>
  </si>
  <si>
    <t>Operador de equipamento especial com periculosidade</t>
  </si>
  <si>
    <t>Engenheiro auxiliar - mensalista</t>
  </si>
  <si>
    <t>Técnico florestal - mensalista</t>
  </si>
  <si>
    <t>Motorista de veículo leve - mensalista</t>
  </si>
  <si>
    <t>Médico de câmara hiperbárica - mensalista</t>
  </si>
  <si>
    <t>Pedreiro - mensalista</t>
  </si>
  <si>
    <t>Eletricista - mensalista</t>
  </si>
  <si>
    <t>Servente - mensalista</t>
  </si>
  <si>
    <t>Engenheiro chefe - mensalista</t>
  </si>
  <si>
    <t>Motorista de caminhão com periculosidade</t>
  </si>
  <si>
    <t>P9957</t>
  </si>
  <si>
    <t>Motorista de ônibus</t>
  </si>
  <si>
    <t>P9958</t>
  </si>
  <si>
    <t>Motorista de ônibus - mensalista</t>
  </si>
  <si>
    <t>P9959</t>
  </si>
  <si>
    <t>Motorista de veículo especial com periculosidade - mensalista</t>
  </si>
  <si>
    <t>P9960</t>
  </si>
  <si>
    <t>Porteiro</t>
  </si>
  <si>
    <t>P9963</t>
  </si>
  <si>
    <t>Supervisor de mergulho raso</t>
  </si>
  <si>
    <t>P9964</t>
  </si>
  <si>
    <t>Técnico da qualidade</t>
  </si>
  <si>
    <t>P9965</t>
  </si>
  <si>
    <t>Técnico de batimetria</t>
  </si>
  <si>
    <t>P9966</t>
  </si>
  <si>
    <t>Técnico ambiental</t>
  </si>
  <si>
    <t>P9967</t>
  </si>
  <si>
    <t>Técnico de segurança do trabalho</t>
  </si>
  <si>
    <t>P9968</t>
  </si>
  <si>
    <t>Técnico florestal</t>
  </si>
  <si>
    <t>Técnico de batimetria - mensalista</t>
  </si>
  <si>
    <t>P9981</t>
  </si>
  <si>
    <t>Topógrafo</t>
  </si>
  <si>
    <t>P9982</t>
  </si>
  <si>
    <t>Vigia</t>
  </si>
  <si>
    <t>Valor de Aquisição
 (R$)</t>
  </si>
  <si>
    <t>Depreciação
 (R$/h)</t>
  </si>
  <si>
    <t>Oportunidade de Capital
 (R$/h)</t>
  </si>
  <si>
    <t>Seguros e Impostos
 (R$/h)</t>
  </si>
  <si>
    <t>Manutenção
 (R$/h)</t>
  </si>
  <si>
    <t>Operação
 (R$/h)</t>
  </si>
  <si>
    <t>Mão de Obra de Operação
 (R$/h)</t>
  </si>
  <si>
    <t>Custo Produtivo
 (R$/h)</t>
  </si>
  <si>
    <t>Custo Improdutivo
 (R$/h)</t>
  </si>
  <si>
    <t>Conjunto vibratório para tubos de concreto com encaixe PB e 3 jogos de fôrmas - D = 0,60 m - 2,20 kW</t>
  </si>
  <si>
    <t>Conjunto vibratório para tubos de concreto com encaixe PB e 3 jogos de fôrmas - D = 0,80 m - 2,20 kW</t>
  </si>
  <si>
    <t>Conjunto vibratório para tubos de concreto com encaixe PB e 3 jogos de fôrmas - D = 1,00 m - 2,20 kW</t>
  </si>
  <si>
    <t>Conjunto vibratório para tubos de concreto com encaixe PB e 3 jogos de fôrmas - D = 1,20 m - 2,20 kW</t>
  </si>
  <si>
    <t>Conjunto vibratório para tubos de concreto com encaixe PB e 3 jogos de fôrmas - D = 1,50 m - 2,20 kW</t>
  </si>
  <si>
    <t>Equipamento para sondagem manual</t>
  </si>
  <si>
    <t>Bomba de pistão triplex com capacidade de 7,80 m³/h (130 l/min) - 8,20 kW</t>
  </si>
  <si>
    <t>Transportador manual de tubos de concreto com capacidade de 1 t</t>
  </si>
  <si>
    <t>Embarcação rebocadora - 268 kW</t>
  </si>
  <si>
    <t>Carro manual modelo plataforma de 200 x 80 cm com capacidade de 800 kg</t>
  </si>
  <si>
    <t>Deflectômetro de impacto (FWD) instalado em picape com reboque e faixa de carga de 7 a 120 kN - 147 kW</t>
  </si>
  <si>
    <t>Elevador de obra com capacidade de 1.000 kg - 9 kW</t>
  </si>
  <si>
    <t>Usina misturadora móvel de reciclagem a frio com sistema de espuma de asfalto - 129,40 kW</t>
  </si>
  <si>
    <t>Escavadeira hidráulica sobre esteira com capacidade de 0,4 m³ - 64 kW</t>
  </si>
  <si>
    <t>Recicladora a frio - 455 kW</t>
  </si>
  <si>
    <t>Grupo gerador - 456 kVA</t>
  </si>
  <si>
    <t>Pórtico metálico rolante com capacidade de 25 t - 30 kW</t>
  </si>
  <si>
    <t>Guindaste móvel sobre esteiras com dragline com capacidade de 1,9 a 2,3 m³ - 270 kW</t>
  </si>
  <si>
    <t>Misturador de nata cimento - 1,50 kW</t>
  </si>
  <si>
    <t>Conjunto bomba e macaco hidráulico para protensão com capacidade de 7.000 kN - 15 kW</t>
  </si>
  <si>
    <t>Bomba para injeção de nata de cimento com capacidade de 2 MPa - 2,20 kW</t>
  </si>
  <si>
    <t>Bomba de alta pressão para hidrojateamento com capacidade de 18 MPa - 5,20 kW</t>
  </si>
  <si>
    <t>Conjunto bomba e macaco hidráulico para protensão com capacidade de 8.000 kN - 20 kW</t>
  </si>
  <si>
    <t>Bomba de protensão com leitura digital para tensionamento de estais - 3 kW</t>
  </si>
  <si>
    <t>Elevador de cremalheira com cabine simples, com capacidade de 1.500 kg e altura de até 100 m - 15 kW</t>
  </si>
  <si>
    <t>Equipamento para regulagem final de estais com até 37 cordoalhas - D = 15,7 mm - 20 kW</t>
  </si>
  <si>
    <t>Equipamento para regulagem final de estais de 38 a 55 cordoalhas - D = 15,7 mm - 30 kW</t>
  </si>
  <si>
    <t>Equipamento para regulagem final de estais de 56 a 73 cordoalhas - D = 15,7 mm - 40 kW</t>
  </si>
  <si>
    <t>Equipamento para regulagem final de estais de 74 a 91 cordoalhas - D = 15,7 mm - 50 kW</t>
  </si>
  <si>
    <t>Grua fixa para alturas de 60 a 102 m, com alcance de 60 m com capacidade de 1.500 kg na ponta da lança - 37 kW</t>
  </si>
  <si>
    <t>Macaco hidráulico monocordoalha para tensionamento de estais - 3 kW</t>
  </si>
  <si>
    <t>Máquina de solda por termofusão para tubos PEAD com gerador de 4 kW</t>
  </si>
  <si>
    <t>Serra mármore - 1,45 kW</t>
  </si>
  <si>
    <t>Trator sobre esteiras com lâmina - 97 kW</t>
  </si>
  <si>
    <t>Embarcação de alumínio com comprimento de 6 m e motor de popa - 18,60 kW</t>
  </si>
  <si>
    <t>Central de concreto com capacidade de 150 m³/h - dosadora e misturadora</t>
  </si>
  <si>
    <t>Conjunto bomba e macaco hidráulico para elevação com capacidade de 496 kN</t>
  </si>
  <si>
    <t>Conjunto bomba e macaco hidráulico para elevação com capacidade de 929 kN</t>
  </si>
  <si>
    <t>Conjunto bomba e macaco hidráulico para elevação com capacidade de 1.390 kN</t>
  </si>
  <si>
    <t>Conjunto bomba e macaco hidráulico para elevação com capacidade de 1.859 kN</t>
  </si>
  <si>
    <t>Bomba de alta pressão para hidrojateamento com capacidade de 250 MPa - 72 kW</t>
  </si>
  <si>
    <t>Guindaste móvel sobre pneus com 2 eixos com capacidade de 18 t - 97 kW</t>
  </si>
  <si>
    <t>Máquina levantadora e posicionadora de via - 7,40 kW</t>
  </si>
  <si>
    <t>Empilhadeira a diesel com capacidade de 10 t - 82 kW</t>
  </si>
  <si>
    <t>Perfuratriz hidráulica montada em flutuante - 32 kW</t>
  </si>
  <si>
    <t>Equipamento sobre forma-trilho para execução e acabamento de pavimento de concreto - 13,40 kW</t>
  </si>
  <si>
    <t>Guincho pneumático com capacidade de 2,5 t</t>
  </si>
  <si>
    <t>Plataforma autoelevatória de 12 x 24 m com capacidade de 150 t</t>
  </si>
  <si>
    <t>Batelão sem propulsão com capacidade de 66 m³</t>
  </si>
  <si>
    <t>Plataforma flutuante de 12 x 24 x 1,8 m com capacidade de 150 t</t>
  </si>
  <si>
    <t>Plataforma autoelevatória de 12 x 24 m montada na obra com capacidade de 150 t</t>
  </si>
  <si>
    <t>Perfuratriz pneumática rotopercussiva montada em flutuante com pressão de 0,70 MPa e capacidade de 2.500 gpm</t>
  </si>
  <si>
    <t>Lixadeira/esmerilhadeira elétrica manual angular - 2,2 kW</t>
  </si>
  <si>
    <t>Soprador de ar quente manual - 1,60 kW</t>
  </si>
  <si>
    <t>Equipamento de estabilização dinâmica da via - 300 kW</t>
  </si>
  <si>
    <t>Carro controle ferroviário - 186 kW</t>
  </si>
  <si>
    <t>Veículo ferroviário para capina química com capacidade de 12.000 l - 115 kW</t>
  </si>
  <si>
    <t>Perfuratriz hidráulica rotopercussiva para CCPH - 123 kW</t>
  </si>
  <si>
    <t>Ponte rolante com capacidade de 5 t e vão de até 15 m - 10 kW</t>
  </si>
  <si>
    <t>Martelo hidráulico vibratório com unidade hidráulica - 486 kW</t>
  </si>
  <si>
    <t>Bomba de concreto rebocável com capacidade de 30 m³/h - 74 kW</t>
  </si>
  <si>
    <t>Tanque de estocagem de asfalto com agitadores de 60.000 l</t>
  </si>
  <si>
    <t>Trado cavadeira de 12"</t>
  </si>
  <si>
    <t>Perfuratriz de circulação reversa tipo Wirth ou similar com unidade hidráulica (Power Pack) - 273 kW</t>
  </si>
  <si>
    <t>Treliça lançadeira com capacidade de carga de 100 a 120 t e vão máximo de 45 m - 110 kW</t>
  </si>
  <si>
    <t>Bomba submersível com capacidade de 360 m³/h - 23 kW</t>
  </si>
  <si>
    <t>Carrelone com capacidade máxima de 70 t</t>
  </si>
  <si>
    <t>Fischietti simples com capacidade de 70 t</t>
  </si>
  <si>
    <t>Vagão fechado FLT com capacidade de 99 t</t>
  </si>
  <si>
    <t>Vagão tanque convencional TCT com capacidade de 97 t e 103.000 l</t>
  </si>
  <si>
    <t>Vagão gôndola GDE com capacidade de 93,5 t / 29 m³</t>
  </si>
  <si>
    <t>Bomba de concreto rebocável com capacidade de 41 m³/h - 74 kW</t>
  </si>
  <si>
    <t>Roçadeira costal - 1,40 kW</t>
  </si>
  <si>
    <t>Guindaste móvel sobre pneus com 8 eixos com capacidade máxima de 500 t - 500 kW</t>
  </si>
  <si>
    <t>Minicarregadeira de pneus - 45,50 kW</t>
  </si>
  <si>
    <t>Removedora de faixas de sinalização viária - 9,69 kW</t>
  </si>
  <si>
    <t>Extrusora para sarjeta de concreto - 10,44 kW</t>
  </si>
  <si>
    <t>Extrusora para meio-fio de concreto - 10,44 kW</t>
  </si>
  <si>
    <t>Embarcação rebocadora multipropósito com guindaste hidráulico 155 kN.m - 2 x 186 kW</t>
  </si>
  <si>
    <t>Balsa de convés com capacidade de 200 t</t>
  </si>
  <si>
    <t>Compactador manual com soquete vibratório - 2,24 kW</t>
  </si>
  <si>
    <t>Soldadora de trilho por caldeamento na via - 400 kW</t>
  </si>
  <si>
    <t>Escavadeira hidráulica sobre esteiras para rocha com caçamba com capacidade de 1,56 m³ - 118 kW</t>
  </si>
  <si>
    <t>Jateador abrasivo úmido com capacidade de 350 kg de abrasivo</t>
  </si>
  <si>
    <t>Sinalizador direcional móvel com sistema fotovoltaico de energia e montado em chassi sobre pneus</t>
  </si>
  <si>
    <t>Painel de Mensagem Variável - PMV móvel, com sistema fotovoltaico de energia e montado em chassi sobre pneus</t>
  </si>
  <si>
    <t>Semáforo móvel com 3 lentes e bateria - D = 200 mm</t>
  </si>
  <si>
    <t>Carregadeira de pneus para rocha com capacidade de 2,50 m³ - 105 kW</t>
  </si>
  <si>
    <t>Cortadora de pavimento com disco diamantado de 450 a 1.500 mm - 55,40 kW</t>
  </si>
  <si>
    <t>Minicarregadeira sobre pneus com valetadeira - 55,40 kW</t>
  </si>
  <si>
    <t>Equipamento de cravação sobre esteira para geodreno com haste para profundidade de até 20 m - 258 kW</t>
  </si>
  <si>
    <t>Perfuratriz tipo Bottom Feed para coluna de brita - 194 kW</t>
  </si>
  <si>
    <t>Draga backhoe com capacidade de 7 m³ - 1.000 kW</t>
  </si>
  <si>
    <t>Escavadeira hidráulica com martelo hidráulico de 520 kg - 75 kW</t>
  </si>
  <si>
    <t>E9128</t>
  </si>
  <si>
    <t>Veículo leve picape compacta 4 x 2 com cabine dupla com capacidade de 0,65 t - 72 kW</t>
  </si>
  <si>
    <t>E9129</t>
  </si>
  <si>
    <t>Veículo leve picape compacta 4 x 2 com cabine dupla com capacidade de 0,65 t - 72 kW (sem motorista)</t>
  </si>
  <si>
    <t>E9130</t>
  </si>
  <si>
    <t>Veículo leve picape média 4 x 4 com cabine dupla com capacidade de 1,10 t - 152,25 kW (sem motorista)</t>
  </si>
  <si>
    <t>E9131</t>
  </si>
  <si>
    <t>Veículo tipo van furgão com capacidade de 1,38 t - 100 kW (sem motorista)</t>
  </si>
  <si>
    <t>Miniônibus com capacidade para 30 passageiros - 120 kW</t>
  </si>
  <si>
    <t>Rebarbador hidráulico com bomba manual com capacidade de força de 9.000 kgf</t>
  </si>
  <si>
    <t>Pórtico metálico rolante com talha com capacidade de 5 t - 5,6 kW</t>
  </si>
  <si>
    <t>Macaco de protensão de fios com bomba - 3,72 kW</t>
  </si>
  <si>
    <t>E9149</t>
  </si>
  <si>
    <t>Máquina de aplicação e extração de grampo elástico tipo Pandrol - 6,70 kW</t>
  </si>
  <si>
    <t>E9151</t>
  </si>
  <si>
    <t>Britador de mandíbulas móvel sobre esteiras, sem peneira, com capacidade de 140 m³/h - 170 kW</t>
  </si>
  <si>
    <t>E9152</t>
  </si>
  <si>
    <t>Ferramenta de fixação à pólvora de ação direta</t>
  </si>
  <si>
    <t>E9153</t>
  </si>
  <si>
    <t>Ferramenta de fixação à pólvora e sistema à pistão</t>
  </si>
  <si>
    <t>E9154</t>
  </si>
  <si>
    <t>Equipamento para selagem com material asfáltico rebocável com capacidade de 370 l - 35 kW</t>
  </si>
  <si>
    <t>E9155</t>
  </si>
  <si>
    <t>Caldeira de asfalto rebocável com capacidade de 600 l - 5,20 kW</t>
  </si>
  <si>
    <t>E9156</t>
  </si>
  <si>
    <t>Soprador de ar costal - 2,6 kW</t>
  </si>
  <si>
    <t>E9157</t>
  </si>
  <si>
    <t>Locomotiva diesel-elétrica CC - bitola métrica - 2.237 kW</t>
  </si>
  <si>
    <t>E9158</t>
  </si>
  <si>
    <t>Locomotiva diesel-elétrica CC - bitola larga - 2.237 kW</t>
  </si>
  <si>
    <t>E9159</t>
  </si>
  <si>
    <t>Vagão plataforma PNE com capacidade de 82 t - bitola métrica</t>
  </si>
  <si>
    <t>E9160</t>
  </si>
  <si>
    <t>Vagão plataforma PNT com capacidade de 98 t - bitola larga</t>
  </si>
  <si>
    <t>E9161</t>
  </si>
  <si>
    <t>Vagão fechado com porta para carga e descarga de paletes FLD com capacidade de 64 t - bitola métrica</t>
  </si>
  <si>
    <t>E9162</t>
  </si>
  <si>
    <t>Vagão fechado com porta para carga e descarga de paletes FLT com capacidade de 99 t - bitola larga</t>
  </si>
  <si>
    <t>E9163</t>
  </si>
  <si>
    <t>Vagão hopper aberto com descarga automática HNE com capacidade de 45 m³ - bitola métrica</t>
  </si>
  <si>
    <t>E9164</t>
  </si>
  <si>
    <t>Vagão hopper aberto com descarga automática HNT com capacidade de 63 m³ - bitola larga</t>
  </si>
  <si>
    <t>E9167</t>
  </si>
  <si>
    <t>Equipamento para carga e descarga de TLS de até 250 m - 90 kW</t>
  </si>
  <si>
    <t>E9168</t>
  </si>
  <si>
    <t>Carregadeira de pneus com implemento de garfo - 195 kW</t>
  </si>
  <si>
    <t>E9172</t>
  </si>
  <si>
    <t>Equipamento distribuidor de fios para fábrica de dormentes - 2,50 kW</t>
  </si>
  <si>
    <t>E9173</t>
  </si>
  <si>
    <t>Bancos de ancoragem passiva e ativa para protensão de fios com capacidade de 200 tf</t>
  </si>
  <si>
    <t>E9174</t>
  </si>
  <si>
    <t>Aferidor para protensão de fios com capacidade de 3 a 6 t</t>
  </si>
  <si>
    <t>E9175</t>
  </si>
  <si>
    <t>Equipamento para concretagem de fôrmas de dormentes com silo de 1,5 m³ - 9 kW</t>
  </si>
  <si>
    <t>E9176</t>
  </si>
  <si>
    <t>Sistema de desprotensão com capacidade de 150 t - 3,72 kW</t>
  </si>
  <si>
    <t>E9177</t>
  </si>
  <si>
    <t>Pórtico metálico rolante com talha com capacidade de 5 t e pinça mecânica dupla para elevação de até 4 dormentes - 5,60 kW</t>
  </si>
  <si>
    <t>E9178</t>
  </si>
  <si>
    <t>Estação viradora de dormentes com esteira de 6 m - 7,70 kW</t>
  </si>
  <si>
    <t>E9179</t>
  </si>
  <si>
    <t>Pórtico metálico com talha e pinça para seleção de dormentes com capacidade de 1 t - 1,10 kW</t>
  </si>
  <si>
    <t>E9180</t>
  </si>
  <si>
    <t>Cesto para transporte aéreo de concreto com capacidade de 1,5 m³</t>
  </si>
  <si>
    <t>E9181</t>
  </si>
  <si>
    <t>Equipamento desbobinador de fios de protensão móvel</t>
  </si>
  <si>
    <t>E9182</t>
  </si>
  <si>
    <t>Central de concreto com capacidade de 20 m³/h - dosadora e misturadora</t>
  </si>
  <si>
    <t>E9183</t>
  </si>
  <si>
    <t>Vagonete para transporte de até 16 dormentes</t>
  </si>
  <si>
    <t>E9184</t>
  </si>
  <si>
    <t>Pista de apoio para fôrmas metálicas para dormentes de concreto - 4 cavidades - C = 127,90 m</t>
  </si>
  <si>
    <t>E9185</t>
  </si>
  <si>
    <t>Fôrma metálica para dormentes de concreto de bitola larga ou mista - 4 cavidades</t>
  </si>
  <si>
    <t>E9186</t>
  </si>
  <si>
    <t>Fôrma metálica para dormentes de concreto de bitola métrica - 4 cavidades</t>
  </si>
  <si>
    <t>Carregadeira de pneus para rocha com capacidade de 2,50 m³ - 105 kW com periculosidade</t>
  </si>
  <si>
    <t>Escavadeira hidráulica com martelo hidráulico de 1.700 kg - 103 kW com periculosidade</t>
  </si>
  <si>
    <t>Perfuratriz sobre esteiras - 145 kW com periculosidade</t>
  </si>
  <si>
    <t>Equipamento de corte a plasma CNC - 12.000 x 5.500 mm - 19,5 kW</t>
  </si>
  <si>
    <t>Máquina de solda elétrica retificadora 425 A - 18,70 kW</t>
  </si>
  <si>
    <t>Martelete perfurador/rompedor a ar comprimido de 25 kg para rocha, com insalubridade, com capacidade de 2.040 gpm</t>
  </si>
  <si>
    <t>Jumbo eletro-hidráulico com 3 braços - 155 kW/237 kW com periculosidade</t>
  </si>
  <si>
    <t>E9220</t>
  </si>
  <si>
    <t>Ônibus rodoviário com capacidade para 50 passageiros - 280 kW</t>
  </si>
  <si>
    <t>E9231</t>
  </si>
  <si>
    <t>Maçarico lança-chamas a gás liquefeito de petróleo (GLP)</t>
  </si>
  <si>
    <t>E9239</t>
  </si>
  <si>
    <t>Miniônibus com capacidade para 30 passageiros - 120 kW (sem motorista)</t>
  </si>
  <si>
    <t>E9240</t>
  </si>
  <si>
    <t>Ônibus com capacidade para 46 passageiros - 153 kW (sem motorista)</t>
  </si>
  <si>
    <t>E9242</t>
  </si>
  <si>
    <t>Estação transmissora de superfície para televisionamento</t>
  </si>
  <si>
    <t>E9243</t>
  </si>
  <si>
    <t>Câmara hiperbárica com filtro, serpentina e reservatório de ar para mergulho raso - D = 1,80 m e H = 2,22 m</t>
  </si>
  <si>
    <t>E9244</t>
  </si>
  <si>
    <t>Estação transmissora de superfície para comunicação sem fio</t>
  </si>
  <si>
    <t>E9245</t>
  </si>
  <si>
    <t>Estação transmissora de superfície para comunicação com fio</t>
  </si>
  <si>
    <t>E9246</t>
  </si>
  <si>
    <t>Painel de controle de ar com manômetros e pneufatômetros</t>
  </si>
  <si>
    <t>E9247</t>
  </si>
  <si>
    <t>Sistema de Sino aberto (sinete) para mergulho até 50 m - 33,50 kW</t>
  </si>
  <si>
    <t>E9248</t>
  </si>
  <si>
    <t>Sistema de ar comprimido para mergulho até 30 m com pressão de trabalho de 1,4 MPa - 7,46 kW</t>
  </si>
  <si>
    <t>E9249</t>
  </si>
  <si>
    <t>Sistema de ar comprimido para mergulho até 50 m com pressão de trabalho de 1,7 MPa - 16,18 kW</t>
  </si>
  <si>
    <t>Fonte de plasma para corte manual - 65A - 15 kW</t>
  </si>
  <si>
    <t>Serra de esquadria com braço telescópico - D = 250 mm (10") - 1,80 kW</t>
  </si>
  <si>
    <t>Rebordeadeira diâmetro máximo 3,00 m - 4,85 kW</t>
  </si>
  <si>
    <t>Dobradeira viradeira manual comprimento máximo de dobra de até 2.000 mm</t>
  </si>
  <si>
    <t>Fonte de plasma para corte manual - 45A - 10 kW</t>
  </si>
  <si>
    <t>E9256</t>
  </si>
  <si>
    <t>Equipamento para pintura com cal rebocável com dois bicos aplicadores e capacidade de 2.200 l</t>
  </si>
  <si>
    <t>E9258</t>
  </si>
  <si>
    <t>Balsa de convés com capacidade de 600 t</t>
  </si>
  <si>
    <t>E9259</t>
  </si>
  <si>
    <t>Ventilador centrífugo média pressão com capacidade de 38 m³/min - 2,21 kW</t>
  </si>
  <si>
    <t>E9260</t>
  </si>
  <si>
    <t>Detector de gases com bomba elétrica para espaço confinado</t>
  </si>
  <si>
    <t>E9261</t>
  </si>
  <si>
    <t>Equipamento de pintura com pistola airless - 0,90 kW</t>
  </si>
  <si>
    <t>E9262</t>
  </si>
  <si>
    <t>Escova rotativa com cerdas de aço para tratamento de superfície - 0,91 kW</t>
  </si>
  <si>
    <t>E9263</t>
  </si>
  <si>
    <t>Tripé com guincho para espaço confinado</t>
  </si>
  <si>
    <t>E9264</t>
  </si>
  <si>
    <t>Respirador purificador de ar motorizado</t>
  </si>
  <si>
    <t>E9265</t>
  </si>
  <si>
    <t>Respirador de adução de ar tipo linha de ar comprimido para jateamento</t>
  </si>
  <si>
    <t>E9267</t>
  </si>
  <si>
    <t>Exaustor centrífugo alta pressão com capacidade de 35 m³/min - 1,47 kW</t>
  </si>
  <si>
    <t>Ventilador axial para ventilação forçada com velocidade de saída de 32,8 m/s - D = 1.000 mm - 30 kW</t>
  </si>
  <si>
    <t>Guilhotina hidráulica 16 x 6.100 mm - 30 kW</t>
  </si>
  <si>
    <t>Prensa dobradeira capacidade 320 t - comprimento até 3.100 mm - 30 kW</t>
  </si>
  <si>
    <t>Ventilador centrífugo baixa pressão com capacidade de 58 m³/min - 3,68 kW</t>
  </si>
  <si>
    <t>Carregadeira de pneus com capacidade de 3,40 m³ - 195 kW</t>
  </si>
  <si>
    <t>Veículo leve - 53 kW</t>
  </si>
  <si>
    <t>Compressor de ar portátil de 160,46 l/s (340 PCM) - 81 kW</t>
  </si>
  <si>
    <t>Distribuidor de agregados sobre pneus autopropelido - 130 kW</t>
  </si>
  <si>
    <t>Perfuratriz hidráulica sobre esteiras - 283 kW</t>
  </si>
  <si>
    <t>Grade de 24 discos rebocável de D = 60 cm (24")</t>
  </si>
  <si>
    <t>Grupo gerador - 3,2 kVA</t>
  </si>
  <si>
    <t>Caldeira de asfalto rebocável com capacidade de 1.500 l - 6,5 kW</t>
  </si>
  <si>
    <t>Motoscraper - 304 kW</t>
  </si>
  <si>
    <t>Motoniveladora - 93 kW</t>
  </si>
  <si>
    <t>Ponte rolante com capacidade de 15 t e vão de até 15 m - 20 kW</t>
  </si>
  <si>
    <t xml:space="preserve">Retroescavadeira de pneus - capacidade da caçamba da pá-carregadeira de 0,76 m³ e da retroescavadeira de 0,29 m³ - 58 kW </t>
  </si>
  <si>
    <t>Martelete perfurador/rompedor a ar comprimido de 25 kg para rocha com capacidade de 2.040 gpm</t>
  </si>
  <si>
    <t>Empilhadeira a diesel com capacidade de 4 t - 60 kW</t>
  </si>
  <si>
    <t>Jateador para chapas e perfis metálicos com transportador a roletes - 132 kW</t>
  </si>
  <si>
    <t>Rolo compactador liso vibratório autopropelido por pneus de 11 t - 97 kW</t>
  </si>
  <si>
    <t>Equipamento de solda MIG/MAG semiautomática com acessórios - 28,36 kVA</t>
  </si>
  <si>
    <t>Embarcação de transporte de pessoal e apoio logístico - 30 kW</t>
  </si>
  <si>
    <t>Conjunto vibratório para meio tubo de concreto com encaixe PB e 3 jogos de fôrmas - D = 0,30 m - 2,20 kW</t>
  </si>
  <si>
    <t>Equipamento de batimetria monofeixe</t>
  </si>
  <si>
    <t>Trator sobre esteiras com lâmina - 127 kW</t>
  </si>
  <si>
    <t>Trator sobre esteiras com lâmina - 259 kW</t>
  </si>
  <si>
    <t>E9543</t>
  </si>
  <si>
    <t>Compressor de ar respirável com capacidade de até 35 MPa e 3,58 l/s - 5,52 kW</t>
  </si>
  <si>
    <t>Vassoura mecânica rebocável com largura de 2,44 m</t>
  </si>
  <si>
    <t>Vibroacabadora de asfalto sobre esteiras - 97 kW</t>
  </si>
  <si>
    <t>E9546</t>
  </si>
  <si>
    <t>Equipamento para solda e corte com oxi-GLP</t>
  </si>
  <si>
    <t>Máquina de solda elétrica transformadora 250 A - 9,20 kW</t>
  </si>
  <si>
    <t>Bomba centrífuga com capacidade de 7,1 a 22 m³/h - 1,50 kW</t>
  </si>
  <si>
    <t>E9549</t>
  </si>
  <si>
    <t>Jateador e sistema de pintura para chapas e perfis metálicos com transportador a roletes - 160 kW</t>
  </si>
  <si>
    <t>E9551</t>
  </si>
  <si>
    <t>Obturador mecânico simples com extensão de 12 m</t>
  </si>
  <si>
    <t>Nível ótico com capacidade de aumento de 32x</t>
  </si>
  <si>
    <t>Estação total eletrônica com alcance máximo de 3.000 m</t>
  </si>
  <si>
    <t>Compactador manual de placa vibratória - 3,00 kW</t>
  </si>
  <si>
    <t>Tanque de estocagem de asfalto com capacidade de 30.000 l</t>
  </si>
  <si>
    <t>Aquecedor de fluido térmico - 12 kW</t>
  </si>
  <si>
    <t>Ônibus com capacidade para 46 passageiros - 153 kW</t>
  </si>
  <si>
    <t>GPS geodésico de simples frequência (L1)</t>
  </si>
  <si>
    <t>GPS geodésico de dupla frequência (L1/L2)</t>
  </si>
  <si>
    <t>Perfuratriz hidráulica sobre esteiras com clamshell - 220 kW</t>
  </si>
  <si>
    <t>Trator sobre esteiras com lâmina e escarificador - 259 kW</t>
  </si>
  <si>
    <t>Guindaste móvel sobre esteiras com clamshell de 1,9 m³ - 220 kW</t>
  </si>
  <si>
    <t>Fresadora de piso de concreto - 6,7 kW</t>
  </si>
  <si>
    <t>Guindaste móvel sobre esteiras com clamshell de 4,6 m³ - 403 kW</t>
  </si>
  <si>
    <t>E9570</t>
  </si>
  <si>
    <t>Furadeira com base magnética - 1,20 kW</t>
  </si>
  <si>
    <t>Perfuratriz sobre esteiras - 145 kW</t>
  </si>
  <si>
    <t>Escavadeira hidráulica de longo alcance sobre esteiras - 103 kW</t>
  </si>
  <si>
    <t>Trator agrícola sobre pneus - 77 kW</t>
  </si>
  <si>
    <t>Conjunto vibratório para meio tubo de concreto com encaixe PB e 3 jogos de fôrmas - D = 0,40 m - 2,20 kW</t>
  </si>
  <si>
    <t>Fresadora e distribuidora com controle de greide - 287 kW</t>
  </si>
  <si>
    <t>E9581</t>
  </si>
  <si>
    <t>Carregadeira de pneus para rocha com capacidade de 1,72 m³ - 113 kW</t>
  </si>
  <si>
    <t>Distribuidor de agregados rebocável com capacidade de 1,9 m³</t>
  </si>
  <si>
    <t>Carregadeira de pneus com capacidade de 1,72 m³ - 113 kW</t>
  </si>
  <si>
    <t>Motosserra com motor a gasolina - 2,30 kW</t>
  </si>
  <si>
    <t>Régua vibratória dupla com 4 m - 4,10 kW</t>
  </si>
  <si>
    <t>E9587</t>
  </si>
  <si>
    <t>Serra para corte de concreto - 4 kW</t>
  </si>
  <si>
    <t>Vibroacabadora de concreto sobre esteiras com fôrmas deslizantes - 205 kW</t>
  </si>
  <si>
    <t>Máquina texturizadora e aplicadora de cura química em pavimento de concreto - 44,80 kW</t>
  </si>
  <si>
    <t>Central de concreto com capacidade de 40 m³/h - dosadora fixa</t>
  </si>
  <si>
    <t>Serra para corte de concreto e asfalto - 10 kW</t>
  </si>
  <si>
    <t>Draga hopper com capacidade de 750 m³</t>
  </si>
  <si>
    <t>Draga hopper com capacidade de 1.000 m³</t>
  </si>
  <si>
    <t>Draga hopper com capacidade de 2.000 m³</t>
  </si>
  <si>
    <t>Draga hopper com capacidade de 3.000 m³</t>
  </si>
  <si>
    <t>Draga hopper com capacidade de 4.000 m³</t>
  </si>
  <si>
    <t>Draga hopper com capacidade de 5.000 m³</t>
  </si>
  <si>
    <t>Central de concreto com capacidade de 30 m³/h - dosadora RS</t>
  </si>
  <si>
    <t>Embarcação de transporte de pessoal e apoio logístico - 130 kW</t>
  </si>
  <si>
    <t>Embarcação rebocadora multipropósito com guindaste hidráulico de 74 kN.m - 165 kW</t>
  </si>
  <si>
    <t>Embarcação rebocadora - 2 x 268 kW</t>
  </si>
  <si>
    <t>Conjunto de britagem para rachão com capacidade de 80 m³/h - 224 kW</t>
  </si>
  <si>
    <t>Draga de sucção para extração de areia com tubo de descarga de 150 mm - 100 kW</t>
  </si>
  <si>
    <t>E9610</t>
  </si>
  <si>
    <t>Compressor de ar portátil de 42,48 l/s (90 PCM) - 18,50 kW</t>
  </si>
  <si>
    <t>Conjunto de britagem com capacidade de 80 m³/h - 313 kW</t>
  </si>
  <si>
    <t>Plataforma flutuante montada na obra de 12 x 24 x 1,8 m com capacidade de 150 t</t>
  </si>
  <si>
    <t>Guindaste móvel sobre esteiras com pinça com capacidade de 40 t - 186 kW</t>
  </si>
  <si>
    <t>Bomba com capacidade de 136 m³/h e câmara de vácuo - 5,60 kW</t>
  </si>
  <si>
    <t>Usina misturadora de solos com capacidade de 300 t/h - 44 kW</t>
  </si>
  <si>
    <t>Usina misturadora de pré-misturado a frio com capacidade de 60 t/h - 23,50 kW</t>
  </si>
  <si>
    <t>Batelão autopropelido com capacidade de 300 m³ - 224 kW</t>
  </si>
  <si>
    <t>Batelão autopropelido com capacidade de 500 m³ - 373 kW</t>
  </si>
  <si>
    <t>Pontão flutuante de 15 x 30 x 1,8 m com capacidade de 500 t</t>
  </si>
  <si>
    <t>Bomba de injeção de argamassa e nata com capacidade de 1,08 m³/h (18 l/min) e misturador com tambor de 0,100 m³ - 6,20 kW</t>
  </si>
  <si>
    <t>Draga hopper com capacidade de 10.000 m³</t>
  </si>
  <si>
    <t>Draga hopper com capacidade de 15.000 m³</t>
  </si>
  <si>
    <t>Draga hopper com capacidade de 20.000 m³</t>
  </si>
  <si>
    <t>E9627</t>
  </si>
  <si>
    <t>Embarcação hotel com capacidade para 15 pessoas - 199 kW</t>
  </si>
  <si>
    <t>Fábrica de pré-moldado de concreto para balizador - 2,20 kW</t>
  </si>
  <si>
    <t>E9629</t>
  </si>
  <si>
    <t>Compressor de ar portátil de 185,95 l/s (394 PCM) - 81,50 kW</t>
  </si>
  <si>
    <t>Bomba para concreto projetado via seca com capacidade de 6 m³/h - 7,5 kW</t>
  </si>
  <si>
    <t>Conjunto vibratório para tubos de concreto com encaixe PB e 3 jogos de fôrmas - D = 0,20 m - 2,20 kW</t>
  </si>
  <si>
    <t>Conjunto vibratório para tubos de concreto com encaixe PB e 3 jogos de fôrmas - D = 0,30 m - 2,20 kW</t>
  </si>
  <si>
    <t>Conjunto vibratório para tubos de concreto com encaixe PB e 3 jogos de fôrmas - D = 0,40 m - 2,20 kW</t>
  </si>
  <si>
    <t>Draga de sucção e recalque com potência da bomba de 294 kW e cortador de 30 kW</t>
  </si>
  <si>
    <t>Draga de sucção e recalque com potência da bomba de 483 kW e cortador de 55 kW</t>
  </si>
  <si>
    <t>Draga de sucção e recalque com potência da bomba de 746 kW e cortador de 110 kW</t>
  </si>
  <si>
    <t>Draga de sucção e recalque com potência da bomba de 1.350 kW e cortador de 170 kW</t>
  </si>
  <si>
    <t>Embarcação hotel com capacidade para 30 pessoas - 2 x 112 kW</t>
  </si>
  <si>
    <t>Compressor de ar portátil de 33,51 l/s (71 PCM) - 14 kW</t>
  </si>
  <si>
    <t>Compressor de ar portátil de 75,04 l/s (159 PCM) - 33 kW</t>
  </si>
  <si>
    <t>Perfuratriz hidráulica sobre esteiras para estaca raiz - 56 kW</t>
  </si>
  <si>
    <t>Equipamento para pintura a ar comprimido de pistola com caneca com capacidade de 1.000 ml e compressor de 1,50 kW</t>
  </si>
  <si>
    <t>Compressor de ar portátil de 58,52 l/s (124 PCM) - 27 kW</t>
  </si>
  <si>
    <t>Compressor de ar portátil de 422,86 l/s (896 PCM) - 213 kW</t>
  </si>
  <si>
    <t>Compressor de ar portátil de 94,39 l/s (200 PCM) - 36 kW</t>
  </si>
  <si>
    <t>Guindaste móvel sobre esteiras com Hammer Grab - 186 kW</t>
  </si>
  <si>
    <t>Compressor de ar portátil de 540,85 l/s (1.146 PCM) - 331,10 kW</t>
  </si>
  <si>
    <t>Guindaste móvel sobre esteiras com trado para escavação em solos - 186 kW</t>
  </si>
  <si>
    <t>Guindaste móvel sobre esteiras com trado com bits escavação em rocha - 186 kW</t>
  </si>
  <si>
    <t>Guindaste móvel sobre esteiras com caçamba para escavação em solos - 186 kW</t>
  </si>
  <si>
    <t>Guindaste móvel sobre esteiras com caçamba para escavação em rocha - 186 kW</t>
  </si>
  <si>
    <t>Guindaste móvel sobre esteiras com capacidade de 40 t - 186 kW</t>
  </si>
  <si>
    <t>Compressor de ar portátil de 89,67 l/s (190 PCM) - 36 kW</t>
  </si>
  <si>
    <t>Equipamento para solda e corte com oxiacetileno</t>
  </si>
  <si>
    <t>Guindaste móvel sobre esteiras com capacidade de 80 t - 212 kW</t>
  </si>
  <si>
    <t>Mesa vibratória - 2,20 kW</t>
  </si>
  <si>
    <t>Compressor de ar portátil de 363,87 l/s (771 PCM) - 158,13 kW</t>
  </si>
  <si>
    <t>E9673</t>
  </si>
  <si>
    <t>Equipamento de batimetria multifeixe</t>
  </si>
  <si>
    <t>E9674</t>
  </si>
  <si>
    <t>Equipamento de medição de descarga líquida com ADCP</t>
  </si>
  <si>
    <t>E9676</t>
  </si>
  <si>
    <t>Embarcação de transporte de pessoal e apoio logístico - 90 kW</t>
  </si>
  <si>
    <t>Martelete perfurador/rompedor a ar comprimido de 10 kg com capacidade de 1.800 gpm</t>
  </si>
  <si>
    <t>Fresadora a frio - 455 kW</t>
  </si>
  <si>
    <t>Rolo compactador liso tandem vibratório autopropelido de 10,4 t - 82 kW</t>
  </si>
  <si>
    <t>Rolo compactador liso tandem vibratório autopropelido de 1,6 t - 18 kW</t>
  </si>
  <si>
    <t>E9683</t>
  </si>
  <si>
    <t>Martelete perfurador/rompedor elétrico - 0,90 kW</t>
  </si>
  <si>
    <t>Veículo leve picape média 4 x 4 com cabine dupla com capacidade de 1,10 t - 152,25 kW</t>
  </si>
  <si>
    <t>Rolo compactador pé de carneiro vibratório autopropelido por pneus de 11,6 t - 82 kW</t>
  </si>
  <si>
    <t>Usina de asfalto a quente gravimétrica com capacidade de 100/140 t/h - 260 kW</t>
  </si>
  <si>
    <t>Guincho tracionador de cordoalhas - 7,50 kW</t>
  </si>
  <si>
    <t>Caldeira para aquecimento e injeção de cera - 1 kW</t>
  </si>
  <si>
    <t>Misturador de argamassa de alta turbulência com capacidade de 220 l - 13 kW</t>
  </si>
  <si>
    <t>Minicarregadeira de pneus com vassoura de 1,68 m - 45,50 kW</t>
  </si>
  <si>
    <t>E9699</t>
  </si>
  <si>
    <t>Trituradora de galhos e troncos rebocável com capacidade de até 350 mm de diâmetro com guincho - 96,94 kW</t>
  </si>
  <si>
    <t>Fresadora a frio - 155 kW</t>
  </si>
  <si>
    <t>Jateador pressurizado multiabrasivo com capacidade de 280 l</t>
  </si>
  <si>
    <t>Fábrica de pré-moldado de concreto para mourão - 2,20 kW</t>
  </si>
  <si>
    <t>Batelão sem propulsão montado na obra com capacidade de 66 m³</t>
  </si>
  <si>
    <t>Misturador de lama bentonítica - 4 kW</t>
  </si>
  <si>
    <t>Martelete perfurador/rompedor a ar comprimido de 28 kg para concreto com capacidade de 1.230 gpm</t>
  </si>
  <si>
    <t>Desarenador - 15 kW</t>
  </si>
  <si>
    <t>Microtrator com roçadeira - 10 kW</t>
  </si>
  <si>
    <t>Socadora automática de linha - 253 kW</t>
  </si>
  <si>
    <t>Reguladora e distribuidora de lastro - 300 kW</t>
  </si>
  <si>
    <t>Bate-estaca com martelo hidráulico - 450 kW</t>
  </si>
  <si>
    <t>Conjunto bomba e macaco hidráulico para protensão com capacidade de 590 kN - 3,70 kW</t>
  </si>
  <si>
    <t>Pórtico duplo de descarga e posicionamento de dormente - 89 kW</t>
  </si>
  <si>
    <t>Talha manual com capacidade de 3 t</t>
  </si>
  <si>
    <t>Conjunto bomba e macaco hidráulico para protensão com capacidade de 250 kN - 3,70 kW</t>
  </si>
  <si>
    <t>Conjunto bomba e macaco hidráulico para protensão com capacidade de 1.150 kN - 5 kW</t>
  </si>
  <si>
    <t>Conjunto bomba e macaco hidráulico para protensão com capacidade de 2.000 kN - 5 kW</t>
  </si>
  <si>
    <t>Conjunto bomba e macaco hidráulico para protensão com capacidade de 2.500 kN - 7 kW</t>
  </si>
  <si>
    <t>Conjunto bomba e macaco hidráulico para protensão com capacidade de 4.000 kN - 10 kW</t>
  </si>
  <si>
    <t>Conjunto bomba e macaco hidráulico para protensão com capacidade de 5.400 kN - 10 kW</t>
  </si>
  <si>
    <t>Bate-estaca Strauss - 15 kW</t>
  </si>
  <si>
    <t>Posicionadora de trilhos - 7,40 kW</t>
  </si>
  <si>
    <t>E9728</t>
  </si>
  <si>
    <t>Tirefonadora/parafusadora portátil - 3,10 kW</t>
  </si>
  <si>
    <t>Equipamento para pintura eletrostática com cabine simples de 5,50 kW e estufa de 2x120.000 kCal</t>
  </si>
  <si>
    <t>Grupo vibrador com gerador - 2,80 kW</t>
  </si>
  <si>
    <t>E9731</t>
  </si>
  <si>
    <t>Máquina de furar dormente portátil - 1,50 kW</t>
  </si>
  <si>
    <t>Máquina para furar dormente - 6,70 kW</t>
  </si>
  <si>
    <t>Máquina tirefonadora e parafusadora - 6,70 kW</t>
  </si>
  <si>
    <t>Bomba projetora de argamassa com capacidade de 2 m³/h - 5,50 kW</t>
  </si>
  <si>
    <t>Máquina para serrar trilho - 5,00 kW</t>
  </si>
  <si>
    <t>Máquina para furar trilho - 1,20 kW</t>
  </si>
  <si>
    <t>E9737</t>
  </si>
  <si>
    <t>Conjunto para pré-aquecimento de trilho em solda aluminotérmica</t>
  </si>
  <si>
    <t>Máquina de esmerilhar topo e lateral de boleto - 5,20 kW</t>
  </si>
  <si>
    <t>E9742</t>
  </si>
  <si>
    <t>Trator agrícola sobre pneus com roçadeira articulada e capacidade de 1,12 m - 77 kW</t>
  </si>
  <si>
    <t>Trator agrícola sobre pneus com roçadeira de arraste e capacidade de 1,50 m - 77 kW</t>
  </si>
  <si>
    <t>Conjunto bomba e prensa para luva de emenda de 25 mm</t>
  </si>
  <si>
    <t>Conjunto bomba e prensa para luva de emenda de 32 mm</t>
  </si>
  <si>
    <t>Rosqueadeira para rosca cônica - 0,75 kW</t>
  </si>
  <si>
    <t>Jateador portátil multiabrasivo com capacidade de 300 kg</t>
  </si>
  <si>
    <t>E9750</t>
  </si>
  <si>
    <t>Bomba de injeção de argamassa com capacidade de 50 l/min</t>
  </si>
  <si>
    <t>E9754</t>
  </si>
  <si>
    <t>Grupo gerador - 68 kVA</t>
  </si>
  <si>
    <t>Bomba de alta pressão para jet grouting de até 45 MPa - 150 kW</t>
  </si>
  <si>
    <t>Calandra para chapas de aço até 25 mm - 22 kW</t>
  </si>
  <si>
    <t>Vibroacabadora de asfalto sobre pneus - 97 kW</t>
  </si>
  <si>
    <t>E9759</t>
  </si>
  <si>
    <t>Guincho de alavanca com capacidade de 5,4 t</t>
  </si>
  <si>
    <t>Perfuratriz manual para coroa diamantada - 1,60 kW</t>
  </si>
  <si>
    <t>Guincho de coluna com capacidade de 200 kg - 0,92 kW</t>
  </si>
  <si>
    <t>Rolo compactador de pneus autopropelido de 27 t - 85 kW</t>
  </si>
  <si>
    <t>Grupo gerador - 40 kVA</t>
  </si>
  <si>
    <t>E9765</t>
  </si>
  <si>
    <t>Grupo gerador - 569 kVA</t>
  </si>
  <si>
    <t>Prensa hidráulica para fabricação de blocos pré-moldados - 20 kW</t>
  </si>
  <si>
    <t>E9767</t>
  </si>
  <si>
    <t>Compressor de ar portátil de 9,44 l/s (20 PCM) a gasolina - 5,22 kW</t>
  </si>
  <si>
    <t>Compressor de ar portátil de 373,78 l/s (792 PCM) - 213,30 kW</t>
  </si>
  <si>
    <t>Cunha hidráulica com três cilindros e acessórios com capacidade de 3.000 kN - 5,60 kW</t>
  </si>
  <si>
    <t>E9770</t>
  </si>
  <si>
    <t>Retroescavadeira de pneus com caçamba de escavação trapezoidal ou triangular com seção de corte inferior a 0,10 m² - 58 kW</t>
  </si>
  <si>
    <t>E9771</t>
  </si>
  <si>
    <t>Retroescavadeira de pneus com caçamba de escavação trapezoidal ou triangular com seção de corte de 0,10 a 0,15 m² - 58 kW</t>
  </si>
  <si>
    <t>E9772</t>
  </si>
  <si>
    <t>Retroescavadeira de pneus com caçamba de escavação trapezoidal ou triangular com seção de corte de 0,15 a 0,20 m² - 58 kW</t>
  </si>
  <si>
    <t>E9773</t>
  </si>
  <si>
    <t>Retroescavadeira de pneus com caçamba de escavação trapezoidal ou triangular com seção de corte de 0,20 a 0,30 m² - 58 kW</t>
  </si>
  <si>
    <t>E9774</t>
  </si>
  <si>
    <t>Retroescavadeira de pneus com caçamba de escavação trapezoidal ou triangular com seção de corte de 0,30 a 0,50 m² - 58 kW</t>
  </si>
  <si>
    <t>Escavadeira hidráulica com martelo hidráulico de 1.700 kg - 103 kW</t>
  </si>
  <si>
    <t>Grupo gerador - 174 kVA</t>
  </si>
  <si>
    <t>Extrusora de barreira de concreto - 74 kW</t>
  </si>
  <si>
    <t>Grupo gerador - 338 kVA</t>
  </si>
  <si>
    <t>Grupo gerador - 113 kVA</t>
  </si>
  <si>
    <t>Misturador automático para grauteamento com capacidade de 20 m³/h - 7 kW</t>
  </si>
  <si>
    <t>Misturador com bomba para grauteamento tipo Flex E ou similar - 25 kW</t>
  </si>
  <si>
    <t>Perfuratriz pneumática com avanço de coluna de 33,5 kg com capacidade de 2.280 gpm</t>
  </si>
  <si>
    <t>Plataforma autopropelida com alcance de 12 m com capacidade de 700 kg - 24 kW</t>
  </si>
  <si>
    <t>Guindaste móvel sobre pneus com 2 eixos com capacidade máxima de 55 t - 186 kW</t>
  </si>
  <si>
    <t>E9786</t>
  </si>
  <si>
    <t>Guincho elétrico para lançamento de embarcações com capacidade de 30 t - 66 kW</t>
  </si>
  <si>
    <t>Misturador de argamassa com capacidade de 0,250 m³ - 3,70 kW</t>
  </si>
  <si>
    <t>Carro manual modelo plataforma de 150 x 80 cm com capacidade de 800 kg</t>
  </si>
  <si>
    <t>Bomba para concreto projetado via úmida com capacidade de 10 m³/h - 14,70 kW</t>
  </si>
  <si>
    <t>E9791</t>
  </si>
  <si>
    <t>Bomba pneumática para injeção de resina com capacidade de 0,18 m³/h</t>
  </si>
  <si>
    <t>Robot para concreto projetado com capacidade de 30 m³/h - 70 kW - com compressor diesel</t>
  </si>
  <si>
    <t>Perfuratriz de superfície sobre pneus com martelo de topo e controle remoto via rádio - 60 kW</t>
  </si>
  <si>
    <t>Jumbo eletro-hidráulico com 3 braços - 155 kW/237 kW</t>
  </si>
  <si>
    <t>Perfuratriz hidráulica rotopercussiva - 123 kW</t>
  </si>
  <si>
    <t>Caminhão tanque de asfalto com capacidade de 31.000 l - 368 kW</t>
  </si>
  <si>
    <t>A9335</t>
  </si>
  <si>
    <t>Cavalo mecânico estradeiro 8 x 2, PBT 29.000 kg - 368 kW - condição de trabalho severa - motorista de veículo especial</t>
  </si>
  <si>
    <t>A9364</t>
  </si>
  <si>
    <t>Tanque isotérmico de asfalto com capacidade de 31.000 l</t>
  </si>
  <si>
    <t>Cavalo mecânico com dolly intermediário e semirreboque de 4 eixos com capacidade de 52 t - 364 kW</t>
  </si>
  <si>
    <t>A9324</t>
  </si>
  <si>
    <t>Cavalo mecânico estradeiro 6 x 4, PBT 23.000 kg - 364 kW - motorista de veículo especial</t>
  </si>
  <si>
    <t>A9355</t>
  </si>
  <si>
    <t>Semirreboque com 4 eixos</t>
  </si>
  <si>
    <t>A9382</t>
  </si>
  <si>
    <t>Dolly intermediário com 2 eixos para semirreboque</t>
  </si>
  <si>
    <t>Caminhão distribuidor de cimento e cal com capacidade de 15 m³ - 210 kW</t>
  </si>
  <si>
    <t>A9333</t>
  </si>
  <si>
    <t>Caminhão plataforma 8 x 4, PBT 29.000 kg e distância entre eixos 4,6 m - 210 kW - motorista de veículo especial</t>
  </si>
  <si>
    <t>A9365</t>
  </si>
  <si>
    <t>Distribuidor de cimento e cal montado sobre chassi com capacidade de 15 m³</t>
  </si>
  <si>
    <t>Plataforma de inspeção sob pontes montada em caminhão com capacidade de 500 kg e alcance de 15 m - 236 kW</t>
  </si>
  <si>
    <t>A9334</t>
  </si>
  <si>
    <t>Caminhão plataforma 8 x 2, PBT 29.000 kg e distância entre eixos 4,8 m - 236 kW - condição de trabalho severa - motorista de veículo especial</t>
  </si>
  <si>
    <t>A9378</t>
  </si>
  <si>
    <t>Plataforma telescópica para inspeção de pontes montada sobre chassi com capacidade de 500 kg</t>
  </si>
  <si>
    <t>A9313</t>
  </si>
  <si>
    <t>Caminhão plataforma 6 x 2, PBT 23.000 kg e distância entre eixos 5,2 m - 188 kW - motorista de veículo especial</t>
  </si>
  <si>
    <t>A9351</t>
  </si>
  <si>
    <t>Carroceria de madeira com capacidade de 11,5 t</t>
  </si>
  <si>
    <t>A9373</t>
  </si>
  <si>
    <t>Guindaste articulado montado sobre chassi com capacidade máxima de elevação de 11,9 t</t>
  </si>
  <si>
    <t>Bate-estaca hidráulico para defensas montado em caminhão guindauto com capacidade de 6,2 t e carroceria de 5 t - 152 kW</t>
  </si>
  <si>
    <t>A9305</t>
  </si>
  <si>
    <t>Caminhão plataforma 4 x 2, PBT 15.000 kg e distância entre eixos 4,8 m - 152 kW - motorista de veículo especial</t>
  </si>
  <si>
    <t>A9348</t>
  </si>
  <si>
    <t>Carroceria de madeira com capacidade de 5 t</t>
  </si>
  <si>
    <t>A9372</t>
  </si>
  <si>
    <t>Guindaste articulado montado sobre chassi com capacidade máxima de elevação de 6,2 t</t>
  </si>
  <si>
    <t>A9379</t>
  </si>
  <si>
    <t>Bate-estaca hidráulico para defensas metálicas montada sobre chassi</t>
  </si>
  <si>
    <t>Caminhão de resgate de veículos leves com plataforma com capacidade de 5 t - 129 kW</t>
  </si>
  <si>
    <t>A9326</t>
  </si>
  <si>
    <t>Caminhão plataforma 4 x 2, PBT 10.800 kg e distância entre eixos 4,6 m - 129 kW - motorista de veículo especial</t>
  </si>
  <si>
    <t>A9374</t>
  </si>
  <si>
    <t>Plataforma hidráulica para resgate de veículos montada sobre chassi com capacidade de 5 t</t>
  </si>
  <si>
    <t>Caminhão de resgate de veículos de porte médio com capacidade do guincho de 20 t - 236 kW</t>
  </si>
  <si>
    <t>A9306</t>
  </si>
  <si>
    <t>Caminhão plataforma 4 x 2, PBT 16.000 kg e distância entre eixos 3,6 m - 236 kW - motorista de veículo especial</t>
  </si>
  <si>
    <t>A9375</t>
  </si>
  <si>
    <t>Guincho rebocador para resgate de veículos montada sobre chassi com capacidade de 20 t</t>
  </si>
  <si>
    <t>Caminhão de resgate de veículos pesados com dois guinchos com capacidade de 35 t - 265 kW</t>
  </si>
  <si>
    <t>A9320</t>
  </si>
  <si>
    <t>Caminhão plataforma 6 x 4, PBT 23.000 kg e distância entre eixos 4,8 m - 265 kW - motorista de veículo especial</t>
  </si>
  <si>
    <t>A9376</t>
  </si>
  <si>
    <t>Guincho rebocador para resgate de veículos montada sobre chassi com capacidade de 35 t</t>
  </si>
  <si>
    <t>Cavalo mecânico sem reboque - 272 kW</t>
  </si>
  <si>
    <t>A9310</t>
  </si>
  <si>
    <t>Cavalo mecânico 4 x 2, PBT 16.000 kg - 272 kW - motorista de veículo especial</t>
  </si>
  <si>
    <t>Painel com seta luminosa para montagem em caminhão</t>
  </si>
  <si>
    <t>A9380</t>
  </si>
  <si>
    <t>Painel com seta luminosa montado sobre chassi</t>
  </si>
  <si>
    <t>Amortecedor retrátil (AMC) para montagem em caminhão</t>
  </si>
  <si>
    <t>A9381</t>
  </si>
  <si>
    <t>Amortecedor retrátil montado em caminhão</t>
  </si>
  <si>
    <t>Caminhão basculante para concreto com capacidade de 10 m³ - 210 kW</t>
  </si>
  <si>
    <t>A9316</t>
  </si>
  <si>
    <t>Caminhão plataforma 8 x 4, PBT 29.000 kg e distância entre eixos 4,6 m - 210 kW - motorista de caminhão</t>
  </si>
  <si>
    <t>A9340</t>
  </si>
  <si>
    <t>Caçamba basculante para concreto com capacidade de 10 m³</t>
  </si>
  <si>
    <t>Caminhão silo com capacidade de 30 m³ - 368 kW</t>
  </si>
  <si>
    <t>A9357</t>
  </si>
  <si>
    <t>Semirreboque silo para cimento com capacidade de 30 m³</t>
  </si>
  <si>
    <t>Cavalo mecânico com dolly pneumático de 4 eixos e mesas de giro com capacidade de 56 t - 364 kW</t>
  </si>
  <si>
    <t>A9385</t>
  </si>
  <si>
    <t>Conjunto de duas mesas de giro para quinta roda ou reboque com capacidade de 100 t cada</t>
  </si>
  <si>
    <t>A9389</t>
  </si>
  <si>
    <t>Dolly pneumático com capacidade de 48 t e 4 eixos</t>
  </si>
  <si>
    <t>E9170</t>
  </si>
  <si>
    <t>Cavalo mecânico com dois dollys pneumáticos de 3 e 4 eixos e mesas de giro com capacidade de 77 t - 364 kW</t>
  </si>
  <si>
    <t>A9386</t>
  </si>
  <si>
    <t>Cavalo mecânico estradeiro 6 x 4, CMT 150.000 kg - 364 kW - motorista de veículo especial</t>
  </si>
  <si>
    <t>A9387</t>
  </si>
  <si>
    <t>Dolly pneumático com capacidade de 28,5 t e 3 eixos</t>
  </si>
  <si>
    <t>E9171</t>
  </si>
  <si>
    <t>Cavalo mecânico com dois dollys pneumáticos de 4 e 5 eixos e mesas de giro com capacidade de 111 t - 440 kW</t>
  </si>
  <si>
    <t>A9325</t>
  </si>
  <si>
    <t>Cavalo mecânico 8 x 8, PBT 26.000 kg - 440 kW -  motorista de veículo especial</t>
  </si>
  <si>
    <t>A9388</t>
  </si>
  <si>
    <t>Dolly pneumático com capacidade de 60 t e 5 eixos</t>
  </si>
  <si>
    <t>E9199</t>
  </si>
  <si>
    <t>Caminhão com sistema de hidrojateamento de alta pressão e vácuo para limpeza e desobstrução de bueiros com capacidade total de 15.600 l - 188 kW</t>
  </si>
  <si>
    <t>A9299</t>
  </si>
  <si>
    <t>Equipamento com sistema de hidrojateamento de alta pressão e vácuo para limpeza e desobstrução de bueiros com diâmetro de até 1.500 mm com capacidade total de 15.600 l</t>
  </si>
  <si>
    <t>Caminhão basculante para rocha com capacidade de 12 m³ - 210 kW com periculosidade</t>
  </si>
  <si>
    <t>A9327</t>
  </si>
  <si>
    <t>Caminhão plataforma 8 x 4, PBT 29.000 kg e distância entre eixos 4,6 m - 210 kW - motorista de caminhão com periculosidade</t>
  </si>
  <si>
    <t>A9343</t>
  </si>
  <si>
    <t>Caçamba basculante para rocha com capacidade de 12 m³</t>
  </si>
  <si>
    <t>Plataforma pantográfica montada em caminhão com capacidade de carga de 600 kg - 120 kW com periculosidade</t>
  </si>
  <si>
    <t>A9300</t>
  </si>
  <si>
    <t>Caminhão plataforma 4 x 2, PBT 8.300 kg e distância entre eixos 3,9 m - 120 kW - motorista de veículo especial com periculosidade</t>
  </si>
  <si>
    <t>A9383</t>
  </si>
  <si>
    <t>Plataforma pantográfica hidráulica montada sobre chassi com capacidade de 600 kg - com periculosidade</t>
  </si>
  <si>
    <t>Caminhão basculante com capacidade de 6 m³ - 136 kW</t>
  </si>
  <si>
    <t>A9307</t>
  </si>
  <si>
    <t>Caminhão plataforma 4 x 2, PBT 16.000 kg e distância entre eixos 3,6 m - 136 kW - motorista de caminhão</t>
  </si>
  <si>
    <t>A9338</t>
  </si>
  <si>
    <t>Caçamba basculante com capacidade de 6 m³</t>
  </si>
  <si>
    <t>Caminhão carroceria com capacidade de 9 t - 136 kW</t>
  </si>
  <si>
    <t>A9309</t>
  </si>
  <si>
    <t>Caminhão plataforma 4 x 2, PBT 16.000 kg e distância entre eixos 4,8 m - 136 kW - motorista de caminhão</t>
  </si>
  <si>
    <t>A9350</t>
  </si>
  <si>
    <t>Carroceria de madeira com capacidade de 9 t</t>
  </si>
  <si>
    <t>Caminhão tanque distribuidor de asfalto com capacidade de 6.000 l - 7 kW/136 kW</t>
  </si>
  <si>
    <t>A9323</t>
  </si>
  <si>
    <t>Caminhão plataforma 4 x 2, PBT 14.300 kg e distância entre eixos 4,8 m - 136 kW - condição de trabalho severa - motorista de caminhão</t>
  </si>
  <si>
    <t>A9363</t>
  </si>
  <si>
    <t>Tanque espargidor de asfalto com capacidade de 6.000 l - 7 kW</t>
  </si>
  <si>
    <t>Caminhão com caçamba térmica com capacidade de 6 m³ - 136 kW</t>
  </si>
  <si>
    <t>A9339</t>
  </si>
  <si>
    <t>Caçamba térmica com capacidade de 6 m³</t>
  </si>
  <si>
    <t>E9557</t>
  </si>
  <si>
    <t>Caminhão comboio com capacidade de 5.000 l - 136 kW (sem motorista)</t>
  </si>
  <si>
    <t>A9294</t>
  </si>
  <si>
    <t>Caminhão plataforma 4 x 2, PBT 16.000 kg e distância entre eixos 4,8 m - 136 kW - condição de trabalho severa (sem motorista)</t>
  </si>
  <si>
    <t>A9298</t>
  </si>
  <si>
    <t>Tanque para distribuição de combustíveis e lubrificantes com capacidade de 5.000 l</t>
  </si>
  <si>
    <t>Caminhão tanque com capacidade de 10.000 l - 188 kW</t>
  </si>
  <si>
    <t>A9332</t>
  </si>
  <si>
    <t>Caminhão plataforma 6 x 2, PBT 23.000 kg e distância entre eixos 4,8 m - 188 kW - condição de trabalho severa - motorista de caminhão</t>
  </si>
  <si>
    <t>A9360</t>
  </si>
  <si>
    <t>Tanque para transporte de água com capacidade de 10.000 l</t>
  </si>
  <si>
    <t>Caminhão basculante com caçamba estanque com capacidade de 14 m³ - 210 kW</t>
  </si>
  <si>
    <t>A9345</t>
  </si>
  <si>
    <t>Caçamba basculante estanque com capacidade de 14 m³</t>
  </si>
  <si>
    <t>A9293</t>
  </si>
  <si>
    <t>Caminhão plataforma 6 x 2, PBT 23.000 kg e distância entre eixos 3,6 m - 210 kW - motorista de caminhão</t>
  </si>
  <si>
    <t>A9342</t>
  </si>
  <si>
    <t>Caçamba basculante com capacidade de 10 m³</t>
  </si>
  <si>
    <t>A9314</t>
  </si>
  <si>
    <t>Caminhão plataforma 6 x 2, PBT 23.000 kg e distância entre eixos 5,2 m - 188 kW - motorista de caminhão</t>
  </si>
  <si>
    <t>A9352</t>
  </si>
  <si>
    <t>Carroceria de madeira com capacidade de 15 t</t>
  </si>
  <si>
    <t>Caminhão betoneira com capacidade de 8 m³ - 236 kW</t>
  </si>
  <si>
    <t>A9317</t>
  </si>
  <si>
    <t>Caminhão plataforma 8 x 2, PBT 29.000 kg e distância entre eixos 4,8 m - 236 kW - motorista de veículo especial</t>
  </si>
  <si>
    <t>A9346</t>
  </si>
  <si>
    <t>Misturador de concreto para montagem em chassi de caminhão com capacidade de 8 m³</t>
  </si>
  <si>
    <t>Caminhão basculante para rocha com capacidade de 8 m³ - 210 kW</t>
  </si>
  <si>
    <t>A9315</t>
  </si>
  <si>
    <t>Caminhão basculante 6 x 4, PBT 23.000 kg e distância entre eixos 3,6 m - 210 kW -  motorista de caminhão</t>
  </si>
  <si>
    <t>A9341</t>
  </si>
  <si>
    <t>Caçamba basculante para rocha com capacidade de 8 m³</t>
  </si>
  <si>
    <t>Caminhão tanque com capacidade de 6.000 l - 136 kW</t>
  </si>
  <si>
    <t>A9358</t>
  </si>
  <si>
    <t>Tanque para transporte de água com capacidade de 6.000 l</t>
  </si>
  <si>
    <t>A9302</t>
  </si>
  <si>
    <t>Caminhão plataforma 4 x 2, PBT 9.200 kg e distância entre eixos 4,6 m - 129 kW - motorista de caminhão</t>
  </si>
  <si>
    <t>A9368</t>
  </si>
  <si>
    <t>Equipamento demarcador de faixas a frio montado sobre chassi com capacidade de 800 l - 28 kW</t>
  </si>
  <si>
    <t>Caminhão demarcador de faixas com sistema de pintura a quente - 5 kW/30,10 kW/136 kW</t>
  </si>
  <si>
    <t>A9328</t>
  </si>
  <si>
    <t>Compressor de ar portátil de 70,79 l/s (150 PCM) sem reboque - 30,10 kW</t>
  </si>
  <si>
    <t>A9331</t>
  </si>
  <si>
    <t>Caminhão plataforma 4 x 2, PBT 16.000 kg e distância entre eixos 4,8 m - 136 kW - condição de trabalho severa - motorista de caminhão</t>
  </si>
  <si>
    <t>A9369</t>
  </si>
  <si>
    <t>Equipamento demarcador de faixas a quente montado sobre chassi com capacidade de 500 l - 5,0 kW</t>
  </si>
  <si>
    <t>Cavalo mecânico com semirreboque com capacidade de 20 t - 276 kW</t>
  </si>
  <si>
    <t>A9318</t>
  </si>
  <si>
    <t>Cavalo mecânico 4 x 2, PBT 16.000 kg - 276 kW - motorista de veículo especial</t>
  </si>
  <si>
    <t>A9353</t>
  </si>
  <si>
    <t>Semirreboque com 2 eixos</t>
  </si>
  <si>
    <t>Cavalo mecânico com semirreboque com capacidade de 32 t - 302 kW</t>
  </si>
  <si>
    <t>A9321</t>
  </si>
  <si>
    <t>Cavalo mecânico estradeiro 6 x 2, PBT 23.000 kg - 302 kW - motorista de veículo especial</t>
  </si>
  <si>
    <t>A9354</t>
  </si>
  <si>
    <t>Semirreboque com 3 eixos</t>
  </si>
  <si>
    <t>A9344</t>
  </si>
  <si>
    <t>Caçamba basculante com capacidade de 14 m³</t>
  </si>
  <si>
    <t>Caminhão tanque com capacidade de 8.000 l - 136 kW</t>
  </si>
  <si>
    <t>A9359</t>
  </si>
  <si>
    <t>Tanque para transporte de água com capacidade de 8.000 l</t>
  </si>
  <si>
    <t>Usina móvel de lama asfáltica ou microrrevestimento com cavalo mecânico com capacidade de 12 m³ - 95,6 kW/276 kW</t>
  </si>
  <si>
    <t>A9319</t>
  </si>
  <si>
    <t>Cavalo mecânico 6 x 2, PBT 23.000 kg - 276 kW - condição de trabalho severa - motorista de veículo especial</t>
  </si>
  <si>
    <t>A9367</t>
  </si>
  <si>
    <t>Usina de lama asfáltica ou microrrevestimento asfáltico rebocável com capacidade de 12 m³ - 95,6 kW</t>
  </si>
  <si>
    <t>Caminhão basculante para rocha com capacidade de 12 m³ - 210 kW</t>
  </si>
  <si>
    <t>Cavalo mecânico com dois reboques hidropneumáticos de 5 e 4 eixos e mesas de giro com capacidade de 130 t - 440 kW</t>
  </si>
  <si>
    <t>A9384</t>
  </si>
  <si>
    <t>Reboque hidropneumático com capacidade de 166 t e 4 eixos</t>
  </si>
  <si>
    <t>A9390</t>
  </si>
  <si>
    <t>Reboque hidropneumático com capacidade de 117 t e 5 eixos</t>
  </si>
  <si>
    <t>Caminhão tanque com capacidade de 13.000 l - 188 kW</t>
  </si>
  <si>
    <t>A9361</t>
  </si>
  <si>
    <t>Tanque para transporte de água com capacidade de 13.000 l</t>
  </si>
  <si>
    <t>A9308</t>
  </si>
  <si>
    <t>Caminhão plataforma 4 x 2, PBT 16.000 kg e distância entre eixos 4,8 m - 136 kW - motorista de veículo especial</t>
  </si>
  <si>
    <t>A9349</t>
  </si>
  <si>
    <t>Carroceria de madeira com capacidade de 7 t</t>
  </si>
  <si>
    <t>A9303</t>
  </si>
  <si>
    <t>Caminhão plataforma 4 x 2, PBT 9.600 kg e distância entre eixos 3,9 m - 120 kW - motorista de caminhão</t>
  </si>
  <si>
    <t>Caminhão guindauto com cesto aéreo simples e capacidade de elevação de 5,7 t e carroceria de 8,5 t - 136 kW</t>
  </si>
  <si>
    <t>A9296</t>
  </si>
  <si>
    <t>Carroceria de madeira com capacidade de 8,5 t</t>
  </si>
  <si>
    <t>A9329</t>
  </si>
  <si>
    <t>Cesto aéreo simples isolado com capacidade para 135 kg</t>
  </si>
  <si>
    <t>A9330</t>
  </si>
  <si>
    <t>Guindaste articulado montado sobre chassi com capacidade máxima de elevação de 5,7 t</t>
  </si>
  <si>
    <t>Caminhão demarcador de faixas com sistema de pintura Spray - 129 kW</t>
  </si>
  <si>
    <t>A9322</t>
  </si>
  <si>
    <t>Caminhão plataforma 4 x 2, PBT 10.800 kg e distância entre eixos 4,0 m - 129 kW - condição de trabalho severa - motorista de caminhão</t>
  </si>
  <si>
    <t>A9370</t>
  </si>
  <si>
    <t>Equipamento demarcador de faixas sistema spray montado sobre chassi com capacidade 1.080 l</t>
  </si>
  <si>
    <t>Plataforma pantográfica montada em caminhão com capacidade de carga de 600 kg - 120 kW</t>
  </si>
  <si>
    <t>A9301</t>
  </si>
  <si>
    <t>Caminhão plataforma 4 x 2, PBT 8.300 kg e distância entre eixos 3,9 m - 120 kW - motorista de veículo especial</t>
  </si>
  <si>
    <t>A9377</t>
  </si>
  <si>
    <t>Plataforma pantográfica hidráulica montada sobre chassi com capacidade de 600 kg</t>
  </si>
  <si>
    <t>Bomba para concreto com lança montada sobre chassi com capacidade de 50 m³/h - 136 kW</t>
  </si>
  <si>
    <t>A9371</t>
  </si>
  <si>
    <t>Bomba para concreto com lança montada sobre chassi com capacidade de 50 m³/h</t>
  </si>
  <si>
    <t>Caminhão para hidrossemeadura com capacidade de 7.500 l - 77,2 kW/235 kW</t>
  </si>
  <si>
    <t>A9297</t>
  </si>
  <si>
    <t>Caminhão plataforma 6 x 4, PBT 23.000 kg e distância entre eixos 4,2 m - 235 kW - condição de trabalho severa - motorista de caminhão</t>
  </si>
  <si>
    <t>A9362</t>
  </si>
  <si>
    <t>Tanque para hidrossemeadura com capacidade de 7.500 l - 77,2 kW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</si>
</sst>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4">
    <numFmt numFmtId="176" formatCode="#.##000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#,##0;[Red]\-#,##0"/>
    <numFmt numFmtId="181" formatCode="_-* #,##0.00\ _€_-;\-* #,##0.00\ _€_-;_-* &quot;-&quot;??\ _€_-;_-@_-"/>
    <numFmt numFmtId="182" formatCode="_(* #,##0.00_);_(* \(#,##0.00\);_(* &quot;-&quot;??_);_(@_)"/>
    <numFmt numFmtId="183" formatCode="_-* #,##0.00_-;\-* #,##0.00_-;_-* &quot;-&quot;??_-;_-@_-"/>
    <numFmt numFmtId="184" formatCode="#,##0.00;[Red]\-#,##0.00"/>
    <numFmt numFmtId="185" formatCode="\$#,#00"/>
    <numFmt numFmtId="186" formatCode="&quot;N$&quot;#,##0_);\(&quot;N$&quot;#,##0\)"/>
    <numFmt numFmtId="187" formatCode="_-&quot;R$&quot;* #,##0_-;\-&quot;R$&quot;* #,##0_-;_-&quot;R$&quot;* &quot;-&quot;_-;_-@_-"/>
    <numFmt numFmtId="188" formatCode="_(&quot;$&quot;* #,##0_);_(&quot;$&quot;* \(#,##0\);_(&quot;$&quot;* &quot;-&quot;_);_(@_)"/>
    <numFmt numFmtId="189" formatCode="_(&quot;$&quot;* #,##0.00_);_(&quot;$&quot;* \(#,##0.00\);_(&quot;$&quot;* &quot;-&quot;??_);_(@_)"/>
    <numFmt numFmtId="190" formatCode="\$#."/>
    <numFmt numFmtId="191" formatCode="_([$€]* #,##0.00_);_([$€]* \(#,##0.00\);_([$€]* &quot;-&quot;??_);_(@_)"/>
    <numFmt numFmtId="192" formatCode="_(#,##0_);\(#,##0\)"/>
    <numFmt numFmtId="193" formatCode="0\ \.0\ \.00"/>
    <numFmt numFmtId="194" formatCode="0\ \.0\ \.0"/>
    <numFmt numFmtId="195" formatCode="#,#00"/>
    <numFmt numFmtId="196" formatCode="_(* #,##0_);_(* \(#,##0\);_(* &quot;-&quot;_);_(@_)"/>
    <numFmt numFmtId="197" formatCode="_(&quot;R$ &quot;* #,##0.00_);_(&quot;R$ &quot;* \(#,##0.00\);_(&quot;R$ &quot;* &quot;-&quot;??_);_(@_)"/>
    <numFmt numFmtId="198" formatCode="#,##0.000_);[Red]\(#,##0.000\)"/>
    <numFmt numFmtId="199" formatCode="_-&quot;R$&quot;* #,##0.00_-;\-&quot;R$&quot;* #,##0.00_-;_-&quot;R$&quot;* &quot;-&quot;??_-;_-@_-"/>
    <numFmt numFmtId="200" formatCode="\$#,##0\ ;\(\$#,##0\)"/>
    <numFmt numFmtId="201" formatCode="_(&quot;$&quot;\ * #,##0_);_(&quot;$&quot;\ * \(#,##0\);_(&quot;$&quot;\ * &quot;-&quot;_);_(@_)"/>
    <numFmt numFmtId="202" formatCode="_(&quot;$&quot;\ * #,##0.00_);_(&quot;$&quot;\ * \(#,##0.00\);_(&quot;$&quot;\ * &quot;-&quot;??_);_(@_)"/>
    <numFmt numFmtId="203" formatCode="#,##0;\(0,000\)"/>
    <numFmt numFmtId="204" formatCode="_(&quot;Cr$&quot;* #,##0.00_);_(&quot;Cr$&quot;* \(#,##0.00\);_(&quot;Cr$&quot;* &quot;-&quot;??_);_(@_)"/>
    <numFmt numFmtId="205" formatCode="0.0000000"/>
    <numFmt numFmtId="206" formatCode="#,##0.000_);\(#,##0.000\)"/>
    <numFmt numFmtId="207" formatCode="%#,#00"/>
    <numFmt numFmtId="208" formatCode="#."/>
    <numFmt numFmtId="209" formatCode="_(&quot;R$&quot;* #,##0.00_);_(&quot;R$&quot;* \(#,##0.00\);_(&quot;R$&quot;* &quot;-&quot;??_);_(@_)"/>
    <numFmt numFmtId="210" formatCode="0_)"/>
    <numFmt numFmtId="211" formatCode="#,##0.0000"/>
    <numFmt numFmtId="212" formatCode="#,##0.0"/>
    <numFmt numFmtId="213" formatCode="0.0000"/>
    <numFmt numFmtId="214" formatCode="0.000"/>
    <numFmt numFmtId="215" formatCode="#,##0.000"/>
    <numFmt numFmtId="216" formatCode="###,##0.00"/>
    <numFmt numFmtId="217" formatCode="_-* #,##0.0000_-;\-* #,##0.0000_-;_-* &quot;-&quot;????_-;_-@_-"/>
    <numFmt numFmtId="218" formatCode="_-* #,##0.0000000_-;\-* #,##0.0000000_-;_-* &quot;-&quot;????_-;_-@_-"/>
    <numFmt numFmtId="219" formatCode="0.0000%"/>
    <numFmt numFmtId="220" formatCode="_-* #,##0.0000_-;\-* #,##0.0000_-;_-* &quot;-&quot;??_-;_-@_-"/>
    <numFmt numFmtId="221" formatCode="_-* #,##0.0000_-;\-* #,##0.0000_-;_-* &quot;-&quot;?????_-;_-@_-"/>
    <numFmt numFmtId="222" formatCode="_-* #,##0.00000_-;\-* #,##0.00000_-;_-* &quot;-&quot;?????_-;_-@_-"/>
    <numFmt numFmtId="223" formatCode="0.00000"/>
    <numFmt numFmtId="224" formatCode="0_ ;\-0\ "/>
    <numFmt numFmtId="225" formatCode="_-* #,##0.00000_-;\-* #,##0.00000_-;_-* &quot;-&quot;????_-;_-@_-"/>
    <numFmt numFmtId="226" formatCode="#,##0.00000"/>
    <numFmt numFmtId="227" formatCode="#,##0_ ;\-#,##0\ "/>
    <numFmt numFmtId="228" formatCode="_-* #,##0.000_-;\-* #,##0.000_-;_-* &quot;-&quot;???_-;_-@_-"/>
    <numFmt numFmtId="229" formatCode="_-* #,##0.00_-;\-* #,##0.00_-;_-* &quot;-&quot;????_-;_-@_-"/>
    <numFmt numFmtId="230" formatCode="_-* #,##0.000_-;\-* #,##0.000_-;_-* &quot;-&quot;??_-;_-@_-"/>
    <numFmt numFmtId="231" formatCode="0.0"/>
    <numFmt numFmtId="232" formatCode="#,##0.000_ ;\-#,##0.000\ "/>
    <numFmt numFmtId="233" formatCode="#,##0.00_ ;\-#,##0.00\ "/>
    <numFmt numFmtId="234" formatCode="0.000%"/>
    <numFmt numFmtId="235" formatCode="&quot;R$&quot;\ #,##0.000"/>
    <numFmt numFmtId="236" formatCode="&quot;R$&quot;\ #,##0.00"/>
    <numFmt numFmtId="237" formatCode="[$-416]mmmm\-yy;@"/>
    <numFmt numFmtId="238" formatCode="#,##0.0000_ ;\-#,##0.0000\ "/>
    <numFmt numFmtId="239" formatCode="#0000000"/>
  </numFmts>
  <fonts count="127">
    <font>
      <sz val="11"/>
      <color theme="1"/>
      <name val="Calibri"/>
      <charset val="134"/>
      <scheme val="minor"/>
    </font>
    <font>
      <b/>
      <sz val="10"/>
      <color rgb="FFFFFFFF"/>
      <name val="Arial"/>
      <charset val="134"/>
    </font>
    <font>
      <sz val="10"/>
      <color rgb="FF000000"/>
      <name val="Arial"/>
      <charset val="134"/>
    </font>
    <font>
      <b/>
      <sz val="10"/>
      <color theme="0"/>
      <name val="Arial"/>
      <charset val="134"/>
    </font>
    <font>
      <sz val="10"/>
      <color theme="1"/>
      <name val="Arial"/>
      <charset val="134"/>
    </font>
    <font>
      <sz val="11"/>
      <name val="Calibri"/>
      <charset val="134"/>
      <scheme val="minor"/>
    </font>
    <font>
      <b/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7"/>
      <color theme="1"/>
      <name val="Calibri"/>
      <charset val="134"/>
      <scheme val="minor"/>
    </font>
    <font>
      <sz val="7"/>
      <color theme="1"/>
      <name val="Calibri"/>
      <charset val="134"/>
      <scheme val="minor"/>
    </font>
    <font>
      <sz val="6"/>
      <color theme="1"/>
      <name val="Calibri"/>
      <charset val="134"/>
      <scheme val="minor"/>
    </font>
    <font>
      <b/>
      <sz val="6"/>
      <color theme="1"/>
      <name val="Calibri"/>
      <charset val="134"/>
      <scheme val="minor"/>
    </font>
    <font>
      <b/>
      <sz val="7"/>
      <name val="Calibri"/>
      <charset val="134"/>
      <scheme val="minor"/>
    </font>
    <font>
      <sz val="7"/>
      <name val="Calibri"/>
      <charset val="134"/>
      <scheme val="minor"/>
    </font>
    <font>
      <sz val="7"/>
      <color rgb="FFFF0000"/>
      <name val="Calibri"/>
      <charset val="134"/>
      <scheme val="minor"/>
    </font>
    <font>
      <b/>
      <u/>
      <sz val="7"/>
      <color theme="1"/>
      <name val="Calibri"/>
      <charset val="134"/>
      <scheme val="minor"/>
    </font>
    <font>
      <b/>
      <sz val="6.5"/>
      <color theme="1"/>
      <name val="Calibri"/>
      <charset val="134"/>
      <scheme val="minor"/>
    </font>
    <font>
      <b/>
      <u/>
      <sz val="9.2"/>
      <name val="Heveltica"/>
      <charset val="134"/>
    </font>
    <font>
      <b/>
      <u/>
      <sz val="9"/>
      <name val="Heveltica"/>
      <charset val="134"/>
    </font>
    <font>
      <b/>
      <u/>
      <sz val="10"/>
      <name val="Heveltica"/>
      <charset val="134"/>
    </font>
    <font>
      <b/>
      <sz val="10"/>
      <name val="Heveltica"/>
      <charset val="134"/>
    </font>
    <font>
      <sz val="10"/>
      <name val="Heveltica"/>
      <charset val="134"/>
    </font>
    <font>
      <sz val="11"/>
      <color rgb="FF000000"/>
      <name val="Calibri"/>
      <charset val="134"/>
      <scheme val="minor"/>
    </font>
    <font>
      <sz val="11"/>
      <color theme="8" tint="0.799981688894314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1"/>
      <color indexed="8"/>
      <name val="Calibri"/>
      <charset val="134"/>
      <scheme val="minor"/>
    </font>
    <font>
      <sz val="11"/>
      <color theme="0"/>
      <name val="Calibri"/>
      <charset val="134"/>
      <scheme val="minor"/>
    </font>
    <font>
      <sz val="5.5"/>
      <color theme="1"/>
      <name val="Calibri"/>
      <charset val="134"/>
      <scheme val="minor"/>
    </font>
    <font>
      <sz val="6.5"/>
      <color theme="1"/>
      <name val="Calibri"/>
      <charset val="134"/>
      <scheme val="minor"/>
    </font>
    <font>
      <b/>
      <sz val="7"/>
      <color rgb="FFFF0000"/>
      <name val="Calibri"/>
      <charset val="134"/>
      <scheme val="minor"/>
    </font>
    <font>
      <sz val="7"/>
      <color theme="0" tint="-0.349986266670736"/>
      <name val="Calibri"/>
      <charset val="134"/>
      <scheme val="minor"/>
    </font>
    <font>
      <sz val="7"/>
      <color rgb="FF000000"/>
      <name val="Calibri"/>
      <charset val="134"/>
      <scheme val="minor"/>
    </font>
    <font>
      <u/>
      <sz val="11"/>
      <color theme="0" tint="-0.349986266670736"/>
      <name val="Calibri"/>
      <charset val="134"/>
      <scheme val="minor"/>
    </font>
    <font>
      <i/>
      <sz val="11"/>
      <color theme="1"/>
      <name val="Calibri"/>
      <charset val="134"/>
      <scheme val="minor"/>
    </font>
    <font>
      <b/>
      <u/>
      <sz val="12"/>
      <color theme="1"/>
      <name val="Calibri"/>
      <charset val="134"/>
      <scheme val="minor"/>
    </font>
    <font>
      <sz val="8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sz val="8"/>
      <color theme="0"/>
      <name val="Calibri"/>
      <charset val="134"/>
      <scheme val="minor"/>
    </font>
    <font>
      <sz val="6"/>
      <name val="Calibri"/>
      <charset val="134"/>
      <scheme val="minor"/>
    </font>
    <font>
      <b/>
      <sz val="6"/>
      <name val="Calibri"/>
      <charset val="134"/>
      <scheme val="minor"/>
    </font>
    <font>
      <sz val="5"/>
      <color theme="1"/>
      <name val="Calibri"/>
      <charset val="134"/>
      <scheme val="minor"/>
    </font>
    <font>
      <b/>
      <sz val="18"/>
      <color theme="1"/>
      <name val="Calibri"/>
      <charset val="134"/>
      <scheme val="minor"/>
    </font>
    <font>
      <b/>
      <sz val="17.5"/>
      <color theme="1"/>
      <name val="Calibri"/>
      <charset val="134"/>
      <scheme val="minor"/>
    </font>
    <font>
      <sz val="1"/>
      <color indexed="8"/>
      <name val="Courier"/>
      <charset val="134"/>
    </font>
    <font>
      <sz val="10"/>
      <color theme="1"/>
      <name val="Calibri"/>
      <charset val="134"/>
      <scheme val="minor"/>
    </font>
    <font>
      <sz val="10"/>
      <name val="Arial"/>
      <charset val="134"/>
    </font>
    <font>
      <u/>
      <sz val="11"/>
      <color theme="10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134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sz val="11"/>
      <color rgb="FFFA7D00"/>
      <name val="Calibri"/>
      <charset val="134"/>
      <scheme val="minor"/>
    </font>
    <font>
      <sz val="11"/>
      <color rgb="FF006100"/>
      <name val="Calibri"/>
      <charset val="134"/>
      <scheme val="minor"/>
    </font>
    <font>
      <sz val="11"/>
      <color rgb="FF9C0006"/>
      <name val="Calibri"/>
      <charset val="134"/>
      <scheme val="minor"/>
    </font>
    <font>
      <sz val="11"/>
      <color rgb="FF9C6500"/>
      <name val="Calibri"/>
      <charset val="134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20"/>
      <name val="Calibri"/>
      <charset val="134"/>
    </font>
    <font>
      <sz val="11"/>
      <color indexed="17"/>
      <name val="Calibri"/>
      <charset val="134"/>
    </font>
    <font>
      <b/>
      <sz val="16"/>
      <color indexed="24"/>
      <name val="Arial"/>
      <charset val="134"/>
    </font>
    <font>
      <b/>
      <sz val="12"/>
      <color indexed="24"/>
      <name val="Arial"/>
      <charset val="134"/>
    </font>
    <font>
      <sz val="12"/>
      <color indexed="24"/>
      <name val="Arial"/>
      <charset val="134"/>
    </font>
    <font>
      <sz val="14"/>
      <color indexed="24"/>
      <name val="Arial"/>
      <charset val="134"/>
    </font>
    <font>
      <b/>
      <sz val="11"/>
      <color indexed="52"/>
      <name val="Calibri"/>
      <charset val="134"/>
    </font>
    <font>
      <b/>
      <sz val="10"/>
      <name val="Helv"/>
      <charset val="134"/>
    </font>
    <font>
      <b/>
      <sz val="11"/>
      <color indexed="9"/>
      <name val="Calibri"/>
      <charset val="134"/>
    </font>
    <font>
      <sz val="11"/>
      <color indexed="52"/>
      <name val="Calibri"/>
      <charset val="134"/>
    </font>
    <font>
      <sz val="10"/>
      <name val="Times New Roman"/>
      <charset val="134"/>
    </font>
    <font>
      <sz val="10"/>
      <name val="MS Sans Serif"/>
      <charset val="134"/>
    </font>
    <font>
      <sz val="10"/>
      <name val="Geneva"/>
      <charset val="134"/>
    </font>
    <font>
      <sz val="10"/>
      <color indexed="24"/>
      <name val="Arial"/>
      <charset val="134"/>
    </font>
    <font>
      <sz val="10"/>
      <name val="Helv"/>
      <charset val="134"/>
    </font>
    <font>
      <b/>
      <sz val="11"/>
      <color indexed="8"/>
      <name val="Calibri"/>
      <charset val="134"/>
    </font>
    <font>
      <sz val="11"/>
      <color indexed="62"/>
      <name val="Calibri"/>
      <charset val="134"/>
    </font>
    <font>
      <i/>
      <sz val="11"/>
      <color indexed="23"/>
      <name val="Calibri"/>
      <charset val="134"/>
    </font>
    <font>
      <sz val="12"/>
      <name val="Times New Roman"/>
      <charset val="134"/>
    </font>
    <font>
      <sz val="7"/>
      <name val="Arial"/>
      <charset val="134"/>
    </font>
    <font>
      <u/>
      <sz val="10"/>
      <color indexed="36"/>
      <name val="Arial"/>
      <charset val="134"/>
    </font>
    <font>
      <sz val="8"/>
      <name val="Arial"/>
      <charset val="134"/>
    </font>
    <font>
      <b/>
      <sz val="12"/>
      <name val="Helv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1"/>
      <color indexed="56"/>
      <name val="Calibri"/>
      <charset val="134"/>
    </font>
    <font>
      <b/>
      <sz val="18"/>
      <color indexed="24"/>
      <name val="Arial"/>
      <charset val="134"/>
    </font>
    <font>
      <u/>
      <sz val="10"/>
      <color theme="10"/>
      <name val="Courier"/>
      <charset val="134"/>
    </font>
    <font>
      <u/>
      <sz val="10"/>
      <color theme="10"/>
      <name val="Arial"/>
      <charset val="134"/>
    </font>
    <font>
      <u/>
      <sz val="10"/>
      <color indexed="12"/>
      <name val="Arial"/>
      <charset val="134"/>
    </font>
    <font>
      <u/>
      <sz val="11"/>
      <color theme="10"/>
      <name val="Calibri"/>
      <charset val="134"/>
    </font>
    <font>
      <sz val="10"/>
      <name val="Courier"/>
      <charset val="134"/>
    </font>
    <font>
      <b/>
      <sz val="11"/>
      <name val="Helv"/>
      <charset val="134"/>
    </font>
    <font>
      <sz val="12"/>
      <color theme="1"/>
      <name val="Arial"/>
      <charset val="134"/>
    </font>
    <font>
      <sz val="8"/>
      <name val="Tahoma"/>
      <charset val="134"/>
    </font>
    <font>
      <sz val="11"/>
      <color indexed="60"/>
      <name val="Calibri"/>
      <charset val="134"/>
    </font>
    <font>
      <sz val="10"/>
      <color indexed="8"/>
      <name val="Arial"/>
      <charset val="134"/>
    </font>
    <font>
      <sz val="11"/>
      <color theme="1"/>
      <name val="Arial"/>
      <charset val="134"/>
    </font>
    <font>
      <sz val="10"/>
      <color rgb="FF000000"/>
      <name val="Times New Roman"/>
      <charset val="134"/>
    </font>
    <font>
      <sz val="11"/>
      <color rgb="FF000000"/>
      <name val="Calibri"/>
      <charset val="204"/>
    </font>
    <font>
      <sz val="11"/>
      <color theme="1"/>
      <name val="Calibri"/>
      <charset val="134"/>
    </font>
    <font>
      <b/>
      <sz val="11"/>
      <color indexed="63"/>
      <name val="Calibri"/>
      <charset val="134"/>
    </font>
    <font>
      <sz val="1"/>
      <color indexed="16"/>
      <name val="Courier"/>
      <charset val="134"/>
    </font>
    <font>
      <b/>
      <sz val="8"/>
      <color indexed="10"/>
      <name val="Arial"/>
      <charset val="134"/>
    </font>
    <font>
      <sz val="1"/>
      <color indexed="18"/>
      <name val="Courier"/>
      <charset val="134"/>
    </font>
    <font>
      <b/>
      <sz val="18"/>
      <color indexed="62"/>
      <name val="Cambria"/>
      <charset val="134"/>
    </font>
    <font>
      <sz val="11"/>
      <color indexed="10"/>
      <name val="Calibri"/>
      <charset val="134"/>
    </font>
    <font>
      <b/>
      <sz val="10"/>
      <name val="MS Sans Serif"/>
      <charset val="134"/>
    </font>
    <font>
      <b/>
      <sz val="18"/>
      <color indexed="56"/>
      <name val="Cambria"/>
      <charset val="134"/>
    </font>
    <font>
      <b/>
      <sz val="15"/>
      <color indexed="62"/>
      <name val="Calibri"/>
      <charset val="134"/>
    </font>
    <font>
      <b/>
      <sz val="10"/>
      <name val="Arial"/>
      <charset val="134"/>
    </font>
    <font>
      <sz val="18"/>
      <color theme="3"/>
      <name val="Cambria"/>
      <charset val="134"/>
      <scheme val="major"/>
    </font>
    <font>
      <b/>
      <sz val="1"/>
      <color indexed="16"/>
      <name val="Courier"/>
      <charset val="134"/>
    </font>
    <font>
      <b/>
      <u/>
      <sz val="10"/>
      <name val="Arial"/>
      <charset val="134"/>
    </font>
    <font>
      <vertAlign val="subscript"/>
      <sz val="11"/>
      <color theme="1"/>
      <name val="Calibri"/>
      <charset val="134"/>
      <scheme val="minor"/>
    </font>
    <font>
      <vertAlign val="subscript"/>
      <sz val="10"/>
      <color theme="1"/>
      <name val="Calibri"/>
      <charset val="134"/>
      <scheme val="minor"/>
    </font>
    <font>
      <vertAlign val="subscript"/>
      <sz val="9"/>
      <color theme="1"/>
      <name val="Calibri"/>
      <charset val="134"/>
      <scheme val="minor"/>
    </font>
    <font>
      <b/>
      <sz val="7"/>
      <color theme="1"/>
      <name val="Calibri"/>
      <charset val="134"/>
    </font>
    <font>
      <vertAlign val="subscript"/>
      <sz val="8"/>
      <color theme="1"/>
      <name val="Calibri"/>
      <charset val="134"/>
      <scheme val="minor"/>
    </font>
    <font>
      <vertAlign val="superscript"/>
      <sz val="10"/>
      <color theme="1"/>
      <name val="Calibri"/>
      <charset val="134"/>
      <scheme val="minor"/>
    </font>
    <font>
      <b/>
      <sz val="12.1"/>
      <color theme="1"/>
      <name val="Calibri"/>
      <charset val="134"/>
    </font>
    <font>
      <vertAlign val="superscript"/>
      <sz val="9"/>
      <color theme="1"/>
      <name val="Calibri"/>
      <charset val="134"/>
      <scheme val="minor"/>
    </font>
  </fonts>
  <fills count="80">
    <fill>
      <patternFill patternType="none"/>
    </fill>
    <fill>
      <patternFill patternType="gray125"/>
    </fill>
    <fill>
      <patternFill patternType="solid">
        <fgColor rgb="FF002E6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78">
    <border>
      <left/>
      <right/>
      <top/>
      <bottom/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/>
      <bottom style="thin">
        <color rgb="FFA0A0A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/>
      <diagonal/>
    </border>
    <border>
      <left/>
      <right/>
      <top/>
      <bottom style="thick">
        <color indexed="49"/>
      </bottom>
      <diagonal/>
    </border>
    <border>
      <left/>
      <right/>
      <top style="double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488">
    <xf numFmtId="0" fontId="0" fillId="0" borderId="0"/>
    <xf numFmtId="176" fontId="45" fillId="0" borderId="0">
      <protection locked="0"/>
    </xf>
    <xf numFmtId="177" fontId="46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47" fillId="0" borderId="0" applyFont="0" applyFill="0" applyBorder="0" applyAlignment="0" applyProtection="0"/>
    <xf numFmtId="179" fontId="46" fillId="0" borderId="0" applyFon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0" fillId="15" borderId="57" applyNumberFormat="0" applyFont="0" applyAlignment="0" applyProtection="0"/>
    <xf numFmtId="0" fontId="7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52" fillId="0" borderId="58" applyNumberFormat="0" applyFill="0" applyAlignment="0" applyProtection="0"/>
    <xf numFmtId="0" fontId="53" fillId="0" borderId="59" applyNumberFormat="0" applyFill="0" applyAlignment="0" applyProtection="0"/>
    <xf numFmtId="0" fontId="54" fillId="0" borderId="60" applyNumberFormat="0" applyFill="0" applyAlignment="0" applyProtection="0"/>
    <xf numFmtId="0" fontId="54" fillId="0" borderId="0" applyNumberFormat="0" applyFill="0" applyBorder="0" applyAlignment="0" applyProtection="0"/>
    <xf numFmtId="0" fontId="55" fillId="16" borderId="61" applyNumberFormat="0" applyAlignment="0" applyProtection="0"/>
    <xf numFmtId="0" fontId="56" fillId="17" borderId="62" applyNumberFormat="0" applyAlignment="0" applyProtection="0"/>
    <xf numFmtId="0" fontId="57" fillId="17" borderId="61" applyNumberFormat="0" applyAlignment="0" applyProtection="0"/>
    <xf numFmtId="0" fontId="58" fillId="18" borderId="63" applyNumberFormat="0" applyAlignment="0" applyProtection="0"/>
    <xf numFmtId="0" fontId="59" fillId="0" borderId="64" applyNumberFormat="0" applyFill="0" applyAlignment="0" applyProtection="0"/>
    <xf numFmtId="0" fontId="24" fillId="0" borderId="65" applyNumberFormat="0" applyFill="0" applyAlignment="0" applyProtection="0"/>
    <xf numFmtId="0" fontId="60" fillId="19" borderId="0" applyNumberFormat="0" applyBorder="0" applyAlignment="0" applyProtection="0"/>
    <xf numFmtId="0" fontId="61" fillId="20" borderId="0" applyNumberFormat="0" applyBorder="0" applyAlignment="0" applyProtection="0"/>
    <xf numFmtId="0" fontId="62" fillId="21" borderId="0" applyNumberFormat="0" applyBorder="0" applyAlignment="0" applyProtection="0"/>
    <xf numFmtId="0" fontId="27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0" fillId="35" borderId="0" applyNumberFormat="0" applyBorder="0" applyAlignment="0" applyProtection="0"/>
    <xf numFmtId="0" fontId="0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0" fillId="39" borderId="0" applyNumberFormat="0" applyBorder="0" applyAlignment="0" applyProtection="0"/>
    <xf numFmtId="0" fontId="0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2" borderId="0" applyNumberFormat="0" applyBorder="0" applyAlignment="0" applyProtection="0"/>
    <xf numFmtId="0" fontId="0" fillId="43" borderId="0" applyNumberFormat="0" applyBorder="0" applyAlignment="0" applyProtection="0"/>
    <xf numFmtId="0" fontId="0" fillId="44" borderId="0" applyNumberFormat="0" applyBorder="0" applyAlignment="0" applyProtection="0"/>
    <xf numFmtId="0" fontId="27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51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0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63" fillId="54" borderId="0" applyNumberFormat="0" applyBorder="0" applyAlignment="0" applyProtection="0"/>
    <xf numFmtId="0" fontId="63" fillId="49" borderId="0" applyNumberFormat="0" applyBorder="0" applyAlignment="0" applyProtection="0"/>
    <xf numFmtId="0" fontId="63" fillId="52" borderId="0" applyNumberFormat="0" applyBorder="0" applyAlignment="0" applyProtection="0"/>
    <xf numFmtId="0" fontId="63" fillId="55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3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54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49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2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3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64" fillId="57" borderId="0" applyNumberFormat="0" applyBorder="0" applyAlignment="0" applyProtection="0"/>
    <xf numFmtId="0" fontId="64" fillId="58" borderId="0" applyNumberFormat="0" applyBorder="0" applyAlignment="0" applyProtection="0"/>
    <xf numFmtId="0" fontId="64" fillId="59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6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59" borderId="0" applyNumberFormat="0" applyBorder="0" applyAlignment="0" applyProtection="0"/>
    <xf numFmtId="0" fontId="64" fillId="60" borderId="0" applyNumberFormat="0" applyBorder="0" applyAlignment="0" applyProtection="0"/>
    <xf numFmtId="0" fontId="63" fillId="61" borderId="0" applyNumberFormat="0" applyBorder="0" applyAlignment="0" applyProtection="0"/>
    <xf numFmtId="0" fontId="63" fillId="61" borderId="0" applyNumberFormat="0" applyBorder="0" applyAlignment="0" applyProtection="0"/>
    <xf numFmtId="0" fontId="64" fillId="62" borderId="0" applyNumberFormat="0" applyBorder="0" applyAlignment="0" applyProtection="0"/>
    <xf numFmtId="0" fontId="64" fillId="60" borderId="0" applyNumberFormat="0" applyBorder="0" applyAlignment="0" applyProtection="0"/>
    <xf numFmtId="0" fontId="64" fillId="63" borderId="0" applyNumberFormat="0" applyBorder="0" applyAlignment="0" applyProtection="0"/>
    <xf numFmtId="0" fontId="63" fillId="64" borderId="0" applyNumberFormat="0" applyBorder="0" applyAlignment="0" applyProtection="0"/>
    <xf numFmtId="0" fontId="63" fillId="65" borderId="0" applyNumberFormat="0" applyBorder="0" applyAlignment="0" applyProtection="0"/>
    <xf numFmtId="0" fontId="64" fillId="66" borderId="0" applyNumberFormat="0" applyBorder="0" applyAlignment="0" applyProtection="0"/>
    <xf numFmtId="0" fontId="64" fillId="63" borderId="0" applyNumberFormat="0" applyBorder="0" applyAlignment="0" applyProtection="0"/>
    <xf numFmtId="0" fontId="64" fillId="67" borderId="0" applyNumberFormat="0" applyBorder="0" applyAlignment="0" applyProtection="0"/>
    <xf numFmtId="0" fontId="63" fillId="64" borderId="0" applyNumberFormat="0" applyBorder="0" applyAlignment="0" applyProtection="0"/>
    <xf numFmtId="0" fontId="63" fillId="68" borderId="0" applyNumberFormat="0" applyBorder="0" applyAlignment="0" applyProtection="0"/>
    <xf numFmtId="0" fontId="64" fillId="65" borderId="0" applyNumberFormat="0" applyBorder="0" applyAlignment="0" applyProtection="0"/>
    <xf numFmtId="0" fontId="64" fillId="67" borderId="0" applyNumberFormat="0" applyBorder="0" applyAlignment="0" applyProtection="0"/>
    <xf numFmtId="0" fontId="64" fillId="57" borderId="0" applyNumberFormat="0" applyBorder="0" applyAlignment="0" applyProtection="0"/>
    <xf numFmtId="0" fontId="63" fillId="61" borderId="0" applyNumberFormat="0" applyBorder="0" applyAlignment="0" applyProtection="0"/>
    <xf numFmtId="0" fontId="63" fillId="65" borderId="0" applyNumberFormat="0" applyBorder="0" applyAlignment="0" applyProtection="0"/>
    <xf numFmtId="0" fontId="64" fillId="65" borderId="0" applyNumberFormat="0" applyBorder="0" applyAlignment="0" applyProtection="0"/>
    <xf numFmtId="0" fontId="64" fillId="57" borderId="0" applyNumberFormat="0" applyBorder="0" applyAlignment="0" applyProtection="0"/>
    <xf numFmtId="0" fontId="64" fillId="58" borderId="0" applyNumberFormat="0" applyBorder="0" applyAlignment="0" applyProtection="0"/>
    <xf numFmtId="0" fontId="63" fillId="69" borderId="0" applyNumberFormat="0" applyBorder="0" applyAlignment="0" applyProtection="0"/>
    <xf numFmtId="0" fontId="63" fillId="61" borderId="0" applyNumberFormat="0" applyBorder="0" applyAlignment="0" applyProtection="0"/>
    <xf numFmtId="0" fontId="64" fillId="62" borderId="0" applyNumberFormat="0" applyBorder="0" applyAlignment="0" applyProtection="0"/>
    <xf numFmtId="0" fontId="64" fillId="58" borderId="0" applyNumberFormat="0" applyBorder="0" applyAlignment="0" applyProtection="0"/>
    <xf numFmtId="0" fontId="64" fillId="70" borderId="0" applyNumberFormat="0" applyBorder="0" applyAlignment="0" applyProtection="0"/>
    <xf numFmtId="0" fontId="63" fillId="64" borderId="0" applyNumberFormat="0" applyBorder="0" applyAlignment="0" applyProtection="0"/>
    <xf numFmtId="0" fontId="63" fillId="71" borderId="0" applyNumberFormat="0" applyBorder="0" applyAlignment="0" applyProtection="0"/>
    <xf numFmtId="0" fontId="64" fillId="71" borderId="0" applyNumberFormat="0" applyBorder="0" applyAlignment="0" applyProtection="0"/>
    <xf numFmtId="0" fontId="64" fillId="70" borderId="0" applyNumberFormat="0" applyBorder="0" applyAlignment="0" applyProtection="0"/>
    <xf numFmtId="0" fontId="65" fillId="47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1" fillId="72" borderId="66" applyNumberFormat="0" applyAlignment="0" applyProtection="0"/>
    <xf numFmtId="0" fontId="72" fillId="0" borderId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3" fillId="73" borderId="67" applyNumberFormat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4" fillId="0" borderId="68" applyNumberFormat="0" applyFill="0" applyAlignment="0" applyProtection="0"/>
    <xf numFmtId="0" fontId="75" fillId="0" borderId="0" applyNumberFormat="0" applyFont="0" applyFill="0" applyBorder="0" applyProtection="0">
      <alignment horizontal="center" vertical="center" wrapText="1"/>
    </xf>
    <xf numFmtId="0" fontId="73" fillId="73" borderId="67" applyNumberFormat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180" fontId="76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4" fontId="77" fillId="0" borderId="0" applyFont="0" applyFill="0" applyBorder="0" applyAlignment="0" applyProtection="0"/>
    <xf numFmtId="3" fontId="78" fillId="0" borderId="0" applyFont="0" applyFill="0" applyBorder="0" applyAlignment="0" applyProtection="0"/>
    <xf numFmtId="0" fontId="79" fillId="0" borderId="0"/>
    <xf numFmtId="3" fontId="78" fillId="0" borderId="0" applyFont="0" applyFill="0" applyBorder="0" applyAlignment="0" applyProtection="0"/>
    <xf numFmtId="3" fontId="78" fillId="0" borderId="0" applyFont="0" applyFill="0" applyBorder="0" applyAlignment="0" applyProtection="0"/>
    <xf numFmtId="3" fontId="78" fillId="0" borderId="0" applyFont="0" applyFill="0" applyBorder="0" applyAlignment="0" applyProtection="0"/>
    <xf numFmtId="3" fontId="78" fillId="0" borderId="0" applyFont="0" applyFill="0" applyBorder="0" applyAlignment="0" applyProtection="0"/>
    <xf numFmtId="3" fontId="78" fillId="0" borderId="0" applyFont="0" applyFill="0" applyBorder="0" applyAlignment="0" applyProtection="0"/>
    <xf numFmtId="3" fontId="78" fillId="0" borderId="0" applyFont="0" applyFill="0" applyBorder="0" applyAlignment="0" applyProtection="0"/>
    <xf numFmtId="3" fontId="78" fillId="0" borderId="0" applyFont="0" applyFill="0" applyBorder="0" applyAlignment="0" applyProtection="0"/>
    <xf numFmtId="0" fontId="79" fillId="0" borderId="0"/>
    <xf numFmtId="185" fontId="45" fillId="0" borderId="0">
      <protection locked="0"/>
    </xf>
    <xf numFmtId="186" fontId="47" fillId="0" borderId="0">
      <alignment horizontal="center"/>
    </xf>
    <xf numFmtId="186" fontId="47" fillId="0" borderId="0">
      <alignment horizontal="center"/>
    </xf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7" fontId="47" fillId="0" borderId="0" applyFont="0" applyFill="0" applyBorder="0" applyAlignment="0" applyProtection="0"/>
    <xf numFmtId="188" fontId="47" fillId="0" borderId="0" applyFont="0" applyFill="0" applyBorder="0" applyAlignment="0" applyProtection="0"/>
    <xf numFmtId="189" fontId="47" fillId="0" borderId="0" applyFont="0" applyFill="0" applyBorder="0" applyAlignment="0" applyProtection="0"/>
    <xf numFmtId="190" fontId="45" fillId="0" borderId="0">
      <protection locked="0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45" fillId="0" borderId="0">
      <protection locked="0"/>
    </xf>
    <xf numFmtId="0" fontId="79" fillId="0" borderId="0"/>
    <xf numFmtId="0" fontId="80" fillId="74" borderId="0" applyNumberFormat="0" applyBorder="0" applyAlignment="0" applyProtection="0"/>
    <xf numFmtId="0" fontId="80" fillId="75" borderId="0" applyNumberFormat="0" applyBorder="0" applyAlignment="0" applyProtection="0"/>
    <xf numFmtId="0" fontId="80" fillId="76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0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3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6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7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58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64" fillId="70" borderId="0" applyNumberFormat="0" applyBorder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191" fontId="47" fillId="0" borderId="0" applyNumberFormat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NumberFormat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NumberFormat="0" applyFont="0" applyFill="0" applyBorder="0" applyAlignment="0" applyProtection="0"/>
    <xf numFmtId="0" fontId="63" fillId="0" borderId="0"/>
    <xf numFmtId="0" fontId="47" fillId="0" borderId="0" applyFill="0" applyBorder="0" applyAlignment="0" applyProtection="0"/>
    <xf numFmtId="0" fontId="82" fillId="0" borderId="0" applyNumberFormat="0" applyFill="0" applyBorder="0" applyAlignment="0" applyProtection="0"/>
    <xf numFmtId="192" fontId="83" fillId="0" borderId="0"/>
    <xf numFmtId="0" fontId="75" fillId="0" borderId="0" applyFont="0" applyFill="0" applyBorder="0" applyAlignment="0" applyProtection="0"/>
    <xf numFmtId="2" fontId="75" fillId="0" borderId="0" applyFont="0" applyFill="0" applyBorder="0" applyAlignment="0" applyProtection="0"/>
    <xf numFmtId="4" fontId="47" fillId="0" borderId="31">
      <alignment horizontal="right"/>
    </xf>
    <xf numFmtId="4" fontId="47" fillId="0" borderId="31">
      <alignment horizontal="right"/>
    </xf>
    <xf numFmtId="193" fontId="84" fillId="0" borderId="0">
      <alignment horizontal="left"/>
    </xf>
    <xf numFmtId="194" fontId="84" fillId="0" borderId="0">
      <alignment horizontal="left"/>
    </xf>
    <xf numFmtId="195" fontId="45" fillId="0" borderId="0">
      <protection locked="0"/>
    </xf>
    <xf numFmtId="2" fontId="69" fillId="0" borderId="0" applyFont="0" applyFill="0" applyBorder="0" applyAlignment="0" applyProtection="0"/>
    <xf numFmtId="2" fontId="69" fillId="0" borderId="0" applyFont="0" applyFill="0" applyBorder="0" applyAlignment="0" applyProtection="0"/>
    <xf numFmtId="2" fontId="69" fillId="0" borderId="0" applyFont="0" applyFill="0" applyBorder="0" applyAlignment="0" applyProtection="0"/>
    <xf numFmtId="2" fontId="69" fillId="0" borderId="0" applyFont="0" applyFill="0" applyBorder="0" applyAlignment="0" applyProtection="0"/>
    <xf numFmtId="2" fontId="69" fillId="0" borderId="0" applyFont="0" applyFill="0" applyBorder="0" applyAlignment="0" applyProtection="0"/>
    <xf numFmtId="2" fontId="69" fillId="0" borderId="0" applyFont="0" applyFill="0" applyBorder="0" applyAlignment="0" applyProtection="0"/>
    <xf numFmtId="2" fontId="69" fillId="0" borderId="0" applyFont="0" applyFill="0" applyBorder="0" applyAlignment="0" applyProtection="0"/>
    <xf numFmtId="2" fontId="69" fillId="0" borderId="0" applyFont="0" applyFill="0" applyBorder="0" applyAlignment="0" applyProtection="0"/>
    <xf numFmtId="2" fontId="69" fillId="0" borderId="0" applyFont="0" applyFill="0" applyBorder="0" applyAlignment="0" applyProtection="0"/>
    <xf numFmtId="0" fontId="85" fillId="0" borderId="0" applyNumberFormat="0" applyFill="0" applyBorder="0" applyAlignment="0" applyProtection="0">
      <alignment vertical="top"/>
      <protection locked="0"/>
    </xf>
    <xf numFmtId="0" fontId="66" fillId="48" borderId="0" applyNumberFormat="0" applyBorder="0" applyAlignment="0" applyProtection="0"/>
    <xf numFmtId="180" fontId="86" fillId="77" borderId="0" applyNumberFormat="0" applyBorder="0" applyAlignment="0" applyProtection="0"/>
    <xf numFmtId="0" fontId="87" fillId="0" borderId="0">
      <alignment horizontal="left"/>
    </xf>
    <xf numFmtId="0" fontId="88" fillId="0" borderId="69" applyNumberFormat="0" applyFill="0" applyAlignment="0" applyProtection="0"/>
    <xf numFmtId="0" fontId="89" fillId="0" borderId="70" applyNumberFormat="0" applyFill="0" applyAlignment="0" applyProtection="0"/>
    <xf numFmtId="0" fontId="90" fillId="0" borderId="71" applyNumberFormat="0" applyFill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65" fillId="47" borderId="0" applyNumberFormat="0" applyBorder="0" applyAlignment="0" applyProtection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81" fillId="51" borderId="66" applyNumberFormat="0" applyAlignment="0" applyProtection="0"/>
    <xf numFmtId="10" fontId="86" fillId="77" borderId="21" applyNumberFormat="0" applyBorder="0" applyAlignment="0" applyProtection="0"/>
    <xf numFmtId="10" fontId="86" fillId="77" borderId="21" applyNumberFormat="0" applyBorder="0" applyAlignment="0" applyProtection="0"/>
    <xf numFmtId="10" fontId="86" fillId="77" borderId="21" applyNumberFormat="0" applyBorder="0" applyAlignment="0" applyProtection="0"/>
    <xf numFmtId="10" fontId="86" fillId="77" borderId="21" applyNumberFormat="0" applyBorder="0" applyAlignment="0" applyProtection="0"/>
    <xf numFmtId="10" fontId="86" fillId="77" borderId="21" applyNumberFormat="0" applyBorder="0" applyAlignment="0" applyProtection="0"/>
    <xf numFmtId="10" fontId="86" fillId="77" borderId="21" applyNumberFormat="0" applyBorder="0" applyAlignment="0" applyProtection="0"/>
    <xf numFmtId="0" fontId="81" fillId="51" borderId="66" applyNumberFormat="0" applyAlignment="0" applyProtection="0"/>
    <xf numFmtId="0" fontId="81" fillId="51" borderId="66" applyNumberFormat="0" applyAlignment="0" applyProtection="0"/>
    <xf numFmtId="0" fontId="74" fillId="0" borderId="68" applyNumberFormat="0" applyFill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196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97" fillId="0" borderId="28"/>
    <xf numFmtId="0" fontId="97" fillId="0" borderId="28"/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98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8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177" fontId="98" fillId="0" borderId="0" applyFont="0" applyFill="0" applyBorder="0" applyAlignment="0" applyProtection="0"/>
    <xf numFmtId="177" fontId="96" fillId="0" borderId="0" applyFont="0" applyFill="0" applyBorder="0" applyAlignment="0" applyProtection="0"/>
    <xf numFmtId="199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9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99" fillId="0" borderId="0" applyFont="0" applyFill="0" applyBorder="0" applyAlignment="0" applyProtection="0"/>
    <xf numFmtId="177" fontId="99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7" fillId="0" borderId="0" applyFont="0" applyFill="0" applyBorder="0" applyAlignment="0" applyProtection="0"/>
    <xf numFmtId="189" fontId="0" fillId="0" borderId="0" applyFont="0" applyFill="0" applyBorder="0" applyAlignment="0" applyProtection="0"/>
    <xf numFmtId="189" fontId="0" fillId="0" borderId="0" applyFont="0" applyFill="0" applyBorder="0" applyAlignment="0" applyProtection="0"/>
    <xf numFmtId="189" fontId="0" fillId="0" borderId="0" applyFont="0" applyFill="0" applyBorder="0" applyAlignment="0" applyProtection="0"/>
    <xf numFmtId="189" fontId="0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0" fontId="69" fillId="0" borderId="0" applyFont="0" applyFill="0" applyBorder="0" applyAlignment="0" applyProtection="0"/>
    <xf numFmtId="201" fontId="47" fillId="0" borderId="0" applyFont="0" applyFill="0" applyBorder="0" applyAlignment="0" applyProtection="0"/>
    <xf numFmtId="202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100" fillId="78" borderId="0" applyNumberFormat="0" applyBorder="0" applyAlignment="0" applyProtection="0"/>
    <xf numFmtId="0" fontId="79" fillId="0" borderId="0"/>
    <xf numFmtId="0" fontId="79" fillId="0" borderId="0"/>
    <xf numFmtId="0" fontId="79" fillId="0" borderId="0"/>
    <xf numFmtId="0" fontId="79" fillId="0" borderId="0"/>
    <xf numFmtId="205" fontId="47" fillId="0" borderId="0"/>
    <xf numFmtId="205" fontId="47" fillId="0" borderId="0"/>
    <xf numFmtId="0" fontId="99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99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01" fillId="0" borderId="0"/>
    <xf numFmtId="0" fontId="101" fillId="0" borderId="0">
      <alignment vertical="top"/>
    </xf>
    <xf numFmtId="0" fontId="101" fillId="0" borderId="0">
      <alignment vertical="top"/>
    </xf>
    <xf numFmtId="0" fontId="101" fillId="0" borderId="0">
      <alignment vertical="top"/>
    </xf>
    <xf numFmtId="0" fontId="101" fillId="0" borderId="0">
      <alignment vertical="top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3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99" fillId="0" borderId="0"/>
    <xf numFmtId="0" fontId="47" fillId="0" borderId="0"/>
    <xf numFmtId="0" fontId="47" fillId="0" borderId="0"/>
    <xf numFmtId="0" fontId="47" fillId="0" borderId="0"/>
    <xf numFmtId="0" fontId="102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7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03" fillId="0" borderId="0"/>
    <xf numFmtId="0" fontId="103" fillId="0" borderId="0"/>
    <xf numFmtId="0" fontId="47" fillId="0" borderId="0"/>
    <xf numFmtId="0" fontId="103" fillId="0" borderId="0"/>
    <xf numFmtId="0" fontId="47" fillId="0" borderId="0"/>
    <xf numFmtId="0" fontId="103" fillId="0" borderId="0"/>
    <xf numFmtId="0" fontId="10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6" fillId="0" borderId="0"/>
    <xf numFmtId="0" fontId="47" fillId="0" borderId="0"/>
    <xf numFmtId="0" fontId="10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03" fillId="0" borderId="0"/>
    <xf numFmtId="198" fontId="96" fillId="0" borderId="0"/>
    <xf numFmtId="0" fontId="103" fillId="0" borderId="0"/>
    <xf numFmtId="0" fontId="103" fillId="0" borderId="0"/>
    <xf numFmtId="0" fontId="103" fillId="0" borderId="0"/>
    <xf numFmtId="0" fontId="76" fillId="0" borderId="0"/>
    <xf numFmtId="0" fontId="47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6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63" fillId="0" borderId="0"/>
    <xf numFmtId="0" fontId="76" fillId="0" borderId="0"/>
    <xf numFmtId="0" fontId="76" fillId="0" borderId="0"/>
    <xf numFmtId="0" fontId="86" fillId="0" borderId="0"/>
    <xf numFmtId="0" fontId="10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0" fillId="0" borderId="0"/>
    <xf numFmtId="0" fontId="47" fillId="0" borderId="0"/>
    <xf numFmtId="206" fontId="96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0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103" fillId="0" borderId="0"/>
    <xf numFmtId="0" fontId="86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5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47" fillId="0" borderId="0"/>
    <xf numFmtId="0" fontId="75" fillId="0" borderId="0"/>
    <xf numFmtId="0" fontId="47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75" fillId="0" borderId="0"/>
    <xf numFmtId="0" fontId="7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0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47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5" fillId="0" borderId="0"/>
    <xf numFmtId="0" fontId="47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75" fillId="0" borderId="0"/>
    <xf numFmtId="0" fontId="47" fillId="0" borderId="0"/>
    <xf numFmtId="0" fontId="75" fillId="0" borderId="0"/>
    <xf numFmtId="0" fontId="47" fillId="0" borderId="0"/>
    <xf numFmtId="0" fontId="47" fillId="0" borderId="0"/>
    <xf numFmtId="0" fontId="75" fillId="0" borderId="0"/>
    <xf numFmtId="0" fontId="75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26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63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98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3" fillId="0" borderId="0"/>
    <xf numFmtId="0" fontId="63" fillId="0" borderId="0"/>
    <xf numFmtId="0" fontId="75" fillId="0" borderId="0"/>
    <xf numFmtId="0" fontId="75" fillId="0" borderId="0"/>
    <xf numFmtId="0" fontId="75" fillId="0" borderId="0"/>
    <xf numFmtId="0" fontId="47" fillId="0" borderId="0"/>
    <xf numFmtId="0" fontId="105" fillId="0" borderId="0"/>
    <xf numFmtId="0" fontId="47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3" fillId="0" borderId="0"/>
    <xf numFmtId="0" fontId="10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99" fillId="0" borderId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86" fillId="79" borderId="72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0" fillId="15" borderId="57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47" fillId="79" borderId="72" applyNumberFormat="0" applyFont="0" applyAlignment="0" applyProtection="0"/>
    <xf numFmtId="0" fontId="63" fillId="79" borderId="72" applyNumberFormat="0" applyFont="0" applyAlignment="0" applyProtection="0"/>
    <xf numFmtId="0" fontId="63" fillId="79" borderId="72" applyNumberFormat="0" applyFont="0" applyAlignment="0" applyProtection="0"/>
    <xf numFmtId="0" fontId="63" fillId="79" borderId="72" applyNumberFormat="0" applyFon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79" fillId="0" borderId="0"/>
    <xf numFmtId="207" fontId="45" fillId="0" borderId="0">
      <protection locked="0"/>
    </xf>
    <xf numFmtId="10" fontId="47" fillId="0" borderId="0" applyFont="0" applyFill="0" applyBorder="0" applyAlignment="0" applyProtection="0"/>
    <xf numFmtId="10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208" fontId="107" fillId="0" borderId="0">
      <protection locked="0"/>
    </xf>
    <xf numFmtId="208" fontId="107" fillId="0" borderId="0">
      <protection locked="0"/>
    </xf>
    <xf numFmtId="9" fontId="96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75" fillId="0" borderId="0" applyFont="0" applyFill="0" applyBorder="0" applyAlignment="0" applyProtection="0"/>
    <xf numFmtId="10" fontId="75" fillId="0" borderId="0" applyFont="0" applyFill="0" applyBorder="0" applyAlignment="0" applyProtection="0"/>
    <xf numFmtId="3" fontId="78" fillId="0" borderId="0" applyFont="0" applyFill="0" applyBorder="0" applyAlignment="0" applyProtection="0"/>
    <xf numFmtId="4" fontId="108" fillId="78" borderId="74" applyBorder="0" applyProtection="0"/>
    <xf numFmtId="4" fontId="108" fillId="78" borderId="74" applyBorder="0" applyProtection="0"/>
    <xf numFmtId="4" fontId="108" fillId="78" borderId="74" applyBorder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0" fontId="106" fillId="72" borderId="73" applyNumberFormat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180" fontId="76" fillId="0" borderId="0" applyFont="0" applyFill="0" applyBorder="0" applyAlignment="0" applyProtection="0"/>
    <xf numFmtId="208" fontId="109" fillId="0" borderId="0">
      <protection locked="0"/>
    </xf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4" fontId="76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99" fillId="0" borderId="0" applyFont="0" applyFill="0" applyBorder="0" applyAlignment="0" applyProtection="0"/>
    <xf numFmtId="183" fontId="99" fillId="0" borderId="0" applyFont="0" applyFill="0" applyBorder="0" applyAlignment="0" applyProtection="0"/>
    <xf numFmtId="183" fontId="47" fillId="0" borderId="0">
      <protection locked="0"/>
    </xf>
    <xf numFmtId="183" fontId="47" fillId="0" borderId="0">
      <protection locked="0"/>
    </xf>
    <xf numFmtId="182" fontId="99" fillId="0" borderId="0" applyFont="0" applyFill="0" applyBorder="0" applyAlignment="0" applyProtection="0"/>
    <xf numFmtId="183" fontId="99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0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63" fillId="0" borderId="0" applyFont="0" applyFill="0" applyBorder="0" applyAlignment="0" applyProtection="0"/>
    <xf numFmtId="182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182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182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182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4" fontId="76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183" fontId="75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76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76" fillId="0" borderId="0" applyFont="0" applyFill="0" applyBorder="0" applyAlignment="0" applyProtection="0"/>
    <xf numFmtId="183" fontId="76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101" fillId="0" borderId="0" applyFont="0" applyFill="0" applyBorder="0" applyAlignment="0" applyProtection="0"/>
    <xf numFmtId="183" fontId="101" fillId="0" borderId="0" applyFont="0" applyFill="0" applyBorder="0" applyAlignment="0" applyProtection="0"/>
    <xf numFmtId="183" fontId="76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99" fillId="0" borderId="0" applyFont="0" applyFill="0" applyBorder="0" applyAlignment="0" applyProtection="0"/>
    <xf numFmtId="183" fontId="99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2" fontId="99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3" fontId="99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99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99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77" fillId="0" borderId="0"/>
    <xf numFmtId="0" fontId="97" fillId="0" borderId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4" fillId="0" borderId="75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88" fillId="0" borderId="69" applyNumberFormat="0" applyFill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5" fillId="72" borderId="0">
      <alignment horizontal="left" indent="1"/>
    </xf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90" fillId="0" borderId="71" applyNumberFormat="0" applyFill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208" fontId="117" fillId="0" borderId="0">
      <protection locked="0"/>
    </xf>
    <xf numFmtId="208" fontId="117" fillId="0" borderId="0">
      <protection locked="0"/>
    </xf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80" fillId="0" borderId="77" applyNumberForma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69" fillId="0" borderId="76" applyNumberFormat="0" applyFont="0" applyFill="0" applyAlignment="0" applyProtection="0"/>
    <xf numFmtId="0" fontId="80" fillId="0" borderId="77" applyNumberFormat="0" applyFill="0" applyAlignment="0" applyProtection="0"/>
    <xf numFmtId="0" fontId="80" fillId="0" borderId="77" applyNumberFormat="0" applyFill="0" applyAlignment="0" applyProtection="0"/>
    <xf numFmtId="0" fontId="80" fillId="0" borderId="77" applyNumberFormat="0" applyFill="0" applyAlignment="0" applyProtection="0"/>
    <xf numFmtId="0" fontId="80" fillId="0" borderId="77" applyNumberFormat="0" applyFill="0" applyAlignment="0" applyProtection="0"/>
    <xf numFmtId="0" fontId="80" fillId="0" borderId="77" applyNumberFormat="0" applyFill="0" applyAlignment="0" applyProtection="0"/>
    <xf numFmtId="0" fontId="80" fillId="0" borderId="77" applyNumberFormat="0" applyFill="0" applyAlignment="0" applyProtection="0"/>
    <xf numFmtId="0" fontId="69" fillId="0" borderId="76" applyNumberFormat="0" applyFont="0" applyFill="0" applyAlignment="0" applyProtection="0"/>
    <xf numFmtId="183" fontId="103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86" fillId="0" borderId="0" applyFont="0" applyFill="0" applyBorder="0" applyAlignment="0" applyProtection="0"/>
    <xf numFmtId="182" fontId="86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86" fillId="0" borderId="0" applyFont="0" applyFill="0" applyBorder="0" applyAlignment="0" applyProtection="0"/>
    <xf numFmtId="182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0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0" fillId="0" borderId="0" applyFont="0" applyFill="0" applyBorder="0" applyAlignment="0" applyProtection="0"/>
    <xf numFmtId="182" fontId="47" fillId="0" borderId="0" applyFont="0" applyFill="0" applyBorder="0" applyAlignment="0" applyProtection="0"/>
    <xf numFmtId="183" fontId="0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0" fontId="111" fillId="0" borderId="0" applyNumberFormat="0" applyFill="0" applyBorder="0" applyAlignment="0" applyProtection="0"/>
    <xf numFmtId="210" fontId="118" fillId="0" borderId="0"/>
  </cellStyleXfs>
  <cellXfs count="156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211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211" fontId="2" fillId="0" borderId="5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 indent="1"/>
    </xf>
    <xf numFmtId="211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 indent="1"/>
    </xf>
    <xf numFmtId="211" fontId="2" fillId="0" borderId="6" xfId="0" applyNumberFormat="1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0" xfId="0" applyFont="1"/>
    <xf numFmtId="2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211" fontId="4" fillId="0" borderId="4" xfId="0" applyNumberFormat="1" applyFont="1" applyBorder="1" applyAlignment="1">
      <alignment horizontal="right" vertical="center"/>
    </xf>
    <xf numFmtId="2" fontId="4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211" fontId="2" fillId="0" borderId="4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4" borderId="0" xfId="0" applyFont="1" applyFill="1"/>
    <xf numFmtId="0" fontId="5" fillId="0" borderId="0" xfId="0" applyFont="1"/>
    <xf numFmtId="0" fontId="5" fillId="3" borderId="0" xfId="0" applyFont="1" applyFill="1"/>
    <xf numFmtId="0" fontId="7" fillId="3" borderId="0" xfId="0" applyFont="1" applyFill="1"/>
    <xf numFmtId="0" fontId="7" fillId="0" borderId="0" xfId="0" applyFont="1"/>
    <xf numFmtId="0" fontId="6" fillId="4" borderId="0" xfId="0" applyFont="1" applyFill="1" applyAlignment="1">
      <alignment vertical="center"/>
    </xf>
    <xf numFmtId="4" fontId="0" fillId="0" borderId="0" xfId="0" applyNumberFormat="1"/>
    <xf numFmtId="4" fontId="0" fillId="0" borderId="0" xfId="0" applyNumberFormat="1" applyAlignment="1">
      <alignment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9" fillId="5" borderId="11" xfId="0" applyFont="1" applyFill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5" borderId="0" xfId="0" applyFont="1" applyFill="1" applyAlignment="1">
      <alignment horizontal="left" vertical="center"/>
    </xf>
    <xf numFmtId="0" fontId="9" fillId="5" borderId="14" xfId="0" applyFont="1" applyFill="1" applyBorder="1" applyAlignment="1">
      <alignment horizontal="left" vertical="center"/>
    </xf>
    <xf numFmtId="2" fontId="9" fillId="5" borderId="0" xfId="0" applyNumberFormat="1" applyFont="1" applyFill="1" applyAlignment="1">
      <alignment vertical="center"/>
    </xf>
    <xf numFmtId="0" fontId="9" fillId="5" borderId="0" xfId="0" applyFont="1" applyFill="1" applyAlignment="1">
      <alignment vertical="center"/>
    </xf>
    <xf numFmtId="4" fontId="9" fillId="5" borderId="0" xfId="0" applyNumberFormat="1" applyFont="1" applyFill="1" applyAlignment="1">
      <alignment horizontal="left" vertical="center"/>
    </xf>
    <xf numFmtId="212" fontId="10" fillId="5" borderId="0" xfId="0" applyNumberFormat="1" applyFont="1" applyFill="1" applyAlignment="1">
      <alignment horizontal="center" vertical="center"/>
    </xf>
    <xf numFmtId="2" fontId="9" fillId="0" borderId="0" xfId="0" applyNumberFormat="1" applyFont="1" applyAlignment="1">
      <alignment horizontal="left" vertical="center"/>
    </xf>
    <xf numFmtId="2" fontId="9" fillId="0" borderId="14" xfId="0" applyNumberFormat="1" applyFont="1" applyBorder="1" applyAlignment="1">
      <alignment horizontal="left" vertical="center"/>
    </xf>
    <xf numFmtId="2" fontId="9" fillId="5" borderId="0" xfId="0" applyNumberFormat="1" applyFont="1" applyFill="1" applyAlignment="1">
      <alignment horizontal="left" vertical="center"/>
    </xf>
    <xf numFmtId="2" fontId="9" fillId="0" borderId="0" xfId="0" applyNumberFormat="1" applyFont="1" applyAlignment="1">
      <alignment vertical="center"/>
    </xf>
    <xf numFmtId="0" fontId="0" fillId="0" borderId="14" xfId="0" applyBorder="1"/>
    <xf numFmtId="10" fontId="9" fillId="5" borderId="0" xfId="0" applyNumberFormat="1" applyFont="1" applyFill="1" applyAlignment="1">
      <alignment horizontal="center" vertical="center"/>
    </xf>
    <xf numFmtId="1" fontId="9" fillId="5" borderId="0" xfId="0" applyNumberFormat="1" applyFont="1" applyFill="1" applyAlignment="1">
      <alignment horizontal="center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9" fillId="5" borderId="16" xfId="0" applyFont="1" applyFill="1" applyBorder="1" applyAlignment="1">
      <alignment horizontal="left" vertical="center"/>
    </xf>
    <xf numFmtId="0" fontId="0" fillId="0" borderId="16" xfId="0" applyBorder="1"/>
    <xf numFmtId="4" fontId="0" fillId="0" borderId="16" xfId="0" applyNumberFormat="1" applyBorder="1"/>
    <xf numFmtId="0" fontId="0" fillId="0" borderId="17" xfId="0" applyBorder="1"/>
    <xf numFmtId="0" fontId="9" fillId="0" borderId="18" xfId="0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 wrapText="1"/>
    </xf>
    <xf numFmtId="4" fontId="8" fillId="0" borderId="18" xfId="0" applyNumberFormat="1" applyFont="1" applyBorder="1" applyAlignment="1">
      <alignment horizontal="center" vertical="center" wrapText="1"/>
    </xf>
    <xf numFmtId="4" fontId="8" fillId="0" borderId="20" xfId="0" applyNumberFormat="1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1" fontId="8" fillId="3" borderId="19" xfId="0" applyNumberFormat="1" applyFont="1" applyFill="1" applyBorder="1" applyAlignment="1">
      <alignment horizontal="center" vertical="center" wrapText="1"/>
    </xf>
    <xf numFmtId="1" fontId="8" fillId="3" borderId="18" xfId="0" applyNumberFormat="1" applyFont="1" applyFill="1" applyBorder="1" applyAlignment="1">
      <alignment horizontal="center" vertical="center" wrapText="1"/>
    </xf>
    <xf numFmtId="1" fontId="8" fillId="3" borderId="20" xfId="0" applyNumberFormat="1" applyFont="1" applyFill="1" applyBorder="1" applyAlignment="1">
      <alignment horizontal="center" vertical="center" wrapText="1"/>
    </xf>
    <xf numFmtId="213" fontId="9" fillId="3" borderId="19" xfId="0" applyNumberFormat="1" applyFont="1" applyFill="1" applyBorder="1" applyAlignment="1">
      <alignment horizontal="center" vertical="center" wrapText="1"/>
    </xf>
    <xf numFmtId="213" fontId="9" fillId="3" borderId="18" xfId="0" applyNumberFormat="1" applyFont="1" applyFill="1" applyBorder="1" applyAlignment="1">
      <alignment horizontal="center" vertical="center" wrapText="1"/>
    </xf>
    <xf numFmtId="213" fontId="9" fillId="3" borderId="20" xfId="0" applyNumberFormat="1" applyFont="1" applyFill="1" applyBorder="1" applyAlignment="1">
      <alignment horizontal="center" vertical="center" wrapText="1"/>
    </xf>
    <xf numFmtId="17" fontId="12" fillId="3" borderId="19" xfId="0" applyNumberFormat="1" applyFont="1" applyFill="1" applyBorder="1" applyAlignment="1">
      <alignment horizontal="center" vertical="center" wrapText="1"/>
    </xf>
    <xf numFmtId="17" fontId="12" fillId="3" borderId="18" xfId="0" applyNumberFormat="1" applyFont="1" applyFill="1" applyBorder="1" applyAlignment="1">
      <alignment horizontal="center" vertical="center" wrapText="1"/>
    </xf>
    <xf numFmtId="17" fontId="12" fillId="3" borderId="20" xfId="0" applyNumberFormat="1" applyFont="1" applyFill="1" applyBorder="1" applyAlignment="1">
      <alignment horizontal="center" vertical="center" wrapText="1"/>
    </xf>
    <xf numFmtId="214" fontId="12" fillId="3" borderId="19" xfId="0" applyNumberFormat="1" applyFont="1" applyFill="1" applyBorder="1" applyAlignment="1">
      <alignment horizontal="center" vertical="center" wrapText="1"/>
    </xf>
    <xf numFmtId="214" fontId="12" fillId="3" borderId="18" xfId="0" applyNumberFormat="1" applyFont="1" applyFill="1" applyBorder="1" applyAlignment="1">
      <alignment horizontal="center" vertical="center" wrapText="1"/>
    </xf>
    <xf numFmtId="214" fontId="12" fillId="3" borderId="20" xfId="0" applyNumberFormat="1" applyFont="1" applyFill="1" applyBorder="1" applyAlignment="1">
      <alignment horizontal="center" vertical="center" wrapText="1"/>
    </xf>
    <xf numFmtId="2" fontId="9" fillId="3" borderId="19" xfId="0" applyNumberFormat="1" applyFont="1" applyFill="1" applyBorder="1" applyAlignment="1">
      <alignment horizontal="center" vertical="center" wrapText="1"/>
    </xf>
    <xf numFmtId="2" fontId="9" fillId="3" borderId="18" xfId="0" applyNumberFormat="1" applyFont="1" applyFill="1" applyBorder="1" applyAlignment="1">
      <alignment horizontal="center" vertical="center" wrapText="1"/>
    </xf>
    <xf numFmtId="2" fontId="9" fillId="3" borderId="20" xfId="0" applyNumberFormat="1" applyFont="1" applyFill="1" applyBorder="1" applyAlignment="1">
      <alignment horizontal="center" vertical="center" wrapText="1"/>
    </xf>
    <xf numFmtId="4" fontId="9" fillId="3" borderId="19" xfId="0" applyNumberFormat="1" applyFont="1" applyFill="1" applyBorder="1" applyAlignment="1">
      <alignment horizontal="center" vertical="center" wrapText="1"/>
    </xf>
    <xf numFmtId="4" fontId="9" fillId="3" borderId="18" xfId="0" applyNumberFormat="1" applyFont="1" applyFill="1" applyBorder="1" applyAlignment="1">
      <alignment horizontal="center" vertical="center" wrapText="1"/>
    </xf>
    <xf numFmtId="4" fontId="9" fillId="3" borderId="20" xfId="0" applyNumberFormat="1" applyFont="1" applyFill="1" applyBorder="1" applyAlignment="1">
      <alignment horizontal="center" vertical="center" wrapText="1"/>
    </xf>
    <xf numFmtId="2" fontId="9" fillId="3" borderId="21" xfId="0" applyNumberFormat="1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left" vertical="center"/>
    </xf>
    <xf numFmtId="0" fontId="13" fillId="3" borderId="18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left" vertical="center"/>
    </xf>
    <xf numFmtId="1" fontId="13" fillId="3" borderId="19" xfId="0" applyNumberFormat="1" applyFont="1" applyFill="1" applyBorder="1" applyAlignment="1">
      <alignment horizontal="center" vertical="center" wrapText="1"/>
    </xf>
    <xf numFmtId="1" fontId="13" fillId="3" borderId="18" xfId="0" applyNumberFormat="1" applyFont="1" applyFill="1" applyBorder="1" applyAlignment="1">
      <alignment horizontal="center" vertical="center" wrapText="1"/>
    </xf>
    <xf numFmtId="1" fontId="13" fillId="3" borderId="20" xfId="0" applyNumberFormat="1" applyFont="1" applyFill="1" applyBorder="1" applyAlignment="1">
      <alignment horizontal="center" vertical="center" wrapText="1"/>
    </xf>
    <xf numFmtId="213" fontId="13" fillId="3" borderId="19" xfId="0" applyNumberFormat="1" applyFont="1" applyFill="1" applyBorder="1" applyAlignment="1">
      <alignment horizontal="center" vertical="center" wrapText="1"/>
    </xf>
    <xf numFmtId="213" fontId="13" fillId="3" borderId="18" xfId="0" applyNumberFormat="1" applyFont="1" applyFill="1" applyBorder="1" applyAlignment="1">
      <alignment horizontal="center" vertical="center" wrapText="1"/>
    </xf>
    <xf numFmtId="213" fontId="13" fillId="3" borderId="20" xfId="0" applyNumberFormat="1" applyFont="1" applyFill="1" applyBorder="1" applyAlignment="1">
      <alignment horizontal="center" vertical="center" wrapText="1"/>
    </xf>
    <xf numFmtId="17" fontId="13" fillId="3" borderId="19" xfId="0" applyNumberFormat="1" applyFont="1" applyFill="1" applyBorder="1" applyAlignment="1">
      <alignment horizontal="center" vertical="center" wrapText="1"/>
    </xf>
    <xf numFmtId="17" fontId="13" fillId="3" borderId="18" xfId="0" applyNumberFormat="1" applyFont="1" applyFill="1" applyBorder="1" applyAlignment="1">
      <alignment horizontal="center" vertical="center" wrapText="1"/>
    </xf>
    <xf numFmtId="17" fontId="13" fillId="3" borderId="20" xfId="0" applyNumberFormat="1" applyFont="1" applyFill="1" applyBorder="1" applyAlignment="1">
      <alignment horizontal="center" vertical="center" wrapText="1"/>
    </xf>
    <xf numFmtId="214" fontId="13" fillId="3" borderId="19" xfId="0" applyNumberFormat="1" applyFont="1" applyFill="1" applyBorder="1" applyAlignment="1">
      <alignment horizontal="center" vertical="center" wrapText="1"/>
    </xf>
    <xf numFmtId="214" fontId="13" fillId="3" borderId="18" xfId="0" applyNumberFormat="1" applyFont="1" applyFill="1" applyBorder="1" applyAlignment="1">
      <alignment horizontal="center" vertical="center" wrapText="1"/>
    </xf>
    <xf numFmtId="214" fontId="13" fillId="3" borderId="20" xfId="0" applyNumberFormat="1" applyFont="1" applyFill="1" applyBorder="1" applyAlignment="1">
      <alignment horizontal="center" vertical="center" wrapText="1"/>
    </xf>
    <xf numFmtId="2" fontId="13" fillId="3" borderId="19" xfId="0" applyNumberFormat="1" applyFont="1" applyFill="1" applyBorder="1" applyAlignment="1">
      <alignment horizontal="center" vertical="center" wrapText="1"/>
    </xf>
    <xf numFmtId="2" fontId="13" fillId="3" borderId="18" xfId="0" applyNumberFormat="1" applyFont="1" applyFill="1" applyBorder="1" applyAlignment="1">
      <alignment horizontal="center" vertical="center" wrapText="1"/>
    </xf>
    <xf numFmtId="2" fontId="13" fillId="3" borderId="20" xfId="0" applyNumberFormat="1" applyFont="1" applyFill="1" applyBorder="1" applyAlignment="1">
      <alignment horizontal="center" vertical="center" wrapText="1"/>
    </xf>
    <xf numFmtId="213" fontId="13" fillId="3" borderId="0" xfId="0" applyNumberFormat="1" applyFont="1" applyFill="1" applyAlignment="1">
      <alignment horizontal="center" vertical="center"/>
    </xf>
    <xf numFmtId="4" fontId="13" fillId="3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1" fontId="13" fillId="0" borderId="19" xfId="0" applyNumberFormat="1" applyFont="1" applyBorder="1" applyAlignment="1">
      <alignment horizontal="center" vertical="center" wrapText="1"/>
    </xf>
    <xf numFmtId="1" fontId="13" fillId="0" borderId="18" xfId="0" applyNumberFormat="1" applyFont="1" applyBorder="1" applyAlignment="1">
      <alignment horizontal="center" vertical="center" wrapText="1"/>
    </xf>
    <xf numFmtId="1" fontId="13" fillId="0" borderId="20" xfId="0" applyNumberFormat="1" applyFont="1" applyBorder="1" applyAlignment="1">
      <alignment horizontal="center" vertical="center" wrapText="1"/>
    </xf>
    <xf numFmtId="213" fontId="13" fillId="0" borderId="19" xfId="0" applyNumberFormat="1" applyFont="1" applyBorder="1" applyAlignment="1">
      <alignment horizontal="center" vertical="center" wrapText="1"/>
    </xf>
    <xf numFmtId="213" fontId="13" fillId="0" borderId="18" xfId="0" applyNumberFormat="1" applyFont="1" applyBorder="1" applyAlignment="1">
      <alignment horizontal="center" vertical="center" wrapText="1"/>
    </xf>
    <xf numFmtId="213" fontId="13" fillId="0" borderId="20" xfId="0" applyNumberFormat="1" applyFont="1" applyBorder="1" applyAlignment="1">
      <alignment horizontal="center" vertical="center" wrapText="1"/>
    </xf>
    <xf numFmtId="2" fontId="13" fillId="0" borderId="19" xfId="0" applyNumberFormat="1" applyFont="1" applyBorder="1" applyAlignment="1">
      <alignment horizontal="center" vertical="center" wrapText="1"/>
    </xf>
    <xf numFmtId="2" fontId="13" fillId="0" borderId="18" xfId="0" applyNumberFormat="1" applyFont="1" applyBorder="1" applyAlignment="1">
      <alignment horizontal="center" vertical="center" wrapText="1"/>
    </xf>
    <xf numFmtId="2" fontId="13" fillId="0" borderId="20" xfId="0" applyNumberFormat="1" applyFont="1" applyBorder="1" applyAlignment="1">
      <alignment horizontal="center" vertical="center" wrapText="1"/>
    </xf>
    <xf numFmtId="4" fontId="13" fillId="0" borderId="19" xfId="0" applyNumberFormat="1" applyFont="1" applyBorder="1" applyAlignment="1">
      <alignment horizontal="center" vertical="center" wrapText="1"/>
    </xf>
    <xf numFmtId="4" fontId="13" fillId="0" borderId="18" xfId="0" applyNumberFormat="1" applyFont="1" applyBorder="1" applyAlignment="1">
      <alignment horizontal="center" vertical="center" wrapText="1"/>
    </xf>
    <xf numFmtId="4" fontId="13" fillId="0" borderId="20" xfId="0" applyNumberFormat="1" applyFont="1" applyBorder="1" applyAlignment="1">
      <alignment horizontal="center" vertical="center" wrapText="1"/>
    </xf>
    <xf numFmtId="2" fontId="13" fillId="0" borderId="21" xfId="0" applyNumberFormat="1" applyFont="1" applyBorder="1" applyAlignment="1">
      <alignment horizontal="center" vertical="center" wrapText="1"/>
    </xf>
    <xf numFmtId="213" fontId="13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left" vertical="center"/>
    </xf>
    <xf numFmtId="1" fontId="12" fillId="4" borderId="19" xfId="0" applyNumberFormat="1" applyFont="1" applyFill="1" applyBorder="1" applyAlignment="1">
      <alignment horizontal="center" vertical="center" wrapText="1"/>
    </xf>
    <xf numFmtId="1" fontId="12" fillId="4" borderId="18" xfId="0" applyNumberFormat="1" applyFont="1" applyFill="1" applyBorder="1" applyAlignment="1">
      <alignment horizontal="center" vertical="center" wrapText="1"/>
    </xf>
    <xf numFmtId="1" fontId="12" fillId="4" borderId="20" xfId="0" applyNumberFormat="1" applyFont="1" applyFill="1" applyBorder="1" applyAlignment="1">
      <alignment horizontal="center" vertical="center" wrapText="1"/>
    </xf>
    <xf numFmtId="213" fontId="12" fillId="4" borderId="19" xfId="0" applyNumberFormat="1" applyFont="1" applyFill="1" applyBorder="1" applyAlignment="1">
      <alignment horizontal="center" vertical="center" wrapText="1"/>
    </xf>
    <xf numFmtId="213" fontId="12" fillId="4" borderId="18" xfId="0" applyNumberFormat="1" applyFont="1" applyFill="1" applyBorder="1" applyAlignment="1">
      <alignment horizontal="center" vertical="center" wrapText="1"/>
    </xf>
    <xf numFmtId="213" fontId="12" fillId="4" borderId="20" xfId="0" applyNumberFormat="1" applyFont="1" applyFill="1" applyBorder="1" applyAlignment="1">
      <alignment horizontal="center" vertical="center" wrapText="1"/>
    </xf>
    <xf numFmtId="17" fontId="12" fillId="4" borderId="19" xfId="0" applyNumberFormat="1" applyFont="1" applyFill="1" applyBorder="1" applyAlignment="1">
      <alignment horizontal="center" vertical="center" wrapText="1"/>
    </xf>
    <xf numFmtId="17" fontId="12" fillId="4" borderId="18" xfId="0" applyNumberFormat="1" applyFont="1" applyFill="1" applyBorder="1" applyAlignment="1">
      <alignment horizontal="center" vertical="center" wrapText="1"/>
    </xf>
    <xf numFmtId="17" fontId="12" fillId="4" borderId="20" xfId="0" applyNumberFormat="1" applyFont="1" applyFill="1" applyBorder="1" applyAlignment="1">
      <alignment horizontal="center" vertical="center" wrapText="1"/>
    </xf>
    <xf numFmtId="214" fontId="12" fillId="4" borderId="19" xfId="0" applyNumberFormat="1" applyFont="1" applyFill="1" applyBorder="1" applyAlignment="1">
      <alignment horizontal="center" vertical="center" wrapText="1"/>
    </xf>
    <xf numFmtId="214" fontId="12" fillId="4" borderId="18" xfId="0" applyNumberFormat="1" applyFont="1" applyFill="1" applyBorder="1" applyAlignment="1">
      <alignment horizontal="center" vertical="center" wrapText="1"/>
    </xf>
    <xf numFmtId="214" fontId="12" fillId="4" borderId="20" xfId="0" applyNumberFormat="1" applyFont="1" applyFill="1" applyBorder="1" applyAlignment="1">
      <alignment horizontal="center" vertical="center" wrapText="1"/>
    </xf>
    <xf numFmtId="2" fontId="12" fillId="4" borderId="19" xfId="0" applyNumberFormat="1" applyFont="1" applyFill="1" applyBorder="1" applyAlignment="1">
      <alignment horizontal="center" vertical="center" wrapText="1"/>
    </xf>
    <xf numFmtId="2" fontId="12" fillId="4" borderId="18" xfId="0" applyNumberFormat="1" applyFont="1" applyFill="1" applyBorder="1" applyAlignment="1">
      <alignment horizontal="center" vertical="center" wrapText="1"/>
    </xf>
    <xf numFmtId="2" fontId="12" fillId="4" borderId="20" xfId="0" applyNumberFormat="1" applyFont="1" applyFill="1" applyBorder="1" applyAlignment="1">
      <alignment horizontal="center" vertical="center" wrapText="1"/>
    </xf>
    <xf numFmtId="2" fontId="12" fillId="4" borderId="21" xfId="0" applyNumberFormat="1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left" vertical="center"/>
    </xf>
    <xf numFmtId="2" fontId="14" fillId="3" borderId="19" xfId="0" applyNumberFormat="1" applyFont="1" applyFill="1" applyBorder="1" applyAlignment="1">
      <alignment horizontal="center" vertical="center" wrapText="1"/>
    </xf>
    <xf numFmtId="2" fontId="14" fillId="3" borderId="18" xfId="0" applyNumberFormat="1" applyFont="1" applyFill="1" applyBorder="1" applyAlignment="1">
      <alignment horizontal="center" vertical="center" wrapText="1"/>
    </xf>
    <xf numFmtId="2" fontId="14" fillId="3" borderId="20" xfId="0" applyNumberFormat="1" applyFont="1" applyFill="1" applyBorder="1" applyAlignment="1">
      <alignment horizontal="center" vertical="center" wrapText="1"/>
    </xf>
    <xf numFmtId="4" fontId="14" fillId="3" borderId="19" xfId="0" applyNumberFormat="1" applyFont="1" applyFill="1" applyBorder="1" applyAlignment="1">
      <alignment horizontal="center" vertical="center" wrapText="1"/>
    </xf>
    <xf numFmtId="4" fontId="14" fillId="3" borderId="18" xfId="0" applyNumberFormat="1" applyFont="1" applyFill="1" applyBorder="1" applyAlignment="1">
      <alignment horizontal="center" vertical="center" wrapText="1"/>
    </xf>
    <xf numFmtId="4" fontId="14" fillId="3" borderId="20" xfId="0" applyNumberFormat="1" applyFont="1" applyFill="1" applyBorder="1" applyAlignment="1">
      <alignment horizontal="center" vertical="center" wrapText="1"/>
    </xf>
    <xf numFmtId="2" fontId="13" fillId="3" borderId="21" xfId="0" applyNumberFormat="1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left" vertical="center"/>
    </xf>
    <xf numFmtId="1" fontId="12" fillId="3" borderId="19" xfId="0" applyNumberFormat="1" applyFont="1" applyFill="1" applyBorder="1" applyAlignment="1">
      <alignment horizontal="center" vertical="center" wrapText="1"/>
    </xf>
    <xf numFmtId="1" fontId="12" fillId="3" borderId="18" xfId="0" applyNumberFormat="1" applyFont="1" applyFill="1" applyBorder="1" applyAlignment="1">
      <alignment horizontal="center" vertical="center" wrapText="1"/>
    </xf>
    <xf numFmtId="1" fontId="12" fillId="3" borderId="20" xfId="0" applyNumberFormat="1" applyFont="1" applyFill="1" applyBorder="1" applyAlignment="1">
      <alignment horizontal="center" vertical="center" wrapText="1"/>
    </xf>
    <xf numFmtId="17" fontId="9" fillId="0" borderId="19" xfId="0" applyNumberFormat="1" applyFont="1" applyBorder="1" applyAlignment="1">
      <alignment horizontal="center" vertical="center" wrapText="1"/>
    </xf>
    <xf numFmtId="17" fontId="9" fillId="0" borderId="18" xfId="0" applyNumberFormat="1" applyFont="1" applyBorder="1" applyAlignment="1">
      <alignment horizontal="center" vertical="center" wrapText="1"/>
    </xf>
    <xf numFmtId="17" fontId="9" fillId="0" borderId="20" xfId="0" applyNumberFormat="1" applyFont="1" applyBorder="1" applyAlignment="1">
      <alignment horizontal="center" vertical="center" wrapText="1"/>
    </xf>
    <xf numFmtId="214" fontId="9" fillId="0" borderId="19" xfId="0" applyNumberFormat="1" applyFont="1" applyBorder="1" applyAlignment="1">
      <alignment horizontal="center" vertical="center" wrapText="1"/>
    </xf>
    <xf numFmtId="214" fontId="9" fillId="0" borderId="18" xfId="0" applyNumberFormat="1" applyFont="1" applyBorder="1" applyAlignment="1">
      <alignment horizontal="center" vertical="center" wrapText="1"/>
    </xf>
    <xf numFmtId="214" fontId="9" fillId="0" borderId="20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1" fontId="9" fillId="0" borderId="19" xfId="0" applyNumberFormat="1" applyFont="1" applyBorder="1" applyAlignment="1">
      <alignment horizontal="center" vertical="center" wrapText="1"/>
    </xf>
    <xf numFmtId="1" fontId="9" fillId="0" borderId="18" xfId="0" applyNumberFormat="1" applyFont="1" applyBorder="1" applyAlignment="1">
      <alignment horizontal="center" vertical="center" wrapText="1"/>
    </xf>
    <xf numFmtId="1" fontId="9" fillId="0" borderId="20" xfId="0" applyNumberFormat="1" applyFont="1" applyBorder="1" applyAlignment="1">
      <alignment horizontal="center" vertical="center" wrapText="1"/>
    </xf>
    <xf numFmtId="213" fontId="9" fillId="0" borderId="19" xfId="0" applyNumberFormat="1" applyFont="1" applyBorder="1" applyAlignment="1">
      <alignment horizontal="center" vertical="center" wrapText="1"/>
    </xf>
    <xf numFmtId="213" fontId="9" fillId="0" borderId="18" xfId="0" applyNumberFormat="1" applyFont="1" applyBorder="1" applyAlignment="1">
      <alignment horizontal="center" vertical="center" wrapText="1"/>
    </xf>
    <xf numFmtId="213" fontId="9" fillId="0" borderId="20" xfId="0" applyNumberFormat="1" applyFont="1" applyBorder="1" applyAlignment="1">
      <alignment horizontal="center" vertical="center" wrapText="1"/>
    </xf>
    <xf numFmtId="2" fontId="9" fillId="0" borderId="19" xfId="0" applyNumberFormat="1" applyFont="1" applyBorder="1" applyAlignment="1">
      <alignment horizontal="center" vertical="center" wrapText="1"/>
    </xf>
    <xf numFmtId="2" fontId="9" fillId="0" borderId="18" xfId="0" applyNumberFormat="1" applyFont="1" applyBorder="1" applyAlignment="1">
      <alignment horizontal="center" vertical="center" wrapText="1"/>
    </xf>
    <xf numFmtId="2" fontId="9" fillId="0" borderId="20" xfId="0" applyNumberFormat="1" applyFont="1" applyBorder="1" applyAlignment="1">
      <alignment horizontal="center" vertical="center" wrapText="1"/>
    </xf>
    <xf numFmtId="4" fontId="9" fillId="0" borderId="19" xfId="0" applyNumberFormat="1" applyFont="1" applyBorder="1" applyAlignment="1">
      <alignment horizontal="center" vertical="center" wrapText="1"/>
    </xf>
    <xf numFmtId="4" fontId="9" fillId="0" borderId="18" xfId="0" applyNumberFormat="1" applyFont="1" applyBorder="1" applyAlignment="1">
      <alignment horizontal="center" vertical="center" wrapText="1"/>
    </xf>
    <xf numFmtId="4" fontId="9" fillId="0" borderId="20" xfId="0" applyNumberFormat="1" applyFont="1" applyBorder="1" applyAlignment="1">
      <alignment horizontal="center" vertical="center" wrapText="1"/>
    </xf>
    <xf numFmtId="2" fontId="9" fillId="0" borderId="21" xfId="0" applyNumberFormat="1" applyFont="1" applyBorder="1" applyAlignment="1">
      <alignment horizontal="center" vertical="center" wrapText="1"/>
    </xf>
    <xf numFmtId="21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4" fontId="13" fillId="3" borderId="19" xfId="0" applyNumberFormat="1" applyFont="1" applyFill="1" applyBorder="1" applyAlignment="1">
      <alignment horizontal="center" vertical="center" wrapText="1"/>
    </xf>
    <xf numFmtId="4" fontId="13" fillId="3" borderId="18" xfId="0" applyNumberFormat="1" applyFont="1" applyFill="1" applyBorder="1" applyAlignment="1">
      <alignment horizontal="center" vertical="center" wrapText="1"/>
    </xf>
    <xf numFmtId="4" fontId="13" fillId="3" borderId="20" xfId="0" applyNumberFormat="1" applyFont="1" applyFill="1" applyBorder="1" applyAlignment="1">
      <alignment horizontal="center" vertical="center" wrapText="1"/>
    </xf>
    <xf numFmtId="2" fontId="8" fillId="4" borderId="21" xfId="0" applyNumberFormat="1" applyFont="1" applyFill="1" applyBorder="1" applyAlignment="1">
      <alignment horizontal="center" vertical="center" wrapText="1"/>
    </xf>
    <xf numFmtId="213" fontId="8" fillId="4" borderId="19" xfId="0" applyNumberFormat="1" applyFont="1" applyFill="1" applyBorder="1" applyAlignment="1">
      <alignment horizontal="center" vertical="center" wrapText="1"/>
    </xf>
    <xf numFmtId="213" fontId="8" fillId="4" borderId="18" xfId="0" applyNumberFormat="1" applyFont="1" applyFill="1" applyBorder="1" applyAlignment="1">
      <alignment horizontal="center" vertical="center" wrapText="1"/>
    </xf>
    <xf numFmtId="213" fontId="8" fillId="4" borderId="20" xfId="0" applyNumberFormat="1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left" vertical="center"/>
    </xf>
    <xf numFmtId="1" fontId="14" fillId="3" borderId="19" xfId="0" applyNumberFormat="1" applyFont="1" applyFill="1" applyBorder="1" applyAlignment="1">
      <alignment horizontal="center" vertical="center" wrapText="1"/>
    </xf>
    <xf numFmtId="1" fontId="14" fillId="3" borderId="18" xfId="0" applyNumberFormat="1" applyFont="1" applyFill="1" applyBorder="1" applyAlignment="1">
      <alignment horizontal="center" vertical="center" wrapText="1"/>
    </xf>
    <xf numFmtId="1" fontId="14" fillId="3" borderId="20" xfId="0" applyNumberFormat="1" applyFont="1" applyFill="1" applyBorder="1" applyAlignment="1">
      <alignment horizontal="center" vertical="center" wrapText="1"/>
    </xf>
    <xf numFmtId="213" fontId="14" fillId="3" borderId="19" xfId="0" applyNumberFormat="1" applyFont="1" applyFill="1" applyBorder="1" applyAlignment="1">
      <alignment horizontal="center" vertical="center" wrapText="1"/>
    </xf>
    <xf numFmtId="213" fontId="14" fillId="3" borderId="18" xfId="0" applyNumberFormat="1" applyFont="1" applyFill="1" applyBorder="1" applyAlignment="1">
      <alignment horizontal="center" vertical="center" wrapText="1"/>
    </xf>
    <xf numFmtId="213" fontId="14" fillId="3" borderId="20" xfId="0" applyNumberFormat="1" applyFont="1" applyFill="1" applyBorder="1" applyAlignment="1">
      <alignment horizontal="center" vertical="center" wrapText="1"/>
    </xf>
    <xf numFmtId="17" fontId="14" fillId="3" borderId="19" xfId="0" applyNumberFormat="1" applyFont="1" applyFill="1" applyBorder="1" applyAlignment="1">
      <alignment horizontal="center" vertical="center" wrapText="1"/>
    </xf>
    <xf numFmtId="17" fontId="14" fillId="3" borderId="18" xfId="0" applyNumberFormat="1" applyFont="1" applyFill="1" applyBorder="1" applyAlignment="1">
      <alignment horizontal="center" vertical="center" wrapText="1"/>
    </xf>
    <xf numFmtId="17" fontId="14" fillId="3" borderId="20" xfId="0" applyNumberFormat="1" applyFont="1" applyFill="1" applyBorder="1" applyAlignment="1">
      <alignment horizontal="center" vertical="center" wrapText="1"/>
    </xf>
    <xf numFmtId="214" fontId="14" fillId="3" borderId="19" xfId="0" applyNumberFormat="1" applyFont="1" applyFill="1" applyBorder="1" applyAlignment="1">
      <alignment horizontal="center" vertical="center" wrapText="1"/>
    </xf>
    <xf numFmtId="214" fontId="14" fillId="3" borderId="18" xfId="0" applyNumberFormat="1" applyFont="1" applyFill="1" applyBorder="1" applyAlignment="1">
      <alignment horizontal="center" vertical="center" wrapText="1"/>
    </xf>
    <xf numFmtId="214" fontId="14" fillId="3" borderId="20" xfId="0" applyNumberFormat="1" applyFont="1" applyFill="1" applyBorder="1" applyAlignment="1">
      <alignment horizontal="center" vertical="center" wrapText="1"/>
    </xf>
    <xf numFmtId="2" fontId="14" fillId="3" borderId="21" xfId="0" applyNumberFormat="1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2" fillId="3" borderId="19" xfId="0" applyFont="1" applyFill="1" applyBorder="1" applyAlignment="1">
      <alignment horizontal="left" vertical="center"/>
    </xf>
    <xf numFmtId="0" fontId="12" fillId="3" borderId="18" xfId="0" applyFont="1" applyFill="1" applyBorder="1" applyAlignment="1">
      <alignment horizontal="left" vertical="center"/>
    </xf>
    <xf numFmtId="0" fontId="12" fillId="3" borderId="20" xfId="0" applyFont="1" applyFill="1" applyBorder="1" applyAlignment="1">
      <alignment horizontal="left" vertical="center"/>
    </xf>
    <xf numFmtId="211" fontId="13" fillId="0" borderId="19" xfId="0" applyNumberFormat="1" applyFont="1" applyBorder="1" applyAlignment="1">
      <alignment horizontal="center" vertical="center" wrapText="1"/>
    </xf>
    <xf numFmtId="211" fontId="13" fillId="0" borderId="18" xfId="0" applyNumberFormat="1" applyFont="1" applyBorder="1" applyAlignment="1">
      <alignment horizontal="center" vertical="center" wrapText="1"/>
    </xf>
    <xf numFmtId="211" fontId="13" fillId="0" borderId="20" xfId="0" applyNumberFormat="1" applyFont="1" applyBorder="1" applyAlignment="1">
      <alignment horizontal="center" vertical="center" wrapText="1"/>
    </xf>
    <xf numFmtId="17" fontId="13" fillId="0" borderId="19" xfId="0" applyNumberFormat="1" applyFont="1" applyBorder="1" applyAlignment="1">
      <alignment horizontal="center" vertical="center" wrapText="1"/>
    </xf>
    <xf numFmtId="17" fontId="13" fillId="0" borderId="18" xfId="0" applyNumberFormat="1" applyFont="1" applyBorder="1" applyAlignment="1">
      <alignment horizontal="center" vertical="center" wrapText="1"/>
    </xf>
    <xf numFmtId="17" fontId="13" fillId="0" borderId="20" xfId="0" applyNumberFormat="1" applyFont="1" applyBorder="1" applyAlignment="1">
      <alignment horizontal="center" vertical="center" wrapText="1"/>
    </xf>
    <xf numFmtId="211" fontId="9" fillId="0" borderId="19" xfId="0" applyNumberFormat="1" applyFont="1" applyBorder="1" applyAlignment="1">
      <alignment horizontal="center" vertical="center" wrapText="1"/>
    </xf>
    <xf numFmtId="211" fontId="9" fillId="0" borderId="18" xfId="0" applyNumberFormat="1" applyFont="1" applyBorder="1" applyAlignment="1">
      <alignment horizontal="center" vertical="center" wrapText="1"/>
    </xf>
    <xf numFmtId="211" fontId="9" fillId="0" borderId="20" xfId="0" applyNumberFormat="1" applyFont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left" vertical="center"/>
    </xf>
    <xf numFmtId="0" fontId="14" fillId="3" borderId="18" xfId="0" applyFont="1" applyFill="1" applyBorder="1" applyAlignment="1">
      <alignment horizontal="left" vertical="center"/>
    </xf>
    <xf numFmtId="0" fontId="14" fillId="3" borderId="20" xfId="0" applyFont="1" applyFill="1" applyBorder="1" applyAlignment="1">
      <alignment horizontal="left" vertical="center"/>
    </xf>
    <xf numFmtId="215" fontId="12" fillId="3" borderId="19" xfId="0" applyNumberFormat="1" applyFont="1" applyFill="1" applyBorder="1" applyAlignment="1">
      <alignment horizontal="center" vertical="center" wrapText="1"/>
    </xf>
    <xf numFmtId="215" fontId="12" fillId="3" borderId="18" xfId="0" applyNumberFormat="1" applyFont="1" applyFill="1" applyBorder="1" applyAlignment="1">
      <alignment horizontal="center" vertical="center" wrapText="1"/>
    </xf>
    <xf numFmtId="215" fontId="12" fillId="3" borderId="20" xfId="0" applyNumberFormat="1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left" vertical="center"/>
    </xf>
    <xf numFmtId="0" fontId="12" fillId="4" borderId="18" xfId="0" applyFont="1" applyFill="1" applyBorder="1" applyAlignment="1">
      <alignment horizontal="left" vertical="center"/>
    </xf>
    <xf numFmtId="0" fontId="12" fillId="4" borderId="20" xfId="0" applyFont="1" applyFill="1" applyBorder="1" applyAlignment="1">
      <alignment horizontal="left" vertical="center"/>
    </xf>
    <xf numFmtId="215" fontId="12" fillId="4" borderId="19" xfId="0" applyNumberFormat="1" applyFont="1" applyFill="1" applyBorder="1" applyAlignment="1">
      <alignment horizontal="center" vertical="center" wrapText="1"/>
    </xf>
    <xf numFmtId="215" fontId="12" fillId="4" borderId="18" xfId="0" applyNumberFormat="1" applyFont="1" applyFill="1" applyBorder="1" applyAlignment="1">
      <alignment horizontal="center" vertical="center" wrapText="1"/>
    </xf>
    <xf numFmtId="215" fontId="12" fillId="4" borderId="20" xfId="0" applyNumberFormat="1" applyFont="1" applyFill="1" applyBorder="1" applyAlignment="1">
      <alignment horizontal="center" vertical="center" wrapText="1"/>
    </xf>
    <xf numFmtId="4" fontId="12" fillId="4" borderId="19" xfId="0" applyNumberFormat="1" applyFont="1" applyFill="1" applyBorder="1" applyAlignment="1">
      <alignment horizontal="center" vertical="center" wrapText="1"/>
    </xf>
    <xf numFmtId="4" fontId="12" fillId="4" borderId="18" xfId="0" applyNumberFormat="1" applyFont="1" applyFill="1" applyBorder="1" applyAlignment="1">
      <alignment horizontal="center" vertical="center" wrapText="1"/>
    </xf>
    <xf numFmtId="4" fontId="12" fillId="4" borderId="20" xfId="0" applyNumberFormat="1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right"/>
    </xf>
    <xf numFmtId="0" fontId="15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17" fontId="12" fillId="3" borderId="21" xfId="0" applyNumberFormat="1" applyFont="1" applyFill="1" applyBorder="1" applyAlignment="1">
      <alignment horizontal="center" vertical="center" wrapText="1"/>
    </xf>
    <xf numFmtId="214" fontId="12" fillId="3" borderId="21" xfId="0" applyNumberFormat="1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215" fontId="12" fillId="3" borderId="2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6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21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left" vertical="center"/>
    </xf>
    <xf numFmtId="216" fontId="21" fillId="0" borderId="21" xfId="0" applyNumberFormat="1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/>
    </xf>
    <xf numFmtId="216" fontId="20" fillId="0" borderId="21" xfId="0" applyNumberFormat="1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6" borderId="21" xfId="0" applyFont="1" applyFill="1" applyBorder="1" applyAlignment="1">
      <alignment horizontal="center" vertical="center"/>
    </xf>
    <xf numFmtId="0" fontId="20" fillId="6" borderId="21" xfId="0" applyFont="1" applyFill="1" applyBorder="1" applyAlignment="1">
      <alignment horizontal="left" vertical="center"/>
    </xf>
    <xf numFmtId="216" fontId="20" fillId="6" borderId="21" xfId="0" applyNumberFormat="1" applyFont="1" applyFill="1" applyBorder="1" applyAlignment="1">
      <alignment horizontal="center" vertical="center"/>
    </xf>
    <xf numFmtId="0" fontId="20" fillId="0" borderId="0" xfId="0" applyFont="1"/>
    <xf numFmtId="0" fontId="0" fillId="3" borderId="0" xfId="0" applyFont="1" applyFill="1" applyAlignment="1">
      <alignment vertical="center"/>
    </xf>
    <xf numFmtId="0" fontId="0" fillId="3" borderId="0" xfId="0" applyFont="1" applyFill="1" applyAlignment="1">
      <alignment horizontal="center"/>
    </xf>
    <xf numFmtId="0" fontId="0" fillId="3" borderId="0" xfId="0" applyFont="1" applyFill="1"/>
    <xf numFmtId="0" fontId="0" fillId="3" borderId="0" xfId="0" applyFont="1" applyFill="1" applyAlignment="1">
      <alignment wrapText="1"/>
    </xf>
    <xf numFmtId="217" fontId="0" fillId="3" borderId="0" xfId="0" applyNumberFormat="1" applyFont="1" applyFill="1" applyAlignment="1">
      <alignment horizontal="right"/>
    </xf>
    <xf numFmtId="0" fontId="5" fillId="3" borderId="18" xfId="3720" applyFont="1" applyFill="1" applyBorder="1" applyAlignment="1">
      <alignment horizontal="center"/>
    </xf>
    <xf numFmtId="0" fontId="5" fillId="3" borderId="18" xfId="3720" applyFont="1" applyFill="1" applyBorder="1" applyAlignment="1">
      <alignment horizontal="center" wrapText="1"/>
    </xf>
    <xf numFmtId="217" fontId="5" fillId="3" borderId="18" xfId="3720" applyNumberFormat="1" applyFont="1" applyFill="1" applyBorder="1" applyAlignment="1">
      <alignment horizontal="right" wrapText="1"/>
    </xf>
    <xf numFmtId="0" fontId="5" fillId="3" borderId="0" xfId="3720" applyFont="1" applyFill="1" applyAlignment="1">
      <alignment horizontal="center" vertical="center" wrapText="1"/>
    </xf>
    <xf numFmtId="0" fontId="5" fillId="3" borderId="0" xfId="3720" applyFont="1" applyFill="1" applyAlignment="1">
      <alignment horizontal="left" vertical="center" wrapText="1"/>
    </xf>
    <xf numFmtId="217" fontId="5" fillId="3" borderId="0" xfId="3720" applyNumberFormat="1" applyFont="1" applyFill="1" applyAlignment="1">
      <alignment horizontal="right" vertical="center" wrapText="1"/>
    </xf>
    <xf numFmtId="217" fontId="5" fillId="3" borderId="0" xfId="3720" applyNumberFormat="1" applyFont="1" applyFill="1" applyAlignment="1">
      <alignment horizontal="right" vertical="center"/>
    </xf>
    <xf numFmtId="0" fontId="0" fillId="3" borderId="0" xfId="3720" applyFont="1" applyFill="1" applyAlignment="1">
      <alignment horizontal="center" vertical="center" wrapText="1"/>
    </xf>
    <xf numFmtId="217" fontId="0" fillId="3" borderId="0" xfId="3720" applyNumberFormat="1" applyFont="1" applyFill="1" applyAlignment="1">
      <alignment horizontal="right" vertical="center"/>
    </xf>
    <xf numFmtId="217" fontId="5" fillId="3" borderId="0" xfId="0" applyNumberFormat="1" applyFont="1" applyFill="1" applyAlignment="1">
      <alignment horizontal="right"/>
    </xf>
    <xf numFmtId="218" fontId="0" fillId="3" borderId="0" xfId="0" applyNumberFormat="1" applyFont="1" applyFill="1" applyAlignment="1">
      <alignment vertical="center"/>
    </xf>
    <xf numFmtId="217" fontId="7" fillId="3" borderId="0" xfId="3720" applyNumberFormat="1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18" xfId="0" applyFill="1" applyBorder="1" applyAlignment="1">
      <alignment horizontal="center"/>
    </xf>
    <xf numFmtId="0" fontId="0" fillId="3" borderId="18" xfId="0" applyFill="1" applyBorder="1" applyAlignment="1">
      <alignment horizont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217" fontId="5" fillId="3" borderId="0" xfId="0" applyNumberFormat="1" applyFont="1" applyFill="1" applyAlignment="1">
      <alignment horizontal="center"/>
    </xf>
    <xf numFmtId="219" fontId="5" fillId="3" borderId="0" xfId="3" applyNumberFormat="1" applyFont="1" applyFill="1" applyAlignment="1">
      <alignment horizontal="right"/>
    </xf>
    <xf numFmtId="217" fontId="5" fillId="3" borderId="0" xfId="0" applyNumberFormat="1" applyFont="1" applyFill="1"/>
    <xf numFmtId="219" fontId="5" fillId="3" borderId="0" xfId="3" applyNumberFormat="1" applyFont="1" applyFill="1"/>
    <xf numFmtId="217" fontId="5" fillId="3" borderId="0" xfId="3" applyNumberFormat="1" applyFont="1" applyFill="1"/>
    <xf numFmtId="217" fontId="0" fillId="3" borderId="0" xfId="0" applyNumberFormat="1" applyFont="1" applyFill="1" applyAlignment="1">
      <alignment horizontal="center"/>
    </xf>
    <xf numFmtId="217" fontId="0" fillId="3" borderId="0" xfId="0" applyNumberFormat="1" applyFont="1" applyFill="1"/>
    <xf numFmtId="217" fontId="0" fillId="3" borderId="0" xfId="0" applyNumberFormat="1" applyFill="1"/>
    <xf numFmtId="0" fontId="5" fillId="3" borderId="19" xfId="3720" applyFont="1" applyFill="1" applyBorder="1" applyAlignment="1">
      <alignment horizontal="center"/>
    </xf>
    <xf numFmtId="0" fontId="0" fillId="3" borderId="18" xfId="0" applyFont="1" applyFill="1" applyBorder="1"/>
    <xf numFmtId="217" fontId="0" fillId="3" borderId="20" xfId="0" applyNumberFormat="1" applyFill="1" applyBorder="1" applyAlignment="1">
      <alignment horizontal="center"/>
    </xf>
    <xf numFmtId="217" fontId="0" fillId="3" borderId="18" xfId="0" applyNumberFormat="1" applyFill="1" applyBorder="1" applyAlignment="1">
      <alignment horizontal="center"/>
    </xf>
    <xf numFmtId="217" fontId="0" fillId="3" borderId="21" xfId="0" applyNumberFormat="1" applyFill="1" applyBorder="1" applyAlignment="1">
      <alignment horizontal="center"/>
    </xf>
    <xf numFmtId="0" fontId="5" fillId="3" borderId="0" xfId="3720" applyFont="1" applyFill="1" applyAlignment="1">
      <alignment horizontal="left" vertical="top" wrapText="1"/>
    </xf>
    <xf numFmtId="0" fontId="5" fillId="3" borderId="0" xfId="3720" applyFont="1" applyFill="1" applyAlignment="1">
      <alignment horizontal="center" vertical="top" wrapText="1"/>
    </xf>
    <xf numFmtId="217" fontId="22" fillId="3" borderId="0" xfId="6458" applyNumberFormat="1" applyFont="1" applyFill="1" applyAlignment="1">
      <alignment horizontal="center" vertical="top" wrapText="1"/>
    </xf>
    <xf numFmtId="217" fontId="22" fillId="3" borderId="0" xfId="3720" applyNumberFormat="1" applyFont="1" applyFill="1" applyAlignment="1">
      <alignment horizontal="center" vertical="top" wrapText="1"/>
    </xf>
    <xf numFmtId="217" fontId="5" fillId="3" borderId="0" xfId="3720" applyNumberFormat="1" applyFont="1" applyFill="1" applyAlignment="1">
      <alignment horizontal="center" vertical="top" wrapText="1"/>
    </xf>
    <xf numFmtId="217" fontId="23" fillId="3" borderId="0" xfId="6458" applyNumberFormat="1" applyFont="1" applyFill="1" applyAlignment="1">
      <alignment horizontal="center" vertical="top" wrapText="1"/>
    </xf>
    <xf numFmtId="217" fontId="0" fillId="3" borderId="0" xfId="0" applyNumberFormat="1" applyFill="1" applyAlignment="1">
      <alignment horizontal="center"/>
    </xf>
    <xf numFmtId="217" fontId="5" fillId="3" borderId="0" xfId="6458" applyNumberFormat="1" applyFont="1" applyFill="1" applyAlignment="1">
      <alignment horizontal="center" vertical="top" wrapText="1"/>
    </xf>
    <xf numFmtId="0" fontId="22" fillId="3" borderId="0" xfId="3720" applyFont="1" applyFill="1" applyAlignment="1">
      <alignment horizontal="left" vertical="top"/>
    </xf>
    <xf numFmtId="0" fontId="5" fillId="3" borderId="0" xfId="3720" applyFont="1" applyFill="1" applyAlignment="1">
      <alignment horizontal="left" vertical="top"/>
    </xf>
    <xf numFmtId="217" fontId="22" fillId="3" borderId="0" xfId="3720" applyNumberFormat="1" applyFont="1" applyFill="1" applyAlignment="1">
      <alignment horizontal="center" vertical="top"/>
    </xf>
    <xf numFmtId="217" fontId="23" fillId="3" borderId="0" xfId="0" applyNumberFormat="1" applyFont="1" applyFill="1" applyAlignment="1">
      <alignment horizontal="center"/>
    </xf>
    <xf numFmtId="217" fontId="5" fillId="0" borderId="0" xfId="0" applyNumberFormat="1" applyFont="1" applyAlignment="1">
      <alignment horizontal="center"/>
    </xf>
    <xf numFmtId="220" fontId="0" fillId="0" borderId="0" xfId="0" applyNumberFormat="1"/>
    <xf numFmtId="0" fontId="24" fillId="0" borderId="22" xfId="0" applyFont="1" applyBorder="1" applyAlignment="1">
      <alignment horizontal="right" vertical="center"/>
    </xf>
    <xf numFmtId="0" fontId="5" fillId="5" borderId="23" xfId="0" applyFont="1" applyFill="1" applyBorder="1" applyAlignment="1">
      <alignment vertical="center"/>
    </xf>
    <xf numFmtId="0" fontId="5" fillId="5" borderId="23" xfId="0" applyFont="1" applyFill="1" applyBorder="1" applyAlignment="1">
      <alignment vertical="center" wrapText="1"/>
    </xf>
    <xf numFmtId="0" fontId="0" fillId="5" borderId="23" xfId="0" applyFill="1" applyBorder="1" applyAlignment="1">
      <alignment vertical="center"/>
    </xf>
    <xf numFmtId="220" fontId="0" fillId="5" borderId="24" xfId="0" applyNumberFormat="1" applyFill="1" applyBorder="1" applyAlignment="1">
      <alignment vertical="center"/>
    </xf>
    <xf numFmtId="0" fontId="24" fillId="0" borderId="25" xfId="0" applyFont="1" applyBorder="1" applyAlignment="1">
      <alignment horizontal="right" vertical="center"/>
    </xf>
    <xf numFmtId="0" fontId="5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220" fontId="0" fillId="5" borderId="26" xfId="0" applyNumberFormat="1" applyFill="1" applyBorder="1" applyAlignment="1">
      <alignment vertical="center"/>
    </xf>
    <xf numFmtId="2" fontId="24" fillId="0" borderId="0" xfId="0" applyNumberFormat="1" applyFont="1" applyAlignment="1">
      <alignment horizontal="right" vertical="center"/>
    </xf>
    <xf numFmtId="212" fontId="0" fillId="5" borderId="0" xfId="0" applyNumberFormat="1" applyFill="1" applyAlignment="1">
      <alignment horizontal="center" vertical="center"/>
    </xf>
    <xf numFmtId="220" fontId="0" fillId="0" borderId="26" xfId="0" applyNumberFormat="1" applyBorder="1" applyAlignment="1">
      <alignment vertical="center"/>
    </xf>
    <xf numFmtId="2" fontId="5" fillId="5" borderId="0" xfId="0" applyNumberFormat="1" applyFont="1" applyFill="1" applyAlignment="1">
      <alignment horizontal="left" vertical="center"/>
    </xf>
    <xf numFmtId="2" fontId="5" fillId="0" borderId="0" xfId="0" applyNumberFormat="1" applyFont="1" applyAlignment="1">
      <alignment vertical="center"/>
    </xf>
    <xf numFmtId="0" fontId="5" fillId="0" borderId="0" xfId="0" applyFont="1" applyAlignment="1">
      <alignment horizontal="right"/>
    </xf>
    <xf numFmtId="10" fontId="5" fillId="3" borderId="0" xfId="3" applyNumberFormat="1" applyFont="1" applyFill="1" applyBorder="1" applyAlignment="1">
      <alignment horizontal="center"/>
    </xf>
    <xf numFmtId="0" fontId="5" fillId="5" borderId="0" xfId="0" applyFont="1" applyFill="1" applyAlignment="1">
      <alignment vertical="center" wrapText="1"/>
    </xf>
    <xf numFmtId="0" fontId="24" fillId="0" borderId="0" xfId="0" applyFont="1" applyAlignment="1">
      <alignment horizontal="right"/>
    </xf>
    <xf numFmtId="1" fontId="0" fillId="5" borderId="0" xfId="0" applyNumberFormat="1" applyFill="1" applyAlignment="1">
      <alignment horizontal="center" vertical="center"/>
    </xf>
    <xf numFmtId="0" fontId="24" fillId="0" borderId="27" xfId="0" applyFont="1" applyBorder="1" applyAlignment="1">
      <alignment horizontal="right" vertical="center"/>
    </xf>
    <xf numFmtId="0" fontId="5" fillId="5" borderId="28" xfId="0" applyFont="1" applyFill="1" applyBorder="1" applyAlignment="1">
      <alignment vertical="center"/>
    </xf>
    <xf numFmtId="0" fontId="5" fillId="5" borderId="28" xfId="0" applyFont="1" applyFill="1" applyBorder="1" applyAlignment="1">
      <alignment vertical="center" wrapText="1"/>
    </xf>
    <xf numFmtId="0" fontId="0" fillId="0" borderId="28" xfId="0" applyBorder="1" applyAlignment="1">
      <alignment vertical="center"/>
    </xf>
    <xf numFmtId="0" fontId="0" fillId="0" borderId="28" xfId="0" applyBorder="1"/>
    <xf numFmtId="220" fontId="0" fillId="0" borderId="29" xfId="0" applyNumberFormat="1" applyBorder="1"/>
    <xf numFmtId="0" fontId="24" fillId="7" borderId="0" xfId="0" applyFont="1" applyFill="1" applyAlignment="1">
      <alignment horizontal="left"/>
    </xf>
    <xf numFmtId="0" fontId="25" fillId="8" borderId="0" xfId="0" applyFont="1" applyFill="1" applyAlignment="1">
      <alignment horizontal="left"/>
    </xf>
    <xf numFmtId="0" fontId="24" fillId="7" borderId="0" xfId="0" applyFont="1" applyFill="1"/>
    <xf numFmtId="220" fontId="24" fillId="7" borderId="0" xfId="0" applyNumberFormat="1" applyFont="1" applyFill="1"/>
    <xf numFmtId="217" fontId="0" fillId="0" borderId="0" xfId="0" applyNumberFormat="1"/>
    <xf numFmtId="0" fontId="24" fillId="8" borderId="16" xfId="0" applyFont="1" applyFill="1" applyBorder="1" applyAlignment="1">
      <alignment horizontal="left"/>
    </xf>
    <xf numFmtId="0" fontId="24" fillId="7" borderId="16" xfId="0" applyFont="1" applyFill="1" applyBorder="1"/>
    <xf numFmtId="17" fontId="24" fillId="8" borderId="16" xfId="0" applyNumberFormat="1" applyFont="1" applyFill="1" applyBorder="1"/>
    <xf numFmtId="0" fontId="24" fillId="7" borderId="16" xfId="0" applyFont="1" applyFill="1" applyBorder="1" applyAlignment="1">
      <alignment horizontal="right"/>
    </xf>
    <xf numFmtId="217" fontId="24" fillId="7" borderId="16" xfId="0" applyNumberFormat="1" applyFon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2" fontId="0" fillId="3" borderId="0" xfId="0" applyNumberFormat="1" applyFill="1"/>
    <xf numFmtId="0" fontId="0" fillId="3" borderId="0" xfId="0" applyFill="1" applyAlignment="1">
      <alignment horizontal="left"/>
    </xf>
    <xf numFmtId="0" fontId="26" fillId="0" borderId="11" xfId="4037" applyBorder="1"/>
    <xf numFmtId="0" fontId="0" fillId="0" borderId="11" xfId="0" applyFont="1" applyBorder="1"/>
    <xf numFmtId="0" fontId="6" fillId="0" borderId="18" xfId="4037" applyFont="1" applyBorder="1" applyAlignment="1">
      <alignment horizontal="center"/>
    </xf>
    <xf numFmtId="0" fontId="26" fillId="0" borderId="18" xfId="4037" applyBorder="1"/>
    <xf numFmtId="217" fontId="6" fillId="0" borderId="11" xfId="4037" applyNumberFormat="1" applyFont="1" applyBorder="1" applyAlignment="1">
      <alignment horizontal="center"/>
    </xf>
    <xf numFmtId="0" fontId="6" fillId="0" borderId="16" xfId="4037" applyFont="1" applyBorder="1" applyAlignment="1">
      <alignment horizontal="left"/>
    </xf>
    <xf numFmtId="0" fontId="26" fillId="0" borderId="16" xfId="4037" applyBorder="1"/>
    <xf numFmtId="0" fontId="0" fillId="0" borderId="16" xfId="0" applyFont="1" applyBorder="1"/>
    <xf numFmtId="0" fontId="6" fillId="0" borderId="16" xfId="4037" applyFont="1" applyBorder="1" applyAlignment="1">
      <alignment horizontal="center"/>
    </xf>
    <xf numFmtId="217" fontId="6" fillId="0" borderId="16" xfId="4037" applyNumberFormat="1" applyFont="1" applyBorder="1" applyAlignment="1">
      <alignment horizontal="center"/>
    </xf>
    <xf numFmtId="0" fontId="0" fillId="0" borderId="11" xfId="0" applyBorder="1" applyAlignment="1">
      <alignment horizontal="left"/>
    </xf>
    <xf numFmtId="221" fontId="0" fillId="3" borderId="0" xfId="0" applyNumberFormat="1" applyFill="1"/>
    <xf numFmtId="217" fontId="0" fillId="3" borderId="0" xfId="0" applyNumberFormat="1" applyFill="1" applyAlignment="1">
      <alignment horizontal="right"/>
    </xf>
    <xf numFmtId="217" fontId="0" fillId="0" borderId="0" xfId="0" applyNumberFormat="1" applyAlignment="1">
      <alignment horizontal="left"/>
    </xf>
    <xf numFmtId="217" fontId="0" fillId="3" borderId="0" xfId="0" applyNumberFormat="1" applyFill="1" applyAlignment="1">
      <alignment horizontal="left"/>
    </xf>
    <xf numFmtId="0" fontId="0" fillId="3" borderId="0" xfId="0" applyFill="1" applyAlignment="1">
      <alignment horizontal="right"/>
    </xf>
    <xf numFmtId="0" fontId="0" fillId="0" borderId="18" xfId="0" applyBorder="1" applyAlignment="1">
      <alignment horizontal="left"/>
    </xf>
    <xf numFmtId="0" fontId="0" fillId="0" borderId="18" xfId="0" applyBorder="1"/>
    <xf numFmtId="222" fontId="0" fillId="0" borderId="18" xfId="0" applyNumberFormat="1" applyBorder="1"/>
    <xf numFmtId="0" fontId="0" fillId="0" borderId="18" xfId="0" applyBorder="1" applyAlignment="1">
      <alignment horizontal="center"/>
    </xf>
    <xf numFmtId="0" fontId="24" fillId="0" borderId="18" xfId="0" applyFont="1" applyBorder="1" applyAlignment="1">
      <alignment horizontal="right"/>
    </xf>
    <xf numFmtId="217" fontId="24" fillId="0" borderId="18" xfId="0" applyNumberFormat="1" applyFont="1" applyBorder="1"/>
    <xf numFmtId="217" fontId="24" fillId="0" borderId="0" xfId="0" applyNumberFormat="1" applyFont="1"/>
    <xf numFmtId="0" fontId="24" fillId="0" borderId="18" xfId="0" applyFont="1" applyBorder="1" applyAlignment="1">
      <alignment horizontal="left"/>
    </xf>
    <xf numFmtId="0" fontId="24" fillId="0" borderId="11" xfId="0" applyFont="1" applyBorder="1"/>
    <xf numFmtId="0" fontId="24" fillId="0" borderId="18" xfId="0" applyFont="1" applyBorder="1"/>
    <xf numFmtId="0" fontId="24" fillId="0" borderId="18" xfId="0" applyFont="1" applyBorder="1" applyAlignment="1">
      <alignment horizontal="center"/>
    </xf>
    <xf numFmtId="217" fontId="24" fillId="0" borderId="18" xfId="0" applyNumberFormat="1" applyFont="1" applyBorder="1" applyAlignment="1">
      <alignment horizontal="right"/>
    </xf>
    <xf numFmtId="0" fontId="0" fillId="3" borderId="11" xfId="0" applyFill="1" applyBorder="1" applyAlignment="1">
      <alignment horizontal="left"/>
    </xf>
    <xf numFmtId="222" fontId="0" fillId="3" borderId="0" xfId="0" applyNumberFormat="1" applyFill="1"/>
    <xf numFmtId="213" fontId="0" fillId="3" borderId="0" xfId="0" applyNumberFormat="1" applyFill="1"/>
    <xf numFmtId="0" fontId="0" fillId="3" borderId="16" xfId="0" applyFill="1" applyBorder="1" applyAlignment="1">
      <alignment horizontal="left"/>
    </xf>
    <xf numFmtId="0" fontId="24" fillId="0" borderId="0" xfId="0" applyFont="1"/>
    <xf numFmtId="223" fontId="0" fillId="3" borderId="0" xfId="0" applyNumberFormat="1" applyFill="1"/>
    <xf numFmtId="0" fontId="0" fillId="0" borderId="0" xfId="0" applyAlignment="1">
      <alignment horizontal="center"/>
    </xf>
    <xf numFmtId="222" fontId="0" fillId="0" borderId="0" xfId="0" applyNumberFormat="1"/>
    <xf numFmtId="0" fontId="0" fillId="3" borderId="11" xfId="0" applyFill="1" applyBorder="1"/>
    <xf numFmtId="224" fontId="0" fillId="3" borderId="0" xfId="0" applyNumberFormat="1" applyFill="1"/>
    <xf numFmtId="0" fontId="27" fillId="3" borderId="0" xfId="0" applyFont="1" applyFill="1" applyAlignment="1">
      <alignment horizontal="center"/>
    </xf>
    <xf numFmtId="0" fontId="0" fillId="3" borderId="16" xfId="0" applyFill="1" applyBorder="1"/>
    <xf numFmtId="0" fontId="24" fillId="0" borderId="16" xfId="0" applyFont="1" applyBorder="1"/>
    <xf numFmtId="0" fontId="24" fillId="0" borderId="16" xfId="0" applyFont="1" applyBorder="1" applyAlignment="1">
      <alignment horizontal="left"/>
    </xf>
    <xf numFmtId="0" fontId="24" fillId="0" borderId="16" xfId="0" applyFont="1" applyBorder="1" applyAlignment="1">
      <alignment horizontal="center"/>
    </xf>
    <xf numFmtId="213" fontId="24" fillId="0" borderId="16" xfId="0" applyNumberFormat="1" applyFont="1" applyBorder="1"/>
    <xf numFmtId="217" fontId="24" fillId="0" borderId="16" xfId="0" applyNumberFormat="1" applyFont="1" applyBorder="1"/>
    <xf numFmtId="225" fontId="0" fillId="3" borderId="0" xfId="0" applyNumberFormat="1" applyFill="1" applyAlignment="1">
      <alignment horizontal="left"/>
    </xf>
    <xf numFmtId="0" fontId="0" fillId="3" borderId="18" xfId="0" applyFill="1" applyBorder="1" applyAlignment="1">
      <alignment horizontal="left"/>
    </xf>
    <xf numFmtId="0" fontId="0" fillId="3" borderId="18" xfId="0" applyFill="1" applyBorder="1"/>
    <xf numFmtId="0" fontId="24" fillId="3" borderId="18" xfId="0" applyFont="1" applyFill="1" applyBorder="1"/>
    <xf numFmtId="0" fontId="24" fillId="3" borderId="18" xfId="0" applyFont="1" applyFill="1" applyBorder="1" applyAlignment="1">
      <alignment horizontal="right"/>
    </xf>
    <xf numFmtId="217" fontId="24" fillId="3" borderId="18" xfId="0" applyNumberFormat="1" applyFont="1" applyFill="1" applyBorder="1"/>
    <xf numFmtId="225" fontId="0" fillId="3" borderId="0" xfId="0" applyNumberFormat="1" applyFill="1"/>
    <xf numFmtId="49" fontId="25" fillId="8" borderId="0" xfId="0" applyNumberFormat="1" applyFont="1" applyFill="1" applyAlignment="1">
      <alignment horizontal="left"/>
    </xf>
    <xf numFmtId="220" fontId="24" fillId="7" borderId="16" xfId="0" applyNumberFormat="1" applyFont="1" applyFill="1" applyBorder="1"/>
    <xf numFmtId="220" fontId="0" fillId="3" borderId="0" xfId="0" applyNumberFormat="1" applyFill="1"/>
    <xf numFmtId="220" fontId="6" fillId="0" borderId="11" xfId="4037" applyNumberFormat="1" applyFont="1" applyBorder="1" applyAlignment="1">
      <alignment horizontal="center"/>
    </xf>
    <xf numFmtId="220" fontId="6" fillId="0" borderId="16" xfId="4037" applyNumberFormat="1" applyFont="1" applyBorder="1" applyAlignment="1">
      <alignment horizontal="center"/>
    </xf>
    <xf numFmtId="220" fontId="24" fillId="0" borderId="18" xfId="0" applyNumberFormat="1" applyFont="1" applyBorder="1"/>
    <xf numFmtId="220" fontId="24" fillId="0" borderId="18" xfId="0" applyNumberFormat="1" applyFont="1" applyBorder="1" applyAlignment="1">
      <alignment horizontal="right"/>
    </xf>
    <xf numFmtId="220" fontId="24" fillId="0" borderId="0" xfId="0" applyNumberFormat="1" applyFont="1"/>
    <xf numFmtId="220" fontId="24" fillId="0" borderId="16" xfId="0" applyNumberFormat="1" applyFont="1" applyBorder="1"/>
    <xf numFmtId="220" fontId="24" fillId="3" borderId="18" xfId="0" applyNumberFormat="1" applyFont="1" applyFill="1" applyBorder="1"/>
    <xf numFmtId="217" fontId="0" fillId="5" borderId="24" xfId="0" applyNumberFormat="1" applyFill="1" applyBorder="1" applyAlignment="1">
      <alignment vertical="center"/>
    </xf>
    <xf numFmtId="217" fontId="0" fillId="5" borderId="26" xfId="0" applyNumberFormat="1" applyFill="1" applyBorder="1" applyAlignment="1">
      <alignment vertical="center"/>
    </xf>
    <xf numFmtId="217" fontId="0" fillId="0" borderId="26" xfId="0" applyNumberFormat="1" applyBorder="1" applyAlignment="1">
      <alignment vertical="center"/>
    </xf>
    <xf numFmtId="217" fontId="0" fillId="0" borderId="29" xfId="0" applyNumberFormat="1" applyBorder="1"/>
    <xf numFmtId="217" fontId="24" fillId="7" borderId="0" xfId="0" applyNumberFormat="1" applyFont="1" applyFill="1"/>
    <xf numFmtId="2" fontId="25" fillId="8" borderId="0" xfId="0" applyNumberFormat="1" applyFont="1" applyFill="1" applyAlignment="1">
      <alignment horizontal="left"/>
    </xf>
    <xf numFmtId="1" fontId="24" fillId="8" borderId="16" xfId="0" applyNumberFormat="1" applyFont="1" applyFill="1" applyBorder="1" applyAlignment="1">
      <alignment horizontal="left"/>
    </xf>
    <xf numFmtId="0" fontId="0" fillId="0" borderId="11" xfId="0" applyBorder="1"/>
    <xf numFmtId="4" fontId="2" fillId="0" borderId="4" xfId="0" applyNumberFormat="1" applyFont="1" applyBorder="1" applyAlignment="1">
      <alignment horizontal="right" vertical="center"/>
    </xf>
    <xf numFmtId="226" fontId="2" fillId="0" borderId="4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/>
    </xf>
    <xf numFmtId="0" fontId="0" fillId="9" borderId="0" xfId="0" applyFill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14" xfId="0" applyBorder="1" applyAlignment="1">
      <alignment vertical="center"/>
    </xf>
    <xf numFmtId="0" fontId="8" fillId="7" borderId="19" xfId="0" applyFont="1" applyFill="1" applyBorder="1" applyAlignment="1">
      <alignment horizontal="left" vertical="center"/>
    </xf>
    <xf numFmtId="0" fontId="8" fillId="7" borderId="18" xfId="0" applyFont="1" applyFill="1" applyBorder="1" applyAlignment="1">
      <alignment horizontal="left" vertical="center"/>
    </xf>
    <xf numFmtId="0" fontId="8" fillId="7" borderId="20" xfId="0" applyFont="1" applyFill="1" applyBorder="1" applyAlignment="1">
      <alignment horizontal="left" vertical="center"/>
    </xf>
    <xf numFmtId="0" fontId="8" fillId="9" borderId="19" xfId="0" applyFont="1" applyFill="1" applyBorder="1" applyAlignment="1">
      <alignment horizontal="left" vertical="center"/>
    </xf>
    <xf numFmtId="0" fontId="8" fillId="9" borderId="18" xfId="0" applyFont="1" applyFill="1" applyBorder="1" applyAlignment="1">
      <alignment horizontal="left" vertical="center"/>
    </xf>
    <xf numFmtId="0" fontId="8" fillId="9" borderId="20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1" fontId="9" fillId="3" borderId="19" xfId="0" applyNumberFormat="1" applyFont="1" applyFill="1" applyBorder="1" applyAlignment="1">
      <alignment horizontal="center" vertical="center" wrapText="1"/>
    </xf>
    <xf numFmtId="1" fontId="9" fillId="3" borderId="18" xfId="0" applyNumberFormat="1" applyFont="1" applyFill="1" applyBorder="1" applyAlignment="1">
      <alignment horizontal="center" vertical="center" wrapText="1"/>
    </xf>
    <xf numFmtId="1" fontId="9" fillId="3" borderId="20" xfId="0" applyNumberFormat="1" applyFont="1" applyFill="1" applyBorder="1" applyAlignment="1">
      <alignment horizontal="center" vertical="center" wrapText="1"/>
    </xf>
    <xf numFmtId="183" fontId="9" fillId="3" borderId="19" xfId="0" applyNumberFormat="1" applyFont="1" applyFill="1" applyBorder="1" applyAlignment="1">
      <alignment horizontal="center" vertical="center" wrapText="1"/>
    </xf>
    <xf numFmtId="183" fontId="9" fillId="3" borderId="18" xfId="0" applyNumberFormat="1" applyFont="1" applyFill="1" applyBorder="1" applyAlignment="1">
      <alignment horizontal="center" vertical="center" wrapText="1"/>
    </xf>
    <xf numFmtId="183" fontId="9" fillId="3" borderId="20" xfId="0" applyNumberFormat="1" applyFont="1" applyFill="1" applyBorder="1" applyAlignment="1">
      <alignment horizontal="center" vertical="center" wrapText="1"/>
    </xf>
    <xf numFmtId="4" fontId="9" fillId="3" borderId="19" xfId="0" applyNumberFormat="1" applyFont="1" applyFill="1" applyBorder="1" applyAlignment="1">
      <alignment horizontal="right" vertical="center" wrapText="1"/>
    </xf>
    <xf numFmtId="4" fontId="9" fillId="3" borderId="18" xfId="0" applyNumberFormat="1" applyFont="1" applyFill="1" applyBorder="1" applyAlignment="1">
      <alignment horizontal="right" vertical="center" wrapText="1"/>
    </xf>
    <xf numFmtId="4" fontId="9" fillId="3" borderId="20" xfId="0" applyNumberFormat="1" applyFont="1" applyFill="1" applyBorder="1" applyAlignment="1">
      <alignment horizontal="right" vertical="center" wrapText="1"/>
    </xf>
    <xf numFmtId="0" fontId="9" fillId="3" borderId="2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left" vertical="center" wrapText="1"/>
    </xf>
    <xf numFmtId="0" fontId="8" fillId="9" borderId="19" xfId="0" applyFont="1" applyFill="1" applyBorder="1" applyAlignment="1">
      <alignment vertical="center"/>
    </xf>
    <xf numFmtId="0" fontId="8" fillId="9" borderId="18" xfId="0" applyFont="1" applyFill="1" applyBorder="1" applyAlignment="1">
      <alignment vertical="center"/>
    </xf>
    <xf numFmtId="0" fontId="8" fillId="9" borderId="18" xfId="0" applyFont="1" applyFill="1" applyBorder="1" applyAlignment="1">
      <alignment horizontal="right" vertical="center"/>
    </xf>
    <xf numFmtId="4" fontId="8" fillId="3" borderId="19" xfId="0" applyNumberFormat="1" applyFont="1" applyFill="1" applyBorder="1" applyAlignment="1">
      <alignment horizontal="right" vertical="center" wrapText="1"/>
    </xf>
    <xf numFmtId="4" fontId="8" fillId="3" borderId="18" xfId="0" applyNumberFormat="1" applyFont="1" applyFill="1" applyBorder="1" applyAlignment="1">
      <alignment horizontal="right" vertical="center" wrapText="1"/>
    </xf>
    <xf numFmtId="4" fontId="8" fillId="3" borderId="20" xfId="0" applyNumberFormat="1" applyFont="1" applyFill="1" applyBorder="1" applyAlignment="1">
      <alignment horizontal="right" vertical="center" wrapText="1"/>
    </xf>
    <xf numFmtId="0" fontId="9" fillId="3" borderId="21" xfId="0" applyFont="1" applyFill="1" applyBorder="1" applyAlignment="1">
      <alignment horizontal="center" vertical="center" wrapText="1"/>
    </xf>
    <xf numFmtId="4" fontId="16" fillId="3" borderId="19" xfId="0" applyNumberFormat="1" applyFont="1" applyFill="1" applyBorder="1" applyAlignment="1">
      <alignment horizontal="right" vertical="center" wrapText="1"/>
    </xf>
    <xf numFmtId="4" fontId="16" fillId="3" borderId="18" xfId="0" applyNumberFormat="1" applyFont="1" applyFill="1" applyBorder="1" applyAlignment="1">
      <alignment horizontal="right" vertical="center" wrapText="1"/>
    </xf>
    <xf numFmtId="4" fontId="16" fillId="3" borderId="20" xfId="0" applyNumberFormat="1" applyFont="1" applyFill="1" applyBorder="1" applyAlignment="1">
      <alignment horizontal="right" vertical="center" wrapText="1"/>
    </xf>
    <xf numFmtId="0" fontId="8" fillId="10" borderId="19" xfId="0" applyFont="1" applyFill="1" applyBorder="1" applyAlignment="1">
      <alignment vertical="center"/>
    </xf>
    <xf numFmtId="0" fontId="8" fillId="10" borderId="18" xfId="0" applyFont="1" applyFill="1" applyBorder="1" applyAlignment="1">
      <alignment vertical="center"/>
    </xf>
    <xf numFmtId="0" fontId="8" fillId="10" borderId="18" xfId="0" applyFont="1" applyFill="1" applyBorder="1" applyAlignment="1">
      <alignment horizontal="right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28" fillId="3" borderId="10" xfId="0" applyFont="1" applyFill="1" applyBorder="1" applyAlignment="1">
      <alignment horizontal="center" vertical="center"/>
    </xf>
    <xf numFmtId="0" fontId="28" fillId="3" borderId="11" xfId="0" applyFont="1" applyFill="1" applyBorder="1" applyAlignment="1">
      <alignment horizontal="center" vertical="center"/>
    </xf>
    <xf numFmtId="0" fontId="28" fillId="3" borderId="12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215" fontId="29" fillId="3" borderId="10" xfId="0" applyNumberFormat="1" applyFont="1" applyFill="1" applyBorder="1" applyAlignment="1">
      <alignment horizontal="center" vertical="center" wrapText="1"/>
    </xf>
    <xf numFmtId="215" fontId="29" fillId="3" borderId="11" xfId="0" applyNumberFormat="1" applyFont="1" applyFill="1" applyBorder="1" applyAlignment="1">
      <alignment horizontal="center" vertical="center" wrapText="1"/>
    </xf>
    <xf numFmtId="215" fontId="29" fillId="3" borderId="12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9" fillId="3" borderId="18" xfId="0" applyFont="1" applyFill="1" applyBorder="1" applyAlignment="1">
      <alignment horizontal="left" vertical="center" wrapText="1"/>
    </xf>
    <xf numFmtId="0" fontId="9" fillId="3" borderId="20" xfId="0" applyFont="1" applyFill="1" applyBorder="1" applyAlignment="1">
      <alignment horizontal="left" vertical="center" wrapText="1"/>
    </xf>
    <xf numFmtId="214" fontId="9" fillId="3" borderId="19" xfId="0" applyNumberFormat="1" applyFont="1" applyFill="1" applyBorder="1" applyAlignment="1">
      <alignment horizontal="center" vertical="center" wrapText="1"/>
    </xf>
    <xf numFmtId="214" fontId="9" fillId="3" borderId="18" xfId="0" applyNumberFormat="1" applyFont="1" applyFill="1" applyBorder="1" applyAlignment="1">
      <alignment horizontal="center" vertical="center" wrapText="1"/>
    </xf>
    <xf numFmtId="214" fontId="9" fillId="3" borderId="20" xfId="0" applyNumberFormat="1" applyFont="1" applyFill="1" applyBorder="1" applyAlignment="1">
      <alignment horizontal="center" vertical="center" wrapText="1"/>
    </xf>
    <xf numFmtId="214" fontId="9" fillId="3" borderId="10" xfId="0" applyNumberFormat="1" applyFont="1" applyFill="1" applyBorder="1" applyAlignment="1">
      <alignment horizontal="center" vertical="center" wrapText="1"/>
    </xf>
    <xf numFmtId="214" fontId="9" fillId="3" borderId="11" xfId="0" applyNumberFormat="1" applyFont="1" applyFill="1" applyBorder="1" applyAlignment="1">
      <alignment horizontal="center" vertical="center" wrapText="1"/>
    </xf>
    <xf numFmtId="214" fontId="9" fillId="3" borderId="12" xfId="0" applyNumberFormat="1" applyFont="1" applyFill="1" applyBorder="1" applyAlignment="1">
      <alignment horizontal="center" vertical="center" wrapText="1"/>
    </xf>
    <xf numFmtId="223" fontId="9" fillId="3" borderId="19" xfId="0" applyNumberFormat="1" applyFont="1" applyFill="1" applyBorder="1" applyAlignment="1">
      <alignment horizontal="center" vertical="center" wrapText="1"/>
    </xf>
    <xf numFmtId="223" fontId="9" fillId="3" borderId="18" xfId="0" applyNumberFormat="1" applyFont="1" applyFill="1" applyBorder="1" applyAlignment="1">
      <alignment horizontal="center" vertical="center" wrapText="1"/>
    </xf>
    <xf numFmtId="223" fontId="9" fillId="3" borderId="20" xfId="0" applyNumberFormat="1" applyFont="1" applyFill="1" applyBorder="1" applyAlignment="1">
      <alignment horizontal="center" vertical="center" wrapText="1"/>
    </xf>
    <xf numFmtId="223" fontId="9" fillId="3" borderId="21" xfId="0" applyNumberFormat="1" applyFont="1" applyFill="1" applyBorder="1" applyAlignment="1">
      <alignment horizontal="center" vertical="center" wrapText="1"/>
    </xf>
    <xf numFmtId="10" fontId="13" fillId="5" borderId="21" xfId="3" applyNumberFormat="1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28" fillId="3" borderId="13" xfId="0" applyFont="1" applyFill="1" applyBorder="1" applyAlignment="1">
      <alignment horizontal="center" vertical="center"/>
    </xf>
    <xf numFmtId="0" fontId="28" fillId="3" borderId="0" xfId="0" applyFont="1" applyFill="1" applyAlignment="1">
      <alignment horizontal="center" vertical="center"/>
    </xf>
    <xf numFmtId="0" fontId="28" fillId="3" borderId="14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215" fontId="29" fillId="3" borderId="13" xfId="0" applyNumberFormat="1" applyFont="1" applyFill="1" applyBorder="1" applyAlignment="1">
      <alignment horizontal="center" vertical="center" wrapText="1"/>
    </xf>
    <xf numFmtId="215" fontId="29" fillId="3" borderId="0" xfId="0" applyNumberFormat="1" applyFont="1" applyFill="1" applyAlignment="1">
      <alignment horizontal="center" vertical="center" wrapText="1"/>
    </xf>
    <xf numFmtId="215" fontId="29" fillId="3" borderId="14" xfId="0" applyNumberFormat="1" applyFont="1" applyFill="1" applyBorder="1" applyAlignment="1">
      <alignment horizontal="center" vertical="center" wrapText="1"/>
    </xf>
    <xf numFmtId="214" fontId="9" fillId="3" borderId="13" xfId="0" applyNumberFormat="1" applyFont="1" applyFill="1" applyBorder="1" applyAlignment="1">
      <alignment horizontal="center" vertical="center" wrapText="1"/>
    </xf>
    <xf numFmtId="214" fontId="9" fillId="3" borderId="0" xfId="0" applyNumberFormat="1" applyFont="1" applyFill="1" applyAlignment="1">
      <alignment horizontal="center" vertical="center" wrapText="1"/>
    </xf>
    <xf numFmtId="214" fontId="9" fillId="3" borderId="14" xfId="0" applyNumberFormat="1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28" fillId="3" borderId="15" xfId="0" applyFont="1" applyFill="1" applyBorder="1" applyAlignment="1">
      <alignment horizontal="center" vertical="center"/>
    </xf>
    <xf numFmtId="0" fontId="28" fillId="3" borderId="16" xfId="0" applyFont="1" applyFill="1" applyBorder="1" applyAlignment="1">
      <alignment horizontal="center" vertical="center"/>
    </xf>
    <xf numFmtId="0" fontId="28" fillId="3" borderId="1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215" fontId="29" fillId="3" borderId="15" xfId="0" applyNumberFormat="1" applyFont="1" applyFill="1" applyBorder="1" applyAlignment="1">
      <alignment horizontal="center" vertical="center" wrapText="1"/>
    </xf>
    <xf numFmtId="215" fontId="29" fillId="3" borderId="16" xfId="0" applyNumberFormat="1" applyFont="1" applyFill="1" applyBorder="1" applyAlignment="1">
      <alignment horizontal="center" vertical="center" wrapText="1"/>
    </xf>
    <xf numFmtId="215" fontId="29" fillId="3" borderId="17" xfId="0" applyNumberFormat="1" applyFont="1" applyFill="1" applyBorder="1" applyAlignment="1">
      <alignment horizontal="center" vertical="center" wrapText="1"/>
    </xf>
    <xf numFmtId="214" fontId="9" fillId="3" borderId="15" xfId="0" applyNumberFormat="1" applyFont="1" applyFill="1" applyBorder="1" applyAlignment="1">
      <alignment horizontal="center" vertical="center" wrapText="1"/>
    </xf>
    <xf numFmtId="214" fontId="9" fillId="3" borderId="16" xfId="0" applyNumberFormat="1" applyFont="1" applyFill="1" applyBorder="1" applyAlignment="1">
      <alignment horizontal="center" vertical="center" wrapText="1"/>
    </xf>
    <xf numFmtId="214" fontId="9" fillId="3" borderId="17" xfId="0" applyNumberFormat="1" applyFont="1" applyFill="1" applyBorder="1" applyAlignment="1">
      <alignment horizontal="center" vertical="center" wrapText="1"/>
    </xf>
    <xf numFmtId="223" fontId="9" fillId="3" borderId="15" xfId="0" applyNumberFormat="1" applyFont="1" applyFill="1" applyBorder="1" applyAlignment="1">
      <alignment horizontal="center" vertical="center" wrapText="1"/>
    </xf>
    <xf numFmtId="223" fontId="9" fillId="3" borderId="16" xfId="0" applyNumberFormat="1" applyFont="1" applyFill="1" applyBorder="1" applyAlignment="1">
      <alignment horizontal="center" vertical="center" wrapText="1"/>
    </xf>
    <xf numFmtId="223" fontId="9" fillId="3" borderId="17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0" fillId="0" borderId="14" xfId="0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213" fontId="9" fillId="0" borderId="21" xfId="0" applyNumberFormat="1" applyFont="1" applyBorder="1" applyAlignment="1">
      <alignment horizontal="center" vertical="center"/>
    </xf>
    <xf numFmtId="213" fontId="9" fillId="0" borderId="21" xfId="0" applyNumberFormat="1" applyFont="1" applyBorder="1" applyAlignment="1">
      <alignment horizontal="center" vertical="center" wrapText="1"/>
    </xf>
    <xf numFmtId="1" fontId="9" fillId="0" borderId="21" xfId="0" applyNumberFormat="1" applyFont="1" applyBorder="1" applyAlignment="1">
      <alignment horizontal="center" vertical="center" wrapText="1"/>
    </xf>
    <xf numFmtId="213" fontId="8" fillId="0" borderId="21" xfId="0" applyNumberFormat="1" applyFont="1" applyBorder="1" applyAlignment="1">
      <alignment horizontal="center" vertical="center" wrapText="1"/>
    </xf>
    <xf numFmtId="1" fontId="8" fillId="0" borderId="2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183" fontId="8" fillId="3" borderId="21" xfId="0" applyNumberFormat="1" applyFont="1" applyFill="1" applyBorder="1" applyAlignment="1">
      <alignment horizontal="center" vertical="center" wrapText="1"/>
    </xf>
    <xf numFmtId="1" fontId="8" fillId="3" borderId="21" xfId="0" applyNumberFormat="1" applyFont="1" applyFill="1" applyBorder="1" applyAlignment="1">
      <alignment horizontal="center" vertical="center" wrapText="1"/>
    </xf>
    <xf numFmtId="1" fontId="9" fillId="3" borderId="21" xfId="0" applyNumberFormat="1" applyFont="1" applyFill="1" applyBorder="1" applyAlignment="1">
      <alignment horizontal="center" vertical="center" wrapText="1"/>
    </xf>
    <xf numFmtId="183" fontId="9" fillId="3" borderId="21" xfId="0" applyNumberFormat="1" applyFont="1" applyFill="1" applyBorder="1" applyAlignment="1">
      <alignment horizontal="center" vertical="center" wrapText="1"/>
    </xf>
    <xf numFmtId="1" fontId="13" fillId="3" borderId="21" xfId="0" applyNumberFormat="1" applyFont="1" applyFill="1" applyBorder="1" applyAlignment="1">
      <alignment horizontal="center" vertical="center" wrapText="1"/>
    </xf>
    <xf numFmtId="183" fontId="13" fillId="3" borderId="19" xfId="0" applyNumberFormat="1" applyFont="1" applyFill="1" applyBorder="1" applyAlignment="1">
      <alignment horizontal="center" vertical="center" wrapText="1"/>
    </xf>
    <xf numFmtId="183" fontId="13" fillId="3" borderId="18" xfId="0" applyNumberFormat="1" applyFont="1" applyFill="1" applyBorder="1" applyAlignment="1">
      <alignment horizontal="center" vertical="center" wrapText="1"/>
    </xf>
    <xf numFmtId="183" fontId="13" fillId="3" borderId="20" xfId="0" applyNumberFormat="1" applyFont="1" applyFill="1" applyBorder="1" applyAlignment="1">
      <alignment horizontal="center" vertical="center" wrapText="1"/>
    </xf>
    <xf numFmtId="1" fontId="14" fillId="3" borderId="21" xfId="0" applyNumberFormat="1" applyFont="1" applyFill="1" applyBorder="1" applyAlignment="1">
      <alignment horizontal="center" vertical="center" wrapText="1"/>
    </xf>
    <xf numFmtId="183" fontId="14" fillId="3" borderId="19" xfId="0" applyNumberFormat="1" applyFont="1" applyFill="1" applyBorder="1" applyAlignment="1">
      <alignment horizontal="center" vertical="center" wrapText="1"/>
    </xf>
    <xf numFmtId="183" fontId="14" fillId="3" borderId="18" xfId="0" applyNumberFormat="1" applyFont="1" applyFill="1" applyBorder="1" applyAlignment="1">
      <alignment horizontal="center" vertical="center" wrapText="1"/>
    </xf>
    <xf numFmtId="183" fontId="14" fillId="3" borderId="20" xfId="0" applyNumberFormat="1" applyFont="1" applyFill="1" applyBorder="1" applyAlignment="1">
      <alignment horizontal="center" vertical="center" wrapText="1"/>
    </xf>
    <xf numFmtId="1" fontId="30" fillId="3" borderId="21" xfId="0" applyNumberFormat="1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left" vertical="center"/>
    </xf>
    <xf numFmtId="1" fontId="9" fillId="7" borderId="19" xfId="0" applyNumberFormat="1" applyFont="1" applyFill="1" applyBorder="1" applyAlignment="1">
      <alignment horizontal="center" vertical="center" wrapText="1"/>
    </xf>
    <xf numFmtId="1" fontId="9" fillId="7" borderId="18" xfId="0" applyNumberFormat="1" applyFont="1" applyFill="1" applyBorder="1" applyAlignment="1">
      <alignment horizontal="center" vertical="center" wrapText="1"/>
    </xf>
    <xf numFmtId="1" fontId="9" fillId="7" borderId="20" xfId="0" applyNumberFormat="1" applyFont="1" applyFill="1" applyBorder="1" applyAlignment="1">
      <alignment horizontal="center" vertical="center" wrapText="1"/>
    </xf>
    <xf numFmtId="183" fontId="9" fillId="7" borderId="19" xfId="0" applyNumberFormat="1" applyFont="1" applyFill="1" applyBorder="1" applyAlignment="1">
      <alignment horizontal="center" vertical="center" wrapText="1"/>
    </xf>
    <xf numFmtId="183" fontId="9" fillId="7" borderId="18" xfId="0" applyNumberFormat="1" applyFont="1" applyFill="1" applyBorder="1" applyAlignment="1">
      <alignment horizontal="center" vertical="center" wrapText="1"/>
    </xf>
    <xf numFmtId="183" fontId="9" fillId="7" borderId="20" xfId="0" applyNumberFormat="1" applyFont="1" applyFill="1" applyBorder="1" applyAlignment="1">
      <alignment horizontal="center" vertical="center" wrapText="1"/>
    </xf>
    <xf numFmtId="183" fontId="8" fillId="7" borderId="19" xfId="0" applyNumberFormat="1" applyFont="1" applyFill="1" applyBorder="1" applyAlignment="1">
      <alignment horizontal="center" vertical="center" wrapText="1"/>
    </xf>
    <xf numFmtId="183" fontId="8" fillId="7" borderId="18" xfId="0" applyNumberFormat="1" applyFont="1" applyFill="1" applyBorder="1" applyAlignment="1">
      <alignment horizontal="center" vertical="center" wrapText="1"/>
    </xf>
    <xf numFmtId="183" fontId="8" fillId="7" borderId="20" xfId="0" applyNumberFormat="1" applyFont="1" applyFill="1" applyBorder="1" applyAlignment="1">
      <alignment horizontal="center" vertical="center" wrapText="1"/>
    </xf>
    <xf numFmtId="0" fontId="9" fillId="10" borderId="21" xfId="0" applyFont="1" applyFill="1" applyBorder="1" applyAlignment="1">
      <alignment horizontal="center" vertical="center"/>
    </xf>
    <xf numFmtId="0" fontId="8" fillId="10" borderId="21" xfId="0" applyFont="1" applyFill="1" applyBorder="1" applyAlignment="1">
      <alignment horizontal="left" vertical="center"/>
    </xf>
    <xf numFmtId="183" fontId="9" fillId="10" borderId="21" xfId="0" applyNumberFormat="1" applyFont="1" applyFill="1" applyBorder="1" applyAlignment="1">
      <alignment horizontal="center" vertical="center" wrapText="1"/>
    </xf>
    <xf numFmtId="1" fontId="9" fillId="10" borderId="21" xfId="0" applyNumberFormat="1" applyFont="1" applyFill="1" applyBorder="1" applyAlignment="1">
      <alignment horizontal="center" vertical="center" wrapText="1"/>
    </xf>
    <xf numFmtId="2" fontId="9" fillId="10" borderId="21" xfId="0" applyNumberFormat="1" applyFont="1" applyFill="1" applyBorder="1" applyAlignment="1">
      <alignment horizontal="center" vertical="center" wrapText="1"/>
    </xf>
    <xf numFmtId="0" fontId="9" fillId="11" borderId="21" xfId="0" applyFont="1" applyFill="1" applyBorder="1" applyAlignment="1">
      <alignment horizontal="center" vertical="center"/>
    </xf>
    <xf numFmtId="0" fontId="8" fillId="11" borderId="21" xfId="0" applyFont="1" applyFill="1" applyBorder="1" applyAlignment="1">
      <alignment horizontal="left" vertical="center"/>
    </xf>
    <xf numFmtId="183" fontId="9" fillId="11" borderId="21" xfId="0" applyNumberFormat="1" applyFont="1" applyFill="1" applyBorder="1" applyAlignment="1">
      <alignment horizontal="center" vertical="center" wrapText="1"/>
    </xf>
    <xf numFmtId="1" fontId="9" fillId="11" borderId="21" xfId="0" applyNumberFormat="1" applyFont="1" applyFill="1" applyBorder="1" applyAlignment="1">
      <alignment horizontal="center" vertical="center" wrapText="1"/>
    </xf>
    <xf numFmtId="183" fontId="12" fillId="11" borderId="21" xfId="0" applyNumberFormat="1" applyFont="1" applyFill="1" applyBorder="1" applyAlignment="1">
      <alignment horizontal="center" vertical="center" wrapText="1"/>
    </xf>
    <xf numFmtId="2" fontId="9" fillId="11" borderId="21" xfId="0" applyNumberFormat="1" applyFont="1" applyFill="1" applyBorder="1" applyAlignment="1">
      <alignment horizontal="center" vertical="center" wrapText="1"/>
    </xf>
    <xf numFmtId="0" fontId="28" fillId="3" borderId="21" xfId="0" applyFont="1" applyFill="1" applyBorder="1" applyAlignment="1">
      <alignment horizontal="center" vertical="center"/>
    </xf>
    <xf numFmtId="214" fontId="9" fillId="3" borderId="21" xfId="0" applyNumberFormat="1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left" vertical="center" wrapText="1"/>
    </xf>
    <xf numFmtId="223" fontId="13" fillId="3" borderId="21" xfId="0" applyNumberFormat="1" applyFont="1" applyFill="1" applyBorder="1" applyAlignment="1">
      <alignment horizontal="center" vertical="center" wrapText="1"/>
    </xf>
    <xf numFmtId="214" fontId="10" fillId="3" borderId="21" xfId="0" applyNumberFormat="1" applyFont="1" applyFill="1" applyBorder="1" applyAlignment="1">
      <alignment horizontal="center" vertical="center" wrapText="1"/>
    </xf>
    <xf numFmtId="223" fontId="13" fillId="3" borderId="19" xfId="0" applyNumberFormat="1" applyFont="1" applyFill="1" applyBorder="1" applyAlignment="1">
      <alignment horizontal="center" vertical="center" wrapText="1"/>
    </xf>
    <xf numFmtId="223" fontId="13" fillId="3" borderId="18" xfId="0" applyNumberFormat="1" applyFont="1" applyFill="1" applyBorder="1" applyAlignment="1">
      <alignment horizontal="center" vertical="center" wrapText="1"/>
    </xf>
    <xf numFmtId="223" fontId="13" fillId="3" borderId="20" xfId="0" applyNumberFormat="1" applyFont="1" applyFill="1" applyBorder="1" applyAlignment="1">
      <alignment horizontal="center" vertical="center" wrapText="1"/>
    </xf>
    <xf numFmtId="10" fontId="13" fillId="5" borderId="19" xfId="3" applyNumberFormat="1" applyFont="1" applyFill="1" applyBorder="1" applyAlignment="1">
      <alignment horizontal="center" vertical="center" wrapText="1"/>
    </xf>
    <xf numFmtId="10" fontId="13" fillId="5" borderId="18" xfId="3" applyNumberFormat="1" applyFont="1" applyFill="1" applyBorder="1" applyAlignment="1">
      <alignment horizontal="center" vertical="center" wrapText="1"/>
    </xf>
    <xf numFmtId="10" fontId="13" fillId="5" borderId="20" xfId="3" applyNumberFormat="1" applyFont="1" applyFill="1" applyBorder="1" applyAlignment="1">
      <alignment horizontal="center" vertical="center" wrapText="1"/>
    </xf>
    <xf numFmtId="213" fontId="9" fillId="3" borderId="21" xfId="0" applyNumberFormat="1" applyFont="1" applyFill="1" applyBorder="1" applyAlignment="1">
      <alignment horizontal="center" vertical="center"/>
    </xf>
    <xf numFmtId="213" fontId="9" fillId="3" borderId="21" xfId="0" applyNumberFormat="1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183" fontId="0" fillId="0" borderId="0" xfId="0" applyNumberFormat="1" applyAlignment="1">
      <alignment vertical="center"/>
    </xf>
    <xf numFmtId="0" fontId="9" fillId="5" borderId="11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0" xfId="0" applyFont="1" applyFill="1" applyAlignment="1">
      <alignment horizontal="left" vertical="center" wrapText="1"/>
    </xf>
    <xf numFmtId="0" fontId="9" fillId="5" borderId="14" xfId="0" applyFont="1" applyFill="1" applyBorder="1" applyAlignment="1">
      <alignment horizontal="left" vertical="center" wrapText="1"/>
    </xf>
    <xf numFmtId="183" fontId="9" fillId="0" borderId="0" xfId="0" applyNumberFormat="1" applyFont="1" applyAlignment="1">
      <alignment horizontal="left" vertical="center"/>
    </xf>
    <xf numFmtId="183" fontId="9" fillId="0" borderId="14" xfId="0" applyNumberFormat="1" applyFont="1" applyBorder="1" applyAlignment="1">
      <alignment horizontal="left" vertical="center"/>
    </xf>
    <xf numFmtId="183" fontId="0" fillId="0" borderId="0" xfId="0" applyNumberFormat="1"/>
    <xf numFmtId="183" fontId="0" fillId="0" borderId="14" xfId="0" applyNumberFormat="1" applyBorder="1"/>
    <xf numFmtId="227" fontId="9" fillId="5" borderId="0" xfId="0" applyNumberFormat="1" applyFont="1" applyFill="1" applyAlignment="1">
      <alignment horizontal="center" vertical="center"/>
    </xf>
    <xf numFmtId="183" fontId="0" fillId="0" borderId="16" xfId="0" applyNumberFormat="1" applyBorder="1"/>
    <xf numFmtId="183" fontId="0" fillId="0" borderId="17" xfId="0" applyNumberFormat="1" applyBorder="1"/>
    <xf numFmtId="0" fontId="8" fillId="9" borderId="19" xfId="0" applyFont="1" applyFill="1" applyBorder="1" applyAlignment="1">
      <alignment horizontal="center" vertical="center"/>
    </xf>
    <xf numFmtId="0" fontId="8" fillId="9" borderId="20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183" fontId="8" fillId="9" borderId="11" xfId="0" applyNumberFormat="1" applyFont="1" applyFill="1" applyBorder="1" applyAlignment="1">
      <alignment horizontal="center" vertical="center" wrapText="1"/>
    </xf>
    <xf numFmtId="183" fontId="8" fillId="9" borderId="12" xfId="0" applyNumberFormat="1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left" vertical="center"/>
    </xf>
    <xf numFmtId="0" fontId="8" fillId="3" borderId="18" xfId="0" applyFont="1" applyFill="1" applyBorder="1" applyAlignment="1">
      <alignment horizontal="left" vertical="center"/>
    </xf>
    <xf numFmtId="0" fontId="9" fillId="3" borderId="18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left" vertical="center"/>
    </xf>
    <xf numFmtId="0" fontId="9" fillId="3" borderId="16" xfId="0" applyFont="1" applyFill="1" applyBorder="1" applyAlignment="1">
      <alignment horizontal="center" vertical="center" wrapText="1"/>
    </xf>
    <xf numFmtId="183" fontId="9" fillId="3" borderId="16" xfId="0" applyNumberFormat="1" applyFont="1" applyFill="1" applyBorder="1" applyAlignment="1">
      <alignment horizontal="center" vertical="center" wrapText="1"/>
    </xf>
    <xf numFmtId="183" fontId="9" fillId="3" borderId="17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left" vertical="center"/>
    </xf>
    <xf numFmtId="0" fontId="9" fillId="3" borderId="18" xfId="0" applyFont="1" applyFill="1" applyBorder="1" applyAlignment="1">
      <alignment horizontal="left" vertical="center"/>
    </xf>
    <xf numFmtId="0" fontId="9" fillId="5" borderId="16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left" vertical="center"/>
    </xf>
    <xf numFmtId="0" fontId="9" fillId="3" borderId="16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left" vertical="center"/>
    </xf>
    <xf numFmtId="2" fontId="9" fillId="5" borderId="15" xfId="0" applyNumberFormat="1" applyFont="1" applyFill="1" applyBorder="1" applyAlignment="1">
      <alignment horizontal="center" vertical="center"/>
    </xf>
    <xf numFmtId="2" fontId="9" fillId="5" borderId="17" xfId="0" applyNumberFormat="1" applyFont="1" applyFill="1" applyBorder="1" applyAlignment="1">
      <alignment horizontal="center" vertical="center"/>
    </xf>
    <xf numFmtId="10" fontId="9" fillId="5" borderId="15" xfId="3" applyNumberFormat="1" applyFont="1" applyFill="1" applyBorder="1" applyAlignment="1">
      <alignment horizontal="center" vertical="center" wrapText="1"/>
    </xf>
    <xf numFmtId="10" fontId="9" fillId="5" borderId="16" xfId="3" applyNumberFormat="1" applyFont="1" applyFill="1" applyBorder="1" applyAlignment="1">
      <alignment horizontal="center" vertical="center" wrapText="1"/>
    </xf>
    <xf numFmtId="10" fontId="9" fillId="5" borderId="17" xfId="3" applyNumberFormat="1" applyFont="1" applyFill="1" applyBorder="1" applyAlignment="1">
      <alignment horizontal="center" vertical="center" wrapText="1"/>
    </xf>
    <xf numFmtId="220" fontId="9" fillId="3" borderId="16" xfId="0" applyNumberFormat="1" applyFont="1" applyFill="1" applyBorder="1" applyAlignment="1">
      <alignment horizontal="center" vertical="center" wrapText="1"/>
    </xf>
    <xf numFmtId="220" fontId="9" fillId="3" borderId="17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vertical="center"/>
    </xf>
    <xf numFmtId="0" fontId="9" fillId="3" borderId="18" xfId="0" applyFont="1" applyFill="1" applyBorder="1" applyAlignment="1">
      <alignment vertical="center"/>
    </xf>
    <xf numFmtId="0" fontId="9" fillId="3" borderId="18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horizontal="right" vertical="center"/>
    </xf>
    <xf numFmtId="0" fontId="8" fillId="3" borderId="20" xfId="0" applyFont="1" applyFill="1" applyBorder="1" applyAlignment="1">
      <alignment horizontal="right" vertical="center"/>
    </xf>
    <xf numFmtId="183" fontId="8" fillId="3" borderId="18" xfId="0" applyNumberFormat="1" applyFont="1" applyFill="1" applyBorder="1" applyAlignment="1">
      <alignment horizontal="center" vertical="center" wrapText="1"/>
    </xf>
    <xf numFmtId="183" fontId="8" fillId="3" borderId="20" xfId="0" applyNumberFormat="1" applyFont="1" applyFill="1" applyBorder="1" applyAlignment="1">
      <alignment horizontal="center" vertical="center" wrapText="1"/>
    </xf>
    <xf numFmtId="0" fontId="8" fillId="9" borderId="21" xfId="0" applyFont="1" applyFill="1" applyBorder="1" applyAlignment="1">
      <alignment horizontal="center" vertical="center"/>
    </xf>
    <xf numFmtId="0" fontId="8" fillId="9" borderId="21" xfId="0" applyFont="1" applyFill="1" applyBorder="1" applyAlignment="1">
      <alignment horizontal="center" vertical="center" wrapText="1"/>
    </xf>
    <xf numFmtId="183" fontId="8" fillId="9" borderId="21" xfId="0" applyNumberFormat="1" applyFont="1" applyFill="1" applyBorder="1" applyAlignment="1">
      <alignment horizontal="center" vertical="center" wrapText="1"/>
    </xf>
    <xf numFmtId="0" fontId="16" fillId="9" borderId="21" xfId="0" applyFont="1" applyFill="1" applyBorder="1" applyAlignment="1">
      <alignment horizontal="center" vertical="center" wrapText="1"/>
    </xf>
    <xf numFmtId="2" fontId="9" fillId="5" borderId="15" xfId="3" applyNumberFormat="1" applyFont="1" applyFill="1" applyBorder="1" applyAlignment="1">
      <alignment horizontal="center" vertical="center" wrapText="1"/>
    </xf>
    <xf numFmtId="2" fontId="9" fillId="5" borderId="16" xfId="3" applyNumberFormat="1" applyFont="1" applyFill="1" applyBorder="1" applyAlignment="1">
      <alignment horizontal="center" vertical="center" wrapText="1"/>
    </xf>
    <xf numFmtId="2" fontId="9" fillId="5" borderId="17" xfId="3" applyNumberFormat="1" applyFont="1" applyFill="1" applyBorder="1" applyAlignment="1">
      <alignment horizontal="center" vertical="center" wrapText="1"/>
    </xf>
    <xf numFmtId="2" fontId="9" fillId="3" borderId="15" xfId="0" applyNumberFormat="1" applyFont="1" applyFill="1" applyBorder="1" applyAlignment="1">
      <alignment horizontal="center" vertical="center" wrapText="1"/>
    </xf>
    <xf numFmtId="2" fontId="9" fillId="3" borderId="16" xfId="0" applyNumberFormat="1" applyFont="1" applyFill="1" applyBorder="1" applyAlignment="1">
      <alignment horizontal="center" vertical="center" wrapText="1"/>
    </xf>
    <xf numFmtId="2" fontId="9" fillId="3" borderId="17" xfId="0" applyNumberFormat="1" applyFont="1" applyFill="1" applyBorder="1" applyAlignment="1">
      <alignment horizontal="center" vertical="center" wrapText="1"/>
    </xf>
    <xf numFmtId="217" fontId="9" fillId="3" borderId="16" xfId="0" applyNumberFormat="1" applyFont="1" applyFill="1" applyBorder="1" applyAlignment="1">
      <alignment horizontal="center" vertical="center" wrapText="1"/>
    </xf>
    <xf numFmtId="217" fontId="9" fillId="3" borderId="17" xfId="0" applyNumberFormat="1" applyFont="1" applyFill="1" applyBorder="1" applyAlignment="1">
      <alignment horizontal="center" vertical="center" wrapText="1"/>
    </xf>
    <xf numFmtId="0" fontId="9" fillId="9" borderId="18" xfId="0" applyFont="1" applyFill="1" applyBorder="1" applyAlignment="1">
      <alignment vertical="center"/>
    </xf>
    <xf numFmtId="0" fontId="9" fillId="9" borderId="18" xfId="0" applyFont="1" applyFill="1" applyBorder="1" applyAlignment="1">
      <alignment vertical="center" wrapText="1"/>
    </xf>
    <xf numFmtId="0" fontId="9" fillId="9" borderId="18" xfId="0" applyFont="1" applyFill="1" applyBorder="1" applyAlignment="1">
      <alignment horizontal="right" vertical="center"/>
    </xf>
    <xf numFmtId="0" fontId="8" fillId="9" borderId="20" xfId="0" applyFont="1" applyFill="1" applyBorder="1" applyAlignment="1">
      <alignment horizontal="right" vertical="center"/>
    </xf>
    <xf numFmtId="183" fontId="8" fillId="9" borderId="18" xfId="0" applyNumberFormat="1" applyFont="1" applyFill="1" applyBorder="1" applyAlignment="1">
      <alignment horizontal="center" vertical="center" wrapText="1"/>
    </xf>
    <xf numFmtId="183" fontId="8" fillId="9" borderId="20" xfId="0" applyNumberFormat="1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2" fontId="9" fillId="5" borderId="19" xfId="0" applyNumberFormat="1" applyFont="1" applyFill="1" applyBorder="1" applyAlignment="1">
      <alignment horizontal="center" vertical="center"/>
    </xf>
    <xf numFmtId="2" fontId="9" fillId="5" borderId="20" xfId="0" applyNumberFormat="1" applyFont="1" applyFill="1" applyBorder="1" applyAlignment="1">
      <alignment horizontal="center" vertical="center"/>
    </xf>
    <xf numFmtId="10" fontId="9" fillId="5" borderId="19" xfId="3" applyNumberFormat="1" applyFont="1" applyFill="1" applyBorder="1" applyAlignment="1">
      <alignment horizontal="center" vertical="center" wrapText="1"/>
    </xf>
    <xf numFmtId="10" fontId="9" fillId="5" borderId="18" xfId="3" applyNumberFormat="1" applyFont="1" applyFill="1" applyBorder="1" applyAlignment="1">
      <alignment horizontal="center" vertical="center" wrapText="1"/>
    </xf>
    <xf numFmtId="10" fontId="9" fillId="5" borderId="20" xfId="3" applyNumberFormat="1" applyFont="1" applyFill="1" applyBorder="1" applyAlignment="1">
      <alignment horizontal="center" vertical="center" wrapText="1"/>
    </xf>
    <xf numFmtId="0" fontId="9" fillId="9" borderId="10" xfId="0" applyFont="1" applyFill="1" applyBorder="1" applyAlignment="1">
      <alignment vertical="center"/>
    </xf>
    <xf numFmtId="0" fontId="9" fillId="9" borderId="11" xfId="0" applyFont="1" applyFill="1" applyBorder="1" applyAlignment="1">
      <alignment vertical="center"/>
    </xf>
    <xf numFmtId="0" fontId="9" fillId="9" borderId="11" xfId="0" applyFont="1" applyFill="1" applyBorder="1" applyAlignment="1">
      <alignment vertical="center" wrapText="1"/>
    </xf>
    <xf numFmtId="0" fontId="9" fillId="9" borderId="11" xfId="0" applyFont="1" applyFill="1" applyBorder="1" applyAlignment="1">
      <alignment horizontal="right" vertical="center"/>
    </xf>
    <xf numFmtId="0" fontId="8" fillId="9" borderId="12" xfId="0" applyFont="1" applyFill="1" applyBorder="1" applyAlignment="1">
      <alignment horizontal="right" vertical="center"/>
    </xf>
    <xf numFmtId="0" fontId="9" fillId="10" borderId="19" xfId="0" applyFont="1" applyFill="1" applyBorder="1" applyAlignment="1">
      <alignment vertical="center"/>
    </xf>
    <xf numFmtId="0" fontId="9" fillId="10" borderId="18" xfId="0" applyFont="1" applyFill="1" applyBorder="1" applyAlignment="1">
      <alignment vertical="center"/>
    </xf>
    <xf numFmtId="0" fontId="9" fillId="10" borderId="18" xfId="0" applyFont="1" applyFill="1" applyBorder="1" applyAlignment="1">
      <alignment vertical="center" wrapText="1"/>
    </xf>
    <xf numFmtId="0" fontId="9" fillId="10" borderId="18" xfId="0" applyFont="1" applyFill="1" applyBorder="1" applyAlignment="1">
      <alignment horizontal="right" vertical="center"/>
    </xf>
    <xf numFmtId="0" fontId="8" fillId="10" borderId="20" xfId="0" applyFont="1" applyFill="1" applyBorder="1" applyAlignment="1">
      <alignment horizontal="right" vertical="center"/>
    </xf>
    <xf numFmtId="183" fontId="8" fillId="10" borderId="18" xfId="0" applyNumberFormat="1" applyFont="1" applyFill="1" applyBorder="1" applyAlignment="1">
      <alignment horizontal="center" vertical="center" wrapText="1"/>
    </xf>
    <xf numFmtId="183" fontId="8" fillId="10" borderId="20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right" vertical="center"/>
    </xf>
    <xf numFmtId="0" fontId="8" fillId="3" borderId="0" xfId="0" applyFont="1" applyFill="1" applyAlignment="1">
      <alignment horizontal="right" vertical="center"/>
    </xf>
    <xf numFmtId="183" fontId="8" fillId="3" borderId="0" xfId="0" applyNumberFormat="1" applyFont="1" applyFill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8" fillId="9" borderId="14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 wrapText="1"/>
    </xf>
    <xf numFmtId="0" fontId="8" fillId="9" borderId="0" xfId="0" applyFont="1" applyFill="1" applyAlignment="1">
      <alignment horizontal="center" vertical="center" wrapText="1"/>
    </xf>
    <xf numFmtId="0" fontId="8" fillId="9" borderId="14" xfId="0" applyFont="1" applyFill="1" applyBorder="1" applyAlignment="1">
      <alignment horizontal="center" vertical="center" wrapText="1"/>
    </xf>
    <xf numFmtId="183" fontId="8" fillId="9" borderId="0" xfId="0" applyNumberFormat="1" applyFont="1" applyFill="1" applyAlignment="1">
      <alignment horizontal="center" vertical="center" wrapText="1"/>
    </xf>
    <xf numFmtId="183" fontId="8" fillId="9" borderId="14" xfId="0" applyNumberFormat="1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left" vertical="center"/>
    </xf>
    <xf numFmtId="2" fontId="9" fillId="5" borderId="19" xfId="3" applyNumberFormat="1" applyFont="1" applyFill="1" applyBorder="1" applyAlignment="1">
      <alignment horizontal="center" vertical="center" wrapText="1"/>
    </xf>
    <xf numFmtId="2" fontId="9" fillId="5" borderId="18" xfId="3" applyNumberFormat="1" applyFont="1" applyFill="1" applyBorder="1" applyAlignment="1">
      <alignment horizontal="center" vertical="center" wrapText="1"/>
    </xf>
    <xf numFmtId="2" fontId="9" fillId="5" borderId="20" xfId="3" applyNumberFormat="1" applyFont="1" applyFill="1" applyBorder="1" applyAlignment="1">
      <alignment horizontal="center" vertical="center" wrapText="1"/>
    </xf>
    <xf numFmtId="217" fontId="9" fillId="3" borderId="19" xfId="0" applyNumberFormat="1" applyFont="1" applyFill="1" applyBorder="1" applyAlignment="1">
      <alignment horizontal="center" vertical="center" wrapText="1"/>
    </xf>
    <xf numFmtId="217" fontId="9" fillId="3" borderId="18" xfId="0" applyNumberFormat="1" applyFont="1" applyFill="1" applyBorder="1" applyAlignment="1">
      <alignment horizontal="center" vertical="center" wrapText="1"/>
    </xf>
    <xf numFmtId="217" fontId="9" fillId="3" borderId="20" xfId="0" applyNumberFormat="1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left" vertical="center"/>
    </xf>
    <xf numFmtId="0" fontId="8" fillId="9" borderId="18" xfId="0" applyFont="1" applyFill="1" applyBorder="1" applyAlignment="1">
      <alignment horizontal="center" vertical="center"/>
    </xf>
    <xf numFmtId="228" fontId="9" fillId="3" borderId="18" xfId="0" applyNumberFormat="1" applyFont="1" applyFill="1" applyBorder="1" applyAlignment="1">
      <alignment horizontal="center" vertical="center" wrapText="1"/>
    </xf>
    <xf numFmtId="228" fontId="9" fillId="3" borderId="20" xfId="0" applyNumberFormat="1" applyFont="1" applyFill="1" applyBorder="1" applyAlignment="1">
      <alignment horizontal="center" vertical="center" wrapText="1"/>
    </xf>
    <xf numFmtId="228" fontId="9" fillId="5" borderId="16" xfId="0" applyNumberFormat="1" applyFont="1" applyFill="1" applyBorder="1" applyAlignment="1">
      <alignment horizontal="center" vertical="center" wrapText="1"/>
    </xf>
    <xf numFmtId="228" fontId="9" fillId="5" borderId="17" xfId="0" applyNumberFormat="1" applyFont="1" applyFill="1" applyBorder="1" applyAlignment="1">
      <alignment horizontal="center" vertical="center" wrapText="1"/>
    </xf>
    <xf numFmtId="229" fontId="9" fillId="5" borderId="16" xfId="0" applyNumberFormat="1" applyFont="1" applyFill="1" applyBorder="1" applyAlignment="1">
      <alignment horizontal="center" vertical="center" wrapText="1"/>
    </xf>
    <xf numFmtId="229" fontId="9" fillId="5" borderId="17" xfId="0" applyNumberFormat="1" applyFont="1" applyFill="1" applyBorder="1" applyAlignment="1">
      <alignment horizontal="center" vertical="center" wrapText="1"/>
    </xf>
    <xf numFmtId="228" fontId="9" fillId="3" borderId="16" xfId="0" applyNumberFormat="1" applyFont="1" applyFill="1" applyBorder="1" applyAlignment="1">
      <alignment horizontal="center" vertical="center" wrapText="1"/>
    </xf>
    <xf numFmtId="228" fontId="9" fillId="3" borderId="17" xfId="0" applyNumberFormat="1" applyFont="1" applyFill="1" applyBorder="1" applyAlignment="1">
      <alignment horizontal="center" vertical="center" wrapText="1"/>
    </xf>
    <xf numFmtId="230" fontId="8" fillId="10" borderId="18" xfId="0" applyNumberFormat="1" applyFont="1" applyFill="1" applyBorder="1" applyAlignment="1">
      <alignment horizontal="center" vertical="center" wrapText="1"/>
    </xf>
    <xf numFmtId="230" fontId="8" fillId="10" borderId="20" xfId="0" applyNumberFormat="1" applyFont="1" applyFill="1" applyBorder="1" applyAlignment="1">
      <alignment horizontal="center" vertical="center" wrapText="1"/>
    </xf>
    <xf numFmtId="0" fontId="8" fillId="12" borderId="19" xfId="0" applyFont="1" applyFill="1" applyBorder="1" applyAlignment="1">
      <alignment horizontal="center" vertical="center"/>
    </xf>
    <xf numFmtId="0" fontId="8" fillId="12" borderId="18" xfId="0" applyFont="1" applyFill="1" applyBorder="1" applyAlignment="1">
      <alignment horizontal="center" vertical="center"/>
    </xf>
    <xf numFmtId="0" fontId="8" fillId="12" borderId="20" xfId="0" applyFont="1" applyFill="1" applyBorder="1" applyAlignment="1">
      <alignment horizontal="center" vertical="center"/>
    </xf>
    <xf numFmtId="0" fontId="8" fillId="10" borderId="19" xfId="0" applyFont="1" applyFill="1" applyBorder="1" applyAlignment="1">
      <alignment horizontal="left" vertical="center"/>
    </xf>
    <xf numFmtId="0" fontId="8" fillId="10" borderId="18" xfId="0" applyFont="1" applyFill="1" applyBorder="1" applyAlignment="1">
      <alignment horizontal="left" vertical="center"/>
    </xf>
    <xf numFmtId="0" fontId="8" fillId="10" borderId="19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9" fillId="10" borderId="18" xfId="0" applyFont="1" applyFill="1" applyBorder="1" applyAlignment="1">
      <alignment horizontal="center" vertical="center"/>
    </xf>
    <xf numFmtId="0" fontId="9" fillId="10" borderId="18" xfId="0" applyFont="1" applyFill="1" applyBorder="1" applyAlignment="1">
      <alignment horizontal="center" vertical="center" wrapText="1"/>
    </xf>
    <xf numFmtId="183" fontId="9" fillId="10" borderId="18" xfId="0" applyNumberFormat="1" applyFont="1" applyFill="1" applyBorder="1" applyAlignment="1">
      <alignment horizontal="center" vertical="center" wrapText="1"/>
    </xf>
    <xf numFmtId="183" fontId="9" fillId="10" borderId="20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left" vertical="center"/>
    </xf>
    <xf numFmtId="0" fontId="9" fillId="3" borderId="12" xfId="0" applyFont="1" applyFill="1" applyBorder="1" applyAlignment="1">
      <alignment horizontal="left" vertical="center"/>
    </xf>
    <xf numFmtId="214" fontId="9" fillId="5" borderId="21" xfId="0" applyNumberFormat="1" applyFont="1" applyFill="1" applyBorder="1" applyAlignment="1">
      <alignment horizontal="center" vertical="center" wrapText="1"/>
    </xf>
    <xf numFmtId="217" fontId="9" fillId="3" borderId="21" xfId="0" applyNumberFormat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right" vertical="center"/>
    </xf>
    <xf numFmtId="0" fontId="9" fillId="0" borderId="18" xfId="0" applyFont="1" applyBorder="1" applyAlignment="1">
      <alignment horizontal="right" vertical="center"/>
    </xf>
    <xf numFmtId="4" fontId="9" fillId="3" borderId="18" xfId="0" applyNumberFormat="1" applyFont="1" applyFill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0" fillId="0" borderId="18" xfId="0" applyBorder="1" applyAlignment="1">
      <alignment vertical="center"/>
    </xf>
    <xf numFmtId="183" fontId="0" fillId="0" borderId="18" xfId="0" applyNumberFormat="1" applyBorder="1" applyAlignment="1">
      <alignment vertical="center"/>
    </xf>
    <xf numFmtId="183" fontId="0" fillId="0" borderId="20" xfId="0" applyNumberFormat="1" applyBorder="1" applyAlignment="1">
      <alignment vertical="center"/>
    </xf>
    <xf numFmtId="2" fontId="9" fillId="3" borderId="18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183" fontId="0" fillId="0" borderId="16" xfId="0" applyNumberFormat="1" applyBorder="1" applyAlignment="1">
      <alignment vertical="center"/>
    </xf>
    <xf numFmtId="183" fontId="0" fillId="0" borderId="17" xfId="0" applyNumberFormat="1" applyBorder="1" applyAlignment="1">
      <alignment vertical="center"/>
    </xf>
    <xf numFmtId="0" fontId="9" fillId="0" borderId="15" xfId="0" applyFont="1" applyBorder="1" applyAlignment="1">
      <alignment horizontal="right" vertical="center"/>
    </xf>
    <xf numFmtId="0" fontId="9" fillId="0" borderId="16" xfId="0" applyFont="1" applyBorder="1" applyAlignment="1">
      <alignment horizontal="right" vertical="center"/>
    </xf>
    <xf numFmtId="213" fontId="9" fillId="3" borderId="18" xfId="0" applyNumberFormat="1" applyFont="1" applyFill="1" applyBorder="1" applyAlignment="1">
      <alignment horizontal="center" vertical="center"/>
    </xf>
    <xf numFmtId="183" fontId="16" fillId="9" borderId="18" xfId="0" applyNumberFormat="1" applyFont="1" applyFill="1" applyBorder="1" applyAlignment="1">
      <alignment horizontal="center" vertical="center" wrapText="1"/>
    </xf>
    <xf numFmtId="183" fontId="16" fillId="9" borderId="20" xfId="0" applyNumberFormat="1" applyFont="1" applyFill="1" applyBorder="1" applyAlignment="1">
      <alignment horizontal="center" vertical="center" wrapText="1"/>
    </xf>
    <xf numFmtId="10" fontId="9" fillId="5" borderId="21" xfId="3" applyNumberFormat="1" applyFont="1" applyFill="1" applyBorder="1" applyAlignment="1">
      <alignment horizontal="center" vertical="center" wrapText="1"/>
    </xf>
    <xf numFmtId="217" fontId="29" fillId="3" borderId="21" xfId="0" applyNumberFormat="1" applyFont="1" applyFill="1" applyBorder="1" applyAlignment="1">
      <alignment horizontal="center" vertical="center" wrapText="1"/>
    </xf>
    <xf numFmtId="183" fontId="8" fillId="9" borderId="19" xfId="0" applyNumberFormat="1" applyFont="1" applyFill="1" applyBorder="1" applyAlignment="1">
      <alignment horizontal="center" vertical="center" wrapText="1"/>
    </xf>
    <xf numFmtId="212" fontId="9" fillId="5" borderId="0" xfId="0" applyNumberFormat="1" applyFont="1" applyFill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 wrapText="1"/>
    </xf>
    <xf numFmtId="0" fontId="9" fillId="3" borderId="31" xfId="0" applyFont="1" applyFill="1" applyBorder="1" applyAlignment="1">
      <alignment horizontal="center" vertical="center"/>
    </xf>
    <xf numFmtId="4" fontId="29" fillId="3" borderId="15" xfId="0" applyNumberFormat="1" applyFont="1" applyFill="1" applyBorder="1" applyAlignment="1">
      <alignment horizontal="center" vertical="center" wrapText="1"/>
    </xf>
    <xf numFmtId="4" fontId="29" fillId="3" borderId="16" xfId="0" applyNumberFormat="1" applyFont="1" applyFill="1" applyBorder="1" applyAlignment="1">
      <alignment horizontal="center" vertical="center" wrapText="1"/>
    </xf>
    <xf numFmtId="4" fontId="29" fillId="3" borderId="17" xfId="0" applyNumberFormat="1" applyFont="1" applyFill="1" applyBorder="1" applyAlignment="1">
      <alignment horizontal="center" vertical="center" wrapText="1"/>
    </xf>
    <xf numFmtId="1" fontId="9" fillId="3" borderId="15" xfId="0" applyNumberFormat="1" applyFont="1" applyFill="1" applyBorder="1" applyAlignment="1">
      <alignment horizontal="center" vertical="center" wrapText="1"/>
    </xf>
    <xf numFmtId="1" fontId="9" fillId="3" borderId="16" xfId="0" applyNumberFormat="1" applyFont="1" applyFill="1" applyBorder="1" applyAlignment="1">
      <alignment horizontal="center" vertical="center" wrapText="1"/>
    </xf>
    <xf numFmtId="1" fontId="9" fillId="3" borderId="17" xfId="0" applyNumberFormat="1" applyFont="1" applyFill="1" applyBorder="1" applyAlignment="1">
      <alignment horizontal="center" vertical="center" wrapText="1"/>
    </xf>
    <xf numFmtId="231" fontId="9" fillId="3" borderId="15" xfId="0" applyNumberFormat="1" applyFont="1" applyFill="1" applyBorder="1" applyAlignment="1">
      <alignment horizontal="center" vertical="center" wrapText="1"/>
    </xf>
    <xf numFmtId="231" fontId="9" fillId="3" borderId="16" xfId="0" applyNumberFormat="1" applyFont="1" applyFill="1" applyBorder="1" applyAlignment="1">
      <alignment horizontal="center" vertical="center" wrapText="1"/>
    </xf>
    <xf numFmtId="231" fontId="9" fillId="3" borderId="17" xfId="0" applyNumberFormat="1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left" vertical="center" wrapText="1"/>
    </xf>
    <xf numFmtId="0" fontId="9" fillId="3" borderId="30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left" vertical="center" wrapText="1"/>
    </xf>
    <xf numFmtId="1" fontId="9" fillId="3" borderId="10" xfId="0" applyNumberFormat="1" applyFont="1" applyFill="1" applyBorder="1" applyAlignment="1">
      <alignment horizontal="center" vertical="center" wrapText="1"/>
    </xf>
    <xf numFmtId="1" fontId="9" fillId="3" borderId="11" xfId="0" applyNumberFormat="1" applyFont="1" applyFill="1" applyBorder="1" applyAlignment="1">
      <alignment horizontal="center" vertical="center" wrapText="1"/>
    </xf>
    <xf numFmtId="1" fontId="9" fillId="3" borderId="12" xfId="0" applyNumberFormat="1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right" vertical="center"/>
    </xf>
    <xf numFmtId="0" fontId="8" fillId="3" borderId="18" xfId="0" applyFont="1" applyFill="1" applyBorder="1" applyAlignment="1">
      <alignment horizontal="right" vertical="center"/>
    </xf>
    <xf numFmtId="4" fontId="16" fillId="3" borderId="19" xfId="0" applyNumberFormat="1" applyFont="1" applyFill="1" applyBorder="1" applyAlignment="1">
      <alignment horizontal="center" vertical="center" wrapText="1"/>
    </xf>
    <xf numFmtId="4" fontId="16" fillId="3" borderId="18" xfId="0" applyNumberFormat="1" applyFont="1" applyFill="1" applyBorder="1" applyAlignment="1">
      <alignment horizontal="center" vertical="center" wrapText="1"/>
    </xf>
    <xf numFmtId="4" fontId="16" fillId="3" borderId="20" xfId="0" applyNumberFormat="1" applyFont="1" applyFill="1" applyBorder="1" applyAlignment="1">
      <alignment horizontal="center" vertical="center" wrapText="1"/>
    </xf>
    <xf numFmtId="4" fontId="29" fillId="3" borderId="19" xfId="0" applyNumberFormat="1" applyFont="1" applyFill="1" applyBorder="1" applyAlignment="1">
      <alignment horizontal="center" vertical="center" wrapText="1"/>
    </xf>
    <xf numFmtId="4" fontId="29" fillId="3" borderId="18" xfId="0" applyNumberFormat="1" applyFont="1" applyFill="1" applyBorder="1" applyAlignment="1">
      <alignment horizontal="center" vertical="center" wrapText="1"/>
    </xf>
    <xf numFmtId="4" fontId="29" fillId="3" borderId="20" xfId="0" applyNumberFormat="1" applyFont="1" applyFill="1" applyBorder="1" applyAlignment="1">
      <alignment horizontal="center" vertical="center" wrapText="1"/>
    </xf>
    <xf numFmtId="231" fontId="9" fillId="3" borderId="19" xfId="0" applyNumberFormat="1" applyFont="1" applyFill="1" applyBorder="1" applyAlignment="1">
      <alignment horizontal="center" vertical="center" wrapText="1"/>
    </xf>
    <xf numFmtId="231" fontId="9" fillId="3" borderId="18" xfId="0" applyNumberFormat="1" applyFont="1" applyFill="1" applyBorder="1" applyAlignment="1">
      <alignment horizontal="center" vertical="center" wrapText="1"/>
    </xf>
    <xf numFmtId="231" fontId="9" fillId="3" borderId="20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left" vertical="center"/>
    </xf>
    <xf numFmtId="0" fontId="24" fillId="10" borderId="0" xfId="0" applyFont="1" applyFill="1" applyAlignment="1">
      <alignment vertical="center"/>
    </xf>
    <xf numFmtId="0" fontId="24" fillId="3" borderId="0" xfId="0" applyFont="1" applyFill="1" applyAlignment="1">
      <alignment vertical="center"/>
    </xf>
    <xf numFmtId="0" fontId="8" fillId="10" borderId="20" xfId="0" applyFont="1" applyFill="1" applyBorder="1" applyAlignment="1">
      <alignment horizontal="left" vertical="center"/>
    </xf>
    <xf numFmtId="0" fontId="8" fillId="9" borderId="19" xfId="0" applyFont="1" applyFill="1" applyBorder="1" applyAlignment="1">
      <alignment horizontal="center" vertical="center" wrapText="1"/>
    </xf>
    <xf numFmtId="0" fontId="8" fillId="9" borderId="18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left" vertical="center"/>
    </xf>
    <xf numFmtId="0" fontId="9" fillId="5" borderId="18" xfId="0" applyFont="1" applyFill="1" applyBorder="1" applyAlignment="1">
      <alignment horizontal="left" vertical="center"/>
    </xf>
    <xf numFmtId="0" fontId="9" fillId="5" borderId="20" xfId="0" applyFont="1" applyFill="1" applyBorder="1" applyAlignment="1">
      <alignment horizontal="left" vertical="center"/>
    </xf>
    <xf numFmtId="199" fontId="9" fillId="0" borderId="21" xfId="0" applyNumberFormat="1" applyFont="1" applyBorder="1" applyAlignment="1">
      <alignment horizontal="center" vertical="center"/>
    </xf>
    <xf numFmtId="2" fontId="31" fillId="0" borderId="0" xfId="0" applyNumberFormat="1" applyFont="1" applyAlignment="1">
      <alignment horizontal="center" vertical="center"/>
    </xf>
    <xf numFmtId="0" fontId="9" fillId="5" borderId="19" xfId="0" applyFont="1" applyFill="1" applyBorder="1" applyAlignment="1">
      <alignment horizontal="left" vertical="center" wrapText="1"/>
    </xf>
    <xf numFmtId="0" fontId="9" fillId="5" borderId="18" xfId="0" applyFont="1" applyFill="1" applyBorder="1" applyAlignment="1">
      <alignment horizontal="left" vertical="center" wrapText="1"/>
    </xf>
    <xf numFmtId="0" fontId="9" fillId="5" borderId="20" xfId="0" applyFont="1" applyFill="1" applyBorder="1" applyAlignment="1">
      <alignment horizontal="left" vertical="center" wrapText="1"/>
    </xf>
    <xf numFmtId="1" fontId="8" fillId="3" borderId="21" xfId="0" applyNumberFormat="1" applyFont="1" applyFill="1" applyBorder="1" applyAlignment="1">
      <alignment horizontal="center" vertical="center"/>
    </xf>
    <xf numFmtId="2" fontId="8" fillId="3" borderId="19" xfId="0" applyNumberFormat="1" applyFont="1" applyFill="1" applyBorder="1" applyAlignment="1">
      <alignment horizontal="center" vertical="center"/>
    </xf>
    <xf numFmtId="2" fontId="8" fillId="3" borderId="18" xfId="0" applyNumberFormat="1" applyFont="1" applyFill="1" applyBorder="1" applyAlignment="1">
      <alignment horizontal="center" vertical="center"/>
    </xf>
    <xf numFmtId="2" fontId="8" fillId="3" borderId="20" xfId="0" applyNumberFormat="1" applyFont="1" applyFill="1" applyBorder="1" applyAlignment="1">
      <alignment horizontal="center" vertical="center"/>
    </xf>
    <xf numFmtId="199" fontId="8" fillId="7" borderId="21" xfId="0" applyNumberFormat="1" applyFont="1" applyFill="1" applyBorder="1" applyAlignment="1">
      <alignment horizontal="right" vertical="center"/>
    </xf>
    <xf numFmtId="199" fontId="8" fillId="7" borderId="21" xfId="0" applyNumberFormat="1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10" borderId="19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199" fontId="8" fillId="10" borderId="19" xfId="0" applyNumberFormat="1" applyFont="1" applyFill="1" applyBorder="1" applyAlignment="1">
      <alignment horizontal="center" vertical="center"/>
    </xf>
    <xf numFmtId="199" fontId="8" fillId="10" borderId="18" xfId="0" applyNumberFormat="1" applyFont="1" applyFill="1" applyBorder="1" applyAlignment="1">
      <alignment horizontal="center" vertical="center"/>
    </xf>
    <xf numFmtId="199" fontId="8" fillId="10" borderId="20" xfId="0" applyNumberFormat="1" applyFont="1" applyFill="1" applyBorder="1" applyAlignment="1">
      <alignment horizontal="center" vertical="center"/>
    </xf>
    <xf numFmtId="2" fontId="9" fillId="0" borderId="19" xfId="0" applyNumberFormat="1" applyFont="1" applyBorder="1" applyAlignment="1">
      <alignment horizontal="center" vertical="center"/>
    </xf>
    <xf numFmtId="2" fontId="9" fillId="0" borderId="18" xfId="0" applyNumberFormat="1" applyFont="1" applyBorder="1" applyAlignment="1">
      <alignment horizontal="center" vertical="center"/>
    </xf>
    <xf numFmtId="2" fontId="9" fillId="0" borderId="20" xfId="0" applyNumberFormat="1" applyFont="1" applyBorder="1" applyAlignment="1">
      <alignment horizontal="center" vertical="center"/>
    </xf>
    <xf numFmtId="2" fontId="13" fillId="0" borderId="19" xfId="0" applyNumberFormat="1" applyFont="1" applyBorder="1" applyAlignment="1">
      <alignment horizontal="center" vertical="center"/>
    </xf>
    <xf numFmtId="2" fontId="13" fillId="0" borderId="18" xfId="0" applyNumberFormat="1" applyFont="1" applyBorder="1" applyAlignment="1">
      <alignment horizontal="center" vertical="center"/>
    </xf>
    <xf numFmtId="2" fontId="13" fillId="0" borderId="20" xfId="0" applyNumberFormat="1" applyFont="1" applyBorder="1" applyAlignment="1">
      <alignment horizontal="center" vertical="center"/>
    </xf>
    <xf numFmtId="0" fontId="8" fillId="3" borderId="19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8" fillId="3" borderId="20" xfId="0" applyFont="1" applyFill="1" applyBorder="1" applyAlignment="1">
      <alignment horizontal="left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10" fontId="9" fillId="3" borderId="16" xfId="3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3" borderId="16" xfId="0" applyFont="1" applyFill="1" applyBorder="1" applyAlignment="1">
      <alignment horizontal="right" vertical="center"/>
    </xf>
    <xf numFmtId="232" fontId="8" fillId="3" borderId="16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vertical="center"/>
    </xf>
    <xf numFmtId="233" fontId="9" fillId="3" borderId="16" xfId="0" applyNumberFormat="1" applyFont="1" applyFill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10" fontId="9" fillId="3" borderId="18" xfId="3" applyNumberFormat="1" applyFont="1" applyFill="1" applyBorder="1" applyAlignment="1">
      <alignment horizontal="center" vertical="center"/>
    </xf>
    <xf numFmtId="2" fontId="9" fillId="5" borderId="18" xfId="0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234" fontId="0" fillId="0" borderId="0" xfId="3" applyNumberFormat="1" applyFont="1" applyAlignment="1">
      <alignment vertical="center"/>
    </xf>
    <xf numFmtId="235" fontId="0" fillId="0" borderId="0" xfId="0" applyNumberFormat="1" applyAlignment="1">
      <alignment vertical="center"/>
    </xf>
    <xf numFmtId="199" fontId="9" fillId="0" borderId="30" xfId="0" applyNumberFormat="1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5" borderId="10" xfId="0" applyFont="1" applyFill="1" applyBorder="1" applyAlignment="1">
      <alignment horizontal="left" vertical="center" wrapText="1"/>
    </xf>
    <xf numFmtId="2" fontId="8" fillId="10" borderId="19" xfId="0" applyNumberFormat="1" applyFont="1" applyFill="1" applyBorder="1" applyAlignment="1">
      <alignment horizontal="center" vertical="center"/>
    </xf>
    <xf numFmtId="2" fontId="8" fillId="10" borderId="18" xfId="0" applyNumberFormat="1" applyFont="1" applyFill="1" applyBorder="1" applyAlignment="1">
      <alignment horizontal="center" vertical="center"/>
    </xf>
    <xf numFmtId="199" fontId="8" fillId="3" borderId="19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99" fontId="8" fillId="10" borderId="20" xfId="0" applyNumberFormat="1" applyFont="1" applyFill="1" applyBorder="1" applyAlignment="1">
      <alignment horizontal="right" vertical="center"/>
    </xf>
    <xf numFmtId="199" fontId="8" fillId="10" borderId="21" xfId="0" applyNumberFormat="1" applyFont="1" applyFill="1" applyBorder="1" applyAlignment="1">
      <alignment horizontal="right" vertical="center"/>
    </xf>
    <xf numFmtId="1" fontId="8" fillId="3" borderId="19" xfId="0" applyNumberFormat="1" applyFont="1" applyFill="1" applyBorder="1" applyAlignment="1">
      <alignment horizontal="center" vertical="center"/>
    </xf>
    <xf numFmtId="1" fontId="8" fillId="3" borderId="18" xfId="0" applyNumberFormat="1" applyFont="1" applyFill="1" applyBorder="1" applyAlignment="1">
      <alignment horizontal="center" vertical="center"/>
    </xf>
    <xf numFmtId="0" fontId="0" fillId="3" borderId="18" xfId="0" applyFill="1" applyBorder="1" applyAlignment="1">
      <alignment vertical="center"/>
    </xf>
    <xf numFmtId="199" fontId="8" fillId="3" borderId="18" xfId="0" applyNumberFormat="1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199" fontId="8" fillId="3" borderId="18" xfId="0" applyNumberFormat="1" applyFont="1" applyFill="1" applyBorder="1" applyAlignment="1">
      <alignment horizontal="right" vertical="center"/>
    </xf>
    <xf numFmtId="199" fontId="8" fillId="3" borderId="20" xfId="0" applyNumberFormat="1" applyFont="1" applyFill="1" applyBorder="1" applyAlignment="1">
      <alignment horizontal="right" vertical="center"/>
    </xf>
    <xf numFmtId="1" fontId="8" fillId="3" borderId="20" xfId="0" applyNumberFormat="1" applyFont="1" applyFill="1" applyBorder="1" applyAlignment="1">
      <alignment horizontal="center" vertical="center"/>
    </xf>
    <xf numFmtId="1" fontId="8" fillId="3" borderId="15" xfId="0" applyNumberFormat="1" applyFont="1" applyFill="1" applyBorder="1" applyAlignment="1">
      <alignment horizontal="right" vertical="center"/>
    </xf>
    <xf numFmtId="1" fontId="8" fillId="3" borderId="16" xfId="0" applyNumberFormat="1" applyFont="1" applyFill="1" applyBorder="1" applyAlignment="1">
      <alignment horizontal="right" vertical="center"/>
    </xf>
    <xf numFmtId="214" fontId="9" fillId="3" borderId="18" xfId="0" applyNumberFormat="1" applyFont="1" applyFill="1" applyBorder="1" applyAlignment="1">
      <alignment horizontal="center" vertical="center"/>
    </xf>
    <xf numFmtId="1" fontId="8" fillId="3" borderId="16" xfId="0" applyNumberFormat="1" applyFont="1" applyFill="1" applyBorder="1" applyAlignment="1">
      <alignment vertical="center"/>
    </xf>
    <xf numFmtId="1" fontId="8" fillId="3" borderId="17" xfId="0" applyNumberFormat="1" applyFont="1" applyFill="1" applyBorder="1" applyAlignment="1">
      <alignment vertical="center"/>
    </xf>
    <xf numFmtId="236" fontId="9" fillId="3" borderId="18" xfId="0" applyNumberFormat="1" applyFont="1" applyFill="1" applyBorder="1" applyAlignment="1">
      <alignment horizontal="center" vertical="center"/>
    </xf>
    <xf numFmtId="1" fontId="8" fillId="10" borderId="19" xfId="0" applyNumberFormat="1" applyFont="1" applyFill="1" applyBorder="1" applyAlignment="1">
      <alignment horizontal="right" vertical="center" wrapText="1"/>
    </xf>
    <xf numFmtId="1" fontId="8" fillId="10" borderId="18" xfId="0" applyNumberFormat="1" applyFont="1" applyFill="1" applyBorder="1" applyAlignment="1">
      <alignment horizontal="right" vertical="center" wrapText="1"/>
    </xf>
    <xf numFmtId="236" fontId="8" fillId="10" borderId="18" xfId="0" applyNumberFormat="1" applyFont="1" applyFill="1" applyBorder="1" applyAlignment="1">
      <alignment horizontal="center" vertical="center"/>
    </xf>
    <xf numFmtId="1" fontId="8" fillId="10" borderId="18" xfId="0" applyNumberFormat="1" applyFont="1" applyFill="1" applyBorder="1" applyAlignment="1">
      <alignment vertical="center"/>
    </xf>
    <xf numFmtId="1" fontId="8" fillId="10" borderId="20" xfId="0" applyNumberFormat="1" applyFont="1" applyFill="1" applyBorder="1" applyAlignment="1">
      <alignment vertical="center"/>
    </xf>
    <xf numFmtId="1" fontId="9" fillId="3" borderId="19" xfId="0" applyNumberFormat="1" applyFont="1" applyFill="1" applyBorder="1" applyAlignment="1">
      <alignment horizontal="right" vertical="center"/>
    </xf>
    <xf numFmtId="1" fontId="9" fillId="3" borderId="18" xfId="0" applyNumberFormat="1" applyFont="1" applyFill="1" applyBorder="1" applyAlignment="1">
      <alignment horizontal="right" vertical="center"/>
    </xf>
    <xf numFmtId="1" fontId="9" fillId="3" borderId="18" xfId="0" applyNumberFormat="1" applyFont="1" applyFill="1" applyBorder="1" applyAlignment="1">
      <alignment vertical="center"/>
    </xf>
    <xf numFmtId="1" fontId="9" fillId="3" borderId="20" xfId="0" applyNumberFormat="1" applyFont="1" applyFill="1" applyBorder="1" applyAlignment="1">
      <alignment vertical="center"/>
    </xf>
    <xf numFmtId="1" fontId="8" fillId="3" borderId="19" xfId="0" applyNumberFormat="1" applyFont="1" applyFill="1" applyBorder="1" applyAlignment="1">
      <alignment horizontal="right" vertical="center"/>
    </xf>
    <xf numFmtId="1" fontId="8" fillId="3" borderId="18" xfId="0" applyNumberFormat="1" applyFont="1" applyFill="1" applyBorder="1" applyAlignment="1">
      <alignment horizontal="right" vertical="center"/>
    </xf>
    <xf numFmtId="236" fontId="8" fillId="3" borderId="18" xfId="0" applyNumberFormat="1" applyFont="1" applyFill="1" applyBorder="1" applyAlignment="1">
      <alignment horizontal="center" vertical="center"/>
    </xf>
    <xf numFmtId="1" fontId="8" fillId="3" borderId="18" xfId="0" applyNumberFormat="1" applyFont="1" applyFill="1" applyBorder="1" applyAlignment="1">
      <alignment vertical="center"/>
    </xf>
    <xf numFmtId="1" fontId="8" fillId="3" borderId="20" xfId="0" applyNumberFormat="1" applyFont="1" applyFill="1" applyBorder="1" applyAlignment="1">
      <alignment vertical="center"/>
    </xf>
    <xf numFmtId="0" fontId="32" fillId="0" borderId="19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227" fontId="9" fillId="5" borderId="18" xfId="0" applyNumberFormat="1" applyFont="1" applyFill="1" applyBorder="1" applyAlignment="1">
      <alignment horizontal="center" vertical="center"/>
    </xf>
    <xf numFmtId="233" fontId="29" fillId="5" borderId="18" xfId="0" applyNumberFormat="1" applyFont="1" applyFill="1" applyBorder="1" applyAlignment="1">
      <alignment horizontal="center" vertical="center"/>
    </xf>
    <xf numFmtId="233" fontId="9" fillId="5" borderId="18" xfId="0" applyNumberFormat="1" applyFont="1" applyFill="1" applyBorder="1" applyAlignment="1">
      <alignment horizontal="left" vertical="center"/>
    </xf>
    <xf numFmtId="233" fontId="9" fillId="5" borderId="20" xfId="0" applyNumberFormat="1" applyFont="1" applyFill="1" applyBorder="1" applyAlignment="1">
      <alignment horizontal="left" vertical="center"/>
    </xf>
    <xf numFmtId="237" fontId="9" fillId="5" borderId="18" xfId="0" applyNumberFormat="1" applyFont="1" applyFill="1" applyBorder="1" applyAlignment="1">
      <alignment horizontal="left" vertical="center"/>
    </xf>
    <xf numFmtId="237" fontId="9" fillId="5" borderId="20" xfId="0" applyNumberFormat="1" applyFont="1" applyFill="1" applyBorder="1" applyAlignment="1">
      <alignment horizontal="left" vertical="center"/>
    </xf>
    <xf numFmtId="0" fontId="8" fillId="10" borderId="19" xfId="0" applyFont="1" applyFill="1" applyBorder="1" applyAlignment="1">
      <alignment horizontal="left" vertical="center" wrapText="1"/>
    </xf>
    <xf numFmtId="0" fontId="8" fillId="10" borderId="18" xfId="0" applyFont="1" applyFill="1" applyBorder="1" applyAlignment="1">
      <alignment horizontal="left" vertical="center" wrapText="1"/>
    </xf>
    <xf numFmtId="0" fontId="8" fillId="10" borderId="20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8" fillId="0" borderId="19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232" fontId="8" fillId="5" borderId="18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9" fillId="0" borderId="20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232" fontId="9" fillId="5" borderId="18" xfId="0" applyNumberFormat="1" applyFont="1" applyFill="1" applyBorder="1" applyAlignment="1">
      <alignment horizontal="center" vertical="center"/>
    </xf>
    <xf numFmtId="238" fontId="8" fillId="5" borderId="18" xfId="0" applyNumberFormat="1" applyFont="1" applyFill="1" applyBorder="1" applyAlignment="1">
      <alignment horizontal="center" vertical="center"/>
    </xf>
    <xf numFmtId="237" fontId="9" fillId="0" borderId="18" xfId="0" applyNumberFormat="1" applyFont="1" applyBorder="1" applyAlignment="1">
      <alignment horizontal="left" vertical="center"/>
    </xf>
    <xf numFmtId="0" fontId="8" fillId="5" borderId="19" xfId="0" applyFont="1" applyFill="1" applyBorder="1" applyAlignment="1">
      <alignment horizontal="left" vertical="center"/>
    </xf>
    <xf numFmtId="0" fontId="8" fillId="5" borderId="18" xfId="0" applyFont="1" applyFill="1" applyBorder="1" applyAlignment="1">
      <alignment horizontal="left" vertical="center"/>
    </xf>
    <xf numFmtId="0" fontId="8" fillId="5" borderId="18" xfId="0" applyFont="1" applyFill="1" applyBorder="1" applyAlignment="1">
      <alignment horizontal="right" vertical="center"/>
    </xf>
    <xf numFmtId="199" fontId="8" fillId="5" borderId="18" xfId="0" applyNumberFormat="1" applyFont="1" applyFill="1" applyBorder="1" applyAlignment="1">
      <alignment horizontal="center" vertical="center"/>
    </xf>
    <xf numFmtId="199" fontId="8" fillId="5" borderId="20" xfId="0" applyNumberFormat="1" applyFont="1" applyFill="1" applyBorder="1" applyAlignment="1">
      <alignment horizontal="center" vertical="center"/>
    </xf>
    <xf numFmtId="0" fontId="33" fillId="3" borderId="0" xfId="6" applyFont="1" applyFill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10" fontId="9" fillId="3" borderId="19" xfId="3" applyNumberFormat="1" applyFont="1" applyFill="1" applyBorder="1" applyAlignment="1">
      <alignment horizontal="center" vertical="center" wrapText="1"/>
    </xf>
    <xf numFmtId="10" fontId="9" fillId="3" borderId="18" xfId="3" applyNumberFormat="1" applyFont="1" applyFill="1" applyBorder="1" applyAlignment="1">
      <alignment horizontal="center" vertical="center" wrapText="1"/>
    </xf>
    <xf numFmtId="10" fontId="9" fillId="3" borderId="20" xfId="3" applyNumberFormat="1" applyFont="1" applyFill="1" applyBorder="1" applyAlignment="1">
      <alignment horizontal="center" vertical="center" wrapText="1"/>
    </xf>
    <xf numFmtId="4" fontId="9" fillId="3" borderId="19" xfId="3" applyNumberFormat="1" applyFont="1" applyFill="1" applyBorder="1" applyAlignment="1">
      <alignment horizontal="center" vertical="center" wrapText="1"/>
    </xf>
    <xf numFmtId="4" fontId="9" fillId="3" borderId="18" xfId="3" applyNumberFormat="1" applyFont="1" applyFill="1" applyBorder="1" applyAlignment="1">
      <alignment horizontal="center" vertical="center" wrapText="1"/>
    </xf>
    <xf numFmtId="4" fontId="9" fillId="3" borderId="20" xfId="3" applyNumberFormat="1" applyFont="1" applyFill="1" applyBorder="1" applyAlignment="1">
      <alignment horizontal="center" vertical="center" wrapText="1"/>
    </xf>
    <xf numFmtId="10" fontId="13" fillId="3" borderId="19" xfId="0" applyNumberFormat="1" applyFont="1" applyFill="1" applyBorder="1" applyAlignment="1">
      <alignment horizontal="center" vertical="center"/>
    </xf>
    <xf numFmtId="10" fontId="13" fillId="3" borderId="18" xfId="0" applyNumberFormat="1" applyFont="1" applyFill="1" applyBorder="1" applyAlignment="1">
      <alignment horizontal="center" vertical="center"/>
    </xf>
    <xf numFmtId="10" fontId="13" fillId="3" borderId="20" xfId="0" applyNumberFormat="1" applyFont="1" applyFill="1" applyBorder="1" applyAlignment="1">
      <alignment horizontal="center" vertical="center"/>
    </xf>
    <xf numFmtId="0" fontId="29" fillId="5" borderId="19" xfId="0" applyFont="1" applyFill="1" applyBorder="1" applyAlignment="1">
      <alignment horizontal="center" vertical="center"/>
    </xf>
    <xf numFmtId="0" fontId="29" fillId="5" borderId="18" xfId="0" applyFont="1" applyFill="1" applyBorder="1" applyAlignment="1">
      <alignment horizontal="center" vertical="center"/>
    </xf>
    <xf numFmtId="0" fontId="29" fillId="5" borderId="20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29" fillId="5" borderId="19" xfId="0" applyFont="1" applyFill="1" applyBorder="1" applyAlignment="1">
      <alignment horizontal="center" vertical="center" wrapText="1"/>
    </xf>
    <xf numFmtId="0" fontId="29" fillId="5" borderId="18" xfId="0" applyFont="1" applyFill="1" applyBorder="1" applyAlignment="1">
      <alignment horizontal="center" vertical="center" wrapText="1"/>
    </xf>
    <xf numFmtId="0" fontId="29" fillId="5" borderId="20" xfId="0" applyFont="1" applyFill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right" vertical="center"/>
    </xf>
    <xf numFmtId="4" fontId="8" fillId="9" borderId="15" xfId="0" applyNumberFormat="1" applyFont="1" applyFill="1" applyBorder="1" applyAlignment="1">
      <alignment horizontal="center" vertical="center" wrapText="1"/>
    </xf>
    <xf numFmtId="4" fontId="8" fillId="9" borderId="16" xfId="0" applyNumberFormat="1" applyFont="1" applyFill="1" applyBorder="1" applyAlignment="1">
      <alignment horizontal="center" vertical="center" wrapText="1"/>
    </xf>
    <xf numFmtId="4" fontId="8" fillId="9" borderId="17" xfId="0" applyNumberFormat="1" applyFont="1" applyFill="1" applyBorder="1" applyAlignment="1">
      <alignment horizontal="center" vertical="center" wrapText="1"/>
    </xf>
    <xf numFmtId="10" fontId="8" fillId="9" borderId="19" xfId="3" applyNumberFormat="1" applyFont="1" applyFill="1" applyBorder="1" applyAlignment="1">
      <alignment horizontal="center" vertical="center" wrapText="1"/>
    </xf>
    <xf numFmtId="10" fontId="8" fillId="9" borderId="18" xfId="3" applyNumberFormat="1" applyFont="1" applyFill="1" applyBorder="1" applyAlignment="1">
      <alignment horizontal="center" vertical="center" wrapText="1"/>
    </xf>
    <xf numFmtId="10" fontId="8" fillId="9" borderId="20" xfId="3" applyNumberFormat="1" applyFont="1" applyFill="1" applyBorder="1" applyAlignment="1">
      <alignment horizontal="center" vertical="center" wrapText="1"/>
    </xf>
    <xf numFmtId="0" fontId="24" fillId="7" borderId="0" xfId="0" applyFont="1" applyFill="1" applyAlignment="1">
      <alignment vertical="center"/>
    </xf>
    <xf numFmtId="2" fontId="9" fillId="5" borderId="0" xfId="0" applyNumberFormat="1" applyFont="1" applyFill="1" applyAlignment="1">
      <alignment horizontal="center" vertical="center"/>
    </xf>
    <xf numFmtId="0" fontId="8" fillId="7" borderId="18" xfId="0" applyFont="1" applyFill="1" applyBorder="1" applyAlignment="1">
      <alignment vertical="center"/>
    </xf>
    <xf numFmtId="4" fontId="8" fillId="7" borderId="19" xfId="0" applyNumberFormat="1" applyFont="1" applyFill="1" applyBorder="1" applyAlignment="1">
      <alignment horizontal="center" vertical="center" wrapText="1"/>
    </xf>
    <xf numFmtId="4" fontId="8" fillId="7" borderId="18" xfId="0" applyNumberFormat="1" applyFont="1" applyFill="1" applyBorder="1" applyAlignment="1">
      <alignment horizontal="center" vertical="center" wrapText="1"/>
    </xf>
    <xf numFmtId="4" fontId="8" fillId="7" borderId="20" xfId="0" applyNumberFormat="1" applyFont="1" applyFill="1" applyBorder="1" applyAlignment="1">
      <alignment horizontal="center" vertical="center" wrapText="1"/>
    </xf>
    <xf numFmtId="10" fontId="8" fillId="7" borderId="21" xfId="3" applyNumberFormat="1" applyFont="1" applyFill="1" applyBorder="1" applyAlignment="1">
      <alignment horizontal="center" vertical="center"/>
    </xf>
    <xf numFmtId="49" fontId="8" fillId="7" borderId="19" xfId="0" applyNumberFormat="1" applyFont="1" applyFill="1" applyBorder="1" applyAlignment="1">
      <alignment horizontal="center" vertical="center"/>
    </xf>
    <xf numFmtId="49" fontId="8" fillId="7" borderId="18" xfId="0" applyNumberFormat="1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10" fontId="9" fillId="3" borderId="10" xfId="3" applyNumberFormat="1" applyFont="1" applyFill="1" applyBorder="1" applyAlignment="1">
      <alignment horizontal="center" vertical="center" wrapText="1"/>
    </xf>
    <xf numFmtId="10" fontId="9" fillId="3" borderId="11" xfId="3" applyNumberFormat="1" applyFont="1" applyFill="1" applyBorder="1" applyAlignment="1">
      <alignment horizontal="center" vertical="center" wrapText="1"/>
    </xf>
    <xf numFmtId="10" fontId="9" fillId="3" borderId="12" xfId="3" applyNumberFormat="1" applyFont="1" applyFill="1" applyBorder="1" applyAlignment="1">
      <alignment horizontal="center" vertical="center" wrapText="1"/>
    </xf>
    <xf numFmtId="4" fontId="8" fillId="9" borderId="21" xfId="0" applyNumberFormat="1" applyFont="1" applyFill="1" applyBorder="1" applyAlignment="1">
      <alignment horizontal="center" vertical="center" wrapText="1"/>
    </xf>
    <xf numFmtId="10" fontId="8" fillId="9" borderId="21" xfId="3" applyNumberFormat="1" applyFont="1" applyFill="1" applyBorder="1" applyAlignment="1">
      <alignment horizontal="center" vertical="center" wrapText="1"/>
    </xf>
    <xf numFmtId="4" fontId="8" fillId="9" borderId="19" xfId="0" applyNumberFormat="1" applyFont="1" applyFill="1" applyBorder="1" applyAlignment="1">
      <alignment horizontal="center" vertical="center" wrapText="1"/>
    </xf>
    <xf numFmtId="4" fontId="8" fillId="9" borderId="18" xfId="0" applyNumberFormat="1" applyFont="1" applyFill="1" applyBorder="1" applyAlignment="1">
      <alignment horizontal="center" vertical="center" wrapText="1"/>
    </xf>
    <xf numFmtId="4" fontId="8" fillId="9" borderId="20" xfId="0" applyNumberFormat="1" applyFont="1" applyFill="1" applyBorder="1" applyAlignment="1">
      <alignment horizontal="center" vertical="center" wrapText="1"/>
    </xf>
    <xf numFmtId="10" fontId="9" fillId="9" borderId="19" xfId="3" applyNumberFormat="1" applyFont="1" applyFill="1" applyBorder="1" applyAlignment="1">
      <alignment horizontal="center" vertical="center" wrapText="1"/>
    </xf>
    <xf numFmtId="10" fontId="9" fillId="9" borderId="18" xfId="3" applyNumberFormat="1" applyFont="1" applyFill="1" applyBorder="1" applyAlignment="1">
      <alignment horizontal="center" vertical="center" wrapText="1"/>
    </xf>
    <xf numFmtId="10" fontId="9" fillId="9" borderId="20" xfId="3" applyNumberFormat="1" applyFont="1" applyFill="1" applyBorder="1" applyAlignment="1">
      <alignment horizontal="center" vertical="center" wrapText="1"/>
    </xf>
    <xf numFmtId="2" fontId="8" fillId="9" borderId="19" xfId="0" applyNumberFormat="1" applyFont="1" applyFill="1" applyBorder="1" applyAlignment="1">
      <alignment horizontal="center" vertical="center" wrapText="1"/>
    </xf>
    <xf numFmtId="2" fontId="8" fillId="9" borderId="18" xfId="0" applyNumberFormat="1" applyFont="1" applyFill="1" applyBorder="1" applyAlignment="1">
      <alignment horizontal="center" vertical="center" wrapText="1"/>
    </xf>
    <xf numFmtId="2" fontId="8" fillId="9" borderId="20" xfId="0" applyNumberFormat="1" applyFont="1" applyFill="1" applyBorder="1" applyAlignment="1">
      <alignment horizontal="center" vertical="center" wrapText="1"/>
    </xf>
    <xf numFmtId="0" fontId="34" fillId="0" borderId="0" xfId="0" applyFont="1"/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center" vertical="center" wrapText="1"/>
    </xf>
    <xf numFmtId="0" fontId="24" fillId="0" borderId="22" xfId="0" applyFont="1" applyBorder="1"/>
    <xf numFmtId="0" fontId="0" fillId="0" borderId="23" xfId="0" applyBorder="1"/>
    <xf numFmtId="0" fontId="0" fillId="0" borderId="24" xfId="0" applyBorder="1"/>
    <xf numFmtId="0" fontId="24" fillId="0" borderId="25" xfId="0" applyFont="1" applyBorder="1"/>
    <xf numFmtId="0" fontId="0" fillId="0" borderId="26" xfId="0" applyBorder="1"/>
    <xf numFmtId="0" fontId="0" fillId="0" borderId="3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36" xfId="0" applyFont="1" applyBorder="1" applyAlignment="1">
      <alignment horizontal="center" vertical="center" wrapText="1"/>
    </xf>
    <xf numFmtId="1" fontId="0" fillId="0" borderId="32" xfId="0" applyNumberFormat="1" applyBorder="1" applyAlignment="1">
      <alignment horizontal="center" vertical="center" wrapText="1"/>
    </xf>
    <xf numFmtId="1" fontId="0" fillId="0" borderId="21" xfId="0" applyNumberFormat="1" applyBorder="1" applyAlignment="1">
      <alignment horizontal="center" vertical="center" wrapText="1"/>
    </xf>
    <xf numFmtId="2" fontId="0" fillId="0" borderId="37" xfId="0" applyNumberFormat="1" applyBorder="1" applyAlignment="1">
      <alignment horizontal="center" vertical="center" wrapText="1"/>
    </xf>
    <xf numFmtId="2" fontId="0" fillId="0" borderId="38" xfId="0" applyNumberFormat="1" applyBorder="1" applyAlignment="1">
      <alignment horizontal="center" vertical="center" wrapText="1"/>
    </xf>
    <xf numFmtId="2" fontId="0" fillId="0" borderId="39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214" fontId="27" fillId="0" borderId="10" xfId="0" applyNumberFormat="1" applyFont="1" applyBorder="1" applyAlignment="1">
      <alignment horizontal="center" vertical="center" wrapText="1"/>
    </xf>
    <xf numFmtId="214" fontId="27" fillId="0" borderId="11" xfId="0" applyNumberFormat="1" applyFont="1" applyBorder="1" applyAlignment="1">
      <alignment horizontal="center" vertical="center" wrapText="1"/>
    </xf>
    <xf numFmtId="214" fontId="27" fillId="0" borderId="12" xfId="0" applyNumberFormat="1" applyFont="1" applyBorder="1" applyAlignment="1">
      <alignment horizontal="center" vertical="center" wrapText="1"/>
    </xf>
    <xf numFmtId="214" fontId="0" fillId="0" borderId="30" xfId="0" applyNumberFormat="1" applyBorder="1" applyAlignment="1">
      <alignment horizontal="center" vertical="center" wrapText="1"/>
    </xf>
    <xf numFmtId="214" fontId="0" fillId="0" borderId="40" xfId="0" applyNumberFormat="1" applyBorder="1" applyAlignment="1">
      <alignment horizontal="center" vertical="center" wrapText="1"/>
    </xf>
    <xf numFmtId="0" fontId="37" fillId="0" borderId="41" xfId="0" applyFont="1" applyBorder="1" applyAlignment="1">
      <alignment horizontal="center"/>
    </xf>
    <xf numFmtId="0" fontId="37" fillId="0" borderId="42" xfId="0" applyFont="1" applyBorder="1" applyAlignment="1">
      <alignment horizontal="center"/>
    </xf>
    <xf numFmtId="0" fontId="37" fillId="0" borderId="43" xfId="0" applyFont="1" applyBorder="1" applyAlignment="1">
      <alignment horizontal="center"/>
    </xf>
    <xf numFmtId="0" fontId="0" fillId="0" borderId="22" xfId="0" applyBorder="1"/>
    <xf numFmtId="0" fontId="0" fillId="0" borderId="25" xfId="0" applyBorder="1"/>
    <xf numFmtId="0" fontId="24" fillId="0" borderId="44" xfId="0" applyFont="1" applyBorder="1" applyAlignment="1">
      <alignment horizontal="center"/>
    </xf>
    <xf numFmtId="0" fontId="24" fillId="0" borderId="45" xfId="0" applyFont="1" applyBorder="1" applyAlignment="1">
      <alignment horizontal="center"/>
    </xf>
    <xf numFmtId="0" fontId="24" fillId="0" borderId="46" xfId="0" applyFont="1" applyBorder="1" applyAlignment="1">
      <alignment horizontal="center"/>
    </xf>
    <xf numFmtId="0" fontId="24" fillId="0" borderId="3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214" fontId="24" fillId="0" borderId="48" xfId="0" applyNumberFormat="1" applyFont="1" applyBorder="1" applyAlignment="1">
      <alignment horizontal="center" vertical="center" wrapText="1"/>
    </xf>
    <xf numFmtId="214" fontId="24" fillId="0" borderId="38" xfId="0" applyNumberFormat="1" applyFont="1" applyBorder="1" applyAlignment="1">
      <alignment horizontal="center" vertical="center" wrapText="1"/>
    </xf>
    <xf numFmtId="214" fontId="24" fillId="0" borderId="49" xfId="0" applyNumberFormat="1" applyFont="1" applyBorder="1" applyAlignment="1">
      <alignment horizontal="center" vertical="center" wrapText="1"/>
    </xf>
    <xf numFmtId="0" fontId="0" fillId="0" borderId="27" xfId="0" applyBorder="1"/>
    <xf numFmtId="2" fontId="0" fillId="0" borderId="28" xfId="0" applyNumberFormat="1" applyBorder="1" applyAlignment="1">
      <alignment horizontal="center" vertical="center" wrapText="1"/>
    </xf>
    <xf numFmtId="0" fontId="0" fillId="0" borderId="29" xfId="0" applyBorder="1"/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2" fontId="0" fillId="0" borderId="52" xfId="0" applyNumberFormat="1" applyBorder="1" applyAlignment="1">
      <alignment horizontal="center" vertical="center" wrapText="1"/>
    </xf>
    <xf numFmtId="2" fontId="0" fillId="0" borderId="30" xfId="0" applyNumberFormat="1" applyBorder="1" applyAlignment="1">
      <alignment horizontal="center" vertical="center" wrapText="1"/>
    </xf>
    <xf numFmtId="214" fontId="0" fillId="0" borderId="37" xfId="0" applyNumberFormat="1" applyBorder="1" applyAlignment="1">
      <alignment horizontal="center" vertical="center" wrapText="1"/>
    </xf>
    <xf numFmtId="214" fontId="0" fillId="0" borderId="38" xfId="0" applyNumberFormat="1" applyBorder="1" applyAlignment="1">
      <alignment horizontal="center" vertical="center" wrapText="1"/>
    </xf>
    <xf numFmtId="214" fontId="0" fillId="0" borderId="49" xfId="0" applyNumberFormat="1" applyBorder="1" applyAlignment="1">
      <alignment horizontal="center" vertical="center" wrapText="1"/>
    </xf>
    <xf numFmtId="0" fontId="24" fillId="0" borderId="23" xfId="0" applyFont="1" applyBorder="1"/>
    <xf numFmtId="0" fontId="24" fillId="0" borderId="24" xfId="0" applyFont="1" applyBorder="1"/>
    <xf numFmtId="0" fontId="37" fillId="0" borderId="13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36" xfId="0" applyFont="1" applyBorder="1" applyAlignment="1">
      <alignment horizontal="center" vertical="center" wrapText="1"/>
    </xf>
    <xf numFmtId="2" fontId="0" fillId="0" borderId="32" xfId="0" applyNumberFormat="1" applyBorder="1" applyAlignment="1">
      <alignment horizontal="center" vertical="center" wrapText="1"/>
    </xf>
    <xf numFmtId="214" fontId="0" fillId="0" borderId="21" xfId="0" applyNumberFormat="1" applyBorder="1" applyAlignment="1">
      <alignment horizontal="center" vertical="center" wrapText="1"/>
    </xf>
    <xf numFmtId="214" fontId="0" fillId="0" borderId="33" xfId="0" applyNumberFormat="1" applyBorder="1" applyAlignment="1">
      <alignment horizontal="center" vertical="center" wrapText="1"/>
    </xf>
    <xf numFmtId="0" fontId="37" fillId="0" borderId="25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7" fillId="0" borderId="26" xfId="0" applyFont="1" applyBorder="1" applyAlignment="1">
      <alignment horizontal="center"/>
    </xf>
    <xf numFmtId="214" fontId="0" fillId="0" borderId="28" xfId="0" applyNumberFormat="1" applyBorder="1" applyAlignment="1">
      <alignment horizontal="center" vertical="center" wrapText="1"/>
    </xf>
    <xf numFmtId="2" fontId="24" fillId="0" borderId="23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2" fontId="0" fillId="0" borderId="53" xfId="0" applyNumberFormat="1" applyBorder="1" applyAlignment="1">
      <alignment horizontal="center" vertical="center" wrapText="1"/>
    </xf>
    <xf numFmtId="2" fontId="0" fillId="0" borderId="54" xfId="0" applyNumberFormat="1" applyBorder="1" applyAlignment="1">
      <alignment horizontal="center" vertical="center" wrapText="1"/>
    </xf>
    <xf numFmtId="214" fontId="0" fillId="0" borderId="54" xfId="0" applyNumberFormat="1" applyBorder="1" applyAlignment="1">
      <alignment horizontal="center" vertical="center" wrapText="1"/>
    </xf>
    <xf numFmtId="214" fontId="0" fillId="0" borderId="55" xfId="0" applyNumberFormat="1" applyBorder="1" applyAlignment="1">
      <alignment horizontal="center" vertical="center" wrapText="1"/>
    </xf>
    <xf numFmtId="1" fontId="0" fillId="0" borderId="54" xfId="0" applyNumberFormat="1" applyBorder="1" applyAlignment="1">
      <alignment horizontal="center" vertical="center" wrapText="1"/>
    </xf>
    <xf numFmtId="231" fontId="0" fillId="0" borderId="54" xfId="0" applyNumberFormat="1" applyBorder="1" applyAlignment="1">
      <alignment horizontal="center" vertical="center" wrapText="1"/>
    </xf>
    <xf numFmtId="231" fontId="0" fillId="0" borderId="55" xfId="0" applyNumberFormat="1" applyBorder="1" applyAlignment="1">
      <alignment horizontal="center" vertical="center" wrapText="1"/>
    </xf>
    <xf numFmtId="2" fontId="24" fillId="0" borderId="0" xfId="0" applyNumberFormat="1" applyFont="1" applyAlignment="1">
      <alignment horizontal="center" vertical="center" wrapText="1"/>
    </xf>
    <xf numFmtId="0" fontId="24" fillId="0" borderId="26" xfId="0" applyFont="1" applyBorder="1"/>
    <xf numFmtId="212" fontId="0" fillId="0" borderId="54" xfId="0" applyNumberFormat="1" applyBorder="1" applyAlignment="1">
      <alignment horizontal="center" vertical="center" wrapText="1"/>
    </xf>
    <xf numFmtId="0" fontId="24" fillId="0" borderId="21" xfId="0" applyFont="1" applyBorder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214" fontId="24" fillId="0" borderId="19" xfId="0" applyNumberFormat="1" applyFont="1" applyBorder="1" applyAlignment="1">
      <alignment horizontal="center" vertical="center" wrapText="1"/>
    </xf>
    <xf numFmtId="214" fontId="24" fillId="0" borderId="18" xfId="0" applyNumberFormat="1" applyFont="1" applyBorder="1" applyAlignment="1">
      <alignment horizontal="center" vertical="center" wrapText="1"/>
    </xf>
    <xf numFmtId="214" fontId="24" fillId="0" borderId="20" xfId="0" applyNumberFormat="1" applyFont="1" applyBorder="1" applyAlignment="1">
      <alignment horizontal="center" vertical="center" wrapText="1"/>
    </xf>
    <xf numFmtId="214" fontId="0" fillId="0" borderId="10" xfId="0" applyNumberFormat="1" applyBorder="1" applyAlignment="1">
      <alignment horizontal="center" vertical="center" wrapText="1"/>
    </xf>
    <xf numFmtId="214" fontId="0" fillId="0" borderId="11" xfId="0" applyNumberFormat="1" applyBorder="1" applyAlignment="1">
      <alignment horizontal="center" vertical="center" wrapText="1"/>
    </xf>
    <xf numFmtId="214" fontId="0" fillId="0" borderId="12" xfId="0" applyNumberFormat="1" applyBorder="1" applyAlignment="1">
      <alignment horizontal="center" vertical="center" wrapText="1"/>
    </xf>
    <xf numFmtId="2" fontId="0" fillId="0" borderId="25" xfId="0" applyNumberFormat="1" applyBorder="1" applyAlignment="1">
      <alignment horizontal="center" vertical="center" wrapText="1"/>
    </xf>
    <xf numFmtId="214" fontId="0" fillId="0" borderId="0" xfId="0" applyNumberFormat="1" applyAlignment="1">
      <alignment horizontal="center" vertical="center" wrapText="1"/>
    </xf>
    <xf numFmtId="214" fontId="0" fillId="0" borderId="47" xfId="0" applyNumberFormat="1" applyBorder="1" applyAlignment="1">
      <alignment horizontal="center" vertical="center" wrapText="1"/>
    </xf>
    <xf numFmtId="0" fontId="38" fillId="0" borderId="41" xfId="0" applyFont="1" applyBorder="1" applyAlignment="1">
      <alignment horizontal="center"/>
    </xf>
    <xf numFmtId="0" fontId="38" fillId="0" borderId="42" xfId="0" applyFont="1" applyBorder="1" applyAlignment="1">
      <alignment horizontal="center"/>
    </xf>
    <xf numFmtId="0" fontId="38" fillId="0" borderId="43" xfId="0" applyFont="1" applyBorder="1" applyAlignment="1">
      <alignment horizontal="center"/>
    </xf>
    <xf numFmtId="231" fontId="0" fillId="0" borderId="21" xfId="0" applyNumberFormat="1" applyBorder="1" applyAlignment="1">
      <alignment horizontal="center" vertical="center" wrapText="1"/>
    </xf>
    <xf numFmtId="212" fontId="0" fillId="0" borderId="21" xfId="0" applyNumberFormat="1" applyBorder="1" applyAlignment="1">
      <alignment horizontal="center" vertical="center" wrapText="1"/>
    </xf>
    <xf numFmtId="211" fontId="0" fillId="0" borderId="21" xfId="0" applyNumberFormat="1" applyBorder="1" applyAlignment="1">
      <alignment horizontal="center" vertical="center" wrapText="1"/>
    </xf>
    <xf numFmtId="211" fontId="0" fillId="0" borderId="33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13" fontId="0" fillId="0" borderId="0" xfId="0" applyNumberFormat="1" applyAlignment="1">
      <alignment horizontal="center"/>
    </xf>
    <xf numFmtId="211" fontId="0" fillId="0" borderId="19" xfId="0" applyNumberFormat="1" applyBorder="1" applyAlignment="1">
      <alignment horizontal="center" vertical="center" wrapText="1"/>
    </xf>
    <xf numFmtId="211" fontId="0" fillId="0" borderId="18" xfId="0" applyNumberFormat="1" applyBorder="1" applyAlignment="1">
      <alignment horizontal="center" vertical="center" wrapText="1"/>
    </xf>
    <xf numFmtId="211" fontId="0" fillId="0" borderId="51" xfId="0" applyNumberFormat="1" applyBorder="1" applyAlignment="1">
      <alignment horizontal="center" vertical="center" wrapText="1"/>
    </xf>
    <xf numFmtId="211" fontId="0" fillId="0" borderId="54" xfId="0" applyNumberFormat="1" applyBorder="1" applyAlignment="1">
      <alignment horizontal="center" vertical="center" wrapText="1"/>
    </xf>
    <xf numFmtId="211" fontId="0" fillId="0" borderId="55" xfId="0" applyNumberFormat="1" applyBorder="1" applyAlignment="1">
      <alignment horizontal="center" vertical="center" wrapText="1"/>
    </xf>
    <xf numFmtId="215" fontId="24" fillId="0" borderId="48" xfId="0" applyNumberFormat="1" applyFont="1" applyBorder="1" applyAlignment="1">
      <alignment horizontal="center" vertical="center" wrapText="1"/>
    </xf>
    <xf numFmtId="215" fontId="24" fillId="0" borderId="38" xfId="0" applyNumberFormat="1" applyFont="1" applyBorder="1" applyAlignment="1">
      <alignment horizontal="center" vertical="center" wrapText="1"/>
    </xf>
    <xf numFmtId="215" fontId="24" fillId="0" borderId="49" xfId="0" applyNumberFormat="1" applyFont="1" applyBorder="1" applyAlignment="1">
      <alignment horizontal="center" vertical="center" wrapText="1"/>
    </xf>
    <xf numFmtId="2" fontId="24" fillId="0" borderId="0" xfId="0" applyNumberFormat="1" applyFont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37" fillId="0" borderId="35" xfId="0" applyFont="1" applyBorder="1" applyAlignment="1">
      <alignment horizontal="center" vertical="center" wrapText="1"/>
    </xf>
    <xf numFmtId="2" fontId="0" fillId="0" borderId="50" xfId="0" applyNumberFormat="1" applyBorder="1" applyAlignment="1">
      <alignment horizontal="center" vertical="center" wrapText="1"/>
    </xf>
    <xf numFmtId="2" fontId="0" fillId="0" borderId="18" xfId="0" applyNumberFormat="1" applyBorder="1" applyAlignment="1">
      <alignment horizontal="center" vertical="center" wrapText="1"/>
    </xf>
    <xf numFmtId="2" fontId="0" fillId="0" borderId="20" xfId="0" applyNumberForma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2" fontId="0" fillId="0" borderId="34" xfId="0" applyNumberFormat="1" applyBorder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214" fontId="24" fillId="0" borderId="53" xfId="0" applyNumberFormat="1" applyFont="1" applyBorder="1" applyAlignment="1">
      <alignment horizontal="center" vertical="center" wrapText="1"/>
    </xf>
    <xf numFmtId="214" fontId="24" fillId="0" borderId="54" xfId="0" applyNumberFormat="1" applyFont="1" applyBorder="1" applyAlignment="1">
      <alignment horizontal="center" vertical="center" wrapText="1"/>
    </xf>
    <xf numFmtId="214" fontId="24" fillId="0" borderId="55" xfId="0" applyNumberFormat="1" applyFont="1" applyBorder="1" applyAlignment="1">
      <alignment horizontal="center" vertical="center" wrapText="1"/>
    </xf>
    <xf numFmtId="2" fontId="0" fillId="0" borderId="27" xfId="0" applyNumberFormat="1" applyBorder="1" applyAlignment="1">
      <alignment horizontal="center" vertical="center" wrapText="1"/>
    </xf>
    <xf numFmtId="0" fontId="0" fillId="0" borderId="25" xfId="0" applyBorder="1" applyAlignment="1">
      <alignment vertical="center"/>
    </xf>
    <xf numFmtId="0" fontId="37" fillId="0" borderId="21" xfId="0" applyFont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 wrapText="1"/>
    </xf>
    <xf numFmtId="2" fontId="0" fillId="0" borderId="33" xfId="0" applyNumberFormat="1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 wrapText="1"/>
    </xf>
    <xf numFmtId="0" fontId="37" fillId="0" borderId="56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2" fontId="0" fillId="0" borderId="19" xfId="0" applyNumberForma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214" fontId="27" fillId="0" borderId="30" xfId="0" applyNumberFormat="1" applyFont="1" applyBorder="1" applyAlignment="1">
      <alignment horizontal="center" vertical="center" wrapText="1"/>
    </xf>
    <xf numFmtId="0" fontId="0" fillId="0" borderId="3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36" fillId="0" borderId="47" xfId="0" applyFont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0" fontId="34" fillId="0" borderId="25" xfId="0" applyFont="1" applyBorder="1"/>
    <xf numFmtId="0" fontId="34" fillId="0" borderId="26" xfId="0" applyFont="1" applyBorder="1"/>
    <xf numFmtId="1" fontId="0" fillId="0" borderId="37" xfId="0" applyNumberFormat="1" applyBorder="1" applyAlignment="1">
      <alignment horizontal="center" vertical="center" wrapText="1"/>
    </xf>
    <xf numFmtId="1" fontId="0" fillId="0" borderId="38" xfId="0" applyNumberFormat="1" applyBorder="1" applyAlignment="1">
      <alignment horizontal="center" vertical="center" wrapText="1"/>
    </xf>
    <xf numFmtId="1" fontId="0" fillId="0" borderId="39" xfId="0" applyNumberFormat="1" applyBorder="1" applyAlignment="1">
      <alignment horizontal="center" vertical="center" wrapText="1"/>
    </xf>
    <xf numFmtId="214" fontId="27" fillId="0" borderId="37" xfId="0" applyNumberFormat="1" applyFont="1" applyBorder="1" applyAlignment="1">
      <alignment horizontal="center" vertical="center" wrapText="1"/>
    </xf>
    <xf numFmtId="214" fontId="27" fillId="0" borderId="38" xfId="0" applyNumberFormat="1" applyFont="1" applyBorder="1" applyAlignment="1">
      <alignment horizontal="center" vertical="center" wrapText="1"/>
    </xf>
    <xf numFmtId="214" fontId="27" fillId="0" borderId="39" xfId="0" applyNumberFormat="1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1" fontId="0" fillId="0" borderId="53" xfId="0" applyNumberFormat="1" applyBorder="1" applyAlignment="1">
      <alignment horizontal="center" vertical="center" wrapText="1"/>
    </xf>
    <xf numFmtId="2" fontId="0" fillId="0" borderId="55" xfId="0" applyNumberFormat="1" applyBorder="1" applyAlignment="1">
      <alignment horizontal="center" vertical="center" wrapText="1"/>
    </xf>
    <xf numFmtId="0" fontId="38" fillId="0" borderId="22" xfId="0" applyFont="1" applyBorder="1" applyAlignment="1">
      <alignment horizontal="center"/>
    </xf>
    <xf numFmtId="0" fontId="38" fillId="0" borderId="23" xfId="0" applyFont="1" applyBorder="1" applyAlignment="1">
      <alignment horizontal="center"/>
    </xf>
    <xf numFmtId="0" fontId="38" fillId="0" borderId="24" xfId="0" applyFont="1" applyBorder="1" applyAlignment="1">
      <alignment horizontal="center"/>
    </xf>
    <xf numFmtId="0" fontId="37" fillId="0" borderId="27" xfId="0" applyFont="1" applyBorder="1" applyAlignment="1">
      <alignment horizontal="center"/>
    </xf>
    <xf numFmtId="0" fontId="37" fillId="0" borderId="28" xfId="0" applyFont="1" applyBorder="1" applyAlignment="1">
      <alignment horizontal="center"/>
    </xf>
    <xf numFmtId="0" fontId="37" fillId="0" borderId="29" xfId="0" applyFont="1" applyBorder="1" applyAlignment="1">
      <alignment horizontal="center"/>
    </xf>
    <xf numFmtId="0" fontId="0" fillId="0" borderId="51" xfId="0" applyBorder="1"/>
    <xf numFmtId="0" fontId="24" fillId="0" borderId="22" xfId="0" applyFont="1" applyBorder="1" applyAlignment="1">
      <alignment horizontal="justify" wrapText="1"/>
    </xf>
    <xf numFmtId="0" fontId="24" fillId="0" borderId="23" xfId="0" applyFont="1" applyBorder="1" applyAlignment="1">
      <alignment horizontal="justify" wrapText="1"/>
    </xf>
    <xf numFmtId="0" fontId="24" fillId="0" borderId="24" xfId="0" applyFont="1" applyBorder="1" applyAlignment="1">
      <alignment horizontal="justify" wrapText="1"/>
    </xf>
    <xf numFmtId="0" fontId="24" fillId="0" borderId="25" xfId="0" applyFont="1" applyBorder="1" applyAlignment="1">
      <alignment horizontal="justify" wrapText="1"/>
    </xf>
    <xf numFmtId="0" fontId="24" fillId="0" borderId="0" xfId="0" applyFont="1" applyAlignment="1">
      <alignment horizontal="justify" wrapText="1"/>
    </xf>
    <xf numFmtId="0" fontId="24" fillId="0" borderId="26" xfId="0" applyFont="1" applyBorder="1" applyAlignment="1">
      <alignment horizontal="justify" wrapText="1"/>
    </xf>
    <xf numFmtId="214" fontId="0" fillId="0" borderId="32" xfId="0" applyNumberForma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 wrapText="1"/>
    </xf>
    <xf numFmtId="1" fontId="0" fillId="0" borderId="48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2" fontId="0" fillId="0" borderId="31" xfId="0" applyNumberFormat="1" applyBorder="1" applyAlignment="1">
      <alignment horizontal="center" vertical="center" wrapText="1"/>
    </xf>
    <xf numFmtId="0" fontId="0" fillId="13" borderId="0" xfId="0" applyFill="1"/>
    <xf numFmtId="0" fontId="24" fillId="10" borderId="0" xfId="0" applyFont="1" applyFill="1"/>
    <xf numFmtId="0" fontId="5" fillId="9" borderId="0" xfId="0" applyFont="1" applyFill="1"/>
    <xf numFmtId="0" fontId="0" fillId="9" borderId="0" xfId="0" applyFill="1"/>
    <xf numFmtId="0" fontId="24" fillId="3" borderId="0" xfId="0" applyFont="1" applyFill="1"/>
    <xf numFmtId="0" fontId="24" fillId="13" borderId="0" xfId="0" applyFont="1" applyFill="1"/>
    <xf numFmtId="0" fontId="10" fillId="0" borderId="0" xfId="0" applyFont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49" fontId="11" fillId="13" borderId="10" xfId="0" applyNumberFormat="1" applyFont="1" applyFill="1" applyBorder="1" applyAlignment="1">
      <alignment vertical="center"/>
    </xf>
    <xf numFmtId="49" fontId="11" fillId="13" borderId="11" xfId="0" applyNumberFormat="1" applyFont="1" applyFill="1" applyBorder="1" applyAlignment="1">
      <alignment vertical="center"/>
    </xf>
    <xf numFmtId="0" fontId="10" fillId="13" borderId="11" xfId="0" applyFont="1" applyFill="1" applyBorder="1" applyAlignment="1">
      <alignment horizontal="center" vertical="center"/>
    </xf>
    <xf numFmtId="0" fontId="11" fillId="13" borderId="11" xfId="0" applyFont="1" applyFill="1" applyBorder="1" applyAlignment="1">
      <alignment horizontal="left" vertical="center"/>
    </xf>
    <xf numFmtId="0" fontId="11" fillId="13" borderId="11" xfId="0" applyFont="1" applyFill="1" applyBorder="1" applyAlignment="1">
      <alignment vertical="center"/>
    </xf>
    <xf numFmtId="177" fontId="11" fillId="13" borderId="11" xfId="0" applyNumberFormat="1" applyFont="1" applyFill="1" applyBorder="1" applyAlignment="1">
      <alignment horizontal="center" vertical="center"/>
    </xf>
    <xf numFmtId="0" fontId="11" fillId="13" borderId="11" xfId="0" applyFont="1" applyFill="1" applyBorder="1" applyAlignment="1">
      <alignment horizontal="center" vertical="center"/>
    </xf>
    <xf numFmtId="0" fontId="11" fillId="13" borderId="12" xfId="0" applyFont="1" applyFill="1" applyBorder="1" applyAlignment="1">
      <alignment horizontal="center" vertical="center"/>
    </xf>
    <xf numFmtId="0" fontId="10" fillId="13" borderId="0" xfId="0" applyFont="1" applyFill="1" applyAlignment="1">
      <alignment vertical="center"/>
    </xf>
    <xf numFmtId="0" fontId="11" fillId="10" borderId="19" xfId="0" applyFont="1" applyFill="1" applyBorder="1" applyAlignment="1">
      <alignment vertical="center"/>
    </xf>
    <xf numFmtId="0" fontId="11" fillId="10" borderId="18" xfId="0" applyFont="1" applyFill="1" applyBorder="1" applyAlignment="1">
      <alignment vertical="center"/>
    </xf>
    <xf numFmtId="0" fontId="11" fillId="10" borderId="18" xfId="0" applyFont="1" applyFill="1" applyBorder="1" applyAlignment="1">
      <alignment horizontal="center" vertical="center"/>
    </xf>
    <xf numFmtId="0" fontId="11" fillId="10" borderId="18" xfId="0" applyFont="1" applyFill="1" applyBorder="1" applyAlignment="1">
      <alignment horizontal="left" vertical="center"/>
    </xf>
    <xf numFmtId="177" fontId="11" fillId="10" borderId="18" xfId="0" applyNumberFormat="1" applyFont="1" applyFill="1" applyBorder="1" applyAlignment="1">
      <alignment horizontal="center" vertical="center"/>
    </xf>
    <xf numFmtId="0" fontId="11" fillId="10" borderId="20" xfId="0" applyFont="1" applyFill="1" applyBorder="1" applyAlignment="1">
      <alignment horizontal="center" vertical="center"/>
    </xf>
    <xf numFmtId="0" fontId="11" fillId="10" borderId="0" xfId="0" applyFont="1" applyFill="1" applyAlignment="1">
      <alignment vertical="center"/>
    </xf>
    <xf numFmtId="0" fontId="10" fillId="3" borderId="13" xfId="0" applyFont="1" applyFill="1" applyBorder="1" applyAlignment="1">
      <alignment vertical="center"/>
    </xf>
    <xf numFmtId="0" fontId="10" fillId="3" borderId="0" xfId="0" applyFont="1" applyFill="1" applyAlignment="1">
      <alignment vertical="center"/>
    </xf>
    <xf numFmtId="0" fontId="10" fillId="3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215" fontId="10" fillId="5" borderId="0" xfId="0" applyNumberFormat="1" applyFont="1" applyFill="1" applyAlignment="1">
      <alignment horizontal="center" vertical="center"/>
    </xf>
    <xf numFmtId="177" fontId="10" fillId="3" borderId="0" xfId="0" applyNumberFormat="1" applyFont="1" applyFill="1" applyAlignment="1">
      <alignment horizontal="center" vertical="center"/>
    </xf>
    <xf numFmtId="177" fontId="10" fillId="0" borderId="0" xfId="0" applyNumberFormat="1" applyFont="1" applyAlignment="1">
      <alignment horizontal="right" vertical="center"/>
    </xf>
    <xf numFmtId="177" fontId="10" fillId="0" borderId="14" xfId="0" applyNumberFormat="1" applyFont="1" applyBorder="1" applyAlignment="1">
      <alignment horizontal="right" vertical="center"/>
    </xf>
    <xf numFmtId="183" fontId="10" fillId="3" borderId="0" xfId="0" applyNumberFormat="1" applyFont="1" applyFill="1" applyAlignment="1">
      <alignment horizontal="center" vertical="center"/>
    </xf>
    <xf numFmtId="215" fontId="11" fillId="10" borderId="18" xfId="0" applyNumberFormat="1" applyFont="1" applyFill="1" applyBorder="1" applyAlignment="1">
      <alignment horizontal="left" vertical="center"/>
    </xf>
    <xf numFmtId="177" fontId="11" fillId="10" borderId="18" xfId="0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3" borderId="0" xfId="0" applyFont="1" applyFill="1" applyAlignment="1">
      <alignment horizontal="left" vertical="center" wrapText="1"/>
    </xf>
    <xf numFmtId="2" fontId="10" fillId="3" borderId="0" xfId="0" applyNumberFormat="1" applyFont="1" applyFill="1" applyAlignment="1">
      <alignment vertical="center"/>
    </xf>
    <xf numFmtId="215" fontId="11" fillId="13" borderId="11" xfId="0" applyNumberFormat="1" applyFont="1" applyFill="1" applyBorder="1" applyAlignment="1">
      <alignment vertical="center"/>
    </xf>
    <xf numFmtId="177" fontId="11" fillId="13" borderId="11" xfId="0" applyNumberFormat="1" applyFont="1" applyFill="1" applyBorder="1" applyAlignment="1">
      <alignment vertical="center"/>
    </xf>
    <xf numFmtId="0" fontId="24" fillId="10" borderId="18" xfId="0" applyFont="1" applyFill="1" applyBorder="1"/>
    <xf numFmtId="215" fontId="24" fillId="10" borderId="18" xfId="0" applyNumberFormat="1" applyFont="1" applyFill="1" applyBorder="1"/>
    <xf numFmtId="177" fontId="24" fillId="10" borderId="18" xfId="0" applyNumberFormat="1" applyFont="1" applyFill="1" applyBorder="1"/>
    <xf numFmtId="0" fontId="10" fillId="3" borderId="10" xfId="0" applyFont="1" applyFill="1" applyBorder="1" applyAlignment="1">
      <alignment vertical="center"/>
    </xf>
    <xf numFmtId="0" fontId="10" fillId="3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left" vertical="center"/>
    </xf>
    <xf numFmtId="0" fontId="11" fillId="3" borderId="11" xfId="0" applyFont="1" applyFill="1" applyBorder="1" applyAlignment="1">
      <alignment horizontal="left" vertical="center"/>
    </xf>
    <xf numFmtId="215" fontId="10" fillId="5" borderId="11" xfId="0" applyNumberFormat="1" applyFont="1" applyFill="1" applyBorder="1" applyAlignment="1">
      <alignment horizontal="center" vertical="center"/>
    </xf>
    <xf numFmtId="177" fontId="10" fillId="3" borderId="11" xfId="0" applyNumberFormat="1" applyFont="1" applyFill="1" applyBorder="1" applyAlignment="1">
      <alignment horizontal="center" vertical="center"/>
    </xf>
    <xf numFmtId="177" fontId="10" fillId="0" borderId="11" xfId="0" applyNumberFormat="1" applyFont="1" applyBorder="1" applyAlignment="1">
      <alignment horizontal="right" vertical="center"/>
    </xf>
    <xf numFmtId="177" fontId="10" fillId="0" borderId="12" xfId="0" applyNumberFormat="1" applyFont="1" applyBorder="1" applyAlignment="1">
      <alignment horizontal="right" vertical="center"/>
    </xf>
    <xf numFmtId="183" fontId="10" fillId="3" borderId="0" xfId="0" applyNumberFormat="1" applyFont="1" applyFill="1" applyAlignment="1">
      <alignment vertical="center"/>
    </xf>
    <xf numFmtId="177" fontId="10" fillId="0" borderId="0" xfId="0" applyNumberFormat="1" applyFont="1" applyAlignment="1">
      <alignment horizontal="center" vertical="center"/>
    </xf>
    <xf numFmtId="0" fontId="10" fillId="3" borderId="15" xfId="0" applyFont="1" applyFill="1" applyBorder="1" applyAlignment="1">
      <alignment vertical="center"/>
    </xf>
    <xf numFmtId="0" fontId="10" fillId="3" borderId="16" xfId="0" applyFont="1" applyFill="1" applyBorder="1" applyAlignment="1">
      <alignment vertical="center"/>
    </xf>
    <xf numFmtId="0" fontId="10" fillId="3" borderId="16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/>
    </xf>
    <xf numFmtId="215" fontId="10" fillId="5" borderId="16" xfId="0" applyNumberFormat="1" applyFont="1" applyFill="1" applyBorder="1" applyAlignment="1">
      <alignment horizontal="center" vertical="center"/>
    </xf>
    <xf numFmtId="177" fontId="10" fillId="0" borderId="16" xfId="0" applyNumberFormat="1" applyFont="1" applyBorder="1" applyAlignment="1">
      <alignment horizontal="center" vertical="center"/>
    </xf>
    <xf numFmtId="177" fontId="10" fillId="0" borderId="16" xfId="0" applyNumberFormat="1" applyFont="1" applyBorder="1" applyAlignment="1">
      <alignment horizontal="right" vertical="center"/>
    </xf>
    <xf numFmtId="177" fontId="10" fillId="0" borderId="17" xfId="0" applyNumberFormat="1" applyFont="1" applyBorder="1" applyAlignment="1">
      <alignment horizontal="right" vertical="center"/>
    </xf>
    <xf numFmtId="49" fontId="11" fillId="13" borderId="13" xfId="0" applyNumberFormat="1" applyFont="1" applyFill="1" applyBorder="1" applyAlignment="1">
      <alignment vertical="center"/>
    </xf>
    <xf numFmtId="49" fontId="11" fillId="13" borderId="0" xfId="0" applyNumberFormat="1" applyFont="1" applyFill="1" applyAlignment="1">
      <alignment vertical="center"/>
    </xf>
    <xf numFmtId="0" fontId="10" fillId="13" borderId="0" xfId="0" applyFont="1" applyFill="1" applyAlignment="1">
      <alignment horizontal="center" vertical="center"/>
    </xf>
    <xf numFmtId="0" fontId="11" fillId="13" borderId="0" xfId="0" applyFont="1" applyFill="1" applyAlignment="1">
      <alignment horizontal="left" vertical="center"/>
    </xf>
    <xf numFmtId="0" fontId="11" fillId="13" borderId="0" xfId="0" applyFont="1" applyFill="1" applyAlignment="1">
      <alignment vertical="center"/>
    </xf>
    <xf numFmtId="215" fontId="11" fillId="13" borderId="0" xfId="0" applyNumberFormat="1" applyFont="1" applyFill="1" applyAlignment="1">
      <alignment vertical="center"/>
    </xf>
    <xf numFmtId="177" fontId="11" fillId="13" borderId="0" xfId="0" applyNumberFormat="1" applyFont="1" applyFill="1" applyAlignment="1">
      <alignment vertical="center"/>
    </xf>
    <xf numFmtId="177" fontId="11" fillId="13" borderId="0" xfId="0" applyNumberFormat="1" applyFont="1" applyFill="1" applyAlignment="1">
      <alignment horizontal="center" vertical="center"/>
    </xf>
    <xf numFmtId="0" fontId="11" fillId="13" borderId="0" xfId="0" applyFont="1" applyFill="1" applyAlignment="1">
      <alignment horizontal="center" vertical="center"/>
    </xf>
    <xf numFmtId="0" fontId="11" fillId="13" borderId="14" xfId="0" applyFont="1" applyFill="1" applyBorder="1" applyAlignment="1">
      <alignment horizontal="center" vertical="center"/>
    </xf>
    <xf numFmtId="0" fontId="11" fillId="10" borderId="19" xfId="0" applyFont="1" applyFill="1" applyBorder="1" applyAlignment="1">
      <alignment horizontal="left" vertical="center"/>
    </xf>
    <xf numFmtId="0" fontId="10" fillId="10" borderId="18" xfId="0" applyFont="1" applyFill="1" applyBorder="1" applyAlignment="1">
      <alignment horizontal="center" vertical="center"/>
    </xf>
    <xf numFmtId="215" fontId="11" fillId="10" borderId="18" xfId="0" applyNumberFormat="1" applyFont="1" applyFill="1" applyBorder="1" applyAlignment="1">
      <alignment vertical="center"/>
    </xf>
    <xf numFmtId="177" fontId="11" fillId="10" borderId="18" xfId="0" applyNumberFormat="1" applyFont="1" applyFill="1" applyBorder="1" applyAlignment="1">
      <alignment vertical="center"/>
    </xf>
    <xf numFmtId="0" fontId="40" fillId="9" borderId="10" xfId="0" applyFont="1" applyFill="1" applyBorder="1" applyAlignment="1">
      <alignment vertical="center"/>
    </xf>
    <xf numFmtId="0" fontId="40" fillId="9" borderId="11" xfId="0" applyFont="1" applyFill="1" applyBorder="1" applyAlignment="1">
      <alignment vertical="center"/>
    </xf>
    <xf numFmtId="0" fontId="40" fillId="9" borderId="11" xfId="0" applyFont="1" applyFill="1" applyBorder="1" applyAlignment="1">
      <alignment horizontal="center" vertical="center"/>
    </xf>
    <xf numFmtId="0" fontId="40" fillId="9" borderId="11" xfId="0" applyFont="1" applyFill="1" applyBorder="1" applyAlignment="1">
      <alignment horizontal="left" vertical="center"/>
    </xf>
    <xf numFmtId="215" fontId="40" fillId="9" borderId="11" xfId="0" applyNumberFormat="1" applyFont="1" applyFill="1" applyBorder="1" applyAlignment="1">
      <alignment horizontal="center" vertical="center"/>
    </xf>
    <xf numFmtId="177" fontId="40" fillId="9" borderId="11" xfId="0" applyNumberFormat="1" applyFont="1" applyFill="1" applyBorder="1" applyAlignment="1">
      <alignment horizontal="center" vertical="center"/>
    </xf>
    <xf numFmtId="177" fontId="40" fillId="9" borderId="12" xfId="0" applyNumberFormat="1" applyFont="1" applyFill="1" applyBorder="1" applyAlignment="1">
      <alignment horizontal="center" vertical="center"/>
    </xf>
    <xf numFmtId="0" fontId="40" fillId="9" borderId="0" xfId="0" applyFont="1" applyFill="1" applyAlignment="1">
      <alignment vertical="center"/>
    </xf>
    <xf numFmtId="0" fontId="40" fillId="3" borderId="1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left" vertical="center" wrapText="1"/>
    </xf>
    <xf numFmtId="177" fontId="40" fillId="3" borderId="11" xfId="0" applyNumberFormat="1" applyFont="1" applyFill="1" applyBorder="1" applyAlignment="1">
      <alignment horizontal="center" vertical="center"/>
    </xf>
    <xf numFmtId="0" fontId="40" fillId="3" borderId="0" xfId="0" applyFont="1" applyFill="1" applyAlignment="1">
      <alignment horizontal="center" vertical="center"/>
    </xf>
    <xf numFmtId="177" fontId="40" fillId="3" borderId="0" xfId="0" applyNumberFormat="1" applyFont="1" applyFill="1" applyAlignment="1">
      <alignment horizontal="center" vertical="center"/>
    </xf>
    <xf numFmtId="0" fontId="40" fillId="3" borderId="16" xfId="0" applyFont="1" applyFill="1" applyBorder="1" applyAlignment="1">
      <alignment horizontal="center" vertical="center"/>
    </xf>
    <xf numFmtId="177" fontId="10" fillId="3" borderId="16" xfId="0" applyNumberFormat="1" applyFont="1" applyFill="1" applyBorder="1" applyAlignment="1">
      <alignment horizontal="center" vertical="center"/>
    </xf>
    <xf numFmtId="0" fontId="40" fillId="9" borderId="13" xfId="0" applyFont="1" applyFill="1" applyBorder="1" applyAlignment="1">
      <alignment vertical="center"/>
    </xf>
    <xf numFmtId="0" fontId="40" fillId="9" borderId="0" xfId="0" applyFont="1" applyFill="1" applyAlignment="1">
      <alignment horizontal="center" vertical="center"/>
    </xf>
    <xf numFmtId="0" fontId="40" fillId="9" borderId="0" xfId="0" applyFont="1" applyFill="1" applyAlignment="1">
      <alignment horizontal="left" vertical="center"/>
    </xf>
    <xf numFmtId="215" fontId="40" fillId="9" borderId="0" xfId="0" applyNumberFormat="1" applyFont="1" applyFill="1" applyAlignment="1">
      <alignment horizontal="center" vertical="center"/>
    </xf>
    <xf numFmtId="177" fontId="40" fillId="9" borderId="0" xfId="0" applyNumberFormat="1" applyFont="1" applyFill="1" applyAlignment="1">
      <alignment horizontal="center" vertical="center"/>
    </xf>
    <xf numFmtId="177" fontId="40" fillId="9" borderId="14" xfId="0" applyNumberFormat="1" applyFont="1" applyFill="1" applyBorder="1" applyAlignment="1">
      <alignment horizontal="center" vertical="center"/>
    </xf>
    <xf numFmtId="0" fontId="11" fillId="10" borderId="13" xfId="0" applyFont="1" applyFill="1" applyBorder="1" applyAlignment="1">
      <alignment horizontal="left" vertical="center"/>
    </xf>
    <xf numFmtId="0" fontId="10" fillId="10" borderId="0" xfId="0" applyFont="1" applyFill="1" applyAlignment="1">
      <alignment horizontal="center" vertical="center"/>
    </xf>
    <xf numFmtId="0" fontId="11" fillId="10" borderId="0" xfId="0" applyFont="1" applyFill="1" applyAlignment="1">
      <alignment horizontal="left" vertical="center"/>
    </xf>
    <xf numFmtId="215" fontId="11" fillId="10" borderId="0" xfId="0" applyNumberFormat="1" applyFont="1" applyFill="1" applyAlignment="1">
      <alignment vertical="center"/>
    </xf>
    <xf numFmtId="177" fontId="11" fillId="10" borderId="0" xfId="0" applyNumberFormat="1" applyFont="1" applyFill="1" applyAlignment="1">
      <alignment vertical="center"/>
    </xf>
    <xf numFmtId="177" fontId="11" fillId="10" borderId="16" xfId="0" applyNumberFormat="1" applyFont="1" applyFill="1" applyBorder="1" applyAlignment="1">
      <alignment horizontal="center" vertical="center"/>
    </xf>
    <xf numFmtId="177" fontId="11" fillId="10" borderId="17" xfId="0" applyNumberFormat="1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vertical="center"/>
    </xf>
    <xf numFmtId="0" fontId="10" fillId="9" borderId="11" xfId="0" applyFont="1" applyFill="1" applyBorder="1" applyAlignment="1">
      <alignment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left" vertical="center"/>
    </xf>
    <xf numFmtId="215" fontId="10" fillId="9" borderId="11" xfId="0" applyNumberFormat="1" applyFont="1" applyFill="1" applyBorder="1" applyAlignment="1">
      <alignment horizontal="center" vertical="center"/>
    </xf>
    <xf numFmtId="177" fontId="10" fillId="9" borderId="11" xfId="0" applyNumberFormat="1" applyFont="1" applyFill="1" applyBorder="1" applyAlignment="1">
      <alignment horizontal="center" vertical="center"/>
    </xf>
    <xf numFmtId="177" fontId="10" fillId="9" borderId="12" xfId="0" applyNumberFormat="1" applyFont="1" applyFill="1" applyBorder="1" applyAlignment="1">
      <alignment horizontal="center" vertical="center"/>
    </xf>
    <xf numFmtId="0" fontId="10" fillId="9" borderId="0" xfId="0" applyFont="1" applyFill="1" applyAlignment="1">
      <alignment vertical="center"/>
    </xf>
    <xf numFmtId="0" fontId="40" fillId="3" borderId="0" xfId="0" applyFont="1" applyFill="1" applyAlignment="1">
      <alignment vertical="center"/>
    </xf>
    <xf numFmtId="0" fontId="40" fillId="3" borderId="13" xfId="0" applyFont="1" applyFill="1" applyBorder="1" applyAlignment="1">
      <alignment vertical="center"/>
    </xf>
    <xf numFmtId="0" fontId="40" fillId="5" borderId="0" xfId="0" applyFont="1" applyFill="1" applyAlignment="1">
      <alignment horizontal="center" vertical="center"/>
    </xf>
    <xf numFmtId="0" fontId="40" fillId="3" borderId="0" xfId="0" applyFont="1" applyFill="1" applyAlignment="1">
      <alignment horizontal="left" vertical="center" wrapText="1"/>
    </xf>
    <xf numFmtId="0" fontId="41" fillId="3" borderId="0" xfId="0" applyFont="1" applyFill="1" applyAlignment="1">
      <alignment horizontal="left" vertical="center"/>
    </xf>
    <xf numFmtId="215" fontId="40" fillId="5" borderId="0" xfId="0" applyNumberFormat="1" applyFont="1" applyFill="1" applyAlignment="1">
      <alignment horizontal="center" vertical="center"/>
    </xf>
    <xf numFmtId="177" fontId="40" fillId="0" borderId="0" xfId="0" applyNumberFormat="1" applyFont="1" applyAlignment="1">
      <alignment horizontal="right" vertical="center"/>
    </xf>
    <xf numFmtId="177" fontId="40" fillId="0" borderId="14" xfId="0" applyNumberFormat="1" applyFont="1" applyBorder="1" applyAlignment="1">
      <alignment horizontal="right" vertical="center"/>
    </xf>
    <xf numFmtId="183" fontId="40" fillId="3" borderId="0" xfId="0" applyNumberFormat="1" applyFont="1" applyFill="1" applyAlignment="1">
      <alignment vertical="center"/>
    </xf>
    <xf numFmtId="183" fontId="40" fillId="3" borderId="0" xfId="0" applyNumberFormat="1" applyFont="1" applyFill="1" applyAlignment="1">
      <alignment horizontal="center" vertical="center"/>
    </xf>
    <xf numFmtId="0" fontId="40" fillId="3" borderId="15" xfId="0" applyFont="1" applyFill="1" applyBorder="1" applyAlignment="1">
      <alignment vertical="center"/>
    </xf>
    <xf numFmtId="0" fontId="10" fillId="9" borderId="15" xfId="0" applyFont="1" applyFill="1" applyBorder="1" applyAlignment="1">
      <alignment vertical="center"/>
    </xf>
    <xf numFmtId="0" fontId="10" fillId="9" borderId="16" xfId="0" applyFont="1" applyFill="1" applyBorder="1" applyAlignment="1">
      <alignment vertical="center"/>
    </xf>
    <xf numFmtId="0" fontId="10" fillId="9" borderId="16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left" vertical="center"/>
    </xf>
    <xf numFmtId="215" fontId="10" fillId="9" borderId="16" xfId="0" applyNumberFormat="1" applyFont="1" applyFill="1" applyBorder="1" applyAlignment="1">
      <alignment horizontal="center" vertical="center"/>
    </xf>
    <xf numFmtId="177" fontId="10" fillId="9" borderId="16" xfId="0" applyNumberFormat="1" applyFont="1" applyFill="1" applyBorder="1" applyAlignment="1">
      <alignment horizontal="center" vertical="center"/>
    </xf>
    <xf numFmtId="177" fontId="10" fillId="9" borderId="17" xfId="0" applyNumberFormat="1" applyFont="1" applyFill="1" applyBorder="1" applyAlignment="1">
      <alignment horizontal="center" vertical="center"/>
    </xf>
    <xf numFmtId="0" fontId="10" fillId="9" borderId="19" xfId="0" applyFont="1" applyFill="1" applyBorder="1" applyAlignment="1">
      <alignment vertical="center"/>
    </xf>
    <xf numFmtId="0" fontId="10" fillId="9" borderId="18" xfId="0" applyFont="1" applyFill="1" applyBorder="1" applyAlignment="1">
      <alignment vertical="center"/>
    </xf>
    <xf numFmtId="0" fontId="10" fillId="9" borderId="18" xfId="0" applyFont="1" applyFill="1" applyBorder="1" applyAlignment="1">
      <alignment horizontal="center" vertical="center"/>
    </xf>
    <xf numFmtId="0" fontId="10" fillId="9" borderId="18" xfId="0" applyFont="1" applyFill="1" applyBorder="1" applyAlignment="1">
      <alignment horizontal="left" vertical="center"/>
    </xf>
    <xf numFmtId="215" fontId="10" fillId="9" borderId="18" xfId="0" applyNumberFormat="1" applyFont="1" applyFill="1" applyBorder="1" applyAlignment="1">
      <alignment horizontal="center" vertical="center"/>
    </xf>
    <xf numFmtId="177" fontId="10" fillId="9" borderId="18" xfId="0" applyNumberFormat="1" applyFont="1" applyFill="1" applyBorder="1" applyAlignment="1">
      <alignment horizontal="center" vertical="center"/>
    </xf>
    <xf numFmtId="177" fontId="10" fillId="9" borderId="20" xfId="0" applyNumberFormat="1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vertical="center"/>
    </xf>
    <xf numFmtId="215" fontId="11" fillId="9" borderId="18" xfId="0" applyNumberFormat="1" applyFont="1" applyFill="1" applyBorder="1" applyAlignment="1">
      <alignment vertical="center"/>
    </xf>
    <xf numFmtId="177" fontId="11" fillId="9" borderId="18" xfId="0" applyNumberFormat="1" applyFont="1" applyFill="1" applyBorder="1" applyAlignment="1">
      <alignment vertical="center"/>
    </xf>
    <xf numFmtId="177" fontId="11" fillId="10" borderId="20" xfId="0" applyNumberFormat="1" applyFont="1" applyFill="1" applyBorder="1" applyAlignment="1">
      <alignment horizontal="center" vertical="center"/>
    </xf>
    <xf numFmtId="215" fontId="0" fillId="0" borderId="0" xfId="0" applyNumberFormat="1"/>
    <xf numFmtId="0" fontId="11" fillId="10" borderId="10" xfId="0" applyFont="1" applyFill="1" applyBorder="1" applyAlignment="1">
      <alignment horizontal="left" vertical="center"/>
    </xf>
    <xf numFmtId="0" fontId="11" fillId="10" borderId="11" xfId="0" applyFont="1" applyFill="1" applyBorder="1" applyAlignment="1">
      <alignment vertical="center"/>
    </xf>
    <xf numFmtId="0" fontId="11" fillId="10" borderId="11" xfId="0" applyFont="1" applyFill="1" applyBorder="1" applyAlignment="1">
      <alignment horizontal="center" vertical="center"/>
    </xf>
    <xf numFmtId="0" fontId="11" fillId="10" borderId="11" xfId="0" applyFont="1" applyFill="1" applyBorder="1" applyAlignment="1">
      <alignment horizontal="left" vertical="center"/>
    </xf>
    <xf numFmtId="215" fontId="11" fillId="10" borderId="11" xfId="0" applyNumberFormat="1" applyFont="1" applyFill="1" applyBorder="1" applyAlignment="1">
      <alignment vertical="center"/>
    </xf>
    <xf numFmtId="177" fontId="11" fillId="10" borderId="11" xfId="0" applyNumberFormat="1" applyFont="1" applyFill="1" applyBorder="1" applyAlignment="1">
      <alignment vertical="center"/>
    </xf>
    <xf numFmtId="0" fontId="11" fillId="3" borderId="0" xfId="0" applyFont="1" applyFill="1" applyAlignment="1">
      <alignment vertical="center"/>
    </xf>
    <xf numFmtId="215" fontId="10" fillId="9" borderId="11" xfId="0" applyNumberFormat="1" applyFont="1" applyFill="1" applyBorder="1" applyAlignment="1">
      <alignment vertical="center"/>
    </xf>
    <xf numFmtId="177" fontId="10" fillId="9" borderId="11" xfId="0" applyNumberFormat="1" applyFont="1" applyFill="1" applyBorder="1" applyAlignment="1">
      <alignment vertical="center"/>
    </xf>
    <xf numFmtId="0" fontId="40" fillId="9" borderId="19" xfId="0" applyFont="1" applyFill="1" applyBorder="1" applyAlignment="1">
      <alignment vertical="center"/>
    </xf>
    <xf numFmtId="0" fontId="40" fillId="9" borderId="18" xfId="0" applyFont="1" applyFill="1" applyBorder="1" applyAlignment="1">
      <alignment vertical="center"/>
    </xf>
    <xf numFmtId="0" fontId="40" fillId="9" borderId="18" xfId="0" applyFont="1" applyFill="1" applyBorder="1" applyAlignment="1">
      <alignment horizontal="center" vertical="center"/>
    </xf>
    <xf numFmtId="0" fontId="40" fillId="9" borderId="18" xfId="0" applyFont="1" applyFill="1" applyBorder="1" applyAlignment="1">
      <alignment horizontal="left" vertical="center"/>
    </xf>
    <xf numFmtId="215" fontId="40" fillId="9" borderId="18" xfId="0" applyNumberFormat="1" applyFont="1" applyFill="1" applyBorder="1" applyAlignment="1">
      <alignment horizontal="center" vertical="center"/>
    </xf>
    <xf numFmtId="177" fontId="40" fillId="9" borderId="18" xfId="0" applyNumberFormat="1" applyFont="1" applyFill="1" applyBorder="1" applyAlignment="1">
      <alignment horizontal="center" vertical="center"/>
    </xf>
    <xf numFmtId="177" fontId="40" fillId="9" borderId="20" xfId="0" applyNumberFormat="1" applyFont="1" applyFill="1" applyBorder="1" applyAlignment="1">
      <alignment horizontal="center" vertical="center"/>
    </xf>
    <xf numFmtId="0" fontId="11" fillId="13" borderId="19" xfId="0" applyFont="1" applyFill="1" applyBorder="1" applyAlignment="1">
      <alignment horizontal="left" vertical="center"/>
    </xf>
    <xf numFmtId="0" fontId="11" fillId="13" borderId="18" xfId="0" applyFont="1" applyFill="1" applyBorder="1" applyAlignment="1">
      <alignment vertical="center"/>
    </xf>
    <xf numFmtId="0" fontId="11" fillId="13" borderId="18" xfId="0" applyFont="1" applyFill="1" applyBorder="1" applyAlignment="1">
      <alignment horizontal="center" vertical="center"/>
    </xf>
    <xf numFmtId="0" fontId="11" fillId="13" borderId="18" xfId="0" applyFont="1" applyFill="1" applyBorder="1" applyAlignment="1">
      <alignment horizontal="left" vertical="center"/>
    </xf>
    <xf numFmtId="215" fontId="11" fillId="13" borderId="18" xfId="0" applyNumberFormat="1" applyFont="1" applyFill="1" applyBorder="1" applyAlignment="1">
      <alignment vertical="center"/>
    </xf>
    <xf numFmtId="177" fontId="11" fillId="13" borderId="18" xfId="0" applyNumberFormat="1" applyFont="1" applyFill="1" applyBorder="1" applyAlignment="1">
      <alignment vertical="center"/>
    </xf>
    <xf numFmtId="177" fontId="11" fillId="13" borderId="18" xfId="0" applyNumberFormat="1" applyFont="1" applyFill="1" applyBorder="1" applyAlignment="1">
      <alignment horizontal="center" vertical="center"/>
    </xf>
    <xf numFmtId="177" fontId="11" fillId="13" borderId="20" xfId="0" applyNumberFormat="1" applyFont="1" applyFill="1" applyBorder="1" applyAlignment="1">
      <alignment horizontal="center" vertical="center"/>
    </xf>
    <xf numFmtId="215" fontId="11" fillId="10" borderId="18" xfId="0" applyNumberFormat="1" applyFont="1" applyFill="1" applyBorder="1" applyAlignment="1">
      <alignment horizontal="center" vertical="center"/>
    </xf>
    <xf numFmtId="0" fontId="0" fillId="9" borderId="16" xfId="0" applyFill="1" applyBorder="1"/>
    <xf numFmtId="231" fontId="0" fillId="0" borderId="0" xfId="0" applyNumberFormat="1"/>
    <xf numFmtId="0" fontId="0" fillId="9" borderId="18" xfId="0" applyFill="1" applyBorder="1"/>
    <xf numFmtId="0" fontId="10" fillId="14" borderId="19" xfId="0" applyFont="1" applyFill="1" applyBorder="1" applyAlignment="1">
      <alignment vertical="center"/>
    </xf>
    <xf numFmtId="0" fontId="10" fillId="14" borderId="18" xfId="0" applyFont="1" applyFill="1" applyBorder="1" applyAlignment="1">
      <alignment vertical="center"/>
    </xf>
    <xf numFmtId="0" fontId="10" fillId="14" borderId="18" xfId="0" applyFont="1" applyFill="1" applyBorder="1" applyAlignment="1">
      <alignment horizontal="center" vertical="center"/>
    </xf>
    <xf numFmtId="0" fontId="11" fillId="14" borderId="18" xfId="0" applyFont="1" applyFill="1" applyBorder="1" applyAlignment="1">
      <alignment horizontal="right" vertical="center"/>
    </xf>
    <xf numFmtId="4" fontId="10" fillId="14" borderId="18" xfId="0" applyNumberFormat="1" applyFont="1" applyFill="1" applyBorder="1" applyAlignment="1">
      <alignment horizontal="center" vertical="center"/>
    </xf>
    <xf numFmtId="177" fontId="10" fillId="14" borderId="18" xfId="0" applyNumberFormat="1" applyFont="1" applyFill="1" applyBorder="1" applyAlignment="1">
      <alignment horizontal="center" vertical="center"/>
    </xf>
    <xf numFmtId="177" fontId="10" fillId="14" borderId="18" xfId="0" applyNumberFormat="1" applyFont="1" applyFill="1" applyBorder="1" applyAlignment="1">
      <alignment vertical="center"/>
    </xf>
    <xf numFmtId="177" fontId="11" fillId="14" borderId="18" xfId="0" applyNumberFormat="1" applyFont="1" applyFill="1" applyBorder="1" applyAlignment="1">
      <alignment horizontal="center" vertical="center"/>
    </xf>
    <xf numFmtId="177" fontId="11" fillId="14" borderId="20" xfId="0" applyNumberFormat="1" applyFont="1" applyFill="1" applyBorder="1" applyAlignment="1">
      <alignment horizontal="center" vertical="center"/>
    </xf>
    <xf numFmtId="183" fontId="11" fillId="3" borderId="0" xfId="0" applyNumberFormat="1" applyFont="1" applyFill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10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 wrapText="1"/>
    </xf>
    <xf numFmtId="4" fontId="10" fillId="0" borderId="10" xfId="0" applyNumberFormat="1" applyFont="1" applyBorder="1" applyAlignment="1">
      <alignment horizontal="center" vertical="center"/>
    </xf>
    <xf numFmtId="4" fontId="10" fillId="0" borderId="11" xfId="0" applyNumberFormat="1" applyFont="1" applyBorder="1" applyAlignment="1">
      <alignment horizontal="center" vertical="center"/>
    </xf>
    <xf numFmtId="4" fontId="10" fillId="0" borderId="12" xfId="0" applyNumberFormat="1" applyFont="1" applyBorder="1" applyAlignment="1">
      <alignment horizontal="center" vertical="center"/>
    </xf>
    <xf numFmtId="228" fontId="9" fillId="0" borderId="0" xfId="0" applyNumberFormat="1" applyFont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justify" vertical="center" wrapText="1"/>
    </xf>
    <xf numFmtId="4" fontId="10" fillId="0" borderId="15" xfId="0" applyNumberFormat="1" applyFont="1" applyBorder="1" applyAlignment="1">
      <alignment horizontal="center" vertical="center"/>
    </xf>
    <xf numFmtId="4" fontId="10" fillId="0" borderId="16" xfId="0" applyNumberFormat="1" applyFont="1" applyBorder="1" applyAlignment="1">
      <alignment horizontal="center" vertical="center"/>
    </xf>
    <xf numFmtId="4" fontId="10" fillId="0" borderId="17" xfId="0" applyNumberFormat="1" applyFont="1" applyBorder="1" applyAlignment="1">
      <alignment horizontal="center" vertical="center"/>
    </xf>
    <xf numFmtId="239" fontId="10" fillId="0" borderId="10" xfId="0" applyNumberFormat="1" applyFont="1" applyBorder="1" applyAlignment="1">
      <alignment horizontal="center" vertical="center" wrapText="1"/>
    </xf>
    <xf numFmtId="239" fontId="10" fillId="0" borderId="11" xfId="0" applyNumberFormat="1" applyFont="1" applyBorder="1" applyAlignment="1">
      <alignment horizontal="center" vertical="center" wrapText="1"/>
    </xf>
    <xf numFmtId="239" fontId="10" fillId="0" borderId="12" xfId="0" applyNumberFormat="1" applyFont="1" applyBorder="1" applyAlignment="1">
      <alignment horizontal="center" vertical="center" wrapText="1"/>
    </xf>
    <xf numFmtId="228" fontId="9" fillId="0" borderId="11" xfId="0" applyNumberFormat="1" applyFont="1" applyBorder="1" applyAlignment="1">
      <alignment horizontal="center" vertical="center"/>
    </xf>
    <xf numFmtId="239" fontId="10" fillId="0" borderId="15" xfId="0" applyNumberFormat="1" applyFont="1" applyBorder="1" applyAlignment="1">
      <alignment horizontal="center" vertical="center" wrapText="1"/>
    </xf>
    <xf numFmtId="239" fontId="10" fillId="0" borderId="16" xfId="0" applyNumberFormat="1" applyFont="1" applyBorder="1" applyAlignment="1">
      <alignment horizontal="center" vertical="center" wrapText="1"/>
    </xf>
    <xf numFmtId="239" fontId="10" fillId="0" borderId="1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215" fontId="9" fillId="0" borderId="0" xfId="0" applyNumberFormat="1" applyFont="1"/>
    <xf numFmtId="0" fontId="9" fillId="0" borderId="0" xfId="0" applyFont="1"/>
    <xf numFmtId="0" fontId="0" fillId="10" borderId="0" xfId="0" applyFill="1"/>
    <xf numFmtId="0" fontId="10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49" fontId="11" fillId="10" borderId="10" xfId="0" applyNumberFormat="1" applyFont="1" applyFill="1" applyBorder="1" applyAlignment="1">
      <alignment horizontal="left" vertical="center"/>
    </xf>
    <xf numFmtId="0" fontId="10" fillId="10" borderId="11" xfId="0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left" vertical="center"/>
    </xf>
    <xf numFmtId="4" fontId="42" fillId="14" borderId="18" xfId="0" applyNumberFormat="1" applyFont="1" applyFill="1" applyBorder="1" applyAlignment="1">
      <alignment horizontal="right" vertical="center"/>
    </xf>
    <xf numFmtId="0" fontId="42" fillId="14" borderId="18" xfId="0" applyFont="1" applyFill="1" applyBorder="1" applyAlignment="1">
      <alignment horizontal="right" vertical="center"/>
    </xf>
    <xf numFmtId="0" fontId="42" fillId="14" borderId="20" xfId="0" applyFont="1" applyFill="1" applyBorder="1" applyAlignment="1">
      <alignment horizontal="right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223" fontId="10" fillId="0" borderId="16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183" fontId="10" fillId="0" borderId="16" xfId="0" applyNumberFormat="1" applyFont="1" applyBorder="1" applyAlignment="1">
      <alignment horizontal="right" vertical="center"/>
    </xf>
    <xf numFmtId="183" fontId="10" fillId="0" borderId="17" xfId="0" applyNumberFormat="1" applyFont="1" applyBorder="1" applyAlignment="1">
      <alignment horizontal="right" vertical="center"/>
    </xf>
    <xf numFmtId="10" fontId="11" fillId="14" borderId="18" xfId="3" applyNumberFormat="1" applyFont="1" applyFill="1" applyBorder="1" applyAlignment="1">
      <alignment horizontal="right" vertical="center"/>
    </xf>
    <xf numFmtId="10" fontId="11" fillId="14" borderId="20" xfId="3" applyNumberFormat="1" applyFont="1" applyFill="1" applyBorder="1" applyAlignment="1">
      <alignment horizontal="right" vertical="center"/>
    </xf>
    <xf numFmtId="49" fontId="11" fillId="10" borderId="13" xfId="0" applyNumberFormat="1" applyFont="1" applyFill="1" applyBorder="1" applyAlignment="1">
      <alignment horizontal="left" vertical="center"/>
    </xf>
    <xf numFmtId="49" fontId="11" fillId="10" borderId="0" xfId="0" applyNumberFormat="1" applyFont="1" applyFill="1" applyAlignment="1">
      <alignment horizontal="left" vertical="center"/>
    </xf>
    <xf numFmtId="0" fontId="11" fillId="10" borderId="14" xfId="0" applyFont="1" applyFill="1" applyBorder="1" applyAlignment="1">
      <alignment horizontal="left" vertical="center"/>
    </xf>
    <xf numFmtId="49" fontId="11" fillId="10" borderId="11" xfId="0" applyNumberFormat="1" applyFont="1" applyFill="1" applyBorder="1" applyAlignment="1">
      <alignment horizontal="left" vertical="center"/>
    </xf>
    <xf numFmtId="4" fontId="42" fillId="10" borderId="18" xfId="0" applyNumberFormat="1" applyFont="1" applyFill="1" applyBorder="1" applyAlignment="1">
      <alignment horizontal="right" vertical="center"/>
    </xf>
    <xf numFmtId="0" fontId="42" fillId="10" borderId="18" xfId="0" applyFont="1" applyFill="1" applyBorder="1" applyAlignment="1">
      <alignment horizontal="right" vertical="center"/>
    </xf>
    <xf numFmtId="0" fontId="42" fillId="10" borderId="20" xfId="0" applyFont="1" applyFill="1" applyBorder="1" applyAlignment="1">
      <alignment horizontal="right" vertical="center"/>
    </xf>
    <xf numFmtId="49" fontId="10" fillId="3" borderId="13" xfId="0" applyNumberFormat="1" applyFont="1" applyFill="1" applyBorder="1" applyAlignment="1">
      <alignment horizontal="left" vertical="center"/>
    </xf>
    <xf numFmtId="49" fontId="10" fillId="3" borderId="0" xfId="0" applyNumberFormat="1" applyFont="1" applyFill="1" applyAlignment="1">
      <alignment horizontal="left" vertical="center"/>
    </xf>
    <xf numFmtId="183" fontId="10" fillId="0" borderId="0" xfId="0" applyNumberFormat="1" applyFont="1" applyAlignment="1">
      <alignment horizontal="right" vertical="center"/>
    </xf>
    <xf numFmtId="183" fontId="10" fillId="0" borderId="14" xfId="0" applyNumberFormat="1" applyFont="1" applyBorder="1" applyAlignment="1">
      <alignment horizontal="right" vertical="center"/>
    </xf>
    <xf numFmtId="0" fontId="11" fillId="14" borderId="19" xfId="0" applyFont="1" applyFill="1" applyBorder="1" applyAlignment="1">
      <alignment horizontal="left" vertical="center"/>
    </xf>
    <xf numFmtId="0" fontId="11" fillId="14" borderId="18" xfId="0" applyFont="1" applyFill="1" applyBorder="1" applyAlignment="1">
      <alignment horizontal="left" vertical="center"/>
    </xf>
    <xf numFmtId="0" fontId="11" fillId="14" borderId="18" xfId="0" applyFont="1" applyFill="1" applyBorder="1" applyAlignment="1">
      <alignment horizontal="center" vertical="center"/>
    </xf>
    <xf numFmtId="223" fontId="11" fillId="14" borderId="18" xfId="0" applyNumberFormat="1" applyFont="1" applyFill="1" applyBorder="1" applyAlignment="1">
      <alignment horizontal="center" vertical="center"/>
    </xf>
    <xf numFmtId="0" fontId="11" fillId="14" borderId="18" xfId="0" applyFont="1" applyFill="1" applyBorder="1" applyAlignment="1">
      <alignment vertical="center"/>
    </xf>
    <xf numFmtId="183" fontId="11" fillId="14" borderId="18" xfId="0" applyNumberFormat="1" applyFont="1" applyFill="1" applyBorder="1" applyAlignment="1">
      <alignment horizontal="right" vertical="center"/>
    </xf>
    <xf numFmtId="183" fontId="11" fillId="14" borderId="20" xfId="0" applyNumberFormat="1" applyFont="1" applyFill="1" applyBorder="1" applyAlignment="1">
      <alignment horizontal="right" vertical="center"/>
    </xf>
    <xf numFmtId="4" fontId="11" fillId="14" borderId="18" xfId="3" applyNumberFormat="1" applyFont="1" applyFill="1" applyBorder="1" applyAlignment="1">
      <alignment horizontal="right" vertical="center"/>
    </xf>
    <xf numFmtId="4" fontId="11" fillId="14" borderId="20" xfId="3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0" fillId="0" borderId="13" xfId="0" applyBorder="1"/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231" fontId="40" fillId="5" borderId="0" xfId="0" applyNumberFormat="1" applyFont="1" applyFill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5" fillId="0" borderId="14" xfId="0" applyFont="1" applyBorder="1"/>
    <xf numFmtId="0" fontId="11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5" borderId="0" xfId="0" applyFont="1" applyFill="1" applyAlignment="1">
      <alignment horizontal="center" vertical="center"/>
    </xf>
    <xf numFmtId="231" fontId="10" fillId="5" borderId="0" xfId="0" applyNumberFormat="1" applyFont="1" applyFill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9" fillId="5" borderId="0" xfId="0" applyFont="1" applyFill="1" applyAlignment="1">
      <alignment horizontal="center" vertical="center"/>
    </xf>
    <xf numFmtId="0" fontId="0" fillId="0" borderId="15" xfId="0" applyBorder="1"/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justify" vertical="center" wrapText="1"/>
    </xf>
    <xf numFmtId="0" fontId="24" fillId="0" borderId="0" xfId="0" applyFont="1" applyAlignment="1">
      <alignment horizontal="center" vertical="center"/>
    </xf>
    <xf numFmtId="0" fontId="9" fillId="0" borderId="44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9" fillId="0" borderId="32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9" fillId="0" borderId="25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212" fontId="8" fillId="0" borderId="19" xfId="0" applyNumberFormat="1" applyFont="1" applyBorder="1" applyAlignment="1">
      <alignment horizontal="center" vertical="center"/>
    </xf>
    <xf numFmtId="212" fontId="8" fillId="0" borderId="18" xfId="0" applyNumberFormat="1" applyFont="1" applyBorder="1" applyAlignment="1">
      <alignment horizontal="center" vertical="center"/>
    </xf>
    <xf numFmtId="2" fontId="9" fillId="0" borderId="18" xfId="0" applyNumberFormat="1" applyFont="1" applyBorder="1" applyAlignment="1">
      <alignment horizontal="left" vertical="center"/>
    </xf>
    <xf numFmtId="2" fontId="9" fillId="0" borderId="51" xfId="0" applyNumberFormat="1" applyFont="1" applyBorder="1" applyAlignment="1">
      <alignment horizontal="left" vertical="center"/>
    </xf>
    <xf numFmtId="0" fontId="9" fillId="0" borderId="50" xfId="0" applyFont="1" applyBorder="1" applyAlignment="1">
      <alignment horizontal="left" vertical="center"/>
    </xf>
    <xf numFmtId="10" fontId="8" fillId="0" borderId="18" xfId="0" applyNumberFormat="1" applyFont="1" applyBorder="1" applyAlignment="1">
      <alignment horizontal="center" vertical="center"/>
    </xf>
    <xf numFmtId="10" fontId="8" fillId="0" borderId="20" xfId="0" applyNumberFormat="1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1" fontId="8" fillId="0" borderId="19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0" fontId="9" fillId="0" borderId="48" xfId="0" applyFont="1" applyBorder="1" applyAlignment="1">
      <alignment horizontal="left" vertical="center"/>
    </xf>
    <xf numFmtId="0" fontId="9" fillId="0" borderId="38" xfId="0" applyFont="1" applyBorder="1" applyAlignment="1">
      <alignment horizontal="left" vertical="center"/>
    </xf>
    <xf numFmtId="0" fontId="9" fillId="0" borderId="39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0" fillId="0" borderId="0" xfId="0" quotePrefix="1"/>
  </cellXfs>
  <cellStyles count="6488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20% - Accent1" xfId="49"/>
    <cellStyle name="20% - Accent2" xfId="50"/>
    <cellStyle name="20% - Accent3" xfId="51"/>
    <cellStyle name="20% - Accent4" xfId="52"/>
    <cellStyle name="20% - Accent5" xfId="53"/>
    <cellStyle name="20% - Accent6" xfId="54"/>
    <cellStyle name="20% - Ênfase1 10" xfId="55"/>
    <cellStyle name="20% - Ênfase1 11" xfId="56"/>
    <cellStyle name="20% - Ênfase1 12" xfId="57"/>
    <cellStyle name="20% - Ênfase1 13" xfId="58"/>
    <cellStyle name="20% - Ênfase1 14" xfId="59"/>
    <cellStyle name="20% - Ênfase1 15" xfId="60"/>
    <cellStyle name="20% - Ênfase1 16" xfId="61"/>
    <cellStyle name="20% - Ênfase1 17" xfId="62"/>
    <cellStyle name="20% - Ênfase1 18" xfId="63"/>
    <cellStyle name="20% - Ênfase1 19" xfId="64"/>
    <cellStyle name="20% - Ênfase1 2" xfId="65"/>
    <cellStyle name="20% - Ênfase1 2 10" xfId="66"/>
    <cellStyle name="20% - Ênfase1 2 11" xfId="67"/>
    <cellStyle name="20% - Ênfase1 2 12" xfId="68"/>
    <cellStyle name="20% - Ênfase1 2 13" xfId="69"/>
    <cellStyle name="20% - Ênfase1 2 14" xfId="70"/>
    <cellStyle name="20% - Ênfase1 2 15" xfId="71"/>
    <cellStyle name="20% - Ênfase1 2 16" xfId="72"/>
    <cellStyle name="20% - Ênfase1 2 17" xfId="73"/>
    <cellStyle name="20% - Ênfase1 2 18" xfId="74"/>
    <cellStyle name="20% - Ênfase1 2 19" xfId="75"/>
    <cellStyle name="20% - Ênfase1 2 2" xfId="76"/>
    <cellStyle name="20% - Ênfase1 2 20" xfId="77"/>
    <cellStyle name="20% - Ênfase1 2 21" xfId="78"/>
    <cellStyle name="20% - Ênfase1 2 22" xfId="79"/>
    <cellStyle name="20% - Ênfase1 2 23" xfId="80"/>
    <cellStyle name="20% - Ênfase1 2 24" xfId="81"/>
    <cellStyle name="20% - Ênfase1 2 25" xfId="82"/>
    <cellStyle name="20% - Ênfase1 2 26" xfId="83"/>
    <cellStyle name="20% - Ênfase1 2 27" xfId="84"/>
    <cellStyle name="20% - Ênfase1 2 3" xfId="85"/>
    <cellStyle name="20% - Ênfase1 2 4" xfId="86"/>
    <cellStyle name="20% - Ênfase1 2 5" xfId="87"/>
    <cellStyle name="20% - Ênfase1 2 6" xfId="88"/>
    <cellStyle name="20% - Ênfase1 2 7" xfId="89"/>
    <cellStyle name="20% - Ênfase1 2 8" xfId="90"/>
    <cellStyle name="20% - Ênfase1 2 9" xfId="91"/>
    <cellStyle name="20% - Ênfase1 20" xfId="92"/>
    <cellStyle name="20% - Ênfase1 21" xfId="93"/>
    <cellStyle name="20% - Ênfase1 22" xfId="94"/>
    <cellStyle name="20% - Ênfase1 23" xfId="95"/>
    <cellStyle name="20% - Ênfase1 24" xfId="96"/>
    <cellStyle name="20% - Ênfase1 25" xfId="97"/>
    <cellStyle name="20% - Ênfase1 26" xfId="98"/>
    <cellStyle name="20% - Ênfase1 27" xfId="99"/>
    <cellStyle name="20% - Ênfase1 28" xfId="100"/>
    <cellStyle name="20% - Ênfase1 3" xfId="101"/>
    <cellStyle name="20% - Ênfase1 4" xfId="102"/>
    <cellStyle name="20% - Ênfase1 5" xfId="103"/>
    <cellStyle name="20% - Ênfase1 6" xfId="104"/>
    <cellStyle name="20% - Ênfase1 7" xfId="105"/>
    <cellStyle name="20% - Ênfase1 8" xfId="106"/>
    <cellStyle name="20% - Ênfase1 9" xfId="107"/>
    <cellStyle name="20% - Ênfase2 10" xfId="108"/>
    <cellStyle name="20% - Ênfase2 11" xfId="109"/>
    <cellStyle name="20% - Ênfase2 12" xfId="110"/>
    <cellStyle name="20% - Ênfase2 13" xfId="111"/>
    <cellStyle name="20% - Ênfase2 14" xfId="112"/>
    <cellStyle name="20% - Ênfase2 15" xfId="113"/>
    <cellStyle name="20% - Ênfase2 16" xfId="114"/>
    <cellStyle name="20% - Ênfase2 17" xfId="115"/>
    <cellStyle name="20% - Ênfase2 18" xfId="116"/>
    <cellStyle name="20% - Ênfase2 19" xfId="117"/>
    <cellStyle name="20% - Ênfase2 2" xfId="118"/>
    <cellStyle name="20% - Ênfase2 2 10" xfId="119"/>
    <cellStyle name="20% - Ênfase2 2 11" xfId="120"/>
    <cellStyle name="20% - Ênfase2 2 12" xfId="121"/>
    <cellStyle name="20% - Ênfase2 2 13" xfId="122"/>
    <cellStyle name="20% - Ênfase2 2 14" xfId="123"/>
    <cellStyle name="20% - Ênfase2 2 15" xfId="124"/>
    <cellStyle name="20% - Ênfase2 2 16" xfId="125"/>
    <cellStyle name="20% - Ênfase2 2 17" xfId="126"/>
    <cellStyle name="20% - Ênfase2 2 18" xfId="127"/>
    <cellStyle name="20% - Ênfase2 2 19" xfId="128"/>
    <cellStyle name="20% - Ênfase2 2 2" xfId="129"/>
    <cellStyle name="20% - Ênfase2 2 20" xfId="130"/>
    <cellStyle name="20% - Ênfase2 2 21" xfId="131"/>
    <cellStyle name="20% - Ênfase2 2 22" xfId="132"/>
    <cellStyle name="20% - Ênfase2 2 23" xfId="133"/>
    <cellStyle name="20% - Ênfase2 2 24" xfId="134"/>
    <cellStyle name="20% - Ênfase2 2 25" xfId="135"/>
    <cellStyle name="20% - Ênfase2 2 26" xfId="136"/>
    <cellStyle name="20% - Ênfase2 2 27" xfId="137"/>
    <cellStyle name="20% - Ênfase2 2 3" xfId="138"/>
    <cellStyle name="20% - Ênfase2 2 4" xfId="139"/>
    <cellStyle name="20% - Ênfase2 2 5" xfId="140"/>
    <cellStyle name="20% - Ênfase2 2 6" xfId="141"/>
    <cellStyle name="20% - Ênfase2 2 7" xfId="142"/>
    <cellStyle name="20% - Ênfase2 2 8" xfId="143"/>
    <cellStyle name="20% - Ênfase2 2 9" xfId="144"/>
    <cellStyle name="20% - Ênfase2 20" xfId="145"/>
    <cellStyle name="20% - Ênfase2 21" xfId="146"/>
    <cellStyle name="20% - Ênfase2 22" xfId="147"/>
    <cellStyle name="20% - Ênfase2 23" xfId="148"/>
    <cellStyle name="20% - Ênfase2 24" xfId="149"/>
    <cellStyle name="20% - Ênfase2 25" xfId="150"/>
    <cellStyle name="20% - Ênfase2 26" xfId="151"/>
    <cellStyle name="20% - Ênfase2 27" xfId="152"/>
    <cellStyle name="20% - Ênfase2 28" xfId="153"/>
    <cellStyle name="20% - Ênfase2 3" xfId="154"/>
    <cellStyle name="20% - Ênfase2 4" xfId="155"/>
    <cellStyle name="20% - Ênfase2 5" xfId="156"/>
    <cellStyle name="20% - Ênfase2 6" xfId="157"/>
    <cellStyle name="20% - Ênfase2 7" xfId="158"/>
    <cellStyle name="20% - Ênfase2 8" xfId="159"/>
    <cellStyle name="20% - Ênfase2 9" xfId="160"/>
    <cellStyle name="20% - Ênfase3 10" xfId="161"/>
    <cellStyle name="20% - Ênfase3 11" xfId="162"/>
    <cellStyle name="20% - Ênfase3 12" xfId="163"/>
    <cellStyle name="20% - Ênfase3 13" xfId="164"/>
    <cellStyle name="20% - Ênfase3 14" xfId="165"/>
    <cellStyle name="20% - Ênfase3 15" xfId="166"/>
    <cellStyle name="20% - Ênfase3 16" xfId="167"/>
    <cellStyle name="20% - Ênfase3 17" xfId="168"/>
    <cellStyle name="20% - Ênfase3 18" xfId="169"/>
    <cellStyle name="20% - Ênfase3 19" xfId="170"/>
    <cellStyle name="20% - Ênfase3 2" xfId="171"/>
    <cellStyle name="20% - Ênfase3 2 10" xfId="172"/>
    <cellStyle name="20% - Ênfase3 2 11" xfId="173"/>
    <cellStyle name="20% - Ênfase3 2 12" xfId="174"/>
    <cellStyle name="20% - Ênfase3 2 13" xfId="175"/>
    <cellStyle name="20% - Ênfase3 2 14" xfId="176"/>
    <cellStyle name="20% - Ênfase3 2 15" xfId="177"/>
    <cellStyle name="20% - Ênfase3 2 16" xfId="178"/>
    <cellStyle name="20% - Ênfase3 2 17" xfId="179"/>
    <cellStyle name="20% - Ênfase3 2 18" xfId="180"/>
    <cellStyle name="20% - Ênfase3 2 19" xfId="181"/>
    <cellStyle name="20% - Ênfase3 2 2" xfId="182"/>
    <cellStyle name="20% - Ênfase3 2 20" xfId="183"/>
    <cellStyle name="20% - Ênfase3 2 21" xfId="184"/>
    <cellStyle name="20% - Ênfase3 2 22" xfId="185"/>
    <cellStyle name="20% - Ênfase3 2 23" xfId="186"/>
    <cellStyle name="20% - Ênfase3 2 24" xfId="187"/>
    <cellStyle name="20% - Ênfase3 2 25" xfId="188"/>
    <cellStyle name="20% - Ênfase3 2 26" xfId="189"/>
    <cellStyle name="20% - Ênfase3 2 27" xfId="190"/>
    <cellStyle name="20% - Ênfase3 2 3" xfId="191"/>
    <cellStyle name="20% - Ênfase3 2 4" xfId="192"/>
    <cellStyle name="20% - Ênfase3 2 5" xfId="193"/>
    <cellStyle name="20% - Ênfase3 2 6" xfId="194"/>
    <cellStyle name="20% - Ênfase3 2 7" xfId="195"/>
    <cellStyle name="20% - Ênfase3 2 8" xfId="196"/>
    <cellStyle name="20% - Ênfase3 2 9" xfId="197"/>
    <cellStyle name="20% - Ênfase3 20" xfId="198"/>
    <cellStyle name="20% - Ênfase3 21" xfId="199"/>
    <cellStyle name="20% - Ênfase3 22" xfId="200"/>
    <cellStyle name="20% - Ênfase3 23" xfId="201"/>
    <cellStyle name="20% - Ênfase3 24" xfId="202"/>
    <cellStyle name="20% - Ênfase3 25" xfId="203"/>
    <cellStyle name="20% - Ênfase3 26" xfId="204"/>
    <cellStyle name="20% - Ênfase3 27" xfId="205"/>
    <cellStyle name="20% - Ênfase3 28" xfId="206"/>
    <cellStyle name="20% - Ênfase3 3" xfId="207"/>
    <cellStyle name="20% - Ênfase3 4" xfId="208"/>
    <cellStyle name="20% - Ênfase3 5" xfId="209"/>
    <cellStyle name="20% - Ênfase3 6" xfId="210"/>
    <cellStyle name="20% - Ênfase3 7" xfId="211"/>
    <cellStyle name="20% - Ênfase3 8" xfId="212"/>
    <cellStyle name="20% - Ênfase3 9" xfId="213"/>
    <cellStyle name="20% - Ênfase4 10" xfId="214"/>
    <cellStyle name="20% - Ênfase4 11" xfId="215"/>
    <cellStyle name="20% - Ênfase4 12" xfId="216"/>
    <cellStyle name="20% - Ênfase4 13" xfId="217"/>
    <cellStyle name="20% - Ênfase4 14" xfId="218"/>
    <cellStyle name="20% - Ênfase4 15" xfId="219"/>
    <cellStyle name="20% - Ênfase4 16" xfId="220"/>
    <cellStyle name="20% - Ênfase4 17" xfId="221"/>
    <cellStyle name="20% - Ênfase4 18" xfId="222"/>
    <cellStyle name="20% - Ênfase4 19" xfId="223"/>
    <cellStyle name="20% - Ênfase4 2" xfId="224"/>
    <cellStyle name="20% - Ênfase4 2 10" xfId="225"/>
    <cellStyle name="20% - Ênfase4 2 11" xfId="226"/>
    <cellStyle name="20% - Ênfase4 2 12" xfId="227"/>
    <cellStyle name="20% - Ênfase4 2 13" xfId="228"/>
    <cellStyle name="20% - Ênfase4 2 14" xfId="229"/>
    <cellStyle name="20% - Ênfase4 2 15" xfId="230"/>
    <cellStyle name="20% - Ênfase4 2 16" xfId="231"/>
    <cellStyle name="20% - Ênfase4 2 17" xfId="232"/>
    <cellStyle name="20% - Ênfase4 2 18" xfId="233"/>
    <cellStyle name="20% - Ênfase4 2 19" xfId="234"/>
    <cellStyle name="20% - Ênfase4 2 2" xfId="235"/>
    <cellStyle name="20% - Ênfase4 2 20" xfId="236"/>
    <cellStyle name="20% - Ênfase4 2 21" xfId="237"/>
    <cellStyle name="20% - Ênfase4 2 22" xfId="238"/>
    <cellStyle name="20% - Ênfase4 2 23" xfId="239"/>
    <cellStyle name="20% - Ênfase4 2 24" xfId="240"/>
    <cellStyle name="20% - Ênfase4 2 25" xfId="241"/>
    <cellStyle name="20% - Ênfase4 2 26" xfId="242"/>
    <cellStyle name="20% - Ênfase4 2 27" xfId="243"/>
    <cellStyle name="20% - Ênfase4 2 3" xfId="244"/>
    <cellStyle name="20% - Ênfase4 2 4" xfId="245"/>
    <cellStyle name="20% - Ênfase4 2 5" xfId="246"/>
    <cellStyle name="20% - Ênfase4 2 6" xfId="247"/>
    <cellStyle name="20% - Ênfase4 2 7" xfId="248"/>
    <cellStyle name="20% - Ênfase4 2 8" xfId="249"/>
    <cellStyle name="20% - Ênfase4 2 9" xfId="250"/>
    <cellStyle name="20% - Ênfase4 20" xfId="251"/>
    <cellStyle name="20% - Ênfase4 21" xfId="252"/>
    <cellStyle name="20% - Ênfase4 22" xfId="253"/>
    <cellStyle name="20% - Ênfase4 23" xfId="254"/>
    <cellStyle name="20% - Ênfase4 24" xfId="255"/>
    <cellStyle name="20% - Ênfase4 25" xfId="256"/>
    <cellStyle name="20% - Ênfase4 26" xfId="257"/>
    <cellStyle name="20% - Ênfase4 27" xfId="258"/>
    <cellStyle name="20% - Ênfase4 28" xfId="259"/>
    <cellStyle name="20% - Ênfase4 3" xfId="260"/>
    <cellStyle name="20% - Ênfase4 4" xfId="261"/>
    <cellStyle name="20% - Ênfase4 5" xfId="262"/>
    <cellStyle name="20% - Ênfase4 6" xfId="263"/>
    <cellStyle name="20% - Ênfase4 7" xfId="264"/>
    <cellStyle name="20% - Ênfase4 8" xfId="265"/>
    <cellStyle name="20% - Ênfase4 9" xfId="266"/>
    <cellStyle name="20% - Ênfase5 10" xfId="267"/>
    <cellStyle name="20% - Ênfase5 11" xfId="268"/>
    <cellStyle name="20% - Ênfase5 12" xfId="269"/>
    <cellStyle name="20% - Ênfase5 13" xfId="270"/>
    <cellStyle name="20% - Ênfase5 14" xfId="271"/>
    <cellStyle name="20% - Ênfase5 15" xfId="272"/>
    <cellStyle name="20% - Ênfase5 16" xfId="273"/>
    <cellStyle name="20% - Ênfase5 17" xfId="274"/>
    <cellStyle name="20% - Ênfase5 18" xfId="275"/>
    <cellStyle name="20% - Ênfase5 19" xfId="276"/>
    <cellStyle name="20% - Ênfase5 2" xfId="277"/>
    <cellStyle name="20% - Ênfase5 2 10" xfId="278"/>
    <cellStyle name="20% - Ênfase5 2 11" xfId="279"/>
    <cellStyle name="20% - Ênfase5 2 12" xfId="280"/>
    <cellStyle name="20% - Ênfase5 2 13" xfId="281"/>
    <cellStyle name="20% - Ênfase5 2 14" xfId="282"/>
    <cellStyle name="20% - Ênfase5 2 15" xfId="283"/>
    <cellStyle name="20% - Ênfase5 2 16" xfId="284"/>
    <cellStyle name="20% - Ênfase5 2 17" xfId="285"/>
    <cellStyle name="20% - Ênfase5 2 18" xfId="286"/>
    <cellStyle name="20% - Ênfase5 2 19" xfId="287"/>
    <cellStyle name="20% - Ênfase5 2 2" xfId="288"/>
    <cellStyle name="20% - Ênfase5 2 20" xfId="289"/>
    <cellStyle name="20% - Ênfase5 2 21" xfId="290"/>
    <cellStyle name="20% - Ênfase5 2 22" xfId="291"/>
    <cellStyle name="20% - Ênfase5 2 23" xfId="292"/>
    <cellStyle name="20% - Ênfase5 2 24" xfId="293"/>
    <cellStyle name="20% - Ênfase5 2 25" xfId="294"/>
    <cellStyle name="20% - Ênfase5 2 26" xfId="295"/>
    <cellStyle name="20% - Ênfase5 2 27" xfId="296"/>
    <cellStyle name="20% - Ênfase5 2 3" xfId="297"/>
    <cellStyle name="20% - Ênfase5 2 4" xfId="298"/>
    <cellStyle name="20% - Ênfase5 2 5" xfId="299"/>
    <cellStyle name="20% - Ênfase5 2 6" xfId="300"/>
    <cellStyle name="20% - Ênfase5 2 7" xfId="301"/>
    <cellStyle name="20% - Ênfase5 2 8" xfId="302"/>
    <cellStyle name="20% - Ênfase5 2 9" xfId="303"/>
    <cellStyle name="20% - Ênfase5 20" xfId="304"/>
    <cellStyle name="20% - Ênfase5 21" xfId="305"/>
    <cellStyle name="20% - Ênfase5 22" xfId="306"/>
    <cellStyle name="20% - Ênfase5 23" xfId="307"/>
    <cellStyle name="20% - Ênfase5 24" xfId="308"/>
    <cellStyle name="20% - Ênfase5 25" xfId="309"/>
    <cellStyle name="20% - Ênfase5 26" xfId="310"/>
    <cellStyle name="20% - Ênfase5 27" xfId="311"/>
    <cellStyle name="20% - Ênfase5 28" xfId="312"/>
    <cellStyle name="20% - Ênfase5 3" xfId="313"/>
    <cellStyle name="20% - Ênfase5 4" xfId="314"/>
    <cellStyle name="20% - Ênfase5 5" xfId="315"/>
    <cellStyle name="20% - Ênfase5 6" xfId="316"/>
    <cellStyle name="20% - Ênfase5 7" xfId="317"/>
    <cellStyle name="20% - Ênfase5 8" xfId="318"/>
    <cellStyle name="20% - Ênfase5 9" xfId="319"/>
    <cellStyle name="20% - Ênfase6 10" xfId="320"/>
    <cellStyle name="20% - Ênfase6 11" xfId="321"/>
    <cellStyle name="20% - Ênfase6 12" xfId="322"/>
    <cellStyle name="20% - Ênfase6 13" xfId="323"/>
    <cellStyle name="20% - Ênfase6 14" xfId="324"/>
    <cellStyle name="20% - Ênfase6 15" xfId="325"/>
    <cellStyle name="20% - Ênfase6 16" xfId="326"/>
    <cellStyle name="20% - Ênfase6 17" xfId="327"/>
    <cellStyle name="20% - Ênfase6 18" xfId="328"/>
    <cellStyle name="20% - Ênfase6 19" xfId="329"/>
    <cellStyle name="20% - Ênfase6 2" xfId="330"/>
    <cellStyle name="20% - Ênfase6 2 10" xfId="331"/>
    <cellStyle name="20% - Ênfase6 2 11" xfId="332"/>
    <cellStyle name="20% - Ênfase6 2 12" xfId="333"/>
    <cellStyle name="20% - Ênfase6 2 13" xfId="334"/>
    <cellStyle name="20% - Ênfase6 2 14" xfId="335"/>
    <cellStyle name="20% - Ênfase6 2 15" xfId="336"/>
    <cellStyle name="20% - Ênfase6 2 16" xfId="337"/>
    <cellStyle name="20% - Ênfase6 2 17" xfId="338"/>
    <cellStyle name="20% - Ênfase6 2 18" xfId="339"/>
    <cellStyle name="20% - Ênfase6 2 19" xfId="340"/>
    <cellStyle name="20% - Ênfase6 2 2" xfId="341"/>
    <cellStyle name="20% - Ênfase6 2 20" xfId="342"/>
    <cellStyle name="20% - Ênfase6 2 21" xfId="343"/>
    <cellStyle name="20% - Ênfase6 2 22" xfId="344"/>
    <cellStyle name="20% - Ênfase6 2 23" xfId="345"/>
    <cellStyle name="20% - Ênfase6 2 24" xfId="346"/>
    <cellStyle name="20% - Ênfase6 2 25" xfId="347"/>
    <cellStyle name="20% - Ênfase6 2 26" xfId="348"/>
    <cellStyle name="20% - Ênfase6 2 27" xfId="349"/>
    <cellStyle name="20% - Ênfase6 2 3" xfId="350"/>
    <cellStyle name="20% - Ênfase6 2 4" xfId="351"/>
    <cellStyle name="20% - Ênfase6 2 5" xfId="352"/>
    <cellStyle name="20% - Ênfase6 2 6" xfId="353"/>
    <cellStyle name="20% - Ênfase6 2 7" xfId="354"/>
    <cellStyle name="20% - Ênfase6 2 8" xfId="355"/>
    <cellStyle name="20% - Ênfase6 2 9" xfId="356"/>
    <cellStyle name="20% - Ênfase6 20" xfId="357"/>
    <cellStyle name="20% - Ênfase6 21" xfId="358"/>
    <cellStyle name="20% - Ênfase6 22" xfId="359"/>
    <cellStyle name="20% - Ênfase6 23" xfId="360"/>
    <cellStyle name="20% - Ênfase6 24" xfId="361"/>
    <cellStyle name="20% - Ênfase6 25" xfId="362"/>
    <cellStyle name="20% - Ênfase6 26" xfId="363"/>
    <cellStyle name="20% - Ênfase6 27" xfId="364"/>
    <cellStyle name="20% - Ênfase6 28" xfId="365"/>
    <cellStyle name="20% - Ênfase6 3" xfId="366"/>
    <cellStyle name="20% - Ênfase6 4" xfId="367"/>
    <cellStyle name="20% - Ênfase6 5" xfId="368"/>
    <cellStyle name="20% - Ênfase6 6" xfId="369"/>
    <cellStyle name="20% - Ênfase6 7" xfId="370"/>
    <cellStyle name="20% - Ênfase6 8" xfId="371"/>
    <cellStyle name="20% - Ênfase6 9" xfId="372"/>
    <cellStyle name="40% - Accent1" xfId="373"/>
    <cellStyle name="40% - Accent2" xfId="374"/>
    <cellStyle name="40% - Accent3" xfId="375"/>
    <cellStyle name="40% - Accent4" xfId="376"/>
    <cellStyle name="40% - Accent5" xfId="377"/>
    <cellStyle name="40% - Accent6" xfId="378"/>
    <cellStyle name="40% - Ênfase1 10" xfId="379"/>
    <cellStyle name="40% - Ênfase1 11" xfId="380"/>
    <cellStyle name="40% - Ênfase1 12" xfId="381"/>
    <cellStyle name="40% - Ênfase1 13" xfId="382"/>
    <cellStyle name="40% - Ênfase1 14" xfId="383"/>
    <cellStyle name="40% - Ênfase1 15" xfId="384"/>
    <cellStyle name="40% - Ênfase1 16" xfId="385"/>
    <cellStyle name="40% - Ênfase1 17" xfId="386"/>
    <cellStyle name="40% - Ênfase1 18" xfId="387"/>
    <cellStyle name="40% - Ênfase1 19" xfId="388"/>
    <cellStyle name="40% - Ênfase1 2" xfId="389"/>
    <cellStyle name="40% - Ênfase1 2 10" xfId="390"/>
    <cellStyle name="40% - Ênfase1 2 11" xfId="391"/>
    <cellStyle name="40% - Ênfase1 2 12" xfId="392"/>
    <cellStyle name="40% - Ênfase1 2 13" xfId="393"/>
    <cellStyle name="40% - Ênfase1 2 14" xfId="394"/>
    <cellStyle name="40% - Ênfase1 2 15" xfId="395"/>
    <cellStyle name="40% - Ênfase1 2 16" xfId="396"/>
    <cellStyle name="40% - Ênfase1 2 17" xfId="397"/>
    <cellStyle name="40% - Ênfase1 2 18" xfId="398"/>
    <cellStyle name="40% - Ênfase1 2 19" xfId="399"/>
    <cellStyle name="40% - Ênfase1 2 2" xfId="400"/>
    <cellStyle name="40% - Ênfase1 2 20" xfId="401"/>
    <cellStyle name="40% - Ênfase1 2 21" xfId="402"/>
    <cellStyle name="40% - Ênfase1 2 22" xfId="403"/>
    <cellStyle name="40% - Ênfase1 2 23" xfId="404"/>
    <cellStyle name="40% - Ênfase1 2 24" xfId="405"/>
    <cellStyle name="40% - Ênfase1 2 25" xfId="406"/>
    <cellStyle name="40% - Ênfase1 2 26" xfId="407"/>
    <cellStyle name="40% - Ênfase1 2 27" xfId="408"/>
    <cellStyle name="40% - Ênfase1 2 3" xfId="409"/>
    <cellStyle name="40% - Ênfase1 2 4" xfId="410"/>
    <cellStyle name="40% - Ênfase1 2 5" xfId="411"/>
    <cellStyle name="40% - Ênfase1 2 6" xfId="412"/>
    <cellStyle name="40% - Ênfase1 2 7" xfId="413"/>
    <cellStyle name="40% - Ênfase1 2 8" xfId="414"/>
    <cellStyle name="40% - Ênfase1 2 9" xfId="415"/>
    <cellStyle name="40% - Ênfase1 20" xfId="416"/>
    <cellStyle name="40% - Ênfase1 21" xfId="417"/>
    <cellStyle name="40% - Ênfase1 22" xfId="418"/>
    <cellStyle name="40% - Ênfase1 23" xfId="419"/>
    <cellStyle name="40% - Ênfase1 24" xfId="420"/>
    <cellStyle name="40% - Ênfase1 25" xfId="421"/>
    <cellStyle name="40% - Ênfase1 26" xfId="422"/>
    <cellStyle name="40% - Ênfase1 27" xfId="423"/>
    <cellStyle name="40% - Ênfase1 28" xfId="424"/>
    <cellStyle name="40% - Ênfase1 3" xfId="425"/>
    <cellStyle name="40% - Ênfase1 4" xfId="426"/>
    <cellStyle name="40% - Ênfase1 5" xfId="427"/>
    <cellStyle name="40% - Ênfase1 6" xfId="428"/>
    <cellStyle name="40% - Ênfase1 7" xfId="429"/>
    <cellStyle name="40% - Ênfase1 8" xfId="430"/>
    <cellStyle name="40% - Ênfase1 9" xfId="431"/>
    <cellStyle name="40% - Ênfase2 10" xfId="432"/>
    <cellStyle name="40% - Ênfase2 11" xfId="433"/>
    <cellStyle name="40% - Ênfase2 12" xfId="434"/>
    <cellStyle name="40% - Ênfase2 13" xfId="435"/>
    <cellStyle name="40% - Ênfase2 14" xfId="436"/>
    <cellStyle name="40% - Ênfase2 15" xfId="437"/>
    <cellStyle name="40% - Ênfase2 16" xfId="438"/>
    <cellStyle name="40% - Ênfase2 17" xfId="439"/>
    <cellStyle name="40% - Ênfase2 18" xfId="440"/>
    <cellStyle name="40% - Ênfase2 19" xfId="441"/>
    <cellStyle name="40% - Ênfase2 2" xfId="442"/>
    <cellStyle name="40% - Ênfase2 2 10" xfId="443"/>
    <cellStyle name="40% - Ênfase2 2 11" xfId="444"/>
    <cellStyle name="40% - Ênfase2 2 12" xfId="445"/>
    <cellStyle name="40% - Ênfase2 2 13" xfId="446"/>
    <cellStyle name="40% - Ênfase2 2 14" xfId="447"/>
    <cellStyle name="40% - Ênfase2 2 15" xfId="448"/>
    <cellStyle name="40% - Ênfase2 2 16" xfId="449"/>
    <cellStyle name="40% - Ênfase2 2 17" xfId="450"/>
    <cellStyle name="40% - Ênfase2 2 18" xfId="451"/>
    <cellStyle name="40% - Ênfase2 2 19" xfId="452"/>
    <cellStyle name="40% - Ênfase2 2 2" xfId="453"/>
    <cellStyle name="40% - Ênfase2 2 20" xfId="454"/>
    <cellStyle name="40% - Ênfase2 2 21" xfId="455"/>
    <cellStyle name="40% - Ênfase2 2 22" xfId="456"/>
    <cellStyle name="40% - Ênfase2 2 23" xfId="457"/>
    <cellStyle name="40% - Ênfase2 2 24" xfId="458"/>
    <cellStyle name="40% - Ênfase2 2 25" xfId="459"/>
    <cellStyle name="40% - Ênfase2 2 26" xfId="460"/>
    <cellStyle name="40% - Ênfase2 2 27" xfId="461"/>
    <cellStyle name="40% - Ênfase2 2 3" xfId="462"/>
    <cellStyle name="40% - Ênfase2 2 4" xfId="463"/>
    <cellStyle name="40% - Ênfase2 2 5" xfId="464"/>
    <cellStyle name="40% - Ênfase2 2 6" xfId="465"/>
    <cellStyle name="40% - Ênfase2 2 7" xfId="466"/>
    <cellStyle name="40% - Ênfase2 2 8" xfId="467"/>
    <cellStyle name="40% - Ênfase2 2 9" xfId="468"/>
    <cellStyle name="40% - Ênfase2 20" xfId="469"/>
    <cellStyle name="40% - Ênfase2 21" xfId="470"/>
    <cellStyle name="40% - Ênfase2 22" xfId="471"/>
    <cellStyle name="40% - Ênfase2 23" xfId="472"/>
    <cellStyle name="40% - Ênfase2 24" xfId="473"/>
    <cellStyle name="40% - Ênfase2 25" xfId="474"/>
    <cellStyle name="40% - Ênfase2 26" xfId="475"/>
    <cellStyle name="40% - Ênfase2 27" xfId="476"/>
    <cellStyle name="40% - Ênfase2 28" xfId="477"/>
    <cellStyle name="40% - Ênfase2 3" xfId="478"/>
    <cellStyle name="40% - Ênfase2 4" xfId="479"/>
    <cellStyle name="40% - Ênfase2 5" xfId="480"/>
    <cellStyle name="40% - Ênfase2 6" xfId="481"/>
    <cellStyle name="40% - Ênfase2 7" xfId="482"/>
    <cellStyle name="40% - Ênfase2 8" xfId="483"/>
    <cellStyle name="40% - Ênfase2 9" xfId="484"/>
    <cellStyle name="40% - Ênfase3 10" xfId="485"/>
    <cellStyle name="40% - Ênfase3 11" xfId="486"/>
    <cellStyle name="40% - Ênfase3 12" xfId="487"/>
    <cellStyle name="40% - Ênfase3 13" xfId="488"/>
    <cellStyle name="40% - Ênfase3 14" xfId="489"/>
    <cellStyle name="40% - Ênfase3 15" xfId="490"/>
    <cellStyle name="40% - Ênfase3 16" xfId="491"/>
    <cellStyle name="40% - Ênfase3 17" xfId="492"/>
    <cellStyle name="40% - Ênfase3 18" xfId="493"/>
    <cellStyle name="40% - Ênfase3 19" xfId="494"/>
    <cellStyle name="40% - Ênfase3 2" xfId="495"/>
    <cellStyle name="40% - Ênfase3 2 10" xfId="496"/>
    <cellStyle name="40% - Ênfase3 2 11" xfId="497"/>
    <cellStyle name="40% - Ênfase3 2 12" xfId="498"/>
    <cellStyle name="40% - Ênfase3 2 13" xfId="499"/>
    <cellStyle name="40% - Ênfase3 2 14" xfId="500"/>
    <cellStyle name="40% - Ênfase3 2 15" xfId="501"/>
    <cellStyle name="40% - Ênfase3 2 16" xfId="502"/>
    <cellStyle name="40% - Ênfase3 2 17" xfId="503"/>
    <cellStyle name="40% - Ênfase3 2 18" xfId="504"/>
    <cellStyle name="40% - Ênfase3 2 19" xfId="505"/>
    <cellStyle name="40% - Ênfase3 2 2" xfId="506"/>
    <cellStyle name="40% - Ênfase3 2 20" xfId="507"/>
    <cellStyle name="40% - Ênfase3 2 21" xfId="508"/>
    <cellStyle name="40% - Ênfase3 2 22" xfId="509"/>
    <cellStyle name="40% - Ênfase3 2 23" xfId="510"/>
    <cellStyle name="40% - Ênfase3 2 24" xfId="511"/>
    <cellStyle name="40% - Ênfase3 2 25" xfId="512"/>
    <cellStyle name="40% - Ênfase3 2 26" xfId="513"/>
    <cellStyle name="40% - Ênfase3 2 27" xfId="514"/>
    <cellStyle name="40% - Ênfase3 2 3" xfId="515"/>
    <cellStyle name="40% - Ênfase3 2 4" xfId="516"/>
    <cellStyle name="40% - Ênfase3 2 5" xfId="517"/>
    <cellStyle name="40% - Ênfase3 2 6" xfId="518"/>
    <cellStyle name="40% - Ênfase3 2 7" xfId="519"/>
    <cellStyle name="40% - Ênfase3 2 8" xfId="520"/>
    <cellStyle name="40% - Ênfase3 2 9" xfId="521"/>
    <cellStyle name="40% - Ênfase3 20" xfId="522"/>
    <cellStyle name="40% - Ênfase3 21" xfId="523"/>
    <cellStyle name="40% - Ênfase3 22" xfId="524"/>
    <cellStyle name="40% - Ênfase3 23" xfId="525"/>
    <cellStyle name="40% - Ênfase3 24" xfId="526"/>
    <cellStyle name="40% - Ênfase3 25" xfId="527"/>
    <cellStyle name="40% - Ênfase3 26" xfId="528"/>
    <cellStyle name="40% - Ênfase3 27" xfId="529"/>
    <cellStyle name="40% - Ênfase3 28" xfId="530"/>
    <cellStyle name="40% - Ênfase3 3" xfId="531"/>
    <cellStyle name="40% - Ênfase3 4" xfId="532"/>
    <cellStyle name="40% - Ênfase3 5" xfId="533"/>
    <cellStyle name="40% - Ênfase3 6" xfId="534"/>
    <cellStyle name="40% - Ênfase3 7" xfId="535"/>
    <cellStyle name="40% - Ênfase3 8" xfId="536"/>
    <cellStyle name="40% - Ênfase3 9" xfId="537"/>
    <cellStyle name="40% - Ênfase4 10" xfId="538"/>
    <cellStyle name="40% - Ênfase4 11" xfId="539"/>
    <cellStyle name="40% - Ênfase4 12" xfId="540"/>
    <cellStyle name="40% - Ênfase4 13" xfId="541"/>
    <cellStyle name="40% - Ênfase4 14" xfId="542"/>
    <cellStyle name="40% - Ênfase4 15" xfId="543"/>
    <cellStyle name="40% - Ênfase4 16" xfId="544"/>
    <cellStyle name="40% - Ênfase4 17" xfId="545"/>
    <cellStyle name="40% - Ênfase4 18" xfId="546"/>
    <cellStyle name="40% - Ênfase4 19" xfId="547"/>
    <cellStyle name="40% - Ênfase4 2" xfId="548"/>
    <cellStyle name="40% - Ênfase4 2 10" xfId="549"/>
    <cellStyle name="40% - Ênfase4 2 11" xfId="550"/>
    <cellStyle name="40% - Ênfase4 2 12" xfId="551"/>
    <cellStyle name="40% - Ênfase4 2 13" xfId="552"/>
    <cellStyle name="40% - Ênfase4 2 14" xfId="553"/>
    <cellStyle name="40% - Ênfase4 2 15" xfId="554"/>
    <cellStyle name="40% - Ênfase4 2 16" xfId="555"/>
    <cellStyle name="40% - Ênfase4 2 17" xfId="556"/>
    <cellStyle name="40% - Ênfase4 2 18" xfId="557"/>
    <cellStyle name="40% - Ênfase4 2 19" xfId="558"/>
    <cellStyle name="40% - Ênfase4 2 2" xfId="559"/>
    <cellStyle name="40% - Ênfase4 2 20" xfId="560"/>
    <cellStyle name="40% - Ênfase4 2 21" xfId="561"/>
    <cellStyle name="40% - Ênfase4 2 22" xfId="562"/>
    <cellStyle name="40% - Ênfase4 2 23" xfId="563"/>
    <cellStyle name="40% - Ênfase4 2 24" xfId="564"/>
    <cellStyle name="40% - Ênfase4 2 25" xfId="565"/>
    <cellStyle name="40% - Ênfase4 2 26" xfId="566"/>
    <cellStyle name="40% - Ênfase4 2 27" xfId="567"/>
    <cellStyle name="40% - Ênfase4 2 3" xfId="568"/>
    <cellStyle name="40% - Ênfase4 2 4" xfId="569"/>
    <cellStyle name="40% - Ênfase4 2 5" xfId="570"/>
    <cellStyle name="40% - Ênfase4 2 6" xfId="571"/>
    <cellStyle name="40% - Ênfase4 2 7" xfId="572"/>
    <cellStyle name="40% - Ênfase4 2 8" xfId="573"/>
    <cellStyle name="40% - Ênfase4 2 9" xfId="574"/>
    <cellStyle name="40% - Ênfase4 20" xfId="575"/>
    <cellStyle name="40% - Ênfase4 21" xfId="576"/>
    <cellStyle name="40% - Ênfase4 22" xfId="577"/>
    <cellStyle name="40% - Ênfase4 23" xfId="578"/>
    <cellStyle name="40% - Ênfase4 24" xfId="579"/>
    <cellStyle name="40% - Ênfase4 25" xfId="580"/>
    <cellStyle name="40% - Ênfase4 26" xfId="581"/>
    <cellStyle name="40% - Ênfase4 27" xfId="582"/>
    <cellStyle name="40% - Ênfase4 28" xfId="583"/>
    <cellStyle name="40% - Ênfase4 3" xfId="584"/>
    <cellStyle name="40% - Ênfase4 4" xfId="585"/>
    <cellStyle name="40% - Ênfase4 5" xfId="586"/>
    <cellStyle name="40% - Ênfase4 6" xfId="587"/>
    <cellStyle name="40% - Ênfase4 7" xfId="588"/>
    <cellStyle name="40% - Ênfase4 8" xfId="589"/>
    <cellStyle name="40% - Ênfase4 9" xfId="590"/>
    <cellStyle name="40% - Ênfase5 10" xfId="591"/>
    <cellStyle name="40% - Ênfase5 11" xfId="592"/>
    <cellStyle name="40% - Ênfase5 12" xfId="593"/>
    <cellStyle name="40% - Ênfase5 13" xfId="594"/>
    <cellStyle name="40% - Ênfase5 14" xfId="595"/>
    <cellStyle name="40% - Ênfase5 15" xfId="596"/>
    <cellStyle name="40% - Ênfase5 16" xfId="597"/>
    <cellStyle name="40% - Ênfase5 17" xfId="598"/>
    <cellStyle name="40% - Ênfase5 18" xfId="599"/>
    <cellStyle name="40% - Ênfase5 19" xfId="600"/>
    <cellStyle name="40% - Ênfase5 2" xfId="601"/>
    <cellStyle name="40% - Ênfase5 2 10" xfId="602"/>
    <cellStyle name="40% - Ênfase5 2 11" xfId="603"/>
    <cellStyle name="40% - Ênfase5 2 12" xfId="604"/>
    <cellStyle name="40% - Ênfase5 2 13" xfId="605"/>
    <cellStyle name="40% - Ênfase5 2 14" xfId="606"/>
    <cellStyle name="40% - Ênfase5 2 15" xfId="607"/>
    <cellStyle name="40% - Ênfase5 2 16" xfId="608"/>
    <cellStyle name="40% - Ênfase5 2 17" xfId="609"/>
    <cellStyle name="40% - Ênfase5 2 18" xfId="610"/>
    <cellStyle name="40% - Ênfase5 2 19" xfId="611"/>
    <cellStyle name="40% - Ênfase5 2 2" xfId="612"/>
    <cellStyle name="40% - Ênfase5 2 20" xfId="613"/>
    <cellStyle name="40% - Ênfase5 2 21" xfId="614"/>
    <cellStyle name="40% - Ênfase5 2 22" xfId="615"/>
    <cellStyle name="40% - Ênfase5 2 23" xfId="616"/>
    <cellStyle name="40% - Ênfase5 2 24" xfId="617"/>
    <cellStyle name="40% - Ênfase5 2 25" xfId="618"/>
    <cellStyle name="40% - Ênfase5 2 26" xfId="619"/>
    <cellStyle name="40% - Ênfase5 2 27" xfId="620"/>
    <cellStyle name="40% - Ênfase5 2 3" xfId="621"/>
    <cellStyle name="40% - Ênfase5 2 4" xfId="622"/>
    <cellStyle name="40% - Ênfase5 2 5" xfId="623"/>
    <cellStyle name="40% - Ênfase5 2 6" xfId="624"/>
    <cellStyle name="40% - Ênfase5 2 7" xfId="625"/>
    <cellStyle name="40% - Ênfase5 2 8" xfId="626"/>
    <cellStyle name="40% - Ênfase5 2 9" xfId="627"/>
    <cellStyle name="40% - Ênfase5 20" xfId="628"/>
    <cellStyle name="40% - Ênfase5 21" xfId="629"/>
    <cellStyle name="40% - Ênfase5 22" xfId="630"/>
    <cellStyle name="40% - Ênfase5 23" xfId="631"/>
    <cellStyle name="40% - Ênfase5 24" xfId="632"/>
    <cellStyle name="40% - Ênfase5 25" xfId="633"/>
    <cellStyle name="40% - Ênfase5 26" xfId="634"/>
    <cellStyle name="40% - Ênfase5 27" xfId="635"/>
    <cellStyle name="40% - Ênfase5 28" xfId="636"/>
    <cellStyle name="40% - Ênfase5 3" xfId="637"/>
    <cellStyle name="40% - Ênfase5 4" xfId="638"/>
    <cellStyle name="40% - Ênfase5 5" xfId="639"/>
    <cellStyle name="40% - Ênfase5 6" xfId="640"/>
    <cellStyle name="40% - Ênfase5 7" xfId="641"/>
    <cellStyle name="40% - Ênfase5 8" xfId="642"/>
    <cellStyle name="40% - Ênfase5 9" xfId="643"/>
    <cellStyle name="40% - Ênfase6 10" xfId="644"/>
    <cellStyle name="40% - Ênfase6 11" xfId="645"/>
    <cellStyle name="40% - Ênfase6 12" xfId="646"/>
    <cellStyle name="40% - Ênfase6 13" xfId="647"/>
    <cellStyle name="40% - Ênfase6 14" xfId="648"/>
    <cellStyle name="40% - Ênfase6 15" xfId="649"/>
    <cellStyle name="40% - Ênfase6 16" xfId="650"/>
    <cellStyle name="40% - Ênfase6 17" xfId="651"/>
    <cellStyle name="40% - Ênfase6 18" xfId="652"/>
    <cellStyle name="40% - Ênfase6 19" xfId="653"/>
    <cellStyle name="40% - Ênfase6 2" xfId="654"/>
    <cellStyle name="40% - Ênfase6 2 10" xfId="655"/>
    <cellStyle name="40% - Ênfase6 2 11" xfId="656"/>
    <cellStyle name="40% - Ênfase6 2 12" xfId="657"/>
    <cellStyle name="40% - Ênfase6 2 13" xfId="658"/>
    <cellStyle name="40% - Ênfase6 2 14" xfId="659"/>
    <cellStyle name="40% - Ênfase6 2 15" xfId="660"/>
    <cellStyle name="40% - Ênfase6 2 16" xfId="661"/>
    <cellStyle name="40% - Ênfase6 2 17" xfId="662"/>
    <cellStyle name="40% - Ênfase6 2 18" xfId="663"/>
    <cellStyle name="40% - Ênfase6 2 19" xfId="664"/>
    <cellStyle name="40% - Ênfase6 2 2" xfId="665"/>
    <cellStyle name="40% - Ênfase6 2 20" xfId="666"/>
    <cellStyle name="40% - Ênfase6 2 21" xfId="667"/>
    <cellStyle name="40% - Ênfase6 2 22" xfId="668"/>
    <cellStyle name="40% - Ênfase6 2 23" xfId="669"/>
    <cellStyle name="40% - Ênfase6 2 24" xfId="670"/>
    <cellStyle name="40% - Ênfase6 2 25" xfId="671"/>
    <cellStyle name="40% - Ênfase6 2 26" xfId="672"/>
    <cellStyle name="40% - Ênfase6 2 27" xfId="673"/>
    <cellStyle name="40% - Ênfase6 2 3" xfId="674"/>
    <cellStyle name="40% - Ênfase6 2 4" xfId="675"/>
    <cellStyle name="40% - Ênfase6 2 5" xfId="676"/>
    <cellStyle name="40% - Ênfase6 2 6" xfId="677"/>
    <cellStyle name="40% - Ênfase6 2 7" xfId="678"/>
    <cellStyle name="40% - Ênfase6 2 8" xfId="679"/>
    <cellStyle name="40% - Ênfase6 2 9" xfId="680"/>
    <cellStyle name="40% - Ênfase6 20" xfId="681"/>
    <cellStyle name="40% - Ênfase6 21" xfId="682"/>
    <cellStyle name="40% - Ênfase6 22" xfId="683"/>
    <cellStyle name="40% - Ênfase6 23" xfId="684"/>
    <cellStyle name="40% - Ênfase6 24" xfId="685"/>
    <cellStyle name="40% - Ênfase6 25" xfId="686"/>
    <cellStyle name="40% - Ênfase6 26" xfId="687"/>
    <cellStyle name="40% - Ênfase6 27" xfId="688"/>
    <cellStyle name="40% - Ênfase6 28" xfId="689"/>
    <cellStyle name="40% - Ênfase6 3" xfId="690"/>
    <cellStyle name="40% - Ênfase6 4" xfId="691"/>
    <cellStyle name="40% - Ênfase6 5" xfId="692"/>
    <cellStyle name="40% - Ênfase6 6" xfId="693"/>
    <cellStyle name="40% - Ênfase6 7" xfId="694"/>
    <cellStyle name="40% - Ênfase6 8" xfId="695"/>
    <cellStyle name="40% - Ênfase6 9" xfId="696"/>
    <cellStyle name="60% - Accent1" xfId="697"/>
    <cellStyle name="60% - Accent2" xfId="698"/>
    <cellStyle name="60% - Accent3" xfId="699"/>
    <cellStyle name="60% - Accent4" xfId="700"/>
    <cellStyle name="60% - Accent5" xfId="701"/>
    <cellStyle name="60% - Accent6" xfId="702"/>
    <cellStyle name="60% - Ênfase1 10" xfId="703"/>
    <cellStyle name="60% - Ênfase1 11" xfId="704"/>
    <cellStyle name="60% - Ênfase1 12" xfId="705"/>
    <cellStyle name="60% - Ênfase1 13" xfId="706"/>
    <cellStyle name="60% - Ênfase1 14" xfId="707"/>
    <cellStyle name="60% - Ênfase1 15" xfId="708"/>
    <cellStyle name="60% - Ênfase1 16" xfId="709"/>
    <cellStyle name="60% - Ênfase1 17" xfId="710"/>
    <cellStyle name="60% - Ênfase1 18" xfId="711"/>
    <cellStyle name="60% - Ênfase1 19" xfId="712"/>
    <cellStyle name="60% - Ênfase1 2" xfId="713"/>
    <cellStyle name="60% - Ênfase1 2 10" xfId="714"/>
    <cellStyle name="60% - Ênfase1 2 11" xfId="715"/>
    <cellStyle name="60% - Ênfase1 2 12" xfId="716"/>
    <cellStyle name="60% - Ênfase1 2 13" xfId="717"/>
    <cellStyle name="60% - Ênfase1 2 14" xfId="718"/>
    <cellStyle name="60% - Ênfase1 2 15" xfId="719"/>
    <cellStyle name="60% - Ênfase1 2 16" xfId="720"/>
    <cellStyle name="60% - Ênfase1 2 17" xfId="721"/>
    <cellStyle name="60% - Ênfase1 2 18" xfId="722"/>
    <cellStyle name="60% - Ênfase1 2 19" xfId="723"/>
    <cellStyle name="60% - Ênfase1 2 2" xfId="724"/>
    <cellStyle name="60% - Ênfase1 2 20" xfId="725"/>
    <cellStyle name="60% - Ênfase1 2 21" xfId="726"/>
    <cellStyle name="60% - Ênfase1 2 22" xfId="727"/>
    <cellStyle name="60% - Ênfase1 2 23" xfId="728"/>
    <cellStyle name="60% - Ênfase1 2 24" xfId="729"/>
    <cellStyle name="60% - Ênfase1 2 25" xfId="730"/>
    <cellStyle name="60% - Ênfase1 2 26" xfId="731"/>
    <cellStyle name="60% - Ênfase1 2 27" xfId="732"/>
    <cellStyle name="60% - Ênfase1 2 3" xfId="733"/>
    <cellStyle name="60% - Ênfase1 2 4" xfId="734"/>
    <cellStyle name="60% - Ênfase1 2 5" xfId="735"/>
    <cellStyle name="60% - Ênfase1 2 6" xfId="736"/>
    <cellStyle name="60% - Ênfase1 2 7" xfId="737"/>
    <cellStyle name="60% - Ênfase1 2 8" xfId="738"/>
    <cellStyle name="60% - Ênfase1 2 9" xfId="739"/>
    <cellStyle name="60% - Ênfase1 20" xfId="740"/>
    <cellStyle name="60% - Ênfase1 21" xfId="741"/>
    <cellStyle name="60% - Ênfase1 22" xfId="742"/>
    <cellStyle name="60% - Ênfase1 23" xfId="743"/>
    <cellStyle name="60% - Ênfase1 24" xfId="744"/>
    <cellStyle name="60% - Ênfase1 25" xfId="745"/>
    <cellStyle name="60% - Ênfase1 26" xfId="746"/>
    <cellStyle name="60% - Ênfase1 27" xfId="747"/>
    <cellStyle name="60% - Ênfase1 28" xfId="748"/>
    <cellStyle name="60% - Ênfase1 3" xfId="749"/>
    <cellStyle name="60% - Ênfase1 4" xfId="750"/>
    <cellStyle name="60% - Ênfase1 5" xfId="751"/>
    <cellStyle name="60% - Ênfase1 6" xfId="752"/>
    <cellStyle name="60% - Ênfase1 7" xfId="753"/>
    <cellStyle name="60% - Ênfase1 8" xfId="754"/>
    <cellStyle name="60% - Ênfase1 9" xfId="755"/>
    <cellStyle name="60% - Ênfase2 10" xfId="756"/>
    <cellStyle name="60% - Ênfase2 11" xfId="757"/>
    <cellStyle name="60% - Ênfase2 12" xfId="758"/>
    <cellStyle name="60% - Ênfase2 13" xfId="759"/>
    <cellStyle name="60% - Ênfase2 14" xfId="760"/>
    <cellStyle name="60% - Ênfase2 15" xfId="761"/>
    <cellStyle name="60% - Ênfase2 16" xfId="762"/>
    <cellStyle name="60% - Ênfase2 17" xfId="763"/>
    <cellStyle name="60% - Ênfase2 18" xfId="764"/>
    <cellStyle name="60% - Ênfase2 19" xfId="765"/>
    <cellStyle name="60% - Ênfase2 2" xfId="766"/>
    <cellStyle name="60% - Ênfase2 2 10" xfId="767"/>
    <cellStyle name="60% - Ênfase2 2 11" xfId="768"/>
    <cellStyle name="60% - Ênfase2 2 12" xfId="769"/>
    <cellStyle name="60% - Ênfase2 2 13" xfId="770"/>
    <cellStyle name="60% - Ênfase2 2 14" xfId="771"/>
    <cellStyle name="60% - Ênfase2 2 15" xfId="772"/>
    <cellStyle name="60% - Ênfase2 2 16" xfId="773"/>
    <cellStyle name="60% - Ênfase2 2 17" xfId="774"/>
    <cellStyle name="60% - Ênfase2 2 18" xfId="775"/>
    <cellStyle name="60% - Ênfase2 2 19" xfId="776"/>
    <cellStyle name="60% - Ênfase2 2 2" xfId="777"/>
    <cellStyle name="60% - Ênfase2 2 20" xfId="778"/>
    <cellStyle name="60% - Ênfase2 2 21" xfId="779"/>
    <cellStyle name="60% - Ênfase2 2 22" xfId="780"/>
    <cellStyle name="60% - Ênfase2 2 23" xfId="781"/>
    <cellStyle name="60% - Ênfase2 2 24" xfId="782"/>
    <cellStyle name="60% - Ênfase2 2 25" xfId="783"/>
    <cellStyle name="60% - Ênfase2 2 26" xfId="784"/>
    <cellStyle name="60% - Ênfase2 2 27" xfId="785"/>
    <cellStyle name="60% - Ênfase2 2 3" xfId="786"/>
    <cellStyle name="60% - Ênfase2 2 4" xfId="787"/>
    <cellStyle name="60% - Ênfase2 2 5" xfId="788"/>
    <cellStyle name="60% - Ênfase2 2 6" xfId="789"/>
    <cellStyle name="60% - Ênfase2 2 7" xfId="790"/>
    <cellStyle name="60% - Ênfase2 2 8" xfId="791"/>
    <cellStyle name="60% - Ênfase2 2 9" xfId="792"/>
    <cellStyle name="60% - Ênfase2 20" xfId="793"/>
    <cellStyle name="60% - Ênfase2 21" xfId="794"/>
    <cellStyle name="60% - Ênfase2 22" xfId="795"/>
    <cellStyle name="60% - Ênfase2 23" xfId="796"/>
    <cellStyle name="60% - Ênfase2 24" xfId="797"/>
    <cellStyle name="60% - Ênfase2 25" xfId="798"/>
    <cellStyle name="60% - Ênfase2 26" xfId="799"/>
    <cellStyle name="60% - Ênfase2 27" xfId="800"/>
    <cellStyle name="60% - Ênfase2 28" xfId="801"/>
    <cellStyle name="60% - Ênfase2 3" xfId="802"/>
    <cellStyle name="60% - Ênfase2 4" xfId="803"/>
    <cellStyle name="60% - Ênfase2 5" xfId="804"/>
    <cellStyle name="60% - Ênfase2 6" xfId="805"/>
    <cellStyle name="60% - Ênfase2 7" xfId="806"/>
    <cellStyle name="60% - Ênfase2 8" xfId="807"/>
    <cellStyle name="60% - Ênfase2 9" xfId="808"/>
    <cellStyle name="60% - Ênfase3 10" xfId="809"/>
    <cellStyle name="60% - Ênfase3 11" xfId="810"/>
    <cellStyle name="60% - Ênfase3 12" xfId="811"/>
    <cellStyle name="60% - Ênfase3 13" xfId="812"/>
    <cellStyle name="60% - Ênfase3 14" xfId="813"/>
    <cellStyle name="60% - Ênfase3 15" xfId="814"/>
    <cellStyle name="60% - Ênfase3 16" xfId="815"/>
    <cellStyle name="60% - Ênfase3 17" xfId="816"/>
    <cellStyle name="60% - Ênfase3 18" xfId="817"/>
    <cellStyle name="60% - Ênfase3 19" xfId="818"/>
    <cellStyle name="60% - Ênfase3 2" xfId="819"/>
    <cellStyle name="60% - Ênfase3 2 10" xfId="820"/>
    <cellStyle name="60% - Ênfase3 2 11" xfId="821"/>
    <cellStyle name="60% - Ênfase3 2 12" xfId="822"/>
    <cellStyle name="60% - Ênfase3 2 13" xfId="823"/>
    <cellStyle name="60% - Ênfase3 2 14" xfId="824"/>
    <cellStyle name="60% - Ênfase3 2 15" xfId="825"/>
    <cellStyle name="60% - Ênfase3 2 16" xfId="826"/>
    <cellStyle name="60% - Ênfase3 2 17" xfId="827"/>
    <cellStyle name="60% - Ênfase3 2 18" xfId="828"/>
    <cellStyle name="60% - Ênfase3 2 19" xfId="829"/>
    <cellStyle name="60% - Ênfase3 2 2" xfId="830"/>
    <cellStyle name="60% - Ênfase3 2 20" xfId="831"/>
    <cellStyle name="60% - Ênfase3 2 21" xfId="832"/>
    <cellStyle name="60% - Ênfase3 2 22" xfId="833"/>
    <cellStyle name="60% - Ênfase3 2 23" xfId="834"/>
    <cellStyle name="60% - Ênfase3 2 24" xfId="835"/>
    <cellStyle name="60% - Ênfase3 2 25" xfId="836"/>
    <cellStyle name="60% - Ênfase3 2 26" xfId="837"/>
    <cellStyle name="60% - Ênfase3 2 27" xfId="838"/>
    <cellStyle name="60% - Ênfase3 2 3" xfId="839"/>
    <cellStyle name="60% - Ênfase3 2 4" xfId="840"/>
    <cellStyle name="60% - Ênfase3 2 5" xfId="841"/>
    <cellStyle name="60% - Ênfase3 2 6" xfId="842"/>
    <cellStyle name="60% - Ênfase3 2 7" xfId="843"/>
    <cellStyle name="60% - Ênfase3 2 8" xfId="844"/>
    <cellStyle name="60% - Ênfase3 2 9" xfId="845"/>
    <cellStyle name="60% - Ênfase3 20" xfId="846"/>
    <cellStyle name="60% - Ênfase3 21" xfId="847"/>
    <cellStyle name="60% - Ênfase3 22" xfId="848"/>
    <cellStyle name="60% - Ênfase3 23" xfId="849"/>
    <cellStyle name="60% - Ênfase3 24" xfId="850"/>
    <cellStyle name="60% - Ênfase3 25" xfId="851"/>
    <cellStyle name="60% - Ênfase3 26" xfId="852"/>
    <cellStyle name="60% - Ênfase3 27" xfId="853"/>
    <cellStyle name="60% - Ênfase3 28" xfId="854"/>
    <cellStyle name="60% - Ênfase3 3" xfId="855"/>
    <cellStyle name="60% - Ênfase3 4" xfId="856"/>
    <cellStyle name="60% - Ênfase3 5" xfId="857"/>
    <cellStyle name="60% - Ênfase3 6" xfId="858"/>
    <cellStyle name="60% - Ênfase3 7" xfId="859"/>
    <cellStyle name="60% - Ênfase3 8" xfId="860"/>
    <cellStyle name="60% - Ênfase3 9" xfId="861"/>
    <cellStyle name="60% - Ênfase4 10" xfId="862"/>
    <cellStyle name="60% - Ênfase4 11" xfId="863"/>
    <cellStyle name="60% - Ênfase4 12" xfId="864"/>
    <cellStyle name="60% - Ênfase4 13" xfId="865"/>
    <cellStyle name="60% - Ênfase4 14" xfId="866"/>
    <cellStyle name="60% - Ênfase4 15" xfId="867"/>
    <cellStyle name="60% - Ênfase4 16" xfId="868"/>
    <cellStyle name="60% - Ênfase4 17" xfId="869"/>
    <cellStyle name="60% - Ênfase4 18" xfId="870"/>
    <cellStyle name="60% - Ênfase4 19" xfId="871"/>
    <cellStyle name="60% - Ênfase4 2" xfId="872"/>
    <cellStyle name="60% - Ênfase4 2 10" xfId="873"/>
    <cellStyle name="60% - Ênfase4 2 11" xfId="874"/>
    <cellStyle name="60% - Ênfase4 2 12" xfId="875"/>
    <cellStyle name="60% - Ênfase4 2 13" xfId="876"/>
    <cellStyle name="60% - Ênfase4 2 14" xfId="877"/>
    <cellStyle name="60% - Ênfase4 2 15" xfId="878"/>
    <cellStyle name="60% - Ênfase4 2 16" xfId="879"/>
    <cellStyle name="60% - Ênfase4 2 17" xfId="880"/>
    <cellStyle name="60% - Ênfase4 2 18" xfId="881"/>
    <cellStyle name="60% - Ênfase4 2 19" xfId="882"/>
    <cellStyle name="60% - Ênfase4 2 2" xfId="883"/>
    <cellStyle name="60% - Ênfase4 2 20" xfId="884"/>
    <cellStyle name="60% - Ênfase4 2 21" xfId="885"/>
    <cellStyle name="60% - Ênfase4 2 22" xfId="886"/>
    <cellStyle name="60% - Ênfase4 2 23" xfId="887"/>
    <cellStyle name="60% - Ênfase4 2 24" xfId="888"/>
    <cellStyle name="60% - Ênfase4 2 25" xfId="889"/>
    <cellStyle name="60% - Ênfase4 2 26" xfId="890"/>
    <cellStyle name="60% - Ênfase4 2 27" xfId="891"/>
    <cellStyle name="60% - Ênfase4 2 3" xfId="892"/>
    <cellStyle name="60% - Ênfase4 2 4" xfId="893"/>
    <cellStyle name="60% - Ênfase4 2 5" xfId="894"/>
    <cellStyle name="60% - Ênfase4 2 6" xfId="895"/>
    <cellStyle name="60% - Ênfase4 2 7" xfId="896"/>
    <cellStyle name="60% - Ênfase4 2 8" xfId="897"/>
    <cellStyle name="60% - Ênfase4 2 9" xfId="898"/>
    <cellStyle name="60% - Ênfase4 20" xfId="899"/>
    <cellStyle name="60% - Ênfase4 21" xfId="900"/>
    <cellStyle name="60% - Ênfase4 22" xfId="901"/>
    <cellStyle name="60% - Ênfase4 23" xfId="902"/>
    <cellStyle name="60% - Ênfase4 24" xfId="903"/>
    <cellStyle name="60% - Ênfase4 25" xfId="904"/>
    <cellStyle name="60% - Ênfase4 26" xfId="905"/>
    <cellStyle name="60% - Ênfase4 27" xfId="906"/>
    <cellStyle name="60% - Ênfase4 28" xfId="907"/>
    <cellStyle name="60% - Ênfase4 3" xfId="908"/>
    <cellStyle name="60% - Ênfase4 4" xfId="909"/>
    <cellStyle name="60% - Ênfase4 5" xfId="910"/>
    <cellStyle name="60% - Ênfase4 6" xfId="911"/>
    <cellStyle name="60% - Ênfase4 7" xfId="912"/>
    <cellStyle name="60% - Ênfase4 8" xfId="913"/>
    <cellStyle name="60% - Ênfase4 9" xfId="914"/>
    <cellStyle name="60% - Ênfase5 10" xfId="915"/>
    <cellStyle name="60% - Ênfase5 11" xfId="916"/>
    <cellStyle name="60% - Ênfase5 12" xfId="917"/>
    <cellStyle name="60% - Ênfase5 13" xfId="918"/>
    <cellStyle name="60% - Ênfase5 14" xfId="919"/>
    <cellStyle name="60% - Ênfase5 15" xfId="920"/>
    <cellStyle name="60% - Ênfase5 16" xfId="921"/>
    <cellStyle name="60% - Ênfase5 17" xfId="922"/>
    <cellStyle name="60% - Ênfase5 18" xfId="923"/>
    <cellStyle name="60% - Ênfase5 19" xfId="924"/>
    <cellStyle name="60% - Ênfase5 2" xfId="925"/>
    <cellStyle name="60% - Ênfase5 2 10" xfId="926"/>
    <cellStyle name="60% - Ênfase5 2 11" xfId="927"/>
    <cellStyle name="60% - Ênfase5 2 12" xfId="928"/>
    <cellStyle name="60% - Ênfase5 2 13" xfId="929"/>
    <cellStyle name="60% - Ênfase5 2 14" xfId="930"/>
    <cellStyle name="60% - Ênfase5 2 15" xfId="931"/>
    <cellStyle name="60% - Ênfase5 2 16" xfId="932"/>
    <cellStyle name="60% - Ênfase5 2 17" xfId="933"/>
    <cellStyle name="60% - Ênfase5 2 18" xfId="934"/>
    <cellStyle name="60% - Ênfase5 2 19" xfId="935"/>
    <cellStyle name="60% - Ênfase5 2 2" xfId="936"/>
    <cellStyle name="60% - Ênfase5 2 20" xfId="937"/>
    <cellStyle name="60% - Ênfase5 2 21" xfId="938"/>
    <cellStyle name="60% - Ênfase5 2 22" xfId="939"/>
    <cellStyle name="60% - Ênfase5 2 23" xfId="940"/>
    <cellStyle name="60% - Ênfase5 2 24" xfId="941"/>
    <cellStyle name="60% - Ênfase5 2 25" xfId="942"/>
    <cellStyle name="60% - Ênfase5 2 26" xfId="943"/>
    <cellStyle name="60% - Ênfase5 2 27" xfId="944"/>
    <cellStyle name="60% - Ênfase5 2 3" xfId="945"/>
    <cellStyle name="60% - Ênfase5 2 4" xfId="946"/>
    <cellStyle name="60% - Ênfase5 2 5" xfId="947"/>
    <cellStyle name="60% - Ênfase5 2 6" xfId="948"/>
    <cellStyle name="60% - Ênfase5 2 7" xfId="949"/>
    <cellStyle name="60% - Ênfase5 2 8" xfId="950"/>
    <cellStyle name="60% - Ênfase5 2 9" xfId="951"/>
    <cellStyle name="60% - Ênfase5 20" xfId="952"/>
    <cellStyle name="60% - Ênfase5 21" xfId="953"/>
    <cellStyle name="60% - Ênfase5 22" xfId="954"/>
    <cellStyle name="60% - Ênfase5 23" xfId="955"/>
    <cellStyle name="60% - Ênfase5 24" xfId="956"/>
    <cellStyle name="60% - Ênfase5 25" xfId="957"/>
    <cellStyle name="60% - Ênfase5 26" xfId="958"/>
    <cellStyle name="60% - Ênfase5 27" xfId="959"/>
    <cellStyle name="60% - Ênfase5 28" xfId="960"/>
    <cellStyle name="60% - Ênfase5 3" xfId="961"/>
    <cellStyle name="60% - Ênfase5 4" xfId="962"/>
    <cellStyle name="60% - Ênfase5 5" xfId="963"/>
    <cellStyle name="60% - Ênfase5 6" xfId="964"/>
    <cellStyle name="60% - Ênfase5 7" xfId="965"/>
    <cellStyle name="60% - Ênfase5 8" xfId="966"/>
    <cellStyle name="60% - Ênfase5 9" xfId="967"/>
    <cellStyle name="60% - Ênfase6 10" xfId="968"/>
    <cellStyle name="60% - Ênfase6 11" xfId="969"/>
    <cellStyle name="60% - Ênfase6 12" xfId="970"/>
    <cellStyle name="60% - Ênfase6 13" xfId="971"/>
    <cellStyle name="60% - Ênfase6 14" xfId="972"/>
    <cellStyle name="60% - Ênfase6 15" xfId="973"/>
    <cellStyle name="60% - Ênfase6 16" xfId="974"/>
    <cellStyle name="60% - Ênfase6 17" xfId="975"/>
    <cellStyle name="60% - Ênfase6 18" xfId="976"/>
    <cellStyle name="60% - Ênfase6 19" xfId="977"/>
    <cellStyle name="60% - Ênfase6 2" xfId="978"/>
    <cellStyle name="60% - Ênfase6 2 10" xfId="979"/>
    <cellStyle name="60% - Ênfase6 2 11" xfId="980"/>
    <cellStyle name="60% - Ênfase6 2 12" xfId="981"/>
    <cellStyle name="60% - Ênfase6 2 13" xfId="982"/>
    <cellStyle name="60% - Ênfase6 2 14" xfId="983"/>
    <cellStyle name="60% - Ênfase6 2 15" xfId="984"/>
    <cellStyle name="60% - Ênfase6 2 16" xfId="985"/>
    <cellStyle name="60% - Ênfase6 2 17" xfId="986"/>
    <cellStyle name="60% - Ênfase6 2 18" xfId="987"/>
    <cellStyle name="60% - Ênfase6 2 19" xfId="988"/>
    <cellStyle name="60% - Ênfase6 2 2" xfId="989"/>
    <cellStyle name="60% - Ênfase6 2 20" xfId="990"/>
    <cellStyle name="60% - Ênfase6 2 21" xfId="991"/>
    <cellStyle name="60% - Ênfase6 2 22" xfId="992"/>
    <cellStyle name="60% - Ênfase6 2 23" xfId="993"/>
    <cellStyle name="60% - Ênfase6 2 24" xfId="994"/>
    <cellStyle name="60% - Ênfase6 2 25" xfId="995"/>
    <cellStyle name="60% - Ênfase6 2 26" xfId="996"/>
    <cellStyle name="60% - Ênfase6 2 27" xfId="997"/>
    <cellStyle name="60% - Ênfase6 2 3" xfId="998"/>
    <cellStyle name="60% - Ênfase6 2 4" xfId="999"/>
    <cellStyle name="60% - Ênfase6 2 5" xfId="1000"/>
    <cellStyle name="60% - Ênfase6 2 6" xfId="1001"/>
    <cellStyle name="60% - Ênfase6 2 7" xfId="1002"/>
    <cellStyle name="60% - Ênfase6 2 8" xfId="1003"/>
    <cellStyle name="60% - Ênfase6 2 9" xfId="1004"/>
    <cellStyle name="60% - Ênfase6 20" xfId="1005"/>
    <cellStyle name="60% - Ênfase6 21" xfId="1006"/>
    <cellStyle name="60% - Ênfase6 22" xfId="1007"/>
    <cellStyle name="60% - Ênfase6 23" xfId="1008"/>
    <cellStyle name="60% - Ênfase6 24" xfId="1009"/>
    <cellStyle name="60% - Ênfase6 25" xfId="1010"/>
    <cellStyle name="60% - Ênfase6 26" xfId="1011"/>
    <cellStyle name="60% - Ênfase6 27" xfId="1012"/>
    <cellStyle name="60% - Ênfase6 28" xfId="1013"/>
    <cellStyle name="60% - Ênfase6 3" xfId="1014"/>
    <cellStyle name="60% - Ênfase6 4" xfId="1015"/>
    <cellStyle name="60% - Ênfase6 5" xfId="1016"/>
    <cellStyle name="60% - Ênfase6 6" xfId="1017"/>
    <cellStyle name="60% - Ênfase6 7" xfId="1018"/>
    <cellStyle name="60% - Ênfase6 8" xfId="1019"/>
    <cellStyle name="60% - Ênfase6 9" xfId="1020"/>
    <cellStyle name="Accent1" xfId="1021"/>
    <cellStyle name="Accent1 - 20%" xfId="1022"/>
    <cellStyle name="Accent1 - 40%" xfId="1023"/>
    <cellStyle name="Accent1 - 60%" xfId="1024"/>
    <cellStyle name="Accent1_OP159PL rev. A" xfId="1025"/>
    <cellStyle name="Accent2" xfId="1026"/>
    <cellStyle name="Accent2 - 20%" xfId="1027"/>
    <cellStyle name="Accent2 - 40%" xfId="1028"/>
    <cellStyle name="Accent2 - 60%" xfId="1029"/>
    <cellStyle name="Accent2_OP159PL rev. A" xfId="1030"/>
    <cellStyle name="Accent3" xfId="1031"/>
    <cellStyle name="Accent3 - 20%" xfId="1032"/>
    <cellStyle name="Accent3 - 40%" xfId="1033"/>
    <cellStyle name="Accent3 - 60%" xfId="1034"/>
    <cellStyle name="Accent3_OP159PL rev. A" xfId="1035"/>
    <cellStyle name="Accent4" xfId="1036"/>
    <cellStyle name="Accent4 - 20%" xfId="1037"/>
    <cellStyle name="Accent4 - 40%" xfId="1038"/>
    <cellStyle name="Accent4 - 60%" xfId="1039"/>
    <cellStyle name="Accent4_OP159PL rev. A" xfId="1040"/>
    <cellStyle name="Accent5" xfId="1041"/>
    <cellStyle name="Accent5 - 20%" xfId="1042"/>
    <cellStyle name="Accent5 - 40%" xfId="1043"/>
    <cellStyle name="Accent5 - 60%" xfId="1044"/>
    <cellStyle name="Accent5_OP159PL rev. A" xfId="1045"/>
    <cellStyle name="Accent6" xfId="1046"/>
    <cellStyle name="Accent6 - 20%" xfId="1047"/>
    <cellStyle name="Accent6 - 40%" xfId="1048"/>
    <cellStyle name="Accent6 - 60%" xfId="1049"/>
    <cellStyle name="Accent6_OP159PL rev. A" xfId="1050"/>
    <cellStyle name="Bad" xfId="1051"/>
    <cellStyle name="Bom 10" xfId="1052"/>
    <cellStyle name="Bom 11" xfId="1053"/>
    <cellStyle name="Bom 12" xfId="1054"/>
    <cellStyle name="Bom 13" xfId="1055"/>
    <cellStyle name="Bom 14" xfId="1056"/>
    <cellStyle name="Bom 15" xfId="1057"/>
    <cellStyle name="Bom 16" xfId="1058"/>
    <cellStyle name="Bom 17" xfId="1059"/>
    <cellStyle name="Bom 18" xfId="1060"/>
    <cellStyle name="Bom 19" xfId="1061"/>
    <cellStyle name="Bom 2" xfId="1062"/>
    <cellStyle name="Bom 2 10" xfId="1063"/>
    <cellStyle name="Bom 2 11" xfId="1064"/>
    <cellStyle name="Bom 2 12" xfId="1065"/>
    <cellStyle name="Bom 2 13" xfId="1066"/>
    <cellStyle name="Bom 2 14" xfId="1067"/>
    <cellStyle name="Bom 2 15" xfId="1068"/>
    <cellStyle name="Bom 2 16" xfId="1069"/>
    <cellStyle name="Bom 2 17" xfId="1070"/>
    <cellStyle name="Bom 2 18" xfId="1071"/>
    <cellStyle name="Bom 2 19" xfId="1072"/>
    <cellStyle name="Bom 2 2" xfId="1073"/>
    <cellStyle name="Bom 2 20" xfId="1074"/>
    <cellStyle name="Bom 2 21" xfId="1075"/>
    <cellStyle name="Bom 2 22" xfId="1076"/>
    <cellStyle name="Bom 2 23" xfId="1077"/>
    <cellStyle name="Bom 2 24" xfId="1078"/>
    <cellStyle name="Bom 2 25" xfId="1079"/>
    <cellStyle name="Bom 2 26" xfId="1080"/>
    <cellStyle name="Bom 2 27" xfId="1081"/>
    <cellStyle name="Bom 2 3" xfId="1082"/>
    <cellStyle name="Bom 2 4" xfId="1083"/>
    <cellStyle name="Bom 2 5" xfId="1084"/>
    <cellStyle name="Bom 2 6" xfId="1085"/>
    <cellStyle name="Bom 2 7" xfId="1086"/>
    <cellStyle name="Bom 2 8" xfId="1087"/>
    <cellStyle name="Bom 2 9" xfId="1088"/>
    <cellStyle name="Bom 20" xfId="1089"/>
    <cellStyle name="Bom 21" xfId="1090"/>
    <cellStyle name="Bom 22" xfId="1091"/>
    <cellStyle name="Bom 23" xfId="1092"/>
    <cellStyle name="Bom 24" xfId="1093"/>
    <cellStyle name="Bom 25" xfId="1094"/>
    <cellStyle name="Bom 26" xfId="1095"/>
    <cellStyle name="Bom 27" xfId="1096"/>
    <cellStyle name="Bom 28" xfId="1097"/>
    <cellStyle name="Bom 3" xfId="1098"/>
    <cellStyle name="Bom 4" xfId="1099"/>
    <cellStyle name="Bom 5" xfId="1100"/>
    <cellStyle name="Bom 6" xfId="1101"/>
    <cellStyle name="Bom 7" xfId="1102"/>
    <cellStyle name="Bom 8" xfId="1103"/>
    <cellStyle name="Bom 9" xfId="1104"/>
    <cellStyle name="Cabeçalho 1" xfId="1105"/>
    <cellStyle name="Cabeçalho 1 2" xfId="1106"/>
    <cellStyle name="Cabeçalho 1 3" xfId="1107"/>
    <cellStyle name="Cabeçalho 1 4" xfId="1108"/>
    <cellStyle name="Cabeçalho 1 5" xfId="1109"/>
    <cellStyle name="Cabeçalho 1 6" xfId="1110"/>
    <cellStyle name="Cabeçalho 1 7" xfId="1111"/>
    <cellStyle name="Cabeçalho 1 8" xfId="1112"/>
    <cellStyle name="Cabeçalho 1 9" xfId="1113"/>
    <cellStyle name="Cabeçalho 1_Estudo Praça 12 09-04-09 rev" xfId="1114"/>
    <cellStyle name="Cabeçalho 2" xfId="1115"/>
    <cellStyle name="Cabeçalho 2 2" xfId="1116"/>
    <cellStyle name="Cabeçalho 2 3" xfId="1117"/>
    <cellStyle name="Cabeçalho 2 4" xfId="1118"/>
    <cellStyle name="Cabeçalho 2 5" xfId="1119"/>
    <cellStyle name="Cabeçalho 2 6" xfId="1120"/>
    <cellStyle name="Cabeçalho 2 7" xfId="1121"/>
    <cellStyle name="Cabeçalho 2 8" xfId="1122"/>
    <cellStyle name="Cabeçalho 2 9" xfId="1123"/>
    <cellStyle name="Cabeçalho 2_Estudo Praça 12 09-04-09 rev" xfId="1124"/>
    <cellStyle name="Cabecera 1" xfId="1125"/>
    <cellStyle name="Cabecera 2" xfId="1126"/>
    <cellStyle name="Calculation" xfId="1127"/>
    <cellStyle name="Calculation 2" xfId="1128"/>
    <cellStyle name="Calculation 2 2" xfId="1129"/>
    <cellStyle name="Cálculo 10" xfId="1130"/>
    <cellStyle name="Cálculo 10 2" xfId="1131"/>
    <cellStyle name="Cálculo 10 2 2" xfId="1132"/>
    <cellStyle name="Cálculo 11" xfId="1133"/>
    <cellStyle name="Cálculo 11 2" xfId="1134"/>
    <cellStyle name="Cálculo 11 2 2" xfId="1135"/>
    <cellStyle name="Cálculo 12" xfId="1136"/>
    <cellStyle name="Cálculo 12 2" xfId="1137"/>
    <cellStyle name="Cálculo 12 2 2" xfId="1138"/>
    <cellStyle name="Cálculo 13" xfId="1139"/>
    <cellStyle name="Cálculo 13 2" xfId="1140"/>
    <cellStyle name="Cálculo 13 2 2" xfId="1141"/>
    <cellStyle name="Cálculo 14" xfId="1142"/>
    <cellStyle name="Cálculo 14 2" xfId="1143"/>
    <cellStyle name="Cálculo 14 2 2" xfId="1144"/>
    <cellStyle name="Cálculo 15" xfId="1145"/>
    <cellStyle name="Cálculo 15 2" xfId="1146"/>
    <cellStyle name="Cálculo 15 2 2" xfId="1147"/>
    <cellStyle name="Cálculo 16" xfId="1148"/>
    <cellStyle name="Cálculo 16 2" xfId="1149"/>
    <cellStyle name="Cálculo 16 2 2" xfId="1150"/>
    <cellStyle name="Cálculo 17" xfId="1151"/>
    <cellStyle name="Cálculo 17 2" xfId="1152"/>
    <cellStyle name="Cálculo 17 2 2" xfId="1153"/>
    <cellStyle name="Cálculo 18" xfId="1154"/>
    <cellStyle name="Cálculo 18 2" xfId="1155"/>
    <cellStyle name="Cálculo 18 2 2" xfId="1156"/>
    <cellStyle name="Cálculo 19" xfId="1157"/>
    <cellStyle name="Cálculo 19 2" xfId="1158"/>
    <cellStyle name="Cálculo 19 2 2" xfId="1159"/>
    <cellStyle name="Cálculo 2" xfId="1160"/>
    <cellStyle name="Cálculo 2 10" xfId="1161"/>
    <cellStyle name="Cálculo 2 10 2" xfId="1162"/>
    <cellStyle name="Cálculo 2 10 2 2" xfId="1163"/>
    <cellStyle name="Cálculo 2 11" xfId="1164"/>
    <cellStyle name="Cálculo 2 11 2" xfId="1165"/>
    <cellStyle name="Cálculo 2 11 2 2" xfId="1166"/>
    <cellStyle name="Cálculo 2 12" xfId="1167"/>
    <cellStyle name="Cálculo 2 12 2" xfId="1168"/>
    <cellStyle name="Cálculo 2 12 2 2" xfId="1169"/>
    <cellStyle name="Cálculo 2 13" xfId="1170"/>
    <cellStyle name="Cálculo 2 13 2" xfId="1171"/>
    <cellStyle name="Cálculo 2 13 2 2" xfId="1172"/>
    <cellStyle name="Cálculo 2 14" xfId="1173"/>
    <cellStyle name="Cálculo 2 14 2" xfId="1174"/>
    <cellStyle name="Cálculo 2 14 2 2" xfId="1175"/>
    <cellStyle name="Cálculo 2 15" xfId="1176"/>
    <cellStyle name="Cálculo 2 15 2" xfId="1177"/>
    <cellStyle name="Cálculo 2 15 2 2" xfId="1178"/>
    <cellStyle name="Cálculo 2 16" xfId="1179"/>
    <cellStyle name="Cálculo 2 16 2" xfId="1180"/>
    <cellStyle name="Cálculo 2 16 2 2" xfId="1181"/>
    <cellStyle name="Cálculo 2 17" xfId="1182"/>
    <cellStyle name="Cálculo 2 17 2" xfId="1183"/>
    <cellStyle name="Cálculo 2 17 2 2" xfId="1184"/>
    <cellStyle name="Cálculo 2 18" xfId="1185"/>
    <cellStyle name="Cálculo 2 18 2" xfId="1186"/>
    <cellStyle name="Cálculo 2 18 2 2" xfId="1187"/>
    <cellStyle name="Cálculo 2 19" xfId="1188"/>
    <cellStyle name="Cálculo 2 19 2" xfId="1189"/>
    <cellStyle name="Cálculo 2 19 2 2" xfId="1190"/>
    <cellStyle name="Cálculo 2 2" xfId="1191"/>
    <cellStyle name="Cálculo 2 2 2" xfId="1192"/>
    <cellStyle name="Cálculo 2 2 2 2" xfId="1193"/>
    <cellStyle name="Cálculo 2 20" xfId="1194"/>
    <cellStyle name="Cálculo 2 20 2" xfId="1195"/>
    <cellStyle name="Cálculo 2 20 2 2" xfId="1196"/>
    <cellStyle name="Cálculo 2 21" xfId="1197"/>
    <cellStyle name="Cálculo 2 21 2" xfId="1198"/>
    <cellStyle name="Cálculo 2 21 2 2" xfId="1199"/>
    <cellStyle name="Cálculo 2 22" xfId="1200"/>
    <cellStyle name="Cálculo 2 22 2" xfId="1201"/>
    <cellStyle name="Cálculo 2 22 2 2" xfId="1202"/>
    <cellStyle name="Cálculo 2 23" xfId="1203"/>
    <cellStyle name="Cálculo 2 23 2" xfId="1204"/>
    <cellStyle name="Cálculo 2 23 2 2" xfId="1205"/>
    <cellStyle name="Cálculo 2 24" xfId="1206"/>
    <cellStyle name="Cálculo 2 24 2" xfId="1207"/>
    <cellStyle name="Cálculo 2 24 2 2" xfId="1208"/>
    <cellStyle name="Cálculo 2 25" xfId="1209"/>
    <cellStyle name="Cálculo 2 25 2" xfId="1210"/>
    <cellStyle name="Cálculo 2 25 2 2" xfId="1211"/>
    <cellStyle name="Cálculo 2 26" xfId="1212"/>
    <cellStyle name="Cálculo 2 26 2" xfId="1213"/>
    <cellStyle name="Cálculo 2 26 2 2" xfId="1214"/>
    <cellStyle name="Cálculo 2 27" xfId="1215"/>
    <cellStyle name="Cálculo 2 27 2" xfId="1216"/>
    <cellStyle name="Cálculo 2 27 2 2" xfId="1217"/>
    <cellStyle name="Cálculo 2 28" xfId="1218"/>
    <cellStyle name="Cálculo 2 28 2" xfId="1219"/>
    <cellStyle name="Cálculo 2 3" xfId="1220"/>
    <cellStyle name="Cálculo 2 3 2" xfId="1221"/>
    <cellStyle name="Cálculo 2 3 2 2" xfId="1222"/>
    <cellStyle name="Cálculo 2 4" xfId="1223"/>
    <cellStyle name="Cálculo 2 4 2" xfId="1224"/>
    <cellStyle name="Cálculo 2 4 2 2" xfId="1225"/>
    <cellStyle name="Cálculo 2 5" xfId="1226"/>
    <cellStyle name="Cálculo 2 5 2" xfId="1227"/>
    <cellStyle name="Cálculo 2 5 2 2" xfId="1228"/>
    <cellStyle name="Cálculo 2 6" xfId="1229"/>
    <cellStyle name="Cálculo 2 6 2" xfId="1230"/>
    <cellStyle name="Cálculo 2 6 2 2" xfId="1231"/>
    <cellStyle name="Cálculo 2 7" xfId="1232"/>
    <cellStyle name="Cálculo 2 7 2" xfId="1233"/>
    <cellStyle name="Cálculo 2 7 2 2" xfId="1234"/>
    <cellStyle name="Cálculo 2 8" xfId="1235"/>
    <cellStyle name="Cálculo 2 8 2" xfId="1236"/>
    <cellStyle name="Cálculo 2 8 2 2" xfId="1237"/>
    <cellStyle name="Cálculo 2 9" xfId="1238"/>
    <cellStyle name="Cálculo 2 9 2" xfId="1239"/>
    <cellStyle name="Cálculo 2 9 2 2" xfId="1240"/>
    <cellStyle name="Cálculo 20" xfId="1241"/>
    <cellStyle name="Cálculo 20 2" xfId="1242"/>
    <cellStyle name="Cálculo 20 2 2" xfId="1243"/>
    <cellStyle name="Cálculo 21" xfId="1244"/>
    <cellStyle name="Cálculo 21 2" xfId="1245"/>
    <cellStyle name="Cálculo 21 2 2" xfId="1246"/>
    <cellStyle name="Cálculo 22" xfId="1247"/>
    <cellStyle name="Cálculo 22 2" xfId="1248"/>
    <cellStyle name="Cálculo 22 2 2" xfId="1249"/>
    <cellStyle name="Cálculo 23" xfId="1250"/>
    <cellStyle name="Cálculo 23 2" xfId="1251"/>
    <cellStyle name="Cálculo 23 2 2" xfId="1252"/>
    <cellStyle name="Cálculo 24" xfId="1253"/>
    <cellStyle name="Cálculo 24 2" xfId="1254"/>
    <cellStyle name="Cálculo 24 2 2" xfId="1255"/>
    <cellStyle name="Cálculo 25" xfId="1256"/>
    <cellStyle name="Cálculo 25 2" xfId="1257"/>
    <cellStyle name="Cálculo 25 2 2" xfId="1258"/>
    <cellStyle name="Cálculo 26" xfId="1259"/>
    <cellStyle name="Cálculo 26 2" xfId="1260"/>
    <cellStyle name="Cálculo 26 2 2" xfId="1261"/>
    <cellStyle name="Cálculo 27" xfId="1262"/>
    <cellStyle name="Cálculo 27 2" xfId="1263"/>
    <cellStyle name="Cálculo 27 2 2" xfId="1264"/>
    <cellStyle name="Cálculo 28" xfId="1265"/>
    <cellStyle name="Cálculo 28 2" xfId="1266"/>
    <cellStyle name="Cálculo 3" xfId="1267"/>
    <cellStyle name="Cálculo 3 2" xfId="1268"/>
    <cellStyle name="Cálculo 3 2 2" xfId="1269"/>
    <cellStyle name="Cálculo 4" xfId="1270"/>
    <cellStyle name="Cálculo 4 2" xfId="1271"/>
    <cellStyle name="Cálculo 4 2 2" xfId="1272"/>
    <cellStyle name="Cálculo 5" xfId="1273"/>
    <cellStyle name="Cálculo 5 2" xfId="1274"/>
    <cellStyle name="Cálculo 5 2 2" xfId="1275"/>
    <cellStyle name="Cálculo 6" xfId="1276"/>
    <cellStyle name="Cálculo 6 2" xfId="1277"/>
    <cellStyle name="Cálculo 6 2 2" xfId="1278"/>
    <cellStyle name="Cálculo 7" xfId="1279"/>
    <cellStyle name="Cálculo 7 2" xfId="1280"/>
    <cellStyle name="Cálculo 7 2 2" xfId="1281"/>
    <cellStyle name="Cálculo 8" xfId="1282"/>
    <cellStyle name="Cálculo 8 2" xfId="1283"/>
    <cellStyle name="Cálculo 8 2 2" xfId="1284"/>
    <cellStyle name="Cálculo 9" xfId="1285"/>
    <cellStyle name="Cálculo 9 2" xfId="1286"/>
    <cellStyle name="Cálculo 9 2 2" xfId="1287"/>
    <cellStyle name="category" xfId="1288"/>
    <cellStyle name="Célula de Verificação 10" xfId="1289"/>
    <cellStyle name="Célula de Verificação 11" xfId="1290"/>
    <cellStyle name="Célula de Verificação 12" xfId="1291"/>
    <cellStyle name="Célula de Verificação 13" xfId="1292"/>
    <cellStyle name="Célula de Verificação 14" xfId="1293"/>
    <cellStyle name="Célula de Verificação 15" xfId="1294"/>
    <cellStyle name="Célula de Verificação 16" xfId="1295"/>
    <cellStyle name="Célula de Verificação 17" xfId="1296"/>
    <cellStyle name="Célula de Verificação 18" xfId="1297"/>
    <cellStyle name="Célula de Verificação 19" xfId="1298"/>
    <cellStyle name="Célula de Verificação 2" xfId="1299"/>
    <cellStyle name="Célula de Verificação 2 10" xfId="1300"/>
    <cellStyle name="Célula de Verificação 2 11" xfId="1301"/>
    <cellStyle name="Célula de Verificação 2 12" xfId="1302"/>
    <cellStyle name="Célula de Verificação 2 13" xfId="1303"/>
    <cellStyle name="Célula de Verificação 2 14" xfId="1304"/>
    <cellStyle name="Célula de Verificação 2 15" xfId="1305"/>
    <cellStyle name="Célula de Verificação 2 16" xfId="1306"/>
    <cellStyle name="Célula de Verificação 2 17" xfId="1307"/>
    <cellStyle name="Célula de Verificação 2 18" xfId="1308"/>
    <cellStyle name="Célula de Verificação 2 19" xfId="1309"/>
    <cellStyle name="Célula de Verificação 2 2" xfId="1310"/>
    <cellStyle name="Célula de Verificação 2 20" xfId="1311"/>
    <cellStyle name="Célula de Verificação 2 21" xfId="1312"/>
    <cellStyle name="Célula de Verificação 2 22" xfId="1313"/>
    <cellStyle name="Célula de Verificação 2 23" xfId="1314"/>
    <cellStyle name="Célula de Verificação 2 24" xfId="1315"/>
    <cellStyle name="Célula de Verificação 2 25" xfId="1316"/>
    <cellStyle name="Célula de Verificação 2 26" xfId="1317"/>
    <cellStyle name="Célula de Verificação 2 27" xfId="1318"/>
    <cellStyle name="Célula de Verificação 2 3" xfId="1319"/>
    <cellStyle name="Célula de Verificação 2 4" xfId="1320"/>
    <cellStyle name="Célula de Verificação 2 5" xfId="1321"/>
    <cellStyle name="Célula de Verificação 2 6" xfId="1322"/>
    <cellStyle name="Célula de Verificação 2 7" xfId="1323"/>
    <cellStyle name="Célula de Verificação 2 8" xfId="1324"/>
    <cellStyle name="Célula de Verificação 2 9" xfId="1325"/>
    <cellStyle name="Célula de Verificação 20" xfId="1326"/>
    <cellStyle name="Célula de Verificação 21" xfId="1327"/>
    <cellStyle name="Célula de Verificação 22" xfId="1328"/>
    <cellStyle name="Célula de Verificação 23" xfId="1329"/>
    <cellStyle name="Célula de Verificação 24" xfId="1330"/>
    <cellStyle name="Célula de Verificação 25" xfId="1331"/>
    <cellStyle name="Célula de Verificação 26" xfId="1332"/>
    <cellStyle name="Célula de Verificação 27" xfId="1333"/>
    <cellStyle name="Célula de Verificação 28" xfId="1334"/>
    <cellStyle name="Célula de Verificação 3" xfId="1335"/>
    <cellStyle name="Célula de Verificação 4" xfId="1336"/>
    <cellStyle name="Célula de Verificação 5" xfId="1337"/>
    <cellStyle name="Célula de Verificação 6" xfId="1338"/>
    <cellStyle name="Célula de Verificação 7" xfId="1339"/>
    <cellStyle name="Célula de Verificação 8" xfId="1340"/>
    <cellStyle name="Célula de Verificação 9" xfId="1341"/>
    <cellStyle name="Célula Vinculada 10" xfId="1342"/>
    <cellStyle name="Célula Vinculada 11" xfId="1343"/>
    <cellStyle name="Célula Vinculada 12" xfId="1344"/>
    <cellStyle name="Célula Vinculada 13" xfId="1345"/>
    <cellStyle name="Célula Vinculada 14" xfId="1346"/>
    <cellStyle name="Célula Vinculada 15" xfId="1347"/>
    <cellStyle name="Célula Vinculada 16" xfId="1348"/>
    <cellStyle name="Célula Vinculada 17" xfId="1349"/>
    <cellStyle name="Célula Vinculada 18" xfId="1350"/>
    <cellStyle name="Célula Vinculada 19" xfId="1351"/>
    <cellStyle name="Célula Vinculada 2" xfId="1352"/>
    <cellStyle name="Célula Vinculada 2 10" xfId="1353"/>
    <cellStyle name="Célula Vinculada 2 11" xfId="1354"/>
    <cellStyle name="Célula Vinculada 2 12" xfId="1355"/>
    <cellStyle name="Célula Vinculada 2 13" xfId="1356"/>
    <cellStyle name="Célula Vinculada 2 14" xfId="1357"/>
    <cellStyle name="Célula Vinculada 2 15" xfId="1358"/>
    <cellStyle name="Célula Vinculada 2 16" xfId="1359"/>
    <cellStyle name="Célula Vinculada 2 17" xfId="1360"/>
    <cellStyle name="Célula Vinculada 2 18" xfId="1361"/>
    <cellStyle name="Célula Vinculada 2 19" xfId="1362"/>
    <cellStyle name="Célula Vinculada 2 2" xfId="1363"/>
    <cellStyle name="Célula Vinculada 2 20" xfId="1364"/>
    <cellStyle name="Célula Vinculada 2 21" xfId="1365"/>
    <cellStyle name="Célula Vinculada 2 22" xfId="1366"/>
    <cellStyle name="Célula Vinculada 2 23" xfId="1367"/>
    <cellStyle name="Célula Vinculada 2 24" xfId="1368"/>
    <cellStyle name="Célula Vinculada 2 25" xfId="1369"/>
    <cellStyle name="Célula Vinculada 2 26" xfId="1370"/>
    <cellStyle name="Célula Vinculada 2 27" xfId="1371"/>
    <cellStyle name="Célula Vinculada 2 3" xfId="1372"/>
    <cellStyle name="Célula Vinculada 2 4" xfId="1373"/>
    <cellStyle name="Célula Vinculada 2 5" xfId="1374"/>
    <cellStyle name="Célula Vinculada 2 6" xfId="1375"/>
    <cellStyle name="Célula Vinculada 2 7" xfId="1376"/>
    <cellStyle name="Célula Vinculada 2 8" xfId="1377"/>
    <cellStyle name="Célula Vinculada 2 9" xfId="1378"/>
    <cellStyle name="Célula Vinculada 20" xfId="1379"/>
    <cellStyle name="Célula Vinculada 21" xfId="1380"/>
    <cellStyle name="Célula Vinculada 22" xfId="1381"/>
    <cellStyle name="Célula Vinculada 23" xfId="1382"/>
    <cellStyle name="Célula Vinculada 24" xfId="1383"/>
    <cellStyle name="Célula Vinculada 25" xfId="1384"/>
    <cellStyle name="Célula Vinculada 26" xfId="1385"/>
    <cellStyle name="Célula Vinculada 27" xfId="1386"/>
    <cellStyle name="Célula Vinculada 28" xfId="1387"/>
    <cellStyle name="Célula Vinculada 3" xfId="1388"/>
    <cellStyle name="Célula Vinculada 4" xfId="1389"/>
    <cellStyle name="Célula Vinculada 5" xfId="1390"/>
    <cellStyle name="Célula Vinculada 6" xfId="1391"/>
    <cellStyle name="Célula Vinculada 7" xfId="1392"/>
    <cellStyle name="Célula Vinculada 8" xfId="1393"/>
    <cellStyle name="Célula Vinculada 9" xfId="1394"/>
    <cellStyle name="Centrado" xfId="1395"/>
    <cellStyle name="Check Cell" xfId="1396"/>
    <cellStyle name="Comma [0] 10" xfId="1397"/>
    <cellStyle name="Comma [0] 2" xfId="1398"/>
    <cellStyle name="Comma [0] 2 2" xfId="1399"/>
    <cellStyle name="Comma [0] 2 2 2" xfId="1400"/>
    <cellStyle name="Comma [0] 2 3" xfId="1401"/>
    <cellStyle name="Comma [0] 3" xfId="1402"/>
    <cellStyle name="Comma [0] 3 2" xfId="1403"/>
    <cellStyle name="Comma [0] 3 2 2" xfId="1404"/>
    <cellStyle name="Comma [0] 3 3" xfId="1405"/>
    <cellStyle name="Comma [0] 4" xfId="1406"/>
    <cellStyle name="Comma [0] 4 2" xfId="1407"/>
    <cellStyle name="Comma [0] 4 2 2" xfId="1408"/>
    <cellStyle name="Comma [0] 4 3" xfId="1409"/>
    <cellStyle name="Comma [0] 5" xfId="1410"/>
    <cellStyle name="Comma [0] 5 2" xfId="1411"/>
    <cellStyle name="Comma [0] 5 2 2" xfId="1412"/>
    <cellStyle name="Comma [0] 5 3" xfId="1413"/>
    <cellStyle name="Comma [0] 6" xfId="1414"/>
    <cellStyle name="Comma [0] 6 2" xfId="1415"/>
    <cellStyle name="Comma [0] 6 2 2" xfId="1416"/>
    <cellStyle name="Comma [0] 6 3" xfId="1417"/>
    <cellStyle name="Comma [0] 7" xfId="1418"/>
    <cellStyle name="Comma [0] 7 2" xfId="1419"/>
    <cellStyle name="Comma [0] 8" xfId="1420"/>
    <cellStyle name="Comma [0] 8 2" xfId="1421"/>
    <cellStyle name="Comma [0] 9" xfId="1422"/>
    <cellStyle name="Comma [0] 9 2" xfId="1423"/>
    <cellStyle name="Comma [0]_aola" xfId="1424"/>
    <cellStyle name="Comma 2" xfId="1425"/>
    <cellStyle name="Comma 2 2" xfId="1426"/>
    <cellStyle name="Comma 2 3" xfId="1427"/>
    <cellStyle name="Comma 2 4" xfId="1428"/>
    <cellStyle name="Comma 2 5" xfId="1429"/>
    <cellStyle name="Comma 3" xfId="1430"/>
    <cellStyle name="Comma 3 2" xfId="1431"/>
    <cellStyle name="Comma 4" xfId="1432"/>
    <cellStyle name="Comma 4 2" xfId="1433"/>
    <cellStyle name="Comma_5 Series SW" xfId="1434"/>
    <cellStyle name="Comma0" xfId="1435"/>
    <cellStyle name="Comma0 - Estilo4" xfId="1436"/>
    <cellStyle name="Comma0 2" xfId="1437"/>
    <cellStyle name="Comma0 3" xfId="1438"/>
    <cellStyle name="Comma0 4" xfId="1439"/>
    <cellStyle name="Comma0 5" xfId="1440"/>
    <cellStyle name="Comma0 6" xfId="1441"/>
    <cellStyle name="Comma0 7" xfId="1442"/>
    <cellStyle name="Comma0_3960 LECON ADITIVO" xfId="1443"/>
    <cellStyle name="Comma1 - Estilo1" xfId="1444"/>
    <cellStyle name="Currency" xfId="1445"/>
    <cellStyle name="Currency $" xfId="1446"/>
    <cellStyle name="Currency $ 2" xfId="1447"/>
    <cellStyle name="Currency [0]" xfId="1448"/>
    <cellStyle name="Currency [0] 10" xfId="1449"/>
    <cellStyle name="Currency [0] 2" xfId="1450"/>
    <cellStyle name="Currency [0] 2 2" xfId="1451"/>
    <cellStyle name="Currency [0] 2 2 2" xfId="1452"/>
    <cellStyle name="Currency [0] 2 3" xfId="1453"/>
    <cellStyle name="Currency [0] 3" xfId="1454"/>
    <cellStyle name="Currency [0] 3 2" xfId="1455"/>
    <cellStyle name="Currency [0] 3 2 2" xfId="1456"/>
    <cellStyle name="Currency [0] 3 3" xfId="1457"/>
    <cellStyle name="Currency [0] 4" xfId="1458"/>
    <cellStyle name="Currency [0] 4 2" xfId="1459"/>
    <cellStyle name="Currency [0] 4 2 2" xfId="1460"/>
    <cellStyle name="Currency [0] 4 3" xfId="1461"/>
    <cellStyle name="Currency [0] 5" xfId="1462"/>
    <cellStyle name="Currency [0] 5 2" xfId="1463"/>
    <cellStyle name="Currency [0] 5 2 2" xfId="1464"/>
    <cellStyle name="Currency [0] 5 3" xfId="1465"/>
    <cellStyle name="Currency [0] 6" xfId="1466"/>
    <cellStyle name="Currency [0] 6 2" xfId="1467"/>
    <cellStyle name="Currency [0] 6 2 2" xfId="1468"/>
    <cellStyle name="Currency [0] 6 3" xfId="1469"/>
    <cellStyle name="Currency [0] 7" xfId="1470"/>
    <cellStyle name="Currency [0] 7 2" xfId="1471"/>
    <cellStyle name="Currency [0] 8" xfId="1472"/>
    <cellStyle name="Currency [0] 8 2" xfId="1473"/>
    <cellStyle name="Currency [0] 9" xfId="1474"/>
    <cellStyle name="Currency [0] 9 2" xfId="1475"/>
    <cellStyle name="Currency [0]_aola" xfId="1476"/>
    <cellStyle name="Currency_aola" xfId="1477"/>
    <cellStyle name="Currency0" xfId="1478"/>
    <cellStyle name="Data" xfId="1479"/>
    <cellStyle name="Data 2" xfId="1480"/>
    <cellStyle name="Data 3" xfId="1481"/>
    <cellStyle name="Data 4" xfId="1482"/>
    <cellStyle name="Data 5" xfId="1483"/>
    <cellStyle name="Data 6" xfId="1484"/>
    <cellStyle name="Data 7" xfId="1485"/>
    <cellStyle name="Data 8" xfId="1486"/>
    <cellStyle name="Data 9" xfId="1487"/>
    <cellStyle name="Date" xfId="1488"/>
    <cellStyle name="Date - Estilo3" xfId="1489"/>
    <cellStyle name="Emphasis 1" xfId="1490"/>
    <cellStyle name="Emphasis 2" xfId="1491"/>
    <cellStyle name="Emphasis 3" xfId="1492"/>
    <cellStyle name="Ênfase1 10" xfId="1493"/>
    <cellStyle name="Ênfase1 11" xfId="1494"/>
    <cellStyle name="Ênfase1 12" xfId="1495"/>
    <cellStyle name="Ênfase1 13" xfId="1496"/>
    <cellStyle name="Ênfase1 14" xfId="1497"/>
    <cellStyle name="Ênfase1 15" xfId="1498"/>
    <cellStyle name="Ênfase1 16" xfId="1499"/>
    <cellStyle name="Ênfase1 17" xfId="1500"/>
    <cellStyle name="Ênfase1 18" xfId="1501"/>
    <cellStyle name="Ênfase1 19" xfId="1502"/>
    <cellStyle name="Ênfase1 2" xfId="1503"/>
    <cellStyle name="Ênfase1 2 10" xfId="1504"/>
    <cellStyle name="Ênfase1 2 11" xfId="1505"/>
    <cellStyle name="Ênfase1 2 12" xfId="1506"/>
    <cellStyle name="Ênfase1 2 13" xfId="1507"/>
    <cellStyle name="Ênfase1 2 14" xfId="1508"/>
    <cellStyle name="Ênfase1 2 15" xfId="1509"/>
    <cellStyle name="Ênfase1 2 16" xfId="1510"/>
    <cellStyle name="Ênfase1 2 17" xfId="1511"/>
    <cellStyle name="Ênfase1 2 18" xfId="1512"/>
    <cellStyle name="Ênfase1 2 19" xfId="1513"/>
    <cellStyle name="Ênfase1 2 2" xfId="1514"/>
    <cellStyle name="Ênfase1 2 20" xfId="1515"/>
    <cellStyle name="Ênfase1 2 21" xfId="1516"/>
    <cellStyle name="Ênfase1 2 22" xfId="1517"/>
    <cellStyle name="Ênfase1 2 23" xfId="1518"/>
    <cellStyle name="Ênfase1 2 24" xfId="1519"/>
    <cellStyle name="Ênfase1 2 25" xfId="1520"/>
    <cellStyle name="Ênfase1 2 26" xfId="1521"/>
    <cellStyle name="Ênfase1 2 27" xfId="1522"/>
    <cellStyle name="Ênfase1 2 3" xfId="1523"/>
    <cellStyle name="Ênfase1 2 4" xfId="1524"/>
    <cellStyle name="Ênfase1 2 5" xfId="1525"/>
    <cellStyle name="Ênfase1 2 6" xfId="1526"/>
    <cellStyle name="Ênfase1 2 7" xfId="1527"/>
    <cellStyle name="Ênfase1 2 8" xfId="1528"/>
    <cellStyle name="Ênfase1 2 9" xfId="1529"/>
    <cellStyle name="Ênfase1 20" xfId="1530"/>
    <cellStyle name="Ênfase1 21" xfId="1531"/>
    <cellStyle name="Ênfase1 22" xfId="1532"/>
    <cellStyle name="Ênfase1 23" xfId="1533"/>
    <cellStyle name="Ênfase1 24" xfId="1534"/>
    <cellStyle name="Ênfase1 25" xfId="1535"/>
    <cellStyle name="Ênfase1 26" xfId="1536"/>
    <cellStyle name="Ênfase1 27" xfId="1537"/>
    <cellStyle name="Ênfase1 28" xfId="1538"/>
    <cellStyle name="Ênfase1 3" xfId="1539"/>
    <cellStyle name="Ênfase1 4" xfId="1540"/>
    <cellStyle name="Ênfase1 5" xfId="1541"/>
    <cellStyle name="Ênfase1 6" xfId="1542"/>
    <cellStyle name="Ênfase1 7" xfId="1543"/>
    <cellStyle name="Ênfase1 8" xfId="1544"/>
    <cellStyle name="Ênfase1 9" xfId="1545"/>
    <cellStyle name="Ênfase2 10" xfId="1546"/>
    <cellStyle name="Ênfase2 11" xfId="1547"/>
    <cellStyle name="Ênfase2 12" xfId="1548"/>
    <cellStyle name="Ênfase2 13" xfId="1549"/>
    <cellStyle name="Ênfase2 14" xfId="1550"/>
    <cellStyle name="Ênfase2 15" xfId="1551"/>
    <cellStyle name="Ênfase2 16" xfId="1552"/>
    <cellStyle name="Ênfase2 17" xfId="1553"/>
    <cellStyle name="Ênfase2 18" xfId="1554"/>
    <cellStyle name="Ênfase2 19" xfId="1555"/>
    <cellStyle name="Ênfase2 2" xfId="1556"/>
    <cellStyle name="Ênfase2 2 10" xfId="1557"/>
    <cellStyle name="Ênfase2 2 11" xfId="1558"/>
    <cellStyle name="Ênfase2 2 12" xfId="1559"/>
    <cellStyle name="Ênfase2 2 13" xfId="1560"/>
    <cellStyle name="Ênfase2 2 14" xfId="1561"/>
    <cellStyle name="Ênfase2 2 15" xfId="1562"/>
    <cellStyle name="Ênfase2 2 16" xfId="1563"/>
    <cellStyle name="Ênfase2 2 17" xfId="1564"/>
    <cellStyle name="Ênfase2 2 18" xfId="1565"/>
    <cellStyle name="Ênfase2 2 19" xfId="1566"/>
    <cellStyle name="Ênfase2 2 2" xfId="1567"/>
    <cellStyle name="Ênfase2 2 20" xfId="1568"/>
    <cellStyle name="Ênfase2 2 21" xfId="1569"/>
    <cellStyle name="Ênfase2 2 22" xfId="1570"/>
    <cellStyle name="Ênfase2 2 23" xfId="1571"/>
    <cellStyle name="Ênfase2 2 24" xfId="1572"/>
    <cellStyle name="Ênfase2 2 25" xfId="1573"/>
    <cellStyle name="Ênfase2 2 26" xfId="1574"/>
    <cellStyle name="Ênfase2 2 27" xfId="1575"/>
    <cellStyle name="Ênfase2 2 3" xfId="1576"/>
    <cellStyle name="Ênfase2 2 4" xfId="1577"/>
    <cellStyle name="Ênfase2 2 5" xfId="1578"/>
    <cellStyle name="Ênfase2 2 6" xfId="1579"/>
    <cellStyle name="Ênfase2 2 7" xfId="1580"/>
    <cellStyle name="Ênfase2 2 8" xfId="1581"/>
    <cellStyle name="Ênfase2 2 9" xfId="1582"/>
    <cellStyle name="Ênfase2 20" xfId="1583"/>
    <cellStyle name="Ênfase2 21" xfId="1584"/>
    <cellStyle name="Ênfase2 22" xfId="1585"/>
    <cellStyle name="Ênfase2 23" xfId="1586"/>
    <cellStyle name="Ênfase2 24" xfId="1587"/>
    <cellStyle name="Ênfase2 25" xfId="1588"/>
    <cellStyle name="Ênfase2 26" xfId="1589"/>
    <cellStyle name="Ênfase2 27" xfId="1590"/>
    <cellStyle name="Ênfase2 28" xfId="1591"/>
    <cellStyle name="Ênfase2 3" xfId="1592"/>
    <cellStyle name="Ênfase2 4" xfId="1593"/>
    <cellStyle name="Ênfase2 5" xfId="1594"/>
    <cellStyle name="Ênfase2 6" xfId="1595"/>
    <cellStyle name="Ênfase2 7" xfId="1596"/>
    <cellStyle name="Ênfase2 8" xfId="1597"/>
    <cellStyle name="Ênfase2 9" xfId="1598"/>
    <cellStyle name="Ênfase3 10" xfId="1599"/>
    <cellStyle name="Ênfase3 11" xfId="1600"/>
    <cellStyle name="Ênfase3 12" xfId="1601"/>
    <cellStyle name="Ênfase3 13" xfId="1602"/>
    <cellStyle name="Ênfase3 14" xfId="1603"/>
    <cellStyle name="Ênfase3 15" xfId="1604"/>
    <cellStyle name="Ênfase3 16" xfId="1605"/>
    <cellStyle name="Ênfase3 17" xfId="1606"/>
    <cellStyle name="Ênfase3 18" xfId="1607"/>
    <cellStyle name="Ênfase3 19" xfId="1608"/>
    <cellStyle name="Ênfase3 2" xfId="1609"/>
    <cellStyle name="Ênfase3 2 10" xfId="1610"/>
    <cellStyle name="Ênfase3 2 11" xfId="1611"/>
    <cellStyle name="Ênfase3 2 12" xfId="1612"/>
    <cellStyle name="Ênfase3 2 13" xfId="1613"/>
    <cellStyle name="Ênfase3 2 14" xfId="1614"/>
    <cellStyle name="Ênfase3 2 15" xfId="1615"/>
    <cellStyle name="Ênfase3 2 16" xfId="1616"/>
    <cellStyle name="Ênfase3 2 17" xfId="1617"/>
    <cellStyle name="Ênfase3 2 18" xfId="1618"/>
    <cellStyle name="Ênfase3 2 19" xfId="1619"/>
    <cellStyle name="Ênfase3 2 2" xfId="1620"/>
    <cellStyle name="Ênfase3 2 20" xfId="1621"/>
    <cellStyle name="Ênfase3 2 21" xfId="1622"/>
    <cellStyle name="Ênfase3 2 22" xfId="1623"/>
    <cellStyle name="Ênfase3 2 23" xfId="1624"/>
    <cellStyle name="Ênfase3 2 24" xfId="1625"/>
    <cellStyle name="Ênfase3 2 25" xfId="1626"/>
    <cellStyle name="Ênfase3 2 26" xfId="1627"/>
    <cellStyle name="Ênfase3 2 27" xfId="1628"/>
    <cellStyle name="Ênfase3 2 3" xfId="1629"/>
    <cellStyle name="Ênfase3 2 4" xfId="1630"/>
    <cellStyle name="Ênfase3 2 5" xfId="1631"/>
    <cellStyle name="Ênfase3 2 6" xfId="1632"/>
    <cellStyle name="Ênfase3 2 7" xfId="1633"/>
    <cellStyle name="Ênfase3 2 8" xfId="1634"/>
    <cellStyle name="Ênfase3 2 9" xfId="1635"/>
    <cellStyle name="Ênfase3 20" xfId="1636"/>
    <cellStyle name="Ênfase3 21" xfId="1637"/>
    <cellStyle name="Ênfase3 22" xfId="1638"/>
    <cellStyle name="Ênfase3 23" xfId="1639"/>
    <cellStyle name="Ênfase3 24" xfId="1640"/>
    <cellStyle name="Ênfase3 25" xfId="1641"/>
    <cellStyle name="Ênfase3 26" xfId="1642"/>
    <cellStyle name="Ênfase3 27" xfId="1643"/>
    <cellStyle name="Ênfase3 28" xfId="1644"/>
    <cellStyle name="Ênfase3 3" xfId="1645"/>
    <cellStyle name="Ênfase3 4" xfId="1646"/>
    <cellStyle name="Ênfase3 5" xfId="1647"/>
    <cellStyle name="Ênfase3 6" xfId="1648"/>
    <cellStyle name="Ênfase3 7" xfId="1649"/>
    <cellStyle name="Ênfase3 8" xfId="1650"/>
    <cellStyle name="Ênfase3 9" xfId="1651"/>
    <cellStyle name="Ênfase4 10" xfId="1652"/>
    <cellStyle name="Ênfase4 11" xfId="1653"/>
    <cellStyle name="Ênfase4 12" xfId="1654"/>
    <cellStyle name="Ênfase4 13" xfId="1655"/>
    <cellStyle name="Ênfase4 14" xfId="1656"/>
    <cellStyle name="Ênfase4 15" xfId="1657"/>
    <cellStyle name="Ênfase4 16" xfId="1658"/>
    <cellStyle name="Ênfase4 17" xfId="1659"/>
    <cellStyle name="Ênfase4 18" xfId="1660"/>
    <cellStyle name="Ênfase4 19" xfId="1661"/>
    <cellStyle name="Ênfase4 2" xfId="1662"/>
    <cellStyle name="Ênfase4 2 10" xfId="1663"/>
    <cellStyle name="Ênfase4 2 11" xfId="1664"/>
    <cellStyle name="Ênfase4 2 12" xfId="1665"/>
    <cellStyle name="Ênfase4 2 13" xfId="1666"/>
    <cellStyle name="Ênfase4 2 14" xfId="1667"/>
    <cellStyle name="Ênfase4 2 15" xfId="1668"/>
    <cellStyle name="Ênfase4 2 16" xfId="1669"/>
    <cellStyle name="Ênfase4 2 17" xfId="1670"/>
    <cellStyle name="Ênfase4 2 18" xfId="1671"/>
    <cellStyle name="Ênfase4 2 19" xfId="1672"/>
    <cellStyle name="Ênfase4 2 2" xfId="1673"/>
    <cellStyle name="Ênfase4 2 20" xfId="1674"/>
    <cellStyle name="Ênfase4 2 21" xfId="1675"/>
    <cellStyle name="Ênfase4 2 22" xfId="1676"/>
    <cellStyle name="Ênfase4 2 23" xfId="1677"/>
    <cellStyle name="Ênfase4 2 24" xfId="1678"/>
    <cellStyle name="Ênfase4 2 25" xfId="1679"/>
    <cellStyle name="Ênfase4 2 26" xfId="1680"/>
    <cellStyle name="Ênfase4 2 27" xfId="1681"/>
    <cellStyle name="Ênfase4 2 3" xfId="1682"/>
    <cellStyle name="Ênfase4 2 4" xfId="1683"/>
    <cellStyle name="Ênfase4 2 5" xfId="1684"/>
    <cellStyle name="Ênfase4 2 6" xfId="1685"/>
    <cellStyle name="Ênfase4 2 7" xfId="1686"/>
    <cellStyle name="Ênfase4 2 8" xfId="1687"/>
    <cellStyle name="Ênfase4 2 9" xfId="1688"/>
    <cellStyle name="Ênfase4 20" xfId="1689"/>
    <cellStyle name="Ênfase4 21" xfId="1690"/>
    <cellStyle name="Ênfase4 22" xfId="1691"/>
    <cellStyle name="Ênfase4 23" xfId="1692"/>
    <cellStyle name="Ênfase4 24" xfId="1693"/>
    <cellStyle name="Ênfase4 25" xfId="1694"/>
    <cellStyle name="Ênfase4 26" xfId="1695"/>
    <cellStyle name="Ênfase4 27" xfId="1696"/>
    <cellStyle name="Ênfase4 28" xfId="1697"/>
    <cellStyle name="Ênfase4 3" xfId="1698"/>
    <cellStyle name="Ênfase4 4" xfId="1699"/>
    <cellStyle name="Ênfase4 5" xfId="1700"/>
    <cellStyle name="Ênfase4 6" xfId="1701"/>
    <cellStyle name="Ênfase4 7" xfId="1702"/>
    <cellStyle name="Ênfase4 8" xfId="1703"/>
    <cellStyle name="Ênfase4 9" xfId="1704"/>
    <cellStyle name="Ênfase5 10" xfId="1705"/>
    <cellStyle name="Ênfase5 11" xfId="1706"/>
    <cellStyle name="Ênfase5 12" xfId="1707"/>
    <cellStyle name="Ênfase5 13" xfId="1708"/>
    <cellStyle name="Ênfase5 14" xfId="1709"/>
    <cellStyle name="Ênfase5 15" xfId="1710"/>
    <cellStyle name="Ênfase5 16" xfId="1711"/>
    <cellStyle name="Ênfase5 17" xfId="1712"/>
    <cellStyle name="Ênfase5 18" xfId="1713"/>
    <cellStyle name="Ênfase5 19" xfId="1714"/>
    <cellStyle name="Ênfase5 2" xfId="1715"/>
    <cellStyle name="Ênfase5 2 10" xfId="1716"/>
    <cellStyle name="Ênfase5 2 11" xfId="1717"/>
    <cellStyle name="Ênfase5 2 12" xfId="1718"/>
    <cellStyle name="Ênfase5 2 13" xfId="1719"/>
    <cellStyle name="Ênfase5 2 14" xfId="1720"/>
    <cellStyle name="Ênfase5 2 15" xfId="1721"/>
    <cellStyle name="Ênfase5 2 16" xfId="1722"/>
    <cellStyle name="Ênfase5 2 17" xfId="1723"/>
    <cellStyle name="Ênfase5 2 18" xfId="1724"/>
    <cellStyle name="Ênfase5 2 19" xfId="1725"/>
    <cellStyle name="Ênfase5 2 2" xfId="1726"/>
    <cellStyle name="Ênfase5 2 20" xfId="1727"/>
    <cellStyle name="Ênfase5 2 21" xfId="1728"/>
    <cellStyle name="Ênfase5 2 22" xfId="1729"/>
    <cellStyle name="Ênfase5 2 23" xfId="1730"/>
    <cellStyle name="Ênfase5 2 24" xfId="1731"/>
    <cellStyle name="Ênfase5 2 25" xfId="1732"/>
    <cellStyle name="Ênfase5 2 26" xfId="1733"/>
    <cellStyle name="Ênfase5 2 27" xfId="1734"/>
    <cellStyle name="Ênfase5 2 3" xfId="1735"/>
    <cellStyle name="Ênfase5 2 4" xfId="1736"/>
    <cellStyle name="Ênfase5 2 5" xfId="1737"/>
    <cellStyle name="Ênfase5 2 6" xfId="1738"/>
    <cellStyle name="Ênfase5 2 7" xfId="1739"/>
    <cellStyle name="Ênfase5 2 8" xfId="1740"/>
    <cellStyle name="Ênfase5 2 9" xfId="1741"/>
    <cellStyle name="Ênfase5 20" xfId="1742"/>
    <cellStyle name="Ênfase5 21" xfId="1743"/>
    <cellStyle name="Ênfase5 22" xfId="1744"/>
    <cellStyle name="Ênfase5 23" xfId="1745"/>
    <cellStyle name="Ênfase5 24" xfId="1746"/>
    <cellStyle name="Ênfase5 25" xfId="1747"/>
    <cellStyle name="Ênfase5 26" xfId="1748"/>
    <cellStyle name="Ênfase5 27" xfId="1749"/>
    <cellStyle name="Ênfase5 28" xfId="1750"/>
    <cellStyle name="Ênfase5 3" xfId="1751"/>
    <cellStyle name="Ênfase5 4" xfId="1752"/>
    <cellStyle name="Ênfase5 5" xfId="1753"/>
    <cellStyle name="Ênfase5 6" xfId="1754"/>
    <cellStyle name="Ênfase5 7" xfId="1755"/>
    <cellStyle name="Ênfase5 8" xfId="1756"/>
    <cellStyle name="Ênfase5 9" xfId="1757"/>
    <cellStyle name="Ênfase6 10" xfId="1758"/>
    <cellStyle name="Ênfase6 11" xfId="1759"/>
    <cellStyle name="Ênfase6 12" xfId="1760"/>
    <cellStyle name="Ênfase6 13" xfId="1761"/>
    <cellStyle name="Ênfase6 14" xfId="1762"/>
    <cellStyle name="Ênfase6 15" xfId="1763"/>
    <cellStyle name="Ênfase6 16" xfId="1764"/>
    <cellStyle name="Ênfase6 17" xfId="1765"/>
    <cellStyle name="Ênfase6 18" xfId="1766"/>
    <cellStyle name="Ênfase6 19" xfId="1767"/>
    <cellStyle name="Ênfase6 2" xfId="1768"/>
    <cellStyle name="Ênfase6 2 10" xfId="1769"/>
    <cellStyle name="Ênfase6 2 11" xfId="1770"/>
    <cellStyle name="Ênfase6 2 12" xfId="1771"/>
    <cellStyle name="Ênfase6 2 13" xfId="1772"/>
    <cellStyle name="Ênfase6 2 14" xfId="1773"/>
    <cellStyle name="Ênfase6 2 15" xfId="1774"/>
    <cellStyle name="Ênfase6 2 16" xfId="1775"/>
    <cellStyle name="Ênfase6 2 17" xfId="1776"/>
    <cellStyle name="Ênfase6 2 18" xfId="1777"/>
    <cellStyle name="Ênfase6 2 19" xfId="1778"/>
    <cellStyle name="Ênfase6 2 2" xfId="1779"/>
    <cellStyle name="Ênfase6 2 20" xfId="1780"/>
    <cellStyle name="Ênfase6 2 21" xfId="1781"/>
    <cellStyle name="Ênfase6 2 22" xfId="1782"/>
    <cellStyle name="Ênfase6 2 23" xfId="1783"/>
    <cellStyle name="Ênfase6 2 24" xfId="1784"/>
    <cellStyle name="Ênfase6 2 25" xfId="1785"/>
    <cellStyle name="Ênfase6 2 26" xfId="1786"/>
    <cellStyle name="Ênfase6 2 27" xfId="1787"/>
    <cellStyle name="Ênfase6 2 3" xfId="1788"/>
    <cellStyle name="Ênfase6 2 4" xfId="1789"/>
    <cellStyle name="Ênfase6 2 5" xfId="1790"/>
    <cellStyle name="Ênfase6 2 6" xfId="1791"/>
    <cellStyle name="Ênfase6 2 7" xfId="1792"/>
    <cellStyle name="Ênfase6 2 8" xfId="1793"/>
    <cellStyle name="Ênfase6 2 9" xfId="1794"/>
    <cellStyle name="Ênfase6 20" xfId="1795"/>
    <cellStyle name="Ênfase6 21" xfId="1796"/>
    <cellStyle name="Ênfase6 22" xfId="1797"/>
    <cellStyle name="Ênfase6 23" xfId="1798"/>
    <cellStyle name="Ênfase6 24" xfId="1799"/>
    <cellStyle name="Ênfase6 25" xfId="1800"/>
    <cellStyle name="Ênfase6 26" xfId="1801"/>
    <cellStyle name="Ênfase6 27" xfId="1802"/>
    <cellStyle name="Ênfase6 28" xfId="1803"/>
    <cellStyle name="Ênfase6 3" xfId="1804"/>
    <cellStyle name="Ênfase6 4" xfId="1805"/>
    <cellStyle name="Ênfase6 5" xfId="1806"/>
    <cellStyle name="Ênfase6 6" xfId="1807"/>
    <cellStyle name="Ênfase6 7" xfId="1808"/>
    <cellStyle name="Ênfase6 8" xfId="1809"/>
    <cellStyle name="Ênfase6 9" xfId="1810"/>
    <cellStyle name="Entrada 10" xfId="1811"/>
    <cellStyle name="Entrada 10 2" xfId="1812"/>
    <cellStyle name="Entrada 10 2 2" xfId="1813"/>
    <cellStyle name="Entrada 11" xfId="1814"/>
    <cellStyle name="Entrada 11 2" xfId="1815"/>
    <cellStyle name="Entrada 11 2 2" xfId="1816"/>
    <cellStyle name="Entrada 12" xfId="1817"/>
    <cellStyle name="Entrada 12 2" xfId="1818"/>
    <cellStyle name="Entrada 12 2 2" xfId="1819"/>
    <cellStyle name="Entrada 13" xfId="1820"/>
    <cellStyle name="Entrada 13 2" xfId="1821"/>
    <cellStyle name="Entrada 13 2 2" xfId="1822"/>
    <cellStyle name="Entrada 14" xfId="1823"/>
    <cellStyle name="Entrada 14 2" xfId="1824"/>
    <cellStyle name="Entrada 14 2 2" xfId="1825"/>
    <cellStyle name="Entrada 15" xfId="1826"/>
    <cellStyle name="Entrada 15 2" xfId="1827"/>
    <cellStyle name="Entrada 15 2 2" xfId="1828"/>
    <cellStyle name="Entrada 16" xfId="1829"/>
    <cellStyle name="Entrada 16 2" xfId="1830"/>
    <cellStyle name="Entrada 16 2 2" xfId="1831"/>
    <cellStyle name="Entrada 17" xfId="1832"/>
    <cellStyle name="Entrada 17 2" xfId="1833"/>
    <cellStyle name="Entrada 17 2 2" xfId="1834"/>
    <cellStyle name="Entrada 18" xfId="1835"/>
    <cellStyle name="Entrada 18 2" xfId="1836"/>
    <cellStyle name="Entrada 18 2 2" xfId="1837"/>
    <cellStyle name="Entrada 19" xfId="1838"/>
    <cellStyle name="Entrada 19 2" xfId="1839"/>
    <cellStyle name="Entrada 19 2 2" xfId="1840"/>
    <cellStyle name="Entrada 2" xfId="1841"/>
    <cellStyle name="Entrada 2 10" xfId="1842"/>
    <cellStyle name="Entrada 2 10 2" xfId="1843"/>
    <cellStyle name="Entrada 2 10 2 2" xfId="1844"/>
    <cellStyle name="Entrada 2 11" xfId="1845"/>
    <cellStyle name="Entrada 2 11 2" xfId="1846"/>
    <cellStyle name="Entrada 2 11 2 2" xfId="1847"/>
    <cellStyle name="Entrada 2 12" xfId="1848"/>
    <cellStyle name="Entrada 2 12 2" xfId="1849"/>
    <cellStyle name="Entrada 2 12 2 2" xfId="1850"/>
    <cellStyle name="Entrada 2 13" xfId="1851"/>
    <cellStyle name="Entrada 2 13 2" xfId="1852"/>
    <cellStyle name="Entrada 2 13 2 2" xfId="1853"/>
    <cellStyle name="Entrada 2 14" xfId="1854"/>
    <cellStyle name="Entrada 2 14 2" xfId="1855"/>
    <cellStyle name="Entrada 2 14 2 2" xfId="1856"/>
    <cellStyle name="Entrada 2 15" xfId="1857"/>
    <cellStyle name="Entrada 2 15 2" xfId="1858"/>
    <cellStyle name="Entrada 2 15 2 2" xfId="1859"/>
    <cellStyle name="Entrada 2 16" xfId="1860"/>
    <cellStyle name="Entrada 2 16 2" xfId="1861"/>
    <cellStyle name="Entrada 2 16 2 2" xfId="1862"/>
    <cellStyle name="Entrada 2 17" xfId="1863"/>
    <cellStyle name="Entrada 2 17 2" xfId="1864"/>
    <cellStyle name="Entrada 2 17 2 2" xfId="1865"/>
    <cellStyle name="Entrada 2 18" xfId="1866"/>
    <cellStyle name="Entrada 2 18 2" xfId="1867"/>
    <cellStyle name="Entrada 2 18 2 2" xfId="1868"/>
    <cellStyle name="Entrada 2 19" xfId="1869"/>
    <cellStyle name="Entrada 2 19 2" xfId="1870"/>
    <cellStyle name="Entrada 2 19 2 2" xfId="1871"/>
    <cellStyle name="Entrada 2 2" xfId="1872"/>
    <cellStyle name="Entrada 2 2 2" xfId="1873"/>
    <cellStyle name="Entrada 2 2 2 2" xfId="1874"/>
    <cellStyle name="Entrada 2 20" xfId="1875"/>
    <cellStyle name="Entrada 2 20 2" xfId="1876"/>
    <cellStyle name="Entrada 2 20 2 2" xfId="1877"/>
    <cellStyle name="Entrada 2 21" xfId="1878"/>
    <cellStyle name="Entrada 2 21 2" xfId="1879"/>
    <cellStyle name="Entrada 2 21 2 2" xfId="1880"/>
    <cellStyle name="Entrada 2 22" xfId="1881"/>
    <cellStyle name="Entrada 2 22 2" xfId="1882"/>
    <cellStyle name="Entrada 2 22 2 2" xfId="1883"/>
    <cellStyle name="Entrada 2 23" xfId="1884"/>
    <cellStyle name="Entrada 2 23 2" xfId="1885"/>
    <cellStyle name="Entrada 2 23 2 2" xfId="1886"/>
    <cellStyle name="Entrada 2 24" xfId="1887"/>
    <cellStyle name="Entrada 2 24 2" xfId="1888"/>
    <cellStyle name="Entrada 2 24 2 2" xfId="1889"/>
    <cellStyle name="Entrada 2 25" xfId="1890"/>
    <cellStyle name="Entrada 2 25 2" xfId="1891"/>
    <cellStyle name="Entrada 2 25 2 2" xfId="1892"/>
    <cellStyle name="Entrada 2 26" xfId="1893"/>
    <cellStyle name="Entrada 2 26 2" xfId="1894"/>
    <cellStyle name="Entrada 2 26 2 2" xfId="1895"/>
    <cellStyle name="Entrada 2 27" xfId="1896"/>
    <cellStyle name="Entrada 2 27 2" xfId="1897"/>
    <cellStyle name="Entrada 2 27 2 2" xfId="1898"/>
    <cellStyle name="Entrada 2 28" xfId="1899"/>
    <cellStyle name="Entrada 2 28 2" xfId="1900"/>
    <cellStyle name="Entrada 2 3" xfId="1901"/>
    <cellStyle name="Entrada 2 3 2" xfId="1902"/>
    <cellStyle name="Entrada 2 3 2 2" xfId="1903"/>
    <cellStyle name="Entrada 2 4" xfId="1904"/>
    <cellStyle name="Entrada 2 4 2" xfId="1905"/>
    <cellStyle name="Entrada 2 4 2 2" xfId="1906"/>
    <cellStyle name="Entrada 2 5" xfId="1907"/>
    <cellStyle name="Entrada 2 5 2" xfId="1908"/>
    <cellStyle name="Entrada 2 5 2 2" xfId="1909"/>
    <cellStyle name="Entrada 2 6" xfId="1910"/>
    <cellStyle name="Entrada 2 6 2" xfId="1911"/>
    <cellStyle name="Entrada 2 6 2 2" xfId="1912"/>
    <cellStyle name="Entrada 2 7" xfId="1913"/>
    <cellStyle name="Entrada 2 7 2" xfId="1914"/>
    <cellStyle name="Entrada 2 7 2 2" xfId="1915"/>
    <cellStyle name="Entrada 2 8" xfId="1916"/>
    <cellStyle name="Entrada 2 8 2" xfId="1917"/>
    <cellStyle name="Entrada 2 8 2 2" xfId="1918"/>
    <cellStyle name="Entrada 2 9" xfId="1919"/>
    <cellStyle name="Entrada 2 9 2" xfId="1920"/>
    <cellStyle name="Entrada 2 9 2 2" xfId="1921"/>
    <cellStyle name="Entrada 20" xfId="1922"/>
    <cellStyle name="Entrada 20 2" xfId="1923"/>
    <cellStyle name="Entrada 20 2 2" xfId="1924"/>
    <cellStyle name="Entrada 21" xfId="1925"/>
    <cellStyle name="Entrada 21 2" xfId="1926"/>
    <cellStyle name="Entrada 21 2 2" xfId="1927"/>
    <cellStyle name="Entrada 22" xfId="1928"/>
    <cellStyle name="Entrada 22 2" xfId="1929"/>
    <cellStyle name="Entrada 22 2 2" xfId="1930"/>
    <cellStyle name="Entrada 23" xfId="1931"/>
    <cellStyle name="Entrada 23 2" xfId="1932"/>
    <cellStyle name="Entrada 23 2 2" xfId="1933"/>
    <cellStyle name="Entrada 24" xfId="1934"/>
    <cellStyle name="Entrada 24 2" xfId="1935"/>
    <cellStyle name="Entrada 24 2 2" xfId="1936"/>
    <cellStyle name="Entrada 25" xfId="1937"/>
    <cellStyle name="Entrada 25 2" xfId="1938"/>
    <cellStyle name="Entrada 25 2 2" xfId="1939"/>
    <cellStyle name="Entrada 26" xfId="1940"/>
    <cellStyle name="Entrada 26 2" xfId="1941"/>
    <cellStyle name="Entrada 26 2 2" xfId="1942"/>
    <cellStyle name="Entrada 27" xfId="1943"/>
    <cellStyle name="Entrada 27 2" xfId="1944"/>
    <cellStyle name="Entrada 27 2 2" xfId="1945"/>
    <cellStyle name="Entrada 28" xfId="1946"/>
    <cellStyle name="Entrada 28 2" xfId="1947"/>
    <cellStyle name="Entrada 3" xfId="1948"/>
    <cellStyle name="Entrada 3 2" xfId="1949"/>
    <cellStyle name="Entrada 3 2 2" xfId="1950"/>
    <cellStyle name="Entrada 4" xfId="1951"/>
    <cellStyle name="Entrada 4 2" xfId="1952"/>
    <cellStyle name="Entrada 4 2 2" xfId="1953"/>
    <cellStyle name="Entrada 5" xfId="1954"/>
    <cellStyle name="Entrada 5 2" xfId="1955"/>
    <cellStyle name="Entrada 5 2 2" xfId="1956"/>
    <cellStyle name="Entrada 6" xfId="1957"/>
    <cellStyle name="Entrada 6 2" xfId="1958"/>
    <cellStyle name="Entrada 6 2 2" xfId="1959"/>
    <cellStyle name="Entrada 7" xfId="1960"/>
    <cellStyle name="Entrada 7 2" xfId="1961"/>
    <cellStyle name="Entrada 7 2 2" xfId="1962"/>
    <cellStyle name="Entrada 8" xfId="1963"/>
    <cellStyle name="Entrada 8 2" xfId="1964"/>
    <cellStyle name="Entrada 8 2 2" xfId="1965"/>
    <cellStyle name="Entrada 9" xfId="1966"/>
    <cellStyle name="Entrada 9 2" xfId="1967"/>
    <cellStyle name="Entrada 9 2 2" xfId="1968"/>
    <cellStyle name="Estilo 1" xfId="1969"/>
    <cellStyle name="Estilo 1 2" xfId="1970"/>
    <cellStyle name="Estilo 1 2 2" xfId="1971"/>
    <cellStyle name="Estilo 1 3" xfId="1972"/>
    <cellStyle name="Euro" xfId="1973"/>
    <cellStyle name="Euro 10" xfId="1974"/>
    <cellStyle name="Euro 10 10" xfId="1975"/>
    <cellStyle name="Euro 10 10 2" xfId="1976"/>
    <cellStyle name="Euro 10 11" xfId="1977"/>
    <cellStyle name="Euro 10 2" xfId="1978"/>
    <cellStyle name="Euro 10 2 2" xfId="1979"/>
    <cellStyle name="Euro 10 3" xfId="1980"/>
    <cellStyle name="Euro 10 3 2" xfId="1981"/>
    <cellStyle name="Euro 10 4" xfId="1982"/>
    <cellStyle name="Euro 10 4 2" xfId="1983"/>
    <cellStyle name="Euro 10 5" xfId="1984"/>
    <cellStyle name="Euro 10 5 2" xfId="1985"/>
    <cellStyle name="Euro 10 6" xfId="1986"/>
    <cellStyle name="Euro 10 6 2" xfId="1987"/>
    <cellStyle name="Euro 10 7" xfId="1988"/>
    <cellStyle name="Euro 10 7 2" xfId="1989"/>
    <cellStyle name="Euro 10 8" xfId="1990"/>
    <cellStyle name="Euro 10 8 2" xfId="1991"/>
    <cellStyle name="Euro 10 9" xfId="1992"/>
    <cellStyle name="Euro 10 9 2" xfId="1993"/>
    <cellStyle name="Euro 11" xfId="1994"/>
    <cellStyle name="Euro 11 10" xfId="1995"/>
    <cellStyle name="Euro 11 10 2" xfId="1996"/>
    <cellStyle name="Euro 11 11" xfId="1997"/>
    <cellStyle name="Euro 11 2" xfId="1998"/>
    <cellStyle name="Euro 11 2 2" xfId="1999"/>
    <cellStyle name="Euro 11 3" xfId="2000"/>
    <cellStyle name="Euro 11 3 2" xfId="2001"/>
    <cellStyle name="Euro 11 4" xfId="2002"/>
    <cellStyle name="Euro 11 4 2" xfId="2003"/>
    <cellStyle name="Euro 11 5" xfId="2004"/>
    <cellStyle name="Euro 11 5 2" xfId="2005"/>
    <cellStyle name="Euro 11 6" xfId="2006"/>
    <cellStyle name="Euro 11 6 2" xfId="2007"/>
    <cellStyle name="Euro 11 7" xfId="2008"/>
    <cellStyle name="Euro 11 7 2" xfId="2009"/>
    <cellStyle name="Euro 11 8" xfId="2010"/>
    <cellStyle name="Euro 11 8 2" xfId="2011"/>
    <cellStyle name="Euro 11 9" xfId="2012"/>
    <cellStyle name="Euro 11 9 2" xfId="2013"/>
    <cellStyle name="Euro 12" xfId="2014"/>
    <cellStyle name="Euro 12 10" xfId="2015"/>
    <cellStyle name="Euro 12 10 2" xfId="2016"/>
    <cellStyle name="Euro 12 11" xfId="2017"/>
    <cellStyle name="Euro 12 2" xfId="2018"/>
    <cellStyle name="Euro 12 2 2" xfId="2019"/>
    <cellStyle name="Euro 12 3" xfId="2020"/>
    <cellStyle name="Euro 12 3 2" xfId="2021"/>
    <cellStyle name="Euro 12 4" xfId="2022"/>
    <cellStyle name="Euro 12 4 2" xfId="2023"/>
    <cellStyle name="Euro 12 5" xfId="2024"/>
    <cellStyle name="Euro 12 5 2" xfId="2025"/>
    <cellStyle name="Euro 12 6" xfId="2026"/>
    <cellStyle name="Euro 12 6 2" xfId="2027"/>
    <cellStyle name="Euro 12 7" xfId="2028"/>
    <cellStyle name="Euro 12 7 2" xfId="2029"/>
    <cellStyle name="Euro 12 8" xfId="2030"/>
    <cellStyle name="Euro 12 8 2" xfId="2031"/>
    <cellStyle name="Euro 12 9" xfId="2032"/>
    <cellStyle name="Euro 12 9 2" xfId="2033"/>
    <cellStyle name="Euro 13" xfId="2034"/>
    <cellStyle name="Euro 13 10" xfId="2035"/>
    <cellStyle name="Euro 13 10 2" xfId="2036"/>
    <cellStyle name="Euro 13 11" xfId="2037"/>
    <cellStyle name="Euro 13 2" xfId="2038"/>
    <cellStyle name="Euro 13 2 2" xfId="2039"/>
    <cellStyle name="Euro 13 3" xfId="2040"/>
    <cellStyle name="Euro 13 3 2" xfId="2041"/>
    <cellStyle name="Euro 13 4" xfId="2042"/>
    <cellStyle name="Euro 13 4 2" xfId="2043"/>
    <cellStyle name="Euro 13 5" xfId="2044"/>
    <cellStyle name="Euro 13 5 2" xfId="2045"/>
    <cellStyle name="Euro 13 6" xfId="2046"/>
    <cellStyle name="Euro 13 6 2" xfId="2047"/>
    <cellStyle name="Euro 13 7" xfId="2048"/>
    <cellStyle name="Euro 13 7 2" xfId="2049"/>
    <cellStyle name="Euro 13 8" xfId="2050"/>
    <cellStyle name="Euro 13 8 2" xfId="2051"/>
    <cellStyle name="Euro 13 9" xfId="2052"/>
    <cellStyle name="Euro 13 9 2" xfId="2053"/>
    <cellStyle name="Euro 14" xfId="2054"/>
    <cellStyle name="Euro 14 10" xfId="2055"/>
    <cellStyle name="Euro 14 10 2" xfId="2056"/>
    <cellStyle name="Euro 14 11" xfId="2057"/>
    <cellStyle name="Euro 14 2" xfId="2058"/>
    <cellStyle name="Euro 14 2 2" xfId="2059"/>
    <cellStyle name="Euro 14 3" xfId="2060"/>
    <cellStyle name="Euro 14 3 2" xfId="2061"/>
    <cellStyle name="Euro 14 4" xfId="2062"/>
    <cellStyle name="Euro 14 4 2" xfId="2063"/>
    <cellStyle name="Euro 14 5" xfId="2064"/>
    <cellStyle name="Euro 14 5 2" xfId="2065"/>
    <cellStyle name="Euro 14 6" xfId="2066"/>
    <cellStyle name="Euro 14 6 2" xfId="2067"/>
    <cellStyle name="Euro 14 7" xfId="2068"/>
    <cellStyle name="Euro 14 7 2" xfId="2069"/>
    <cellStyle name="Euro 14 8" xfId="2070"/>
    <cellStyle name="Euro 14 8 2" xfId="2071"/>
    <cellStyle name="Euro 14 9" xfId="2072"/>
    <cellStyle name="Euro 14 9 2" xfId="2073"/>
    <cellStyle name="Euro 15" xfId="2074"/>
    <cellStyle name="Euro 15 10" xfId="2075"/>
    <cellStyle name="Euro 15 10 2" xfId="2076"/>
    <cellStyle name="Euro 15 11" xfId="2077"/>
    <cellStyle name="Euro 15 2" xfId="2078"/>
    <cellStyle name="Euro 15 2 2" xfId="2079"/>
    <cellStyle name="Euro 15 3" xfId="2080"/>
    <cellStyle name="Euro 15 3 2" xfId="2081"/>
    <cellStyle name="Euro 15 4" xfId="2082"/>
    <cellStyle name="Euro 15 4 2" xfId="2083"/>
    <cellStyle name="Euro 15 5" xfId="2084"/>
    <cellStyle name="Euro 15 5 2" xfId="2085"/>
    <cellStyle name="Euro 15 6" xfId="2086"/>
    <cellStyle name="Euro 15 6 2" xfId="2087"/>
    <cellStyle name="Euro 15 7" xfId="2088"/>
    <cellStyle name="Euro 15 7 2" xfId="2089"/>
    <cellStyle name="Euro 15 8" xfId="2090"/>
    <cellStyle name="Euro 15 8 2" xfId="2091"/>
    <cellStyle name="Euro 15 9" xfId="2092"/>
    <cellStyle name="Euro 15 9 2" xfId="2093"/>
    <cellStyle name="Euro 16" xfId="2094"/>
    <cellStyle name="Euro 16 10" xfId="2095"/>
    <cellStyle name="Euro 16 10 2" xfId="2096"/>
    <cellStyle name="Euro 16 11" xfId="2097"/>
    <cellStyle name="Euro 16 2" xfId="2098"/>
    <cellStyle name="Euro 16 2 2" xfId="2099"/>
    <cellStyle name="Euro 16 3" xfId="2100"/>
    <cellStyle name="Euro 16 3 2" xfId="2101"/>
    <cellStyle name="Euro 16 4" xfId="2102"/>
    <cellStyle name="Euro 16 4 2" xfId="2103"/>
    <cellStyle name="Euro 16 5" xfId="2104"/>
    <cellStyle name="Euro 16 5 2" xfId="2105"/>
    <cellStyle name="Euro 16 6" xfId="2106"/>
    <cellStyle name="Euro 16 6 2" xfId="2107"/>
    <cellStyle name="Euro 16 7" xfId="2108"/>
    <cellStyle name="Euro 16 7 2" xfId="2109"/>
    <cellStyle name="Euro 16 8" xfId="2110"/>
    <cellStyle name="Euro 16 8 2" xfId="2111"/>
    <cellStyle name="Euro 16 9" xfId="2112"/>
    <cellStyle name="Euro 16 9 2" xfId="2113"/>
    <cellStyle name="Euro 17" xfId="2114"/>
    <cellStyle name="Euro 17 10" xfId="2115"/>
    <cellStyle name="Euro 17 10 2" xfId="2116"/>
    <cellStyle name="Euro 17 11" xfId="2117"/>
    <cellStyle name="Euro 17 2" xfId="2118"/>
    <cellStyle name="Euro 17 2 2" xfId="2119"/>
    <cellStyle name="Euro 17 3" xfId="2120"/>
    <cellStyle name="Euro 17 3 2" xfId="2121"/>
    <cellStyle name="Euro 17 4" xfId="2122"/>
    <cellStyle name="Euro 17 4 2" xfId="2123"/>
    <cellStyle name="Euro 17 5" xfId="2124"/>
    <cellStyle name="Euro 17 5 2" xfId="2125"/>
    <cellStyle name="Euro 17 6" xfId="2126"/>
    <cellStyle name="Euro 17 6 2" xfId="2127"/>
    <cellStyle name="Euro 17 7" xfId="2128"/>
    <cellStyle name="Euro 17 7 2" xfId="2129"/>
    <cellStyle name="Euro 17 8" xfId="2130"/>
    <cellStyle name="Euro 17 8 2" xfId="2131"/>
    <cellStyle name="Euro 17 9" xfId="2132"/>
    <cellStyle name="Euro 17 9 2" xfId="2133"/>
    <cellStyle name="Euro 18" xfId="2134"/>
    <cellStyle name="Euro 18 2" xfId="2135"/>
    <cellStyle name="Euro 19" xfId="2136"/>
    <cellStyle name="Euro 19 2" xfId="2137"/>
    <cellStyle name="Euro 2" xfId="2138"/>
    <cellStyle name="Euro 2 10" xfId="2139"/>
    <cellStyle name="Euro 2 10 2" xfId="2140"/>
    <cellStyle name="Euro 2 11" xfId="2141"/>
    <cellStyle name="Euro 2 11 2" xfId="2142"/>
    <cellStyle name="Euro 2 12" xfId="2143"/>
    <cellStyle name="Euro 2 12 2" xfId="2144"/>
    <cellStyle name="Euro 2 13" xfId="2145"/>
    <cellStyle name="Euro 2 13 2" xfId="2146"/>
    <cellStyle name="Euro 2 14" xfId="2147"/>
    <cellStyle name="Euro 2 14 2" xfId="2148"/>
    <cellStyle name="Euro 2 15" xfId="2149"/>
    <cellStyle name="Euro 2 15 2" xfId="2150"/>
    <cellStyle name="Euro 2 16" xfId="2151"/>
    <cellStyle name="Euro 2 2" xfId="2152"/>
    <cellStyle name="Euro 2 2 2" xfId="2153"/>
    <cellStyle name="Euro 2 3" xfId="2154"/>
    <cellStyle name="Euro 2 3 2" xfId="2155"/>
    <cellStyle name="Euro 2 4" xfId="2156"/>
    <cellStyle name="Euro 2 4 2" xfId="2157"/>
    <cellStyle name="Euro 2 5" xfId="2158"/>
    <cellStyle name="Euro 2 5 2" xfId="2159"/>
    <cellStyle name="Euro 2 6" xfId="2160"/>
    <cellStyle name="Euro 2 6 2" xfId="2161"/>
    <cellStyle name="Euro 2 7" xfId="2162"/>
    <cellStyle name="Euro 2 7 2" xfId="2163"/>
    <cellStyle name="Euro 2 8" xfId="2164"/>
    <cellStyle name="Euro 2 8 2" xfId="2165"/>
    <cellStyle name="Euro 2 9" xfId="2166"/>
    <cellStyle name="Euro 2 9 2" xfId="2167"/>
    <cellStyle name="Euro 20" xfId="2168"/>
    <cellStyle name="Euro 20 2" xfId="2169"/>
    <cellStyle name="Euro 21" xfId="2170"/>
    <cellStyle name="Euro 21 2" xfId="2171"/>
    <cellStyle name="Euro 22" xfId="2172"/>
    <cellStyle name="Euro 22 2" xfId="2173"/>
    <cellStyle name="Euro 23" xfId="2174"/>
    <cellStyle name="Euro 23 2" xfId="2175"/>
    <cellStyle name="Euro 24" xfId="2176"/>
    <cellStyle name="Euro 24 2" xfId="2177"/>
    <cellStyle name="Euro 25" xfId="2178"/>
    <cellStyle name="Euro 25 2" xfId="2179"/>
    <cellStyle name="Euro 26" xfId="2180"/>
    <cellStyle name="Euro 26 2" xfId="2181"/>
    <cellStyle name="Euro 26 2 2" xfId="2182"/>
    <cellStyle name="Euro 26 3" xfId="2183"/>
    <cellStyle name="Euro 26 3 2" xfId="2184"/>
    <cellStyle name="Euro 26 4" xfId="2185"/>
    <cellStyle name="Euro 27" xfId="2186"/>
    <cellStyle name="Euro 27 2" xfId="2187"/>
    <cellStyle name="Euro 27 2 2" xfId="2188"/>
    <cellStyle name="Euro 27 3" xfId="2189"/>
    <cellStyle name="Euro 27 3 2" xfId="2190"/>
    <cellStyle name="Euro 27 4" xfId="2191"/>
    <cellStyle name="Euro 28" xfId="2192"/>
    <cellStyle name="Euro 28 2" xfId="2193"/>
    <cellStyle name="Euro 29" xfId="2194"/>
    <cellStyle name="Euro 29 2" xfId="2195"/>
    <cellStyle name="Euro 3" xfId="2196"/>
    <cellStyle name="Euro 3 10" xfId="2197"/>
    <cellStyle name="Euro 3 10 2" xfId="2198"/>
    <cellStyle name="Euro 3 11" xfId="2199"/>
    <cellStyle name="Euro 3 11 2" xfId="2200"/>
    <cellStyle name="Euro 3 12" xfId="2201"/>
    <cellStyle name="Euro 3 12 2" xfId="2202"/>
    <cellStyle name="Euro 3 13" xfId="2203"/>
    <cellStyle name="Euro 3 13 2" xfId="2204"/>
    <cellStyle name="Euro 3 14" xfId="2205"/>
    <cellStyle name="Euro 3 2" xfId="2206"/>
    <cellStyle name="Euro 3 2 2" xfId="2207"/>
    <cellStyle name="Euro 3 3" xfId="2208"/>
    <cellStyle name="Euro 3 3 2" xfId="2209"/>
    <cellStyle name="Euro 3 4" xfId="2210"/>
    <cellStyle name="Euro 3 4 2" xfId="2211"/>
    <cellStyle name="Euro 3 5" xfId="2212"/>
    <cellStyle name="Euro 3 5 2" xfId="2213"/>
    <cellStyle name="Euro 3 6" xfId="2214"/>
    <cellStyle name="Euro 3 6 2" xfId="2215"/>
    <cellStyle name="Euro 3 7" xfId="2216"/>
    <cellStyle name="Euro 3 7 2" xfId="2217"/>
    <cellStyle name="Euro 3 8" xfId="2218"/>
    <cellStyle name="Euro 3 8 2" xfId="2219"/>
    <cellStyle name="Euro 3 9" xfId="2220"/>
    <cellStyle name="Euro 3 9 2" xfId="2221"/>
    <cellStyle name="Euro 30" xfId="2222"/>
    <cellStyle name="Euro 30 10" xfId="2223"/>
    <cellStyle name="Euro 30 10 2" xfId="2224"/>
    <cellStyle name="Euro 30 11" xfId="2225"/>
    <cellStyle name="Euro 30 11 2" xfId="2226"/>
    <cellStyle name="Euro 30 12" xfId="2227"/>
    <cellStyle name="Euro 30 12 2" xfId="2228"/>
    <cellStyle name="Euro 30 13" xfId="2229"/>
    <cellStyle name="Euro 30 13 2" xfId="2230"/>
    <cellStyle name="Euro 30 14" xfId="2231"/>
    <cellStyle name="Euro 30 14 2" xfId="2232"/>
    <cellStyle name="Euro 30 15" xfId="2233"/>
    <cellStyle name="Euro 30 2" xfId="2234"/>
    <cellStyle name="Euro 30 2 2" xfId="2235"/>
    <cellStyle name="Euro 30 2 2 2" xfId="2236"/>
    <cellStyle name="Euro 30 2 3" xfId="2237"/>
    <cellStyle name="Euro 30 3" xfId="2238"/>
    <cellStyle name="Euro 30 3 2" xfId="2239"/>
    <cellStyle name="Euro 30 3 2 2" xfId="2240"/>
    <cellStyle name="Euro 30 3 3" xfId="2241"/>
    <cellStyle name="Euro 30 4" xfId="2242"/>
    <cellStyle name="Euro 30 4 2" xfId="2243"/>
    <cellStyle name="Euro 30 5" xfId="2244"/>
    <cellStyle name="Euro 30 5 2" xfId="2245"/>
    <cellStyle name="Euro 30 6" xfId="2246"/>
    <cellStyle name="Euro 30 6 2" xfId="2247"/>
    <cellStyle name="Euro 30 7" xfId="2248"/>
    <cellStyle name="Euro 30 7 2" xfId="2249"/>
    <cellStyle name="Euro 30 8" xfId="2250"/>
    <cellStyle name="Euro 30 8 2" xfId="2251"/>
    <cellStyle name="Euro 30 9" xfId="2252"/>
    <cellStyle name="Euro 30 9 2" xfId="2253"/>
    <cellStyle name="Euro 31" xfId="2254"/>
    <cellStyle name="Euro 31 10" xfId="2255"/>
    <cellStyle name="Euro 31 10 2" xfId="2256"/>
    <cellStyle name="Euro 31 11" xfId="2257"/>
    <cellStyle name="Euro 31 11 2" xfId="2258"/>
    <cellStyle name="Euro 31 12" xfId="2259"/>
    <cellStyle name="Euro 31 12 2" xfId="2260"/>
    <cellStyle name="Euro 31 13" xfId="2261"/>
    <cellStyle name="Euro 31 13 2" xfId="2262"/>
    <cellStyle name="Euro 31 14" xfId="2263"/>
    <cellStyle name="Euro 31 2" xfId="2264"/>
    <cellStyle name="Euro 31 2 2" xfId="2265"/>
    <cellStyle name="Euro 31 3" xfId="2266"/>
    <cellStyle name="Euro 31 3 2" xfId="2267"/>
    <cellStyle name="Euro 31 4" xfId="2268"/>
    <cellStyle name="Euro 31 4 2" xfId="2269"/>
    <cellStyle name="Euro 31 5" xfId="2270"/>
    <cellStyle name="Euro 31 5 2" xfId="2271"/>
    <cellStyle name="Euro 31 6" xfId="2272"/>
    <cellStyle name="Euro 31 6 2" xfId="2273"/>
    <cellStyle name="Euro 31 7" xfId="2274"/>
    <cellStyle name="Euro 31 7 2" xfId="2275"/>
    <cellStyle name="Euro 31 8" xfId="2276"/>
    <cellStyle name="Euro 31 8 2" xfId="2277"/>
    <cellStyle name="Euro 31 9" xfId="2278"/>
    <cellStyle name="Euro 31 9 2" xfId="2279"/>
    <cellStyle name="Euro 32" xfId="2280"/>
    <cellStyle name="Euro 32 10" xfId="2281"/>
    <cellStyle name="Euro 32 10 2" xfId="2282"/>
    <cellStyle name="Euro 32 11" xfId="2283"/>
    <cellStyle name="Euro 32 11 2" xfId="2284"/>
    <cellStyle name="Euro 32 12" xfId="2285"/>
    <cellStyle name="Euro 32 12 2" xfId="2286"/>
    <cellStyle name="Euro 32 13" xfId="2287"/>
    <cellStyle name="Euro 32 13 2" xfId="2288"/>
    <cellStyle name="Euro 32 14" xfId="2289"/>
    <cellStyle name="Euro 32 2" xfId="2290"/>
    <cellStyle name="Euro 32 2 2" xfId="2291"/>
    <cellStyle name="Euro 32 3" xfId="2292"/>
    <cellStyle name="Euro 32 3 2" xfId="2293"/>
    <cellStyle name="Euro 32 4" xfId="2294"/>
    <cellStyle name="Euro 32 4 2" xfId="2295"/>
    <cellStyle name="Euro 32 5" xfId="2296"/>
    <cellStyle name="Euro 32 5 2" xfId="2297"/>
    <cellStyle name="Euro 32 6" xfId="2298"/>
    <cellStyle name="Euro 32 6 2" xfId="2299"/>
    <cellStyle name="Euro 32 7" xfId="2300"/>
    <cellStyle name="Euro 32 7 2" xfId="2301"/>
    <cellStyle name="Euro 32 8" xfId="2302"/>
    <cellStyle name="Euro 32 8 2" xfId="2303"/>
    <cellStyle name="Euro 32 9" xfId="2304"/>
    <cellStyle name="Euro 32 9 2" xfId="2305"/>
    <cellStyle name="Euro 33" xfId="2306"/>
    <cellStyle name="Euro 33 2" xfId="2307"/>
    <cellStyle name="Euro 34" xfId="2308"/>
    <cellStyle name="Euro 34 2" xfId="2309"/>
    <cellStyle name="Euro 35" xfId="2310"/>
    <cellStyle name="Euro 35 2" xfId="2311"/>
    <cellStyle name="Euro 36" xfId="2312"/>
    <cellStyle name="Euro 36 2" xfId="2313"/>
    <cellStyle name="Euro 37" xfId="2314"/>
    <cellStyle name="Euro 37 2" xfId="2315"/>
    <cellStyle name="Euro 37 2 2" xfId="2316"/>
    <cellStyle name="Euro 37 3" xfId="2317"/>
    <cellStyle name="Euro 37 3 2" xfId="2318"/>
    <cellStyle name="Euro 37 4" xfId="2319"/>
    <cellStyle name="Euro 38" xfId="2320"/>
    <cellStyle name="Euro 38 2" xfId="2321"/>
    <cellStyle name="Euro 38 2 2" xfId="2322"/>
    <cellStyle name="Euro 38 3" xfId="2323"/>
    <cellStyle name="Euro 38 3 2" xfId="2324"/>
    <cellStyle name="Euro 38 4" xfId="2325"/>
    <cellStyle name="Euro 39" xfId="2326"/>
    <cellStyle name="Euro 39 2" xfId="2327"/>
    <cellStyle name="Euro 4" xfId="2328"/>
    <cellStyle name="Euro 4 10" xfId="2329"/>
    <cellStyle name="Euro 4 10 2" xfId="2330"/>
    <cellStyle name="Euro 4 11" xfId="2331"/>
    <cellStyle name="Euro 4 11 2" xfId="2332"/>
    <cellStyle name="Euro 4 12" xfId="2333"/>
    <cellStyle name="Euro 4 12 2" xfId="2334"/>
    <cellStyle name="Euro 4 13" xfId="2335"/>
    <cellStyle name="Euro 4 13 2" xfId="2336"/>
    <cellStyle name="Euro 4 14" xfId="2337"/>
    <cellStyle name="Euro 4 2" xfId="2338"/>
    <cellStyle name="Euro 4 2 2" xfId="2339"/>
    <cellStyle name="Euro 4 3" xfId="2340"/>
    <cellStyle name="Euro 4 3 2" xfId="2341"/>
    <cellStyle name="Euro 4 4" xfId="2342"/>
    <cellStyle name="Euro 4 4 2" xfId="2343"/>
    <cellStyle name="Euro 4 5" xfId="2344"/>
    <cellStyle name="Euro 4 5 2" xfId="2345"/>
    <cellStyle name="Euro 4 6" xfId="2346"/>
    <cellStyle name="Euro 4 6 2" xfId="2347"/>
    <cellStyle name="Euro 4 7" xfId="2348"/>
    <cellStyle name="Euro 4 7 2" xfId="2349"/>
    <cellStyle name="Euro 4 8" xfId="2350"/>
    <cellStyle name="Euro 4 8 2" xfId="2351"/>
    <cellStyle name="Euro 4 9" xfId="2352"/>
    <cellStyle name="Euro 4 9 2" xfId="2353"/>
    <cellStyle name="Euro 40" xfId="2354"/>
    <cellStyle name="Euro 40 2" xfId="2355"/>
    <cellStyle name="Euro 41" xfId="2356"/>
    <cellStyle name="Euro 41 2" xfId="2357"/>
    <cellStyle name="Euro 42" xfId="2358"/>
    <cellStyle name="Euro 42 2" xfId="2359"/>
    <cellStyle name="Euro 43" xfId="2360"/>
    <cellStyle name="Euro 43 2" xfId="2361"/>
    <cellStyle name="Euro 44" xfId="2362"/>
    <cellStyle name="Euro 44 2" xfId="2363"/>
    <cellStyle name="Euro 45" xfId="2364"/>
    <cellStyle name="Euro 45 2" xfId="2365"/>
    <cellStyle name="Euro 46" xfId="2366"/>
    <cellStyle name="Euro 46 2" xfId="2367"/>
    <cellStyle name="Euro 47" xfId="2368"/>
    <cellStyle name="Euro 47 2" xfId="2369"/>
    <cellStyle name="Euro 48" xfId="2370"/>
    <cellStyle name="Euro 5" xfId="2371"/>
    <cellStyle name="Euro 5 10" xfId="2372"/>
    <cellStyle name="Euro 5 10 2" xfId="2373"/>
    <cellStyle name="Euro 5 11" xfId="2374"/>
    <cellStyle name="Euro 5 11 2" xfId="2375"/>
    <cellStyle name="Euro 5 12" xfId="2376"/>
    <cellStyle name="Euro 5 12 2" xfId="2377"/>
    <cellStyle name="Euro 5 13" xfId="2378"/>
    <cellStyle name="Euro 5 13 2" xfId="2379"/>
    <cellStyle name="Euro 5 14" xfId="2380"/>
    <cellStyle name="Euro 5 2" xfId="2381"/>
    <cellStyle name="Euro 5 2 2" xfId="2382"/>
    <cellStyle name="Euro 5 3" xfId="2383"/>
    <cellStyle name="Euro 5 3 2" xfId="2384"/>
    <cellStyle name="Euro 5 4" xfId="2385"/>
    <cellStyle name="Euro 5 4 2" xfId="2386"/>
    <cellStyle name="Euro 5 5" xfId="2387"/>
    <cellStyle name="Euro 5 5 2" xfId="2388"/>
    <cellStyle name="Euro 5 6" xfId="2389"/>
    <cellStyle name="Euro 5 6 2" xfId="2390"/>
    <cellStyle name="Euro 5 7" xfId="2391"/>
    <cellStyle name="Euro 5 7 2" xfId="2392"/>
    <cellStyle name="Euro 5 8" xfId="2393"/>
    <cellStyle name="Euro 5 8 2" xfId="2394"/>
    <cellStyle name="Euro 5 9" xfId="2395"/>
    <cellStyle name="Euro 5 9 2" xfId="2396"/>
    <cellStyle name="Euro 6" xfId="2397"/>
    <cellStyle name="Euro 6 10" xfId="2398"/>
    <cellStyle name="Euro 6 10 2" xfId="2399"/>
    <cellStyle name="Euro 6 11" xfId="2400"/>
    <cellStyle name="Euro 6 11 2" xfId="2401"/>
    <cellStyle name="Euro 6 12" xfId="2402"/>
    <cellStyle name="Euro 6 12 2" xfId="2403"/>
    <cellStyle name="Euro 6 13" xfId="2404"/>
    <cellStyle name="Euro 6 13 2" xfId="2405"/>
    <cellStyle name="Euro 6 14" xfId="2406"/>
    <cellStyle name="Euro 6 2" xfId="2407"/>
    <cellStyle name="Euro 6 2 2" xfId="2408"/>
    <cellStyle name="Euro 6 3" xfId="2409"/>
    <cellStyle name="Euro 6 3 2" xfId="2410"/>
    <cellStyle name="Euro 6 4" xfId="2411"/>
    <cellStyle name="Euro 6 4 2" xfId="2412"/>
    <cellStyle name="Euro 6 5" xfId="2413"/>
    <cellStyle name="Euro 6 5 2" xfId="2414"/>
    <cellStyle name="Euro 6 6" xfId="2415"/>
    <cellStyle name="Euro 6 6 2" xfId="2416"/>
    <cellStyle name="Euro 6 7" xfId="2417"/>
    <cellStyle name="Euro 6 7 2" xfId="2418"/>
    <cellStyle name="Euro 6 8" xfId="2419"/>
    <cellStyle name="Euro 6 8 2" xfId="2420"/>
    <cellStyle name="Euro 6 9" xfId="2421"/>
    <cellStyle name="Euro 6 9 2" xfId="2422"/>
    <cellStyle name="Euro 7" xfId="2423"/>
    <cellStyle name="Euro 7 10" xfId="2424"/>
    <cellStyle name="Euro 7 10 2" xfId="2425"/>
    <cellStyle name="Euro 7 11" xfId="2426"/>
    <cellStyle name="Euro 7 2" xfId="2427"/>
    <cellStyle name="Euro 7 2 2" xfId="2428"/>
    <cellStyle name="Euro 7 3" xfId="2429"/>
    <cellStyle name="Euro 7 3 2" xfId="2430"/>
    <cellStyle name="Euro 7 4" xfId="2431"/>
    <cellStyle name="Euro 7 4 2" xfId="2432"/>
    <cellStyle name="Euro 7 5" xfId="2433"/>
    <cellStyle name="Euro 7 5 2" xfId="2434"/>
    <cellStyle name="Euro 7 6" xfId="2435"/>
    <cellStyle name="Euro 7 6 2" xfId="2436"/>
    <cellStyle name="Euro 7 7" xfId="2437"/>
    <cellStyle name="Euro 7 7 2" xfId="2438"/>
    <cellStyle name="Euro 7 8" xfId="2439"/>
    <cellStyle name="Euro 7 8 2" xfId="2440"/>
    <cellStyle name="Euro 7 9" xfId="2441"/>
    <cellStyle name="Euro 7 9 2" xfId="2442"/>
    <cellStyle name="Euro 8" xfId="2443"/>
    <cellStyle name="Euro 8 10" xfId="2444"/>
    <cellStyle name="Euro 8 10 2" xfId="2445"/>
    <cellStyle name="Euro 8 11" xfId="2446"/>
    <cellStyle name="Euro 8 2" xfId="2447"/>
    <cellStyle name="Euro 8 2 2" xfId="2448"/>
    <cellStyle name="Euro 8 3" xfId="2449"/>
    <cellStyle name="Euro 8 3 2" xfId="2450"/>
    <cellStyle name="Euro 8 4" xfId="2451"/>
    <cellStyle name="Euro 8 4 2" xfId="2452"/>
    <cellStyle name="Euro 8 5" xfId="2453"/>
    <cellStyle name="Euro 8 5 2" xfId="2454"/>
    <cellStyle name="Euro 8 6" xfId="2455"/>
    <cellStyle name="Euro 8 6 2" xfId="2456"/>
    <cellStyle name="Euro 8 7" xfId="2457"/>
    <cellStyle name="Euro 8 7 2" xfId="2458"/>
    <cellStyle name="Euro 8 8" xfId="2459"/>
    <cellStyle name="Euro 8 8 2" xfId="2460"/>
    <cellStyle name="Euro 8 9" xfId="2461"/>
    <cellStyle name="Euro 8 9 2" xfId="2462"/>
    <cellStyle name="Euro 9" xfId="2463"/>
    <cellStyle name="Euro 9 10" xfId="2464"/>
    <cellStyle name="Euro 9 10 2" xfId="2465"/>
    <cellStyle name="Euro 9 11" xfId="2466"/>
    <cellStyle name="Euro 9 2" xfId="2467"/>
    <cellStyle name="Euro 9 2 2" xfId="2468"/>
    <cellStyle name="Euro 9 3" xfId="2469"/>
    <cellStyle name="Euro 9 3 2" xfId="2470"/>
    <cellStyle name="Euro 9 4" xfId="2471"/>
    <cellStyle name="Euro 9 4 2" xfId="2472"/>
    <cellStyle name="Euro 9 5" xfId="2473"/>
    <cellStyle name="Euro 9 5 2" xfId="2474"/>
    <cellStyle name="Euro 9 6" xfId="2475"/>
    <cellStyle name="Euro 9 6 2" xfId="2476"/>
    <cellStyle name="Euro 9 7" xfId="2477"/>
    <cellStyle name="Euro 9 7 2" xfId="2478"/>
    <cellStyle name="Euro 9 8" xfId="2479"/>
    <cellStyle name="Euro 9 8 2" xfId="2480"/>
    <cellStyle name="Euro 9 9" xfId="2481"/>
    <cellStyle name="Euro 9 9 2" xfId="2482"/>
    <cellStyle name="Euro_Azevedo" xfId="2483"/>
    <cellStyle name="Excel Built-in Normal" xfId="2484"/>
    <cellStyle name="Excel_BuiltIn_Currency 1" xfId="2485"/>
    <cellStyle name="Explanatory Text" xfId="2486"/>
    <cellStyle name="Falces1" xfId="2487"/>
    <cellStyle name="Fecha" xfId="2488"/>
    <cellStyle name="Fijo" xfId="2489"/>
    <cellStyle name="FimFolha" xfId="2490"/>
    <cellStyle name="FimFolha 2" xfId="2491"/>
    <cellStyle name="Final com dois dígitos" xfId="2492"/>
    <cellStyle name="Final com um dígito" xfId="2493"/>
    <cellStyle name="Fixed" xfId="2494"/>
    <cellStyle name="Fixo" xfId="2495"/>
    <cellStyle name="Fixo 2" xfId="2496"/>
    <cellStyle name="Fixo 3" xfId="2497"/>
    <cellStyle name="Fixo 4" xfId="2498"/>
    <cellStyle name="Fixo 5" xfId="2499"/>
    <cellStyle name="Fixo 6" xfId="2500"/>
    <cellStyle name="Fixo 7" xfId="2501"/>
    <cellStyle name="Fixo 8" xfId="2502"/>
    <cellStyle name="Fixo 9" xfId="2503"/>
    <cellStyle name="Followed Hyperlink" xfId="2504"/>
    <cellStyle name="Good" xfId="2505"/>
    <cellStyle name="Grey" xfId="2506"/>
    <cellStyle name="HEADER" xfId="2507"/>
    <cellStyle name="Heading 1" xfId="2508"/>
    <cellStyle name="Heading 2" xfId="2509"/>
    <cellStyle name="Heading 3" xfId="2510"/>
    <cellStyle name="Heading 4" xfId="2511"/>
    <cellStyle name="HEADING1" xfId="2512"/>
    <cellStyle name="HEADING2" xfId="2513"/>
    <cellStyle name="Hiperlink 2" xfId="2514"/>
    <cellStyle name="Hiperlink 2 2" xfId="2515"/>
    <cellStyle name="Hiperlink 3" xfId="2516"/>
    <cellStyle name="Hyperlink 2" xfId="2517"/>
    <cellStyle name="HypeŲlink" xfId="2518"/>
    <cellStyle name="Incorreto 10" xfId="2519"/>
    <cellStyle name="Incorreto 11" xfId="2520"/>
    <cellStyle name="Incorreto 12" xfId="2521"/>
    <cellStyle name="Incorreto 13" xfId="2522"/>
    <cellStyle name="Incorreto 14" xfId="2523"/>
    <cellStyle name="Incorreto 15" xfId="2524"/>
    <cellStyle name="Incorreto 16" xfId="2525"/>
    <cellStyle name="Incorreto 17" xfId="2526"/>
    <cellStyle name="Incorreto 18" xfId="2527"/>
    <cellStyle name="Incorreto 19" xfId="2528"/>
    <cellStyle name="Incorreto 2" xfId="2529"/>
    <cellStyle name="Incorreto 2 10" xfId="2530"/>
    <cellStyle name="Incorreto 2 11" xfId="2531"/>
    <cellStyle name="Incorreto 2 12" xfId="2532"/>
    <cellStyle name="Incorreto 2 13" xfId="2533"/>
    <cellStyle name="Incorreto 2 14" xfId="2534"/>
    <cellStyle name="Incorreto 2 15" xfId="2535"/>
    <cellStyle name="Incorreto 2 16" xfId="2536"/>
    <cellStyle name="Incorreto 2 17" xfId="2537"/>
    <cellStyle name="Incorreto 2 18" xfId="2538"/>
    <cellStyle name="Incorreto 2 19" xfId="2539"/>
    <cellStyle name="Incorreto 2 2" xfId="2540"/>
    <cellStyle name="Incorreto 2 20" xfId="2541"/>
    <cellStyle name="Incorreto 2 21" xfId="2542"/>
    <cellStyle name="Incorreto 2 22" xfId="2543"/>
    <cellStyle name="Incorreto 2 23" xfId="2544"/>
    <cellStyle name="Incorreto 2 24" xfId="2545"/>
    <cellStyle name="Incorreto 2 25" xfId="2546"/>
    <cellStyle name="Incorreto 2 26" xfId="2547"/>
    <cellStyle name="Incorreto 2 27" xfId="2548"/>
    <cellStyle name="Incorreto 2 3" xfId="2549"/>
    <cellStyle name="Incorreto 2 4" xfId="2550"/>
    <cellStyle name="Incorreto 2 5" xfId="2551"/>
    <cellStyle name="Incorreto 2 6" xfId="2552"/>
    <cellStyle name="Incorreto 2 7" xfId="2553"/>
    <cellStyle name="Incorreto 2 8" xfId="2554"/>
    <cellStyle name="Incorreto 2 9" xfId="2555"/>
    <cellStyle name="Incorreto 20" xfId="2556"/>
    <cellStyle name="Incorreto 21" xfId="2557"/>
    <cellStyle name="Incorreto 22" xfId="2558"/>
    <cellStyle name="Incorreto 23" xfId="2559"/>
    <cellStyle name="Incorreto 24" xfId="2560"/>
    <cellStyle name="Incorreto 25" xfId="2561"/>
    <cellStyle name="Incorreto 26" xfId="2562"/>
    <cellStyle name="Incorreto 27" xfId="2563"/>
    <cellStyle name="Incorreto 28" xfId="2564"/>
    <cellStyle name="Incorreto 3" xfId="2565"/>
    <cellStyle name="Incorreto 4" xfId="2566"/>
    <cellStyle name="Incorreto 5" xfId="2567"/>
    <cellStyle name="Incorreto 6" xfId="2568"/>
    <cellStyle name="Incorreto 7" xfId="2569"/>
    <cellStyle name="Incorreto 8" xfId="2570"/>
    <cellStyle name="Incorreto 9" xfId="2571"/>
    <cellStyle name="Indefinido" xfId="2572"/>
    <cellStyle name="Indefinido 2" xfId="2573"/>
    <cellStyle name="Indefinido 3" xfId="2574"/>
    <cellStyle name="Indefinido 4" xfId="2575"/>
    <cellStyle name="Indefinido 5" xfId="2576"/>
    <cellStyle name="Indefinido 6" xfId="2577"/>
    <cellStyle name="Indefinido 7" xfId="2578"/>
    <cellStyle name="Indefinido_Estudo Praça 12 09-04-09 rev" xfId="2579"/>
    <cellStyle name="Input" xfId="2580"/>
    <cellStyle name="Input [yellow]" xfId="2581"/>
    <cellStyle name="Input [yellow] 2" xfId="2582"/>
    <cellStyle name="Input [yellow] 2 2" xfId="2583"/>
    <cellStyle name="Input [yellow] 2 2 2" xfId="2584"/>
    <cellStyle name="Input [yellow] 2 3" xfId="2585"/>
    <cellStyle name="Input [yellow] 3" xfId="2586"/>
    <cellStyle name="Input 2" xfId="2587"/>
    <cellStyle name="Input 2 2" xfId="2588"/>
    <cellStyle name="Linked Cell" xfId="2589"/>
    <cellStyle name="M S SANS SERIF" xfId="2590"/>
    <cellStyle name="M S SANS SERIF 2" xfId="2591"/>
    <cellStyle name="M S SANS SERIF 2 2" xfId="2592"/>
    <cellStyle name="M S SANS SERIF 2 2 2" xfId="2593"/>
    <cellStyle name="M S SANS SERIF 2 3" xfId="2594"/>
    <cellStyle name="M S SANS SERIF 3" xfId="2595"/>
    <cellStyle name="M S SANS SERIF 3 2" xfId="2596"/>
    <cellStyle name="M S SANS SERIF 3 2 2" xfId="2597"/>
    <cellStyle name="M S SANS SERIF 3 3" xfId="2598"/>
    <cellStyle name="M S SANS SERIF 4" xfId="2599"/>
    <cellStyle name="M S SANS SERIF 4 2" xfId="2600"/>
    <cellStyle name="M S SANS SERIF 4 2 2" xfId="2601"/>
    <cellStyle name="M S SANS SERIF 4 3" xfId="2602"/>
    <cellStyle name="M S SANS SERIF 5" xfId="2603"/>
    <cellStyle name="M S SANS SERIF 5 2" xfId="2604"/>
    <cellStyle name="M S SANS SERIF 5 2 2" xfId="2605"/>
    <cellStyle name="M S SANS SERIF 5 3" xfId="2606"/>
    <cellStyle name="M S SANS SERIF 6" xfId="2607"/>
    <cellStyle name="M S SANS SERIF 6 2" xfId="2608"/>
    <cellStyle name="M S SANS SERIF 6 2 2" xfId="2609"/>
    <cellStyle name="M S SANS SERIF 6 3" xfId="2610"/>
    <cellStyle name="M S SANS SERIF 7" xfId="2611"/>
    <cellStyle name="M S SANS SERIF 7 2" xfId="2612"/>
    <cellStyle name="M S SANS SERIF 8" xfId="2613"/>
    <cellStyle name="M S SANS SERIF 8 2" xfId="2614"/>
    <cellStyle name="M S SANS SERIF 9" xfId="2615"/>
    <cellStyle name="M S SANS SERIF_Estudo Praça 12 09-04-09 rev" xfId="2616"/>
    <cellStyle name="Millares [0]_4°trim'96" xfId="2617"/>
    <cellStyle name="Millares_3Q-8" xfId="2618"/>
    <cellStyle name="Model" xfId="2619"/>
    <cellStyle name="Model 2" xfId="2620"/>
    <cellStyle name="Moeda 10" xfId="2621"/>
    <cellStyle name="Moeda 10 2" xfId="2622"/>
    <cellStyle name="Moeda 11" xfId="2623"/>
    <cellStyle name="Moeda 2" xfId="2624"/>
    <cellStyle name="Moeda 2 2" xfId="2625"/>
    <cellStyle name="Moeda 2 2 2" xfId="2626"/>
    <cellStyle name="Moeda 2 3" xfId="2627"/>
    <cellStyle name="Moeda 2 3 2" xfId="2628"/>
    <cellStyle name="Moeda 2 3 3" xfId="2629"/>
    <cellStyle name="Moeda 2 4" xfId="2630"/>
    <cellStyle name="Moeda 2 4 2" xfId="2631"/>
    <cellStyle name="Moeda 2 5" xfId="2632"/>
    <cellStyle name="Moeda 2 6" xfId="2633"/>
    <cellStyle name="Moeda 2 7" xfId="2634"/>
    <cellStyle name="Moeda 2 8" xfId="2635"/>
    <cellStyle name="Moeda 2 9" xfId="2636"/>
    <cellStyle name="Moeda 21" xfId="2637"/>
    <cellStyle name="Moeda 22" xfId="2638"/>
    <cellStyle name="Moeda 3" xfId="2639"/>
    <cellStyle name="Moeda 3 2" xfId="2640"/>
    <cellStyle name="Moeda 3 2 2" xfId="2641"/>
    <cellStyle name="Moeda 3 2 2 2" xfId="2642"/>
    <cellStyle name="Moeda 3 2 3" xfId="2643"/>
    <cellStyle name="Moeda 3 2 3 2" xfId="2644"/>
    <cellStyle name="Moeda 3 2 4" xfId="2645"/>
    <cellStyle name="Moeda 3 2 4 2" xfId="2646"/>
    <cellStyle name="Moeda 3 2 5" xfId="2647"/>
    <cellStyle name="Moeda 3 2 5 2" xfId="2648"/>
    <cellStyle name="Moeda 3 2 6" xfId="2649"/>
    <cellStyle name="Moeda 3 3" xfId="2650"/>
    <cellStyle name="Moeda 3 3 2" xfId="2651"/>
    <cellStyle name="Moeda 3 3 2 2" xfId="2652"/>
    <cellStyle name="Moeda 3 3 3" xfId="2653"/>
    <cellStyle name="Moeda 3 3 3 2" xfId="2654"/>
    <cellStyle name="Moeda 3 3 4" xfId="2655"/>
    <cellStyle name="Moeda 3 3 4 2" xfId="2656"/>
    <cellStyle name="Moeda 3 3 5" xfId="2657"/>
    <cellStyle name="Moeda 3 3 5 2" xfId="2658"/>
    <cellStyle name="Moeda 3 3 6" xfId="2659"/>
    <cellStyle name="Moeda 3 4" xfId="2660"/>
    <cellStyle name="Moeda 3 5" xfId="2661"/>
    <cellStyle name="Moeda 3 6" xfId="2662"/>
    <cellStyle name="Moeda 4" xfId="2663"/>
    <cellStyle name="Moeda 4 2" xfId="2664"/>
    <cellStyle name="Moeda 4 2 2" xfId="2665"/>
    <cellStyle name="Moeda 4 2 2 2" xfId="2666"/>
    <cellStyle name="Moeda 4 2 3" xfId="2667"/>
    <cellStyle name="Moeda 4 2 3 2" xfId="2668"/>
    <cellStyle name="Moeda 4 2 4" xfId="2669"/>
    <cellStyle name="Moeda 4 2 4 2" xfId="2670"/>
    <cellStyle name="Moeda 4 2 5" xfId="2671"/>
    <cellStyle name="Moeda 4 2 5 2" xfId="2672"/>
    <cellStyle name="Moeda 4 2 6" xfId="2673"/>
    <cellStyle name="Moeda 4 3" xfId="2674"/>
    <cellStyle name="Moeda 4 3 2" xfId="2675"/>
    <cellStyle name="Moeda 4 4" xfId="2676"/>
    <cellStyle name="Moeda 4 4 2" xfId="2677"/>
    <cellStyle name="Moeda 4 5" xfId="2678"/>
    <cellStyle name="Moeda 4 5 2" xfId="2679"/>
    <cellStyle name="Moeda 4 6" xfId="2680"/>
    <cellStyle name="Moeda 4 6 2" xfId="2681"/>
    <cellStyle name="Moeda 4 7" xfId="2682"/>
    <cellStyle name="Moeda 5" xfId="2683"/>
    <cellStyle name="Moeda 5 2" xfId="2684"/>
    <cellStyle name="Moeda 5 2 2" xfId="2685"/>
    <cellStyle name="Moeda 5 3" xfId="2686"/>
    <cellStyle name="Moeda 5 3 2" xfId="2687"/>
    <cellStyle name="Moeda 5 4" xfId="2688"/>
    <cellStyle name="Moeda 5 4 2" xfId="2689"/>
    <cellStyle name="Moeda 5 5" xfId="2690"/>
    <cellStyle name="Moeda 5 5 2" xfId="2691"/>
    <cellStyle name="Moeda 5 6" xfId="2692"/>
    <cellStyle name="Moeda 6" xfId="2693"/>
    <cellStyle name="Moeda 6 2" xfId="2694"/>
    <cellStyle name="Moeda 6 2 2" xfId="2695"/>
    <cellStyle name="Moeda 6 2 2 2" xfId="2696"/>
    <cellStyle name="Moeda 6 2 3" xfId="2697"/>
    <cellStyle name="Moeda 6 2 3 2" xfId="2698"/>
    <cellStyle name="Moeda 6 2 4" xfId="2699"/>
    <cellStyle name="Moeda 6 2 4 2" xfId="2700"/>
    <cellStyle name="Moeda 6 2 5" xfId="2701"/>
    <cellStyle name="Moeda 6 2 5 2" xfId="2702"/>
    <cellStyle name="Moeda 6 2 6" xfId="2703"/>
    <cellStyle name="Moeda 6 3" xfId="2704"/>
    <cellStyle name="Moeda 6 3 2" xfId="2705"/>
    <cellStyle name="Moeda 6 4" xfId="2706"/>
    <cellStyle name="Moeda 6 4 2" xfId="2707"/>
    <cellStyle name="Moeda 6 5" xfId="2708"/>
    <cellStyle name="Moeda 6 5 2" xfId="2709"/>
    <cellStyle name="Moeda 6 6" xfId="2710"/>
    <cellStyle name="Moeda 6 6 2" xfId="2711"/>
    <cellStyle name="Moeda 6 7" xfId="2712"/>
    <cellStyle name="Moeda 7" xfId="2713"/>
    <cellStyle name="Moeda 7 2" xfId="2714"/>
    <cellStyle name="Moeda 8" xfId="2715"/>
    <cellStyle name="Moeda 8 2" xfId="2716"/>
    <cellStyle name="Moeda 9" xfId="2717"/>
    <cellStyle name="Moeda 9 2" xfId="2718"/>
    <cellStyle name="Moeda 9 3" xfId="2719"/>
    <cellStyle name="Moeda 9 4" xfId="2720"/>
    <cellStyle name="Moeda0" xfId="2721"/>
    <cellStyle name="Moeda0 2" xfId="2722"/>
    <cellStyle name="Moeda0 3" xfId="2723"/>
    <cellStyle name="Moeda0 4" xfId="2724"/>
    <cellStyle name="Moeda0 5" xfId="2725"/>
    <cellStyle name="Moeda0 6" xfId="2726"/>
    <cellStyle name="Moeda0 7" xfId="2727"/>
    <cellStyle name="Moeda0 8" xfId="2728"/>
    <cellStyle name="Moeda0 9" xfId="2729"/>
    <cellStyle name="Moneda [0]_4°trim'96" xfId="2730"/>
    <cellStyle name="Moneda_4°trim'96" xfId="2731"/>
    <cellStyle name="Monetario0" xfId="2732"/>
    <cellStyle name="Monetario0 2" xfId="2733"/>
    <cellStyle name="mpenho" xfId="2734"/>
    <cellStyle name="mpenho 10" xfId="2735"/>
    <cellStyle name="mpenho 10 2" xfId="2736"/>
    <cellStyle name="mpenho 11" xfId="2737"/>
    <cellStyle name="mpenho 2" xfId="2738"/>
    <cellStyle name="mpenho 2 2" xfId="2739"/>
    <cellStyle name="mpenho 2 2 2" xfId="2740"/>
    <cellStyle name="mpenho 2 3" xfId="2741"/>
    <cellStyle name="mpenho 3" xfId="2742"/>
    <cellStyle name="mpenho 3 2" xfId="2743"/>
    <cellStyle name="mpenho 3 2 2" xfId="2744"/>
    <cellStyle name="mpenho 3 3" xfId="2745"/>
    <cellStyle name="mpenho 4" xfId="2746"/>
    <cellStyle name="mpenho 4 2" xfId="2747"/>
    <cellStyle name="mpenho 4 2 2" xfId="2748"/>
    <cellStyle name="mpenho 4 3" xfId="2749"/>
    <cellStyle name="mpenho 5" xfId="2750"/>
    <cellStyle name="mpenho 5 2" xfId="2751"/>
    <cellStyle name="mpenho 5 2 2" xfId="2752"/>
    <cellStyle name="mpenho 5 3" xfId="2753"/>
    <cellStyle name="mpenho 6" xfId="2754"/>
    <cellStyle name="mpenho 6 2" xfId="2755"/>
    <cellStyle name="mpenho 6 2 2" xfId="2756"/>
    <cellStyle name="mpenho 6 3" xfId="2757"/>
    <cellStyle name="mpenho 7" xfId="2758"/>
    <cellStyle name="mpenho 7 2" xfId="2759"/>
    <cellStyle name="mpenho 8" xfId="2760"/>
    <cellStyle name="mpenho 8 2" xfId="2761"/>
    <cellStyle name="mpenho 9" xfId="2762"/>
    <cellStyle name="mpenho 9 2" xfId="2763"/>
    <cellStyle name="Neutra 10" xfId="2764"/>
    <cellStyle name="Neutra 11" xfId="2765"/>
    <cellStyle name="Neutra 12" xfId="2766"/>
    <cellStyle name="Neutra 13" xfId="2767"/>
    <cellStyle name="Neutra 14" xfId="2768"/>
    <cellStyle name="Neutra 15" xfId="2769"/>
    <cellStyle name="Neutra 16" xfId="2770"/>
    <cellStyle name="Neutra 17" xfId="2771"/>
    <cellStyle name="Neutra 18" xfId="2772"/>
    <cellStyle name="Neutra 19" xfId="2773"/>
    <cellStyle name="Neutra 2" xfId="2774"/>
    <cellStyle name="Neutra 2 10" xfId="2775"/>
    <cellStyle name="Neutra 2 11" xfId="2776"/>
    <cellStyle name="Neutra 2 12" xfId="2777"/>
    <cellStyle name="Neutra 2 13" xfId="2778"/>
    <cellStyle name="Neutra 2 14" xfId="2779"/>
    <cellStyle name="Neutra 2 15" xfId="2780"/>
    <cellStyle name="Neutra 2 16" xfId="2781"/>
    <cellStyle name="Neutra 2 17" xfId="2782"/>
    <cellStyle name="Neutra 2 18" xfId="2783"/>
    <cellStyle name="Neutra 2 19" xfId="2784"/>
    <cellStyle name="Neutra 2 2" xfId="2785"/>
    <cellStyle name="Neutra 2 20" xfId="2786"/>
    <cellStyle name="Neutra 2 21" xfId="2787"/>
    <cellStyle name="Neutra 2 22" xfId="2788"/>
    <cellStyle name="Neutra 2 23" xfId="2789"/>
    <cellStyle name="Neutra 2 24" xfId="2790"/>
    <cellStyle name="Neutra 2 25" xfId="2791"/>
    <cellStyle name="Neutra 2 26" xfId="2792"/>
    <cellStyle name="Neutra 2 27" xfId="2793"/>
    <cellStyle name="Neutra 2 3" xfId="2794"/>
    <cellStyle name="Neutra 2 4" xfId="2795"/>
    <cellStyle name="Neutra 2 5" xfId="2796"/>
    <cellStyle name="Neutra 2 6" xfId="2797"/>
    <cellStyle name="Neutra 2 7" xfId="2798"/>
    <cellStyle name="Neutra 2 8" xfId="2799"/>
    <cellStyle name="Neutra 2 9" xfId="2800"/>
    <cellStyle name="Neutra 20" xfId="2801"/>
    <cellStyle name="Neutra 21" xfId="2802"/>
    <cellStyle name="Neutra 22" xfId="2803"/>
    <cellStyle name="Neutra 23" xfId="2804"/>
    <cellStyle name="Neutra 24" xfId="2805"/>
    <cellStyle name="Neutra 25" xfId="2806"/>
    <cellStyle name="Neutra 26" xfId="2807"/>
    <cellStyle name="Neutra 27" xfId="2808"/>
    <cellStyle name="Neutra 28" xfId="2809"/>
    <cellStyle name="Neutra 3" xfId="2810"/>
    <cellStyle name="Neutra 4" xfId="2811"/>
    <cellStyle name="Neutra 5" xfId="2812"/>
    <cellStyle name="Neutra 6" xfId="2813"/>
    <cellStyle name="Neutra 7" xfId="2814"/>
    <cellStyle name="Neutra 8" xfId="2815"/>
    <cellStyle name="Neutra 9" xfId="2816"/>
    <cellStyle name="Neutral" xfId="2817"/>
    <cellStyle name="Normal - Estilo5" xfId="2818"/>
    <cellStyle name="Normal - Estilo6" xfId="2819"/>
    <cellStyle name="Normal - Estilo7" xfId="2820"/>
    <cellStyle name="Normal - Estilo8" xfId="2821"/>
    <cellStyle name="Normal - Style1" xfId="2822"/>
    <cellStyle name="Normal - Style1 2" xfId="2823"/>
    <cellStyle name="Normal 10" xfId="2824"/>
    <cellStyle name="Normal 10 10" xfId="2825"/>
    <cellStyle name="Normal 10 10 2" xfId="2826"/>
    <cellStyle name="Normal 10 10 2 2" xfId="2827"/>
    <cellStyle name="Normal 10 10 3" xfId="2828"/>
    <cellStyle name="Normal 10 11" xfId="2829"/>
    <cellStyle name="Normal 10 11 2" xfId="2830"/>
    <cellStyle name="Normal 10 12" xfId="2831"/>
    <cellStyle name="Normal 10 2" xfId="2832"/>
    <cellStyle name="Normal 10 2 10" xfId="2833"/>
    <cellStyle name="Normal 10 2 2" xfId="2834"/>
    <cellStyle name="Normal 10 2 2 2" xfId="2835"/>
    <cellStyle name="Normal 10 2 3" xfId="2836"/>
    <cellStyle name="Normal 10 2 3 2" xfId="2837"/>
    <cellStyle name="Normal 10 2 4" xfId="2838"/>
    <cellStyle name="Normal 10 2 4 2" xfId="2839"/>
    <cellStyle name="Normal 10 2 5" xfId="2840"/>
    <cellStyle name="Normal 10 2 5 2" xfId="2841"/>
    <cellStyle name="Normal 10 2 6" xfId="2842"/>
    <cellStyle name="Normal 10 2 6 2" xfId="2843"/>
    <cellStyle name="Normal 10 2 7" xfId="2844"/>
    <cellStyle name="Normal 10 2 7 2" xfId="2845"/>
    <cellStyle name="Normal 10 2 8" xfId="2846"/>
    <cellStyle name="Normal 10 2 8 2" xfId="2847"/>
    <cellStyle name="Normal 10 2 9" xfId="2848"/>
    <cellStyle name="Normal 10 2 9 2" xfId="2849"/>
    <cellStyle name="Normal 10 3" xfId="2850"/>
    <cellStyle name="Normal 10 3 2" xfId="2851"/>
    <cellStyle name="Normal 10 4" xfId="2852"/>
    <cellStyle name="Normal 10 4 2" xfId="2853"/>
    <cellStyle name="Normal 10 5" xfId="2854"/>
    <cellStyle name="Normal 10 5 2" xfId="2855"/>
    <cellStyle name="Normal 10 6" xfId="2856"/>
    <cellStyle name="Normal 10 6 2" xfId="2857"/>
    <cellStyle name="Normal 10 7" xfId="2858"/>
    <cellStyle name="Normal 10 7 2" xfId="2859"/>
    <cellStyle name="Normal 10 8" xfId="2860"/>
    <cellStyle name="Normal 10 8 2" xfId="2861"/>
    <cellStyle name="Normal 10 9" xfId="2862"/>
    <cellStyle name="Normal 10 9 2" xfId="2863"/>
    <cellStyle name="Normal 100" xfId="2864"/>
    <cellStyle name="Normal 100 2" xfId="2865"/>
    <cellStyle name="Normal 100 3" xfId="2866"/>
    <cellStyle name="Normal 100 4" xfId="2867"/>
    <cellStyle name="Normal 100 5" xfId="2868"/>
    <cellStyle name="Normal 101" xfId="2869"/>
    <cellStyle name="Normal 101 2" xfId="2870"/>
    <cellStyle name="Normal 102" xfId="2871"/>
    <cellStyle name="Normal 102 2" xfId="2872"/>
    <cellStyle name="Normal 103" xfId="2873"/>
    <cellStyle name="Normal 103 2" xfId="2874"/>
    <cellStyle name="Normal 103 3" xfId="2875"/>
    <cellStyle name="Normal 103 4" xfId="2876"/>
    <cellStyle name="Normal 103 5" xfId="2877"/>
    <cellStyle name="Normal 104" xfId="2878"/>
    <cellStyle name="Normal 104 2" xfId="2879"/>
    <cellStyle name="Normal 105" xfId="2880"/>
    <cellStyle name="Normal 105 2" xfId="2881"/>
    <cellStyle name="Normal 106" xfId="2882"/>
    <cellStyle name="Normal 107" xfId="2883"/>
    <cellStyle name="Normal 107 2" xfId="2884"/>
    <cellStyle name="Normal 107 3" xfId="2885"/>
    <cellStyle name="Normal 107 4" xfId="2886"/>
    <cellStyle name="Normal 108" xfId="2887"/>
    <cellStyle name="Normal 108 2" xfId="2888"/>
    <cellStyle name="Normal 108 3" xfId="2889"/>
    <cellStyle name="Normal 108 4" xfId="2890"/>
    <cellStyle name="Normal 108 5" xfId="2891"/>
    <cellStyle name="Normal 109" xfId="2892"/>
    <cellStyle name="Normal 109 2" xfId="2893"/>
    <cellStyle name="Normal 109 3" xfId="2894"/>
    <cellStyle name="Normal 109 4" xfId="2895"/>
    <cellStyle name="Normal 109 5" xfId="2896"/>
    <cellStyle name="Normal 11" xfId="2897"/>
    <cellStyle name="Normal 11 10" xfId="2898"/>
    <cellStyle name="Normal 11 10 2" xfId="2899"/>
    <cellStyle name="Normal 11 11" xfId="2900"/>
    <cellStyle name="Normal 11 11 2" xfId="2901"/>
    <cellStyle name="Normal 11 12" xfId="2902"/>
    <cellStyle name="Normal 11 12 2" xfId="2903"/>
    <cellStyle name="Normal 11 13" xfId="2904"/>
    <cellStyle name="Normal 11 14" xfId="2905"/>
    <cellStyle name="Normal 11 15" xfId="2906"/>
    <cellStyle name="Normal 11 16" xfId="2907"/>
    <cellStyle name="Normal 11 2" xfId="2908"/>
    <cellStyle name="Normal 11 2 10" xfId="2909"/>
    <cellStyle name="Normal 11 2 2" xfId="2910"/>
    <cellStyle name="Normal 11 2 2 2" xfId="2911"/>
    <cellStyle name="Normal 11 2 3" xfId="2912"/>
    <cellStyle name="Normal 11 2 3 2" xfId="2913"/>
    <cellStyle name="Normal 11 2 4" xfId="2914"/>
    <cellStyle name="Normal 11 2 4 2" xfId="2915"/>
    <cellStyle name="Normal 11 2 5" xfId="2916"/>
    <cellStyle name="Normal 11 2 5 2" xfId="2917"/>
    <cellStyle name="Normal 11 2 6" xfId="2918"/>
    <cellStyle name="Normal 11 2 6 2" xfId="2919"/>
    <cellStyle name="Normal 11 2 7" xfId="2920"/>
    <cellStyle name="Normal 11 2 7 2" xfId="2921"/>
    <cellStyle name="Normal 11 2 8" xfId="2922"/>
    <cellStyle name="Normal 11 2 8 2" xfId="2923"/>
    <cellStyle name="Normal 11 2 9" xfId="2924"/>
    <cellStyle name="Normal 11 2 9 2" xfId="2925"/>
    <cellStyle name="Normal 11 3" xfId="2926"/>
    <cellStyle name="Normal 11 3 2" xfId="2927"/>
    <cellStyle name="Normal 11 4" xfId="2928"/>
    <cellStyle name="Normal 11 4 2" xfId="2929"/>
    <cellStyle name="Normal 11 5" xfId="2930"/>
    <cellStyle name="Normal 11 5 2" xfId="2931"/>
    <cellStyle name="Normal 11 6" xfId="2932"/>
    <cellStyle name="Normal 11 6 2" xfId="2933"/>
    <cellStyle name="Normal 11 7" xfId="2934"/>
    <cellStyle name="Normal 11 7 2" xfId="2935"/>
    <cellStyle name="Normal 11 8" xfId="2936"/>
    <cellStyle name="Normal 11 8 2" xfId="2937"/>
    <cellStyle name="Normal 11 9" xfId="2938"/>
    <cellStyle name="Normal 11 9 2" xfId="2939"/>
    <cellStyle name="Normal 110" xfId="2940"/>
    <cellStyle name="Normal 110 2" xfId="2941"/>
    <cellStyle name="Normal 110 3" xfId="2942"/>
    <cellStyle name="Normal 110 4" xfId="2943"/>
    <cellStyle name="Normal 110 5" xfId="2944"/>
    <cellStyle name="Normal 111" xfId="2945"/>
    <cellStyle name="Normal 111 2" xfId="2946"/>
    <cellStyle name="Normal 111 3" xfId="2947"/>
    <cellStyle name="Normal 111 4" xfId="2948"/>
    <cellStyle name="Normal 111 5" xfId="2949"/>
    <cellStyle name="Normal 112" xfId="2950"/>
    <cellStyle name="Normal 112 2" xfId="2951"/>
    <cellStyle name="Normal 112 3" xfId="2952"/>
    <cellStyle name="Normal 112 4" xfId="2953"/>
    <cellStyle name="Normal 112 5" xfId="2954"/>
    <cellStyle name="Normal 113" xfId="2955"/>
    <cellStyle name="Normal 113 2" xfId="2956"/>
    <cellStyle name="Normal 114" xfId="2957"/>
    <cellStyle name="Normal 114 2" xfId="2958"/>
    <cellStyle name="Normal 114 3" xfId="2959"/>
    <cellStyle name="Normal 115" xfId="2960"/>
    <cellStyle name="Normal 115 2" xfId="2961"/>
    <cellStyle name="Normal 116" xfId="2962"/>
    <cellStyle name="Normal 116 2" xfId="2963"/>
    <cellStyle name="Normal 117" xfId="2964"/>
    <cellStyle name="Normal 117 2" xfId="2965"/>
    <cellStyle name="Normal 118" xfId="2966"/>
    <cellStyle name="Normal 119" xfId="2967"/>
    <cellStyle name="Normal 12" xfId="2968"/>
    <cellStyle name="Normal 12 10" xfId="2969"/>
    <cellStyle name="Normal 12 10 2" xfId="2970"/>
    <cellStyle name="Normal 12 11" xfId="2971"/>
    <cellStyle name="Normal 12 11 2" xfId="2972"/>
    <cellStyle name="Normal 12 12" xfId="2973"/>
    <cellStyle name="Normal 12 2" xfId="2974"/>
    <cellStyle name="Normal 12 2 10" xfId="2975"/>
    <cellStyle name="Normal 12 2 2" xfId="2976"/>
    <cellStyle name="Normal 12 2 2 2" xfId="2977"/>
    <cellStyle name="Normal 12 2 3" xfId="2978"/>
    <cellStyle name="Normal 12 2 3 2" xfId="2979"/>
    <cellStyle name="Normal 12 2 4" xfId="2980"/>
    <cellStyle name="Normal 12 2 4 2" xfId="2981"/>
    <cellStyle name="Normal 12 2 5" xfId="2982"/>
    <cellStyle name="Normal 12 2 5 2" xfId="2983"/>
    <cellStyle name="Normal 12 2 6" xfId="2984"/>
    <cellStyle name="Normal 12 2 6 2" xfId="2985"/>
    <cellStyle name="Normal 12 2 7" xfId="2986"/>
    <cellStyle name="Normal 12 2 7 2" xfId="2987"/>
    <cellStyle name="Normal 12 2 8" xfId="2988"/>
    <cellStyle name="Normal 12 2 8 2" xfId="2989"/>
    <cellStyle name="Normal 12 2 9" xfId="2990"/>
    <cellStyle name="Normal 12 2 9 2" xfId="2991"/>
    <cellStyle name="Normal 12 3" xfId="2992"/>
    <cellStyle name="Normal 12 3 2" xfId="2993"/>
    <cellStyle name="Normal 12 4" xfId="2994"/>
    <cellStyle name="Normal 12 4 2" xfId="2995"/>
    <cellStyle name="Normal 12 5" xfId="2996"/>
    <cellStyle name="Normal 12 5 2" xfId="2997"/>
    <cellStyle name="Normal 12 6" xfId="2998"/>
    <cellStyle name="Normal 12 6 2" xfId="2999"/>
    <cellStyle name="Normal 12 7" xfId="3000"/>
    <cellStyle name="Normal 12 7 2" xfId="3001"/>
    <cellStyle name="Normal 12 8" xfId="3002"/>
    <cellStyle name="Normal 12 8 2" xfId="3003"/>
    <cellStyle name="Normal 12 9" xfId="3004"/>
    <cellStyle name="Normal 12 9 2" xfId="3005"/>
    <cellStyle name="Normal 120" xfId="3006"/>
    <cellStyle name="Normal 121" xfId="3007"/>
    <cellStyle name="Normal 122" xfId="3008"/>
    <cellStyle name="Normal 123" xfId="3009"/>
    <cellStyle name="Normal 124" xfId="3010"/>
    <cellStyle name="Normal 126" xfId="3011"/>
    <cellStyle name="Normal 127" xfId="3012"/>
    <cellStyle name="Normal 129" xfId="3013"/>
    <cellStyle name="Normal 13" xfId="3014"/>
    <cellStyle name="Normal 13 10" xfId="3015"/>
    <cellStyle name="Normal 13 10 2" xfId="3016"/>
    <cellStyle name="Normal 13 11" xfId="3017"/>
    <cellStyle name="Normal 13 11 2" xfId="3018"/>
    <cellStyle name="Normal 13 12" xfId="3019"/>
    <cellStyle name="Normal 13 13" xfId="3020"/>
    <cellStyle name="Normal 13 14" xfId="3021"/>
    <cellStyle name="Normal 13 15" xfId="3022"/>
    <cellStyle name="Normal 13 2" xfId="3023"/>
    <cellStyle name="Normal 13 2 10" xfId="3024"/>
    <cellStyle name="Normal 13 2 2" xfId="3025"/>
    <cellStyle name="Normal 13 2 2 2" xfId="3026"/>
    <cellStyle name="Normal 13 2 3" xfId="3027"/>
    <cellStyle name="Normal 13 2 3 2" xfId="3028"/>
    <cellStyle name="Normal 13 2 4" xfId="3029"/>
    <cellStyle name="Normal 13 2 4 2" xfId="3030"/>
    <cellStyle name="Normal 13 2 5" xfId="3031"/>
    <cellStyle name="Normal 13 2 5 2" xfId="3032"/>
    <cellStyle name="Normal 13 2 6" xfId="3033"/>
    <cellStyle name="Normal 13 2 6 2" xfId="3034"/>
    <cellStyle name="Normal 13 2 7" xfId="3035"/>
    <cellStyle name="Normal 13 2 7 2" xfId="3036"/>
    <cellStyle name="Normal 13 2 8" xfId="3037"/>
    <cellStyle name="Normal 13 2 8 2" xfId="3038"/>
    <cellStyle name="Normal 13 2 9" xfId="3039"/>
    <cellStyle name="Normal 13 2 9 2" xfId="3040"/>
    <cellStyle name="Normal 13 3" xfId="3041"/>
    <cellStyle name="Normal 13 3 2" xfId="3042"/>
    <cellStyle name="Normal 13 4" xfId="3043"/>
    <cellStyle name="Normal 13 4 2" xfId="3044"/>
    <cellStyle name="Normal 13 5" xfId="3045"/>
    <cellStyle name="Normal 13 5 2" xfId="3046"/>
    <cellStyle name="Normal 13 6" xfId="3047"/>
    <cellStyle name="Normal 13 6 2" xfId="3048"/>
    <cellStyle name="Normal 13 7" xfId="3049"/>
    <cellStyle name="Normal 13 7 2" xfId="3050"/>
    <cellStyle name="Normal 13 8" xfId="3051"/>
    <cellStyle name="Normal 13 8 2" xfId="3052"/>
    <cellStyle name="Normal 13 9" xfId="3053"/>
    <cellStyle name="Normal 13 9 2" xfId="3054"/>
    <cellStyle name="Normal 131" xfId="3055"/>
    <cellStyle name="Normal 14" xfId="3056"/>
    <cellStyle name="Normal 14 10" xfId="3057"/>
    <cellStyle name="Normal 14 10 2" xfId="3058"/>
    <cellStyle name="Normal 14 11" xfId="3059"/>
    <cellStyle name="Normal 14 11 2" xfId="3060"/>
    <cellStyle name="Normal 14 12" xfId="3061"/>
    <cellStyle name="Normal 14 2" xfId="3062"/>
    <cellStyle name="Normal 14 2 10" xfId="3063"/>
    <cellStyle name="Normal 14 2 2" xfId="3064"/>
    <cellStyle name="Normal 14 2 2 2" xfId="3065"/>
    <cellStyle name="Normal 14 2 3" xfId="3066"/>
    <cellStyle name="Normal 14 2 3 2" xfId="3067"/>
    <cellStyle name="Normal 14 2 4" xfId="3068"/>
    <cellStyle name="Normal 14 2 4 2" xfId="3069"/>
    <cellStyle name="Normal 14 2 5" xfId="3070"/>
    <cellStyle name="Normal 14 2 5 2" xfId="3071"/>
    <cellStyle name="Normal 14 2 6" xfId="3072"/>
    <cellStyle name="Normal 14 2 6 2" xfId="3073"/>
    <cellStyle name="Normal 14 2 7" xfId="3074"/>
    <cellStyle name="Normal 14 2 7 2" xfId="3075"/>
    <cellStyle name="Normal 14 2 8" xfId="3076"/>
    <cellStyle name="Normal 14 2 8 2" xfId="3077"/>
    <cellStyle name="Normal 14 2 9" xfId="3078"/>
    <cellStyle name="Normal 14 2 9 2" xfId="3079"/>
    <cellStyle name="Normal 14 3" xfId="3080"/>
    <cellStyle name="Normal 14 3 2" xfId="3081"/>
    <cellStyle name="Normal 14 4" xfId="3082"/>
    <cellStyle name="Normal 14 4 2" xfId="3083"/>
    <cellStyle name="Normal 14 5" xfId="3084"/>
    <cellStyle name="Normal 14 5 2" xfId="3085"/>
    <cellStyle name="Normal 14 6" xfId="3086"/>
    <cellStyle name="Normal 14 6 2" xfId="3087"/>
    <cellStyle name="Normal 14 7" xfId="3088"/>
    <cellStyle name="Normal 14 7 2" xfId="3089"/>
    <cellStyle name="Normal 14 8" xfId="3090"/>
    <cellStyle name="Normal 14 8 2" xfId="3091"/>
    <cellStyle name="Normal 14 9" xfId="3092"/>
    <cellStyle name="Normal 14 9 2" xfId="3093"/>
    <cellStyle name="Normal 15" xfId="3094"/>
    <cellStyle name="Normal 15 10" xfId="3095"/>
    <cellStyle name="Normal 15 10 2" xfId="3096"/>
    <cellStyle name="Normal 15 11" xfId="3097"/>
    <cellStyle name="Normal 15 11 2" xfId="3098"/>
    <cellStyle name="Normal 15 12" xfId="3099"/>
    <cellStyle name="Normal 15 2" xfId="3100"/>
    <cellStyle name="Normal 15 2 10" xfId="3101"/>
    <cellStyle name="Normal 15 2 2" xfId="3102"/>
    <cellStyle name="Normal 15 2 2 2" xfId="3103"/>
    <cellStyle name="Normal 15 2 3" xfId="3104"/>
    <cellStyle name="Normal 15 2 3 2" xfId="3105"/>
    <cellStyle name="Normal 15 2 4" xfId="3106"/>
    <cellStyle name="Normal 15 2 4 2" xfId="3107"/>
    <cellStyle name="Normal 15 2 5" xfId="3108"/>
    <cellStyle name="Normal 15 2 5 2" xfId="3109"/>
    <cellStyle name="Normal 15 2 6" xfId="3110"/>
    <cellStyle name="Normal 15 2 6 2" xfId="3111"/>
    <cellStyle name="Normal 15 2 7" xfId="3112"/>
    <cellStyle name="Normal 15 2 7 2" xfId="3113"/>
    <cellStyle name="Normal 15 2 8" xfId="3114"/>
    <cellStyle name="Normal 15 2 8 2" xfId="3115"/>
    <cellStyle name="Normal 15 2 9" xfId="3116"/>
    <cellStyle name="Normal 15 2 9 2" xfId="3117"/>
    <cellStyle name="Normal 15 3" xfId="3118"/>
    <cellStyle name="Normal 15 3 2" xfId="3119"/>
    <cellStyle name="Normal 15 4" xfId="3120"/>
    <cellStyle name="Normal 15 4 2" xfId="3121"/>
    <cellStyle name="Normal 15 5" xfId="3122"/>
    <cellStyle name="Normal 15 5 2" xfId="3123"/>
    <cellStyle name="Normal 15 6" xfId="3124"/>
    <cellStyle name="Normal 15 6 2" xfId="3125"/>
    <cellStyle name="Normal 15 7" xfId="3126"/>
    <cellStyle name="Normal 15 7 2" xfId="3127"/>
    <cellStyle name="Normal 15 8" xfId="3128"/>
    <cellStyle name="Normal 15 8 2" xfId="3129"/>
    <cellStyle name="Normal 15 9" xfId="3130"/>
    <cellStyle name="Normal 15 9 2" xfId="3131"/>
    <cellStyle name="Normal 16" xfId="3132"/>
    <cellStyle name="Normal 16 10" xfId="3133"/>
    <cellStyle name="Normal 16 10 2" xfId="3134"/>
    <cellStyle name="Normal 16 11" xfId="3135"/>
    <cellStyle name="Normal 16 11 2" xfId="3136"/>
    <cellStyle name="Normal 16 12" xfId="3137"/>
    <cellStyle name="Normal 16 2" xfId="3138"/>
    <cellStyle name="Normal 16 2 10" xfId="3139"/>
    <cellStyle name="Normal 16 2 2" xfId="3140"/>
    <cellStyle name="Normal 16 2 2 2" xfId="3141"/>
    <cellStyle name="Normal 16 2 3" xfId="3142"/>
    <cellStyle name="Normal 16 2 3 2" xfId="3143"/>
    <cellStyle name="Normal 16 2 4" xfId="3144"/>
    <cellStyle name="Normal 16 2 4 2" xfId="3145"/>
    <cellStyle name="Normal 16 2 5" xfId="3146"/>
    <cellStyle name="Normal 16 2 5 2" xfId="3147"/>
    <cellStyle name="Normal 16 2 6" xfId="3148"/>
    <cellStyle name="Normal 16 2 6 2" xfId="3149"/>
    <cellStyle name="Normal 16 2 7" xfId="3150"/>
    <cellStyle name="Normal 16 2 7 2" xfId="3151"/>
    <cellStyle name="Normal 16 2 8" xfId="3152"/>
    <cellStyle name="Normal 16 2 8 2" xfId="3153"/>
    <cellStyle name="Normal 16 2 9" xfId="3154"/>
    <cellStyle name="Normal 16 2 9 2" xfId="3155"/>
    <cellStyle name="Normal 16 3" xfId="3156"/>
    <cellStyle name="Normal 16 3 2" xfId="3157"/>
    <cellStyle name="Normal 16 4" xfId="3158"/>
    <cellStyle name="Normal 16 4 2" xfId="3159"/>
    <cellStyle name="Normal 16 5" xfId="3160"/>
    <cellStyle name="Normal 16 5 2" xfId="3161"/>
    <cellStyle name="Normal 16 6" xfId="3162"/>
    <cellStyle name="Normal 16 6 2" xfId="3163"/>
    <cellStyle name="Normal 16 7" xfId="3164"/>
    <cellStyle name="Normal 16 7 2" xfId="3165"/>
    <cellStyle name="Normal 16 8" xfId="3166"/>
    <cellStyle name="Normal 16 8 2" xfId="3167"/>
    <cellStyle name="Normal 16 9" xfId="3168"/>
    <cellStyle name="Normal 16 9 2" xfId="3169"/>
    <cellStyle name="Normal 17" xfId="3170"/>
    <cellStyle name="Normal 17 10" xfId="3171"/>
    <cellStyle name="Normal 17 10 2" xfId="3172"/>
    <cellStyle name="Normal 17 11" xfId="3173"/>
    <cellStyle name="Normal 17 11 2" xfId="3174"/>
    <cellStyle name="Normal 17 12" xfId="3175"/>
    <cellStyle name="Normal 17 2" xfId="3176"/>
    <cellStyle name="Normal 17 2 10" xfId="3177"/>
    <cellStyle name="Normal 17 2 2" xfId="3178"/>
    <cellStyle name="Normal 17 2 2 2" xfId="3179"/>
    <cellStyle name="Normal 17 2 3" xfId="3180"/>
    <cellStyle name="Normal 17 2 3 2" xfId="3181"/>
    <cellStyle name="Normal 17 2 4" xfId="3182"/>
    <cellStyle name="Normal 17 2 4 2" xfId="3183"/>
    <cellStyle name="Normal 17 2 5" xfId="3184"/>
    <cellStyle name="Normal 17 2 5 2" xfId="3185"/>
    <cellStyle name="Normal 17 2 6" xfId="3186"/>
    <cellStyle name="Normal 17 2 6 2" xfId="3187"/>
    <cellStyle name="Normal 17 2 7" xfId="3188"/>
    <cellStyle name="Normal 17 2 7 2" xfId="3189"/>
    <cellStyle name="Normal 17 2 8" xfId="3190"/>
    <cellStyle name="Normal 17 2 8 2" xfId="3191"/>
    <cellStyle name="Normal 17 2 9" xfId="3192"/>
    <cellStyle name="Normal 17 2 9 2" xfId="3193"/>
    <cellStyle name="Normal 17 3" xfId="3194"/>
    <cellStyle name="Normal 17 3 2" xfId="3195"/>
    <cellStyle name="Normal 17 4" xfId="3196"/>
    <cellStyle name="Normal 17 4 2" xfId="3197"/>
    <cellStyle name="Normal 17 5" xfId="3198"/>
    <cellStyle name="Normal 17 5 2" xfId="3199"/>
    <cellStyle name="Normal 17 6" xfId="3200"/>
    <cellStyle name="Normal 17 6 2" xfId="3201"/>
    <cellStyle name="Normal 17 7" xfId="3202"/>
    <cellStyle name="Normal 17 7 2" xfId="3203"/>
    <cellStyle name="Normal 17 8" xfId="3204"/>
    <cellStyle name="Normal 17 8 2" xfId="3205"/>
    <cellStyle name="Normal 17 9" xfId="3206"/>
    <cellStyle name="Normal 17 9 2" xfId="3207"/>
    <cellStyle name="Normal 18" xfId="3208"/>
    <cellStyle name="Normal 18 10" xfId="3209"/>
    <cellStyle name="Normal 18 10 2" xfId="3210"/>
    <cellStyle name="Normal 18 11" xfId="3211"/>
    <cellStyle name="Normal 18 11 2" xfId="3212"/>
    <cellStyle name="Normal 18 12" xfId="3213"/>
    <cellStyle name="Normal 18 2" xfId="3214"/>
    <cellStyle name="Normal 18 2 10" xfId="3215"/>
    <cellStyle name="Normal 18 2 2" xfId="3216"/>
    <cellStyle name="Normal 18 2 2 2" xfId="3217"/>
    <cellStyle name="Normal 18 2 3" xfId="3218"/>
    <cellStyle name="Normal 18 2 3 2" xfId="3219"/>
    <cellStyle name="Normal 18 2 4" xfId="3220"/>
    <cellStyle name="Normal 18 2 4 2" xfId="3221"/>
    <cellStyle name="Normal 18 2 5" xfId="3222"/>
    <cellStyle name="Normal 18 2 5 2" xfId="3223"/>
    <cellStyle name="Normal 18 2 6" xfId="3224"/>
    <cellStyle name="Normal 18 2 6 2" xfId="3225"/>
    <cellStyle name="Normal 18 2 7" xfId="3226"/>
    <cellStyle name="Normal 18 2 7 2" xfId="3227"/>
    <cellStyle name="Normal 18 2 8" xfId="3228"/>
    <cellStyle name="Normal 18 2 8 2" xfId="3229"/>
    <cellStyle name="Normal 18 2 9" xfId="3230"/>
    <cellStyle name="Normal 18 2 9 2" xfId="3231"/>
    <cellStyle name="Normal 18 3" xfId="3232"/>
    <cellStyle name="Normal 18 3 2" xfId="3233"/>
    <cellStyle name="Normal 18 4" xfId="3234"/>
    <cellStyle name="Normal 18 4 2" xfId="3235"/>
    <cellStyle name="Normal 18 5" xfId="3236"/>
    <cellStyle name="Normal 18 5 2" xfId="3237"/>
    <cellStyle name="Normal 18 6" xfId="3238"/>
    <cellStyle name="Normal 18 6 2" xfId="3239"/>
    <cellStyle name="Normal 18 7" xfId="3240"/>
    <cellStyle name="Normal 18 7 2" xfId="3241"/>
    <cellStyle name="Normal 18 8" xfId="3242"/>
    <cellStyle name="Normal 18 8 2" xfId="3243"/>
    <cellStyle name="Normal 18 9" xfId="3244"/>
    <cellStyle name="Normal 18 9 2" xfId="3245"/>
    <cellStyle name="Normal 19" xfId="3246"/>
    <cellStyle name="Normal 19 10" xfId="3247"/>
    <cellStyle name="Normal 19 11" xfId="3248"/>
    <cellStyle name="Normal 19 2" xfId="3249"/>
    <cellStyle name="Normal 19 3" xfId="3250"/>
    <cellStyle name="Normal 19 4" xfId="3251"/>
    <cellStyle name="Normal 19 5" xfId="3252"/>
    <cellStyle name="Normal 19 6" xfId="3253"/>
    <cellStyle name="Normal 19 7" xfId="3254"/>
    <cellStyle name="Normal 19 8" xfId="3255"/>
    <cellStyle name="Normal 19 9" xfId="3256"/>
    <cellStyle name="Normal 2" xfId="3257"/>
    <cellStyle name="Normal 2 10" xfId="3258"/>
    <cellStyle name="Normal 2 11" xfId="3259"/>
    <cellStyle name="Normal 2 12" xfId="3260"/>
    <cellStyle name="Normal 2 13" xfId="3261"/>
    <cellStyle name="Normal 2 14" xfId="3262"/>
    <cellStyle name="Normal 2 15" xfId="3263"/>
    <cellStyle name="Normal 2 15 2" xfId="3264"/>
    <cellStyle name="Normal 2 15 2 2" xfId="3265"/>
    <cellStyle name="Normal 2 15 3" xfId="3266"/>
    <cellStyle name="Normal 2 16" xfId="3267"/>
    <cellStyle name="Normal 2 16 2" xfId="3268"/>
    <cellStyle name="Normal 2 17" xfId="3269"/>
    <cellStyle name="Normal 2 17 2" xfId="3270"/>
    <cellStyle name="Normal 2 18" xfId="3271"/>
    <cellStyle name="Normal 2 18 2" xfId="3272"/>
    <cellStyle name="Normal 2 19" xfId="3273"/>
    <cellStyle name="Normal 2 2" xfId="3274"/>
    <cellStyle name="Normal 2 2 10" xfId="3275"/>
    <cellStyle name="Normal 2 2 10 2" xfId="3276"/>
    <cellStyle name="Normal 2 2 11" xfId="3277"/>
    <cellStyle name="Normal 2 2 11 2" xfId="3278"/>
    <cellStyle name="Normal 2 2 12" xfId="3279"/>
    <cellStyle name="Normal 2 2 12 2" xfId="3280"/>
    <cellStyle name="Normal 2 2 13" xfId="3281"/>
    <cellStyle name="Normal 2 2 13 2" xfId="3282"/>
    <cellStyle name="Normal 2 2 14" xfId="3283"/>
    <cellStyle name="Normal 2 2 14 2" xfId="3284"/>
    <cellStyle name="Normal 2 2 15" xfId="3285"/>
    <cellStyle name="Normal 2 2 15 2" xfId="3286"/>
    <cellStyle name="Normal 2 2 16" xfId="3287"/>
    <cellStyle name="Normal 2 2 16 2" xfId="3288"/>
    <cellStyle name="Normal 2 2 17" xfId="3289"/>
    <cellStyle name="Normal 2 2 17 2" xfId="3290"/>
    <cellStyle name="Normal 2 2 18" xfId="3291"/>
    <cellStyle name="Normal 2 2 18 2" xfId="3292"/>
    <cellStyle name="Normal 2 2 19" xfId="3293"/>
    <cellStyle name="Normal 2 2 19 2" xfId="3294"/>
    <cellStyle name="Normal 2 2 2" xfId="3295"/>
    <cellStyle name="Normal 2 2 2 2" xfId="3296"/>
    <cellStyle name="Normal 2 2 20" xfId="3297"/>
    <cellStyle name="Normal 2 2 20 2" xfId="3298"/>
    <cellStyle name="Normal 2 2 21" xfId="3299"/>
    <cellStyle name="Normal 2 2 21 2" xfId="3300"/>
    <cellStyle name="Normal 2 2 22" xfId="3301"/>
    <cellStyle name="Normal 2 2 22 2" xfId="3302"/>
    <cellStyle name="Normal 2 2 23" xfId="3303"/>
    <cellStyle name="Normal 2 2 23 2" xfId="3304"/>
    <cellStyle name="Normal 2 2 24" xfId="3305"/>
    <cellStyle name="Normal 2 2 24 2" xfId="3306"/>
    <cellStyle name="Normal 2 2 25" xfId="3307"/>
    <cellStyle name="Normal 2 2 25 2" xfId="3308"/>
    <cellStyle name="Normal 2 2 26" xfId="3309"/>
    <cellStyle name="Normal 2 2 26 2" xfId="3310"/>
    <cellStyle name="Normal 2 2 27" xfId="3311"/>
    <cellStyle name="Normal 2 2 27 2" xfId="3312"/>
    <cellStyle name="Normal 2 2 28" xfId="3313"/>
    <cellStyle name="Normal 2 2 28 2" xfId="3314"/>
    <cellStyle name="Normal 2 2 29" xfId="3315"/>
    <cellStyle name="Normal 2 2 29 2" xfId="3316"/>
    <cellStyle name="Normal 2 2 3" xfId="3317"/>
    <cellStyle name="Normal 2 2 3 2" xfId="3318"/>
    <cellStyle name="Normal 2 2 30" xfId="3319"/>
    <cellStyle name="Normal 2 2 30 2" xfId="3320"/>
    <cellStyle name="Normal 2 2 31" xfId="3321"/>
    <cellStyle name="Normal 2 2 32" xfId="3322"/>
    <cellStyle name="Normal 2 2 4" xfId="3323"/>
    <cellStyle name="Normal 2 2 4 2" xfId="3324"/>
    <cellStyle name="Normal 2 2 4 2 2" xfId="3325"/>
    <cellStyle name="Normal 2 2 4 2 3" xfId="3326"/>
    <cellStyle name="Normal 2 2 5" xfId="3327"/>
    <cellStyle name="Normal 2 2 6" xfId="3328"/>
    <cellStyle name="Normal 2 2 7" xfId="3329"/>
    <cellStyle name="Normal 2 2 7 2" xfId="3330"/>
    <cellStyle name="Normal 2 2 8" xfId="3331"/>
    <cellStyle name="Normal 2 2 8 2" xfId="3332"/>
    <cellStyle name="Normal 2 2 9" xfId="3333"/>
    <cellStyle name="Normal 2 2 9 2" xfId="3334"/>
    <cellStyle name="Normal 2 2_EG252PL A licitação" xfId="3335"/>
    <cellStyle name="Normal 2 20" xfId="3336"/>
    <cellStyle name="Normal 2 20 2" xfId="3337"/>
    <cellStyle name="Normal 2 21" xfId="3338"/>
    <cellStyle name="Normal 2 21 2" xfId="3339"/>
    <cellStyle name="Normal 2 22" xfId="3340"/>
    <cellStyle name="Normal 2 23" xfId="3341"/>
    <cellStyle name="Normal 2 23 2" xfId="3342"/>
    <cellStyle name="Normal 2 23 2 2" xfId="3343"/>
    <cellStyle name="Normal 2 23 2 2 2" xfId="3344"/>
    <cellStyle name="Normal 2 23 3" xfId="3345"/>
    <cellStyle name="Normal 2 24" xfId="3346"/>
    <cellStyle name="Normal 2 24 2" xfId="3347"/>
    <cellStyle name="Normal 2 25" xfId="3348"/>
    <cellStyle name="Normal 2 25 2" xfId="3349"/>
    <cellStyle name="Normal 2 26" xfId="3350"/>
    <cellStyle name="Normal 2 26 10 2 2" xfId="3351"/>
    <cellStyle name="Normal 2 27" xfId="3352"/>
    <cellStyle name="Normal 2 28" xfId="3353"/>
    <cellStyle name="Normal 2 29" xfId="3354"/>
    <cellStyle name="Normal 2 3" xfId="3355"/>
    <cellStyle name="Normal 2 3 28" xfId="3356"/>
    <cellStyle name="Normal 2 30" xfId="3357"/>
    <cellStyle name="Normal 2 31" xfId="3358"/>
    <cellStyle name="Normal 2 32" xfId="3359"/>
    <cellStyle name="Normal 2 33" xfId="3360"/>
    <cellStyle name="Normal 2 34" xfId="3361"/>
    <cellStyle name="Normal 2 35" xfId="3362"/>
    <cellStyle name="Normal 2 36" xfId="3363"/>
    <cellStyle name="Normal 2 37" xfId="3364"/>
    <cellStyle name="Normal 2 38" xfId="3365"/>
    <cellStyle name="Normal 2 39" xfId="3366"/>
    <cellStyle name="Normal 2 4" xfId="3367"/>
    <cellStyle name="Normal 2 40" xfId="3368"/>
    <cellStyle name="Normal 2 41" xfId="3369"/>
    <cellStyle name="Normal 2 42" xfId="3370"/>
    <cellStyle name="Normal 2 43" xfId="3371"/>
    <cellStyle name="Normal 2 44" xfId="3372"/>
    <cellStyle name="Normal 2 45" xfId="3373"/>
    <cellStyle name="Normal 2 46" xfId="3374"/>
    <cellStyle name="Normal 2 47" xfId="3375"/>
    <cellStyle name="Normal 2 48" xfId="3376"/>
    <cellStyle name="Normal 2 49" xfId="3377"/>
    <cellStyle name="Normal 2 5" xfId="3378"/>
    <cellStyle name="Normal 2 50" xfId="3379"/>
    <cellStyle name="Normal 2 51" xfId="3380"/>
    <cellStyle name="Normal 2 52" xfId="3381"/>
    <cellStyle name="Normal 2 53" xfId="3382"/>
    <cellStyle name="Normal 2 6" xfId="3383"/>
    <cellStyle name="Normal 2 7" xfId="3384"/>
    <cellStyle name="Normal 2 8" xfId="3385"/>
    <cellStyle name="Normal 2 9" xfId="3386"/>
    <cellStyle name="Normal 2 9 2" xfId="3387"/>
    <cellStyle name="Normal 2_ANÁLISE PREGÃO 06 08" xfId="3388"/>
    <cellStyle name="Normal 20" xfId="3389"/>
    <cellStyle name="Normal 20 10" xfId="3390"/>
    <cellStyle name="Normal 20 10 2" xfId="3391"/>
    <cellStyle name="Normal 20 11" xfId="3392"/>
    <cellStyle name="Normal 20 11 2" xfId="3393"/>
    <cellStyle name="Normal 20 12" xfId="3394"/>
    <cellStyle name="Normal 20 13" xfId="3395"/>
    <cellStyle name="Normal 20 2" xfId="3396"/>
    <cellStyle name="Normal 20 2 10" xfId="3397"/>
    <cellStyle name="Normal 20 2 2" xfId="3398"/>
    <cellStyle name="Normal 20 2 2 2" xfId="3399"/>
    <cellStyle name="Normal 20 2 3" xfId="3400"/>
    <cellStyle name="Normal 20 2 3 2" xfId="3401"/>
    <cellStyle name="Normal 20 2 4" xfId="3402"/>
    <cellStyle name="Normal 20 2 4 2" xfId="3403"/>
    <cellStyle name="Normal 20 2 5" xfId="3404"/>
    <cellStyle name="Normal 20 2 5 2" xfId="3405"/>
    <cellStyle name="Normal 20 2 6" xfId="3406"/>
    <cellStyle name="Normal 20 2 6 2" xfId="3407"/>
    <cellStyle name="Normal 20 2 7" xfId="3408"/>
    <cellStyle name="Normal 20 2 7 2" xfId="3409"/>
    <cellStyle name="Normal 20 2 8" xfId="3410"/>
    <cellStyle name="Normal 20 2 8 2" xfId="3411"/>
    <cellStyle name="Normal 20 2 9" xfId="3412"/>
    <cellStyle name="Normal 20 2 9 2" xfId="3413"/>
    <cellStyle name="Normal 20 3" xfId="3414"/>
    <cellStyle name="Normal 20 3 2" xfId="3415"/>
    <cellStyle name="Normal 20 4" xfId="3416"/>
    <cellStyle name="Normal 20 4 2" xfId="3417"/>
    <cellStyle name="Normal 20 5" xfId="3418"/>
    <cellStyle name="Normal 20 5 2" xfId="3419"/>
    <cellStyle name="Normal 20 6" xfId="3420"/>
    <cellStyle name="Normal 20 6 2" xfId="3421"/>
    <cellStyle name="Normal 20 7" xfId="3422"/>
    <cellStyle name="Normal 20 7 2" xfId="3423"/>
    <cellStyle name="Normal 20 8" xfId="3424"/>
    <cellStyle name="Normal 20 8 2" xfId="3425"/>
    <cellStyle name="Normal 20 9" xfId="3426"/>
    <cellStyle name="Normal 20 9 2" xfId="3427"/>
    <cellStyle name="Normal 21" xfId="3428"/>
    <cellStyle name="Normal 21 10" xfId="3429"/>
    <cellStyle name="Normal 21 10 2" xfId="3430"/>
    <cellStyle name="Normal 21 11" xfId="3431"/>
    <cellStyle name="Normal 21 11 2" xfId="3432"/>
    <cellStyle name="Normal 21 12" xfId="3433"/>
    <cellStyle name="Normal 21 2" xfId="3434"/>
    <cellStyle name="Normal 21 2 10" xfId="3435"/>
    <cellStyle name="Normal 21 2 2" xfId="3436"/>
    <cellStyle name="Normal 21 2 2 2" xfId="3437"/>
    <cellStyle name="Normal 21 2 3" xfId="3438"/>
    <cellStyle name="Normal 21 2 3 2" xfId="3439"/>
    <cellStyle name="Normal 21 2 4" xfId="3440"/>
    <cellStyle name="Normal 21 2 4 2" xfId="3441"/>
    <cellStyle name="Normal 21 2 5" xfId="3442"/>
    <cellStyle name="Normal 21 2 5 2" xfId="3443"/>
    <cellStyle name="Normal 21 2 6" xfId="3444"/>
    <cellStyle name="Normal 21 2 6 2" xfId="3445"/>
    <cellStyle name="Normal 21 2 7" xfId="3446"/>
    <cellStyle name="Normal 21 2 7 2" xfId="3447"/>
    <cellStyle name="Normal 21 2 8" xfId="3448"/>
    <cellStyle name="Normal 21 2 8 2" xfId="3449"/>
    <cellStyle name="Normal 21 2 9" xfId="3450"/>
    <cellStyle name="Normal 21 2 9 2" xfId="3451"/>
    <cellStyle name="Normal 21 3" xfId="3452"/>
    <cellStyle name="Normal 21 3 2" xfId="3453"/>
    <cellStyle name="Normal 21 4" xfId="3454"/>
    <cellStyle name="Normal 21 4 2" xfId="3455"/>
    <cellStyle name="Normal 21 5" xfId="3456"/>
    <cellStyle name="Normal 21 5 2" xfId="3457"/>
    <cellStyle name="Normal 21 6" xfId="3458"/>
    <cellStyle name="Normal 21 6 2" xfId="3459"/>
    <cellStyle name="Normal 21 7" xfId="3460"/>
    <cellStyle name="Normal 21 7 2" xfId="3461"/>
    <cellStyle name="Normal 21 8" xfId="3462"/>
    <cellStyle name="Normal 21 8 2" xfId="3463"/>
    <cellStyle name="Normal 21 9" xfId="3464"/>
    <cellStyle name="Normal 21 9 2" xfId="3465"/>
    <cellStyle name="Normal 22" xfId="3466"/>
    <cellStyle name="Normal 22 2" xfId="3467"/>
    <cellStyle name="Normal 22 2 2" xfId="3468"/>
    <cellStyle name="Normal 22 3" xfId="3469"/>
    <cellStyle name="Normal 22 3 2" xfId="3470"/>
    <cellStyle name="Normal 22 4" xfId="3471"/>
    <cellStyle name="Normal 22 4 2" xfId="3472"/>
    <cellStyle name="Normal 22 5" xfId="3473"/>
    <cellStyle name="Normal 23" xfId="3474"/>
    <cellStyle name="Normal 23 10" xfId="3475"/>
    <cellStyle name="Normal 23 10 2" xfId="3476"/>
    <cellStyle name="Normal 23 11" xfId="3477"/>
    <cellStyle name="Normal 23 11 2" xfId="3478"/>
    <cellStyle name="Normal 23 12" xfId="3479"/>
    <cellStyle name="Normal 23 2" xfId="3480"/>
    <cellStyle name="Normal 23 2 10" xfId="3481"/>
    <cellStyle name="Normal 23 2 2" xfId="3482"/>
    <cellStyle name="Normal 23 2 2 2" xfId="3483"/>
    <cellStyle name="Normal 23 2 3" xfId="3484"/>
    <cellStyle name="Normal 23 2 3 2" xfId="3485"/>
    <cellStyle name="Normal 23 2 4" xfId="3486"/>
    <cellStyle name="Normal 23 2 4 2" xfId="3487"/>
    <cellStyle name="Normal 23 2 5" xfId="3488"/>
    <cellStyle name="Normal 23 2 5 2" xfId="3489"/>
    <cellStyle name="Normal 23 2 6" xfId="3490"/>
    <cellStyle name="Normal 23 2 6 2" xfId="3491"/>
    <cellStyle name="Normal 23 2 7" xfId="3492"/>
    <cellStyle name="Normal 23 2 7 2" xfId="3493"/>
    <cellStyle name="Normal 23 2 8" xfId="3494"/>
    <cellStyle name="Normal 23 2 8 2" xfId="3495"/>
    <cellStyle name="Normal 23 2 9" xfId="3496"/>
    <cellStyle name="Normal 23 2 9 2" xfId="3497"/>
    <cellStyle name="Normal 23 3" xfId="3498"/>
    <cellStyle name="Normal 23 3 2" xfId="3499"/>
    <cellStyle name="Normal 23 4" xfId="3500"/>
    <cellStyle name="Normal 23 4 2" xfId="3501"/>
    <cellStyle name="Normal 23 5" xfId="3502"/>
    <cellStyle name="Normal 23 5 2" xfId="3503"/>
    <cellStyle name="Normal 23 6" xfId="3504"/>
    <cellStyle name="Normal 23 6 2" xfId="3505"/>
    <cellStyle name="Normal 23 7" xfId="3506"/>
    <cellStyle name="Normal 23 7 2" xfId="3507"/>
    <cellStyle name="Normal 23 8" xfId="3508"/>
    <cellStyle name="Normal 23 8 2" xfId="3509"/>
    <cellStyle name="Normal 23 9" xfId="3510"/>
    <cellStyle name="Normal 23 9 2" xfId="3511"/>
    <cellStyle name="Normal 24" xfId="3512"/>
    <cellStyle name="Normal 24 10" xfId="3513"/>
    <cellStyle name="Normal 24 10 2" xfId="3514"/>
    <cellStyle name="Normal 24 11" xfId="3515"/>
    <cellStyle name="Normal 24 11 2" xfId="3516"/>
    <cellStyle name="Normal 24 12" xfId="3517"/>
    <cellStyle name="Normal 24 2" xfId="3518"/>
    <cellStyle name="Normal 24 2 10" xfId="3519"/>
    <cellStyle name="Normal 24 2 2" xfId="3520"/>
    <cellStyle name="Normal 24 2 2 2" xfId="3521"/>
    <cellStyle name="Normal 24 2 3" xfId="3522"/>
    <cellStyle name="Normal 24 2 3 2" xfId="3523"/>
    <cellStyle name="Normal 24 2 4" xfId="3524"/>
    <cellStyle name="Normal 24 2 4 2" xfId="3525"/>
    <cellStyle name="Normal 24 2 5" xfId="3526"/>
    <cellStyle name="Normal 24 2 5 2" xfId="3527"/>
    <cellStyle name="Normal 24 2 6" xfId="3528"/>
    <cellStyle name="Normal 24 2 6 2" xfId="3529"/>
    <cellStyle name="Normal 24 2 7" xfId="3530"/>
    <cellStyle name="Normal 24 2 7 2" xfId="3531"/>
    <cellStyle name="Normal 24 2 8" xfId="3532"/>
    <cellStyle name="Normal 24 2 8 2" xfId="3533"/>
    <cellStyle name="Normal 24 2 9" xfId="3534"/>
    <cellStyle name="Normal 24 2 9 2" xfId="3535"/>
    <cellStyle name="Normal 24 3" xfId="3536"/>
    <cellStyle name="Normal 24 3 2" xfId="3537"/>
    <cellStyle name="Normal 24 4" xfId="3538"/>
    <cellStyle name="Normal 24 4 2" xfId="3539"/>
    <cellStyle name="Normal 24 5" xfId="3540"/>
    <cellStyle name="Normal 24 5 2" xfId="3541"/>
    <cellStyle name="Normal 24 6" xfId="3542"/>
    <cellStyle name="Normal 24 6 2" xfId="3543"/>
    <cellStyle name="Normal 24 7" xfId="3544"/>
    <cellStyle name="Normal 24 7 2" xfId="3545"/>
    <cellStyle name="Normal 24 8" xfId="3546"/>
    <cellStyle name="Normal 24 8 2" xfId="3547"/>
    <cellStyle name="Normal 24 9" xfId="3548"/>
    <cellStyle name="Normal 24 9 2" xfId="3549"/>
    <cellStyle name="Normal 25" xfId="3550"/>
    <cellStyle name="Normal 25 10" xfId="3551"/>
    <cellStyle name="Normal 25 10 2" xfId="3552"/>
    <cellStyle name="Normal 25 11" xfId="3553"/>
    <cellStyle name="Normal 25 11 2" xfId="3554"/>
    <cellStyle name="Normal 25 12" xfId="3555"/>
    <cellStyle name="Normal 25 2" xfId="3556"/>
    <cellStyle name="Normal 25 2 10" xfId="3557"/>
    <cellStyle name="Normal 25 2 2" xfId="3558"/>
    <cellStyle name="Normal 25 2 2 2" xfId="3559"/>
    <cellStyle name="Normal 25 2 3" xfId="3560"/>
    <cellStyle name="Normal 25 2 3 2" xfId="3561"/>
    <cellStyle name="Normal 25 2 4" xfId="3562"/>
    <cellStyle name="Normal 25 2 4 2" xfId="3563"/>
    <cellStyle name="Normal 25 2 5" xfId="3564"/>
    <cellStyle name="Normal 25 2 5 2" xfId="3565"/>
    <cellStyle name="Normal 25 2 6" xfId="3566"/>
    <cellStyle name="Normal 25 2 6 2" xfId="3567"/>
    <cellStyle name="Normal 25 2 7" xfId="3568"/>
    <cellStyle name="Normal 25 2 7 2" xfId="3569"/>
    <cellStyle name="Normal 25 2 8" xfId="3570"/>
    <cellStyle name="Normal 25 2 8 2" xfId="3571"/>
    <cellStyle name="Normal 25 2 9" xfId="3572"/>
    <cellStyle name="Normal 25 2 9 2" xfId="3573"/>
    <cellStyle name="Normal 25 3" xfId="3574"/>
    <cellStyle name="Normal 25 3 2" xfId="3575"/>
    <cellStyle name="Normal 25 4" xfId="3576"/>
    <cellStyle name="Normal 25 4 2" xfId="3577"/>
    <cellStyle name="Normal 25 5" xfId="3578"/>
    <cellStyle name="Normal 25 5 2" xfId="3579"/>
    <cellStyle name="Normal 25 6" xfId="3580"/>
    <cellStyle name="Normal 25 6 2" xfId="3581"/>
    <cellStyle name="Normal 25 7" xfId="3582"/>
    <cellStyle name="Normal 25 7 2" xfId="3583"/>
    <cellStyle name="Normal 25 8" xfId="3584"/>
    <cellStyle name="Normal 25 8 2" xfId="3585"/>
    <cellStyle name="Normal 25 9" xfId="3586"/>
    <cellStyle name="Normal 25 9 2" xfId="3587"/>
    <cellStyle name="Normal 26" xfId="3588"/>
    <cellStyle name="Normal 26 10" xfId="3589"/>
    <cellStyle name="Normal 26 10 2" xfId="3590"/>
    <cellStyle name="Normal 26 11" xfId="3591"/>
    <cellStyle name="Normal 26 11 2" xfId="3592"/>
    <cellStyle name="Normal 26 12" xfId="3593"/>
    <cellStyle name="Normal 26 2" xfId="3594"/>
    <cellStyle name="Normal 26 2 10" xfId="3595"/>
    <cellStyle name="Normal 26 2 2" xfId="3596"/>
    <cellStyle name="Normal 26 2 2 2" xfId="3597"/>
    <cellStyle name="Normal 26 2 3" xfId="3598"/>
    <cellStyle name="Normal 26 2 3 2" xfId="3599"/>
    <cellStyle name="Normal 26 2 4" xfId="3600"/>
    <cellStyle name="Normal 26 2 4 2" xfId="3601"/>
    <cellStyle name="Normal 26 2 5" xfId="3602"/>
    <cellStyle name="Normal 26 2 5 2" xfId="3603"/>
    <cellStyle name="Normal 26 2 6" xfId="3604"/>
    <cellStyle name="Normal 26 2 6 2" xfId="3605"/>
    <cellStyle name="Normal 26 2 7" xfId="3606"/>
    <cellStyle name="Normal 26 2 7 2" xfId="3607"/>
    <cellStyle name="Normal 26 2 8" xfId="3608"/>
    <cellStyle name="Normal 26 2 8 2" xfId="3609"/>
    <cellStyle name="Normal 26 2 9" xfId="3610"/>
    <cellStyle name="Normal 26 2 9 2" xfId="3611"/>
    <cellStyle name="Normal 26 3" xfId="3612"/>
    <cellStyle name="Normal 26 3 2" xfId="3613"/>
    <cellStyle name="Normal 26 4" xfId="3614"/>
    <cellStyle name="Normal 26 4 2" xfId="3615"/>
    <cellStyle name="Normal 26 5" xfId="3616"/>
    <cellStyle name="Normal 26 5 2" xfId="3617"/>
    <cellStyle name="Normal 26 6" xfId="3618"/>
    <cellStyle name="Normal 26 6 2" xfId="3619"/>
    <cellStyle name="Normal 26 7" xfId="3620"/>
    <cellStyle name="Normal 26 7 2" xfId="3621"/>
    <cellStyle name="Normal 26 8" xfId="3622"/>
    <cellStyle name="Normal 26 8 2" xfId="3623"/>
    <cellStyle name="Normal 26 9" xfId="3624"/>
    <cellStyle name="Normal 26 9 2" xfId="3625"/>
    <cellStyle name="Normal 27" xfId="3626"/>
    <cellStyle name="Normal 27 10" xfId="3627"/>
    <cellStyle name="Normal 27 10 2" xfId="3628"/>
    <cellStyle name="Normal 27 11" xfId="3629"/>
    <cellStyle name="Normal 27 11 2" xfId="3630"/>
    <cellStyle name="Normal 27 12" xfId="3631"/>
    <cellStyle name="Normal 27 2" xfId="3632"/>
    <cellStyle name="Normal 27 2 10" xfId="3633"/>
    <cellStyle name="Normal 27 2 2" xfId="3634"/>
    <cellStyle name="Normal 27 2 2 2" xfId="3635"/>
    <cellStyle name="Normal 27 2 3" xfId="3636"/>
    <cellStyle name="Normal 27 2 3 2" xfId="3637"/>
    <cellStyle name="Normal 27 2 4" xfId="3638"/>
    <cellStyle name="Normal 27 2 4 2" xfId="3639"/>
    <cellStyle name="Normal 27 2 5" xfId="3640"/>
    <cellStyle name="Normal 27 2 5 2" xfId="3641"/>
    <cellStyle name="Normal 27 2 6" xfId="3642"/>
    <cellStyle name="Normal 27 2 6 2" xfId="3643"/>
    <cellStyle name="Normal 27 2 7" xfId="3644"/>
    <cellStyle name="Normal 27 2 7 2" xfId="3645"/>
    <cellStyle name="Normal 27 2 8" xfId="3646"/>
    <cellStyle name="Normal 27 2 8 2" xfId="3647"/>
    <cellStyle name="Normal 27 2 9" xfId="3648"/>
    <cellStyle name="Normal 27 2 9 2" xfId="3649"/>
    <cellStyle name="Normal 27 3" xfId="3650"/>
    <cellStyle name="Normal 27 3 2" xfId="3651"/>
    <cellStyle name="Normal 27 4" xfId="3652"/>
    <cellStyle name="Normal 27 4 2" xfId="3653"/>
    <cellStyle name="Normal 27 5" xfId="3654"/>
    <cellStyle name="Normal 27 5 2" xfId="3655"/>
    <cellStyle name="Normal 27 6" xfId="3656"/>
    <cellStyle name="Normal 27 6 2" xfId="3657"/>
    <cellStyle name="Normal 27 7" xfId="3658"/>
    <cellStyle name="Normal 27 7 2" xfId="3659"/>
    <cellStyle name="Normal 27 8" xfId="3660"/>
    <cellStyle name="Normal 27 8 2" xfId="3661"/>
    <cellStyle name="Normal 27 9" xfId="3662"/>
    <cellStyle name="Normal 27 9 2" xfId="3663"/>
    <cellStyle name="Normal 28" xfId="3664"/>
    <cellStyle name="Normal 28 10" xfId="3665"/>
    <cellStyle name="Normal 28 10 2" xfId="3666"/>
    <cellStyle name="Normal 28 11" xfId="3667"/>
    <cellStyle name="Normal 28 11 2" xfId="3668"/>
    <cellStyle name="Normal 28 12" xfId="3669"/>
    <cellStyle name="Normal 28 2" xfId="3670"/>
    <cellStyle name="Normal 28 2 10" xfId="3671"/>
    <cellStyle name="Normal 28 2 2" xfId="3672"/>
    <cellStyle name="Normal 28 2 2 2" xfId="3673"/>
    <cellStyle name="Normal 28 2 3" xfId="3674"/>
    <cellStyle name="Normal 28 2 3 2" xfId="3675"/>
    <cellStyle name="Normal 28 2 4" xfId="3676"/>
    <cellStyle name="Normal 28 2 4 2" xfId="3677"/>
    <cellStyle name="Normal 28 2 5" xfId="3678"/>
    <cellStyle name="Normal 28 2 5 2" xfId="3679"/>
    <cellStyle name="Normal 28 2 6" xfId="3680"/>
    <cellStyle name="Normal 28 2 6 2" xfId="3681"/>
    <cellStyle name="Normal 28 2 7" xfId="3682"/>
    <cellStyle name="Normal 28 2 7 2" xfId="3683"/>
    <cellStyle name="Normal 28 2 8" xfId="3684"/>
    <cellStyle name="Normal 28 2 8 2" xfId="3685"/>
    <cellStyle name="Normal 28 2 9" xfId="3686"/>
    <cellStyle name="Normal 28 2 9 2" xfId="3687"/>
    <cellStyle name="Normal 28 3" xfId="3688"/>
    <cellStyle name="Normal 28 3 2" xfId="3689"/>
    <cellStyle name="Normal 28 4" xfId="3690"/>
    <cellStyle name="Normal 28 4 2" xfId="3691"/>
    <cellStyle name="Normal 28 5" xfId="3692"/>
    <cellStyle name="Normal 28 5 2" xfId="3693"/>
    <cellStyle name="Normal 28 6" xfId="3694"/>
    <cellStyle name="Normal 28 6 2" xfId="3695"/>
    <cellStyle name="Normal 28 7" xfId="3696"/>
    <cellStyle name="Normal 28 7 2" xfId="3697"/>
    <cellStyle name="Normal 28 8" xfId="3698"/>
    <cellStyle name="Normal 28 8 2" xfId="3699"/>
    <cellStyle name="Normal 28 9" xfId="3700"/>
    <cellStyle name="Normal 28 9 2" xfId="3701"/>
    <cellStyle name="Normal 29" xfId="3702"/>
    <cellStyle name="Normal 29 10" xfId="3703"/>
    <cellStyle name="Normal 29 2" xfId="3704"/>
    <cellStyle name="Normal 29 2 2" xfId="3705"/>
    <cellStyle name="Normal 29 3" xfId="3706"/>
    <cellStyle name="Normal 29 3 2" xfId="3707"/>
    <cellStyle name="Normal 29 4" xfId="3708"/>
    <cellStyle name="Normal 29 4 2" xfId="3709"/>
    <cellStyle name="Normal 29 5" xfId="3710"/>
    <cellStyle name="Normal 29 5 2" xfId="3711"/>
    <cellStyle name="Normal 29 6" xfId="3712"/>
    <cellStyle name="Normal 29 6 2" xfId="3713"/>
    <cellStyle name="Normal 29 7" xfId="3714"/>
    <cellStyle name="Normal 29 7 2" xfId="3715"/>
    <cellStyle name="Normal 29 8" xfId="3716"/>
    <cellStyle name="Normal 29 8 2" xfId="3717"/>
    <cellStyle name="Normal 29 9" xfId="3718"/>
    <cellStyle name="Normal 29 9 2" xfId="3719"/>
    <cellStyle name="Normal 3" xfId="3720"/>
    <cellStyle name="Normal 3 10" xfId="3721"/>
    <cellStyle name="Normal 3 10 2" xfId="3722"/>
    <cellStyle name="Normal 3 11" xfId="3723"/>
    <cellStyle name="Normal 3 11 2" xfId="3724"/>
    <cellStyle name="Normal 3 12" xfId="3725"/>
    <cellStyle name="Normal 3 13" xfId="3726"/>
    <cellStyle name="Normal 3 14" xfId="3727"/>
    <cellStyle name="Normal 3 14 2" xfId="3728"/>
    <cellStyle name="Normal 3 15" xfId="3729"/>
    <cellStyle name="Normal 3 15 2" xfId="3730"/>
    <cellStyle name="Normal 3 16" xfId="3731"/>
    <cellStyle name="Normal 3 16 2" xfId="3732"/>
    <cellStyle name="Normal 3 17" xfId="3733"/>
    <cellStyle name="Normal 3 17 2" xfId="3734"/>
    <cellStyle name="Normal 3 18" xfId="3735"/>
    <cellStyle name="Normal 3 18 2" xfId="3736"/>
    <cellStyle name="Normal 3 19" xfId="3737"/>
    <cellStyle name="Normal 3 19 2" xfId="3738"/>
    <cellStyle name="Normal 3 2" xfId="3739"/>
    <cellStyle name="Normal 3 2 10" xfId="3740"/>
    <cellStyle name="Normal 3 2 2" xfId="3741"/>
    <cellStyle name="Normal 3 2 2 2" xfId="3742"/>
    <cellStyle name="Normal 3 2 2 2 2" xfId="3743"/>
    <cellStyle name="Normal 3 2 2 3" xfId="3744"/>
    <cellStyle name="Normal 3 2 2 4" xfId="3745"/>
    <cellStyle name="Normal 3 2 2 5" xfId="3746"/>
    <cellStyle name="Normal 3 2 2 6" xfId="3747"/>
    <cellStyle name="Normal 3 2 3" xfId="3748"/>
    <cellStyle name="Normal 3 2 3 2" xfId="3749"/>
    <cellStyle name="Normal 3 2 4" xfId="3750"/>
    <cellStyle name="Normal 3 2 4 2" xfId="3751"/>
    <cellStyle name="Normal 3 2 5" xfId="3752"/>
    <cellStyle name="Normal 3 2 5 2" xfId="3753"/>
    <cellStyle name="Normal 3 2 6" xfId="3754"/>
    <cellStyle name="Normal 3 2 6 2" xfId="3755"/>
    <cellStyle name="Normal 3 2 7" xfId="3756"/>
    <cellStyle name="Normal 3 2 7 2" xfId="3757"/>
    <cellStyle name="Normal 3 2 8" xfId="3758"/>
    <cellStyle name="Normal 3 2 8 2" xfId="3759"/>
    <cellStyle name="Normal 3 2 9" xfId="3760"/>
    <cellStyle name="Normal 3 2 9 2" xfId="3761"/>
    <cellStyle name="Normal 3 20" xfId="3762"/>
    <cellStyle name="Normal 3 20 2" xfId="3763"/>
    <cellStyle name="Normal 3 21" xfId="3764"/>
    <cellStyle name="Normal 3 21 2" xfId="3765"/>
    <cellStyle name="Normal 3 22" xfId="3766"/>
    <cellStyle name="Normal 3 22 2" xfId="3767"/>
    <cellStyle name="Normal 3 23" xfId="3768"/>
    <cellStyle name="Normal 3 23 2" xfId="3769"/>
    <cellStyle name="Normal 3 24" xfId="3770"/>
    <cellStyle name="Normal 3 24 2" xfId="3771"/>
    <cellStyle name="Normal 3 25" xfId="3772"/>
    <cellStyle name="Normal 3 25 2" xfId="3773"/>
    <cellStyle name="Normal 3 26" xfId="3774"/>
    <cellStyle name="Normal 3 26 2" xfId="3775"/>
    <cellStyle name="Normal 3 27" xfId="3776"/>
    <cellStyle name="Normal 3 27 2" xfId="3777"/>
    <cellStyle name="Normal 3 28" xfId="3778"/>
    <cellStyle name="Normal 3 28 2" xfId="3779"/>
    <cellStyle name="Normal 3 29" xfId="3780"/>
    <cellStyle name="Normal 3 29 2" xfId="3781"/>
    <cellStyle name="Normal 3 3" xfId="3782"/>
    <cellStyle name="Normal 3 3 2" xfId="3783"/>
    <cellStyle name="Normal 3 30" xfId="3784"/>
    <cellStyle name="Normal 3 30 2" xfId="3785"/>
    <cellStyle name="Normal 3 31" xfId="3786"/>
    <cellStyle name="Normal 3 31 2" xfId="3787"/>
    <cellStyle name="Normal 3 32" xfId="3788"/>
    <cellStyle name="Normal 3 32 2" xfId="3789"/>
    <cellStyle name="Normal 3 33" xfId="3790"/>
    <cellStyle name="Normal 3 33 2" xfId="3791"/>
    <cellStyle name="Normal 3 34" xfId="3792"/>
    <cellStyle name="Normal 3 34 2" xfId="3793"/>
    <cellStyle name="Normal 3 35" xfId="3794"/>
    <cellStyle name="Normal 3 35 2" xfId="3795"/>
    <cellStyle name="Normal 3 36" xfId="3796"/>
    <cellStyle name="Normal 3 36 2" xfId="3797"/>
    <cellStyle name="Normal 3 37" xfId="3798"/>
    <cellStyle name="Normal 3 37 2" xfId="3799"/>
    <cellStyle name="Normal 3 38" xfId="3800"/>
    <cellStyle name="Normal 3 38 2" xfId="3801"/>
    <cellStyle name="Normal 3 39" xfId="3802"/>
    <cellStyle name="Normal 3 39 2" xfId="3803"/>
    <cellStyle name="Normal 3 4" xfId="3804"/>
    <cellStyle name="Normal 3 4 2" xfId="3805"/>
    <cellStyle name="Normal 3 40" xfId="3806"/>
    <cellStyle name="Normal 3 40 2" xfId="3807"/>
    <cellStyle name="Normal 3 41" xfId="3808"/>
    <cellStyle name="Normal 3 41 2" xfId="3809"/>
    <cellStyle name="Normal 3 42" xfId="3810"/>
    <cellStyle name="Normal 3 42 2" xfId="3811"/>
    <cellStyle name="Normal 3 43" xfId="3812"/>
    <cellStyle name="Normal 3 43 2" xfId="3813"/>
    <cellStyle name="Normal 3 44" xfId="3814"/>
    <cellStyle name="Normal 3 44 2" xfId="3815"/>
    <cellStyle name="Normal 3 45" xfId="3816"/>
    <cellStyle name="Normal 3 46" xfId="3817"/>
    <cellStyle name="Normal 3 47" xfId="3818"/>
    <cellStyle name="Normal 3 48" xfId="3819"/>
    <cellStyle name="Normal 3 49" xfId="3820"/>
    <cellStyle name="Normal 3 5" xfId="3821"/>
    <cellStyle name="Normal 3 5 2" xfId="3822"/>
    <cellStyle name="Normal 3 50" xfId="3823"/>
    <cellStyle name="Normal 3 51" xfId="3824"/>
    <cellStyle name="Normal 3 6" xfId="3825"/>
    <cellStyle name="Normal 3 6 2" xfId="3826"/>
    <cellStyle name="Normal 3 7" xfId="3827"/>
    <cellStyle name="Normal 3 7 2" xfId="3828"/>
    <cellStyle name="Normal 3 8" xfId="3829"/>
    <cellStyle name="Normal 3 8 2" xfId="3830"/>
    <cellStyle name="Normal 3 9" xfId="3831"/>
    <cellStyle name="Normal 3 9 2" xfId="3832"/>
    <cellStyle name="Normal 30" xfId="3833"/>
    <cellStyle name="Normal 31" xfId="3834"/>
    <cellStyle name="Normal 31 10" xfId="3835"/>
    <cellStyle name="Normal 31 2" xfId="3836"/>
    <cellStyle name="Normal 31 2 2" xfId="3837"/>
    <cellStyle name="Normal 31 3" xfId="3838"/>
    <cellStyle name="Normal 31 3 2" xfId="3839"/>
    <cellStyle name="Normal 31 4" xfId="3840"/>
    <cellStyle name="Normal 31 4 2" xfId="3841"/>
    <cellStyle name="Normal 31 5" xfId="3842"/>
    <cellStyle name="Normal 31 5 2" xfId="3843"/>
    <cellStyle name="Normal 31 6" xfId="3844"/>
    <cellStyle name="Normal 31 6 2" xfId="3845"/>
    <cellStyle name="Normal 31 7" xfId="3846"/>
    <cellStyle name="Normal 31 7 2" xfId="3847"/>
    <cellStyle name="Normal 31 8" xfId="3848"/>
    <cellStyle name="Normal 31 8 2" xfId="3849"/>
    <cellStyle name="Normal 31 9" xfId="3850"/>
    <cellStyle name="Normal 31 9 2" xfId="3851"/>
    <cellStyle name="Normal 32" xfId="3852"/>
    <cellStyle name="Normal 32 2" xfId="3853"/>
    <cellStyle name="Normal 32 2 2" xfId="3854"/>
    <cellStyle name="Normal 32 3" xfId="3855"/>
    <cellStyle name="Normal 32 3 2" xfId="3856"/>
    <cellStyle name="Normal 32 4" xfId="3857"/>
    <cellStyle name="Normal 32 4 2" xfId="3858"/>
    <cellStyle name="Normal 32 5" xfId="3859"/>
    <cellStyle name="Normal 32 5 2" xfId="3860"/>
    <cellStyle name="Normal 32 6" xfId="3861"/>
    <cellStyle name="Normal 32 6 2" xfId="3862"/>
    <cellStyle name="Normal 32 7" xfId="3863"/>
    <cellStyle name="Normal 32 7 2" xfId="3864"/>
    <cellStyle name="Normal 32 8" xfId="3865"/>
    <cellStyle name="Normal 32 8 2" xfId="3866"/>
    <cellStyle name="Normal 32 9" xfId="3867"/>
    <cellStyle name="Normal 33" xfId="3868"/>
    <cellStyle name="Normal 33 2" xfId="3869"/>
    <cellStyle name="Normal 33 2 2" xfId="3870"/>
    <cellStyle name="Normal 33 3" xfId="3871"/>
    <cellStyle name="Normal 33 3 2" xfId="3872"/>
    <cellStyle name="Normal 33 4" xfId="3873"/>
    <cellStyle name="Normal 33 4 2" xfId="3874"/>
    <cellStyle name="Normal 33 5" xfId="3875"/>
    <cellStyle name="Normal 33 5 2" xfId="3876"/>
    <cellStyle name="Normal 33 6" xfId="3877"/>
    <cellStyle name="Normal 33 6 2" xfId="3878"/>
    <cellStyle name="Normal 33 7" xfId="3879"/>
    <cellStyle name="Normal 33 7 2" xfId="3880"/>
    <cellStyle name="Normal 33 8" xfId="3881"/>
    <cellStyle name="Normal 34" xfId="3882"/>
    <cellStyle name="Normal 34 10" xfId="3883"/>
    <cellStyle name="Normal 34 11" xfId="3884"/>
    <cellStyle name="Normal 34 2" xfId="3885"/>
    <cellStyle name="Normal 34 2 2" xfId="3886"/>
    <cellStyle name="Normal 34 2 2 2" xfId="3887"/>
    <cellStyle name="Normal 34 2 2 2 2" xfId="3888"/>
    <cellStyle name="Normal 34 2 2 2 2 2" xfId="3889"/>
    <cellStyle name="Normal 34 2 2 2 2 2 2" xfId="3890"/>
    <cellStyle name="Normal 34 2 2 2 2 2 3" xfId="3891"/>
    <cellStyle name="Normal 34 2 2 2 2 2 4" xfId="3892"/>
    <cellStyle name="Normal 34 2 2 2 2 3" xfId="3893"/>
    <cellStyle name="Normal 34 2 2 2 2 4" xfId="3894"/>
    <cellStyle name="Normal 34 2 2 2 2 4 2" xfId="3895"/>
    <cellStyle name="Normal 34 2 2 2 3" xfId="3896"/>
    <cellStyle name="Normal 34 2 2 2 3 2" xfId="3897"/>
    <cellStyle name="Normal 34 2 2 2 3 2 2" xfId="3898"/>
    <cellStyle name="Normal 34 2 2 2 3 3" xfId="3899"/>
    <cellStyle name="Normal 34 2 2 2 3 3 2" xfId="3900"/>
    <cellStyle name="Normal 34 2 2 2 4" xfId="3901"/>
    <cellStyle name="Normal 34 2 2 2 5" xfId="3902"/>
    <cellStyle name="Normal 34 2 2 3" xfId="3903"/>
    <cellStyle name="Normal 34 2 2 4" xfId="3904"/>
    <cellStyle name="Normal 34 2 2 5" xfId="3905"/>
    <cellStyle name="Normal 34 2 2 5 2" xfId="3906"/>
    <cellStyle name="Normal 34 2 2 5 3" xfId="3907"/>
    <cellStyle name="Normal 34 2 2 5 4" xfId="3908"/>
    <cellStyle name="Normal 34 2 2 6" xfId="3909"/>
    <cellStyle name="Normal 34 2 2 7" xfId="3910"/>
    <cellStyle name="Normal 34 2 2 7 2" xfId="3911"/>
    <cellStyle name="Normal 34 2 3" xfId="3912"/>
    <cellStyle name="Normal 34 2 3 2" xfId="3913"/>
    <cellStyle name="Normal 34 2 3 2 2" xfId="3914"/>
    <cellStyle name="Normal 34 2 3 2 2 2" xfId="3915"/>
    <cellStyle name="Normal 34 2 3 2 2 2 2" xfId="3916"/>
    <cellStyle name="Normal 34 2 3 2 2 3" xfId="3917"/>
    <cellStyle name="Normal 34 2 3 2 2 3 2" xfId="3918"/>
    <cellStyle name="Normal 34 2 3 2 3" xfId="3919"/>
    <cellStyle name="Normal 34 2 3 2 3 2" xfId="3920"/>
    <cellStyle name="Normal 34 2 3 2 4" xfId="3921"/>
    <cellStyle name="Normal 34 2 3 2 5" xfId="3922"/>
    <cellStyle name="Normal 34 2 3 3" xfId="3923"/>
    <cellStyle name="Normal 34 2 3 3 2" xfId="3924"/>
    <cellStyle name="Normal 34 2 3 3 3" xfId="3925"/>
    <cellStyle name="Normal 34 2 3 3 4" xfId="3926"/>
    <cellStyle name="Normal 34 2 3 4" xfId="3927"/>
    <cellStyle name="Normal 34 2 3 4 2" xfId="3928"/>
    <cellStyle name="Normal 34 2 4" xfId="3929"/>
    <cellStyle name="Normal 34 2 4 2" xfId="3930"/>
    <cellStyle name="Normal 34 2 5" xfId="3931"/>
    <cellStyle name="Normal 34 2 5 2" xfId="3932"/>
    <cellStyle name="Normal 34 2 5 2 2" xfId="3933"/>
    <cellStyle name="Normal 34 2 5 3" xfId="3934"/>
    <cellStyle name="Normal 34 2 5 3 2" xfId="3935"/>
    <cellStyle name="Normal 34 2 6" xfId="3936"/>
    <cellStyle name="Normal 34 2 6 2" xfId="3937"/>
    <cellStyle name="Normal 34 2 7" xfId="3938"/>
    <cellStyle name="Normal 34 2 8" xfId="3939"/>
    <cellStyle name="Normal 34 3" xfId="3940"/>
    <cellStyle name="Normal 34 3 2" xfId="3941"/>
    <cellStyle name="Normal 34 3 2 2" xfId="3942"/>
    <cellStyle name="Normal 34 3 2 2 2" xfId="3943"/>
    <cellStyle name="Normal 34 3 2 2 3" xfId="3944"/>
    <cellStyle name="Normal 34 3 2 2 4" xfId="3945"/>
    <cellStyle name="Normal 34 3 2 3" xfId="3946"/>
    <cellStyle name="Normal 34 3 2 4" xfId="3947"/>
    <cellStyle name="Normal 34 3 2 4 2" xfId="3948"/>
    <cellStyle name="Normal 34 3 3" xfId="3949"/>
    <cellStyle name="Normal 34 3 3 2" xfId="3950"/>
    <cellStyle name="Normal 34 3 3 2 2" xfId="3951"/>
    <cellStyle name="Normal 34 3 3 3" xfId="3952"/>
    <cellStyle name="Normal 34 3 3 3 2" xfId="3953"/>
    <cellStyle name="Normal 34 3 4" xfId="3954"/>
    <cellStyle name="Normal 34 3 5" xfId="3955"/>
    <cellStyle name="Normal 34 4" xfId="3956"/>
    <cellStyle name="Normal 34 5" xfId="3957"/>
    <cellStyle name="Normal 34 6" xfId="3958"/>
    <cellStyle name="Normal 34 6 2" xfId="3959"/>
    <cellStyle name="Normal 34 6 3" xfId="3960"/>
    <cellStyle name="Normal 34 6 4" xfId="3961"/>
    <cellStyle name="Normal 34 7" xfId="3962"/>
    <cellStyle name="Normal 34 8" xfId="3963"/>
    <cellStyle name="Normal 34 8 2" xfId="3964"/>
    <cellStyle name="Normal 34 9" xfId="3965"/>
    <cellStyle name="Normal 35" xfId="3966"/>
    <cellStyle name="Normal 35 2" xfId="3967"/>
    <cellStyle name="Normal 35 3" xfId="3968"/>
    <cellStyle name="Normal 35 4" xfId="3969"/>
    <cellStyle name="Normal 35 5" xfId="3970"/>
    <cellStyle name="Normal 35 6" xfId="3971"/>
    <cellStyle name="Normal 35 7" xfId="3972"/>
    <cellStyle name="Normal 35 8" xfId="3973"/>
    <cellStyle name="Normal 36" xfId="3974"/>
    <cellStyle name="Normal 36 2" xfId="3975"/>
    <cellStyle name="Normal 36 3" xfId="3976"/>
    <cellStyle name="Normal 36 4" xfId="3977"/>
    <cellStyle name="Normal 36 5" xfId="3978"/>
    <cellStyle name="Normal 36 6" xfId="3979"/>
    <cellStyle name="Normal 36 7" xfId="3980"/>
    <cellStyle name="Normal 36 8" xfId="3981"/>
    <cellStyle name="Normal 36 9" xfId="3982"/>
    <cellStyle name="Normal 37" xfId="3983"/>
    <cellStyle name="Normal 37 2" xfId="3984"/>
    <cellStyle name="Normal 37 3" xfId="3985"/>
    <cellStyle name="Normal 37 4" xfId="3986"/>
    <cellStyle name="Normal 37 5" xfId="3987"/>
    <cellStyle name="Normal 37 6" xfId="3988"/>
    <cellStyle name="Normal 37 7" xfId="3989"/>
    <cellStyle name="Normal 37 8" xfId="3990"/>
    <cellStyle name="Normal 38" xfId="3991"/>
    <cellStyle name="Normal 38 10" xfId="3992"/>
    <cellStyle name="Normal 38 2" xfId="3993"/>
    <cellStyle name="Normal 38 2 2" xfId="3994"/>
    <cellStyle name="Normal 38 2 2 2" xfId="3995"/>
    <cellStyle name="Normal 38 2 2 2 2" xfId="3996"/>
    <cellStyle name="Normal 38 2 2 2 3" xfId="3997"/>
    <cellStyle name="Normal 38 2 2 2 4" xfId="3998"/>
    <cellStyle name="Normal 38 2 2 3" xfId="3999"/>
    <cellStyle name="Normal 38 2 2 4" xfId="4000"/>
    <cellStyle name="Normal 38 2 2 4 2" xfId="4001"/>
    <cellStyle name="Normal 38 2 3" xfId="4002"/>
    <cellStyle name="Normal 38 2 3 2" xfId="4003"/>
    <cellStyle name="Normal 38 2 3 2 2" xfId="4004"/>
    <cellStyle name="Normal 38 2 3 3" xfId="4005"/>
    <cellStyle name="Normal 38 2 3 3 2" xfId="4006"/>
    <cellStyle name="Normal 38 2 4" xfId="4007"/>
    <cellStyle name="Normal 38 2 5" xfId="4008"/>
    <cellStyle name="Normal 38 3" xfId="4009"/>
    <cellStyle name="Normal 38 4" xfId="4010"/>
    <cellStyle name="Normal 38 5" xfId="4011"/>
    <cellStyle name="Normal 38 5 2" xfId="4012"/>
    <cellStyle name="Normal 38 5 3" xfId="4013"/>
    <cellStyle name="Normal 38 5 4" xfId="4014"/>
    <cellStyle name="Normal 38 6" xfId="4015"/>
    <cellStyle name="Normal 38 7" xfId="4016"/>
    <cellStyle name="Normal 38 7 2" xfId="4017"/>
    <cellStyle name="Normal 38 8" xfId="4018"/>
    <cellStyle name="Normal 38 9" xfId="4019"/>
    <cellStyle name="Normal 39" xfId="4020"/>
    <cellStyle name="Normal 39 2" xfId="4021"/>
    <cellStyle name="Normal 39 2 2" xfId="4022"/>
    <cellStyle name="Normal 39 3" xfId="4023"/>
    <cellStyle name="Normal 39 3 2" xfId="4024"/>
    <cellStyle name="Normal 39 4" xfId="4025"/>
    <cellStyle name="Normal 39 4 2" xfId="4026"/>
    <cellStyle name="Normal 39 5" xfId="4027"/>
    <cellStyle name="Normal 39 5 2" xfId="4028"/>
    <cellStyle name="Normal 39 6" xfId="4029"/>
    <cellStyle name="Normal 39 6 2" xfId="4030"/>
    <cellStyle name="Normal 39 7" xfId="4031"/>
    <cellStyle name="Normal 39 7 2" xfId="4032"/>
    <cellStyle name="Normal 39 8" xfId="4033"/>
    <cellStyle name="Normal 39 8 2" xfId="4034"/>
    <cellStyle name="Normal 39 9" xfId="4035"/>
    <cellStyle name="Normal 39 9 2" xfId="4036"/>
    <cellStyle name="Normal 4" xfId="4037"/>
    <cellStyle name="Normal 4 10" xfId="4038"/>
    <cellStyle name="Normal 4 2" xfId="4039"/>
    <cellStyle name="Normal 4 2 2" xfId="4040"/>
    <cellStyle name="Normal 4 2 2 2" xfId="4041"/>
    <cellStyle name="Normal 4 2 3" xfId="4042"/>
    <cellStyle name="Normal 4 2 4" xfId="4043"/>
    <cellStyle name="Normal 4 2 5" xfId="4044"/>
    <cellStyle name="Normal 4 2 6" xfId="4045"/>
    <cellStyle name="Normal 4 3" xfId="4046"/>
    <cellStyle name="Normal 4 3 2" xfId="4047"/>
    <cellStyle name="Normal 4 3 2 2" xfId="4048"/>
    <cellStyle name="Normal 4 3 3" xfId="4049"/>
    <cellStyle name="Normal 4 3 4" xfId="4050"/>
    <cellStyle name="Normal 4 3 5" xfId="4051"/>
    <cellStyle name="Normal 4 3 6" xfId="4052"/>
    <cellStyle name="Normal 4 4" xfId="4053"/>
    <cellStyle name="Normal 4 4 2" xfId="4054"/>
    <cellStyle name="Normal 4 4 3" xfId="4055"/>
    <cellStyle name="Normal 4 4 4" xfId="4056"/>
    <cellStyle name="Normal 4 4 5" xfId="4057"/>
    <cellStyle name="Normal 4 4 6" xfId="4058"/>
    <cellStyle name="Normal 4 5" xfId="4059"/>
    <cellStyle name="Normal 4 5 2" xfId="4060"/>
    <cellStyle name="Normal 4 6" xfId="4061"/>
    <cellStyle name="Normal 4 6 2" xfId="4062"/>
    <cellStyle name="Normal 4 7" xfId="4063"/>
    <cellStyle name="Normal 4 7 2" xfId="4064"/>
    <cellStyle name="Normal 4 8" xfId="4065"/>
    <cellStyle name="Normal 4 9" xfId="4066"/>
    <cellStyle name="Normal 40" xfId="4067"/>
    <cellStyle name="Normal 40 2" xfId="4068"/>
    <cellStyle name="Normal 40 2 2" xfId="4069"/>
    <cellStyle name="Normal 40 3" xfId="4070"/>
    <cellStyle name="Normal 40 3 2" xfId="4071"/>
    <cellStyle name="Normal 40 4" xfId="4072"/>
    <cellStyle name="Normal 41" xfId="4073"/>
    <cellStyle name="Normal 41 2" xfId="4074"/>
    <cellStyle name="Normal 41 2 2" xfId="4075"/>
    <cellStyle name="Normal 41 3" xfId="4076"/>
    <cellStyle name="Normal 41 3 2" xfId="4077"/>
    <cellStyle name="Normal 41 4" xfId="4078"/>
    <cellStyle name="Normal 41 4 2" xfId="4079"/>
    <cellStyle name="Normal 41 5" xfId="4080"/>
    <cellStyle name="Normal 41 5 2" xfId="4081"/>
    <cellStyle name="Normal 41 6" xfId="4082"/>
    <cellStyle name="Normal 41 6 2" xfId="4083"/>
    <cellStyle name="Normal 41 7" xfId="4084"/>
    <cellStyle name="Normal 41 7 2" xfId="4085"/>
    <cellStyle name="Normal 41 8" xfId="4086"/>
    <cellStyle name="Normal 41 8 2" xfId="4087"/>
    <cellStyle name="Normal 42" xfId="4088"/>
    <cellStyle name="Normal 42 2" xfId="4089"/>
    <cellStyle name="Normal 43" xfId="4090"/>
    <cellStyle name="Normal 43 2" xfId="4091"/>
    <cellStyle name="Normal 43 2 2" xfId="4092"/>
    <cellStyle name="Normal 43 3" xfId="4093"/>
    <cellStyle name="Normal 43 3 2" xfId="4094"/>
    <cellStyle name="Normal 44" xfId="4095"/>
    <cellStyle name="Normal 44 10" xfId="4096"/>
    <cellStyle name="Normal 44 11" xfId="4097"/>
    <cellStyle name="Normal 44 12" xfId="4098"/>
    <cellStyle name="Normal 44 13" xfId="4099"/>
    <cellStyle name="Normal 44 2" xfId="4100"/>
    <cellStyle name="Normal 44 3" xfId="4101"/>
    <cellStyle name="Normal 44 4" xfId="4102"/>
    <cellStyle name="Normal 44 5" xfId="4103"/>
    <cellStyle name="Normal 44 6" xfId="4104"/>
    <cellStyle name="Normal 44 7" xfId="4105"/>
    <cellStyle name="Normal 44 8" xfId="4106"/>
    <cellStyle name="Normal 44 9" xfId="4107"/>
    <cellStyle name="Normal 45" xfId="4108"/>
    <cellStyle name="Normal 45 10" xfId="4109"/>
    <cellStyle name="Normal 45 11" xfId="4110"/>
    <cellStyle name="Normal 45 12" xfId="4111"/>
    <cellStyle name="Normal 45 13" xfId="4112"/>
    <cellStyle name="Normal 45 2" xfId="4113"/>
    <cellStyle name="Normal 45 3" xfId="4114"/>
    <cellStyle name="Normal 45 4" xfId="4115"/>
    <cellStyle name="Normal 45 5" xfId="4116"/>
    <cellStyle name="Normal 45 6" xfId="4117"/>
    <cellStyle name="Normal 45 7" xfId="4118"/>
    <cellStyle name="Normal 45 8" xfId="4119"/>
    <cellStyle name="Normal 45 9" xfId="4120"/>
    <cellStyle name="Normal 46" xfId="4121"/>
    <cellStyle name="Normal 46 10" xfId="4122"/>
    <cellStyle name="Normal 46 10 2" xfId="4123"/>
    <cellStyle name="Normal 46 11" xfId="4124"/>
    <cellStyle name="Normal 46 11 2" xfId="4125"/>
    <cellStyle name="Normal 46 12" xfId="4126"/>
    <cellStyle name="Normal 46 12 2" xfId="4127"/>
    <cellStyle name="Normal 46 13" xfId="4128"/>
    <cellStyle name="Normal 46 13 2" xfId="4129"/>
    <cellStyle name="Normal 46 14" xfId="4130"/>
    <cellStyle name="Normal 46 2" xfId="4131"/>
    <cellStyle name="Normal 46 2 2" xfId="4132"/>
    <cellStyle name="Normal 46 3" xfId="4133"/>
    <cellStyle name="Normal 46 3 2" xfId="4134"/>
    <cellStyle name="Normal 46 4" xfId="4135"/>
    <cellStyle name="Normal 46 4 2" xfId="4136"/>
    <cellStyle name="Normal 46 5" xfId="4137"/>
    <cellStyle name="Normal 46 5 2" xfId="4138"/>
    <cellStyle name="Normal 46 6" xfId="4139"/>
    <cellStyle name="Normal 46 6 2" xfId="4140"/>
    <cellStyle name="Normal 46 7" xfId="4141"/>
    <cellStyle name="Normal 46 7 2" xfId="4142"/>
    <cellStyle name="Normal 46 8" xfId="4143"/>
    <cellStyle name="Normal 46 8 2" xfId="4144"/>
    <cellStyle name="Normal 46 9" xfId="4145"/>
    <cellStyle name="Normal 46 9 2" xfId="4146"/>
    <cellStyle name="Normal 47" xfId="4147"/>
    <cellStyle name="Normal 47 2" xfId="4148"/>
    <cellStyle name="Normal 47 2 2" xfId="4149"/>
    <cellStyle name="Normal 48" xfId="4150"/>
    <cellStyle name="Normal 48 2" xfId="4151"/>
    <cellStyle name="Normal 49" xfId="4152"/>
    <cellStyle name="Normal 49 2" xfId="4153"/>
    <cellStyle name="Normal 5" xfId="4154"/>
    <cellStyle name="Normal 5 10" xfId="4155"/>
    <cellStyle name="Normal 5 10 10" xfId="4156"/>
    <cellStyle name="Normal 5 10 11" xfId="4157"/>
    <cellStyle name="Normal 5 10 12" xfId="4158"/>
    <cellStyle name="Normal 5 10 13" xfId="4159"/>
    <cellStyle name="Normal 5 10 14" xfId="4160"/>
    <cellStyle name="Normal 5 10 2" xfId="4161"/>
    <cellStyle name="Normal 5 10 2 2" xfId="4162"/>
    <cellStyle name="Normal 5 10 3" xfId="4163"/>
    <cellStyle name="Normal 5 10 3 2" xfId="4164"/>
    <cellStyle name="Normal 5 10 4" xfId="4165"/>
    <cellStyle name="Normal 5 10 5" xfId="4166"/>
    <cellStyle name="Normal 5 10 6" xfId="4167"/>
    <cellStyle name="Normal 5 10 7" xfId="4168"/>
    <cellStyle name="Normal 5 10 8" xfId="4169"/>
    <cellStyle name="Normal 5 10 9" xfId="4170"/>
    <cellStyle name="Normal 5 11" xfId="4171"/>
    <cellStyle name="Normal 5 11 10" xfId="4172"/>
    <cellStyle name="Normal 5 11 11" xfId="4173"/>
    <cellStyle name="Normal 5 11 12" xfId="4174"/>
    <cellStyle name="Normal 5 11 13" xfId="4175"/>
    <cellStyle name="Normal 5 11 2" xfId="4176"/>
    <cellStyle name="Normal 5 11 3" xfId="4177"/>
    <cellStyle name="Normal 5 11 4" xfId="4178"/>
    <cellStyle name="Normal 5 11 5" xfId="4179"/>
    <cellStyle name="Normal 5 11 6" xfId="4180"/>
    <cellStyle name="Normal 5 11 7" xfId="4181"/>
    <cellStyle name="Normal 5 11 8" xfId="4182"/>
    <cellStyle name="Normal 5 11 9" xfId="4183"/>
    <cellStyle name="Normal 5 12" xfId="4184"/>
    <cellStyle name="Normal 5 12 10" xfId="4185"/>
    <cellStyle name="Normal 5 12 11" xfId="4186"/>
    <cellStyle name="Normal 5 12 12" xfId="4187"/>
    <cellStyle name="Normal 5 12 13" xfId="4188"/>
    <cellStyle name="Normal 5 12 2" xfId="4189"/>
    <cellStyle name="Normal 5 12 3" xfId="4190"/>
    <cellStyle name="Normal 5 12 4" xfId="4191"/>
    <cellStyle name="Normal 5 12 5" xfId="4192"/>
    <cellStyle name="Normal 5 12 6" xfId="4193"/>
    <cellStyle name="Normal 5 12 7" xfId="4194"/>
    <cellStyle name="Normal 5 12 8" xfId="4195"/>
    <cellStyle name="Normal 5 12 9" xfId="4196"/>
    <cellStyle name="Normal 5 13" xfId="4197"/>
    <cellStyle name="Normal 5 14" xfId="4198"/>
    <cellStyle name="Normal 5 15" xfId="4199"/>
    <cellStyle name="Normal 5 16" xfId="4200"/>
    <cellStyle name="Normal 5 17" xfId="4201"/>
    <cellStyle name="Normal 5 18" xfId="4202"/>
    <cellStyle name="Normal 5 19" xfId="4203"/>
    <cellStyle name="Normal 5 2" xfId="4204"/>
    <cellStyle name="Normal 5 2 2" xfId="4205"/>
    <cellStyle name="Normal 5 2 3" xfId="4206"/>
    <cellStyle name="Normal 5 20" xfId="4207"/>
    <cellStyle name="Normal 5 21" xfId="4208"/>
    <cellStyle name="Normal 5 22" xfId="4209"/>
    <cellStyle name="Normal 5 23" xfId="4210"/>
    <cellStyle name="Normal 5 24" xfId="4211"/>
    <cellStyle name="Normal 5 25" xfId="4212"/>
    <cellStyle name="Normal 5 26" xfId="4213"/>
    <cellStyle name="Normal 5 27" xfId="4214"/>
    <cellStyle name="Normal 5 28" xfId="4215"/>
    <cellStyle name="Normal 5 29" xfId="4216"/>
    <cellStyle name="Normal 5 3" xfId="4217"/>
    <cellStyle name="Normal 5 30" xfId="4218"/>
    <cellStyle name="Normal 5 31" xfId="4219"/>
    <cellStyle name="Normal 5 32" xfId="4220"/>
    <cellStyle name="Normal 5 33" xfId="4221"/>
    <cellStyle name="Normal 5 34" xfId="4222"/>
    <cellStyle name="Normal 5 35" xfId="4223"/>
    <cellStyle name="Normal 5 36" xfId="4224"/>
    <cellStyle name="Normal 5 37" xfId="4225"/>
    <cellStyle name="Normal 5 38" xfId="4226"/>
    <cellStyle name="Normal 5 39" xfId="4227"/>
    <cellStyle name="Normal 5 4" xfId="4228"/>
    <cellStyle name="Normal 5 40" xfId="4229"/>
    <cellStyle name="Normal 5 41" xfId="4230"/>
    <cellStyle name="Normal 5 42" xfId="4231"/>
    <cellStyle name="Normal 5 43" xfId="4232"/>
    <cellStyle name="Normal 5 44" xfId="4233"/>
    <cellStyle name="Normal 5 45" xfId="4234"/>
    <cellStyle name="Normal 5 46" xfId="4235"/>
    <cellStyle name="Normal 5 47" xfId="4236"/>
    <cellStyle name="Normal 5 48" xfId="4237"/>
    <cellStyle name="Normal 5 49" xfId="4238"/>
    <cellStyle name="Normal 5 5" xfId="4239"/>
    <cellStyle name="Normal 5 6" xfId="4240"/>
    <cellStyle name="Normal 5 6 2" xfId="4241"/>
    <cellStyle name="Normal 5 6 3" xfId="4242"/>
    <cellStyle name="Normal 5 7" xfId="4243"/>
    <cellStyle name="Normal 5 7 2" xfId="4244"/>
    <cellStyle name="Normal 5 7 3" xfId="4245"/>
    <cellStyle name="Normal 5 8" xfId="4246"/>
    <cellStyle name="Normal 5 9" xfId="4247"/>
    <cellStyle name="Normal 50" xfId="4248"/>
    <cellStyle name="Normal 50 2" xfId="4249"/>
    <cellStyle name="Normal 51" xfId="4250"/>
    <cellStyle name="Normal 51 2" xfId="4251"/>
    <cellStyle name="Normal 52" xfId="4252"/>
    <cellStyle name="Normal 52 2" xfId="4253"/>
    <cellStyle name="Normal 53" xfId="4254"/>
    <cellStyle name="Normal 53 2" xfId="4255"/>
    <cellStyle name="Normal 54" xfId="4256"/>
    <cellStyle name="Normal 54 2" xfId="4257"/>
    <cellStyle name="Normal 55" xfId="4258"/>
    <cellStyle name="Normal 55 2" xfId="4259"/>
    <cellStyle name="Normal 56" xfId="4260"/>
    <cellStyle name="Normal 56 2" xfId="4261"/>
    <cellStyle name="Normal 57" xfId="4262"/>
    <cellStyle name="Normal 57 2" xfId="4263"/>
    <cellStyle name="Normal 58" xfId="4264"/>
    <cellStyle name="Normal 58 2" xfId="4265"/>
    <cellStyle name="Normal 59" xfId="4266"/>
    <cellStyle name="Normal 6" xfId="4267"/>
    <cellStyle name="Normal 6 10" xfId="4268"/>
    <cellStyle name="Normal 6 10 2" xfId="4269"/>
    <cellStyle name="Normal 6 11" xfId="4270"/>
    <cellStyle name="Normal 6 11 2" xfId="4271"/>
    <cellStyle name="Normal 6 12" xfId="4272"/>
    <cellStyle name="Normal 6 13" xfId="4273"/>
    <cellStyle name="Normal 6 13 2" xfId="4274"/>
    <cellStyle name="Normal 6 14" xfId="4275"/>
    <cellStyle name="Normal 6 14 2" xfId="4276"/>
    <cellStyle name="Normal 6 15" xfId="4277"/>
    <cellStyle name="Normal 6 15 2" xfId="4278"/>
    <cellStyle name="Normal 6 16" xfId="4279"/>
    <cellStyle name="Normal 6 16 2" xfId="4280"/>
    <cellStyle name="Normal 6 17" xfId="4281"/>
    <cellStyle name="Normal 6 17 2" xfId="4282"/>
    <cellStyle name="Normal 6 18" xfId="4283"/>
    <cellStyle name="Normal 6 18 2" xfId="4284"/>
    <cellStyle name="Normal 6 19" xfId="4285"/>
    <cellStyle name="Normal 6 19 2" xfId="4286"/>
    <cellStyle name="Normal 6 2" xfId="4287"/>
    <cellStyle name="Normal 6 2 10" xfId="4288"/>
    <cellStyle name="Normal 6 2 2" xfId="4289"/>
    <cellStyle name="Normal 6 2 2 2" xfId="4290"/>
    <cellStyle name="Normal 6 2 2 2 2" xfId="4291"/>
    <cellStyle name="Normal 6 2 2 3" xfId="4292"/>
    <cellStyle name="Normal 6 2 2 4" xfId="4293"/>
    <cellStyle name="Normal 6 2 2 5" xfId="4294"/>
    <cellStyle name="Normal 6 2 2 6" xfId="4295"/>
    <cellStyle name="Normal 6 2 3" xfId="4296"/>
    <cellStyle name="Normal 6 2 3 2" xfId="4297"/>
    <cellStyle name="Normal 6 2 4" xfId="4298"/>
    <cellStyle name="Normal 6 2 4 2" xfId="4299"/>
    <cellStyle name="Normal 6 2 5" xfId="4300"/>
    <cellStyle name="Normal 6 2 5 2" xfId="4301"/>
    <cellStyle name="Normal 6 2 6" xfId="4302"/>
    <cellStyle name="Normal 6 2 6 2" xfId="4303"/>
    <cellStyle name="Normal 6 2 7" xfId="4304"/>
    <cellStyle name="Normal 6 2 7 2" xfId="4305"/>
    <cellStyle name="Normal 6 2 8" xfId="4306"/>
    <cellStyle name="Normal 6 2 8 2" xfId="4307"/>
    <cellStyle name="Normal 6 2 9" xfId="4308"/>
    <cellStyle name="Normal 6 2 9 2" xfId="4309"/>
    <cellStyle name="Normal 6 20" xfId="4310"/>
    <cellStyle name="Normal 6 20 2" xfId="4311"/>
    <cellStyle name="Normal 6 21" xfId="4312"/>
    <cellStyle name="Normal 6 21 2" xfId="4313"/>
    <cellStyle name="Normal 6 22" xfId="4314"/>
    <cellStyle name="Normal 6 22 2" xfId="4315"/>
    <cellStyle name="Normal 6 23" xfId="4316"/>
    <cellStyle name="Normal 6 23 2" xfId="4317"/>
    <cellStyle name="Normal 6 24" xfId="4318"/>
    <cellStyle name="Normal 6 24 2" xfId="4319"/>
    <cellStyle name="Normal 6 25" xfId="4320"/>
    <cellStyle name="Normal 6 25 2" xfId="4321"/>
    <cellStyle name="Normal 6 26" xfId="4322"/>
    <cellStyle name="Normal 6 26 2" xfId="4323"/>
    <cellStyle name="Normal 6 27" xfId="4324"/>
    <cellStyle name="Normal 6 27 2" xfId="4325"/>
    <cellStyle name="Normal 6 28" xfId="4326"/>
    <cellStyle name="Normal 6 28 2" xfId="4327"/>
    <cellStyle name="Normal 6 29" xfId="4328"/>
    <cellStyle name="Normal 6 29 2" xfId="4329"/>
    <cellStyle name="Normal 6 3" xfId="4330"/>
    <cellStyle name="Normal 6 3 2" xfId="4331"/>
    <cellStyle name="Normal 6 30" xfId="4332"/>
    <cellStyle name="Normal 6 30 2" xfId="4333"/>
    <cellStyle name="Normal 6 31" xfId="4334"/>
    <cellStyle name="Normal 6 31 2" xfId="4335"/>
    <cellStyle name="Normal 6 32" xfId="4336"/>
    <cellStyle name="Normal 6 32 2" xfId="4337"/>
    <cellStyle name="Normal 6 33" xfId="4338"/>
    <cellStyle name="Normal 6 33 2" xfId="4339"/>
    <cellStyle name="Normal 6 34" xfId="4340"/>
    <cellStyle name="Normal 6 34 2" xfId="4341"/>
    <cellStyle name="Normal 6 35" xfId="4342"/>
    <cellStyle name="Normal 6 35 2" xfId="4343"/>
    <cellStyle name="Normal 6 36" xfId="4344"/>
    <cellStyle name="Normal 6 36 2" xfId="4345"/>
    <cellStyle name="Normal 6 37" xfId="4346"/>
    <cellStyle name="Normal 6 37 2" xfId="4347"/>
    <cellStyle name="Normal 6 38" xfId="4348"/>
    <cellStyle name="Normal 6 38 2" xfId="4349"/>
    <cellStyle name="Normal 6 39" xfId="4350"/>
    <cellStyle name="Normal 6 39 2" xfId="4351"/>
    <cellStyle name="Normal 6 4" xfId="4352"/>
    <cellStyle name="Normal 6 4 2" xfId="4353"/>
    <cellStyle name="Normal 6 40" xfId="4354"/>
    <cellStyle name="Normal 6 40 2" xfId="4355"/>
    <cellStyle name="Normal 6 41" xfId="4356"/>
    <cellStyle name="Normal 6 41 2" xfId="4357"/>
    <cellStyle name="Normal 6 42" xfId="4358"/>
    <cellStyle name="Normal 6 42 2" xfId="4359"/>
    <cellStyle name="Normal 6 43" xfId="4360"/>
    <cellStyle name="Normal 6 43 2" xfId="4361"/>
    <cellStyle name="Normal 6 44" xfId="4362"/>
    <cellStyle name="Normal 6 44 2" xfId="4363"/>
    <cellStyle name="Normal 6 44 2 2" xfId="4364"/>
    <cellStyle name="Normal 6 44 3" xfId="4365"/>
    <cellStyle name="Normal 6 44 4" xfId="4366"/>
    <cellStyle name="Normal 6 45" xfId="4367"/>
    <cellStyle name="Normal 6 46" xfId="4368"/>
    <cellStyle name="Normal 6 47" xfId="4369"/>
    <cellStyle name="Normal 6 48" xfId="4370"/>
    <cellStyle name="Normal 6 5" xfId="4371"/>
    <cellStyle name="Normal 6 5 2" xfId="4372"/>
    <cellStyle name="Normal 6 6" xfId="4373"/>
    <cellStyle name="Normal 6 6 2" xfId="4374"/>
    <cellStyle name="Normal 6 7" xfId="4375"/>
    <cellStyle name="Normal 6 7 2" xfId="4376"/>
    <cellStyle name="Normal 6 8" xfId="4377"/>
    <cellStyle name="Normal 6 8 2" xfId="4378"/>
    <cellStyle name="Normal 6 9" xfId="4379"/>
    <cellStyle name="Normal 6 9 2" xfId="4380"/>
    <cellStyle name="Normal 60" xfId="4381"/>
    <cellStyle name="Normal 61" xfId="4382"/>
    <cellStyle name="Normal 62" xfId="4383"/>
    <cellStyle name="Normal 63" xfId="4384"/>
    <cellStyle name="Normal 64" xfId="4385"/>
    <cellStyle name="Normal 65" xfId="4386"/>
    <cellStyle name="Normal 66" xfId="4387"/>
    <cellStyle name="Normal 67" xfId="4388"/>
    <cellStyle name="Normal 68" xfId="4389"/>
    <cellStyle name="Normal 69" xfId="4390"/>
    <cellStyle name="Normal 7" xfId="4391"/>
    <cellStyle name="Normal 7 10" xfId="4392"/>
    <cellStyle name="Normal 7 10 2" xfId="4393"/>
    <cellStyle name="Normal 7 11" xfId="4394"/>
    <cellStyle name="Normal 7 11 2" xfId="4395"/>
    <cellStyle name="Normal 7 12" xfId="4396"/>
    <cellStyle name="Normal 7 13" xfId="4397"/>
    <cellStyle name="Normal 7 13 2" xfId="4398"/>
    <cellStyle name="Normal 7 14" xfId="4399"/>
    <cellStyle name="Normal 7 14 2" xfId="4400"/>
    <cellStyle name="Normal 7 15" xfId="4401"/>
    <cellStyle name="Normal 7 15 2" xfId="4402"/>
    <cellStyle name="Normal 7 16" xfId="4403"/>
    <cellStyle name="Normal 7 16 2" xfId="4404"/>
    <cellStyle name="Normal 7 17" xfId="4405"/>
    <cellStyle name="Normal 7 17 2" xfId="4406"/>
    <cellStyle name="Normal 7 18" xfId="4407"/>
    <cellStyle name="Normal 7 18 2" xfId="4408"/>
    <cellStyle name="Normal 7 19" xfId="4409"/>
    <cellStyle name="Normal 7 19 2" xfId="4410"/>
    <cellStyle name="Normal 7 2" xfId="4411"/>
    <cellStyle name="Normal 7 2 10" xfId="4412"/>
    <cellStyle name="Normal 7 2 10 2" xfId="4413"/>
    <cellStyle name="Normal 7 2 11" xfId="4414"/>
    <cellStyle name="Normal 7 2 12" xfId="4415"/>
    <cellStyle name="Normal 7 2 13" xfId="4416"/>
    <cellStyle name="Normal 7 2 14" xfId="4417"/>
    <cellStyle name="Normal 7 2 2" xfId="4418"/>
    <cellStyle name="Normal 7 2 2 2" xfId="4419"/>
    <cellStyle name="Normal 7 2 2 2 2" xfId="4420"/>
    <cellStyle name="Normal 7 2 2 3" xfId="4421"/>
    <cellStyle name="Normal 7 2 2 4" xfId="4422"/>
    <cellStyle name="Normal 7 2 2 5" xfId="4423"/>
    <cellStyle name="Normal 7 2 2 6" xfId="4424"/>
    <cellStyle name="Normal 7 2 3" xfId="4425"/>
    <cellStyle name="Normal 7 2 3 2" xfId="4426"/>
    <cellStyle name="Normal 7 2 4" xfId="4427"/>
    <cellStyle name="Normal 7 2 4 2" xfId="4428"/>
    <cellStyle name="Normal 7 2 5" xfId="4429"/>
    <cellStyle name="Normal 7 2 5 2" xfId="4430"/>
    <cellStyle name="Normal 7 2 6" xfId="4431"/>
    <cellStyle name="Normal 7 2 6 2" xfId="4432"/>
    <cellStyle name="Normal 7 2 7" xfId="4433"/>
    <cellStyle name="Normal 7 2 7 2" xfId="4434"/>
    <cellStyle name="Normal 7 2 8" xfId="4435"/>
    <cellStyle name="Normal 7 2 8 2" xfId="4436"/>
    <cellStyle name="Normal 7 2 9" xfId="4437"/>
    <cellStyle name="Normal 7 2 9 2" xfId="4438"/>
    <cellStyle name="Normal 7 20" xfId="4439"/>
    <cellStyle name="Normal 7 20 2" xfId="4440"/>
    <cellStyle name="Normal 7 21" xfId="4441"/>
    <cellStyle name="Normal 7 21 2" xfId="4442"/>
    <cellStyle name="Normal 7 22" xfId="4443"/>
    <cellStyle name="Normal 7 22 2" xfId="4444"/>
    <cellStyle name="Normal 7 23" xfId="4445"/>
    <cellStyle name="Normal 7 23 2" xfId="4446"/>
    <cellStyle name="Normal 7 24" xfId="4447"/>
    <cellStyle name="Normal 7 24 2" xfId="4448"/>
    <cellStyle name="Normal 7 25" xfId="4449"/>
    <cellStyle name="Normal 7 25 2" xfId="4450"/>
    <cellStyle name="Normal 7 26" xfId="4451"/>
    <cellStyle name="Normal 7 26 2" xfId="4452"/>
    <cellStyle name="Normal 7 27" xfId="4453"/>
    <cellStyle name="Normal 7 27 2" xfId="4454"/>
    <cellStyle name="Normal 7 28" xfId="4455"/>
    <cellStyle name="Normal 7 28 2" xfId="4456"/>
    <cellStyle name="Normal 7 29" xfId="4457"/>
    <cellStyle name="Normal 7 29 2" xfId="4458"/>
    <cellStyle name="Normal 7 3" xfId="4459"/>
    <cellStyle name="Normal 7 3 2" xfId="4460"/>
    <cellStyle name="Normal 7 30" xfId="4461"/>
    <cellStyle name="Normal 7 30 2" xfId="4462"/>
    <cellStyle name="Normal 7 31" xfId="4463"/>
    <cellStyle name="Normal 7 31 2" xfId="4464"/>
    <cellStyle name="Normal 7 32" xfId="4465"/>
    <cellStyle name="Normal 7 32 2" xfId="4466"/>
    <cellStyle name="Normal 7 33" xfId="4467"/>
    <cellStyle name="Normal 7 33 2" xfId="4468"/>
    <cellStyle name="Normal 7 34" xfId="4469"/>
    <cellStyle name="Normal 7 34 2" xfId="4470"/>
    <cellStyle name="Normal 7 35" xfId="4471"/>
    <cellStyle name="Normal 7 35 2" xfId="4472"/>
    <cellStyle name="Normal 7 36" xfId="4473"/>
    <cellStyle name="Normal 7 36 2" xfId="4474"/>
    <cellStyle name="Normal 7 37" xfId="4475"/>
    <cellStyle name="Normal 7 37 2" xfId="4476"/>
    <cellStyle name="Normal 7 38" xfId="4477"/>
    <cellStyle name="Normal 7 38 2" xfId="4478"/>
    <cellStyle name="Normal 7 39" xfId="4479"/>
    <cellStyle name="Normal 7 39 2" xfId="4480"/>
    <cellStyle name="Normal 7 4" xfId="4481"/>
    <cellStyle name="Normal 7 4 2" xfId="4482"/>
    <cellStyle name="Normal 7 40" xfId="4483"/>
    <cellStyle name="Normal 7 40 2" xfId="4484"/>
    <cellStyle name="Normal 7 41" xfId="4485"/>
    <cellStyle name="Normal 7 41 2" xfId="4486"/>
    <cellStyle name="Normal 7 42" xfId="4487"/>
    <cellStyle name="Normal 7 42 2" xfId="4488"/>
    <cellStyle name="Normal 7 43" xfId="4489"/>
    <cellStyle name="Normal 7 43 2" xfId="4490"/>
    <cellStyle name="Normal 7 44" xfId="4491"/>
    <cellStyle name="Normal 7 45" xfId="4492"/>
    <cellStyle name="Normal 7 46" xfId="4493"/>
    <cellStyle name="Normal 7 47" xfId="4494"/>
    <cellStyle name="Normal 7 48" xfId="4495"/>
    <cellStyle name="Normal 7 5" xfId="4496"/>
    <cellStyle name="Normal 7 5 2" xfId="4497"/>
    <cellStyle name="Normal 7 6" xfId="4498"/>
    <cellStyle name="Normal 7 6 2" xfId="4499"/>
    <cellStyle name="Normal 7 7" xfId="4500"/>
    <cellStyle name="Normal 7 7 2" xfId="4501"/>
    <cellStyle name="Normal 7 8" xfId="4502"/>
    <cellStyle name="Normal 7 8 2" xfId="4503"/>
    <cellStyle name="Normal 7 9" xfId="4504"/>
    <cellStyle name="Normal 7 9 2" xfId="4505"/>
    <cellStyle name="Normal 70" xfId="4506"/>
    <cellStyle name="Normal 71" xfId="4507"/>
    <cellStyle name="Normal 72" xfId="4508"/>
    <cellStyle name="Normal 73" xfId="4509"/>
    <cellStyle name="Normal 74" xfId="4510"/>
    <cellStyle name="Normal 75" xfId="4511"/>
    <cellStyle name="Normal 76" xfId="4512"/>
    <cellStyle name="Normal 77" xfId="4513"/>
    <cellStyle name="Normal 78" xfId="4514"/>
    <cellStyle name="Normal 79" xfId="4515"/>
    <cellStyle name="Normal 8" xfId="4516"/>
    <cellStyle name="Normal 8 10" xfId="4517"/>
    <cellStyle name="Normal 8 10 2" xfId="4518"/>
    <cellStyle name="Normal 8 11" xfId="4519"/>
    <cellStyle name="Normal 8 11 2" xfId="4520"/>
    <cellStyle name="Normal 8 12" xfId="4521"/>
    <cellStyle name="Normal 8 12 2" xfId="4522"/>
    <cellStyle name="Normal 8 13" xfId="4523"/>
    <cellStyle name="Normal 8 14" xfId="4524"/>
    <cellStyle name="Normal 8 15" xfId="4525"/>
    <cellStyle name="Normal 8 16" xfId="4526"/>
    <cellStyle name="Normal 8 2" xfId="4527"/>
    <cellStyle name="Normal 8 2 10" xfId="4528"/>
    <cellStyle name="Normal 8 2 2" xfId="4529"/>
    <cellStyle name="Normal 8 2 2 2" xfId="4530"/>
    <cellStyle name="Normal 8 2 2 2 2" xfId="4531"/>
    <cellStyle name="Normal 8 2 2 3" xfId="4532"/>
    <cellStyle name="Normal 8 2 2 4" xfId="4533"/>
    <cellStyle name="Normal 8 2 2 5" xfId="4534"/>
    <cellStyle name="Normal 8 2 2 6" xfId="4535"/>
    <cellStyle name="Normal 8 2 3" xfId="4536"/>
    <cellStyle name="Normal 8 2 3 2" xfId="4537"/>
    <cellStyle name="Normal 8 2 4" xfId="4538"/>
    <cellStyle name="Normal 8 2 4 2" xfId="4539"/>
    <cellStyle name="Normal 8 2 5" xfId="4540"/>
    <cellStyle name="Normal 8 2 5 2" xfId="4541"/>
    <cellStyle name="Normal 8 2 6" xfId="4542"/>
    <cellStyle name="Normal 8 2 6 2" xfId="4543"/>
    <cellStyle name="Normal 8 2 7" xfId="4544"/>
    <cellStyle name="Normal 8 2 7 2" xfId="4545"/>
    <cellStyle name="Normal 8 2 8" xfId="4546"/>
    <cellStyle name="Normal 8 2 8 2" xfId="4547"/>
    <cellStyle name="Normal 8 2 9" xfId="4548"/>
    <cellStyle name="Normal 8 2 9 2" xfId="4549"/>
    <cellStyle name="Normal 8 3" xfId="4550"/>
    <cellStyle name="Normal 8 3 2" xfId="4551"/>
    <cellStyle name="Normal 8 4" xfId="4552"/>
    <cellStyle name="Normal 8 4 2" xfId="4553"/>
    <cellStyle name="Normal 8 5" xfId="4554"/>
    <cellStyle name="Normal 8 5 2" xfId="4555"/>
    <cellStyle name="Normal 8 6" xfId="4556"/>
    <cellStyle name="Normal 8 6 2" xfId="4557"/>
    <cellStyle name="Normal 8 7" xfId="4558"/>
    <cellStyle name="Normal 8 7 2" xfId="4559"/>
    <cellStyle name="Normal 8 8" xfId="4560"/>
    <cellStyle name="Normal 8 8 2" xfId="4561"/>
    <cellStyle name="Normal 8 9" xfId="4562"/>
    <cellStyle name="Normal 8 9 2" xfId="4563"/>
    <cellStyle name="Normal 80" xfId="4564"/>
    <cellStyle name="Normal 81" xfId="4565"/>
    <cellStyle name="Normal 82" xfId="4566"/>
    <cellStyle name="Normal 83" xfId="4567"/>
    <cellStyle name="Normal 84" xfId="4568"/>
    <cellStyle name="Normal 85" xfId="4569"/>
    <cellStyle name="Normal 86" xfId="4570"/>
    <cellStyle name="Normal 87" xfId="4571"/>
    <cellStyle name="Normal 88" xfId="4572"/>
    <cellStyle name="Normal 89" xfId="4573"/>
    <cellStyle name="Normal 9" xfId="4574"/>
    <cellStyle name="Normal 9 10" xfId="4575"/>
    <cellStyle name="Normal 9 10 2" xfId="4576"/>
    <cellStyle name="Normal 9 11" xfId="4577"/>
    <cellStyle name="Normal 9 11 2" xfId="4578"/>
    <cellStyle name="Normal 9 12" xfId="4579"/>
    <cellStyle name="Normal 9 12 2" xfId="4580"/>
    <cellStyle name="Normal 9 13" xfId="4581"/>
    <cellStyle name="Normal 9 14" xfId="4582"/>
    <cellStyle name="Normal 9 15" xfId="4583"/>
    <cellStyle name="Normal 9 16" xfId="4584"/>
    <cellStyle name="Normal 9 2" xfId="4585"/>
    <cellStyle name="Normal 9 2 10" xfId="4586"/>
    <cellStyle name="Normal 9 2 11" xfId="4587"/>
    <cellStyle name="Normal 9 2 12" xfId="4588"/>
    <cellStyle name="Normal 9 2 13" xfId="4589"/>
    <cellStyle name="Normal 9 2 2" xfId="4590"/>
    <cellStyle name="Normal 9 2 2 2" xfId="4591"/>
    <cellStyle name="Normal 9 2 3" xfId="4592"/>
    <cellStyle name="Normal 9 2 3 2" xfId="4593"/>
    <cellStyle name="Normal 9 2 4" xfId="4594"/>
    <cellStyle name="Normal 9 2 4 2" xfId="4595"/>
    <cellStyle name="Normal 9 2 5" xfId="4596"/>
    <cellStyle name="Normal 9 2 5 2" xfId="4597"/>
    <cellStyle name="Normal 9 2 6" xfId="4598"/>
    <cellStyle name="Normal 9 2 6 2" xfId="4599"/>
    <cellStyle name="Normal 9 2 7" xfId="4600"/>
    <cellStyle name="Normal 9 2 7 2" xfId="4601"/>
    <cellStyle name="Normal 9 2 8" xfId="4602"/>
    <cellStyle name="Normal 9 2 8 2" xfId="4603"/>
    <cellStyle name="Normal 9 2 9" xfId="4604"/>
    <cellStyle name="Normal 9 2 9 2" xfId="4605"/>
    <cellStyle name="Normal 9 3" xfId="4606"/>
    <cellStyle name="Normal 9 3 2" xfId="4607"/>
    <cellStyle name="Normal 9 4" xfId="4608"/>
    <cellStyle name="Normal 9 4 2" xfId="4609"/>
    <cellStyle name="Normal 9 5" xfId="4610"/>
    <cellStyle name="Normal 9 5 2" xfId="4611"/>
    <cellStyle name="Normal 9 6" xfId="4612"/>
    <cellStyle name="Normal 9 6 2" xfId="4613"/>
    <cellStyle name="Normal 9 7" xfId="4614"/>
    <cellStyle name="Normal 9 7 2" xfId="4615"/>
    <cellStyle name="Normal 9 8" xfId="4616"/>
    <cellStyle name="Normal 9 8 2" xfId="4617"/>
    <cellStyle name="Normal 9 9" xfId="4618"/>
    <cellStyle name="Normal 9 9 2" xfId="4619"/>
    <cellStyle name="Normal 90" xfId="4620"/>
    <cellStyle name="Normal 91" xfId="4621"/>
    <cellStyle name="Normal 92" xfId="4622"/>
    <cellStyle name="Normal 93" xfId="4623"/>
    <cellStyle name="Normal 94" xfId="4624"/>
    <cellStyle name="Normal 95" xfId="4625"/>
    <cellStyle name="Normal 96" xfId="4626"/>
    <cellStyle name="Normal 97" xfId="4627"/>
    <cellStyle name="Normal 98" xfId="4628"/>
    <cellStyle name="Normal 99" xfId="4629"/>
    <cellStyle name="Nota 10" xfId="4630"/>
    <cellStyle name="Nota 10 2" xfId="4631"/>
    <cellStyle name="Nota 10 2 2" xfId="4632"/>
    <cellStyle name="Nota 11" xfId="4633"/>
    <cellStyle name="Nota 11 2" xfId="4634"/>
    <cellStyle name="Nota 11 2 2" xfId="4635"/>
    <cellStyle name="Nota 12" xfId="4636"/>
    <cellStyle name="Nota 12 2" xfId="4637"/>
    <cellStyle name="Nota 12 2 2" xfId="4638"/>
    <cellStyle name="Nota 13" xfId="4639"/>
    <cellStyle name="Nota 13 2" xfId="4640"/>
    <cellStyle name="Nota 13 2 2" xfId="4641"/>
    <cellStyle name="Nota 14" xfId="4642"/>
    <cellStyle name="Nota 14 2" xfId="4643"/>
    <cellStyle name="Nota 14 2 2" xfId="4644"/>
    <cellStyle name="Nota 15" xfId="4645"/>
    <cellStyle name="Nota 15 2" xfId="4646"/>
    <cellStyle name="Nota 15 2 2" xfId="4647"/>
    <cellStyle name="Nota 16" xfId="4648"/>
    <cellStyle name="Nota 16 2" xfId="4649"/>
    <cellStyle name="Nota 16 2 2" xfId="4650"/>
    <cellStyle name="Nota 17" xfId="4651"/>
    <cellStyle name="Nota 17 2" xfId="4652"/>
    <cellStyle name="Nota 17 2 2" xfId="4653"/>
    <cellStyle name="Nota 18" xfId="4654"/>
    <cellStyle name="Nota 18 2" xfId="4655"/>
    <cellStyle name="Nota 18 2 2" xfId="4656"/>
    <cellStyle name="Nota 19" xfId="4657"/>
    <cellStyle name="Nota 19 2" xfId="4658"/>
    <cellStyle name="Nota 19 2 2" xfId="4659"/>
    <cellStyle name="Nota 2" xfId="4660"/>
    <cellStyle name="Nota 2 10" xfId="4661"/>
    <cellStyle name="Nota 2 11" xfId="4662"/>
    <cellStyle name="Nota 2 12" xfId="4663"/>
    <cellStyle name="Nota 2 13" xfId="4664"/>
    <cellStyle name="Nota 2 14" xfId="4665"/>
    <cellStyle name="Nota 2 15" xfId="4666"/>
    <cellStyle name="Nota 2 16" xfId="4667"/>
    <cellStyle name="Nota 2 17" xfId="4668"/>
    <cellStyle name="Nota 2 18" xfId="4669"/>
    <cellStyle name="Nota 2 19" xfId="4670"/>
    <cellStyle name="Nota 2 2" xfId="4671"/>
    <cellStyle name="Nota 2 2 10" xfId="4672"/>
    <cellStyle name="Nota 2 2 10 2" xfId="4673"/>
    <cellStyle name="Nota 2 2 10 2 2" xfId="4674"/>
    <cellStyle name="Nota 2 2 11" xfId="4675"/>
    <cellStyle name="Nota 2 2 11 2" xfId="4676"/>
    <cellStyle name="Nota 2 2 11 2 2" xfId="4677"/>
    <cellStyle name="Nota 2 2 12" xfId="4678"/>
    <cellStyle name="Nota 2 2 12 2" xfId="4679"/>
    <cellStyle name="Nota 2 2 12 2 2" xfId="4680"/>
    <cellStyle name="Nota 2 2 13" xfId="4681"/>
    <cellStyle name="Nota 2 2 13 2" xfId="4682"/>
    <cellStyle name="Nota 2 2 13 2 2" xfId="4683"/>
    <cellStyle name="Nota 2 2 14" xfId="4684"/>
    <cellStyle name="Nota 2 2 14 2" xfId="4685"/>
    <cellStyle name="Nota 2 2 14 2 2" xfId="4686"/>
    <cellStyle name="Nota 2 2 15" xfId="4687"/>
    <cellStyle name="Nota 2 2 15 2" xfId="4688"/>
    <cellStyle name="Nota 2 2 15 2 2" xfId="4689"/>
    <cellStyle name="Nota 2 2 16" xfId="4690"/>
    <cellStyle name="Nota 2 2 16 2" xfId="4691"/>
    <cellStyle name="Nota 2 2 16 2 2" xfId="4692"/>
    <cellStyle name="Nota 2 2 17" xfId="4693"/>
    <cellStyle name="Nota 2 2 17 2" xfId="4694"/>
    <cellStyle name="Nota 2 2 17 2 2" xfId="4695"/>
    <cellStyle name="Nota 2 2 18" xfId="4696"/>
    <cellStyle name="Nota 2 2 18 2" xfId="4697"/>
    <cellStyle name="Nota 2 2 18 2 2" xfId="4698"/>
    <cellStyle name="Nota 2 2 19" xfId="4699"/>
    <cellStyle name="Nota 2 2 19 2" xfId="4700"/>
    <cellStyle name="Nota 2 2 19 2 2" xfId="4701"/>
    <cellStyle name="Nota 2 2 2" xfId="4702"/>
    <cellStyle name="Nota 2 2 2 10" xfId="4703"/>
    <cellStyle name="Nota 2 2 2 11" xfId="4704"/>
    <cellStyle name="Nota 2 2 2 12" xfId="4705"/>
    <cellStyle name="Nota 2 2 2 13" xfId="4706"/>
    <cellStyle name="Nota 2 2 2 14" xfId="4707"/>
    <cellStyle name="Nota 2 2 2 15" xfId="4708"/>
    <cellStyle name="Nota 2 2 2 16" xfId="4709"/>
    <cellStyle name="Nota 2 2 2 17" xfId="4710"/>
    <cellStyle name="Nota 2 2 2 18" xfId="4711"/>
    <cellStyle name="Nota 2 2 2 19" xfId="4712"/>
    <cellStyle name="Nota 2 2 2 2" xfId="4713"/>
    <cellStyle name="Nota 2 2 2 2 10" xfId="4714"/>
    <cellStyle name="Nota 2 2 2 2 10 2" xfId="4715"/>
    <cellStyle name="Nota 2 2 2 2 10 2 2" xfId="4716"/>
    <cellStyle name="Nota 2 2 2 2 11" xfId="4717"/>
    <cellStyle name="Nota 2 2 2 2 11 2" xfId="4718"/>
    <cellStyle name="Nota 2 2 2 2 11 2 2" xfId="4719"/>
    <cellStyle name="Nota 2 2 2 2 12" xfId="4720"/>
    <cellStyle name="Nota 2 2 2 2 12 2" xfId="4721"/>
    <cellStyle name="Nota 2 2 2 2 12 2 2" xfId="4722"/>
    <cellStyle name="Nota 2 2 2 2 13" xfId="4723"/>
    <cellStyle name="Nota 2 2 2 2 13 2" xfId="4724"/>
    <cellStyle name="Nota 2 2 2 2 13 2 2" xfId="4725"/>
    <cellStyle name="Nota 2 2 2 2 14" xfId="4726"/>
    <cellStyle name="Nota 2 2 2 2 14 2" xfId="4727"/>
    <cellStyle name="Nota 2 2 2 2 14 2 2" xfId="4728"/>
    <cellStyle name="Nota 2 2 2 2 15" xfId="4729"/>
    <cellStyle name="Nota 2 2 2 2 15 2" xfId="4730"/>
    <cellStyle name="Nota 2 2 2 2 15 2 2" xfId="4731"/>
    <cellStyle name="Nota 2 2 2 2 16" xfId="4732"/>
    <cellStyle name="Nota 2 2 2 2 16 2" xfId="4733"/>
    <cellStyle name="Nota 2 2 2 2 16 2 2" xfId="4734"/>
    <cellStyle name="Nota 2 2 2 2 17" xfId="4735"/>
    <cellStyle name="Nota 2 2 2 2 17 2" xfId="4736"/>
    <cellStyle name="Nota 2 2 2 2 17 2 2" xfId="4737"/>
    <cellStyle name="Nota 2 2 2 2 18" xfId="4738"/>
    <cellStyle name="Nota 2 2 2 2 18 2" xfId="4739"/>
    <cellStyle name="Nota 2 2 2 2 18 2 2" xfId="4740"/>
    <cellStyle name="Nota 2 2 2 2 19" xfId="4741"/>
    <cellStyle name="Nota 2 2 2 2 19 2" xfId="4742"/>
    <cellStyle name="Nota 2 2 2 2 19 2 2" xfId="4743"/>
    <cellStyle name="Nota 2 2 2 2 2" xfId="4744"/>
    <cellStyle name="Nota 2 2 2 2 2 10" xfId="4745"/>
    <cellStyle name="Nota 2 2 2 2 2 11" xfId="4746"/>
    <cellStyle name="Nota 2 2 2 2 2 12" xfId="4747"/>
    <cellStyle name="Nota 2 2 2 2 2 13" xfId="4748"/>
    <cellStyle name="Nota 2 2 2 2 2 14" xfId="4749"/>
    <cellStyle name="Nota 2 2 2 2 2 15" xfId="4750"/>
    <cellStyle name="Nota 2 2 2 2 2 16" xfId="4751"/>
    <cellStyle name="Nota 2 2 2 2 2 17" xfId="4752"/>
    <cellStyle name="Nota 2 2 2 2 2 18" xfId="4753"/>
    <cellStyle name="Nota 2 2 2 2 2 19" xfId="4754"/>
    <cellStyle name="Nota 2 2 2 2 2 2" xfId="4755"/>
    <cellStyle name="Nota 2 2 2 2 2 2 10" xfId="4756"/>
    <cellStyle name="Nota 2 2 2 2 2 2 10 2" xfId="4757"/>
    <cellStyle name="Nota 2 2 2 2 2 2 10 2 2" xfId="4758"/>
    <cellStyle name="Nota 2 2 2 2 2 2 11" xfId="4759"/>
    <cellStyle name="Nota 2 2 2 2 2 2 11 2" xfId="4760"/>
    <cellStyle name="Nota 2 2 2 2 2 2 11 2 2" xfId="4761"/>
    <cellStyle name="Nota 2 2 2 2 2 2 12" xfId="4762"/>
    <cellStyle name="Nota 2 2 2 2 2 2 12 2" xfId="4763"/>
    <cellStyle name="Nota 2 2 2 2 2 2 12 2 2" xfId="4764"/>
    <cellStyle name="Nota 2 2 2 2 2 2 13" xfId="4765"/>
    <cellStyle name="Nota 2 2 2 2 2 2 13 2" xfId="4766"/>
    <cellStyle name="Nota 2 2 2 2 2 2 13 2 2" xfId="4767"/>
    <cellStyle name="Nota 2 2 2 2 2 2 14" xfId="4768"/>
    <cellStyle name="Nota 2 2 2 2 2 2 14 2" xfId="4769"/>
    <cellStyle name="Nota 2 2 2 2 2 2 14 2 2" xfId="4770"/>
    <cellStyle name="Nota 2 2 2 2 2 2 15" xfId="4771"/>
    <cellStyle name="Nota 2 2 2 2 2 2 15 2" xfId="4772"/>
    <cellStyle name="Nota 2 2 2 2 2 2 15 2 2" xfId="4773"/>
    <cellStyle name="Nota 2 2 2 2 2 2 16" xfId="4774"/>
    <cellStyle name="Nota 2 2 2 2 2 2 16 2" xfId="4775"/>
    <cellStyle name="Nota 2 2 2 2 2 2 16 2 2" xfId="4776"/>
    <cellStyle name="Nota 2 2 2 2 2 2 17" xfId="4777"/>
    <cellStyle name="Nota 2 2 2 2 2 2 17 2" xfId="4778"/>
    <cellStyle name="Nota 2 2 2 2 2 2 17 2 2" xfId="4779"/>
    <cellStyle name="Nota 2 2 2 2 2 2 18" xfId="4780"/>
    <cellStyle name="Nota 2 2 2 2 2 2 18 2" xfId="4781"/>
    <cellStyle name="Nota 2 2 2 2 2 2 18 2 2" xfId="4782"/>
    <cellStyle name="Nota 2 2 2 2 2 2 19" xfId="4783"/>
    <cellStyle name="Nota 2 2 2 2 2 2 19 2" xfId="4784"/>
    <cellStyle name="Nota 2 2 2 2 2 2 19 2 2" xfId="4785"/>
    <cellStyle name="Nota 2 2 2 2 2 2 2" xfId="4786"/>
    <cellStyle name="Nota 2 2 2 2 2 2 2 2" xfId="4787"/>
    <cellStyle name="Nota 2 2 2 2 2 2 2 2 2" xfId="4788"/>
    <cellStyle name="Nota 2 2 2 2 2 2 20" xfId="4789"/>
    <cellStyle name="Nota 2 2 2 2 2 2 20 2" xfId="4790"/>
    <cellStyle name="Nota 2 2 2 2 2 2 20 2 2" xfId="4791"/>
    <cellStyle name="Nota 2 2 2 2 2 2 21" xfId="4792"/>
    <cellStyle name="Nota 2 2 2 2 2 2 21 2" xfId="4793"/>
    <cellStyle name="Nota 2 2 2 2 2 2 21 2 2" xfId="4794"/>
    <cellStyle name="Nota 2 2 2 2 2 2 22" xfId="4795"/>
    <cellStyle name="Nota 2 2 2 2 2 2 22 2" xfId="4796"/>
    <cellStyle name="Nota 2 2 2 2 2 2 22 2 2" xfId="4797"/>
    <cellStyle name="Nota 2 2 2 2 2 2 23" xfId="4798"/>
    <cellStyle name="Nota 2 2 2 2 2 2 23 2" xfId="4799"/>
    <cellStyle name="Nota 2 2 2 2 2 2 23 2 2" xfId="4800"/>
    <cellStyle name="Nota 2 2 2 2 2 2 24" xfId="4801"/>
    <cellStyle name="Nota 2 2 2 2 2 2 24 2" xfId="4802"/>
    <cellStyle name="Nota 2 2 2 2 2 2 24 2 2" xfId="4803"/>
    <cellStyle name="Nota 2 2 2 2 2 2 25" xfId="4804"/>
    <cellStyle name="Nota 2 2 2 2 2 2 25 2" xfId="4805"/>
    <cellStyle name="Nota 2 2 2 2 2 2 25 2 2" xfId="4806"/>
    <cellStyle name="Nota 2 2 2 2 2 2 26" xfId="4807"/>
    <cellStyle name="Nota 2 2 2 2 2 2 26 2" xfId="4808"/>
    <cellStyle name="Nota 2 2 2 2 2 2 26 2 2" xfId="4809"/>
    <cellStyle name="Nota 2 2 2 2 2 2 27" xfId="4810"/>
    <cellStyle name="Nota 2 2 2 2 2 2 27 2" xfId="4811"/>
    <cellStyle name="Nota 2 2 2 2 2 2 3" xfId="4812"/>
    <cellStyle name="Nota 2 2 2 2 2 2 3 2" xfId="4813"/>
    <cellStyle name="Nota 2 2 2 2 2 2 3 2 2" xfId="4814"/>
    <cellStyle name="Nota 2 2 2 2 2 2 4" xfId="4815"/>
    <cellStyle name="Nota 2 2 2 2 2 2 4 2" xfId="4816"/>
    <cellStyle name="Nota 2 2 2 2 2 2 4 2 2" xfId="4817"/>
    <cellStyle name="Nota 2 2 2 2 2 2 5" xfId="4818"/>
    <cellStyle name="Nota 2 2 2 2 2 2 5 2" xfId="4819"/>
    <cellStyle name="Nota 2 2 2 2 2 2 5 2 2" xfId="4820"/>
    <cellStyle name="Nota 2 2 2 2 2 2 6" xfId="4821"/>
    <cellStyle name="Nota 2 2 2 2 2 2 6 2" xfId="4822"/>
    <cellStyle name="Nota 2 2 2 2 2 2 6 2 2" xfId="4823"/>
    <cellStyle name="Nota 2 2 2 2 2 2 7" xfId="4824"/>
    <cellStyle name="Nota 2 2 2 2 2 2 7 2" xfId="4825"/>
    <cellStyle name="Nota 2 2 2 2 2 2 7 2 2" xfId="4826"/>
    <cellStyle name="Nota 2 2 2 2 2 2 8" xfId="4827"/>
    <cellStyle name="Nota 2 2 2 2 2 2 8 2" xfId="4828"/>
    <cellStyle name="Nota 2 2 2 2 2 2 8 2 2" xfId="4829"/>
    <cellStyle name="Nota 2 2 2 2 2 2 9" xfId="4830"/>
    <cellStyle name="Nota 2 2 2 2 2 2 9 2" xfId="4831"/>
    <cellStyle name="Nota 2 2 2 2 2 2 9 2 2" xfId="4832"/>
    <cellStyle name="Nota 2 2 2 2 2 20" xfId="4833"/>
    <cellStyle name="Nota 2 2 2 2 2 21" xfId="4834"/>
    <cellStyle name="Nota 2 2 2 2 2 22" xfId="4835"/>
    <cellStyle name="Nota 2 2 2 2 2 23" xfId="4836"/>
    <cellStyle name="Nota 2 2 2 2 2 24" xfId="4837"/>
    <cellStyle name="Nota 2 2 2 2 2 25" xfId="4838"/>
    <cellStyle name="Nota 2 2 2 2 2 26" xfId="4839"/>
    <cellStyle name="Nota 2 2 2 2 2 3" xfId="4840"/>
    <cellStyle name="Nota 2 2 2 2 2 4" xfId="4841"/>
    <cellStyle name="Nota 2 2 2 2 2 5" xfId="4842"/>
    <cellStyle name="Nota 2 2 2 2 2 6" xfId="4843"/>
    <cellStyle name="Nota 2 2 2 2 2 7" xfId="4844"/>
    <cellStyle name="Nota 2 2 2 2 2 8" xfId="4845"/>
    <cellStyle name="Nota 2 2 2 2 2 9" xfId="4846"/>
    <cellStyle name="Nota 2 2 2 2 20" xfId="4847"/>
    <cellStyle name="Nota 2 2 2 2 20 2" xfId="4848"/>
    <cellStyle name="Nota 2 2 2 2 20 2 2" xfId="4849"/>
    <cellStyle name="Nota 2 2 2 2 21" xfId="4850"/>
    <cellStyle name="Nota 2 2 2 2 21 2" xfId="4851"/>
    <cellStyle name="Nota 2 2 2 2 21 2 2" xfId="4852"/>
    <cellStyle name="Nota 2 2 2 2 22" xfId="4853"/>
    <cellStyle name="Nota 2 2 2 2 22 2" xfId="4854"/>
    <cellStyle name="Nota 2 2 2 2 22 2 2" xfId="4855"/>
    <cellStyle name="Nota 2 2 2 2 23" xfId="4856"/>
    <cellStyle name="Nota 2 2 2 2 23 2" xfId="4857"/>
    <cellStyle name="Nota 2 2 2 2 23 2 2" xfId="4858"/>
    <cellStyle name="Nota 2 2 2 2 24" xfId="4859"/>
    <cellStyle name="Nota 2 2 2 2 24 2" xfId="4860"/>
    <cellStyle name="Nota 2 2 2 2 24 2 2" xfId="4861"/>
    <cellStyle name="Nota 2 2 2 2 25" xfId="4862"/>
    <cellStyle name="Nota 2 2 2 2 25 2" xfId="4863"/>
    <cellStyle name="Nota 2 2 2 2 25 2 2" xfId="4864"/>
    <cellStyle name="Nota 2 2 2 2 26" xfId="4865"/>
    <cellStyle name="Nota 2 2 2 2 26 2" xfId="4866"/>
    <cellStyle name="Nota 2 2 2 2 26 2 2" xfId="4867"/>
    <cellStyle name="Nota 2 2 2 2 27" xfId="4868"/>
    <cellStyle name="Nota 2 2 2 2 27 2" xfId="4869"/>
    <cellStyle name="Nota 2 2 2 2 3" xfId="4870"/>
    <cellStyle name="Nota 2 2 2 2 3 2" xfId="4871"/>
    <cellStyle name="Nota 2 2 2 2 3 2 2" xfId="4872"/>
    <cellStyle name="Nota 2 2 2 2 4" xfId="4873"/>
    <cellStyle name="Nota 2 2 2 2 4 2" xfId="4874"/>
    <cellStyle name="Nota 2 2 2 2 4 2 2" xfId="4875"/>
    <cellStyle name="Nota 2 2 2 2 5" xfId="4876"/>
    <cellStyle name="Nota 2 2 2 2 5 2" xfId="4877"/>
    <cellStyle name="Nota 2 2 2 2 5 2 2" xfId="4878"/>
    <cellStyle name="Nota 2 2 2 2 6" xfId="4879"/>
    <cellStyle name="Nota 2 2 2 2 6 2" xfId="4880"/>
    <cellStyle name="Nota 2 2 2 2 6 2 2" xfId="4881"/>
    <cellStyle name="Nota 2 2 2 2 7" xfId="4882"/>
    <cellStyle name="Nota 2 2 2 2 7 2" xfId="4883"/>
    <cellStyle name="Nota 2 2 2 2 7 2 2" xfId="4884"/>
    <cellStyle name="Nota 2 2 2 2 8" xfId="4885"/>
    <cellStyle name="Nota 2 2 2 2 8 2" xfId="4886"/>
    <cellStyle name="Nota 2 2 2 2 8 2 2" xfId="4887"/>
    <cellStyle name="Nota 2 2 2 2 9" xfId="4888"/>
    <cellStyle name="Nota 2 2 2 2 9 2" xfId="4889"/>
    <cellStyle name="Nota 2 2 2 2 9 2 2" xfId="4890"/>
    <cellStyle name="Nota 2 2 2 20" xfId="4891"/>
    <cellStyle name="Nota 2 2 2 21" xfId="4892"/>
    <cellStyle name="Nota 2 2 2 22" xfId="4893"/>
    <cellStyle name="Nota 2 2 2 23" xfId="4894"/>
    <cellStyle name="Nota 2 2 2 24" xfId="4895"/>
    <cellStyle name="Nota 2 2 2 25" xfId="4896"/>
    <cellStyle name="Nota 2 2 2 26" xfId="4897"/>
    <cellStyle name="Nota 2 2 2 27" xfId="4898"/>
    <cellStyle name="Nota 2 2 2 28" xfId="4899"/>
    <cellStyle name="Nota 2 2 2 3" xfId="4900"/>
    <cellStyle name="Nota 2 2 2 3 2" xfId="4901"/>
    <cellStyle name="Nota 2 2 2 3 2 2" xfId="4902"/>
    <cellStyle name="Nota 2 2 2 4" xfId="4903"/>
    <cellStyle name="Nota 2 2 2 4 2" xfId="4904"/>
    <cellStyle name="Nota 2 2 2 4 2 2" xfId="4905"/>
    <cellStyle name="Nota 2 2 2 5" xfId="4906"/>
    <cellStyle name="Nota 2 2 2 6" xfId="4907"/>
    <cellStyle name="Nota 2 2 2 7" xfId="4908"/>
    <cellStyle name="Nota 2 2 2 8" xfId="4909"/>
    <cellStyle name="Nota 2 2 2 9" xfId="4910"/>
    <cellStyle name="Nota 2 2 20" xfId="4911"/>
    <cellStyle name="Nota 2 2 20 2" xfId="4912"/>
    <cellStyle name="Nota 2 2 20 2 2" xfId="4913"/>
    <cellStyle name="Nota 2 2 21" xfId="4914"/>
    <cellStyle name="Nota 2 2 21 2" xfId="4915"/>
    <cellStyle name="Nota 2 2 21 2 2" xfId="4916"/>
    <cellStyle name="Nota 2 2 22" xfId="4917"/>
    <cellStyle name="Nota 2 2 22 2" xfId="4918"/>
    <cellStyle name="Nota 2 2 22 2 2" xfId="4919"/>
    <cellStyle name="Nota 2 2 23" xfId="4920"/>
    <cellStyle name="Nota 2 2 23 2" xfId="4921"/>
    <cellStyle name="Nota 2 2 23 2 2" xfId="4922"/>
    <cellStyle name="Nota 2 2 24" xfId="4923"/>
    <cellStyle name="Nota 2 2 24 2" xfId="4924"/>
    <cellStyle name="Nota 2 2 24 2 2" xfId="4925"/>
    <cellStyle name="Nota 2 2 25" xfId="4926"/>
    <cellStyle name="Nota 2 2 25 2" xfId="4927"/>
    <cellStyle name="Nota 2 2 25 2 2" xfId="4928"/>
    <cellStyle name="Nota 2 2 26" xfId="4929"/>
    <cellStyle name="Nota 2 2 26 2" xfId="4930"/>
    <cellStyle name="Nota 2 2 26 2 2" xfId="4931"/>
    <cellStyle name="Nota 2 2 27" xfId="4932"/>
    <cellStyle name="Nota 2 2 27 2" xfId="4933"/>
    <cellStyle name="Nota 2 2 27 2 2" xfId="4934"/>
    <cellStyle name="Nota 2 2 28" xfId="4935"/>
    <cellStyle name="Nota 2 2 28 2" xfId="4936"/>
    <cellStyle name="Nota 2 2 28 2 2" xfId="4937"/>
    <cellStyle name="Nota 2 2 29" xfId="4938"/>
    <cellStyle name="Nota 2 2 29 2" xfId="4939"/>
    <cellStyle name="Nota 2 2 3" xfId="4940"/>
    <cellStyle name="Nota 2 2 3 2" xfId="4941"/>
    <cellStyle name="Nota 2 2 3 2 2" xfId="4942"/>
    <cellStyle name="Nota 2 2 3 2 3" xfId="4943"/>
    <cellStyle name="Nota 2 2 3 2 3 2" xfId="4944"/>
    <cellStyle name="Nota 2 2 4" xfId="4945"/>
    <cellStyle name="Nota 2 2 5" xfId="4946"/>
    <cellStyle name="Nota 2 2 5 2" xfId="4947"/>
    <cellStyle name="Nota 2 2 5 2 2" xfId="4948"/>
    <cellStyle name="Nota 2 2 6" xfId="4949"/>
    <cellStyle name="Nota 2 2 6 2" xfId="4950"/>
    <cellStyle name="Nota 2 2 6 2 2" xfId="4951"/>
    <cellStyle name="Nota 2 2 7" xfId="4952"/>
    <cellStyle name="Nota 2 2 7 2" xfId="4953"/>
    <cellStyle name="Nota 2 2 7 2 2" xfId="4954"/>
    <cellStyle name="Nota 2 2 8" xfId="4955"/>
    <cellStyle name="Nota 2 2 8 2" xfId="4956"/>
    <cellStyle name="Nota 2 2 8 2 2" xfId="4957"/>
    <cellStyle name="Nota 2 2 9" xfId="4958"/>
    <cellStyle name="Nota 2 2 9 2" xfId="4959"/>
    <cellStyle name="Nota 2 2 9 2 2" xfId="4960"/>
    <cellStyle name="Nota 2 20" xfId="4961"/>
    <cellStyle name="Nota 2 21" xfId="4962"/>
    <cellStyle name="Nota 2 22" xfId="4963"/>
    <cellStyle name="Nota 2 23" xfId="4964"/>
    <cellStyle name="Nota 2 24" xfId="4965"/>
    <cellStyle name="Nota 2 25" xfId="4966"/>
    <cellStyle name="Nota 2 26" xfId="4967"/>
    <cellStyle name="Nota 2 27" xfId="4968"/>
    <cellStyle name="Nota 2 28" xfId="4969"/>
    <cellStyle name="Nota 2 29" xfId="4970"/>
    <cellStyle name="Nota 2 3" xfId="4971"/>
    <cellStyle name="Nota 2 3 2" xfId="4972"/>
    <cellStyle name="Nota 2 3 2 2" xfId="4973"/>
    <cellStyle name="Nota 2 30" xfId="4974"/>
    <cellStyle name="Nota 2 31" xfId="4975"/>
    <cellStyle name="Nota 2 32" xfId="4976"/>
    <cellStyle name="Nota 2 33" xfId="4977"/>
    <cellStyle name="Nota 2 4" xfId="4978"/>
    <cellStyle name="Nota 2 4 2" xfId="4979"/>
    <cellStyle name="Nota 2 4 2 2" xfId="4980"/>
    <cellStyle name="Nota 2 5" xfId="4981"/>
    <cellStyle name="Nota 2 5 2" xfId="4982"/>
    <cellStyle name="Nota 2 5 2 2" xfId="4983"/>
    <cellStyle name="Nota 2 6" xfId="4984"/>
    <cellStyle name="Nota 2 6 2" xfId="4985"/>
    <cellStyle name="Nota 2 6 2 2" xfId="4986"/>
    <cellStyle name="Nota 2 6 2 2 2" xfId="4987"/>
    <cellStyle name="Nota 2 6 2 2 2 2" xfId="4988"/>
    <cellStyle name="Nota 2 6 3" xfId="4989"/>
    <cellStyle name="Nota 2 6 3 2" xfId="4990"/>
    <cellStyle name="Nota 2 7" xfId="4991"/>
    <cellStyle name="Nota 2 7 2" xfId="4992"/>
    <cellStyle name="Nota 2 7 2 2" xfId="4993"/>
    <cellStyle name="Nota 2 8" xfId="4994"/>
    <cellStyle name="Nota 2 8 2" xfId="4995"/>
    <cellStyle name="Nota 2 8 2 2" xfId="4996"/>
    <cellStyle name="Nota 2 9" xfId="4997"/>
    <cellStyle name="Nota 20" xfId="4998"/>
    <cellStyle name="Nota 20 2" xfId="4999"/>
    <cellStyle name="Nota 20 2 2" xfId="5000"/>
    <cellStyle name="Nota 21" xfId="5001"/>
    <cellStyle name="Nota 21 2" xfId="5002"/>
    <cellStyle name="Nota 21 2 2" xfId="5003"/>
    <cellStyle name="Nota 22" xfId="5004"/>
    <cellStyle name="Nota 22 2" xfId="5005"/>
    <cellStyle name="Nota 22 2 2" xfId="5006"/>
    <cellStyle name="Nota 23" xfId="5007"/>
    <cellStyle name="Nota 23 2" xfId="5008"/>
    <cellStyle name="Nota 23 2 2" xfId="5009"/>
    <cellStyle name="Nota 24" xfId="5010"/>
    <cellStyle name="Nota 24 2" xfId="5011"/>
    <cellStyle name="Nota 24 2 2" xfId="5012"/>
    <cellStyle name="Nota 25" xfId="5013"/>
    <cellStyle name="Nota 25 2" xfId="5014"/>
    <cellStyle name="Nota 25 2 2" xfId="5015"/>
    <cellStyle name="Nota 26" xfId="5016"/>
    <cellStyle name="Nota 26 2" xfId="5017"/>
    <cellStyle name="Nota 26 2 2" xfId="5018"/>
    <cellStyle name="Nota 27" xfId="5019"/>
    <cellStyle name="Nota 27 2" xfId="5020"/>
    <cellStyle name="Nota 27 2 2" xfId="5021"/>
    <cellStyle name="Nota 28" xfId="5022"/>
    <cellStyle name="Nota 28 2" xfId="5023"/>
    <cellStyle name="Nota 28 2 2" xfId="5024"/>
    <cellStyle name="Nota 29" xfId="5025"/>
    <cellStyle name="Nota 29 2" xfId="5026"/>
    <cellStyle name="Nota 29 2 2" xfId="5027"/>
    <cellStyle name="Nota 3" xfId="5028"/>
    <cellStyle name="Nota 3 2" xfId="5029"/>
    <cellStyle name="Nota 3 2 2" xfId="5030"/>
    <cellStyle name="Nota 3 2 2 2" xfId="5031"/>
    <cellStyle name="Nota 3 3" xfId="5032"/>
    <cellStyle name="Nota 3 3 2" xfId="5033"/>
    <cellStyle name="Nota 30" xfId="5034"/>
    <cellStyle name="Nota 30 2" xfId="5035"/>
    <cellStyle name="Nota 30 2 2" xfId="5036"/>
    <cellStyle name="Nota 31" xfId="5037"/>
    <cellStyle name="Nota 31 2" xfId="5038"/>
    <cellStyle name="Nota 31 2 2" xfId="5039"/>
    <cellStyle name="Nota 32" xfId="5040"/>
    <cellStyle name="Nota 32 2" xfId="5041"/>
    <cellStyle name="Nota 32 2 2" xfId="5042"/>
    <cellStyle name="Nota 33" xfId="5043"/>
    <cellStyle name="Nota 33 2" xfId="5044"/>
    <cellStyle name="Nota 33 2 2" xfId="5045"/>
    <cellStyle name="Nota 34" xfId="5046"/>
    <cellStyle name="Nota 34 2" xfId="5047"/>
    <cellStyle name="Nota 34 2 2" xfId="5048"/>
    <cellStyle name="Nota 35" xfId="5049"/>
    <cellStyle name="Nota 35 2" xfId="5050"/>
    <cellStyle name="Nota 35 2 2" xfId="5051"/>
    <cellStyle name="Nota 36" xfId="5052"/>
    <cellStyle name="Nota 36 2" xfId="5053"/>
    <cellStyle name="Nota 36 2 2" xfId="5054"/>
    <cellStyle name="Nota 37" xfId="5055"/>
    <cellStyle name="Nota 37 2" xfId="5056"/>
    <cellStyle name="Nota 4" xfId="5057"/>
    <cellStyle name="Nota 4 2" xfId="5058"/>
    <cellStyle name="Nota 4 2 2" xfId="5059"/>
    <cellStyle name="Nota 4 2 2 2" xfId="5060"/>
    <cellStyle name="Nota 4 3" xfId="5061"/>
    <cellStyle name="Nota 4 3 2" xfId="5062"/>
    <cellStyle name="Nota 5" xfId="5063"/>
    <cellStyle name="Nota 5 2" xfId="5064"/>
    <cellStyle name="Nota 5 2 2" xfId="5065"/>
    <cellStyle name="Nota 5 2 2 2" xfId="5066"/>
    <cellStyle name="Nota 5 3" xfId="5067"/>
    <cellStyle name="Nota 5 3 2" xfId="5068"/>
    <cellStyle name="Nota 6" xfId="5069"/>
    <cellStyle name="Nota 6 2" xfId="5070"/>
    <cellStyle name="Nota 6 2 2" xfId="5071"/>
    <cellStyle name="Nota 6 2 2 2" xfId="5072"/>
    <cellStyle name="Nota 6 3" xfId="5073"/>
    <cellStyle name="Nota 6 3 2" xfId="5074"/>
    <cellStyle name="Nota 7" xfId="5075"/>
    <cellStyle name="Nota 7 2" xfId="5076"/>
    <cellStyle name="Nota 7 2 2" xfId="5077"/>
    <cellStyle name="Nota 8" xfId="5078"/>
    <cellStyle name="Nota 8 2" xfId="5079"/>
    <cellStyle name="Nota 8 2 2" xfId="5080"/>
    <cellStyle name="Nota 9" xfId="5081"/>
    <cellStyle name="Nota 9 2" xfId="5082"/>
    <cellStyle name="Nota 9 2 2" xfId="5083"/>
    <cellStyle name="Note" xfId="5084"/>
    <cellStyle name="Note 2" xfId="5085"/>
    <cellStyle name="Note 2 2" xfId="5086"/>
    <cellStyle name="Output" xfId="5087"/>
    <cellStyle name="Output 2" xfId="5088"/>
    <cellStyle name="Output 2 2" xfId="5089"/>
    <cellStyle name="Percen - Estilo2" xfId="5090"/>
    <cellStyle name="Percent" xfId="5091"/>
    <cellStyle name="Percent [2]" xfId="5092"/>
    <cellStyle name="Percent [2] 2" xfId="5093"/>
    <cellStyle name="Percent 2" xfId="5094"/>
    <cellStyle name="Percent 2 2" xfId="5095"/>
    <cellStyle name="Percentual" xfId="5096"/>
    <cellStyle name="Ponto" xfId="5097"/>
    <cellStyle name="Porcentagem 13" xfId="5098"/>
    <cellStyle name="Porcentagem 2" xfId="5099"/>
    <cellStyle name="Porcentagem 2 10" xfId="5100"/>
    <cellStyle name="Porcentagem 2 10 2" xfId="5101"/>
    <cellStyle name="Porcentagem 2 11" xfId="5102"/>
    <cellStyle name="Porcentagem 2 11 2" xfId="5103"/>
    <cellStyle name="Porcentagem 2 12" xfId="5104"/>
    <cellStyle name="Porcentagem 2 12 2" xfId="5105"/>
    <cellStyle name="Porcentagem 2 13" xfId="5106"/>
    <cellStyle name="Porcentagem 2 13 2" xfId="5107"/>
    <cellStyle name="Porcentagem 2 14" xfId="5108"/>
    <cellStyle name="Porcentagem 2 14 2" xfId="5109"/>
    <cellStyle name="Porcentagem 2 15" xfId="5110"/>
    <cellStyle name="Porcentagem 2 15 2" xfId="5111"/>
    <cellStyle name="Porcentagem 2 16" xfId="5112"/>
    <cellStyle name="Porcentagem 2 16 2" xfId="5113"/>
    <cellStyle name="Porcentagem 2 17" xfId="5114"/>
    <cellStyle name="Porcentagem 2 17 2" xfId="5115"/>
    <cellStyle name="Porcentagem 2 18" xfId="5116"/>
    <cellStyle name="Porcentagem 2 18 2" xfId="5117"/>
    <cellStyle name="Porcentagem 2 19" xfId="5118"/>
    <cellStyle name="Porcentagem 2 19 2" xfId="5119"/>
    <cellStyle name="Porcentagem 2 2" xfId="5120"/>
    <cellStyle name="Porcentagem 2 2 2" xfId="5121"/>
    <cellStyle name="Porcentagem 2 20" xfId="5122"/>
    <cellStyle name="Porcentagem 2 21" xfId="5123"/>
    <cellStyle name="Porcentagem 2 22" xfId="5124"/>
    <cellStyle name="Porcentagem 2 23" xfId="5125"/>
    <cellStyle name="Porcentagem 2 3" xfId="5126"/>
    <cellStyle name="Porcentagem 2 3 2" xfId="5127"/>
    <cellStyle name="Porcentagem 2 4" xfId="5128"/>
    <cellStyle name="Porcentagem 2 4 2" xfId="5129"/>
    <cellStyle name="Porcentagem 2 5" xfId="5130"/>
    <cellStyle name="Porcentagem 2 5 2" xfId="5131"/>
    <cellStyle name="Porcentagem 2 6" xfId="5132"/>
    <cellStyle name="Porcentagem 2 6 2" xfId="5133"/>
    <cellStyle name="Porcentagem 2 7" xfId="5134"/>
    <cellStyle name="Porcentagem 2 7 2" xfId="5135"/>
    <cellStyle name="Porcentagem 2 8" xfId="5136"/>
    <cellStyle name="Porcentagem 2 8 2" xfId="5137"/>
    <cellStyle name="Porcentagem 2 9" xfId="5138"/>
    <cellStyle name="Porcentagem 2 9 2" xfId="5139"/>
    <cellStyle name="Porcentagem 2_Planilha Paecará - COTAÇÃO" xfId="5140"/>
    <cellStyle name="Porcentagem 3" xfId="5141"/>
    <cellStyle name="Porcentagem 3 2" xfId="5142"/>
    <cellStyle name="Porcentagem 4" xfId="5143"/>
    <cellStyle name="Porcentagem 4 2" xfId="5144"/>
    <cellStyle name="Porcentagem 4 2 2" xfId="5145"/>
    <cellStyle name="Porcentagem 4 3" xfId="5146"/>
    <cellStyle name="Porcentagem 4 4" xfId="5147"/>
    <cellStyle name="Porcentagem 4 5" xfId="5148"/>
    <cellStyle name="Porcentagem 4 6" xfId="5149"/>
    <cellStyle name="Porcentagem 5" xfId="5150"/>
    <cellStyle name="Porcentagem 6" xfId="5151"/>
    <cellStyle name="Porcentagem 6 2" xfId="5152"/>
    <cellStyle name="Porcentagem 6 3" xfId="5153"/>
    <cellStyle name="Porcentagem 6 4" xfId="5154"/>
    <cellStyle name="Porcentagem 6 5" xfId="5155"/>
    <cellStyle name="Porcentagem 7" xfId="5156"/>
    <cellStyle name="Porcentual [0]" xfId="5157"/>
    <cellStyle name="Porcentual_ADELBCO" xfId="5158"/>
    <cellStyle name="Punto0" xfId="5159"/>
    <cellStyle name="Ricardo" xfId="5160"/>
    <cellStyle name="Ricardo 2" xfId="5161"/>
    <cellStyle name="Ricardo 2 2" xfId="5162"/>
    <cellStyle name="Saída 10" xfId="5163"/>
    <cellStyle name="Saída 10 2" xfId="5164"/>
    <cellStyle name="Saída 10 2 2" xfId="5165"/>
    <cellStyle name="Saída 11" xfId="5166"/>
    <cellStyle name="Saída 11 2" xfId="5167"/>
    <cellStyle name="Saída 11 2 2" xfId="5168"/>
    <cellStyle name="Saída 12" xfId="5169"/>
    <cellStyle name="Saída 12 2" xfId="5170"/>
    <cellStyle name="Saída 12 2 2" xfId="5171"/>
    <cellStyle name="Saída 13" xfId="5172"/>
    <cellStyle name="Saída 13 2" xfId="5173"/>
    <cellStyle name="Saída 13 2 2" xfId="5174"/>
    <cellStyle name="Saída 14" xfId="5175"/>
    <cellStyle name="Saída 14 2" xfId="5176"/>
    <cellStyle name="Saída 14 2 2" xfId="5177"/>
    <cellStyle name="Saída 15" xfId="5178"/>
    <cellStyle name="Saída 15 2" xfId="5179"/>
    <cellStyle name="Saída 15 2 2" xfId="5180"/>
    <cellStyle name="Saída 16" xfId="5181"/>
    <cellStyle name="Saída 16 2" xfId="5182"/>
    <cellStyle name="Saída 16 2 2" xfId="5183"/>
    <cellStyle name="Saída 17" xfId="5184"/>
    <cellStyle name="Saída 17 2" xfId="5185"/>
    <cellStyle name="Saída 17 2 2" xfId="5186"/>
    <cellStyle name="Saída 18" xfId="5187"/>
    <cellStyle name="Saída 18 2" xfId="5188"/>
    <cellStyle name="Saída 18 2 2" xfId="5189"/>
    <cellStyle name="Saída 19" xfId="5190"/>
    <cellStyle name="Saída 19 2" xfId="5191"/>
    <cellStyle name="Saída 19 2 2" xfId="5192"/>
    <cellStyle name="Saída 2" xfId="5193"/>
    <cellStyle name="Saída 2 10" xfId="5194"/>
    <cellStyle name="Saída 2 10 2" xfId="5195"/>
    <cellStyle name="Saída 2 10 2 2" xfId="5196"/>
    <cellStyle name="Saída 2 11" xfId="5197"/>
    <cellStyle name="Saída 2 11 2" xfId="5198"/>
    <cellStyle name="Saída 2 11 2 2" xfId="5199"/>
    <cellStyle name="Saída 2 12" xfId="5200"/>
    <cellStyle name="Saída 2 12 2" xfId="5201"/>
    <cellStyle name="Saída 2 12 2 2" xfId="5202"/>
    <cellStyle name="Saída 2 13" xfId="5203"/>
    <cellStyle name="Saída 2 13 2" xfId="5204"/>
    <cellStyle name="Saída 2 13 2 2" xfId="5205"/>
    <cellStyle name="Saída 2 14" xfId="5206"/>
    <cellStyle name="Saída 2 14 2" xfId="5207"/>
    <cellStyle name="Saída 2 14 2 2" xfId="5208"/>
    <cellStyle name="Saída 2 15" xfId="5209"/>
    <cellStyle name="Saída 2 15 2" xfId="5210"/>
    <cellStyle name="Saída 2 15 2 2" xfId="5211"/>
    <cellStyle name="Saída 2 16" xfId="5212"/>
    <cellStyle name="Saída 2 16 2" xfId="5213"/>
    <cellStyle name="Saída 2 16 2 2" xfId="5214"/>
    <cellStyle name="Saída 2 17" xfId="5215"/>
    <cellStyle name="Saída 2 17 2" xfId="5216"/>
    <cellStyle name="Saída 2 17 2 2" xfId="5217"/>
    <cellStyle name="Saída 2 18" xfId="5218"/>
    <cellStyle name="Saída 2 18 2" xfId="5219"/>
    <cellStyle name="Saída 2 18 2 2" xfId="5220"/>
    <cellStyle name="Saída 2 19" xfId="5221"/>
    <cellStyle name="Saída 2 19 2" xfId="5222"/>
    <cellStyle name="Saída 2 19 2 2" xfId="5223"/>
    <cellStyle name="Saída 2 2" xfId="5224"/>
    <cellStyle name="Saída 2 2 2" xfId="5225"/>
    <cellStyle name="Saída 2 2 2 2" xfId="5226"/>
    <cellStyle name="Saída 2 20" xfId="5227"/>
    <cellStyle name="Saída 2 20 2" xfId="5228"/>
    <cellStyle name="Saída 2 20 2 2" xfId="5229"/>
    <cellStyle name="Saída 2 21" xfId="5230"/>
    <cellStyle name="Saída 2 21 2" xfId="5231"/>
    <cellStyle name="Saída 2 21 2 2" xfId="5232"/>
    <cellStyle name="Saída 2 22" xfId="5233"/>
    <cellStyle name="Saída 2 22 2" xfId="5234"/>
    <cellStyle name="Saída 2 22 2 2" xfId="5235"/>
    <cellStyle name="Saída 2 23" xfId="5236"/>
    <cellStyle name="Saída 2 23 2" xfId="5237"/>
    <cellStyle name="Saída 2 23 2 2" xfId="5238"/>
    <cellStyle name="Saída 2 24" xfId="5239"/>
    <cellStyle name="Saída 2 24 2" xfId="5240"/>
    <cellStyle name="Saída 2 24 2 2" xfId="5241"/>
    <cellStyle name="Saída 2 25" xfId="5242"/>
    <cellStyle name="Saída 2 25 2" xfId="5243"/>
    <cellStyle name="Saída 2 25 2 2" xfId="5244"/>
    <cellStyle name="Saída 2 26" xfId="5245"/>
    <cellStyle name="Saída 2 26 2" xfId="5246"/>
    <cellStyle name="Saída 2 26 2 2" xfId="5247"/>
    <cellStyle name="Saída 2 27" xfId="5248"/>
    <cellStyle name="Saída 2 27 2" xfId="5249"/>
    <cellStyle name="Saída 2 27 2 2" xfId="5250"/>
    <cellStyle name="Saída 2 28" xfId="5251"/>
    <cellStyle name="Saída 2 28 2" xfId="5252"/>
    <cellStyle name="Saída 2 3" xfId="5253"/>
    <cellStyle name="Saída 2 3 2" xfId="5254"/>
    <cellStyle name="Saída 2 3 2 2" xfId="5255"/>
    <cellStyle name="Saída 2 4" xfId="5256"/>
    <cellStyle name="Saída 2 4 2" xfId="5257"/>
    <cellStyle name="Saída 2 4 2 2" xfId="5258"/>
    <cellStyle name="Saída 2 5" xfId="5259"/>
    <cellStyle name="Saída 2 5 2" xfId="5260"/>
    <cellStyle name="Saída 2 5 2 2" xfId="5261"/>
    <cellStyle name="Saída 2 6" xfId="5262"/>
    <cellStyle name="Saída 2 6 2" xfId="5263"/>
    <cellStyle name="Saída 2 6 2 2" xfId="5264"/>
    <cellStyle name="Saída 2 7" xfId="5265"/>
    <cellStyle name="Saída 2 7 2" xfId="5266"/>
    <cellStyle name="Saída 2 7 2 2" xfId="5267"/>
    <cellStyle name="Saída 2 8" xfId="5268"/>
    <cellStyle name="Saída 2 8 2" xfId="5269"/>
    <cellStyle name="Saída 2 8 2 2" xfId="5270"/>
    <cellStyle name="Saída 2 9" xfId="5271"/>
    <cellStyle name="Saída 2 9 2" xfId="5272"/>
    <cellStyle name="Saída 2 9 2 2" xfId="5273"/>
    <cellStyle name="Saída 20" xfId="5274"/>
    <cellStyle name="Saída 20 2" xfId="5275"/>
    <cellStyle name="Saída 20 2 2" xfId="5276"/>
    <cellStyle name="Saída 21" xfId="5277"/>
    <cellStyle name="Saída 21 2" xfId="5278"/>
    <cellStyle name="Saída 21 2 2" xfId="5279"/>
    <cellStyle name="Saída 22" xfId="5280"/>
    <cellStyle name="Saída 22 2" xfId="5281"/>
    <cellStyle name="Saída 22 2 2" xfId="5282"/>
    <cellStyle name="Saída 23" xfId="5283"/>
    <cellStyle name="Saída 23 2" xfId="5284"/>
    <cellStyle name="Saída 23 2 2" xfId="5285"/>
    <cellStyle name="Saída 24" xfId="5286"/>
    <cellStyle name="Saída 24 2" xfId="5287"/>
    <cellStyle name="Saída 24 2 2" xfId="5288"/>
    <cellStyle name="Saída 25" xfId="5289"/>
    <cellStyle name="Saída 25 2" xfId="5290"/>
    <cellStyle name="Saída 25 2 2" xfId="5291"/>
    <cellStyle name="Saída 26" xfId="5292"/>
    <cellStyle name="Saída 26 2" xfId="5293"/>
    <cellStyle name="Saída 26 2 2" xfId="5294"/>
    <cellStyle name="Saída 27" xfId="5295"/>
    <cellStyle name="Saída 27 2" xfId="5296"/>
    <cellStyle name="Saída 27 2 2" xfId="5297"/>
    <cellStyle name="Saída 28" xfId="5298"/>
    <cellStyle name="Saída 28 2" xfId="5299"/>
    <cellStyle name="Saída 3" xfId="5300"/>
    <cellStyle name="Saída 3 2" xfId="5301"/>
    <cellStyle name="Saída 3 2 2" xfId="5302"/>
    <cellStyle name="Saída 4" xfId="5303"/>
    <cellStyle name="Saída 4 2" xfId="5304"/>
    <cellStyle name="Saída 4 2 2" xfId="5305"/>
    <cellStyle name="Saída 5" xfId="5306"/>
    <cellStyle name="Saída 5 2" xfId="5307"/>
    <cellStyle name="Saída 5 2 2" xfId="5308"/>
    <cellStyle name="Saída 6" xfId="5309"/>
    <cellStyle name="Saída 6 2" xfId="5310"/>
    <cellStyle name="Saída 6 2 2" xfId="5311"/>
    <cellStyle name="Saída 7" xfId="5312"/>
    <cellStyle name="Saída 7 2" xfId="5313"/>
    <cellStyle name="Saída 7 2 2" xfId="5314"/>
    <cellStyle name="Saída 8" xfId="5315"/>
    <cellStyle name="Saída 8 2" xfId="5316"/>
    <cellStyle name="Saída 8 2 2" xfId="5317"/>
    <cellStyle name="Saída 9" xfId="5318"/>
    <cellStyle name="Saída 9 2" xfId="5319"/>
    <cellStyle name="Saída 9 2 2" xfId="5320"/>
    <cellStyle name="Sep. milhar [0]" xfId="5321"/>
    <cellStyle name="Sep. milhar [0] 10" xfId="5322"/>
    <cellStyle name="Sep. milhar [0] 10 10" xfId="5323"/>
    <cellStyle name="Sep. milhar [0] 10 11" xfId="5324"/>
    <cellStyle name="Sep. milhar [0] 10 2" xfId="5325"/>
    <cellStyle name="Sep. milhar [0] 10 3" xfId="5326"/>
    <cellStyle name="Sep. milhar [0] 10 4" xfId="5327"/>
    <cellStyle name="Sep. milhar [0] 10 5" xfId="5328"/>
    <cellStyle name="Sep. milhar [0] 10 6" xfId="5329"/>
    <cellStyle name="Sep. milhar [0] 10 7" xfId="5330"/>
    <cellStyle name="Sep. milhar [0] 10 8" xfId="5331"/>
    <cellStyle name="Sep. milhar [0] 10 9" xfId="5332"/>
    <cellStyle name="Sep. milhar [0] 11" xfId="5333"/>
    <cellStyle name="Sep. milhar [0] 11 10" xfId="5334"/>
    <cellStyle name="Sep. milhar [0] 11 11" xfId="5335"/>
    <cellStyle name="Sep. milhar [0] 11 2" xfId="5336"/>
    <cellStyle name="Sep. milhar [0] 11 3" xfId="5337"/>
    <cellStyle name="Sep. milhar [0] 11 4" xfId="5338"/>
    <cellStyle name="Sep. milhar [0] 11 5" xfId="5339"/>
    <cellStyle name="Sep. milhar [0] 11 6" xfId="5340"/>
    <cellStyle name="Sep. milhar [0] 11 7" xfId="5341"/>
    <cellStyle name="Sep. milhar [0] 11 8" xfId="5342"/>
    <cellStyle name="Sep. milhar [0] 11 9" xfId="5343"/>
    <cellStyle name="Sep. milhar [0] 12" xfId="5344"/>
    <cellStyle name="Sep. milhar [0] 12 10" xfId="5345"/>
    <cellStyle name="Sep. milhar [0] 12 11" xfId="5346"/>
    <cellStyle name="Sep. milhar [0] 12 2" xfId="5347"/>
    <cellStyle name="Sep. milhar [0] 12 3" xfId="5348"/>
    <cellStyle name="Sep. milhar [0] 12 4" xfId="5349"/>
    <cellStyle name="Sep. milhar [0] 12 5" xfId="5350"/>
    <cellStyle name="Sep. milhar [0] 12 6" xfId="5351"/>
    <cellStyle name="Sep. milhar [0] 12 7" xfId="5352"/>
    <cellStyle name="Sep. milhar [0] 12 8" xfId="5353"/>
    <cellStyle name="Sep. milhar [0] 12 9" xfId="5354"/>
    <cellStyle name="Sep. milhar [0] 13" xfId="5355"/>
    <cellStyle name="Sep. milhar [0] 14" xfId="5356"/>
    <cellStyle name="Sep. milhar [0] 15" xfId="5357"/>
    <cellStyle name="Sep. milhar [0] 16" xfId="5358"/>
    <cellStyle name="Sep. milhar [0] 17" xfId="5359"/>
    <cellStyle name="Sep. milhar [0] 18" xfId="5360"/>
    <cellStyle name="Sep. milhar [0] 19" xfId="5361"/>
    <cellStyle name="Sep. milhar [0] 2" xfId="5362"/>
    <cellStyle name="Sep. milhar [0] 2 10" xfId="5363"/>
    <cellStyle name="Sep. milhar [0] 2 11" xfId="5364"/>
    <cellStyle name="Sep. milhar [0] 2 2" xfId="5365"/>
    <cellStyle name="Sep. milhar [0] 2 3" xfId="5366"/>
    <cellStyle name="Sep. milhar [0] 2 4" xfId="5367"/>
    <cellStyle name="Sep. milhar [0] 2 5" xfId="5368"/>
    <cellStyle name="Sep. milhar [0] 2 6" xfId="5369"/>
    <cellStyle name="Sep. milhar [0] 2 7" xfId="5370"/>
    <cellStyle name="Sep. milhar [0] 2 8" xfId="5371"/>
    <cellStyle name="Sep. milhar [0] 2 9" xfId="5372"/>
    <cellStyle name="Sep. milhar [0] 20" xfId="5373"/>
    <cellStyle name="Sep. milhar [0] 21" xfId="5374"/>
    <cellStyle name="Sep. milhar [0] 22" xfId="5375"/>
    <cellStyle name="Sep. milhar [0] 22 2" xfId="5376"/>
    <cellStyle name="Sep. milhar [0] 22 3" xfId="5377"/>
    <cellStyle name="Sep. milhar [0] 23" xfId="5378"/>
    <cellStyle name="Sep. milhar [0] 23 2" xfId="5379"/>
    <cellStyle name="Sep. milhar [0] 23 3" xfId="5380"/>
    <cellStyle name="Sep. milhar [0] 24" xfId="5381"/>
    <cellStyle name="Sep. milhar [0] 25" xfId="5382"/>
    <cellStyle name="Sep. milhar [0] 26" xfId="5383"/>
    <cellStyle name="Sep. milhar [0] 26 10" xfId="5384"/>
    <cellStyle name="Sep. milhar [0] 26 11" xfId="5385"/>
    <cellStyle name="Sep. milhar [0] 26 12" xfId="5386"/>
    <cellStyle name="Sep. milhar [0] 26 13" xfId="5387"/>
    <cellStyle name="Sep. milhar [0] 26 14" xfId="5388"/>
    <cellStyle name="Sep. milhar [0] 26 2" xfId="5389"/>
    <cellStyle name="Sep. milhar [0] 26 2 2" xfId="5390"/>
    <cellStyle name="Sep. milhar [0] 26 3" xfId="5391"/>
    <cellStyle name="Sep. milhar [0] 26 3 2" xfId="5392"/>
    <cellStyle name="Sep. milhar [0] 26 4" xfId="5393"/>
    <cellStyle name="Sep. milhar [0] 26 5" xfId="5394"/>
    <cellStyle name="Sep. milhar [0] 26 6" xfId="5395"/>
    <cellStyle name="Sep. milhar [0] 26 7" xfId="5396"/>
    <cellStyle name="Sep. milhar [0] 26 8" xfId="5397"/>
    <cellStyle name="Sep. milhar [0] 26 9" xfId="5398"/>
    <cellStyle name="Sep. milhar [0] 27" xfId="5399"/>
    <cellStyle name="Sep. milhar [0] 27 10" xfId="5400"/>
    <cellStyle name="Sep. milhar [0] 27 11" xfId="5401"/>
    <cellStyle name="Sep. milhar [0] 27 12" xfId="5402"/>
    <cellStyle name="Sep. milhar [0] 27 13" xfId="5403"/>
    <cellStyle name="Sep. milhar [0] 27 2" xfId="5404"/>
    <cellStyle name="Sep. milhar [0] 27 3" xfId="5405"/>
    <cellStyle name="Sep. milhar [0] 27 4" xfId="5406"/>
    <cellStyle name="Sep. milhar [0] 27 5" xfId="5407"/>
    <cellStyle name="Sep. milhar [0] 27 6" xfId="5408"/>
    <cellStyle name="Sep. milhar [0] 27 7" xfId="5409"/>
    <cellStyle name="Sep. milhar [0] 27 8" xfId="5410"/>
    <cellStyle name="Sep. milhar [0] 27 9" xfId="5411"/>
    <cellStyle name="Sep. milhar [0] 28" xfId="5412"/>
    <cellStyle name="Sep. milhar [0] 28 10" xfId="5413"/>
    <cellStyle name="Sep. milhar [0] 28 11" xfId="5414"/>
    <cellStyle name="Sep. milhar [0] 28 12" xfId="5415"/>
    <cellStyle name="Sep. milhar [0] 28 13" xfId="5416"/>
    <cellStyle name="Sep. milhar [0] 28 2" xfId="5417"/>
    <cellStyle name="Sep. milhar [0] 28 3" xfId="5418"/>
    <cellStyle name="Sep. milhar [0] 28 4" xfId="5419"/>
    <cellStyle name="Sep. milhar [0] 28 5" xfId="5420"/>
    <cellStyle name="Sep. milhar [0] 28 6" xfId="5421"/>
    <cellStyle name="Sep. milhar [0] 28 7" xfId="5422"/>
    <cellStyle name="Sep. milhar [0] 28 8" xfId="5423"/>
    <cellStyle name="Sep. milhar [0] 28 9" xfId="5424"/>
    <cellStyle name="Sep. milhar [0] 29" xfId="5425"/>
    <cellStyle name="Sep. milhar [0] 3" xfId="5426"/>
    <cellStyle name="Sep. milhar [0] 3 10" xfId="5427"/>
    <cellStyle name="Sep. milhar [0] 3 11" xfId="5428"/>
    <cellStyle name="Sep. milhar [0] 3 2" xfId="5429"/>
    <cellStyle name="Sep. milhar [0] 3 3" xfId="5430"/>
    <cellStyle name="Sep. milhar [0] 3 4" xfId="5431"/>
    <cellStyle name="Sep. milhar [0] 3 5" xfId="5432"/>
    <cellStyle name="Sep. milhar [0] 3 6" xfId="5433"/>
    <cellStyle name="Sep. milhar [0] 3 7" xfId="5434"/>
    <cellStyle name="Sep. milhar [0] 3 8" xfId="5435"/>
    <cellStyle name="Sep. milhar [0] 3 9" xfId="5436"/>
    <cellStyle name="Sep. milhar [0] 30" xfId="5437"/>
    <cellStyle name="Sep. milhar [0] 4" xfId="5438"/>
    <cellStyle name="Sep. milhar [0] 4 10" xfId="5439"/>
    <cellStyle name="Sep. milhar [0] 4 11" xfId="5440"/>
    <cellStyle name="Sep. milhar [0] 4 2" xfId="5441"/>
    <cellStyle name="Sep. milhar [0] 4 3" xfId="5442"/>
    <cellStyle name="Sep. milhar [0] 4 4" xfId="5443"/>
    <cellStyle name="Sep. milhar [0] 4 5" xfId="5444"/>
    <cellStyle name="Sep. milhar [0] 4 6" xfId="5445"/>
    <cellStyle name="Sep. milhar [0] 4 7" xfId="5446"/>
    <cellStyle name="Sep. milhar [0] 4 8" xfId="5447"/>
    <cellStyle name="Sep. milhar [0] 4 9" xfId="5448"/>
    <cellStyle name="Sep. milhar [0] 5" xfId="5449"/>
    <cellStyle name="Sep. milhar [0] 5 10" xfId="5450"/>
    <cellStyle name="Sep. milhar [0] 5 11" xfId="5451"/>
    <cellStyle name="Sep. milhar [0] 5 2" xfId="5452"/>
    <cellStyle name="Sep. milhar [0] 5 3" xfId="5453"/>
    <cellStyle name="Sep. milhar [0] 5 4" xfId="5454"/>
    <cellStyle name="Sep. milhar [0] 5 5" xfId="5455"/>
    <cellStyle name="Sep. milhar [0] 5 6" xfId="5456"/>
    <cellStyle name="Sep. milhar [0] 5 7" xfId="5457"/>
    <cellStyle name="Sep. milhar [0] 5 8" xfId="5458"/>
    <cellStyle name="Sep. milhar [0] 5 9" xfId="5459"/>
    <cellStyle name="Sep. milhar [0] 6" xfId="5460"/>
    <cellStyle name="Sep. milhar [0] 6 10" xfId="5461"/>
    <cellStyle name="Sep. milhar [0] 6 11" xfId="5462"/>
    <cellStyle name="Sep. milhar [0] 6 2" xfId="5463"/>
    <cellStyle name="Sep. milhar [0] 6 3" xfId="5464"/>
    <cellStyle name="Sep. milhar [0] 6 4" xfId="5465"/>
    <cellStyle name="Sep. milhar [0] 6 5" xfId="5466"/>
    <cellStyle name="Sep. milhar [0] 6 6" xfId="5467"/>
    <cellStyle name="Sep. milhar [0] 6 7" xfId="5468"/>
    <cellStyle name="Sep. milhar [0] 6 8" xfId="5469"/>
    <cellStyle name="Sep. milhar [0] 6 9" xfId="5470"/>
    <cellStyle name="Sep. milhar [0] 7" xfId="5471"/>
    <cellStyle name="Sep. milhar [0] 7 10" xfId="5472"/>
    <cellStyle name="Sep. milhar [0] 7 11" xfId="5473"/>
    <cellStyle name="Sep. milhar [0] 7 2" xfId="5474"/>
    <cellStyle name="Sep. milhar [0] 7 3" xfId="5475"/>
    <cellStyle name="Sep. milhar [0] 7 4" xfId="5476"/>
    <cellStyle name="Sep. milhar [0] 7 5" xfId="5477"/>
    <cellStyle name="Sep. milhar [0] 7 6" xfId="5478"/>
    <cellStyle name="Sep. milhar [0] 7 7" xfId="5479"/>
    <cellStyle name="Sep. milhar [0] 7 8" xfId="5480"/>
    <cellStyle name="Sep. milhar [0] 7 9" xfId="5481"/>
    <cellStyle name="Sep. milhar [0] 8" xfId="5482"/>
    <cellStyle name="Sep. milhar [0] 8 10" xfId="5483"/>
    <cellStyle name="Sep. milhar [0] 8 11" xfId="5484"/>
    <cellStyle name="Sep. milhar [0] 8 2" xfId="5485"/>
    <cellStyle name="Sep. milhar [0] 8 3" xfId="5486"/>
    <cellStyle name="Sep. milhar [0] 8 4" xfId="5487"/>
    <cellStyle name="Sep. milhar [0] 8 5" xfId="5488"/>
    <cellStyle name="Sep. milhar [0] 8 6" xfId="5489"/>
    <cellStyle name="Sep. milhar [0] 8 7" xfId="5490"/>
    <cellStyle name="Sep. milhar [0] 8 8" xfId="5491"/>
    <cellStyle name="Sep. milhar [0] 8 9" xfId="5492"/>
    <cellStyle name="Sep. milhar [0] 9" xfId="5493"/>
    <cellStyle name="Sep. milhar [0] 9 10" xfId="5494"/>
    <cellStyle name="Sep. milhar [0] 9 11" xfId="5495"/>
    <cellStyle name="Sep. milhar [0] 9 2" xfId="5496"/>
    <cellStyle name="Sep. milhar [0] 9 3" xfId="5497"/>
    <cellStyle name="Sep. milhar [0] 9 4" xfId="5498"/>
    <cellStyle name="Sep. milhar [0] 9 5" xfId="5499"/>
    <cellStyle name="Sep. milhar [0] 9 6" xfId="5500"/>
    <cellStyle name="Sep. milhar [0] 9 7" xfId="5501"/>
    <cellStyle name="Sep. milhar [0] 9 8" xfId="5502"/>
    <cellStyle name="Sep. milhar [0] 9 9" xfId="5503"/>
    <cellStyle name="Separador de m" xfId="5504"/>
    <cellStyle name="Separador de milhares 10" xfId="5505"/>
    <cellStyle name="Separador de milhares 10 2" xfId="5506"/>
    <cellStyle name="Separador de milhares 10 2 2" xfId="5507"/>
    <cellStyle name="Separador de milhares 10 2 2 2" xfId="5508"/>
    <cellStyle name="Separador de milhares 10 2 2 3" xfId="5509"/>
    <cellStyle name="Separador de milhares 10 2 3" xfId="5510"/>
    <cellStyle name="Separador de milhares 10 3" xfId="5511"/>
    <cellStyle name="Separador de milhares 10 3 2" xfId="5512"/>
    <cellStyle name="Separador de milhares 10 4" xfId="5513"/>
    <cellStyle name="Separador de milhares 10 4 2" xfId="5514"/>
    <cellStyle name="Separador de milhares 10 5" xfId="5515"/>
    <cellStyle name="Separador de milhares 10 5 2" xfId="5516"/>
    <cellStyle name="Separador de milhares 10 6" xfId="5517"/>
    <cellStyle name="Separador de milhares 11" xfId="5518"/>
    <cellStyle name="Separador de milhares 11 2" xfId="5519"/>
    <cellStyle name="Separador de milhares 12" xfId="5520"/>
    <cellStyle name="Separador de milhares 12 2" xfId="5521"/>
    <cellStyle name="Separador de milhares 13" xfId="5522"/>
    <cellStyle name="Separador de milhares 13 2" xfId="5523"/>
    <cellStyle name="Separador de milhares 14 2" xfId="5524"/>
    <cellStyle name="Separador de milhares 14 2 2" xfId="5525"/>
    <cellStyle name="Separador de milhares 15" xfId="5526"/>
    <cellStyle name="Separador de milhares 15 2" xfId="5527"/>
    <cellStyle name="Separador de milhares 15 2 2" xfId="5528"/>
    <cellStyle name="Separador de milhares 15 3" xfId="5529"/>
    <cellStyle name="Separador de milhares 16" xfId="5530"/>
    <cellStyle name="Separador de milhares 16 2" xfId="5531"/>
    <cellStyle name="Separador de milhares 16 2 2" xfId="5532"/>
    <cellStyle name="Separador de milhares 16 3" xfId="5533"/>
    <cellStyle name="Separador de milhares 17" xfId="5534"/>
    <cellStyle name="Separador de milhares 17 2" xfId="5535"/>
    <cellStyle name="Separador de milhares 18" xfId="5536"/>
    <cellStyle name="Separador de milhares 18 2" xfId="5537"/>
    <cellStyle name="Separador de milhares 19" xfId="5538"/>
    <cellStyle name="Separador de milhares 19 2" xfId="5539"/>
    <cellStyle name="Separador de milhares 2" xfId="5540"/>
    <cellStyle name="Separador de milhares 2 10" xfId="5541"/>
    <cellStyle name="Separador de milhares 2 10 2" xfId="5542"/>
    <cellStyle name="Separador de milhares 2 11" xfId="5543"/>
    <cellStyle name="Separador de milhares 2 11 2" xfId="5544"/>
    <cellStyle name="Separador de milhares 2 12" xfId="5545"/>
    <cellStyle name="Separador de milhares 2 12 2" xfId="5546"/>
    <cellStyle name="Separador de milhares 2 13" xfId="5547"/>
    <cellStyle name="Separador de milhares 2 13 2" xfId="5548"/>
    <cellStyle name="Separador de milhares 2 14" xfId="5549"/>
    <cellStyle name="Separador de milhares 2 14 2" xfId="5550"/>
    <cellStyle name="Separador de milhares 2 15" xfId="5551"/>
    <cellStyle name="Separador de milhares 2 15 2" xfId="5552"/>
    <cellStyle name="Separador de milhares 2 15 2 2" xfId="5553"/>
    <cellStyle name="Separador de milhares 2 15 3" xfId="5554"/>
    <cellStyle name="Separador de milhares 2 15 3 2" xfId="5555"/>
    <cellStyle name="Separador de milhares 2 15 4" xfId="5556"/>
    <cellStyle name="Separador de milhares 2 15 4 2" xfId="5557"/>
    <cellStyle name="Separador de milhares 2 15 5" xfId="5558"/>
    <cellStyle name="Separador de milhares 2 16" xfId="5559"/>
    <cellStyle name="Separador de milhares 2 16 2" xfId="5560"/>
    <cellStyle name="Separador de milhares 2 17" xfId="5561"/>
    <cellStyle name="Separador de milhares 2 17 2" xfId="5562"/>
    <cellStyle name="Separador de milhares 2 17 2 2" xfId="5563"/>
    <cellStyle name="Separador de milhares 2 17 3" xfId="5564"/>
    <cellStyle name="Separador de milhares 2 17 3 2" xfId="5565"/>
    <cellStyle name="Separador de milhares 2 17 4" xfId="5566"/>
    <cellStyle name="Separador de milhares 2 18" xfId="5567"/>
    <cellStyle name="Separador de milhares 2 18 2" xfId="5568"/>
    <cellStyle name="Separador de milhares 2 19" xfId="5569"/>
    <cellStyle name="Separador de milhares 2 19 2" xfId="5570"/>
    <cellStyle name="Separador de milhares 2 2" xfId="5571"/>
    <cellStyle name="Separador de milhares 2 2 2" xfId="5572"/>
    <cellStyle name="Separador de milhares 2 2 2 2" xfId="5573"/>
    <cellStyle name="Separador de milhares 2 2 3" xfId="5574"/>
    <cellStyle name="Separador de milhares 2 2 3 2" xfId="5575"/>
    <cellStyle name="Separador de milhares 2 2 4" xfId="5576"/>
    <cellStyle name="Separador de milhares 2 2 4 2" xfId="5577"/>
    <cellStyle name="Separador de milhares 2 2 5" xfId="5578"/>
    <cellStyle name="Separador de milhares 2 2 5 2" xfId="5579"/>
    <cellStyle name="Separador de milhares 2 2 6" xfId="5580"/>
    <cellStyle name="Separador de milhares 2 2 6 2" xfId="5581"/>
    <cellStyle name="Separador de milhares 2 2 7" xfId="5582"/>
    <cellStyle name="Separador de milhares 2 2 7 2" xfId="5583"/>
    <cellStyle name="Separador de milhares 2 2 8" xfId="5584"/>
    <cellStyle name="Separador de milhares 2 20" xfId="5585"/>
    <cellStyle name="Separador de milhares 2 20 2" xfId="5586"/>
    <cellStyle name="Separador de milhares 2 21" xfId="5587"/>
    <cellStyle name="Separador de milhares 2 21 2" xfId="5588"/>
    <cellStyle name="Separador de milhares 2 22" xfId="5589"/>
    <cellStyle name="Separador de milhares 2 22 2" xfId="5590"/>
    <cellStyle name="Separador de milhares 2 23" xfId="5591"/>
    <cellStyle name="Separador de milhares 2 23 2" xfId="5592"/>
    <cellStyle name="Separador de milhares 2 24" xfId="5593"/>
    <cellStyle name="Separador de milhares 2 24 2" xfId="5594"/>
    <cellStyle name="Separador de milhares 2 25" xfId="5595"/>
    <cellStyle name="Separador de milhares 2 25 2" xfId="5596"/>
    <cellStyle name="Separador de milhares 2 26" xfId="5597"/>
    <cellStyle name="Separador de milhares 2 26 2" xfId="5598"/>
    <cellStyle name="Separador de milhares 2 27" xfId="5599"/>
    <cellStyle name="Separador de milhares 2 27 2" xfId="5600"/>
    <cellStyle name="Separador de milhares 2 28" xfId="5601"/>
    <cellStyle name="Separador de milhares 2 28 2" xfId="5602"/>
    <cellStyle name="Separador de milhares 2 29" xfId="5603"/>
    <cellStyle name="Separador de milhares 2 29 2" xfId="5604"/>
    <cellStyle name="Separador de milhares 2 3" xfId="5605"/>
    <cellStyle name="Separador de milhares 2 3 2" xfId="5606"/>
    <cellStyle name="Separador de milhares 2 3 2 2" xfId="5607"/>
    <cellStyle name="Separador de milhares 2 3 2 2 2" xfId="5608"/>
    <cellStyle name="Separador de milhares 2 3 2 3" xfId="5609"/>
    <cellStyle name="Separador de milhares 2 3 2_EG261PL rev. E" xfId="5610"/>
    <cellStyle name="Separador de milhares 2 3 3" xfId="5611"/>
    <cellStyle name="Separador de milhares 2 30" xfId="5612"/>
    <cellStyle name="Separador de milhares 2 30 2" xfId="5613"/>
    <cellStyle name="Separador de milhares 2 31" xfId="5614"/>
    <cellStyle name="Separador de milhares 2 31 2" xfId="5615"/>
    <cellStyle name="Separador de milhares 2 32" xfId="5616"/>
    <cellStyle name="Separador de milhares 2 32 2" xfId="5617"/>
    <cellStyle name="Separador de milhares 2 33" xfId="5618"/>
    <cellStyle name="Separador de milhares 2 33 2" xfId="5619"/>
    <cellStyle name="Separador de milhares 2 34" xfId="5620"/>
    <cellStyle name="Separador de milhares 2 34 2" xfId="5621"/>
    <cellStyle name="Separador de milhares 2 35" xfId="5622"/>
    <cellStyle name="Separador de milhares 2 35 2" xfId="5623"/>
    <cellStyle name="Separador de milhares 2 36" xfId="5624"/>
    <cellStyle name="Separador de milhares 2 36 2" xfId="5625"/>
    <cellStyle name="Separador de milhares 2 37" xfId="5626"/>
    <cellStyle name="Separador de milhares 2 37 2" xfId="5627"/>
    <cellStyle name="Separador de milhares 2 38" xfId="5628"/>
    <cellStyle name="Separador de milhares 2 38 2" xfId="5629"/>
    <cellStyle name="Separador de milhares 2 39" xfId="5630"/>
    <cellStyle name="Separador de milhares 2 39 2" xfId="5631"/>
    <cellStyle name="Separador de milhares 2 4" xfId="5632"/>
    <cellStyle name="Separador de milhares 2 4 2" xfId="5633"/>
    <cellStyle name="Separador de milhares 2 40" xfId="5634"/>
    <cellStyle name="Separador de milhares 2 40 2" xfId="5635"/>
    <cellStyle name="Separador de milhares 2 41" xfId="5636"/>
    <cellStyle name="Separador de milhares 2 41 2" xfId="5637"/>
    <cellStyle name="Separador de milhares 2 42" xfId="5638"/>
    <cellStyle name="Separador de milhares 2 42 2" xfId="5639"/>
    <cellStyle name="Separador de milhares 2 43" xfId="5640"/>
    <cellStyle name="Separador de milhares 2 43 2" xfId="5641"/>
    <cellStyle name="Separador de milhares 2 44" xfId="5642"/>
    <cellStyle name="Separador de milhares 2 44 2" xfId="5643"/>
    <cellStyle name="Separador de milhares 2 45" xfId="5644"/>
    <cellStyle name="Separador de milhares 2 45 2" xfId="5645"/>
    <cellStyle name="Separador de milhares 2 46" xfId="5646"/>
    <cellStyle name="Separador de milhares 2 46 2" xfId="5647"/>
    <cellStyle name="Separador de milhares 2 47" xfId="5648"/>
    <cellStyle name="Separador de milhares 2 48" xfId="5649"/>
    <cellStyle name="Separador de milhares 2 5" xfId="5650"/>
    <cellStyle name="Separador de milhares 2 5 2" xfId="5651"/>
    <cellStyle name="Separador de milhares 2 5 2 2" xfId="5652"/>
    <cellStyle name="Separador de milhares 2 6" xfId="5653"/>
    <cellStyle name="Separador de milhares 2 6 2" xfId="5654"/>
    <cellStyle name="Separador de milhares 2 7" xfId="5655"/>
    <cellStyle name="Separador de milhares 2 7 2" xfId="5656"/>
    <cellStyle name="Separador de milhares 2 8" xfId="5657"/>
    <cellStyle name="Separador de milhares 2 8 2" xfId="5658"/>
    <cellStyle name="Separador de milhares 2 9" xfId="5659"/>
    <cellStyle name="Separador de milhares 2 9 2" xfId="5660"/>
    <cellStyle name="Separador de milhares 2_EG183PL" xfId="5661"/>
    <cellStyle name="Separador de milhares 20" xfId="5662"/>
    <cellStyle name="Separador de milhares 20 2" xfId="5663"/>
    <cellStyle name="Separador de milhares 21" xfId="5664"/>
    <cellStyle name="Separador de milhares 21 2" xfId="5665"/>
    <cellStyle name="Separador de milhares 22" xfId="5666"/>
    <cellStyle name="Separador de milhares 22 2" xfId="5667"/>
    <cellStyle name="Separador de milhares 23" xfId="5668"/>
    <cellStyle name="Separador de milhares 23 2" xfId="5669"/>
    <cellStyle name="Separador de milhares 24" xfId="5670"/>
    <cellStyle name="Separador de milhares 24 2" xfId="5671"/>
    <cellStyle name="Separador de milhares 25" xfId="5672"/>
    <cellStyle name="Separador de milhares 25 2" xfId="5673"/>
    <cellStyle name="Separador de milhares 26" xfId="5674"/>
    <cellStyle name="Separador de milhares 26 2" xfId="5675"/>
    <cellStyle name="Separador de milhares 27" xfId="5676"/>
    <cellStyle name="Separador de milhares 27 10" xfId="5677"/>
    <cellStyle name="Separador de milhares 27 10 2" xfId="5678"/>
    <cellStyle name="Separador de milhares 27 11" xfId="5679"/>
    <cellStyle name="Separador de milhares 27 11 2" xfId="5680"/>
    <cellStyle name="Separador de milhares 27 12" xfId="5681"/>
    <cellStyle name="Separador de milhares 27 2" xfId="5682"/>
    <cellStyle name="Separador de milhares 27 2 10" xfId="5683"/>
    <cellStyle name="Separador de milhares 27 2 2" xfId="5684"/>
    <cellStyle name="Separador de milhares 27 2 2 2" xfId="5685"/>
    <cellStyle name="Separador de milhares 27 2 3" xfId="5686"/>
    <cellStyle name="Separador de milhares 27 2 3 2" xfId="5687"/>
    <cellStyle name="Separador de milhares 27 2 4" xfId="5688"/>
    <cellStyle name="Separador de milhares 27 2 4 2" xfId="5689"/>
    <cellStyle name="Separador de milhares 27 2 5" xfId="5690"/>
    <cellStyle name="Separador de milhares 27 2 5 2" xfId="5691"/>
    <cellStyle name="Separador de milhares 27 2 6" xfId="5692"/>
    <cellStyle name="Separador de milhares 27 2 6 2" xfId="5693"/>
    <cellStyle name="Separador de milhares 27 2 7" xfId="5694"/>
    <cellStyle name="Separador de milhares 27 2 7 2" xfId="5695"/>
    <cellStyle name="Separador de milhares 27 2 8" xfId="5696"/>
    <cellStyle name="Separador de milhares 27 2 8 2" xfId="5697"/>
    <cellStyle name="Separador de milhares 27 2 9" xfId="5698"/>
    <cellStyle name="Separador de milhares 27 2 9 2" xfId="5699"/>
    <cellStyle name="Separador de milhares 27 3" xfId="5700"/>
    <cellStyle name="Separador de milhares 27 3 2" xfId="5701"/>
    <cellStyle name="Separador de milhares 27 4" xfId="5702"/>
    <cellStyle name="Separador de milhares 27 4 2" xfId="5703"/>
    <cellStyle name="Separador de milhares 27 5" xfId="5704"/>
    <cellStyle name="Separador de milhares 27 5 2" xfId="5705"/>
    <cellStyle name="Separador de milhares 27 6" xfId="5706"/>
    <cellStyle name="Separador de milhares 27 6 2" xfId="5707"/>
    <cellStyle name="Separador de milhares 27 7" xfId="5708"/>
    <cellStyle name="Separador de milhares 27 7 2" xfId="5709"/>
    <cellStyle name="Separador de milhares 27 8" xfId="5710"/>
    <cellStyle name="Separador de milhares 27 8 2" xfId="5711"/>
    <cellStyle name="Separador de milhares 27 9" xfId="5712"/>
    <cellStyle name="Separador de milhares 27 9 2" xfId="5713"/>
    <cellStyle name="Separador de milhares 28" xfId="5714"/>
    <cellStyle name="Separador de milhares 28 10" xfId="5715"/>
    <cellStyle name="Separador de milhares 28 10 2" xfId="5716"/>
    <cellStyle name="Separador de milhares 28 11" xfId="5717"/>
    <cellStyle name="Separador de milhares 28 11 2" xfId="5718"/>
    <cellStyle name="Separador de milhares 28 12" xfId="5719"/>
    <cellStyle name="Separador de milhares 28 2" xfId="5720"/>
    <cellStyle name="Separador de milhares 28 2 10" xfId="5721"/>
    <cellStyle name="Separador de milhares 28 2 2" xfId="5722"/>
    <cellStyle name="Separador de milhares 28 2 2 2" xfId="5723"/>
    <cellStyle name="Separador de milhares 28 2 3" xfId="5724"/>
    <cellStyle name="Separador de milhares 28 2 3 2" xfId="5725"/>
    <cellStyle name="Separador de milhares 28 2 4" xfId="5726"/>
    <cellStyle name="Separador de milhares 28 2 4 2" xfId="5727"/>
    <cellStyle name="Separador de milhares 28 2 5" xfId="5728"/>
    <cellStyle name="Separador de milhares 28 2 5 2" xfId="5729"/>
    <cellStyle name="Separador de milhares 28 2 6" xfId="5730"/>
    <cellStyle name="Separador de milhares 28 2 6 2" xfId="5731"/>
    <cellStyle name="Separador de milhares 28 2 7" xfId="5732"/>
    <cellStyle name="Separador de milhares 28 2 7 2" xfId="5733"/>
    <cellStyle name="Separador de milhares 28 2 8" xfId="5734"/>
    <cellStyle name="Separador de milhares 28 2 8 2" xfId="5735"/>
    <cellStyle name="Separador de milhares 28 2 9" xfId="5736"/>
    <cellStyle name="Separador de milhares 28 2 9 2" xfId="5737"/>
    <cellStyle name="Separador de milhares 28 3" xfId="5738"/>
    <cellStyle name="Separador de milhares 28 3 2" xfId="5739"/>
    <cellStyle name="Separador de milhares 28 4" xfId="5740"/>
    <cellStyle name="Separador de milhares 28 4 2" xfId="5741"/>
    <cellStyle name="Separador de milhares 28 5" xfId="5742"/>
    <cellStyle name="Separador de milhares 28 5 2" xfId="5743"/>
    <cellStyle name="Separador de milhares 28 6" xfId="5744"/>
    <cellStyle name="Separador de milhares 28 6 2" xfId="5745"/>
    <cellStyle name="Separador de milhares 28 7" xfId="5746"/>
    <cellStyle name="Separador de milhares 28 7 2" xfId="5747"/>
    <cellStyle name="Separador de milhares 28 8" xfId="5748"/>
    <cellStyle name="Separador de milhares 28 8 2" xfId="5749"/>
    <cellStyle name="Separador de milhares 28 9" xfId="5750"/>
    <cellStyle name="Separador de milhares 28 9 2" xfId="5751"/>
    <cellStyle name="Separador de milhares 29" xfId="5752"/>
    <cellStyle name="Separador de milhares 29 10" xfId="5753"/>
    <cellStyle name="Separador de milhares 29 10 2" xfId="5754"/>
    <cellStyle name="Separador de milhares 29 11" xfId="5755"/>
    <cellStyle name="Separador de milhares 29 11 2" xfId="5756"/>
    <cellStyle name="Separador de milhares 29 12" xfId="5757"/>
    <cellStyle name="Separador de milhares 29 2" xfId="5758"/>
    <cellStyle name="Separador de milhares 29 2 10" xfId="5759"/>
    <cellStyle name="Separador de milhares 29 2 2" xfId="5760"/>
    <cellStyle name="Separador de milhares 29 2 2 2" xfId="5761"/>
    <cellStyle name="Separador de milhares 29 2 3" xfId="5762"/>
    <cellStyle name="Separador de milhares 29 2 3 2" xfId="5763"/>
    <cellStyle name="Separador de milhares 29 2 4" xfId="5764"/>
    <cellStyle name="Separador de milhares 29 2 4 2" xfId="5765"/>
    <cellStyle name="Separador de milhares 29 2 5" xfId="5766"/>
    <cellStyle name="Separador de milhares 29 2 5 2" xfId="5767"/>
    <cellStyle name="Separador de milhares 29 2 6" xfId="5768"/>
    <cellStyle name="Separador de milhares 29 2 6 2" xfId="5769"/>
    <cellStyle name="Separador de milhares 29 2 7" xfId="5770"/>
    <cellStyle name="Separador de milhares 29 2 7 2" xfId="5771"/>
    <cellStyle name="Separador de milhares 29 2 8" xfId="5772"/>
    <cellStyle name="Separador de milhares 29 2 8 2" xfId="5773"/>
    <cellStyle name="Separador de milhares 29 2 9" xfId="5774"/>
    <cellStyle name="Separador de milhares 29 2 9 2" xfId="5775"/>
    <cellStyle name="Separador de milhares 29 3" xfId="5776"/>
    <cellStyle name="Separador de milhares 29 3 2" xfId="5777"/>
    <cellStyle name="Separador de milhares 29 4" xfId="5778"/>
    <cellStyle name="Separador de milhares 29 4 2" xfId="5779"/>
    <cellStyle name="Separador de milhares 29 5" xfId="5780"/>
    <cellStyle name="Separador de milhares 29 5 2" xfId="5781"/>
    <cellStyle name="Separador de milhares 29 6" xfId="5782"/>
    <cellStyle name="Separador de milhares 29 6 2" xfId="5783"/>
    <cellStyle name="Separador de milhares 29 7" xfId="5784"/>
    <cellStyle name="Separador de milhares 29 7 2" xfId="5785"/>
    <cellStyle name="Separador de milhares 29 8" xfId="5786"/>
    <cellStyle name="Separador de milhares 29 8 2" xfId="5787"/>
    <cellStyle name="Separador de milhares 29 9" xfId="5788"/>
    <cellStyle name="Separador de milhares 29 9 2" xfId="5789"/>
    <cellStyle name="Separador de milhares 3" xfId="5790"/>
    <cellStyle name="Separador de milhares 3 2" xfId="5791"/>
    <cellStyle name="Separador de milhares 3 2 2" xfId="5792"/>
    <cellStyle name="Separador de milhares 3 2 2 2" xfId="5793"/>
    <cellStyle name="Separador de milhares 3 2 3" xfId="5794"/>
    <cellStyle name="Separador de milhares 3 2 3 2" xfId="5795"/>
    <cellStyle name="Separador de milhares 3 2 4" xfId="5796"/>
    <cellStyle name="Separador de milhares 3 2 4 2" xfId="5797"/>
    <cellStyle name="Separador de milhares 3 2 5" xfId="5798"/>
    <cellStyle name="Separador de milhares 3 2 5 2" xfId="5799"/>
    <cellStyle name="Separador de milhares 3 2 6" xfId="5800"/>
    <cellStyle name="Separador de milhares 3 2 6 2" xfId="5801"/>
    <cellStyle name="Separador de milhares 3 2 7" xfId="5802"/>
    <cellStyle name="Separador de milhares 3 3" xfId="5803"/>
    <cellStyle name="Separador de milhares 3 3 2" xfId="5804"/>
    <cellStyle name="Separador de milhares 3 3 2 2" xfId="5805"/>
    <cellStyle name="Separador de milhares 3 3 3" xfId="5806"/>
    <cellStyle name="Separador de milhares 3 3 3 2" xfId="5807"/>
    <cellStyle name="Separador de milhares 3 3 4" xfId="5808"/>
    <cellStyle name="Separador de milhares 3 3 4 2" xfId="5809"/>
    <cellStyle name="Separador de milhares 3 3 5" xfId="5810"/>
    <cellStyle name="Separador de milhares 3 3 5 2" xfId="5811"/>
    <cellStyle name="Separador de milhares 3 3 6" xfId="5812"/>
    <cellStyle name="Separador de milhares 3 4" xfId="5813"/>
    <cellStyle name="Separador de milhares 3 4 2" xfId="5814"/>
    <cellStyle name="Separador de milhares 3 5" xfId="5815"/>
    <cellStyle name="Separador de milhares 30" xfId="5816"/>
    <cellStyle name="Separador de milhares 30 10" xfId="5817"/>
    <cellStyle name="Separador de milhares 30 2" xfId="5818"/>
    <cellStyle name="Separador de milhares 30 2 2" xfId="5819"/>
    <cellStyle name="Separador de milhares 30 3" xfId="5820"/>
    <cellStyle name="Separador de milhares 30 3 2" xfId="5821"/>
    <cellStyle name="Separador de milhares 30 4" xfId="5822"/>
    <cellStyle name="Separador de milhares 30 4 2" xfId="5823"/>
    <cellStyle name="Separador de milhares 30 5" xfId="5824"/>
    <cellStyle name="Separador de milhares 30 5 2" xfId="5825"/>
    <cellStyle name="Separador de milhares 30 6" xfId="5826"/>
    <cellStyle name="Separador de milhares 30 6 2" xfId="5827"/>
    <cellStyle name="Separador de milhares 30 7" xfId="5828"/>
    <cellStyle name="Separador de milhares 30 7 2" xfId="5829"/>
    <cellStyle name="Separador de milhares 30 8" xfId="5830"/>
    <cellStyle name="Separador de milhares 30 8 2" xfId="5831"/>
    <cellStyle name="Separador de milhares 30 9" xfId="5832"/>
    <cellStyle name="Separador de milhares 30 9 2" xfId="5833"/>
    <cellStyle name="Separador de milhares 31" xfId="5834"/>
    <cellStyle name="Separador de milhares 31 10" xfId="5835"/>
    <cellStyle name="Separador de milhares 31 2" xfId="5836"/>
    <cellStyle name="Separador de milhares 31 2 2" xfId="5837"/>
    <cellStyle name="Separador de milhares 31 3" xfId="5838"/>
    <cellStyle name="Separador de milhares 31 3 2" xfId="5839"/>
    <cellStyle name="Separador de milhares 31 4" xfId="5840"/>
    <cellStyle name="Separador de milhares 31 4 2" xfId="5841"/>
    <cellStyle name="Separador de milhares 31 5" xfId="5842"/>
    <cellStyle name="Separador de milhares 31 5 2" xfId="5843"/>
    <cellStyle name="Separador de milhares 31 6" xfId="5844"/>
    <cellStyle name="Separador de milhares 31 6 2" xfId="5845"/>
    <cellStyle name="Separador de milhares 31 7" xfId="5846"/>
    <cellStyle name="Separador de milhares 31 7 2" xfId="5847"/>
    <cellStyle name="Separador de milhares 31 8" xfId="5848"/>
    <cellStyle name="Separador de milhares 31 8 2" xfId="5849"/>
    <cellStyle name="Separador de milhares 31 9" xfId="5850"/>
    <cellStyle name="Separador de milhares 31 9 2" xfId="5851"/>
    <cellStyle name="Separador de milhares 32" xfId="5852"/>
    <cellStyle name="Separador de milhares 32 2" xfId="5853"/>
    <cellStyle name="Separador de milhares 33" xfId="5854"/>
    <cellStyle name="Separador de milhares 33 2" xfId="5855"/>
    <cellStyle name="Separador de milhares 34" xfId="5856"/>
    <cellStyle name="Separador de milhares 34 2" xfId="5857"/>
    <cellStyle name="Separador de milhares 34 2 2" xfId="5858"/>
    <cellStyle name="Separador de milhares 34 3" xfId="5859"/>
    <cellStyle name="Separador de milhares 34 3 2" xfId="5860"/>
    <cellStyle name="Separador de milhares 34 4" xfId="5861"/>
    <cellStyle name="Separador de milhares 34 4 2" xfId="5862"/>
    <cellStyle name="Separador de milhares 34 5" xfId="5863"/>
    <cellStyle name="Separador de milhares 34 5 2" xfId="5864"/>
    <cellStyle name="Separador de milhares 34 6" xfId="5865"/>
    <cellStyle name="Separador de milhares 34 6 2" xfId="5866"/>
    <cellStyle name="Separador de milhares 34 7" xfId="5867"/>
    <cellStyle name="Separador de milhares 35" xfId="5868"/>
    <cellStyle name="Separador de milhares 35 2" xfId="5869"/>
    <cellStyle name="Separador de milhares 36" xfId="5870"/>
    <cellStyle name="Separador de milhares 36 2" xfId="5871"/>
    <cellStyle name="Separador de milhares 37" xfId="5872"/>
    <cellStyle name="Separador de milhares 37 2" xfId="5873"/>
    <cellStyle name="Separador de milhares 37 2 2" xfId="5874"/>
    <cellStyle name="Separador de milhares 37 3" xfId="5875"/>
    <cellStyle name="Separador de milhares 37 3 2" xfId="5876"/>
    <cellStyle name="Separador de milhares 37 4" xfId="5877"/>
    <cellStyle name="Separador de milhares 38" xfId="5878"/>
    <cellStyle name="Separador de milhares 38 2" xfId="5879"/>
    <cellStyle name="Separador de milhares 39" xfId="5880"/>
    <cellStyle name="Separador de milhares 39 2" xfId="5881"/>
    <cellStyle name="Separador de milhares 4" xfId="5882"/>
    <cellStyle name="Separador de milhares 4 2" xfId="5883"/>
    <cellStyle name="Separador de milhares 4 2 2" xfId="5884"/>
    <cellStyle name="Separador de milhares 4 3" xfId="5885"/>
    <cellStyle name="Separador de milhares 4 3 2" xfId="5886"/>
    <cellStyle name="Separador de milhares 4 4" xfId="5887"/>
    <cellStyle name="Separador de milhares 4 4 2" xfId="5888"/>
    <cellStyle name="Separador de milhares 4 5" xfId="5889"/>
    <cellStyle name="Separador de milhares 4 5 2" xfId="5890"/>
    <cellStyle name="Separador de milhares 4 6" xfId="5891"/>
    <cellStyle name="Separador de milhares 4 6 2" xfId="5892"/>
    <cellStyle name="Separador de milhares 4 7" xfId="5893"/>
    <cellStyle name="Separador de milhares 4 7 2" xfId="5894"/>
    <cellStyle name="Separador de milhares 4 8" xfId="5895"/>
    <cellStyle name="Separador de milhares 4 8 2" xfId="5896"/>
    <cellStyle name="Separador de milhares 4 9" xfId="5897"/>
    <cellStyle name="Separador de milhares 40" xfId="5898"/>
    <cellStyle name="Separador de milhares 40 2" xfId="5899"/>
    <cellStyle name="Separador de milhares 41" xfId="5900"/>
    <cellStyle name="Separador de milhares 41 2" xfId="5901"/>
    <cellStyle name="Separador de milhares 42" xfId="5902"/>
    <cellStyle name="Separador de milhares 42 2" xfId="5903"/>
    <cellStyle name="Separador de milhares 43" xfId="5904"/>
    <cellStyle name="Separador de milhares 43 2" xfId="5905"/>
    <cellStyle name="Separador de milhares 44" xfId="5906"/>
    <cellStyle name="Separador de milhares 44 2" xfId="5907"/>
    <cellStyle name="Separador de milhares 45" xfId="5908"/>
    <cellStyle name="Separador de milhares 45 2" xfId="5909"/>
    <cellStyle name="Separador de milhares 46" xfId="5910"/>
    <cellStyle name="Separador de milhares 46 2" xfId="5911"/>
    <cellStyle name="Separador de milhares 47" xfId="5912"/>
    <cellStyle name="Separador de milhares 47 2" xfId="5913"/>
    <cellStyle name="Separador de milhares 48" xfId="5914"/>
    <cellStyle name="Separador de milhares 48 2" xfId="5915"/>
    <cellStyle name="Separador de milhares 49" xfId="5916"/>
    <cellStyle name="Separador de milhares 49 2" xfId="5917"/>
    <cellStyle name="Separador de milhares 5" xfId="5918"/>
    <cellStyle name="Separador de milhares 5 10" xfId="5919"/>
    <cellStyle name="Separador de milhares 5 2" xfId="5920"/>
    <cellStyle name="Separador de milhares 5 2 2" xfId="5921"/>
    <cellStyle name="Separador de milhares 5 3" xfId="5922"/>
    <cellStyle name="Separador de milhares 5 3 2" xfId="5923"/>
    <cellStyle name="Separador de milhares 5 4" xfId="5924"/>
    <cellStyle name="Separador de milhares 5 4 2" xfId="5925"/>
    <cellStyle name="Separador de milhares 5 5" xfId="5926"/>
    <cellStyle name="Separador de milhares 5 5 2" xfId="5927"/>
    <cellStyle name="Separador de milhares 5 6" xfId="5928"/>
    <cellStyle name="Separador de milhares 5 6 2" xfId="5929"/>
    <cellStyle name="Separador de milhares 5 7" xfId="5930"/>
    <cellStyle name="Separador de milhares 5 7 2" xfId="5931"/>
    <cellStyle name="Separador de milhares 5 8" xfId="5932"/>
    <cellStyle name="Separador de milhares 5 8 2" xfId="5933"/>
    <cellStyle name="Separador de milhares 5 9" xfId="5934"/>
    <cellStyle name="Separador de milhares 5 9 2" xfId="5935"/>
    <cellStyle name="Separador de milhares 6" xfId="5936"/>
    <cellStyle name="Separador de milhares 6 10" xfId="5937"/>
    <cellStyle name="Separador de milhares 6 2" xfId="5938"/>
    <cellStyle name="Separador de milhares 6 2 2" xfId="5939"/>
    <cellStyle name="Separador de milhares 6 2 2 2" xfId="5940"/>
    <cellStyle name="Separador de milhares 6 2 2 2 2" xfId="5941"/>
    <cellStyle name="Separador de milhares 6 2 2 3" xfId="5942"/>
    <cellStyle name="Separador de milhares 6 2 2 3 2" xfId="5943"/>
    <cellStyle name="Separador de milhares 6 2 2 4" xfId="5944"/>
    <cellStyle name="Separador de milhares 6 2 2 4 2" xfId="5945"/>
    <cellStyle name="Separador de milhares 6 2 2 5" xfId="5946"/>
    <cellStyle name="Separador de milhares 6 2 2 5 2" xfId="5947"/>
    <cellStyle name="Separador de milhares 6 2 2 6" xfId="5948"/>
    <cellStyle name="Separador de milhares 6 2 3" xfId="5949"/>
    <cellStyle name="Separador de milhares 6 2 3 2" xfId="5950"/>
    <cellStyle name="Separador de milhares 6 2 4" xfId="5951"/>
    <cellStyle name="Separador de milhares 6 2 4 2" xfId="5952"/>
    <cellStyle name="Separador de milhares 6 2 5" xfId="5953"/>
    <cellStyle name="Separador de milhares 6 2 5 2" xfId="5954"/>
    <cellStyle name="Separador de milhares 6 2 6" xfId="5955"/>
    <cellStyle name="Separador de milhares 6 2 6 2" xfId="5956"/>
    <cellStyle name="Separador de milhares 6 2 7" xfId="5957"/>
    <cellStyle name="Separador de milhares 6 2 7 2" xfId="5958"/>
    <cellStyle name="Separador de milhares 6 2 8" xfId="5959"/>
    <cellStyle name="Separador de milhares 6 3" xfId="5960"/>
    <cellStyle name="Separador de milhares 6 3 2" xfId="5961"/>
    <cellStyle name="Separador de milhares 6 4" xfId="5962"/>
    <cellStyle name="Separador de milhares 6 4 2" xfId="5963"/>
    <cellStyle name="Separador de milhares 6 5" xfId="5964"/>
    <cellStyle name="Separador de milhares 6 5 2" xfId="5965"/>
    <cellStyle name="Separador de milhares 6 6" xfId="5966"/>
    <cellStyle name="Separador de milhares 6 6 2" xfId="5967"/>
    <cellStyle name="Separador de milhares 6 7" xfId="5968"/>
    <cellStyle name="Separador de milhares 6 7 2" xfId="5969"/>
    <cellStyle name="Separador de milhares 6 8" xfId="5970"/>
    <cellStyle name="Separador de milhares 6 8 2" xfId="5971"/>
    <cellStyle name="Separador de milhares 6 9" xfId="5972"/>
    <cellStyle name="Separador de milhares 6 9 2" xfId="5973"/>
    <cellStyle name="Separador de milhares 7" xfId="5974"/>
    <cellStyle name="Separador de milhares 7 2" xfId="5975"/>
    <cellStyle name="Separador de milhares 7 2 2" xfId="5976"/>
    <cellStyle name="Separador de milhares 7 2 2 2" xfId="5977"/>
    <cellStyle name="Separador de milhares 7 2 2 3" xfId="5978"/>
    <cellStyle name="Separador de milhares 7 2 2 4" xfId="5979"/>
    <cellStyle name="Separador de milhares 7 2 2 5" xfId="5980"/>
    <cellStyle name="Separador de milhares 7 2 3" xfId="5981"/>
    <cellStyle name="Separador de milhares 7 3" xfId="5982"/>
    <cellStyle name="Separador de milhares 7 3 2" xfId="5983"/>
    <cellStyle name="Separador de milhares 7 4" xfId="5984"/>
    <cellStyle name="Separador de milhares 7 5" xfId="5985"/>
    <cellStyle name="Separador de milhares 7 6" xfId="5986"/>
    <cellStyle name="Separador de milhares 7 7" xfId="5987"/>
    <cellStyle name="Separador de milhares 8" xfId="5988"/>
    <cellStyle name="Separador de milhares 8 2" xfId="5989"/>
    <cellStyle name="Separador de milhares 8 2 2" xfId="5990"/>
    <cellStyle name="Separador de milhares 8 3" xfId="5991"/>
    <cellStyle name="Separador de milhares 8 3 2" xfId="5992"/>
    <cellStyle name="Separador de milhares 8 4" xfId="5993"/>
    <cellStyle name="Separador de milhares 8 4 2" xfId="5994"/>
    <cellStyle name="Separador de milhares 8 5" xfId="5995"/>
    <cellStyle name="Separador de milhares 8 5 2" xfId="5996"/>
    <cellStyle name="Separador de milhares 8 6" xfId="5997"/>
    <cellStyle name="Separador de milhares 8 6 2" xfId="5998"/>
    <cellStyle name="Separador de milhares 8 7" xfId="5999"/>
    <cellStyle name="Separador de milhares 9" xfId="6000"/>
    <cellStyle name="Separador de milhares 9 2" xfId="6001"/>
    <cellStyle name="Separador de milhares 9 2 2" xfId="6002"/>
    <cellStyle name="Separador de milhares 9 3" xfId="6003"/>
    <cellStyle name="Separador de milhares 92" xfId="6004"/>
    <cellStyle name="Separador de milhares 92 2" xfId="6005"/>
    <cellStyle name="Sheet Title" xfId="6006"/>
    <cellStyle name="Standard_MatrixV1" xfId="6007"/>
    <cellStyle name="subhead" xfId="6008"/>
    <cellStyle name="Texto de Aviso 10" xfId="6009"/>
    <cellStyle name="Texto de Aviso 11" xfId="6010"/>
    <cellStyle name="Texto de Aviso 12" xfId="6011"/>
    <cellStyle name="Texto de Aviso 13" xfId="6012"/>
    <cellStyle name="Texto de Aviso 14" xfId="6013"/>
    <cellStyle name="Texto de Aviso 15" xfId="6014"/>
    <cellStyle name="Texto de Aviso 16" xfId="6015"/>
    <cellStyle name="Texto de Aviso 17" xfId="6016"/>
    <cellStyle name="Texto de Aviso 18" xfId="6017"/>
    <cellStyle name="Texto de Aviso 19" xfId="6018"/>
    <cellStyle name="Texto de Aviso 2" xfId="6019"/>
    <cellStyle name="Texto de Aviso 2 10" xfId="6020"/>
    <cellStyle name="Texto de Aviso 2 11" xfId="6021"/>
    <cellStyle name="Texto de Aviso 2 12" xfId="6022"/>
    <cellStyle name="Texto de Aviso 2 13" xfId="6023"/>
    <cellStyle name="Texto de Aviso 2 14" xfId="6024"/>
    <cellStyle name="Texto de Aviso 2 15" xfId="6025"/>
    <cellStyle name="Texto de Aviso 2 16" xfId="6026"/>
    <cellStyle name="Texto de Aviso 2 17" xfId="6027"/>
    <cellStyle name="Texto de Aviso 2 18" xfId="6028"/>
    <cellStyle name="Texto de Aviso 2 19" xfId="6029"/>
    <cellStyle name="Texto de Aviso 2 2" xfId="6030"/>
    <cellStyle name="Texto de Aviso 2 20" xfId="6031"/>
    <cellStyle name="Texto de Aviso 2 21" xfId="6032"/>
    <cellStyle name="Texto de Aviso 2 22" xfId="6033"/>
    <cellStyle name="Texto de Aviso 2 23" xfId="6034"/>
    <cellStyle name="Texto de Aviso 2 24" xfId="6035"/>
    <cellStyle name="Texto de Aviso 2 25" xfId="6036"/>
    <cellStyle name="Texto de Aviso 2 26" xfId="6037"/>
    <cellStyle name="Texto de Aviso 2 27" xfId="6038"/>
    <cellStyle name="Texto de Aviso 2 3" xfId="6039"/>
    <cellStyle name="Texto de Aviso 2 4" xfId="6040"/>
    <cellStyle name="Texto de Aviso 2 5" xfId="6041"/>
    <cellStyle name="Texto de Aviso 2 6" xfId="6042"/>
    <cellStyle name="Texto de Aviso 2 7" xfId="6043"/>
    <cellStyle name="Texto de Aviso 2 8" xfId="6044"/>
    <cellStyle name="Texto de Aviso 2 9" xfId="6045"/>
    <cellStyle name="Texto de Aviso 20" xfId="6046"/>
    <cellStyle name="Texto de Aviso 21" xfId="6047"/>
    <cellStyle name="Texto de Aviso 22" xfId="6048"/>
    <cellStyle name="Texto de Aviso 23" xfId="6049"/>
    <cellStyle name="Texto de Aviso 24" xfId="6050"/>
    <cellStyle name="Texto de Aviso 25" xfId="6051"/>
    <cellStyle name="Texto de Aviso 26" xfId="6052"/>
    <cellStyle name="Texto de Aviso 27" xfId="6053"/>
    <cellStyle name="Texto de Aviso 28" xfId="6054"/>
    <cellStyle name="Texto de Aviso 3" xfId="6055"/>
    <cellStyle name="Texto de Aviso 4" xfId="6056"/>
    <cellStyle name="Texto de Aviso 5" xfId="6057"/>
    <cellStyle name="Texto de Aviso 6" xfId="6058"/>
    <cellStyle name="Texto de Aviso 7" xfId="6059"/>
    <cellStyle name="Texto de Aviso 8" xfId="6060"/>
    <cellStyle name="Texto de Aviso 9" xfId="6061"/>
    <cellStyle name="Texto Explicativo 10" xfId="6062"/>
    <cellStyle name="Texto Explicativo 11" xfId="6063"/>
    <cellStyle name="Texto Explicativo 12" xfId="6064"/>
    <cellStyle name="Texto Explicativo 13" xfId="6065"/>
    <cellStyle name="Texto Explicativo 14" xfId="6066"/>
    <cellStyle name="Texto Explicativo 15" xfId="6067"/>
    <cellStyle name="Texto Explicativo 16" xfId="6068"/>
    <cellStyle name="Texto Explicativo 17" xfId="6069"/>
    <cellStyle name="Texto Explicativo 18" xfId="6070"/>
    <cellStyle name="Texto Explicativo 19" xfId="6071"/>
    <cellStyle name="Texto Explicativo 2" xfId="6072"/>
    <cellStyle name="Texto Explicativo 2 10" xfId="6073"/>
    <cellStyle name="Texto Explicativo 2 11" xfId="6074"/>
    <cellStyle name="Texto Explicativo 2 12" xfId="6075"/>
    <cellStyle name="Texto Explicativo 2 13" xfId="6076"/>
    <cellStyle name="Texto Explicativo 2 14" xfId="6077"/>
    <cellStyle name="Texto Explicativo 2 15" xfId="6078"/>
    <cellStyle name="Texto Explicativo 2 16" xfId="6079"/>
    <cellStyle name="Texto Explicativo 2 17" xfId="6080"/>
    <cellStyle name="Texto Explicativo 2 18" xfId="6081"/>
    <cellStyle name="Texto Explicativo 2 19" xfId="6082"/>
    <cellStyle name="Texto Explicativo 2 2" xfId="6083"/>
    <cellStyle name="Texto Explicativo 2 20" xfId="6084"/>
    <cellStyle name="Texto Explicativo 2 21" xfId="6085"/>
    <cellStyle name="Texto Explicativo 2 22" xfId="6086"/>
    <cellStyle name="Texto Explicativo 2 23" xfId="6087"/>
    <cellStyle name="Texto Explicativo 2 24" xfId="6088"/>
    <cellStyle name="Texto Explicativo 2 25" xfId="6089"/>
    <cellStyle name="Texto Explicativo 2 26" xfId="6090"/>
    <cellStyle name="Texto Explicativo 2 27" xfId="6091"/>
    <cellStyle name="Texto Explicativo 2 3" xfId="6092"/>
    <cellStyle name="Texto Explicativo 2 4" xfId="6093"/>
    <cellStyle name="Texto Explicativo 2 5" xfId="6094"/>
    <cellStyle name="Texto Explicativo 2 6" xfId="6095"/>
    <cellStyle name="Texto Explicativo 2 7" xfId="6096"/>
    <cellStyle name="Texto Explicativo 2 8" xfId="6097"/>
    <cellStyle name="Texto Explicativo 2 9" xfId="6098"/>
    <cellStyle name="Texto Explicativo 20" xfId="6099"/>
    <cellStyle name="Texto Explicativo 21" xfId="6100"/>
    <cellStyle name="Texto Explicativo 22" xfId="6101"/>
    <cellStyle name="Texto Explicativo 23" xfId="6102"/>
    <cellStyle name="Texto Explicativo 24" xfId="6103"/>
    <cellStyle name="Texto Explicativo 25" xfId="6104"/>
    <cellStyle name="Texto Explicativo 26" xfId="6105"/>
    <cellStyle name="Texto Explicativo 27" xfId="6106"/>
    <cellStyle name="Texto Explicativo 28" xfId="6107"/>
    <cellStyle name="Texto Explicativo 3" xfId="6108"/>
    <cellStyle name="Texto Explicativo 4" xfId="6109"/>
    <cellStyle name="Texto Explicativo 5" xfId="6110"/>
    <cellStyle name="Texto Explicativo 6" xfId="6111"/>
    <cellStyle name="Texto Explicativo 7" xfId="6112"/>
    <cellStyle name="Texto Explicativo 8" xfId="6113"/>
    <cellStyle name="Texto Explicativo 9" xfId="6114"/>
    <cellStyle name="þ_x001d_ð'_x000c_ïþ÷_x000c_âþU_x0001_o_x0014_x_x001c__x0007__x0001__x0001_" xfId="6115"/>
    <cellStyle name="Title" xfId="6116"/>
    <cellStyle name="Título 1 1" xfId="6117"/>
    <cellStyle name="Título 1 1 1" xfId="6118"/>
    <cellStyle name="Título 1 1 1 1" xfId="6119"/>
    <cellStyle name="Título 1 1 1 1 1" xfId="6120"/>
    <cellStyle name="Título 1 10" xfId="6121"/>
    <cellStyle name="Título 1 11" xfId="6122"/>
    <cellStyle name="Título 1 12" xfId="6123"/>
    <cellStyle name="Título 1 13" xfId="6124"/>
    <cellStyle name="Título 1 14" xfId="6125"/>
    <cellStyle name="Título 1 15" xfId="6126"/>
    <cellStyle name="Título 1 16" xfId="6127"/>
    <cellStyle name="Título 1 17" xfId="6128"/>
    <cellStyle name="Título 1 18" xfId="6129"/>
    <cellStyle name="Título 1 19" xfId="6130"/>
    <cellStyle name="Título 1 2" xfId="6131"/>
    <cellStyle name="Título 1 2 10" xfId="6132"/>
    <cellStyle name="Título 1 2 11" xfId="6133"/>
    <cellStyle name="Título 1 2 12" xfId="6134"/>
    <cellStyle name="Título 1 2 13" xfId="6135"/>
    <cellStyle name="Título 1 2 14" xfId="6136"/>
    <cellStyle name="Título 1 2 15" xfId="6137"/>
    <cellStyle name="Título 1 2 16" xfId="6138"/>
    <cellStyle name="Título 1 2 17" xfId="6139"/>
    <cellStyle name="Título 1 2 18" xfId="6140"/>
    <cellStyle name="Título 1 2 19" xfId="6141"/>
    <cellStyle name="Título 1 2 2" xfId="6142"/>
    <cellStyle name="Título 1 2 20" xfId="6143"/>
    <cellStyle name="Título 1 2 21" xfId="6144"/>
    <cellStyle name="Título 1 2 22" xfId="6145"/>
    <cellStyle name="Título 1 2 23" xfId="6146"/>
    <cellStyle name="Título 1 2 24" xfId="6147"/>
    <cellStyle name="Título 1 2 25" xfId="6148"/>
    <cellStyle name="Título 1 2 26" xfId="6149"/>
    <cellStyle name="Título 1 2 27" xfId="6150"/>
    <cellStyle name="Título 1 2 3" xfId="6151"/>
    <cellStyle name="Título 1 2 4" xfId="6152"/>
    <cellStyle name="Título 1 2 5" xfId="6153"/>
    <cellStyle name="Título 1 2 6" xfId="6154"/>
    <cellStyle name="Título 1 2 7" xfId="6155"/>
    <cellStyle name="Título 1 2 8" xfId="6156"/>
    <cellStyle name="Título 1 2 9" xfId="6157"/>
    <cellStyle name="Título 1 20" xfId="6158"/>
    <cellStyle name="Título 1 21" xfId="6159"/>
    <cellStyle name="Título 1 22" xfId="6160"/>
    <cellStyle name="Título 1 23" xfId="6161"/>
    <cellStyle name="Título 1 24" xfId="6162"/>
    <cellStyle name="Título 1 25" xfId="6163"/>
    <cellStyle name="Título 1 26" xfId="6164"/>
    <cellStyle name="Título 1 27" xfId="6165"/>
    <cellStyle name="Título 1 28" xfId="6166"/>
    <cellStyle name="Título 1 3" xfId="6167"/>
    <cellStyle name="Título 1 4" xfId="6168"/>
    <cellStyle name="Título 1 5" xfId="6169"/>
    <cellStyle name="Título 1 6" xfId="6170"/>
    <cellStyle name="Título 1 7" xfId="6171"/>
    <cellStyle name="Título 1 8" xfId="6172"/>
    <cellStyle name="Título 1 9" xfId="6173"/>
    <cellStyle name="Título 10" xfId="6174"/>
    <cellStyle name="Título 11" xfId="6175"/>
    <cellStyle name="Título 12" xfId="6176"/>
    <cellStyle name="Título 13" xfId="6177"/>
    <cellStyle name="Título 14" xfId="6178"/>
    <cellStyle name="Título 15" xfId="6179"/>
    <cellStyle name="Título 16" xfId="6180"/>
    <cellStyle name="Título 17" xfId="6181"/>
    <cellStyle name="Título 18" xfId="6182"/>
    <cellStyle name="Título 19" xfId="6183"/>
    <cellStyle name="Titulo 2" xfId="6184"/>
    <cellStyle name="Título 2 10" xfId="6185"/>
    <cellStyle name="Título 2 11" xfId="6186"/>
    <cellStyle name="Título 2 12" xfId="6187"/>
    <cellStyle name="Título 2 13" xfId="6188"/>
    <cellStyle name="Título 2 14" xfId="6189"/>
    <cellStyle name="Título 2 15" xfId="6190"/>
    <cellStyle name="Título 2 16" xfId="6191"/>
    <cellStyle name="Título 2 17" xfId="6192"/>
    <cellStyle name="Título 2 18" xfId="6193"/>
    <cellStyle name="Título 2 19" xfId="6194"/>
    <cellStyle name="Título 2 2" xfId="6195"/>
    <cellStyle name="Título 2 2 10" xfId="6196"/>
    <cellStyle name="Título 2 2 11" xfId="6197"/>
    <cellStyle name="Título 2 2 12" xfId="6198"/>
    <cellStyle name="Título 2 2 13" xfId="6199"/>
    <cellStyle name="Título 2 2 14" xfId="6200"/>
    <cellStyle name="Título 2 2 15" xfId="6201"/>
    <cellStyle name="Título 2 2 16" xfId="6202"/>
    <cellStyle name="Título 2 2 17" xfId="6203"/>
    <cellStyle name="Título 2 2 18" xfId="6204"/>
    <cellStyle name="Título 2 2 19" xfId="6205"/>
    <cellStyle name="Título 2 2 2" xfId="6206"/>
    <cellStyle name="Título 2 2 20" xfId="6207"/>
    <cellStyle name="Título 2 2 21" xfId="6208"/>
    <cellStyle name="Título 2 2 22" xfId="6209"/>
    <cellStyle name="Título 2 2 23" xfId="6210"/>
    <cellStyle name="Título 2 2 24" xfId="6211"/>
    <cellStyle name="Título 2 2 25" xfId="6212"/>
    <cellStyle name="Título 2 2 26" xfId="6213"/>
    <cellStyle name="Título 2 2 27" xfId="6214"/>
    <cellStyle name="Título 2 2 3" xfId="6215"/>
    <cellStyle name="Título 2 2 4" xfId="6216"/>
    <cellStyle name="Título 2 2 5" xfId="6217"/>
    <cellStyle name="Título 2 2 6" xfId="6218"/>
    <cellStyle name="Título 2 2 7" xfId="6219"/>
    <cellStyle name="Título 2 2 8" xfId="6220"/>
    <cellStyle name="Título 2 2 9" xfId="6221"/>
    <cellStyle name="Título 2 20" xfId="6222"/>
    <cellStyle name="Título 2 21" xfId="6223"/>
    <cellStyle name="Título 2 22" xfId="6224"/>
    <cellStyle name="Título 2 23" xfId="6225"/>
    <cellStyle name="Título 2 24" xfId="6226"/>
    <cellStyle name="Título 2 25" xfId="6227"/>
    <cellStyle name="Título 2 26" xfId="6228"/>
    <cellStyle name="Título 2 27" xfId="6229"/>
    <cellStyle name="Título 2 28" xfId="6230"/>
    <cellStyle name="Título 2 3" xfId="6231"/>
    <cellStyle name="Título 2 4" xfId="6232"/>
    <cellStyle name="Título 2 5" xfId="6233"/>
    <cellStyle name="Título 2 6" xfId="6234"/>
    <cellStyle name="Título 2 7" xfId="6235"/>
    <cellStyle name="Título 2 8" xfId="6236"/>
    <cellStyle name="Título 2 9" xfId="6237"/>
    <cellStyle name="Título 20" xfId="6238"/>
    <cellStyle name="Título 21" xfId="6239"/>
    <cellStyle name="Título 22" xfId="6240"/>
    <cellStyle name="Título 23" xfId="6241"/>
    <cellStyle name="Título 24" xfId="6242"/>
    <cellStyle name="Título 25" xfId="6243"/>
    <cellStyle name="Título 26" xfId="6244"/>
    <cellStyle name="Título 27" xfId="6245"/>
    <cellStyle name="Título 28" xfId="6246"/>
    <cellStyle name="Título 29" xfId="6247"/>
    <cellStyle name="Título 3 10" xfId="6248"/>
    <cellStyle name="Título 3 11" xfId="6249"/>
    <cellStyle name="Título 3 12" xfId="6250"/>
    <cellStyle name="Título 3 13" xfId="6251"/>
    <cellStyle name="Título 3 14" xfId="6252"/>
    <cellStyle name="Título 3 15" xfId="6253"/>
    <cellStyle name="Título 3 16" xfId="6254"/>
    <cellStyle name="Título 3 17" xfId="6255"/>
    <cellStyle name="Título 3 18" xfId="6256"/>
    <cellStyle name="Título 3 19" xfId="6257"/>
    <cellStyle name="Título 3 2" xfId="6258"/>
    <cellStyle name="Título 3 2 10" xfId="6259"/>
    <cellStyle name="Título 3 2 11" xfId="6260"/>
    <cellStyle name="Título 3 2 12" xfId="6261"/>
    <cellStyle name="Título 3 2 13" xfId="6262"/>
    <cellStyle name="Título 3 2 14" xfId="6263"/>
    <cellStyle name="Título 3 2 15" xfId="6264"/>
    <cellStyle name="Título 3 2 16" xfId="6265"/>
    <cellStyle name="Título 3 2 17" xfId="6266"/>
    <cellStyle name="Título 3 2 18" xfId="6267"/>
    <cellStyle name="Título 3 2 19" xfId="6268"/>
    <cellStyle name="Título 3 2 2" xfId="6269"/>
    <cellStyle name="Título 3 2 20" xfId="6270"/>
    <cellStyle name="Título 3 2 21" xfId="6271"/>
    <cellStyle name="Título 3 2 22" xfId="6272"/>
    <cellStyle name="Título 3 2 23" xfId="6273"/>
    <cellStyle name="Título 3 2 24" xfId="6274"/>
    <cellStyle name="Título 3 2 25" xfId="6275"/>
    <cellStyle name="Título 3 2 26" xfId="6276"/>
    <cellStyle name="Título 3 2 27" xfId="6277"/>
    <cellStyle name="Título 3 2 3" xfId="6278"/>
    <cellStyle name="Título 3 2 4" xfId="6279"/>
    <cellStyle name="Título 3 2 5" xfId="6280"/>
    <cellStyle name="Título 3 2 6" xfId="6281"/>
    <cellStyle name="Título 3 2 7" xfId="6282"/>
    <cellStyle name="Título 3 2 8" xfId="6283"/>
    <cellStyle name="Título 3 2 9" xfId="6284"/>
    <cellStyle name="Título 3 20" xfId="6285"/>
    <cellStyle name="Título 3 21" xfId="6286"/>
    <cellStyle name="Título 3 22" xfId="6287"/>
    <cellStyle name="Título 3 23" xfId="6288"/>
    <cellStyle name="Título 3 24" xfId="6289"/>
    <cellStyle name="Título 3 25" xfId="6290"/>
    <cellStyle name="Título 3 26" xfId="6291"/>
    <cellStyle name="Título 3 27" xfId="6292"/>
    <cellStyle name="Título 3 28" xfId="6293"/>
    <cellStyle name="Título 3 3" xfId="6294"/>
    <cellStyle name="Título 3 4" xfId="6295"/>
    <cellStyle name="Título 3 5" xfId="6296"/>
    <cellStyle name="Título 3 6" xfId="6297"/>
    <cellStyle name="Título 3 7" xfId="6298"/>
    <cellStyle name="Título 3 8" xfId="6299"/>
    <cellStyle name="Título 3 9" xfId="6300"/>
    <cellStyle name="Título 30" xfId="6301"/>
    <cellStyle name="Título 31" xfId="6302"/>
    <cellStyle name="Título 32" xfId="6303"/>
    <cellStyle name="Título 33" xfId="6304"/>
    <cellStyle name="Título 34" xfId="6305"/>
    <cellStyle name="Título 4 10" xfId="6306"/>
    <cellStyle name="Título 4 11" xfId="6307"/>
    <cellStyle name="Título 4 12" xfId="6308"/>
    <cellStyle name="Título 4 13" xfId="6309"/>
    <cellStyle name="Título 4 14" xfId="6310"/>
    <cellStyle name="Título 4 15" xfId="6311"/>
    <cellStyle name="Título 4 16" xfId="6312"/>
    <cellStyle name="Título 4 17" xfId="6313"/>
    <cellStyle name="Título 4 18" xfId="6314"/>
    <cellStyle name="Título 4 19" xfId="6315"/>
    <cellStyle name="Título 4 2" xfId="6316"/>
    <cellStyle name="Título 4 2 10" xfId="6317"/>
    <cellStyle name="Título 4 2 11" xfId="6318"/>
    <cellStyle name="Título 4 2 12" xfId="6319"/>
    <cellStyle name="Título 4 2 13" xfId="6320"/>
    <cellStyle name="Título 4 2 14" xfId="6321"/>
    <cellStyle name="Título 4 2 15" xfId="6322"/>
    <cellStyle name="Título 4 2 16" xfId="6323"/>
    <cellStyle name="Título 4 2 17" xfId="6324"/>
    <cellStyle name="Título 4 2 18" xfId="6325"/>
    <cellStyle name="Título 4 2 19" xfId="6326"/>
    <cellStyle name="Título 4 2 2" xfId="6327"/>
    <cellStyle name="Título 4 2 20" xfId="6328"/>
    <cellStyle name="Título 4 2 21" xfId="6329"/>
    <cellStyle name="Título 4 2 22" xfId="6330"/>
    <cellStyle name="Título 4 2 23" xfId="6331"/>
    <cellStyle name="Título 4 2 24" xfId="6332"/>
    <cellStyle name="Título 4 2 25" xfId="6333"/>
    <cellStyle name="Título 4 2 26" xfId="6334"/>
    <cellStyle name="Título 4 2 27" xfId="6335"/>
    <cellStyle name="Título 4 2 3" xfId="6336"/>
    <cellStyle name="Título 4 2 4" xfId="6337"/>
    <cellStyle name="Título 4 2 5" xfId="6338"/>
    <cellStyle name="Título 4 2 6" xfId="6339"/>
    <cellStyle name="Título 4 2 7" xfId="6340"/>
    <cellStyle name="Título 4 2 8" xfId="6341"/>
    <cellStyle name="Título 4 2 9" xfId="6342"/>
    <cellStyle name="Título 4 20" xfId="6343"/>
    <cellStyle name="Título 4 21" xfId="6344"/>
    <cellStyle name="Título 4 22" xfId="6345"/>
    <cellStyle name="Título 4 23" xfId="6346"/>
    <cellStyle name="Título 4 24" xfId="6347"/>
    <cellStyle name="Título 4 25" xfId="6348"/>
    <cellStyle name="Título 4 26" xfId="6349"/>
    <cellStyle name="Título 4 27" xfId="6350"/>
    <cellStyle name="Título 4 28" xfId="6351"/>
    <cellStyle name="Título 4 3" xfId="6352"/>
    <cellStyle name="Título 4 4" xfId="6353"/>
    <cellStyle name="Título 4 5" xfId="6354"/>
    <cellStyle name="Título 4 6" xfId="6355"/>
    <cellStyle name="Título 4 7" xfId="6356"/>
    <cellStyle name="Título 4 8" xfId="6357"/>
    <cellStyle name="Título 4 9" xfId="6358"/>
    <cellStyle name="Título 5" xfId="6359"/>
    <cellStyle name="Título 5 10" xfId="6360"/>
    <cellStyle name="Título 5 11" xfId="6361"/>
    <cellStyle name="Título 5 12" xfId="6362"/>
    <cellStyle name="Título 5 13" xfId="6363"/>
    <cellStyle name="Título 5 14" xfId="6364"/>
    <cellStyle name="Título 5 15" xfId="6365"/>
    <cellStyle name="Título 5 16" xfId="6366"/>
    <cellStyle name="Título 5 17" xfId="6367"/>
    <cellStyle name="Título 5 18" xfId="6368"/>
    <cellStyle name="Título 5 19" xfId="6369"/>
    <cellStyle name="Título 5 2" xfId="6370"/>
    <cellStyle name="Título 5 20" xfId="6371"/>
    <cellStyle name="Título 5 21" xfId="6372"/>
    <cellStyle name="Título 5 22" xfId="6373"/>
    <cellStyle name="Título 5 23" xfId="6374"/>
    <cellStyle name="Título 5 24" xfId="6375"/>
    <cellStyle name="Título 5 25" xfId="6376"/>
    <cellStyle name="Título 5 26" xfId="6377"/>
    <cellStyle name="Título 5 27" xfId="6378"/>
    <cellStyle name="Título 5 28" xfId="6379"/>
    <cellStyle name="Título 5 3" xfId="6380"/>
    <cellStyle name="Título 5 4" xfId="6381"/>
    <cellStyle name="Título 5 5" xfId="6382"/>
    <cellStyle name="Título 5 6" xfId="6383"/>
    <cellStyle name="Título 5 7" xfId="6384"/>
    <cellStyle name="Título 5 8" xfId="6385"/>
    <cellStyle name="Título 5 9" xfId="6386"/>
    <cellStyle name="Título 6" xfId="6387"/>
    <cellStyle name="Título 7" xfId="6388"/>
    <cellStyle name="Título 8" xfId="6389"/>
    <cellStyle name="Título 9" xfId="6390"/>
    <cellStyle name="Titulo1" xfId="6391"/>
    <cellStyle name="Titulo2" xfId="6392"/>
    <cellStyle name="Total 10" xfId="6393"/>
    <cellStyle name="Total 11" xfId="6394"/>
    <cellStyle name="Total 12" xfId="6395"/>
    <cellStyle name="Total 13" xfId="6396"/>
    <cellStyle name="Total 14" xfId="6397"/>
    <cellStyle name="Total 15" xfId="6398"/>
    <cellStyle name="Total 16" xfId="6399"/>
    <cellStyle name="Total 17" xfId="6400"/>
    <cellStyle name="Total 18" xfId="6401"/>
    <cellStyle name="Total 19" xfId="6402"/>
    <cellStyle name="Total 2" xfId="6403"/>
    <cellStyle name="Total 2 10" xfId="6404"/>
    <cellStyle name="Total 2 11" xfId="6405"/>
    <cellStyle name="Total 2 12" xfId="6406"/>
    <cellStyle name="Total 2 13" xfId="6407"/>
    <cellStyle name="Total 2 14" xfId="6408"/>
    <cellStyle name="Total 2 15" xfId="6409"/>
    <cellStyle name="Total 2 16" xfId="6410"/>
    <cellStyle name="Total 2 17" xfId="6411"/>
    <cellStyle name="Total 2 18" xfId="6412"/>
    <cellStyle name="Total 2 19" xfId="6413"/>
    <cellStyle name="Total 2 2" xfId="6414"/>
    <cellStyle name="Total 2 20" xfId="6415"/>
    <cellStyle name="Total 2 21" xfId="6416"/>
    <cellStyle name="Total 2 22" xfId="6417"/>
    <cellStyle name="Total 2 23" xfId="6418"/>
    <cellStyle name="Total 2 24" xfId="6419"/>
    <cellStyle name="Total 2 25" xfId="6420"/>
    <cellStyle name="Total 2 26" xfId="6421"/>
    <cellStyle name="Total 2 27" xfId="6422"/>
    <cellStyle name="Total 2 3" xfId="6423"/>
    <cellStyle name="Total 2 4" xfId="6424"/>
    <cellStyle name="Total 2 5" xfId="6425"/>
    <cellStyle name="Total 2 6" xfId="6426"/>
    <cellStyle name="Total 2 7" xfId="6427"/>
    <cellStyle name="Total 2 8" xfId="6428"/>
    <cellStyle name="Total 2 9" xfId="6429"/>
    <cellStyle name="Total 20" xfId="6430"/>
    <cellStyle name="Total 21" xfId="6431"/>
    <cellStyle name="Total 22" xfId="6432"/>
    <cellStyle name="Total 23" xfId="6433"/>
    <cellStyle name="Total 24" xfId="6434"/>
    <cellStyle name="Total 25" xfId="6435"/>
    <cellStyle name="Total 26" xfId="6436"/>
    <cellStyle name="Total 27" xfId="6437"/>
    <cellStyle name="Total 28" xfId="6438"/>
    <cellStyle name="Total 29" xfId="6439"/>
    <cellStyle name="Total 3" xfId="6440"/>
    <cellStyle name="Total 30" xfId="6441"/>
    <cellStyle name="Total 31" xfId="6442"/>
    <cellStyle name="Total 32" xfId="6443"/>
    <cellStyle name="Total 33" xfId="6444"/>
    <cellStyle name="Total 34" xfId="6445"/>
    <cellStyle name="Total 35" xfId="6446"/>
    <cellStyle name="Total 36" xfId="6447"/>
    <cellStyle name="Total 4" xfId="6448"/>
    <cellStyle name="Total 5" xfId="6449"/>
    <cellStyle name="Total 6" xfId="6450"/>
    <cellStyle name="Total 7" xfId="6451"/>
    <cellStyle name="Total 7 2" xfId="6452"/>
    <cellStyle name="Total 7 2 2" xfId="6453"/>
    <cellStyle name="Total 8" xfId="6454"/>
    <cellStyle name="Total 8 2" xfId="6455"/>
    <cellStyle name="Total 8 2 2" xfId="6456"/>
    <cellStyle name="Total 9" xfId="6457"/>
    <cellStyle name="Vírgula 2" xfId="6458"/>
    <cellStyle name="Vírgula 2 2" xfId="6459"/>
    <cellStyle name="Vírgula 2 3" xfId="6460"/>
    <cellStyle name="Vírgula 2 4" xfId="6461"/>
    <cellStyle name="Vírgula 3" xfId="6462"/>
    <cellStyle name="Vírgula 3 2" xfId="6463"/>
    <cellStyle name="Vírgula 4" xfId="6464"/>
    <cellStyle name="Vírgula 4 2" xfId="6465"/>
    <cellStyle name="Vírgula 4 2 2" xfId="6466"/>
    <cellStyle name="Vírgula 4 3" xfId="6467"/>
    <cellStyle name="Vírgula 4 3 2" xfId="6468"/>
    <cellStyle name="Vírgula 4 4" xfId="6469"/>
    <cellStyle name="Vírgula 4 4 2" xfId="6470"/>
    <cellStyle name="Vírgula 4 5" xfId="6471"/>
    <cellStyle name="Vírgula 5" xfId="6472"/>
    <cellStyle name="Vírgula 5 2" xfId="6473"/>
    <cellStyle name="Vírgula 6" xfId="6474"/>
    <cellStyle name="Vírgula 7" xfId="6475"/>
    <cellStyle name="Vírgula 8" xfId="6476"/>
    <cellStyle name="Vírgula0" xfId="6477"/>
    <cellStyle name="Vírgula0 2" xfId="6478"/>
    <cellStyle name="Vírgula0 3" xfId="6479"/>
    <cellStyle name="Vírgula0 4" xfId="6480"/>
    <cellStyle name="Vírgula0 5" xfId="6481"/>
    <cellStyle name="Vírgula0 6" xfId="6482"/>
    <cellStyle name="Vírgula0 7" xfId="6483"/>
    <cellStyle name="Vírgula0 8" xfId="6484"/>
    <cellStyle name="Vírgula0 9" xfId="6485"/>
    <cellStyle name="Warning Text" xfId="6486"/>
    <cellStyle name="Year" xfId="6487"/>
  </cellStyles>
  <dxfs count="3">
    <dxf>
      <font>
        <color rgb="FF9C0006"/>
      </font>
      <fill>
        <patternFill patternType="solid">
          <bgColor rgb="FFFFC7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colors>
    <mruColors>
      <color rgb="00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sharedStrings" Target="sharedStrings.xml"/><Relationship Id="rId28" Type="http://schemas.openxmlformats.org/officeDocument/2006/relationships/theme" Target="theme/theme1.xml"/><Relationship Id="rId27" Type="http://schemas.openxmlformats.org/officeDocument/2006/relationships/externalLink" Target="externalLinks/externalLink1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9" Type="http://schemas.openxmlformats.org/officeDocument/2006/relationships/image" Target="../media/image15.png"/><Relationship Id="rId8" Type="http://schemas.openxmlformats.org/officeDocument/2006/relationships/image" Target="../media/image14.png"/><Relationship Id="rId7" Type="http://schemas.openxmlformats.org/officeDocument/2006/relationships/image" Target="../media/image13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9" Type="http://schemas.openxmlformats.org/officeDocument/2006/relationships/image" Target="../media/image55.emf"/><Relationship Id="rId48" Type="http://schemas.openxmlformats.org/officeDocument/2006/relationships/image" Target="../media/image54.emf"/><Relationship Id="rId47" Type="http://schemas.openxmlformats.org/officeDocument/2006/relationships/image" Target="../media/image53.emf"/><Relationship Id="rId46" Type="http://schemas.openxmlformats.org/officeDocument/2006/relationships/image" Target="../media/image52.emf"/><Relationship Id="rId45" Type="http://schemas.openxmlformats.org/officeDocument/2006/relationships/image" Target="../media/image51.emf"/><Relationship Id="rId44" Type="http://schemas.openxmlformats.org/officeDocument/2006/relationships/image" Target="../media/image50.emf"/><Relationship Id="rId43" Type="http://schemas.openxmlformats.org/officeDocument/2006/relationships/image" Target="../media/image49.emf"/><Relationship Id="rId42" Type="http://schemas.openxmlformats.org/officeDocument/2006/relationships/image" Target="../media/image48.emf"/><Relationship Id="rId41" Type="http://schemas.openxmlformats.org/officeDocument/2006/relationships/image" Target="../media/image47.emf"/><Relationship Id="rId40" Type="http://schemas.openxmlformats.org/officeDocument/2006/relationships/image" Target="../media/image46.emf"/><Relationship Id="rId4" Type="http://schemas.openxmlformats.org/officeDocument/2006/relationships/image" Target="../media/image10.png"/><Relationship Id="rId39" Type="http://schemas.openxmlformats.org/officeDocument/2006/relationships/image" Target="../media/image45.emf"/><Relationship Id="rId38" Type="http://schemas.openxmlformats.org/officeDocument/2006/relationships/image" Target="../media/image44.emf"/><Relationship Id="rId37" Type="http://schemas.openxmlformats.org/officeDocument/2006/relationships/image" Target="../media/image43.emf"/><Relationship Id="rId36" Type="http://schemas.openxmlformats.org/officeDocument/2006/relationships/image" Target="../media/image42.emf"/><Relationship Id="rId35" Type="http://schemas.openxmlformats.org/officeDocument/2006/relationships/image" Target="../media/image41.png"/><Relationship Id="rId34" Type="http://schemas.openxmlformats.org/officeDocument/2006/relationships/image" Target="../media/image40.emf"/><Relationship Id="rId33" Type="http://schemas.openxmlformats.org/officeDocument/2006/relationships/image" Target="../media/image39.emf"/><Relationship Id="rId32" Type="http://schemas.openxmlformats.org/officeDocument/2006/relationships/image" Target="../media/image38.emf"/><Relationship Id="rId31" Type="http://schemas.openxmlformats.org/officeDocument/2006/relationships/image" Target="../media/image37.emf"/><Relationship Id="rId30" Type="http://schemas.openxmlformats.org/officeDocument/2006/relationships/image" Target="../media/image36.emf"/><Relationship Id="rId3" Type="http://schemas.openxmlformats.org/officeDocument/2006/relationships/image" Target="../media/image9.png"/><Relationship Id="rId29" Type="http://schemas.openxmlformats.org/officeDocument/2006/relationships/image" Target="../media/image35.png"/><Relationship Id="rId28" Type="http://schemas.openxmlformats.org/officeDocument/2006/relationships/image" Target="../media/image34.png"/><Relationship Id="rId27" Type="http://schemas.openxmlformats.org/officeDocument/2006/relationships/image" Target="../media/image33.emf"/><Relationship Id="rId26" Type="http://schemas.openxmlformats.org/officeDocument/2006/relationships/image" Target="../media/image32.png"/><Relationship Id="rId25" Type="http://schemas.openxmlformats.org/officeDocument/2006/relationships/image" Target="../media/image31.emf"/><Relationship Id="rId24" Type="http://schemas.openxmlformats.org/officeDocument/2006/relationships/image" Target="../media/image30.png"/><Relationship Id="rId23" Type="http://schemas.openxmlformats.org/officeDocument/2006/relationships/image" Target="../media/image29.emf"/><Relationship Id="rId22" Type="http://schemas.openxmlformats.org/officeDocument/2006/relationships/image" Target="../media/image28.png"/><Relationship Id="rId21" Type="http://schemas.openxmlformats.org/officeDocument/2006/relationships/image" Target="../media/image27.png"/><Relationship Id="rId20" Type="http://schemas.openxmlformats.org/officeDocument/2006/relationships/image" Target="../media/image26.emf"/><Relationship Id="rId2" Type="http://schemas.openxmlformats.org/officeDocument/2006/relationships/image" Target="../media/image8.png"/><Relationship Id="rId19" Type="http://schemas.openxmlformats.org/officeDocument/2006/relationships/image" Target="../media/image25.png"/><Relationship Id="rId18" Type="http://schemas.openxmlformats.org/officeDocument/2006/relationships/image" Target="../media/image24.png"/><Relationship Id="rId17" Type="http://schemas.openxmlformats.org/officeDocument/2006/relationships/image" Target="../media/image23.png"/><Relationship Id="rId16" Type="http://schemas.openxmlformats.org/officeDocument/2006/relationships/image" Target="../media/image22.png"/><Relationship Id="rId15" Type="http://schemas.openxmlformats.org/officeDocument/2006/relationships/image" Target="../media/image21.png"/><Relationship Id="rId14" Type="http://schemas.openxmlformats.org/officeDocument/2006/relationships/image" Target="../media/image20.png"/><Relationship Id="rId13" Type="http://schemas.openxmlformats.org/officeDocument/2006/relationships/image" Target="../media/image19.png"/><Relationship Id="rId12" Type="http://schemas.openxmlformats.org/officeDocument/2006/relationships/image" Target="../media/image18.png"/><Relationship Id="rId11" Type="http://schemas.openxmlformats.org/officeDocument/2006/relationships/image" Target="../media/image17.emf"/><Relationship Id="rId10" Type="http://schemas.openxmlformats.org/officeDocument/2006/relationships/image" Target="../media/image16.emf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9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0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5" Type="http://schemas.openxmlformats.org/officeDocument/2006/relationships/image" Target="../media/image64.png"/><Relationship Id="rId4" Type="http://schemas.openxmlformats.org/officeDocument/2006/relationships/image" Target="../media/image63.emf"/><Relationship Id="rId3" Type="http://schemas.openxmlformats.org/officeDocument/2006/relationships/image" Target="../media/image1.png"/><Relationship Id="rId2" Type="http://schemas.openxmlformats.org/officeDocument/2006/relationships/image" Target="../media/image62.emf"/><Relationship Id="rId1" Type="http://schemas.openxmlformats.org/officeDocument/2006/relationships/image" Target="../media/image61.emf"/></Relationships>
</file>

<file path=xl/drawings/_rels/drawing9.xml.rels><?xml version="1.0" encoding="UTF-8" standalone="yes"?>
<Relationships xmlns="http://schemas.openxmlformats.org/package/2006/relationships"><Relationship Id="rId4" Type="http://schemas.openxmlformats.org/officeDocument/2006/relationships/image" Target="../media/image67.png"/><Relationship Id="rId3" Type="http://schemas.openxmlformats.org/officeDocument/2006/relationships/image" Target="../media/image66.emf"/><Relationship Id="rId2" Type="http://schemas.openxmlformats.org/officeDocument/2006/relationships/image" Target="../media/image65.emf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68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9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9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0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1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7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3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4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5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7.png"/><Relationship Id="rId2" Type="http://schemas.openxmlformats.org/officeDocument/2006/relationships/image" Target="../media/image1.png"/><Relationship Id="rId1" Type="http://schemas.openxmlformats.org/officeDocument/2006/relationships/image" Target="../media/image76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7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58.png"/><Relationship Id="rId2" Type="http://schemas.openxmlformats.org/officeDocument/2006/relationships/image" Target="../media/image57.png"/><Relationship Id="rId1" Type="http://schemas.openxmlformats.org/officeDocument/2006/relationships/image" Target="../media/image56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34</xdr:col>
      <xdr:colOff>96521</xdr:colOff>
      <xdr:row>0</xdr:row>
      <xdr:rowOff>84924</xdr:rowOff>
    </xdr:from>
    <xdr:to>
      <xdr:col>43</xdr:col>
      <xdr:colOff>97750</xdr:colOff>
      <xdr:row>2</xdr:row>
      <xdr:rowOff>86901</xdr:rowOff>
    </xdr:to>
    <xdr:pic>
      <xdr:nvPicPr>
        <xdr:cNvPr id="4" name="Imagem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05375" y="84455"/>
          <a:ext cx="1301115" cy="325755"/>
        </a:xfrm>
        <a:prstGeom prst="rect">
          <a:avLst/>
        </a:prstGeom>
      </xdr:spPr>
    </xdr:pic>
    <xdr:clientData/>
  </xdr:twoCellAnchor>
  <xdr:twoCellAnchor editAs="oneCell">
    <xdr:from>
      <xdr:col>0</xdr:col>
      <xdr:colOff>93157</xdr:colOff>
      <xdr:row>0</xdr:row>
      <xdr:rowOff>94752</xdr:rowOff>
    </xdr:from>
    <xdr:to>
      <xdr:col>8</xdr:col>
      <xdr:colOff>50661</xdr:colOff>
      <xdr:row>2</xdr:row>
      <xdr:rowOff>59661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2710" y="94615"/>
          <a:ext cx="1080135" cy="2882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34</xdr:col>
      <xdr:colOff>102870</xdr:colOff>
      <xdr:row>0</xdr:row>
      <xdr:rowOff>83354</xdr:rowOff>
    </xdr:from>
    <xdr:to>
      <xdr:col>43</xdr:col>
      <xdr:colOff>111719</xdr:colOff>
      <xdr:row>2</xdr:row>
      <xdr:rowOff>87201</xdr:rowOff>
    </xdr:to>
    <xdr:pic>
      <xdr:nvPicPr>
        <xdr:cNvPr id="4" name="Imagem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11725" y="83185"/>
          <a:ext cx="1308735" cy="327660"/>
        </a:xfrm>
        <a:prstGeom prst="rect">
          <a:avLst/>
        </a:prstGeom>
      </xdr:spPr>
    </xdr:pic>
    <xdr:clientData/>
  </xdr:twoCellAnchor>
  <xdr:twoCellAnchor editAs="oneCell">
    <xdr:from>
      <xdr:col>0</xdr:col>
      <xdr:colOff>121848</xdr:colOff>
      <xdr:row>0</xdr:row>
      <xdr:rowOff>97790</xdr:rowOff>
    </xdr:from>
    <xdr:to>
      <xdr:col>8</xdr:col>
      <xdr:colOff>53739</xdr:colOff>
      <xdr:row>2</xdr:row>
      <xdr:rowOff>60794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1285" y="97790"/>
          <a:ext cx="1054735" cy="2863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34</xdr:col>
      <xdr:colOff>96520</xdr:colOff>
      <xdr:row>0</xdr:row>
      <xdr:rowOff>89051</xdr:rowOff>
    </xdr:from>
    <xdr:to>
      <xdr:col>43</xdr:col>
      <xdr:colOff>97749</xdr:colOff>
      <xdr:row>2</xdr:row>
      <xdr:rowOff>91028</xdr:rowOff>
    </xdr:to>
    <xdr:pic>
      <xdr:nvPicPr>
        <xdr:cNvPr id="4" name="Imagem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05375" y="88900"/>
          <a:ext cx="1301115" cy="325755"/>
        </a:xfrm>
        <a:prstGeom prst="rect">
          <a:avLst/>
        </a:prstGeom>
      </xdr:spPr>
    </xdr:pic>
    <xdr:clientData/>
  </xdr:twoCellAnchor>
  <xdr:twoCellAnchor editAs="oneCell">
    <xdr:from>
      <xdr:col>0</xdr:col>
      <xdr:colOff>119977</xdr:colOff>
      <xdr:row>0</xdr:row>
      <xdr:rowOff>91440</xdr:rowOff>
    </xdr:from>
    <xdr:to>
      <xdr:col>8</xdr:col>
      <xdr:colOff>70214</xdr:colOff>
      <xdr:row>2</xdr:row>
      <xdr:rowOff>54444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9380" y="91440"/>
          <a:ext cx="1073150" cy="2863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35</xdr:col>
      <xdr:colOff>18992</xdr:colOff>
      <xdr:row>0</xdr:row>
      <xdr:rowOff>97568</xdr:rowOff>
    </xdr:from>
    <xdr:to>
      <xdr:col>43</xdr:col>
      <xdr:colOff>60341</xdr:colOff>
      <xdr:row>2</xdr:row>
      <xdr:rowOff>95211</xdr:rowOff>
    </xdr:to>
    <xdr:pic>
      <xdr:nvPicPr>
        <xdr:cNvPr id="4" name="Imagem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67605" y="97155"/>
          <a:ext cx="1283970" cy="321310"/>
        </a:xfrm>
        <a:prstGeom prst="rect">
          <a:avLst/>
        </a:prstGeom>
      </xdr:spPr>
    </xdr:pic>
    <xdr:clientData/>
  </xdr:twoCellAnchor>
  <xdr:twoCellAnchor editAs="oneCell">
    <xdr:from>
      <xdr:col>0</xdr:col>
      <xdr:colOff>116450</xdr:colOff>
      <xdr:row>0</xdr:row>
      <xdr:rowOff>97790</xdr:rowOff>
    </xdr:from>
    <xdr:to>
      <xdr:col>8</xdr:col>
      <xdr:colOff>59771</xdr:colOff>
      <xdr:row>2</xdr:row>
      <xdr:rowOff>56984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6205" y="97790"/>
          <a:ext cx="1066165" cy="2825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91080</xdr:colOff>
      <xdr:row>384</xdr:row>
      <xdr:rowOff>72312</xdr:rowOff>
    </xdr:from>
    <xdr:to>
      <xdr:col>26</xdr:col>
      <xdr:colOff>161380</xdr:colOff>
      <xdr:row>399</xdr:row>
      <xdr:rowOff>108667</xdr:rowOff>
    </xdr:to>
    <xdr:pic>
      <xdr:nvPicPr>
        <xdr:cNvPr id="9" name="Imagem 8"/>
        <xdr:cNvPicPr preferRelativeResize="0"/>
      </xdr:nvPicPr>
      <xdr:blipFill>
        <a:blip r:embed="rId1"/>
        <a:srcRect l="4793" t="8761" r="19928" b="20681"/>
        <a:stretch>
          <a:fillRect/>
        </a:stretch>
      </xdr:blipFill>
      <xdr:spPr>
        <a:xfrm>
          <a:off x="313055" y="73717150"/>
          <a:ext cx="5952490" cy="2894330"/>
        </a:xfrm>
        <a:prstGeom prst="rect">
          <a:avLst/>
        </a:prstGeom>
      </xdr:spPr>
    </xdr:pic>
    <xdr:clientData/>
  </xdr:twoCellAnchor>
  <xdr:twoCellAnchor editAs="oneCell">
    <xdr:from>
      <xdr:col>3</xdr:col>
      <xdr:colOff>222343</xdr:colOff>
      <xdr:row>75</xdr:row>
      <xdr:rowOff>20780</xdr:rowOff>
    </xdr:from>
    <xdr:to>
      <xdr:col>24</xdr:col>
      <xdr:colOff>29546</xdr:colOff>
      <xdr:row>96</xdr:row>
      <xdr:rowOff>149889</xdr:rowOff>
    </xdr:to>
    <xdr:pic>
      <xdr:nvPicPr>
        <xdr:cNvPr id="13" name="Imagem 1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89000" y="14096365"/>
          <a:ext cx="4799965" cy="4130040"/>
        </a:xfrm>
        <a:prstGeom prst="rect">
          <a:avLst/>
        </a:prstGeom>
      </xdr:spPr>
    </xdr:pic>
    <xdr:clientData/>
  </xdr:twoCellAnchor>
  <xdr:twoCellAnchor editAs="oneCell">
    <xdr:from>
      <xdr:col>3</xdr:col>
      <xdr:colOff>102173</xdr:colOff>
      <xdr:row>228</xdr:row>
      <xdr:rowOff>41563</xdr:rowOff>
    </xdr:from>
    <xdr:to>
      <xdr:col>24</xdr:col>
      <xdr:colOff>148725</xdr:colOff>
      <xdr:row>252</xdr:row>
      <xdr:rowOff>139173</xdr:rowOff>
    </xdr:to>
    <xdr:pic>
      <xdr:nvPicPr>
        <xdr:cNvPr id="14" name="Imagem 1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68350" y="43625770"/>
          <a:ext cx="5039995" cy="4669790"/>
        </a:xfrm>
        <a:prstGeom prst="rect">
          <a:avLst/>
        </a:prstGeom>
      </xdr:spPr>
    </xdr:pic>
    <xdr:clientData/>
  </xdr:twoCellAnchor>
  <xdr:twoCellAnchor editAs="oneCell">
    <xdr:from>
      <xdr:col>2</xdr:col>
      <xdr:colOff>120322</xdr:colOff>
      <xdr:row>277</xdr:row>
      <xdr:rowOff>48493</xdr:rowOff>
    </xdr:from>
    <xdr:to>
      <xdr:col>25</xdr:col>
      <xdr:colOff>129747</xdr:colOff>
      <xdr:row>303</xdr:row>
      <xdr:rowOff>125103</xdr:rowOff>
    </xdr:to>
    <xdr:pic>
      <xdr:nvPicPr>
        <xdr:cNvPr id="15" name="Imagem 14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515" y="53110130"/>
          <a:ext cx="5447030" cy="502983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2290</xdr:row>
      <xdr:rowOff>78465</xdr:rowOff>
    </xdr:from>
    <xdr:to>
      <xdr:col>25</xdr:col>
      <xdr:colOff>181775</xdr:colOff>
      <xdr:row>2299</xdr:row>
      <xdr:rowOff>90963</xdr:rowOff>
    </xdr:to>
    <xdr:pic>
      <xdr:nvPicPr>
        <xdr:cNvPr id="17" name="Imagem 16"/>
        <xdr:cNvPicPr>
          <a:picLocks noChangeAspect="1"/>
        </xdr:cNvPicPr>
      </xdr:nvPicPr>
      <xdr:blipFill>
        <a:blip r:embed="rId5"/>
        <a:srcRect l="4793" t="10773" r="4021" b="36128"/>
        <a:stretch>
          <a:fillRect/>
        </a:stretch>
      </xdr:blipFill>
      <xdr:spPr>
        <a:xfrm>
          <a:off x="0" y="440035950"/>
          <a:ext cx="6063615" cy="1727200"/>
        </a:xfrm>
        <a:prstGeom prst="rect">
          <a:avLst/>
        </a:prstGeom>
      </xdr:spPr>
    </xdr:pic>
    <xdr:clientData/>
  </xdr:twoCellAnchor>
  <xdr:oneCellAnchor>
    <xdr:from>
      <xdr:col>3</xdr:col>
      <xdr:colOff>91526</xdr:colOff>
      <xdr:row>2043</xdr:row>
      <xdr:rowOff>33303</xdr:rowOff>
    </xdr:from>
    <xdr:ext cx="5187060" cy="2168118"/>
    <xdr:pic>
      <xdr:nvPicPr>
        <xdr:cNvPr id="18" name="Imagem 1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758190" y="392651615"/>
          <a:ext cx="5186680" cy="2167890"/>
        </a:xfrm>
        <a:prstGeom prst="rect">
          <a:avLst/>
        </a:prstGeom>
      </xdr:spPr>
    </xdr:pic>
    <xdr:clientData/>
  </xdr:oneCellAnchor>
  <xdr:twoCellAnchor editAs="oneCell">
    <xdr:from>
      <xdr:col>0</xdr:col>
      <xdr:colOff>53457</xdr:colOff>
      <xdr:row>3115</xdr:row>
      <xdr:rowOff>38472</xdr:rowOff>
    </xdr:from>
    <xdr:to>
      <xdr:col>27</xdr:col>
      <xdr:colOff>180108</xdr:colOff>
      <xdr:row>3129</xdr:row>
      <xdr:rowOff>119492</xdr:rowOff>
    </xdr:to>
    <xdr:pic>
      <xdr:nvPicPr>
        <xdr:cNvPr id="23" name="Imagem 22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53340" y="602581980"/>
          <a:ext cx="6452870" cy="2748280"/>
        </a:xfrm>
        <a:prstGeom prst="rect">
          <a:avLst/>
        </a:prstGeom>
      </xdr:spPr>
    </xdr:pic>
    <xdr:clientData/>
  </xdr:twoCellAnchor>
  <xdr:twoCellAnchor editAs="oneCell">
    <xdr:from>
      <xdr:col>0</xdr:col>
      <xdr:colOff>53459</xdr:colOff>
      <xdr:row>3129</xdr:row>
      <xdr:rowOff>124088</xdr:rowOff>
    </xdr:from>
    <xdr:to>
      <xdr:col>27</xdr:col>
      <xdr:colOff>193277</xdr:colOff>
      <xdr:row>3138</xdr:row>
      <xdr:rowOff>173182</xdr:rowOff>
    </xdr:to>
    <xdr:pic>
      <xdr:nvPicPr>
        <xdr:cNvPr id="24" name="Imagem 23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3340" y="605334705"/>
          <a:ext cx="6466205" cy="1763395"/>
        </a:xfrm>
        <a:prstGeom prst="rect">
          <a:avLst/>
        </a:prstGeom>
      </xdr:spPr>
    </xdr:pic>
    <xdr:clientData/>
  </xdr:twoCellAnchor>
  <xdr:oneCellAnchor>
    <xdr:from>
      <xdr:col>1</xdr:col>
      <xdr:colOff>141210</xdr:colOff>
      <xdr:row>121</xdr:row>
      <xdr:rowOff>48491</xdr:rowOff>
    </xdr:from>
    <xdr:ext cx="6015171" cy="4957566"/>
    <xdr:pic>
      <xdr:nvPicPr>
        <xdr:cNvPr id="25" name="Imagem 2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63220" y="23030180"/>
          <a:ext cx="6015355" cy="4957445"/>
        </a:xfrm>
        <a:prstGeom prst="rect">
          <a:avLst/>
        </a:prstGeom>
      </xdr:spPr>
    </xdr:pic>
    <xdr:clientData/>
  </xdr:oneCellAnchor>
  <xdr:twoCellAnchor editAs="oneCell">
    <xdr:from>
      <xdr:col>3</xdr:col>
      <xdr:colOff>27706</xdr:colOff>
      <xdr:row>172</xdr:row>
      <xdr:rowOff>48491</xdr:rowOff>
    </xdr:from>
    <xdr:to>
      <xdr:col>24</xdr:col>
      <xdr:colOff>192480</xdr:colOff>
      <xdr:row>192</xdr:row>
      <xdr:rowOff>61550</xdr:rowOff>
    </xdr:to>
    <xdr:pic>
      <xdr:nvPicPr>
        <xdr:cNvPr id="30" name="Imagem 29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94055" y="32888555"/>
          <a:ext cx="5158105" cy="3822700"/>
        </a:xfrm>
        <a:prstGeom prst="rect">
          <a:avLst/>
        </a:prstGeom>
      </xdr:spPr>
    </xdr:pic>
    <xdr:clientData/>
  </xdr:twoCellAnchor>
  <xdr:oneCellAnchor>
    <xdr:from>
      <xdr:col>3</xdr:col>
      <xdr:colOff>27703</xdr:colOff>
      <xdr:row>328</xdr:row>
      <xdr:rowOff>48491</xdr:rowOff>
    </xdr:from>
    <xdr:ext cx="5297883" cy="3767641"/>
    <xdr:pic>
      <xdr:nvPicPr>
        <xdr:cNvPr id="31" name="Imagem 30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94055" y="62949455"/>
          <a:ext cx="5297805" cy="3767455"/>
        </a:xfrm>
        <a:prstGeom prst="rect">
          <a:avLst/>
        </a:prstGeom>
      </xdr:spPr>
    </xdr:pic>
    <xdr:clientData/>
  </xdr:oneCellAnchor>
  <xdr:oneCellAnchor>
    <xdr:from>
      <xdr:col>1</xdr:col>
      <xdr:colOff>84165</xdr:colOff>
      <xdr:row>430</xdr:row>
      <xdr:rowOff>72312</xdr:rowOff>
    </xdr:from>
    <xdr:ext cx="6117809" cy="2844671"/>
    <xdr:pic>
      <xdr:nvPicPr>
        <xdr:cNvPr id="32" name="Imagem 31"/>
        <xdr:cNvPicPr preferRelativeResize="0"/>
      </xdr:nvPicPr>
      <xdr:blipFill>
        <a:blip r:embed="rId1"/>
        <a:srcRect l="4793" t="8761" r="19928" b="20681"/>
        <a:stretch>
          <a:fillRect/>
        </a:stretch>
      </xdr:blipFill>
      <xdr:spPr>
        <a:xfrm>
          <a:off x="306070" y="82661125"/>
          <a:ext cx="6117590" cy="2844800"/>
        </a:xfrm>
        <a:prstGeom prst="rect">
          <a:avLst/>
        </a:prstGeom>
      </xdr:spPr>
    </xdr:pic>
    <xdr:clientData/>
  </xdr:oneCellAnchor>
  <xdr:oneCellAnchor>
    <xdr:from>
      <xdr:col>1</xdr:col>
      <xdr:colOff>91082</xdr:colOff>
      <xdr:row>470</xdr:row>
      <xdr:rowOff>72312</xdr:rowOff>
    </xdr:from>
    <xdr:ext cx="6117809" cy="2844671"/>
    <xdr:pic>
      <xdr:nvPicPr>
        <xdr:cNvPr id="35" name="Imagem 34"/>
        <xdr:cNvPicPr preferRelativeResize="0"/>
      </xdr:nvPicPr>
      <xdr:blipFill>
        <a:blip r:embed="rId1"/>
        <a:srcRect l="4793" t="8761" r="19928" b="20681"/>
        <a:stretch>
          <a:fillRect/>
        </a:stretch>
      </xdr:blipFill>
      <xdr:spPr>
        <a:xfrm>
          <a:off x="313055" y="90424000"/>
          <a:ext cx="6117590" cy="2844800"/>
        </a:xfrm>
        <a:prstGeom prst="rect">
          <a:avLst/>
        </a:prstGeom>
      </xdr:spPr>
    </xdr:pic>
    <xdr:clientData/>
  </xdr:oneCellAnchor>
  <xdr:twoCellAnchor editAs="oneCell">
    <xdr:from>
      <xdr:col>1</xdr:col>
      <xdr:colOff>59275</xdr:colOff>
      <xdr:row>542</xdr:row>
      <xdr:rowOff>166256</xdr:rowOff>
    </xdr:from>
    <xdr:to>
      <xdr:col>27</xdr:col>
      <xdr:colOff>6928</xdr:colOff>
      <xdr:row>573</xdr:row>
      <xdr:rowOff>17586</xdr:rowOff>
    </xdr:to>
    <xdr:pic>
      <xdr:nvPicPr>
        <xdr:cNvPr id="38" name="Imagem 37"/>
        <xdr:cNvPicPr>
          <a:picLocks noChangeAspect="1" noChangeArrowheads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1305" y="104338755"/>
          <a:ext cx="6051550" cy="57569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6924</xdr:colOff>
      <xdr:row>573</xdr:row>
      <xdr:rowOff>58403</xdr:rowOff>
    </xdr:from>
    <xdr:to>
      <xdr:col>22</xdr:col>
      <xdr:colOff>6924</xdr:colOff>
      <xdr:row>594</xdr:row>
      <xdr:rowOff>162380</xdr:rowOff>
    </xdr:to>
    <xdr:pic>
      <xdr:nvPicPr>
        <xdr:cNvPr id="39" name="Imagem 38"/>
        <xdr:cNvPicPr>
          <a:picLocks noChangeAspect="1" noChangeArrowheads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9850" y="110136305"/>
          <a:ext cx="3881755" cy="4104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200888</xdr:colOff>
      <xdr:row>516</xdr:row>
      <xdr:rowOff>0</xdr:rowOff>
    </xdr:from>
    <xdr:to>
      <xdr:col>27</xdr:col>
      <xdr:colOff>30472</xdr:colOff>
      <xdr:row>542</xdr:row>
      <xdr:rowOff>170000</xdr:rowOff>
    </xdr:to>
    <xdr:pic>
      <xdr:nvPicPr>
        <xdr:cNvPr id="41" name="Imagem 40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00660" y="99220020"/>
          <a:ext cx="6155690" cy="5122545"/>
        </a:xfrm>
        <a:prstGeom prst="rect">
          <a:avLst/>
        </a:prstGeom>
      </xdr:spPr>
    </xdr:pic>
    <xdr:clientData/>
  </xdr:twoCellAnchor>
  <xdr:oneCellAnchor>
    <xdr:from>
      <xdr:col>2</xdr:col>
      <xdr:colOff>181828</xdr:colOff>
      <xdr:row>615</xdr:row>
      <xdr:rowOff>76200</xdr:rowOff>
    </xdr:from>
    <xdr:ext cx="5480247" cy="5118910"/>
    <xdr:pic>
      <xdr:nvPicPr>
        <xdr:cNvPr id="42" name="Imagem 41"/>
        <xdr:cNvPicPr>
          <a:picLocks noChangeAspect="1"/>
        </xdr:cNvPicPr>
      </xdr:nvPicPr>
      <xdr:blipFill>
        <a:blip r:embed="rId13"/>
        <a:srcRect l="7055" t="10537" r="55938" b="18314"/>
        <a:stretch>
          <a:fillRect/>
        </a:stretch>
      </xdr:blipFill>
      <xdr:spPr>
        <a:xfrm>
          <a:off x="626110" y="118186200"/>
          <a:ext cx="5480050" cy="5118735"/>
        </a:xfrm>
        <a:prstGeom prst="rect">
          <a:avLst/>
        </a:prstGeom>
      </xdr:spPr>
    </xdr:pic>
    <xdr:clientData/>
  </xdr:oneCellAnchor>
  <xdr:oneCellAnchor>
    <xdr:from>
      <xdr:col>2</xdr:col>
      <xdr:colOff>10524</xdr:colOff>
      <xdr:row>667</xdr:row>
      <xdr:rowOff>83125</xdr:rowOff>
    </xdr:from>
    <xdr:ext cx="5799808" cy="4685423"/>
    <xdr:pic>
      <xdr:nvPicPr>
        <xdr:cNvPr id="44" name="Imagem 43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454660" y="128195705"/>
          <a:ext cx="5800090" cy="4685665"/>
        </a:xfrm>
        <a:prstGeom prst="rect">
          <a:avLst/>
        </a:prstGeom>
      </xdr:spPr>
    </xdr:pic>
    <xdr:clientData/>
  </xdr:oneCellAnchor>
  <xdr:oneCellAnchor>
    <xdr:from>
      <xdr:col>2</xdr:col>
      <xdr:colOff>10525</xdr:colOff>
      <xdr:row>720</xdr:row>
      <xdr:rowOff>90052</xdr:rowOff>
    </xdr:from>
    <xdr:ext cx="5799808" cy="4685423"/>
    <xdr:pic>
      <xdr:nvPicPr>
        <xdr:cNvPr id="46" name="Imagem 45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454660" y="138442065"/>
          <a:ext cx="5800090" cy="4685665"/>
        </a:xfrm>
        <a:prstGeom prst="rect">
          <a:avLst/>
        </a:prstGeom>
      </xdr:spPr>
    </xdr:pic>
    <xdr:clientData/>
  </xdr:oneCellAnchor>
  <xdr:oneCellAnchor>
    <xdr:from>
      <xdr:col>1</xdr:col>
      <xdr:colOff>91087</xdr:colOff>
      <xdr:row>773</xdr:row>
      <xdr:rowOff>16894</xdr:rowOff>
    </xdr:from>
    <xdr:ext cx="6117809" cy="2852291"/>
    <xdr:pic>
      <xdr:nvPicPr>
        <xdr:cNvPr id="48" name="Imagem 47"/>
        <xdr:cNvPicPr preferRelativeResize="0"/>
      </xdr:nvPicPr>
      <xdr:blipFill>
        <a:blip r:embed="rId1"/>
        <a:srcRect l="4793" t="8761" r="19928" b="20681"/>
        <a:stretch>
          <a:fillRect/>
        </a:stretch>
      </xdr:blipFill>
      <xdr:spPr>
        <a:xfrm>
          <a:off x="313055" y="148598890"/>
          <a:ext cx="6117590" cy="2852420"/>
        </a:xfrm>
        <a:prstGeom prst="rect">
          <a:avLst/>
        </a:prstGeom>
      </xdr:spPr>
    </xdr:pic>
    <xdr:clientData/>
  </xdr:oneCellAnchor>
  <xdr:oneCellAnchor>
    <xdr:from>
      <xdr:col>1</xdr:col>
      <xdr:colOff>91080</xdr:colOff>
      <xdr:row>819</xdr:row>
      <xdr:rowOff>72312</xdr:rowOff>
    </xdr:from>
    <xdr:ext cx="6117809" cy="2852291"/>
    <xdr:pic>
      <xdr:nvPicPr>
        <xdr:cNvPr id="49" name="Imagem 48"/>
        <xdr:cNvPicPr preferRelativeResize="0"/>
      </xdr:nvPicPr>
      <xdr:blipFill>
        <a:blip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95" b="1195"/>
        <a:stretch>
          <a:fillRect/>
        </a:stretch>
      </xdr:blipFill>
      <xdr:spPr>
        <a:xfrm>
          <a:off x="313055" y="157590490"/>
          <a:ext cx="6117590" cy="2852420"/>
        </a:xfrm>
        <a:prstGeom prst="rect">
          <a:avLst/>
        </a:prstGeom>
      </xdr:spPr>
    </xdr:pic>
    <xdr:clientData/>
  </xdr:oneCellAnchor>
  <xdr:oneCellAnchor>
    <xdr:from>
      <xdr:col>1</xdr:col>
      <xdr:colOff>84165</xdr:colOff>
      <xdr:row>865</xdr:row>
      <xdr:rowOff>72312</xdr:rowOff>
    </xdr:from>
    <xdr:ext cx="6117809" cy="2844671"/>
    <xdr:pic>
      <xdr:nvPicPr>
        <xdr:cNvPr id="50" name="Imagem 49"/>
        <xdr:cNvPicPr preferRelativeResize="0"/>
      </xdr:nvPicPr>
      <xdr:blipFill>
        <a:blip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95" b="1195"/>
        <a:stretch>
          <a:fillRect/>
        </a:stretch>
      </xdr:blipFill>
      <xdr:spPr>
        <a:xfrm>
          <a:off x="306070" y="166534465"/>
          <a:ext cx="6117590" cy="2844800"/>
        </a:xfrm>
        <a:prstGeom prst="rect">
          <a:avLst/>
        </a:prstGeom>
      </xdr:spPr>
    </xdr:pic>
    <xdr:clientData/>
  </xdr:oneCellAnchor>
  <xdr:oneCellAnchor>
    <xdr:from>
      <xdr:col>1</xdr:col>
      <xdr:colOff>91082</xdr:colOff>
      <xdr:row>905</xdr:row>
      <xdr:rowOff>72312</xdr:rowOff>
    </xdr:from>
    <xdr:ext cx="6117809" cy="2844671"/>
    <xdr:pic>
      <xdr:nvPicPr>
        <xdr:cNvPr id="51" name="Imagem 50"/>
        <xdr:cNvPicPr preferRelativeResize="0"/>
      </xdr:nvPicPr>
      <xdr:blipFill>
        <a:blip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95" b="1195"/>
        <a:stretch>
          <a:fillRect/>
        </a:stretch>
      </xdr:blipFill>
      <xdr:spPr>
        <a:xfrm>
          <a:off x="313055" y="174297340"/>
          <a:ext cx="6117590" cy="2844800"/>
        </a:xfrm>
        <a:prstGeom prst="rect">
          <a:avLst/>
        </a:prstGeom>
      </xdr:spPr>
    </xdr:pic>
    <xdr:clientData/>
  </xdr:oneCellAnchor>
  <xdr:oneCellAnchor>
    <xdr:from>
      <xdr:col>0</xdr:col>
      <xdr:colOff>193965</xdr:colOff>
      <xdr:row>977</xdr:row>
      <xdr:rowOff>166255</xdr:rowOff>
    </xdr:from>
    <xdr:ext cx="6317673" cy="5753662"/>
    <xdr:pic>
      <xdr:nvPicPr>
        <xdr:cNvPr id="52" name="Imagem 51"/>
        <xdr:cNvPicPr>
          <a:picLocks noChangeAspect="1" noChangeArrowheads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3675" y="188212095"/>
          <a:ext cx="6317615" cy="5753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6924</xdr:colOff>
      <xdr:row>1008</xdr:row>
      <xdr:rowOff>58403</xdr:rowOff>
    </xdr:from>
    <xdr:ext cx="3990109" cy="4046288"/>
    <xdr:pic>
      <xdr:nvPicPr>
        <xdr:cNvPr id="53" name="Imagem 52"/>
        <xdr:cNvPicPr>
          <a:picLocks noChangeAspect="1" noChangeArrowheads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9850" y="194009645"/>
          <a:ext cx="3990340" cy="4046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200888</xdr:colOff>
      <xdr:row>951</xdr:row>
      <xdr:rowOff>0</xdr:rowOff>
    </xdr:from>
    <xdr:ext cx="6334293" cy="5050957"/>
    <xdr:pic>
      <xdr:nvPicPr>
        <xdr:cNvPr id="54" name="Imagem 53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00660" y="183093360"/>
          <a:ext cx="6334125" cy="5050790"/>
        </a:xfrm>
        <a:prstGeom prst="rect">
          <a:avLst/>
        </a:prstGeom>
      </xdr:spPr>
    </xdr:pic>
    <xdr:clientData/>
  </xdr:oneCellAnchor>
  <xdr:oneCellAnchor>
    <xdr:from>
      <xdr:col>2</xdr:col>
      <xdr:colOff>181828</xdr:colOff>
      <xdr:row>1050</xdr:row>
      <xdr:rowOff>62346</xdr:rowOff>
    </xdr:from>
    <xdr:ext cx="5480247" cy="5179522"/>
    <xdr:pic>
      <xdr:nvPicPr>
        <xdr:cNvPr id="55" name="Imagem 54"/>
        <xdr:cNvPicPr>
          <a:picLocks noChangeAspect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7" b="752"/>
        <a:stretch>
          <a:fillRect/>
        </a:stretch>
      </xdr:blipFill>
      <xdr:spPr>
        <a:xfrm>
          <a:off x="626110" y="202045570"/>
          <a:ext cx="5480050" cy="5179060"/>
        </a:xfrm>
        <a:prstGeom prst="rect">
          <a:avLst/>
        </a:prstGeom>
      </xdr:spPr>
    </xdr:pic>
    <xdr:clientData/>
  </xdr:oneCellAnchor>
  <xdr:oneCellAnchor>
    <xdr:from>
      <xdr:col>3</xdr:col>
      <xdr:colOff>107413</xdr:colOff>
      <xdr:row>1102</xdr:row>
      <xdr:rowOff>83125</xdr:rowOff>
    </xdr:from>
    <xdr:ext cx="5148830" cy="4685423"/>
    <xdr:pic>
      <xdr:nvPicPr>
        <xdr:cNvPr id="56" name="Imagem 55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74065" y="212069045"/>
          <a:ext cx="5148580" cy="4685665"/>
        </a:xfrm>
        <a:prstGeom prst="rect">
          <a:avLst/>
        </a:prstGeom>
      </xdr:spPr>
    </xdr:pic>
    <xdr:clientData/>
  </xdr:oneCellAnchor>
  <xdr:oneCellAnchor>
    <xdr:from>
      <xdr:col>3</xdr:col>
      <xdr:colOff>108516</xdr:colOff>
      <xdr:row>1155</xdr:row>
      <xdr:rowOff>90052</xdr:rowOff>
    </xdr:from>
    <xdr:ext cx="5146625" cy="4685423"/>
    <xdr:pic>
      <xdr:nvPicPr>
        <xdr:cNvPr id="57" name="Imagem 56"/>
        <xdr:cNvPicPr>
          <a:picLocks noChangeAspect="1"/>
        </xdr:cNvPicPr>
      </xdr:nvPicPr>
      <xdr:blipFill>
        <a:blip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74700" y="222315405"/>
          <a:ext cx="5146675" cy="4685665"/>
        </a:xfrm>
        <a:prstGeom prst="rect">
          <a:avLst/>
        </a:prstGeom>
      </xdr:spPr>
    </xdr:pic>
    <xdr:clientData/>
  </xdr:oneCellAnchor>
  <xdr:oneCellAnchor>
    <xdr:from>
      <xdr:col>1</xdr:col>
      <xdr:colOff>91087</xdr:colOff>
      <xdr:row>1208</xdr:row>
      <xdr:rowOff>58456</xdr:rowOff>
    </xdr:from>
    <xdr:ext cx="6117809" cy="2852291"/>
    <xdr:pic>
      <xdr:nvPicPr>
        <xdr:cNvPr id="58" name="Imagem 57"/>
        <xdr:cNvPicPr preferRelativeResize="0"/>
      </xdr:nvPicPr>
      <xdr:blipFill>
        <a:blip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95" b="1195"/>
        <a:stretch>
          <a:fillRect/>
        </a:stretch>
      </xdr:blipFill>
      <xdr:spPr>
        <a:xfrm>
          <a:off x="313055" y="232514140"/>
          <a:ext cx="6117590" cy="2851785"/>
        </a:xfrm>
        <a:prstGeom prst="rect">
          <a:avLst/>
        </a:prstGeom>
      </xdr:spPr>
    </xdr:pic>
    <xdr:clientData/>
  </xdr:oneCellAnchor>
  <xdr:oneCellAnchor>
    <xdr:from>
      <xdr:col>6</xdr:col>
      <xdr:colOff>173182</xdr:colOff>
      <xdr:row>1254</xdr:row>
      <xdr:rowOff>6929</xdr:rowOff>
    </xdr:from>
    <xdr:ext cx="3699164" cy="3729654"/>
    <xdr:pic>
      <xdr:nvPicPr>
        <xdr:cNvPr id="60" name="Imagem 59"/>
        <xdr:cNvPicPr>
          <a:picLocks noChangeAspect="1"/>
        </xdr:cNvPicPr>
      </xdr:nvPicPr>
      <xdr:blipFill>
        <a:blip r:embed="rId19"/>
        <a:srcRect l="23282" t="7032" r="36596" b="18349"/>
        <a:stretch>
          <a:fillRect/>
        </a:stretch>
      </xdr:blipFill>
      <xdr:spPr>
        <a:xfrm>
          <a:off x="1506220" y="241398425"/>
          <a:ext cx="3699510" cy="3729990"/>
        </a:xfrm>
        <a:prstGeom prst="rect">
          <a:avLst/>
        </a:prstGeom>
      </xdr:spPr>
    </xdr:pic>
    <xdr:clientData/>
  </xdr:oneCellAnchor>
  <xdr:oneCellAnchor>
    <xdr:from>
      <xdr:col>6</xdr:col>
      <xdr:colOff>173182</xdr:colOff>
      <xdr:row>1286</xdr:row>
      <xdr:rowOff>13856</xdr:rowOff>
    </xdr:from>
    <xdr:ext cx="3699164" cy="3729654"/>
    <xdr:pic>
      <xdr:nvPicPr>
        <xdr:cNvPr id="61" name="Imagem 60"/>
        <xdr:cNvPicPr>
          <a:picLocks noChangeAspect="1"/>
        </xdr:cNvPicPr>
      </xdr:nvPicPr>
      <xdr:blipFill>
        <a:blip r:embed="rId19"/>
        <a:srcRect l="23282" t="7032" r="36596" b="18349"/>
        <a:stretch>
          <a:fillRect/>
        </a:stretch>
      </xdr:blipFill>
      <xdr:spPr>
        <a:xfrm>
          <a:off x="1506220" y="247552845"/>
          <a:ext cx="3699510" cy="3729990"/>
        </a:xfrm>
        <a:prstGeom prst="rect">
          <a:avLst/>
        </a:prstGeom>
      </xdr:spPr>
    </xdr:pic>
    <xdr:clientData/>
  </xdr:oneCellAnchor>
  <xdr:oneCellAnchor>
    <xdr:from>
      <xdr:col>6</xdr:col>
      <xdr:colOff>173182</xdr:colOff>
      <xdr:row>1318</xdr:row>
      <xdr:rowOff>13856</xdr:rowOff>
    </xdr:from>
    <xdr:ext cx="3699164" cy="3729654"/>
    <xdr:pic>
      <xdr:nvPicPr>
        <xdr:cNvPr id="62" name="Imagem 61"/>
        <xdr:cNvPicPr>
          <a:picLocks noChangeAspect="1"/>
        </xdr:cNvPicPr>
      </xdr:nvPicPr>
      <xdr:blipFill>
        <a:blip r:embed="rId19"/>
        <a:srcRect l="23282" t="7032" r="36596" b="18349"/>
        <a:stretch>
          <a:fillRect/>
        </a:stretch>
      </xdr:blipFill>
      <xdr:spPr>
        <a:xfrm>
          <a:off x="1506220" y="253700280"/>
          <a:ext cx="3699510" cy="3729990"/>
        </a:xfrm>
        <a:prstGeom prst="rect">
          <a:avLst/>
        </a:prstGeom>
      </xdr:spPr>
    </xdr:pic>
    <xdr:clientData/>
  </xdr:oneCellAnchor>
  <xdr:twoCellAnchor editAs="oneCell">
    <xdr:from>
      <xdr:col>5</xdr:col>
      <xdr:colOff>200893</xdr:colOff>
      <xdr:row>1350</xdr:row>
      <xdr:rowOff>1</xdr:rowOff>
    </xdr:from>
    <xdr:to>
      <xdr:col>22</xdr:col>
      <xdr:colOff>55420</xdr:colOff>
      <xdr:row>1391</xdr:row>
      <xdr:rowOff>174916</xdr:rowOff>
    </xdr:to>
    <xdr:pic>
      <xdr:nvPicPr>
        <xdr:cNvPr id="67" name="Imagem 66"/>
        <xdr:cNvPicPr>
          <a:picLocks noChangeAspect="1" noChangeArrowheads="1"/>
        </xdr:cNvPicPr>
      </xdr:nvPicPr>
      <xdr:blipFill>
        <a:blip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11910" y="259807710"/>
          <a:ext cx="3958590" cy="7985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43962</xdr:colOff>
      <xdr:row>1404</xdr:row>
      <xdr:rowOff>190499</xdr:rowOff>
    </xdr:from>
    <xdr:ext cx="6311797" cy="2637534"/>
    <xdr:pic>
      <xdr:nvPicPr>
        <xdr:cNvPr id="71" name="Imagem 70"/>
        <xdr:cNvPicPr>
          <a:picLocks noChangeAspect="1"/>
        </xdr:cNvPicPr>
      </xdr:nvPicPr>
      <xdr:blipFill>
        <a:blip r:embed="rId21"/>
        <a:srcRect l="6692" t="12679" r="3113" b="16300"/>
        <a:stretch>
          <a:fillRect/>
        </a:stretch>
      </xdr:blipFill>
      <xdr:spPr>
        <a:xfrm>
          <a:off x="43815" y="270315055"/>
          <a:ext cx="6311900" cy="2637790"/>
        </a:xfrm>
        <a:prstGeom prst="rect">
          <a:avLst/>
        </a:prstGeom>
      </xdr:spPr>
    </xdr:pic>
    <xdr:clientData/>
  </xdr:oneCellAnchor>
  <xdr:oneCellAnchor>
    <xdr:from>
      <xdr:col>6</xdr:col>
      <xdr:colOff>173182</xdr:colOff>
      <xdr:row>1432</xdr:row>
      <xdr:rowOff>6929</xdr:rowOff>
    </xdr:from>
    <xdr:ext cx="3699164" cy="3729654"/>
    <xdr:pic>
      <xdr:nvPicPr>
        <xdr:cNvPr id="72" name="Imagem 71"/>
        <xdr:cNvPicPr>
          <a:picLocks noChangeAspect="1"/>
        </xdr:cNvPicPr>
      </xdr:nvPicPr>
      <xdr:blipFill>
        <a:blip r:embed="rId19"/>
        <a:srcRect l="23282" t="7032" r="36596" b="18349"/>
        <a:stretch>
          <a:fillRect/>
        </a:stretch>
      </xdr:blipFill>
      <xdr:spPr>
        <a:xfrm>
          <a:off x="1506220" y="275532215"/>
          <a:ext cx="3699510" cy="3729990"/>
        </a:xfrm>
        <a:prstGeom prst="rect">
          <a:avLst/>
        </a:prstGeom>
      </xdr:spPr>
    </xdr:pic>
    <xdr:clientData/>
  </xdr:oneCellAnchor>
  <xdr:oneCellAnchor>
    <xdr:from>
      <xdr:col>6</xdr:col>
      <xdr:colOff>173182</xdr:colOff>
      <xdr:row>1464</xdr:row>
      <xdr:rowOff>6929</xdr:rowOff>
    </xdr:from>
    <xdr:ext cx="3699164" cy="3729654"/>
    <xdr:pic>
      <xdr:nvPicPr>
        <xdr:cNvPr id="73" name="Imagem 72"/>
        <xdr:cNvPicPr>
          <a:picLocks noChangeAspect="1"/>
        </xdr:cNvPicPr>
      </xdr:nvPicPr>
      <xdr:blipFill>
        <a:blip r:embed="rId19"/>
        <a:srcRect l="23282" t="7032" r="36596" b="18349"/>
        <a:stretch>
          <a:fillRect/>
        </a:stretch>
      </xdr:blipFill>
      <xdr:spPr>
        <a:xfrm>
          <a:off x="1506220" y="281679650"/>
          <a:ext cx="3699510" cy="3729990"/>
        </a:xfrm>
        <a:prstGeom prst="rect">
          <a:avLst/>
        </a:prstGeom>
      </xdr:spPr>
    </xdr:pic>
    <xdr:clientData/>
  </xdr:oneCellAnchor>
  <xdr:oneCellAnchor>
    <xdr:from>
      <xdr:col>6</xdr:col>
      <xdr:colOff>173182</xdr:colOff>
      <xdr:row>1496</xdr:row>
      <xdr:rowOff>13856</xdr:rowOff>
    </xdr:from>
    <xdr:ext cx="3699164" cy="3729654"/>
    <xdr:pic>
      <xdr:nvPicPr>
        <xdr:cNvPr id="74" name="Imagem 73"/>
        <xdr:cNvPicPr>
          <a:picLocks noChangeAspect="1"/>
        </xdr:cNvPicPr>
      </xdr:nvPicPr>
      <xdr:blipFill>
        <a:blip r:embed="rId19"/>
        <a:srcRect l="23282" t="7032" r="36596" b="18349"/>
        <a:stretch>
          <a:fillRect/>
        </a:stretch>
      </xdr:blipFill>
      <xdr:spPr>
        <a:xfrm>
          <a:off x="1506220" y="287834070"/>
          <a:ext cx="3699510" cy="3729990"/>
        </a:xfrm>
        <a:prstGeom prst="rect">
          <a:avLst/>
        </a:prstGeom>
      </xdr:spPr>
    </xdr:pic>
    <xdr:clientData/>
  </xdr:oneCellAnchor>
  <xdr:oneCellAnchor>
    <xdr:from>
      <xdr:col>6</xdr:col>
      <xdr:colOff>173182</xdr:colOff>
      <xdr:row>1528</xdr:row>
      <xdr:rowOff>13856</xdr:rowOff>
    </xdr:from>
    <xdr:ext cx="3699164" cy="3729654"/>
    <xdr:pic>
      <xdr:nvPicPr>
        <xdr:cNvPr id="75" name="Imagem 74"/>
        <xdr:cNvPicPr>
          <a:picLocks noChangeAspect="1"/>
        </xdr:cNvPicPr>
      </xdr:nvPicPr>
      <xdr:blipFill>
        <a:blip r:embed="rId19"/>
        <a:srcRect l="23282" t="7032" r="36596" b="18349"/>
        <a:stretch>
          <a:fillRect/>
        </a:stretch>
      </xdr:blipFill>
      <xdr:spPr>
        <a:xfrm>
          <a:off x="1506220" y="293981505"/>
          <a:ext cx="3699510" cy="3729990"/>
        </a:xfrm>
        <a:prstGeom prst="rect">
          <a:avLst/>
        </a:prstGeom>
      </xdr:spPr>
    </xdr:pic>
    <xdr:clientData/>
  </xdr:oneCellAnchor>
  <xdr:oneCellAnchor>
    <xdr:from>
      <xdr:col>5</xdr:col>
      <xdr:colOff>200893</xdr:colOff>
      <xdr:row>1560</xdr:row>
      <xdr:rowOff>1</xdr:rowOff>
    </xdr:from>
    <xdr:ext cx="4073236" cy="7871808"/>
    <xdr:pic>
      <xdr:nvPicPr>
        <xdr:cNvPr id="76" name="Imagem 75"/>
        <xdr:cNvPicPr>
          <a:picLocks noChangeAspect="1" noChangeArrowheads="1"/>
        </xdr:cNvPicPr>
      </xdr:nvPicPr>
      <xdr:blipFill>
        <a:blip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11910" y="300088935"/>
          <a:ext cx="4072890" cy="787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16252</xdr:colOff>
      <xdr:row>1614</xdr:row>
      <xdr:rowOff>58188</xdr:rowOff>
    </xdr:from>
    <xdr:ext cx="6658933" cy="2784764"/>
    <xdr:pic>
      <xdr:nvPicPr>
        <xdr:cNvPr id="77" name="Imagem 76"/>
        <xdr:cNvPicPr>
          <a:picLocks noChangeAspect="1"/>
        </xdr:cNvPicPr>
      </xdr:nvPicPr>
      <xdr:blipFill>
        <a:blip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8" r="1618"/>
        <a:stretch>
          <a:fillRect/>
        </a:stretch>
      </xdr:blipFill>
      <xdr:spPr>
        <a:xfrm>
          <a:off x="15875" y="310464200"/>
          <a:ext cx="6659245" cy="2785110"/>
        </a:xfrm>
        <a:prstGeom prst="rect">
          <a:avLst/>
        </a:prstGeom>
      </xdr:spPr>
    </xdr:pic>
    <xdr:clientData/>
  </xdr:oneCellAnchor>
  <xdr:oneCellAnchor>
    <xdr:from>
      <xdr:col>6</xdr:col>
      <xdr:colOff>173182</xdr:colOff>
      <xdr:row>1642</xdr:row>
      <xdr:rowOff>6929</xdr:rowOff>
    </xdr:from>
    <xdr:ext cx="3699164" cy="3729654"/>
    <xdr:pic>
      <xdr:nvPicPr>
        <xdr:cNvPr id="78" name="Imagem 77"/>
        <xdr:cNvPicPr>
          <a:picLocks noChangeAspect="1"/>
        </xdr:cNvPicPr>
      </xdr:nvPicPr>
      <xdr:blipFill>
        <a:blip r:embed="rId19"/>
        <a:srcRect l="23282" t="7032" r="36596" b="18349"/>
        <a:stretch>
          <a:fillRect/>
        </a:stretch>
      </xdr:blipFill>
      <xdr:spPr>
        <a:xfrm>
          <a:off x="1506220" y="315813440"/>
          <a:ext cx="3699510" cy="3729990"/>
        </a:xfrm>
        <a:prstGeom prst="rect">
          <a:avLst/>
        </a:prstGeom>
      </xdr:spPr>
    </xdr:pic>
    <xdr:clientData/>
  </xdr:oneCellAnchor>
  <xdr:twoCellAnchor editAs="oneCell">
    <xdr:from>
      <xdr:col>0</xdr:col>
      <xdr:colOff>65010</xdr:colOff>
      <xdr:row>1674</xdr:row>
      <xdr:rowOff>40500</xdr:rowOff>
    </xdr:from>
    <xdr:to>
      <xdr:col>27</xdr:col>
      <xdr:colOff>142566</xdr:colOff>
      <xdr:row>1701</xdr:row>
      <xdr:rowOff>41032</xdr:rowOff>
    </xdr:to>
    <xdr:pic>
      <xdr:nvPicPr>
        <xdr:cNvPr id="79" name="Imagem 78"/>
        <xdr:cNvPicPr>
          <a:picLocks noChangeAspect="1" noChangeArrowheads="1"/>
        </xdr:cNvPicPr>
      </xdr:nvPicPr>
      <xdr:blipFill>
        <a:blip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4770" y="321994530"/>
          <a:ext cx="6403975" cy="5144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53286</xdr:colOff>
      <xdr:row>1714</xdr:row>
      <xdr:rowOff>28775</xdr:rowOff>
    </xdr:from>
    <xdr:ext cx="6643254" cy="5107049"/>
    <xdr:pic>
      <xdr:nvPicPr>
        <xdr:cNvPr id="80" name="Imagem 79"/>
        <xdr:cNvPicPr>
          <a:picLocks noChangeAspect="1" noChangeArrowheads="1"/>
        </xdr:cNvPicPr>
      </xdr:nvPicPr>
      <xdr:blipFill>
        <a:blip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705" y="329654535"/>
          <a:ext cx="6643370" cy="5106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124691</xdr:colOff>
      <xdr:row>1755</xdr:row>
      <xdr:rowOff>41564</xdr:rowOff>
    </xdr:from>
    <xdr:to>
      <xdr:col>26</xdr:col>
      <xdr:colOff>34267</xdr:colOff>
      <xdr:row>1764</xdr:row>
      <xdr:rowOff>1391</xdr:rowOff>
    </xdr:to>
    <xdr:pic>
      <xdr:nvPicPr>
        <xdr:cNvPr id="82" name="Imagem 81"/>
        <xdr:cNvPicPr>
          <a:picLocks noChangeAspect="1"/>
        </xdr:cNvPicPr>
      </xdr:nvPicPr>
      <xdr:blipFill>
        <a:blip r:embed="rId24"/>
        <a:srcRect l="8493" t="15888" r="7016" b="38404"/>
        <a:stretch>
          <a:fillRect/>
        </a:stretch>
      </xdr:blipFill>
      <xdr:spPr>
        <a:xfrm>
          <a:off x="346710" y="337529170"/>
          <a:ext cx="5791200" cy="1674495"/>
        </a:xfrm>
        <a:prstGeom prst="rect">
          <a:avLst/>
        </a:prstGeom>
      </xdr:spPr>
    </xdr:pic>
    <xdr:clientData/>
  </xdr:twoCellAnchor>
  <xdr:oneCellAnchor>
    <xdr:from>
      <xdr:col>1</xdr:col>
      <xdr:colOff>124691</xdr:colOff>
      <xdr:row>1770</xdr:row>
      <xdr:rowOff>41564</xdr:rowOff>
    </xdr:from>
    <xdr:ext cx="5957085" cy="1641769"/>
    <xdr:pic>
      <xdr:nvPicPr>
        <xdr:cNvPr id="83" name="Imagem 82"/>
        <xdr:cNvPicPr>
          <a:picLocks noChangeAspect="1"/>
        </xdr:cNvPicPr>
      </xdr:nvPicPr>
      <xdr:blipFill>
        <a:blip r:embed="rId24"/>
        <a:srcRect l="8493" t="15888" r="7016" b="38404"/>
        <a:stretch>
          <a:fillRect/>
        </a:stretch>
      </xdr:blipFill>
      <xdr:spPr>
        <a:xfrm>
          <a:off x="346710" y="340390480"/>
          <a:ext cx="5956935" cy="1641475"/>
        </a:xfrm>
        <a:prstGeom prst="rect">
          <a:avLst/>
        </a:prstGeom>
      </xdr:spPr>
    </xdr:pic>
    <xdr:clientData/>
  </xdr:oneCellAnchor>
  <xdr:oneCellAnchor>
    <xdr:from>
      <xdr:col>1</xdr:col>
      <xdr:colOff>124691</xdr:colOff>
      <xdr:row>1792</xdr:row>
      <xdr:rowOff>41564</xdr:rowOff>
    </xdr:from>
    <xdr:ext cx="5957085" cy="1641769"/>
    <xdr:pic>
      <xdr:nvPicPr>
        <xdr:cNvPr id="84" name="Imagem 83"/>
        <xdr:cNvPicPr>
          <a:picLocks noChangeAspect="1"/>
        </xdr:cNvPicPr>
      </xdr:nvPicPr>
      <xdr:blipFill>
        <a:blip r:embed="rId24"/>
        <a:srcRect l="8493" t="15888" r="7016" b="38404"/>
        <a:stretch>
          <a:fillRect/>
        </a:stretch>
      </xdr:blipFill>
      <xdr:spPr>
        <a:xfrm>
          <a:off x="346710" y="344613865"/>
          <a:ext cx="5956935" cy="1641475"/>
        </a:xfrm>
        <a:prstGeom prst="rect">
          <a:avLst/>
        </a:prstGeom>
      </xdr:spPr>
    </xdr:pic>
    <xdr:clientData/>
  </xdr:oneCellAnchor>
  <xdr:oneCellAnchor>
    <xdr:from>
      <xdr:col>1</xdr:col>
      <xdr:colOff>124691</xdr:colOff>
      <xdr:row>1807</xdr:row>
      <xdr:rowOff>41564</xdr:rowOff>
    </xdr:from>
    <xdr:ext cx="5957085" cy="1641769"/>
    <xdr:pic>
      <xdr:nvPicPr>
        <xdr:cNvPr id="85" name="Imagem 84"/>
        <xdr:cNvPicPr>
          <a:picLocks noChangeAspect="1"/>
        </xdr:cNvPicPr>
      </xdr:nvPicPr>
      <xdr:blipFill>
        <a:blip r:embed="rId24"/>
        <a:srcRect l="8493" t="15888" r="7016" b="38404"/>
        <a:stretch>
          <a:fillRect/>
        </a:stretch>
      </xdr:blipFill>
      <xdr:spPr>
        <a:xfrm>
          <a:off x="346710" y="347475175"/>
          <a:ext cx="5956935" cy="1641475"/>
        </a:xfrm>
        <a:prstGeom prst="rect">
          <a:avLst/>
        </a:prstGeom>
      </xdr:spPr>
    </xdr:pic>
    <xdr:clientData/>
  </xdr:oneCellAnchor>
  <xdr:twoCellAnchor editAs="oneCell">
    <xdr:from>
      <xdr:col>2</xdr:col>
      <xdr:colOff>62346</xdr:colOff>
      <xdr:row>1828</xdr:row>
      <xdr:rowOff>6927</xdr:rowOff>
    </xdr:from>
    <xdr:to>
      <xdr:col>25</xdr:col>
      <xdr:colOff>173182</xdr:colOff>
      <xdr:row>1866</xdr:row>
      <xdr:rowOff>120958</xdr:rowOff>
    </xdr:to>
    <xdr:pic>
      <xdr:nvPicPr>
        <xdr:cNvPr id="87" name="Imagem 86"/>
        <xdr:cNvPicPr>
          <a:picLocks noChangeAspect="1" noChangeArrowheads="1"/>
        </xdr:cNvPicPr>
      </xdr:nvPicPr>
      <xdr:blipFill>
        <a:blip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06730" y="351473135"/>
          <a:ext cx="5547995" cy="7353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124691</xdr:colOff>
      <xdr:row>1880</xdr:row>
      <xdr:rowOff>41564</xdr:rowOff>
    </xdr:from>
    <xdr:ext cx="5957085" cy="1641769"/>
    <xdr:pic>
      <xdr:nvPicPr>
        <xdr:cNvPr id="88" name="Imagem 87"/>
        <xdr:cNvPicPr>
          <a:picLocks noChangeAspect="1"/>
        </xdr:cNvPicPr>
      </xdr:nvPicPr>
      <xdr:blipFill>
        <a:blip r:embed="rId24"/>
        <a:srcRect l="8493" t="15888" r="7016" b="38404"/>
        <a:stretch>
          <a:fillRect/>
        </a:stretch>
      </xdr:blipFill>
      <xdr:spPr>
        <a:xfrm>
          <a:off x="346710" y="361444540"/>
          <a:ext cx="5956935" cy="1641475"/>
        </a:xfrm>
        <a:prstGeom prst="rect">
          <a:avLst/>
        </a:prstGeom>
      </xdr:spPr>
    </xdr:pic>
    <xdr:clientData/>
  </xdr:oneCellAnchor>
  <xdr:oneCellAnchor>
    <xdr:from>
      <xdr:col>1</xdr:col>
      <xdr:colOff>124691</xdr:colOff>
      <xdr:row>1895</xdr:row>
      <xdr:rowOff>41564</xdr:rowOff>
    </xdr:from>
    <xdr:ext cx="5957085" cy="1641769"/>
    <xdr:pic>
      <xdr:nvPicPr>
        <xdr:cNvPr id="89" name="Imagem 88"/>
        <xdr:cNvPicPr>
          <a:picLocks noChangeAspect="1"/>
        </xdr:cNvPicPr>
      </xdr:nvPicPr>
      <xdr:blipFill>
        <a:blip r:embed="rId24"/>
        <a:srcRect l="8493" t="15888" r="7016" b="38404"/>
        <a:stretch>
          <a:fillRect/>
        </a:stretch>
      </xdr:blipFill>
      <xdr:spPr>
        <a:xfrm>
          <a:off x="346710" y="364305850"/>
          <a:ext cx="5956935" cy="1641475"/>
        </a:xfrm>
        <a:prstGeom prst="rect">
          <a:avLst/>
        </a:prstGeom>
      </xdr:spPr>
    </xdr:pic>
    <xdr:clientData/>
  </xdr:oneCellAnchor>
  <xdr:twoCellAnchor editAs="oneCell">
    <xdr:from>
      <xdr:col>0</xdr:col>
      <xdr:colOff>20781</xdr:colOff>
      <xdr:row>1916</xdr:row>
      <xdr:rowOff>6927</xdr:rowOff>
    </xdr:from>
    <xdr:to>
      <xdr:col>27</xdr:col>
      <xdr:colOff>196645</xdr:colOff>
      <xdr:row>1929</xdr:row>
      <xdr:rowOff>152399</xdr:rowOff>
    </xdr:to>
    <xdr:pic>
      <xdr:nvPicPr>
        <xdr:cNvPr id="91" name="Imagem 90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20320" y="368303810"/>
          <a:ext cx="6502400" cy="2621915"/>
        </a:xfrm>
        <a:prstGeom prst="rect">
          <a:avLst/>
        </a:prstGeom>
      </xdr:spPr>
    </xdr:pic>
    <xdr:clientData/>
  </xdr:twoCellAnchor>
  <xdr:oneCellAnchor>
    <xdr:from>
      <xdr:col>0</xdr:col>
      <xdr:colOff>20781</xdr:colOff>
      <xdr:row>1942</xdr:row>
      <xdr:rowOff>6927</xdr:rowOff>
    </xdr:from>
    <xdr:ext cx="6680573" cy="2585951"/>
    <xdr:pic>
      <xdr:nvPicPr>
        <xdr:cNvPr id="92" name="Imagem 91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20320" y="373289195"/>
          <a:ext cx="6680835" cy="2586355"/>
        </a:xfrm>
        <a:prstGeom prst="rect">
          <a:avLst/>
        </a:prstGeom>
      </xdr:spPr>
    </xdr:pic>
    <xdr:clientData/>
  </xdr:oneCellAnchor>
  <xdr:twoCellAnchor editAs="oneCell">
    <xdr:from>
      <xdr:col>0</xdr:col>
      <xdr:colOff>193440</xdr:colOff>
      <xdr:row>1968</xdr:row>
      <xdr:rowOff>24512</xdr:rowOff>
    </xdr:from>
    <xdr:to>
      <xdr:col>27</xdr:col>
      <xdr:colOff>5870</xdr:colOff>
      <xdr:row>2002</xdr:row>
      <xdr:rowOff>120539</xdr:rowOff>
    </xdr:to>
    <xdr:pic>
      <xdr:nvPicPr>
        <xdr:cNvPr id="94" name="Imagem 93"/>
        <xdr:cNvPicPr>
          <a:picLocks noChangeAspect="1" noChangeArrowheads="1"/>
        </xdr:cNvPicPr>
      </xdr:nvPicPr>
      <xdr:blipFill>
        <a:blip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3040" y="378292360"/>
          <a:ext cx="6139180" cy="6572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20781</xdr:colOff>
      <xdr:row>2017</xdr:row>
      <xdr:rowOff>6927</xdr:rowOff>
    </xdr:from>
    <xdr:ext cx="6680573" cy="2585951"/>
    <xdr:pic>
      <xdr:nvPicPr>
        <xdr:cNvPr id="95" name="Imagem 94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20320" y="387639560"/>
          <a:ext cx="6680835" cy="2586355"/>
        </a:xfrm>
        <a:prstGeom prst="rect">
          <a:avLst/>
        </a:prstGeom>
      </xdr:spPr>
    </xdr:pic>
    <xdr:clientData/>
  </xdr:oneCellAnchor>
  <xdr:oneCellAnchor>
    <xdr:from>
      <xdr:col>3</xdr:col>
      <xdr:colOff>91526</xdr:colOff>
      <xdr:row>2070</xdr:row>
      <xdr:rowOff>33303</xdr:rowOff>
    </xdr:from>
    <xdr:ext cx="5187060" cy="2168118"/>
    <xdr:pic>
      <xdr:nvPicPr>
        <xdr:cNvPr id="97" name="Imagem 9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758190" y="397854170"/>
          <a:ext cx="5186680" cy="2167890"/>
        </a:xfrm>
        <a:prstGeom prst="rect">
          <a:avLst/>
        </a:prstGeom>
      </xdr:spPr>
    </xdr:pic>
    <xdr:clientData/>
  </xdr:oneCellAnchor>
  <xdr:oneCellAnchor>
    <xdr:from>
      <xdr:col>4</xdr:col>
      <xdr:colOff>10448</xdr:colOff>
      <xdr:row>2098</xdr:row>
      <xdr:rowOff>6928</xdr:rowOff>
    </xdr:from>
    <xdr:ext cx="4873285" cy="7279439"/>
    <xdr:pic>
      <xdr:nvPicPr>
        <xdr:cNvPr id="98" name="Imagem 97"/>
        <xdr:cNvPicPr>
          <a:picLocks noChangeAspect="1" noChangeArrowheads="1"/>
        </xdr:cNvPicPr>
      </xdr:nvPicPr>
      <xdr:blipFill>
        <a:blip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99160" y="403193885"/>
          <a:ext cx="4872990" cy="7279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91526</xdr:colOff>
      <xdr:row>2151</xdr:row>
      <xdr:rowOff>33303</xdr:rowOff>
    </xdr:from>
    <xdr:ext cx="5187060" cy="2168118"/>
    <xdr:pic>
      <xdr:nvPicPr>
        <xdr:cNvPr id="99" name="Imagem 9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758190" y="413347535"/>
          <a:ext cx="5186680" cy="2167890"/>
        </a:xfrm>
        <a:prstGeom prst="rect">
          <a:avLst/>
        </a:prstGeom>
      </xdr:spPr>
    </xdr:pic>
    <xdr:clientData/>
  </xdr:oneCellAnchor>
  <xdr:oneCellAnchor>
    <xdr:from>
      <xdr:col>6</xdr:col>
      <xdr:colOff>50378</xdr:colOff>
      <xdr:row>2179</xdr:row>
      <xdr:rowOff>33302</xdr:rowOff>
    </xdr:from>
    <xdr:ext cx="3897755" cy="2168118"/>
    <xdr:pic>
      <xdr:nvPicPr>
        <xdr:cNvPr id="100" name="Imagem 99"/>
        <xdr:cNvPicPr>
          <a:picLocks noChangeAspect="1"/>
        </xdr:cNvPicPr>
      </xdr:nvPicPr>
      <xdr:blipFill>
        <a:blip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83665" y="418740590"/>
          <a:ext cx="3897630" cy="2167890"/>
        </a:xfrm>
        <a:prstGeom prst="rect">
          <a:avLst/>
        </a:prstGeom>
      </xdr:spPr>
    </xdr:pic>
    <xdr:clientData/>
  </xdr:oneCellAnchor>
  <xdr:oneCellAnchor>
    <xdr:from>
      <xdr:col>6</xdr:col>
      <xdr:colOff>50378</xdr:colOff>
      <xdr:row>2206</xdr:row>
      <xdr:rowOff>33302</xdr:rowOff>
    </xdr:from>
    <xdr:ext cx="3897755" cy="2168118"/>
    <xdr:pic>
      <xdr:nvPicPr>
        <xdr:cNvPr id="101" name="Imagem 100"/>
        <xdr:cNvPicPr>
          <a:picLocks noChangeAspect="1"/>
        </xdr:cNvPicPr>
      </xdr:nvPicPr>
      <xdr:blipFill>
        <a:blip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83665" y="423908855"/>
          <a:ext cx="3897630" cy="2167890"/>
        </a:xfrm>
        <a:prstGeom prst="rect">
          <a:avLst/>
        </a:prstGeom>
      </xdr:spPr>
    </xdr:pic>
    <xdr:clientData/>
  </xdr:oneCellAnchor>
  <xdr:twoCellAnchor editAs="oneCell">
    <xdr:from>
      <xdr:col>0</xdr:col>
      <xdr:colOff>34636</xdr:colOff>
      <xdr:row>2233</xdr:row>
      <xdr:rowOff>34635</xdr:rowOff>
    </xdr:from>
    <xdr:to>
      <xdr:col>27</xdr:col>
      <xdr:colOff>138546</xdr:colOff>
      <xdr:row>2249</xdr:row>
      <xdr:rowOff>146838</xdr:rowOff>
    </xdr:to>
    <xdr:pic>
      <xdr:nvPicPr>
        <xdr:cNvPr id="103" name="Imagem 102"/>
        <xdr:cNvPicPr>
          <a:picLocks noChangeAspect="1" noChangeArrowheads="1"/>
        </xdr:cNvPicPr>
      </xdr:nvPicPr>
      <xdr:blipFill>
        <a:blip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290" y="429078390"/>
          <a:ext cx="6430645" cy="3160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50378</xdr:colOff>
      <xdr:row>2263</xdr:row>
      <xdr:rowOff>33302</xdr:rowOff>
    </xdr:from>
    <xdr:ext cx="3897755" cy="2168118"/>
    <xdr:pic>
      <xdr:nvPicPr>
        <xdr:cNvPr id="104" name="Imagem 103"/>
        <xdr:cNvPicPr>
          <a:picLocks noChangeAspect="1"/>
        </xdr:cNvPicPr>
      </xdr:nvPicPr>
      <xdr:blipFill>
        <a:blip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83665" y="434822600"/>
          <a:ext cx="3897630" cy="216789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78465</xdr:rowOff>
    </xdr:from>
    <xdr:ext cx="6229284" cy="1702059"/>
    <xdr:pic>
      <xdr:nvPicPr>
        <xdr:cNvPr id="105" name="Imagem 104"/>
        <xdr:cNvPicPr>
          <a:picLocks noChangeAspect="1"/>
        </xdr:cNvPicPr>
      </xdr:nvPicPr>
      <xdr:blipFill>
        <a:blip r:embed="rId5"/>
        <a:srcRect l="4793" t="10773" r="4021" b="36128"/>
        <a:stretch>
          <a:fillRect/>
        </a:stretch>
      </xdr:blipFill>
      <xdr:spPr>
        <a:xfrm>
          <a:off x="0" y="444823215"/>
          <a:ext cx="6228715" cy="1701800"/>
        </a:xfrm>
        <a:prstGeom prst="rect">
          <a:avLst/>
        </a:prstGeom>
      </xdr:spPr>
    </xdr:pic>
    <xdr:clientData/>
  </xdr:oneCellAnchor>
  <xdr:twoCellAnchor editAs="oneCell">
    <xdr:from>
      <xdr:col>0</xdr:col>
      <xdr:colOff>48489</xdr:colOff>
      <xdr:row>2340</xdr:row>
      <xdr:rowOff>34635</xdr:rowOff>
    </xdr:from>
    <xdr:to>
      <xdr:col>27</xdr:col>
      <xdr:colOff>180107</xdr:colOff>
      <xdr:row>2364</xdr:row>
      <xdr:rowOff>153823</xdr:rowOff>
    </xdr:to>
    <xdr:pic>
      <xdr:nvPicPr>
        <xdr:cNvPr id="108" name="Imagem 107"/>
        <xdr:cNvPicPr>
          <a:picLocks noChangeAspect="1" noChangeArrowheads="1"/>
        </xdr:cNvPicPr>
      </xdr:nvPicPr>
      <xdr:blipFill>
        <a:blip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60" y="449566665"/>
          <a:ext cx="6457950" cy="4691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207818</xdr:colOff>
      <xdr:row>2364</xdr:row>
      <xdr:rowOff>159328</xdr:rowOff>
    </xdr:from>
    <xdr:to>
      <xdr:col>21</xdr:col>
      <xdr:colOff>32558</xdr:colOff>
      <xdr:row>2387</xdr:row>
      <xdr:rowOff>75508</xdr:rowOff>
    </xdr:to>
    <xdr:pic>
      <xdr:nvPicPr>
        <xdr:cNvPr id="109" name="Imagem 108"/>
        <xdr:cNvPicPr>
          <a:picLocks noChangeAspect="1" noChangeArrowheads="1"/>
        </xdr:cNvPicPr>
      </xdr:nvPicPr>
      <xdr:blipFill>
        <a:blip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41145" y="454263125"/>
          <a:ext cx="3484245" cy="4297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64480</xdr:colOff>
      <xdr:row>2387</xdr:row>
      <xdr:rowOff>19719</xdr:rowOff>
    </xdr:from>
    <xdr:to>
      <xdr:col>27</xdr:col>
      <xdr:colOff>168143</xdr:colOff>
      <xdr:row>2411</xdr:row>
      <xdr:rowOff>54356</xdr:rowOff>
    </xdr:to>
    <xdr:pic>
      <xdr:nvPicPr>
        <xdr:cNvPr id="110" name="Imagem 109"/>
        <xdr:cNvPicPr>
          <a:picLocks noChangeAspect="1" noChangeArrowheads="1"/>
        </xdr:cNvPicPr>
      </xdr:nvPicPr>
      <xdr:blipFill>
        <a:blip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4135" y="458505560"/>
          <a:ext cx="6430010" cy="46062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23447</xdr:colOff>
      <xdr:row>2430</xdr:row>
      <xdr:rowOff>17050</xdr:rowOff>
    </xdr:from>
    <xdr:ext cx="6636327" cy="4624688"/>
    <xdr:pic>
      <xdr:nvPicPr>
        <xdr:cNvPr id="111" name="Imagem 110"/>
        <xdr:cNvPicPr>
          <a:picLocks noChangeAspect="1" noChangeArrowheads="1"/>
        </xdr:cNvPicPr>
      </xdr:nvPicPr>
      <xdr:blipFill>
        <a:blip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2860" y="466724365"/>
          <a:ext cx="6636385" cy="4624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207818</xdr:colOff>
      <xdr:row>2454</xdr:row>
      <xdr:rowOff>159328</xdr:rowOff>
    </xdr:from>
    <xdr:ext cx="3586249" cy="4233949"/>
    <xdr:pic>
      <xdr:nvPicPr>
        <xdr:cNvPr id="112" name="Imagem 111"/>
        <xdr:cNvPicPr>
          <a:picLocks noChangeAspect="1" noChangeArrowheads="1"/>
        </xdr:cNvPicPr>
      </xdr:nvPicPr>
      <xdr:blipFill>
        <a:blip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41145" y="471438605"/>
          <a:ext cx="3585845" cy="4234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62344</xdr:colOff>
      <xdr:row>2477</xdr:row>
      <xdr:rowOff>13857</xdr:rowOff>
    </xdr:from>
    <xdr:ext cx="6608372" cy="4532514"/>
    <xdr:pic>
      <xdr:nvPicPr>
        <xdr:cNvPr id="113" name="Imagem 112"/>
        <xdr:cNvPicPr>
          <a:picLocks noChangeAspect="1" noChangeArrowheads="1"/>
        </xdr:cNvPicPr>
      </xdr:nvPicPr>
      <xdr:blipFill>
        <a:blip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2230" y="475674690"/>
          <a:ext cx="6608445" cy="4532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48489</xdr:colOff>
      <xdr:row>2513</xdr:row>
      <xdr:rowOff>34635</xdr:rowOff>
    </xdr:from>
    <xdr:ext cx="6636327" cy="2732118"/>
    <xdr:pic>
      <xdr:nvPicPr>
        <xdr:cNvPr id="114" name="Imagem 113"/>
        <xdr:cNvPicPr>
          <a:picLocks noChangeAspect="1" noChangeArrowheads="1"/>
        </xdr:cNvPicPr>
      </xdr:nvPicPr>
      <xdr:blipFill>
        <a:blip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0892"/>
        <a:stretch>
          <a:fillRect/>
        </a:stretch>
      </xdr:blipFill>
      <xdr:spPr>
        <a:xfrm>
          <a:off x="48260" y="482593650"/>
          <a:ext cx="6636385" cy="2732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64477</xdr:colOff>
      <xdr:row>2539</xdr:row>
      <xdr:rowOff>16516</xdr:rowOff>
    </xdr:from>
    <xdr:to>
      <xdr:col>27</xdr:col>
      <xdr:colOff>203023</xdr:colOff>
      <xdr:row>2570</xdr:row>
      <xdr:rowOff>30106</xdr:rowOff>
    </xdr:to>
    <xdr:pic>
      <xdr:nvPicPr>
        <xdr:cNvPr id="119" name="Imagem 118"/>
        <xdr:cNvPicPr>
          <a:picLocks noChangeAspect="1" noChangeArrowheads="1"/>
        </xdr:cNvPicPr>
      </xdr:nvPicPr>
      <xdr:blipFill>
        <a:blip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4135" y="487559350"/>
          <a:ext cx="6464935" cy="5918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2583</xdr:row>
      <xdr:rowOff>78465</xdr:rowOff>
    </xdr:from>
    <xdr:ext cx="6229284" cy="1702059"/>
    <xdr:pic>
      <xdr:nvPicPr>
        <xdr:cNvPr id="120" name="Imagem 119"/>
        <xdr:cNvPicPr>
          <a:picLocks noChangeAspect="1"/>
        </xdr:cNvPicPr>
      </xdr:nvPicPr>
      <xdr:blipFill>
        <a:blip r:embed="rId5"/>
        <a:srcRect l="4793" t="10773" r="4021" b="36128"/>
        <a:stretch>
          <a:fillRect/>
        </a:stretch>
      </xdr:blipFill>
      <xdr:spPr>
        <a:xfrm>
          <a:off x="0" y="496035330"/>
          <a:ext cx="6228715" cy="1701800"/>
        </a:xfrm>
        <a:prstGeom prst="rect">
          <a:avLst/>
        </a:prstGeom>
      </xdr:spPr>
    </xdr:pic>
    <xdr:clientData/>
  </xdr:oneCellAnchor>
  <xdr:twoCellAnchor editAs="oneCell">
    <xdr:from>
      <xdr:col>5</xdr:col>
      <xdr:colOff>41571</xdr:colOff>
      <xdr:row>2608</xdr:row>
      <xdr:rowOff>20779</xdr:rowOff>
    </xdr:from>
    <xdr:to>
      <xdr:col>22</xdr:col>
      <xdr:colOff>180116</xdr:colOff>
      <xdr:row>2624</xdr:row>
      <xdr:rowOff>155683</xdr:rowOff>
    </xdr:to>
    <xdr:pic>
      <xdr:nvPicPr>
        <xdr:cNvPr id="122" name="Imagem 121"/>
        <xdr:cNvPicPr>
          <a:picLocks noChangeAspect="1"/>
        </xdr:cNvPicPr>
      </xdr:nvPicPr>
      <xdr:blipFill>
        <a:blip r:embed="rId35"/>
        <a:srcRect l="24274" t="11120" r="28305" b="19962"/>
        <a:stretch>
          <a:fillRect/>
        </a:stretch>
      </xdr:blipFill>
      <xdr:spPr>
        <a:xfrm>
          <a:off x="1152525" y="500764810"/>
          <a:ext cx="4242435" cy="3183255"/>
        </a:xfrm>
        <a:prstGeom prst="rect">
          <a:avLst/>
        </a:prstGeom>
      </xdr:spPr>
    </xdr:pic>
    <xdr:clientData/>
  </xdr:twoCellAnchor>
  <xdr:oneCellAnchor>
    <xdr:from>
      <xdr:col>5</xdr:col>
      <xdr:colOff>41571</xdr:colOff>
      <xdr:row>2640</xdr:row>
      <xdr:rowOff>20779</xdr:rowOff>
    </xdr:from>
    <xdr:ext cx="4357254" cy="3138569"/>
    <xdr:pic>
      <xdr:nvPicPr>
        <xdr:cNvPr id="123" name="Imagem 122"/>
        <xdr:cNvPicPr>
          <a:picLocks noChangeAspect="1"/>
        </xdr:cNvPicPr>
      </xdr:nvPicPr>
      <xdr:blipFill>
        <a:blip r:embed="rId35"/>
        <a:srcRect l="24274" t="11120" r="28305" b="19962"/>
        <a:stretch>
          <a:fillRect/>
        </a:stretch>
      </xdr:blipFill>
      <xdr:spPr>
        <a:xfrm>
          <a:off x="1152525" y="506885575"/>
          <a:ext cx="4357370" cy="3138805"/>
        </a:xfrm>
        <a:prstGeom prst="rect">
          <a:avLst/>
        </a:prstGeom>
      </xdr:spPr>
    </xdr:pic>
    <xdr:clientData/>
  </xdr:oneCellAnchor>
  <xdr:oneCellAnchor>
    <xdr:from>
      <xdr:col>5</xdr:col>
      <xdr:colOff>41571</xdr:colOff>
      <xdr:row>2672</xdr:row>
      <xdr:rowOff>20779</xdr:rowOff>
    </xdr:from>
    <xdr:ext cx="4357254" cy="3138569"/>
    <xdr:pic>
      <xdr:nvPicPr>
        <xdr:cNvPr id="124" name="Imagem 123"/>
        <xdr:cNvPicPr>
          <a:picLocks noChangeAspect="1"/>
        </xdr:cNvPicPr>
      </xdr:nvPicPr>
      <xdr:blipFill>
        <a:blip r:embed="rId35"/>
        <a:srcRect l="24274" t="11120" r="28305" b="19962"/>
        <a:stretch>
          <a:fillRect/>
        </a:stretch>
      </xdr:blipFill>
      <xdr:spPr>
        <a:xfrm>
          <a:off x="1152525" y="512998720"/>
          <a:ext cx="4357370" cy="3138805"/>
        </a:xfrm>
        <a:prstGeom prst="rect">
          <a:avLst/>
        </a:prstGeom>
      </xdr:spPr>
    </xdr:pic>
    <xdr:clientData/>
  </xdr:oneCellAnchor>
  <xdr:twoCellAnchor editAs="oneCell">
    <xdr:from>
      <xdr:col>2</xdr:col>
      <xdr:colOff>13854</xdr:colOff>
      <xdr:row>2704</xdr:row>
      <xdr:rowOff>27709</xdr:rowOff>
    </xdr:from>
    <xdr:to>
      <xdr:col>25</xdr:col>
      <xdr:colOff>200890</xdr:colOff>
      <xdr:row>2745</xdr:row>
      <xdr:rowOff>165005</xdr:rowOff>
    </xdr:to>
    <xdr:pic>
      <xdr:nvPicPr>
        <xdr:cNvPr id="128" name="Imagem 127"/>
        <xdr:cNvPicPr>
          <a:picLocks noChangeAspect="1" noChangeArrowheads="1"/>
        </xdr:cNvPicPr>
      </xdr:nvPicPr>
      <xdr:blipFill>
        <a:blip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835" y="519118850"/>
          <a:ext cx="5624830" cy="794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2746</xdr:row>
      <xdr:rowOff>0</xdr:rowOff>
    </xdr:from>
    <xdr:to>
      <xdr:col>26</xdr:col>
      <xdr:colOff>0</xdr:colOff>
      <xdr:row>2770</xdr:row>
      <xdr:rowOff>159328</xdr:rowOff>
    </xdr:to>
    <xdr:pic>
      <xdr:nvPicPr>
        <xdr:cNvPr id="129" name="Imagem 128"/>
        <xdr:cNvPicPr>
          <a:picLocks noChangeAspect="1" noChangeArrowheads="1"/>
        </xdr:cNvPicPr>
      </xdr:nvPicPr>
      <xdr:blipFill>
        <a:blip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4500" y="527092545"/>
          <a:ext cx="5659755" cy="4730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41571</xdr:colOff>
      <xdr:row>2785</xdr:row>
      <xdr:rowOff>20779</xdr:rowOff>
    </xdr:from>
    <xdr:ext cx="4357254" cy="3138569"/>
    <xdr:pic>
      <xdr:nvPicPr>
        <xdr:cNvPr id="130" name="Imagem 129"/>
        <xdr:cNvPicPr>
          <a:picLocks noChangeAspect="1"/>
        </xdr:cNvPicPr>
      </xdr:nvPicPr>
      <xdr:blipFill>
        <a:blip r:embed="rId35"/>
        <a:srcRect l="24274" t="11120" r="28305" b="19962"/>
        <a:stretch>
          <a:fillRect/>
        </a:stretch>
      </xdr:blipFill>
      <xdr:spPr>
        <a:xfrm>
          <a:off x="1152525" y="534572845"/>
          <a:ext cx="4357370" cy="3138805"/>
        </a:xfrm>
        <a:prstGeom prst="rect">
          <a:avLst/>
        </a:prstGeom>
      </xdr:spPr>
    </xdr:pic>
    <xdr:clientData/>
  </xdr:oneCellAnchor>
  <xdr:oneCellAnchor>
    <xdr:from>
      <xdr:col>1</xdr:col>
      <xdr:colOff>173180</xdr:colOff>
      <xdr:row>2817</xdr:row>
      <xdr:rowOff>34637</xdr:rowOff>
    </xdr:from>
    <xdr:ext cx="5957085" cy="1641769"/>
    <xdr:pic>
      <xdr:nvPicPr>
        <xdr:cNvPr id="133" name="Imagem 132"/>
        <xdr:cNvPicPr>
          <a:picLocks noChangeAspect="1"/>
        </xdr:cNvPicPr>
      </xdr:nvPicPr>
      <xdr:blipFill>
        <a:blip r:embed="rId24"/>
        <a:srcRect l="8493" t="15888" r="7016" b="38404"/>
        <a:stretch>
          <a:fillRect/>
        </a:stretch>
      </xdr:blipFill>
      <xdr:spPr>
        <a:xfrm>
          <a:off x="394970" y="540707580"/>
          <a:ext cx="5956935" cy="1642110"/>
        </a:xfrm>
        <a:prstGeom prst="rect">
          <a:avLst/>
        </a:prstGeom>
      </xdr:spPr>
    </xdr:pic>
    <xdr:clientData/>
  </xdr:oneCellAnchor>
  <xdr:oneCellAnchor>
    <xdr:from>
      <xdr:col>1</xdr:col>
      <xdr:colOff>124691</xdr:colOff>
      <xdr:row>2838</xdr:row>
      <xdr:rowOff>41564</xdr:rowOff>
    </xdr:from>
    <xdr:ext cx="5957085" cy="1641769"/>
    <xdr:pic>
      <xdr:nvPicPr>
        <xdr:cNvPr id="135" name="Imagem 134"/>
        <xdr:cNvPicPr>
          <a:picLocks noChangeAspect="1"/>
        </xdr:cNvPicPr>
      </xdr:nvPicPr>
      <xdr:blipFill>
        <a:blip r:embed="rId24"/>
        <a:srcRect l="8493" t="15888" r="7016" b="38404"/>
        <a:stretch>
          <a:fillRect/>
        </a:stretch>
      </xdr:blipFill>
      <xdr:spPr>
        <a:xfrm>
          <a:off x="346710" y="544747450"/>
          <a:ext cx="5956935" cy="1641475"/>
        </a:xfrm>
        <a:prstGeom prst="rect">
          <a:avLst/>
        </a:prstGeom>
      </xdr:spPr>
    </xdr:pic>
    <xdr:clientData/>
  </xdr:oneCellAnchor>
  <xdr:twoCellAnchor editAs="oneCell">
    <xdr:from>
      <xdr:col>0</xdr:col>
      <xdr:colOff>48490</xdr:colOff>
      <xdr:row>2859</xdr:row>
      <xdr:rowOff>34636</xdr:rowOff>
    </xdr:from>
    <xdr:to>
      <xdr:col>27</xdr:col>
      <xdr:colOff>180107</xdr:colOff>
      <xdr:row>2868</xdr:row>
      <xdr:rowOff>123929</xdr:rowOff>
    </xdr:to>
    <xdr:pic>
      <xdr:nvPicPr>
        <xdr:cNvPr id="137" name="Imagem 136"/>
        <xdr:cNvPicPr>
          <a:picLocks noChangeAspect="1" noChangeArrowheads="1"/>
        </xdr:cNvPicPr>
      </xdr:nvPicPr>
      <xdr:blipFill>
        <a:blip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60" y="548773350"/>
          <a:ext cx="6457950" cy="1804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39431</xdr:colOff>
      <xdr:row>2868</xdr:row>
      <xdr:rowOff>152399</xdr:rowOff>
    </xdr:from>
    <xdr:to>
      <xdr:col>27</xdr:col>
      <xdr:colOff>218195</xdr:colOff>
      <xdr:row>2883</xdr:row>
      <xdr:rowOff>60747</xdr:rowOff>
    </xdr:to>
    <xdr:pic>
      <xdr:nvPicPr>
        <xdr:cNvPr id="138" name="Imagem 137"/>
        <xdr:cNvPicPr>
          <a:picLocks noChangeAspect="1" noChangeArrowheads="1"/>
        </xdr:cNvPicPr>
      </xdr:nvPicPr>
      <xdr:blipFill>
        <a:blip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370" y="550605325"/>
          <a:ext cx="6504940" cy="2766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20782</xdr:colOff>
      <xdr:row>2896</xdr:row>
      <xdr:rowOff>62346</xdr:rowOff>
    </xdr:from>
    <xdr:to>
      <xdr:col>27</xdr:col>
      <xdr:colOff>217803</xdr:colOff>
      <xdr:row>2916</xdr:row>
      <xdr:rowOff>96982</xdr:rowOff>
    </xdr:to>
    <xdr:pic>
      <xdr:nvPicPr>
        <xdr:cNvPr id="139" name="Imagem 138"/>
        <xdr:cNvPicPr>
          <a:picLocks noChangeAspect="1" noChangeArrowheads="1"/>
        </xdr:cNvPicPr>
      </xdr:nvPicPr>
      <xdr:blipFill>
        <a:blip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320" y="555849790"/>
          <a:ext cx="6523355" cy="38442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27708</xdr:colOff>
      <xdr:row>2883</xdr:row>
      <xdr:rowOff>90055</xdr:rowOff>
    </xdr:from>
    <xdr:to>
      <xdr:col>27</xdr:col>
      <xdr:colOff>178150</xdr:colOff>
      <xdr:row>2896</xdr:row>
      <xdr:rowOff>62346</xdr:rowOff>
    </xdr:to>
    <xdr:pic>
      <xdr:nvPicPr>
        <xdr:cNvPr id="140" name="Imagem 139"/>
        <xdr:cNvPicPr>
          <a:picLocks noChangeAspect="1" noChangeArrowheads="1"/>
        </xdr:cNvPicPr>
      </xdr:nvPicPr>
      <xdr:blipFill>
        <a:blip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305" y="553400595"/>
          <a:ext cx="6477000" cy="2449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48491</xdr:colOff>
      <xdr:row>2916</xdr:row>
      <xdr:rowOff>103908</xdr:rowOff>
    </xdr:from>
    <xdr:to>
      <xdr:col>27</xdr:col>
      <xdr:colOff>200891</xdr:colOff>
      <xdr:row>2928</xdr:row>
      <xdr:rowOff>168994</xdr:rowOff>
    </xdr:to>
    <xdr:pic>
      <xdr:nvPicPr>
        <xdr:cNvPr id="141" name="Imagem 140"/>
        <xdr:cNvPicPr>
          <a:picLocks noChangeAspect="1" noChangeArrowheads="1"/>
        </xdr:cNvPicPr>
      </xdr:nvPicPr>
      <xdr:blipFill>
        <a:blip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60" y="559701065"/>
          <a:ext cx="6478905" cy="2351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48491</xdr:colOff>
      <xdr:row>2932</xdr:row>
      <xdr:rowOff>55416</xdr:rowOff>
    </xdr:from>
    <xdr:to>
      <xdr:col>3</xdr:col>
      <xdr:colOff>173182</xdr:colOff>
      <xdr:row>2932</xdr:row>
      <xdr:rowOff>775635</xdr:rowOff>
    </xdr:to>
    <xdr:pic>
      <xdr:nvPicPr>
        <xdr:cNvPr id="142" name="Imagem 141"/>
        <xdr:cNvPicPr>
          <a:picLocks noChangeAspect="1" noChangeArrowheads="1"/>
        </xdr:cNvPicPr>
      </xdr:nvPicPr>
      <xdr:blipFill>
        <a:blip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60" y="562685565"/>
          <a:ext cx="791210" cy="72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34635</xdr:colOff>
      <xdr:row>2933</xdr:row>
      <xdr:rowOff>41564</xdr:rowOff>
    </xdr:from>
    <xdr:to>
      <xdr:col>3</xdr:col>
      <xdr:colOff>200890</xdr:colOff>
      <xdr:row>2933</xdr:row>
      <xdr:rowOff>381031</xdr:rowOff>
    </xdr:to>
    <xdr:pic>
      <xdr:nvPicPr>
        <xdr:cNvPr id="143" name="Imagem 142"/>
        <xdr:cNvPicPr>
          <a:picLocks noChangeAspect="1" noChangeArrowheads="1"/>
        </xdr:cNvPicPr>
      </xdr:nvPicPr>
      <xdr:blipFill>
        <a:blip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290" y="563486935"/>
          <a:ext cx="833120" cy="33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55416</xdr:colOff>
      <xdr:row>2934</xdr:row>
      <xdr:rowOff>41563</xdr:rowOff>
    </xdr:from>
    <xdr:to>
      <xdr:col>3</xdr:col>
      <xdr:colOff>177359</xdr:colOff>
      <xdr:row>2934</xdr:row>
      <xdr:rowOff>838199</xdr:rowOff>
    </xdr:to>
    <xdr:pic>
      <xdr:nvPicPr>
        <xdr:cNvPr id="144" name="Imagem 143"/>
        <xdr:cNvPicPr>
          <a:picLocks noChangeAspect="1" noChangeArrowheads="1"/>
        </xdr:cNvPicPr>
      </xdr:nvPicPr>
      <xdr:blipFill>
        <a:blip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245" y="563898415"/>
          <a:ext cx="788670" cy="7962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27708</xdr:colOff>
      <xdr:row>2935</xdr:row>
      <xdr:rowOff>13854</xdr:rowOff>
    </xdr:from>
    <xdr:to>
      <xdr:col>3</xdr:col>
      <xdr:colOff>214744</xdr:colOff>
      <xdr:row>2935</xdr:row>
      <xdr:rowOff>465920</xdr:rowOff>
    </xdr:to>
    <xdr:pic>
      <xdr:nvPicPr>
        <xdr:cNvPr id="145" name="Imagem 144"/>
        <xdr:cNvPicPr>
          <a:picLocks noChangeAspect="1" noChangeArrowheads="1"/>
        </xdr:cNvPicPr>
      </xdr:nvPicPr>
      <xdr:blipFill>
        <a:blip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305" y="564762015"/>
          <a:ext cx="854075" cy="452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159327</xdr:colOff>
      <xdr:row>2936</xdr:row>
      <xdr:rowOff>48491</xdr:rowOff>
    </xdr:from>
    <xdr:to>
      <xdr:col>3</xdr:col>
      <xdr:colOff>75507</xdr:colOff>
      <xdr:row>2936</xdr:row>
      <xdr:rowOff>747453</xdr:rowOff>
    </xdr:to>
    <xdr:pic>
      <xdr:nvPicPr>
        <xdr:cNvPr id="146" name="Imagem 145"/>
        <xdr:cNvPicPr>
          <a:picLocks noChangeAspect="1" noChangeArrowheads="1"/>
        </xdr:cNvPicPr>
      </xdr:nvPicPr>
      <xdr:blipFill>
        <a:blip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8750" y="565284620"/>
          <a:ext cx="582930" cy="699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83659</xdr:colOff>
      <xdr:row>2945</xdr:row>
      <xdr:rowOff>34636</xdr:rowOff>
    </xdr:from>
    <xdr:ext cx="6636326" cy="1778856"/>
    <xdr:pic>
      <xdr:nvPicPr>
        <xdr:cNvPr id="147" name="Imagem 146"/>
        <xdr:cNvPicPr>
          <a:picLocks noChangeAspect="1" noChangeArrowheads="1"/>
        </xdr:cNvPicPr>
      </xdr:nvPicPr>
      <xdr:blipFill>
        <a:blip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3185" y="567640470"/>
          <a:ext cx="6636385" cy="1778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27708</xdr:colOff>
      <xdr:row>2955</xdr:row>
      <xdr:rowOff>0</xdr:rowOff>
    </xdr:from>
    <xdr:ext cx="6683473" cy="2718262"/>
    <xdr:pic>
      <xdr:nvPicPr>
        <xdr:cNvPr id="148" name="Imagem 147"/>
        <xdr:cNvPicPr>
          <a:picLocks noChangeAspect="1" noChangeArrowheads="1"/>
        </xdr:cNvPicPr>
      </xdr:nvPicPr>
      <xdr:blipFill>
        <a:blip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305" y="569511180"/>
          <a:ext cx="6683375" cy="271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11723</xdr:colOff>
      <xdr:row>2981</xdr:row>
      <xdr:rowOff>150269</xdr:rowOff>
    </xdr:from>
    <xdr:ext cx="6701730" cy="3789218"/>
    <xdr:pic>
      <xdr:nvPicPr>
        <xdr:cNvPr id="149" name="Imagem 148"/>
        <xdr:cNvPicPr>
          <a:picLocks noChangeAspect="1" noChangeArrowheads="1"/>
        </xdr:cNvPicPr>
      </xdr:nvPicPr>
      <xdr:blipFill>
        <a:blip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430" y="574614040"/>
          <a:ext cx="6701790" cy="3789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27708</xdr:colOff>
      <xdr:row>2969</xdr:row>
      <xdr:rowOff>90055</xdr:rowOff>
    </xdr:from>
    <xdr:ext cx="6655151" cy="2412769"/>
    <xdr:pic>
      <xdr:nvPicPr>
        <xdr:cNvPr id="150" name="Imagem 149"/>
        <xdr:cNvPicPr>
          <a:picLocks noChangeAspect="1" noChangeArrowheads="1"/>
        </xdr:cNvPicPr>
      </xdr:nvPicPr>
      <xdr:blipFill>
        <a:blip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305" y="572267715"/>
          <a:ext cx="6655435" cy="241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48491</xdr:colOff>
      <xdr:row>3002</xdr:row>
      <xdr:rowOff>103908</xdr:rowOff>
    </xdr:from>
    <xdr:ext cx="6657109" cy="2317835"/>
    <xdr:pic>
      <xdr:nvPicPr>
        <xdr:cNvPr id="151" name="Imagem 150"/>
        <xdr:cNvPicPr>
          <a:picLocks noChangeAspect="1" noChangeArrowheads="1"/>
        </xdr:cNvPicPr>
      </xdr:nvPicPr>
      <xdr:blipFill>
        <a:blip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60" y="578568185"/>
          <a:ext cx="6657340" cy="2317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48491</xdr:colOff>
      <xdr:row>3018</xdr:row>
      <xdr:rowOff>55416</xdr:rowOff>
    </xdr:from>
    <xdr:ext cx="810491" cy="720219"/>
    <xdr:pic>
      <xdr:nvPicPr>
        <xdr:cNvPr id="152" name="Imagem 151"/>
        <xdr:cNvPicPr>
          <a:picLocks noChangeAspect="1" noChangeArrowheads="1"/>
        </xdr:cNvPicPr>
      </xdr:nvPicPr>
      <xdr:blipFill>
        <a:blip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60" y="581552685"/>
          <a:ext cx="810260" cy="72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34635</xdr:colOff>
      <xdr:row>3019</xdr:row>
      <xdr:rowOff>41564</xdr:rowOff>
    </xdr:from>
    <xdr:ext cx="852055" cy="339467"/>
    <xdr:pic>
      <xdr:nvPicPr>
        <xdr:cNvPr id="153" name="Imagem 152"/>
        <xdr:cNvPicPr>
          <a:picLocks noChangeAspect="1" noChangeArrowheads="1"/>
        </xdr:cNvPicPr>
      </xdr:nvPicPr>
      <xdr:blipFill>
        <a:blip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290" y="582354055"/>
          <a:ext cx="852170" cy="33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55416</xdr:colOff>
      <xdr:row>3020</xdr:row>
      <xdr:rowOff>41563</xdr:rowOff>
    </xdr:from>
    <xdr:ext cx="807743" cy="796636"/>
    <xdr:pic>
      <xdr:nvPicPr>
        <xdr:cNvPr id="154" name="Imagem 153"/>
        <xdr:cNvPicPr>
          <a:picLocks noChangeAspect="1" noChangeArrowheads="1"/>
        </xdr:cNvPicPr>
      </xdr:nvPicPr>
      <xdr:blipFill>
        <a:blip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245" y="582765535"/>
          <a:ext cx="807720" cy="7962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27708</xdr:colOff>
      <xdr:row>3021</xdr:row>
      <xdr:rowOff>13854</xdr:rowOff>
    </xdr:from>
    <xdr:ext cx="872836" cy="452066"/>
    <xdr:pic>
      <xdr:nvPicPr>
        <xdr:cNvPr id="155" name="Imagem 154"/>
        <xdr:cNvPicPr>
          <a:picLocks noChangeAspect="1" noChangeArrowheads="1"/>
        </xdr:cNvPicPr>
      </xdr:nvPicPr>
      <xdr:blipFill>
        <a:blip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305" y="583629135"/>
          <a:ext cx="873125" cy="452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159327</xdr:colOff>
      <xdr:row>3022</xdr:row>
      <xdr:rowOff>48491</xdr:rowOff>
    </xdr:from>
    <xdr:ext cx="601980" cy="698962"/>
    <xdr:pic>
      <xdr:nvPicPr>
        <xdr:cNvPr id="156" name="Imagem 155"/>
        <xdr:cNvPicPr>
          <a:picLocks noChangeAspect="1" noChangeArrowheads="1"/>
        </xdr:cNvPicPr>
      </xdr:nvPicPr>
      <xdr:blipFill>
        <a:blip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8750" y="584151740"/>
          <a:ext cx="601980" cy="699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199291</xdr:colOff>
      <xdr:row>3050</xdr:row>
      <xdr:rowOff>96981</xdr:rowOff>
    </xdr:from>
    <xdr:to>
      <xdr:col>26</xdr:col>
      <xdr:colOff>124692</xdr:colOff>
      <xdr:row>3080</xdr:row>
      <xdr:rowOff>163018</xdr:rowOff>
    </xdr:to>
    <xdr:pic>
      <xdr:nvPicPr>
        <xdr:cNvPr id="160" name="Imagem 159"/>
        <xdr:cNvPicPr>
          <a:picLocks noChangeAspect="1" noChangeArrowheads="1"/>
        </xdr:cNvPicPr>
      </xdr:nvPicPr>
      <xdr:blipFill>
        <a:blip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21005" y="590225515"/>
          <a:ext cx="5807710" cy="5781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75669</xdr:colOff>
      <xdr:row>3081</xdr:row>
      <xdr:rowOff>6396</xdr:rowOff>
    </xdr:from>
    <xdr:to>
      <xdr:col>27</xdr:col>
      <xdr:colOff>200358</xdr:colOff>
      <xdr:row>3102</xdr:row>
      <xdr:rowOff>63347</xdr:rowOff>
    </xdr:to>
    <xdr:pic>
      <xdr:nvPicPr>
        <xdr:cNvPr id="161" name="Imagem 160"/>
        <xdr:cNvPicPr>
          <a:picLocks noChangeAspect="1" noChangeArrowheads="1"/>
        </xdr:cNvPicPr>
      </xdr:nvPicPr>
      <xdr:blipFill>
        <a:blip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5565" y="596040845"/>
          <a:ext cx="6450965" cy="40570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62</xdr:col>
      <xdr:colOff>17780</xdr:colOff>
      <xdr:row>0</xdr:row>
      <xdr:rowOff>89129</xdr:rowOff>
    </xdr:from>
    <xdr:to>
      <xdr:col>71</xdr:col>
      <xdr:colOff>56474</xdr:colOff>
      <xdr:row>2</xdr:row>
      <xdr:rowOff>98570</xdr:rowOff>
    </xdr:to>
    <xdr:pic>
      <xdr:nvPicPr>
        <xdr:cNvPr id="7" name="Imagem 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18550" y="88900"/>
          <a:ext cx="1301115" cy="329565"/>
        </a:xfrm>
        <a:prstGeom prst="rect">
          <a:avLst/>
        </a:prstGeom>
      </xdr:spPr>
    </xdr:pic>
    <xdr:clientData/>
  </xdr:twoCellAnchor>
  <xdr:twoCellAnchor editAs="oneCell">
    <xdr:from>
      <xdr:col>0</xdr:col>
      <xdr:colOff>116450</xdr:colOff>
      <xdr:row>0</xdr:row>
      <xdr:rowOff>114300</xdr:rowOff>
    </xdr:from>
    <xdr:to>
      <xdr:col>8</xdr:col>
      <xdr:colOff>59771</xdr:colOff>
      <xdr:row>2</xdr:row>
      <xdr:rowOff>73494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6205" y="114300"/>
          <a:ext cx="1066165" cy="27876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53</xdr:col>
      <xdr:colOff>55880</xdr:colOff>
      <xdr:row>0</xdr:row>
      <xdr:rowOff>88410</xdr:rowOff>
    </xdr:from>
    <xdr:to>
      <xdr:col>62</xdr:col>
      <xdr:colOff>92669</xdr:colOff>
      <xdr:row>2</xdr:row>
      <xdr:rowOff>97384</xdr:rowOff>
    </xdr:to>
    <xdr:pic>
      <xdr:nvPicPr>
        <xdr:cNvPr id="4" name="Imagem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93635" y="88265"/>
          <a:ext cx="1299210" cy="328930"/>
        </a:xfrm>
        <a:prstGeom prst="rect">
          <a:avLst/>
        </a:prstGeom>
      </xdr:spPr>
    </xdr:pic>
    <xdr:clientData/>
  </xdr:twoCellAnchor>
  <xdr:twoCellAnchor editAs="oneCell">
    <xdr:from>
      <xdr:col>0</xdr:col>
      <xdr:colOff>127352</xdr:colOff>
      <xdr:row>0</xdr:row>
      <xdr:rowOff>106045</xdr:rowOff>
    </xdr:from>
    <xdr:to>
      <xdr:col>8</xdr:col>
      <xdr:colOff>41249</xdr:colOff>
      <xdr:row>2</xdr:row>
      <xdr:rowOff>59524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7000" y="106045"/>
          <a:ext cx="1036320" cy="2730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47620</xdr:colOff>
      <xdr:row>25</xdr:row>
      <xdr:rowOff>29766</xdr:rowOff>
    </xdr:from>
    <xdr:to>
      <xdr:col>30</xdr:col>
      <xdr:colOff>97625</xdr:colOff>
      <xdr:row>32</xdr:row>
      <xdr:rowOff>150622</xdr:rowOff>
    </xdr:to>
    <xdr:pic>
      <xdr:nvPicPr>
        <xdr:cNvPr id="2" name="Imagem 1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31010" y="4043045"/>
          <a:ext cx="2576195" cy="1254760"/>
        </a:xfrm>
        <a:prstGeom prst="rect">
          <a:avLst/>
        </a:prstGeom>
        <a:noFill/>
        <a:ln w="3175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130969</xdr:colOff>
      <xdr:row>58</xdr:row>
      <xdr:rowOff>35721</xdr:rowOff>
    </xdr:from>
    <xdr:to>
      <xdr:col>33</xdr:col>
      <xdr:colOff>130731</xdr:colOff>
      <xdr:row>65</xdr:row>
      <xdr:rowOff>112810</xdr:rowOff>
    </xdr:to>
    <xdr:pic>
      <xdr:nvPicPr>
        <xdr:cNvPr id="6" name="Imagem 5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53490" y="9511030"/>
          <a:ext cx="3507740" cy="1210310"/>
        </a:xfrm>
        <a:prstGeom prst="rect">
          <a:avLst/>
        </a:prstGeom>
        <a:noFill/>
        <a:ln w="3175"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55880</xdr:colOff>
      <xdr:row>0</xdr:row>
      <xdr:rowOff>89362</xdr:rowOff>
    </xdr:from>
    <xdr:to>
      <xdr:col>43</xdr:col>
      <xdr:colOff>96479</xdr:colOff>
      <xdr:row>2</xdr:row>
      <xdr:rowOff>94526</xdr:rowOff>
    </xdr:to>
    <xdr:pic>
      <xdr:nvPicPr>
        <xdr:cNvPr id="7" name="Imagem 6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7270" y="88900"/>
          <a:ext cx="1303020" cy="325120"/>
        </a:xfrm>
        <a:prstGeom prst="rect">
          <a:avLst/>
        </a:prstGeom>
      </xdr:spPr>
    </xdr:pic>
    <xdr:clientData/>
  </xdr:twoCellAnchor>
  <xdr:twoCellAnchor editAs="oneCell">
    <xdr:from>
      <xdr:col>0</xdr:col>
      <xdr:colOff>63501</xdr:colOff>
      <xdr:row>50</xdr:row>
      <xdr:rowOff>110491</xdr:rowOff>
    </xdr:from>
    <xdr:to>
      <xdr:col>43</xdr:col>
      <xdr:colOff>55903</xdr:colOff>
      <xdr:row>55</xdr:row>
      <xdr:rowOff>130810</xdr:rowOff>
    </xdr:to>
    <xdr:pic>
      <xdr:nvPicPr>
        <xdr:cNvPr id="5" name="Imagem 4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500" y="8231505"/>
          <a:ext cx="6026785" cy="829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132750</xdr:colOff>
      <xdr:row>0</xdr:row>
      <xdr:rowOff>106045</xdr:rowOff>
    </xdr:from>
    <xdr:to>
      <xdr:col>8</xdr:col>
      <xdr:colOff>54267</xdr:colOff>
      <xdr:row>2</xdr:row>
      <xdr:rowOff>55714</xdr:rowOff>
    </xdr:to>
    <xdr:pic>
      <xdr:nvPicPr>
        <xdr:cNvPr id="4" name="Imagem 3"/>
        <xdr:cNvPicPr>
          <a:picLocks noChangeAspect="1"/>
        </xdr:cNvPicPr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2715" y="106045"/>
          <a:ext cx="1043940" cy="26924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34</xdr:col>
      <xdr:colOff>59690</xdr:colOff>
      <xdr:row>0</xdr:row>
      <xdr:rowOff>84768</xdr:rowOff>
    </xdr:from>
    <xdr:to>
      <xdr:col>43</xdr:col>
      <xdr:colOff>96479</xdr:colOff>
      <xdr:row>2</xdr:row>
      <xdr:rowOff>92771</xdr:rowOff>
    </xdr:to>
    <xdr:pic>
      <xdr:nvPicPr>
        <xdr:cNvPr id="7" name="Imagem 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31080" y="84455"/>
          <a:ext cx="1299210" cy="328295"/>
        </a:xfrm>
        <a:prstGeom prst="rect">
          <a:avLst/>
        </a:prstGeom>
      </xdr:spPr>
    </xdr:pic>
    <xdr:clientData/>
  </xdr:twoCellAnchor>
  <xdr:twoCellAnchor editAs="oneCell">
    <xdr:from>
      <xdr:col>7</xdr:col>
      <xdr:colOff>135891</xdr:colOff>
      <xdr:row>38</xdr:row>
      <xdr:rowOff>43815</xdr:rowOff>
    </xdr:from>
    <xdr:to>
      <xdr:col>36</xdr:col>
      <xdr:colOff>56484</xdr:colOff>
      <xdr:row>42</xdr:row>
      <xdr:rowOff>130555</xdr:rowOff>
    </xdr:to>
    <xdr:pic>
      <xdr:nvPicPr>
        <xdr:cNvPr id="2" name="Imagem 1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18235" y="7393305"/>
          <a:ext cx="3989705" cy="734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133351</xdr:colOff>
      <xdr:row>56</xdr:row>
      <xdr:rowOff>27941</xdr:rowOff>
    </xdr:from>
    <xdr:to>
      <xdr:col>38</xdr:col>
      <xdr:colOff>130176</xdr:colOff>
      <xdr:row>56</xdr:row>
      <xdr:rowOff>743618</xdr:rowOff>
    </xdr:to>
    <xdr:pic>
      <xdr:nvPicPr>
        <xdr:cNvPr id="5" name="Imagem 4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35025" y="10903585"/>
          <a:ext cx="4627880" cy="7156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87240</xdr:colOff>
      <xdr:row>0</xdr:row>
      <xdr:rowOff>106045</xdr:rowOff>
    </xdr:from>
    <xdr:to>
      <xdr:col>8</xdr:col>
      <xdr:colOff>19131</xdr:colOff>
      <xdr:row>2</xdr:row>
      <xdr:rowOff>55714</xdr:rowOff>
    </xdr:to>
    <xdr:pic>
      <xdr:nvPicPr>
        <xdr:cNvPr id="4" name="Imagem 3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995" y="106045"/>
          <a:ext cx="1054735" cy="26924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53</xdr:col>
      <xdr:colOff>8618</xdr:colOff>
      <xdr:row>0</xdr:row>
      <xdr:rowOff>69017</xdr:rowOff>
    </xdr:from>
    <xdr:to>
      <xdr:col>62</xdr:col>
      <xdr:colOff>92940</xdr:colOff>
      <xdr:row>2</xdr:row>
      <xdr:rowOff>83753</xdr:rowOff>
    </xdr:to>
    <xdr:pic>
      <xdr:nvPicPr>
        <xdr:cNvPr id="4" name="Imagem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46010" y="68580"/>
          <a:ext cx="1347470" cy="334645"/>
        </a:xfrm>
        <a:prstGeom prst="rect">
          <a:avLst/>
        </a:prstGeom>
      </xdr:spPr>
    </xdr:pic>
    <xdr:clientData/>
  </xdr:twoCellAnchor>
  <xdr:twoCellAnchor editAs="oneCell">
    <xdr:from>
      <xdr:col>0</xdr:col>
      <xdr:colOff>114017</xdr:colOff>
      <xdr:row>0</xdr:row>
      <xdr:rowOff>97393</xdr:rowOff>
    </xdr:from>
    <xdr:to>
      <xdr:col>8</xdr:col>
      <xdr:colOff>57124</xdr:colOff>
      <xdr:row>2</xdr:row>
      <xdr:rowOff>55793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3665" y="97155"/>
          <a:ext cx="1065530" cy="27813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34</xdr:col>
      <xdr:colOff>16510</xdr:colOff>
      <xdr:row>0</xdr:row>
      <xdr:rowOff>85403</xdr:rowOff>
    </xdr:from>
    <xdr:to>
      <xdr:col>43</xdr:col>
      <xdr:colOff>60919</xdr:colOff>
      <xdr:row>2</xdr:row>
      <xdr:rowOff>91501</xdr:rowOff>
    </xdr:to>
    <xdr:pic>
      <xdr:nvPicPr>
        <xdr:cNvPr id="7" name="Imagem 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87900" y="85090"/>
          <a:ext cx="1306830" cy="326390"/>
        </a:xfrm>
        <a:prstGeom prst="rect">
          <a:avLst/>
        </a:prstGeom>
      </xdr:spPr>
    </xdr:pic>
    <xdr:clientData/>
  </xdr:twoCellAnchor>
  <xdr:twoCellAnchor editAs="oneCell">
    <xdr:from>
      <xdr:col>0</xdr:col>
      <xdr:colOff>105338</xdr:colOff>
      <xdr:row>0</xdr:row>
      <xdr:rowOff>114300</xdr:rowOff>
    </xdr:from>
    <xdr:to>
      <xdr:col>8</xdr:col>
      <xdr:colOff>41039</xdr:colOff>
      <xdr:row>2</xdr:row>
      <xdr:rowOff>73494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4775" y="114300"/>
          <a:ext cx="1058545" cy="27876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82</xdr:col>
      <xdr:colOff>64507</xdr:colOff>
      <xdr:row>0</xdr:row>
      <xdr:rowOff>90375</xdr:rowOff>
    </xdr:from>
    <xdr:to>
      <xdr:col>91</xdr:col>
      <xdr:colOff>110494</xdr:colOff>
      <xdr:row>2</xdr:row>
      <xdr:rowOff>96163</xdr:rowOff>
    </xdr:to>
    <xdr:pic>
      <xdr:nvPicPr>
        <xdr:cNvPr id="5" name="Imagem 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571605" y="90170"/>
          <a:ext cx="1309370" cy="325755"/>
        </a:xfrm>
        <a:prstGeom prst="rect">
          <a:avLst/>
        </a:prstGeom>
      </xdr:spPr>
    </xdr:pic>
    <xdr:clientData/>
  </xdr:twoCellAnchor>
  <xdr:twoCellAnchor editAs="oneCell">
    <xdr:from>
      <xdr:col>0</xdr:col>
      <xdr:colOff>117075</xdr:colOff>
      <xdr:row>0</xdr:row>
      <xdr:rowOff>114431</xdr:rowOff>
    </xdr:from>
    <xdr:to>
      <xdr:col>8</xdr:col>
      <xdr:colOff>55513</xdr:colOff>
      <xdr:row>2</xdr:row>
      <xdr:rowOff>75377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6840" y="114300"/>
          <a:ext cx="1061085" cy="28067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44</xdr:col>
      <xdr:colOff>95543</xdr:colOff>
      <xdr:row>0</xdr:row>
      <xdr:rowOff>68140</xdr:rowOff>
    </xdr:from>
    <xdr:to>
      <xdr:col>53</xdr:col>
      <xdr:colOff>92857</xdr:colOff>
      <xdr:row>1</xdr:row>
      <xdr:rowOff>168403</xdr:rowOff>
    </xdr:to>
    <xdr:pic>
      <xdr:nvPicPr>
        <xdr:cNvPr id="4" name="Imagem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269990" y="67945"/>
          <a:ext cx="1260475" cy="321310"/>
        </a:xfrm>
        <a:prstGeom prst="rect">
          <a:avLst/>
        </a:prstGeom>
      </xdr:spPr>
    </xdr:pic>
    <xdr:clientData/>
  </xdr:twoCellAnchor>
  <xdr:twoCellAnchor editAs="oneCell">
    <xdr:from>
      <xdr:col>0</xdr:col>
      <xdr:colOff>142240</xdr:colOff>
      <xdr:row>0</xdr:row>
      <xdr:rowOff>82501</xdr:rowOff>
    </xdr:from>
    <xdr:to>
      <xdr:col>8</xdr:col>
      <xdr:colOff>1353</xdr:colOff>
      <xdr:row>1</xdr:row>
      <xdr:rowOff>136847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0335" y="81915"/>
          <a:ext cx="983615" cy="27559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82</xdr:col>
      <xdr:colOff>59250</xdr:colOff>
      <xdr:row>0</xdr:row>
      <xdr:rowOff>93820</xdr:rowOff>
    </xdr:from>
    <xdr:to>
      <xdr:col>91</xdr:col>
      <xdr:colOff>95250</xdr:colOff>
      <xdr:row>2</xdr:row>
      <xdr:rowOff>96222</xdr:rowOff>
    </xdr:to>
    <xdr:pic>
      <xdr:nvPicPr>
        <xdr:cNvPr id="5" name="Imagem 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566525" y="93345"/>
          <a:ext cx="1299210" cy="322580"/>
        </a:xfrm>
        <a:prstGeom prst="rect">
          <a:avLst/>
        </a:prstGeom>
      </xdr:spPr>
    </xdr:pic>
    <xdr:clientData/>
  </xdr:twoCellAnchor>
  <xdr:twoCellAnchor editAs="oneCell">
    <xdr:from>
      <xdr:col>0</xdr:col>
      <xdr:colOff>110604</xdr:colOff>
      <xdr:row>0</xdr:row>
      <xdr:rowOff>111672</xdr:rowOff>
    </xdr:from>
    <xdr:to>
      <xdr:col>8</xdr:col>
      <xdr:colOff>58567</xdr:colOff>
      <xdr:row>2</xdr:row>
      <xdr:rowOff>72618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0490" y="111125"/>
          <a:ext cx="1070610" cy="28130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59</xdr:col>
      <xdr:colOff>55440</xdr:colOff>
      <xdr:row>0</xdr:row>
      <xdr:rowOff>90164</xdr:rowOff>
    </xdr:from>
    <xdr:to>
      <xdr:col>68</xdr:col>
      <xdr:colOff>91440</xdr:colOff>
      <xdr:row>2</xdr:row>
      <xdr:rowOff>96069</xdr:rowOff>
    </xdr:to>
    <xdr:pic>
      <xdr:nvPicPr>
        <xdr:cNvPr id="5" name="Imagem 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335010" y="89535"/>
          <a:ext cx="1299210" cy="326390"/>
        </a:xfrm>
        <a:prstGeom prst="rect">
          <a:avLst/>
        </a:prstGeom>
      </xdr:spPr>
    </xdr:pic>
    <xdr:clientData/>
  </xdr:twoCellAnchor>
  <xdr:twoCellAnchor editAs="oneCell">
    <xdr:from>
      <xdr:col>0</xdr:col>
      <xdr:colOff>111087</xdr:colOff>
      <xdr:row>0</xdr:row>
      <xdr:rowOff>97790</xdr:rowOff>
    </xdr:from>
    <xdr:to>
      <xdr:col>8</xdr:col>
      <xdr:colOff>57514</xdr:colOff>
      <xdr:row>2</xdr:row>
      <xdr:rowOff>56984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0490" y="97790"/>
          <a:ext cx="1069340" cy="27876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479620</xdr:colOff>
      <xdr:row>0</xdr:row>
      <xdr:rowOff>122297</xdr:rowOff>
    </xdr:from>
    <xdr:to>
      <xdr:col>11</xdr:col>
      <xdr:colOff>1199515</xdr:colOff>
      <xdr:row>2</xdr:row>
      <xdr:rowOff>98860</xdr:rowOff>
    </xdr:to>
    <xdr:pic>
      <xdr:nvPicPr>
        <xdr:cNvPr id="5" name="Imagem 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094460" y="121920"/>
          <a:ext cx="1327150" cy="357505"/>
        </a:xfrm>
        <a:prstGeom prst="rect">
          <a:avLst/>
        </a:prstGeom>
      </xdr:spPr>
    </xdr:pic>
    <xdr:clientData/>
  </xdr:twoCellAnchor>
  <xdr:twoCellAnchor editAs="oneCell">
    <xdr:from>
      <xdr:col>0</xdr:col>
      <xdr:colOff>139486</xdr:colOff>
      <xdr:row>0</xdr:row>
      <xdr:rowOff>129540</xdr:rowOff>
    </xdr:from>
    <xdr:to>
      <xdr:col>0</xdr:col>
      <xdr:colOff>1241330</xdr:colOff>
      <xdr:row>2</xdr:row>
      <xdr:rowOff>58889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9065" y="129540"/>
          <a:ext cx="1101725" cy="30988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517720</xdr:colOff>
      <xdr:row>0</xdr:row>
      <xdr:rowOff>121345</xdr:rowOff>
    </xdr:from>
    <xdr:to>
      <xdr:col>12</xdr:col>
      <xdr:colOff>0</xdr:colOff>
      <xdr:row>2</xdr:row>
      <xdr:rowOff>97908</xdr:rowOff>
    </xdr:to>
    <xdr:pic>
      <xdr:nvPicPr>
        <xdr:cNvPr id="5" name="Imagem 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065885" y="121285"/>
          <a:ext cx="1326515" cy="357505"/>
        </a:xfrm>
        <a:prstGeom prst="rect">
          <a:avLst/>
        </a:prstGeom>
      </xdr:spPr>
    </xdr:pic>
    <xdr:clientData/>
  </xdr:twoCellAnchor>
  <xdr:twoCellAnchor editAs="oneCell">
    <xdr:from>
      <xdr:col>0</xdr:col>
      <xdr:colOff>143721</xdr:colOff>
      <xdr:row>0</xdr:row>
      <xdr:rowOff>114300</xdr:rowOff>
    </xdr:from>
    <xdr:to>
      <xdr:col>0</xdr:col>
      <xdr:colOff>1240906</xdr:colOff>
      <xdr:row>2</xdr:row>
      <xdr:rowOff>37934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3510" y="114300"/>
          <a:ext cx="1097280" cy="30416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1310640</xdr:colOff>
      <xdr:row>0</xdr:row>
      <xdr:rowOff>120842</xdr:rowOff>
    </xdr:from>
    <xdr:to>
      <xdr:col>5</xdr:col>
      <xdr:colOff>1165665</xdr:colOff>
      <xdr:row>2</xdr:row>
      <xdr:rowOff>96505</xdr:rowOff>
    </xdr:to>
    <xdr:pic>
      <xdr:nvPicPr>
        <xdr:cNvPr id="4" name="Imagem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822180" y="120650"/>
          <a:ext cx="1299210" cy="356235"/>
        </a:xfrm>
        <a:prstGeom prst="rect">
          <a:avLst/>
        </a:prstGeom>
      </xdr:spPr>
    </xdr:pic>
    <xdr:clientData/>
  </xdr:twoCellAnchor>
  <xdr:twoCellAnchor editAs="oneCell">
    <xdr:from>
      <xdr:col>0</xdr:col>
      <xdr:colOff>132115</xdr:colOff>
      <xdr:row>0</xdr:row>
      <xdr:rowOff>114300</xdr:rowOff>
    </xdr:from>
    <xdr:to>
      <xdr:col>0</xdr:col>
      <xdr:colOff>1202982</xdr:colOff>
      <xdr:row>2</xdr:row>
      <xdr:rowOff>36029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2080" y="114300"/>
          <a:ext cx="1070610" cy="30226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201930</xdr:colOff>
      <xdr:row>0</xdr:row>
      <xdr:rowOff>118738</xdr:rowOff>
    </xdr:from>
    <xdr:to>
      <xdr:col>7</xdr:col>
      <xdr:colOff>971355</xdr:colOff>
      <xdr:row>2</xdr:row>
      <xdr:rowOff>92893</xdr:rowOff>
    </xdr:to>
    <xdr:pic>
      <xdr:nvPicPr>
        <xdr:cNvPr id="4" name="Imagem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690745" y="118110"/>
          <a:ext cx="1331595" cy="355600"/>
        </a:xfrm>
        <a:prstGeom prst="rect">
          <a:avLst/>
        </a:prstGeom>
      </xdr:spPr>
    </xdr:pic>
    <xdr:clientData/>
  </xdr:twoCellAnchor>
  <xdr:twoCellAnchor editAs="oneCell">
    <xdr:from>
      <xdr:col>0</xdr:col>
      <xdr:colOff>102515</xdr:colOff>
      <xdr:row>0</xdr:row>
      <xdr:rowOff>129540</xdr:rowOff>
    </xdr:from>
    <xdr:to>
      <xdr:col>1</xdr:col>
      <xdr:colOff>268652</xdr:colOff>
      <xdr:row>2</xdr:row>
      <xdr:rowOff>56984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2235" y="129540"/>
          <a:ext cx="1092200" cy="30797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685800</xdr:colOff>
      <xdr:row>0</xdr:row>
      <xdr:rowOff>114713</xdr:rowOff>
    </xdr:from>
    <xdr:to>
      <xdr:col>10</xdr:col>
      <xdr:colOff>1049460</xdr:colOff>
      <xdr:row>2</xdr:row>
      <xdr:rowOff>93110</xdr:rowOff>
    </xdr:to>
    <xdr:pic>
      <xdr:nvPicPr>
        <xdr:cNvPr id="4" name="Imagem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67830" y="114300"/>
          <a:ext cx="1333500" cy="359410"/>
        </a:xfrm>
        <a:prstGeom prst="rect">
          <a:avLst/>
        </a:prstGeom>
      </xdr:spPr>
    </xdr:pic>
    <xdr:clientData/>
  </xdr:twoCellAnchor>
  <xdr:twoCellAnchor editAs="oneCell">
    <xdr:from>
      <xdr:col>0</xdr:col>
      <xdr:colOff>128481</xdr:colOff>
      <xdr:row>0</xdr:row>
      <xdr:rowOff>125730</xdr:rowOff>
    </xdr:from>
    <xdr:to>
      <xdr:col>1</xdr:col>
      <xdr:colOff>417946</xdr:colOff>
      <xdr:row>2</xdr:row>
      <xdr:rowOff>58889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8270" y="125730"/>
          <a:ext cx="1067435" cy="31369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19050</xdr:colOff>
      <xdr:row>24</xdr:row>
      <xdr:rowOff>0</xdr:rowOff>
    </xdr:from>
    <xdr:to>
      <xdr:col>4</xdr:col>
      <xdr:colOff>0</xdr:colOff>
      <xdr:row>27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525" y="4217670"/>
          <a:ext cx="3848100" cy="571500"/>
        </a:xfrm>
        <a:prstGeom prst="rect">
          <a:avLst/>
        </a:prstGeom>
      </xdr:spPr>
    </xdr:pic>
    <xdr:clientData/>
  </xdr:twoCellAnchor>
  <xdr:twoCellAnchor>
    <xdr:from>
      <xdr:col>5</xdr:col>
      <xdr:colOff>19050</xdr:colOff>
      <xdr:row>24</xdr:row>
      <xdr:rowOff>0</xdr:rowOff>
    </xdr:from>
    <xdr:to>
      <xdr:col>8</xdr:col>
      <xdr:colOff>0</xdr:colOff>
      <xdr:row>27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5150" y="4217670"/>
          <a:ext cx="3848100" cy="571500"/>
        </a:xfrm>
        <a:prstGeom prst="rect">
          <a:avLst/>
        </a:prstGeom>
      </xdr:spPr>
    </xdr:pic>
    <xdr:clientData/>
  </xdr:twoCellAnchor>
  <xdr:twoCellAnchor editAs="oneCell">
    <xdr:from>
      <xdr:col>6</xdr:col>
      <xdr:colOff>1885950</xdr:colOff>
      <xdr:row>0</xdr:row>
      <xdr:rowOff>122531</xdr:rowOff>
    </xdr:from>
    <xdr:to>
      <xdr:col>8</xdr:col>
      <xdr:colOff>209355</xdr:colOff>
      <xdr:row>2</xdr:row>
      <xdr:rowOff>94816</xdr:rowOff>
    </xdr:to>
    <xdr:pic>
      <xdr:nvPicPr>
        <xdr:cNvPr id="7" name="Imagem 6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175500" y="121920"/>
          <a:ext cx="1256665" cy="353695"/>
        </a:xfrm>
        <a:prstGeom prst="rect">
          <a:avLst/>
        </a:prstGeom>
      </xdr:spPr>
    </xdr:pic>
    <xdr:clientData/>
  </xdr:twoCellAnchor>
  <xdr:twoCellAnchor editAs="oneCell">
    <xdr:from>
      <xdr:col>0</xdr:col>
      <xdr:colOff>136101</xdr:colOff>
      <xdr:row>0</xdr:row>
      <xdr:rowOff>102870</xdr:rowOff>
    </xdr:from>
    <xdr:to>
      <xdr:col>2</xdr:col>
      <xdr:colOff>15991</xdr:colOff>
      <xdr:row>2</xdr:row>
      <xdr:rowOff>18884</xdr:rowOff>
    </xdr:to>
    <xdr:pic>
      <xdr:nvPicPr>
        <xdr:cNvPr id="5" name="Imagem 4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5890" y="102870"/>
          <a:ext cx="1057910" cy="29654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59</xdr:col>
      <xdr:colOff>54458</xdr:colOff>
      <xdr:row>0</xdr:row>
      <xdr:rowOff>75985</xdr:rowOff>
    </xdr:from>
    <xdr:to>
      <xdr:col>68</xdr:col>
      <xdr:colOff>76269</xdr:colOff>
      <xdr:row>2</xdr:row>
      <xdr:rowOff>95971</xdr:rowOff>
    </xdr:to>
    <xdr:pic>
      <xdr:nvPicPr>
        <xdr:cNvPr id="5" name="Imagem 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25180" y="75565"/>
          <a:ext cx="1315720" cy="34036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114315</xdr:colOff>
      <xdr:row>0</xdr:row>
      <xdr:rowOff>98535</xdr:rowOff>
    </xdr:from>
    <xdr:to>
      <xdr:col>8</xdr:col>
      <xdr:colOff>58468</xdr:colOff>
      <xdr:row>2</xdr:row>
      <xdr:rowOff>59481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4300" y="98425"/>
          <a:ext cx="1066800" cy="2806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ttps://d.docs.live.net/e7e7bee54c8f8d98/&#193;rea%20de%20Trabalho/OR&#199;AMENTOS%20-%20JF%20ENGENHARIA/PONTE_RIO_PEIXE/Ponte_Planilha%20Or&#231;ament&#225;ria_SD_Concrelaje_R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pa"/>
      <sheetName val="Dados "/>
      <sheetName val="Resumo_Orçamento"/>
      <sheetName val="Orçamento_Inicial"/>
      <sheetName val="Cronograma"/>
      <sheetName val="Histograma_MO"/>
      <sheetName val="Mobilização_MO"/>
      <sheetName val="Histograma_EQP"/>
      <sheetName val="Mobilização_EQP"/>
      <sheetName val="Administração_Local"/>
      <sheetName val="Canteiro-Obras"/>
      <sheetName val="MC_Transporte"/>
      <sheetName val="Composições_SICRO"/>
      <sheetName val="Curva ABC_Serviço"/>
      <sheetName val="Cotações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biblioteca.ibge.gov.br/index.php/biblioteca-catalogo?view=detalhes&amp;id=7242" TargetMode="Externa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AR61"/>
  <sheetViews>
    <sheetView showGridLines="0" tabSelected="1" view="pageBreakPreview" zoomScale="150" zoomScalePageLayoutView="150" zoomScaleNormal="160" workbookViewId="0">
      <selection activeCell="A1" sqref="A1"/>
    </sheetView>
  </sheetViews>
  <sheetFormatPr defaultColWidth="2.1047619047619" defaultRowHeight="12.75" customHeight="1"/>
  <cols>
    <col min="19" max="19" width="2.66666666666667" customWidth="1"/>
    <col min="42" max="42" width="2.66666666666667" customWidth="1"/>
    <col min="44" max="45" width="2.1047619047619" customWidth="1"/>
  </cols>
  <sheetData>
    <row r="4" customHeight="1" spans="1:44">
      <c r="A4" s="1082"/>
      <c r="B4" s="1041"/>
      <c r="C4" s="1041"/>
      <c r="D4" s="1041"/>
      <c r="E4" s="1041"/>
      <c r="F4" s="1041"/>
      <c r="G4" s="1041"/>
      <c r="H4" s="1041"/>
      <c r="I4" s="1041"/>
      <c r="J4" s="1041"/>
      <c r="K4" s="1041"/>
      <c r="L4" s="1041"/>
      <c r="M4" s="1041"/>
      <c r="N4" s="1041"/>
      <c r="O4" s="1041"/>
      <c r="P4" s="1041"/>
      <c r="Q4" s="1041"/>
      <c r="R4" s="1041"/>
      <c r="S4" s="1041"/>
      <c r="T4" s="1041"/>
      <c r="U4" s="1041"/>
      <c r="V4" s="1041"/>
      <c r="W4" s="1041"/>
      <c r="X4" s="1041"/>
      <c r="Y4" s="1041"/>
      <c r="Z4" s="1041"/>
      <c r="AA4" s="1041"/>
      <c r="AB4" s="1041"/>
      <c r="AC4" s="1041"/>
      <c r="AD4" s="1041"/>
      <c r="AE4" s="1041"/>
      <c r="AF4" s="1041"/>
      <c r="AG4" s="1041"/>
      <c r="AH4" s="1041"/>
      <c r="AI4" s="1041"/>
      <c r="AJ4" s="1041"/>
      <c r="AK4" s="1041"/>
      <c r="AL4" s="1041"/>
      <c r="AM4" s="1041"/>
      <c r="AN4" s="1041"/>
      <c r="AO4" s="1041"/>
      <c r="AP4" s="1041"/>
      <c r="AQ4" s="1041"/>
      <c r="AR4" s="1042"/>
    </row>
    <row r="5" customHeight="1" spans="1:44">
      <c r="A5" s="1083"/>
      <c r="AR5" s="1044"/>
    </row>
    <row r="6" customHeight="1" spans="1:44">
      <c r="A6" s="1083"/>
      <c r="AR6" s="1044"/>
    </row>
    <row r="7" customHeight="1" spans="1:44">
      <c r="A7" s="1083"/>
      <c r="AR7" s="1044"/>
    </row>
    <row r="8" customHeight="1" spans="1:44">
      <c r="A8" s="1083"/>
      <c r="AR8" s="1044"/>
    </row>
    <row r="9" customHeight="1" spans="1:44">
      <c r="A9" s="1083"/>
      <c r="D9" s="1537" t="s">
        <v>0</v>
      </c>
      <c r="E9" s="1537"/>
      <c r="F9" s="1537"/>
      <c r="G9" s="1537"/>
      <c r="H9" s="1537"/>
      <c r="I9" s="1537"/>
      <c r="J9" s="1537"/>
      <c r="K9" s="1537"/>
      <c r="L9" s="1537"/>
      <c r="M9" s="1537"/>
      <c r="N9" s="1537"/>
      <c r="O9" s="1537"/>
      <c r="P9" s="1537"/>
      <c r="Q9" s="1537"/>
      <c r="R9" s="1537"/>
      <c r="S9" s="1537"/>
      <c r="T9" s="1537"/>
      <c r="U9" s="1537"/>
      <c r="V9" s="1537"/>
      <c r="W9" s="1537"/>
      <c r="X9" s="1537"/>
      <c r="Y9" s="1537"/>
      <c r="Z9" s="1537"/>
      <c r="AA9" s="1537"/>
      <c r="AB9" s="1537"/>
      <c r="AC9" s="1537"/>
      <c r="AD9" s="1537"/>
      <c r="AE9" s="1537"/>
      <c r="AF9" s="1537"/>
      <c r="AG9" s="1537"/>
      <c r="AH9" s="1537"/>
      <c r="AI9" s="1537"/>
      <c r="AJ9" s="1537"/>
      <c r="AK9" s="1537"/>
      <c r="AL9" s="1537"/>
      <c r="AM9" s="1537"/>
      <c r="AN9" s="1537"/>
      <c r="AO9" s="1537"/>
      <c r="AR9" s="1044"/>
    </row>
    <row r="10" customHeight="1" spans="1:44">
      <c r="A10" s="1083"/>
      <c r="D10" s="1537"/>
      <c r="E10" s="1537"/>
      <c r="F10" s="1537"/>
      <c r="G10" s="1537"/>
      <c r="H10" s="1537"/>
      <c r="I10" s="1537"/>
      <c r="J10" s="1537"/>
      <c r="K10" s="1537"/>
      <c r="L10" s="1537"/>
      <c r="M10" s="1537"/>
      <c r="N10" s="1537"/>
      <c r="O10" s="1537"/>
      <c r="P10" s="1537"/>
      <c r="Q10" s="1537"/>
      <c r="R10" s="1537"/>
      <c r="S10" s="1537"/>
      <c r="T10" s="1537"/>
      <c r="U10" s="1537"/>
      <c r="V10" s="1537"/>
      <c r="W10" s="1537"/>
      <c r="X10" s="1537"/>
      <c r="Y10" s="1537"/>
      <c r="Z10" s="1537"/>
      <c r="AA10" s="1537"/>
      <c r="AB10" s="1537"/>
      <c r="AC10" s="1537"/>
      <c r="AD10" s="1537"/>
      <c r="AE10" s="1537"/>
      <c r="AF10" s="1537"/>
      <c r="AG10" s="1537"/>
      <c r="AH10" s="1537"/>
      <c r="AI10" s="1537"/>
      <c r="AJ10" s="1537"/>
      <c r="AK10" s="1537"/>
      <c r="AL10" s="1537"/>
      <c r="AM10" s="1537"/>
      <c r="AN10" s="1537"/>
      <c r="AO10" s="1537"/>
      <c r="AR10" s="1044"/>
    </row>
    <row r="11" customHeight="1" spans="1:44">
      <c r="A11" s="1083"/>
      <c r="AR11" s="1044"/>
    </row>
    <row r="12" customHeight="1" spans="1:44">
      <c r="A12" s="1083"/>
      <c r="AR12" s="1044"/>
    </row>
    <row r="13" customHeight="1" spans="1:44">
      <c r="A13" s="1083"/>
      <c r="AR13" s="1044"/>
    </row>
    <row r="14" customHeight="1" spans="1:44">
      <c r="A14" s="1083"/>
      <c r="AR14" s="1044"/>
    </row>
    <row r="15" customHeight="1" spans="1:44">
      <c r="A15" s="1083"/>
      <c r="AR15" s="1044"/>
    </row>
    <row r="16" customHeight="1" spans="1:44">
      <c r="A16" s="1083"/>
      <c r="AR16" s="1044"/>
    </row>
    <row r="17" customHeight="1" spans="1:44">
      <c r="A17" s="1083"/>
      <c r="AR17" s="1044"/>
    </row>
    <row r="18" customHeight="1" spans="1:44">
      <c r="A18" s="1083"/>
      <c r="AR18" s="1044"/>
    </row>
    <row r="19" customHeight="1" spans="1:44">
      <c r="A19" s="1083"/>
      <c r="AR19" s="1044"/>
    </row>
    <row r="20" customHeight="1" spans="1:44">
      <c r="A20" s="1083"/>
      <c r="AR20" s="1044"/>
    </row>
    <row r="21" customHeight="1" spans="1:44">
      <c r="A21" s="1083"/>
      <c r="AR21" s="1044"/>
    </row>
    <row r="22" customHeight="1" spans="1:44">
      <c r="A22" s="1083"/>
      <c r="AR22" s="1044"/>
    </row>
    <row r="23" customHeight="1" spans="1:44">
      <c r="A23" s="1083"/>
      <c r="AR23" s="1044"/>
    </row>
    <row r="24" customHeight="1" spans="1:44">
      <c r="A24" s="1083"/>
      <c r="D24" s="1538" t="s">
        <v>1</v>
      </c>
      <c r="E24" s="1538"/>
      <c r="F24" s="1538"/>
      <c r="G24" s="1538"/>
      <c r="H24" s="1538"/>
      <c r="I24" s="1538"/>
      <c r="J24" s="1538"/>
      <c r="K24" s="1538"/>
      <c r="L24" s="1538"/>
      <c r="M24" s="1538"/>
      <c r="N24" s="1538"/>
      <c r="O24" s="1538"/>
      <c r="P24" s="1538"/>
      <c r="Q24" s="1538"/>
      <c r="R24" s="1538"/>
      <c r="S24" s="1538"/>
      <c r="T24" s="1538"/>
      <c r="U24" s="1538"/>
      <c r="V24" s="1538"/>
      <c r="W24" s="1538"/>
      <c r="X24" s="1538"/>
      <c r="Y24" s="1538"/>
      <c r="Z24" s="1538"/>
      <c r="AA24" s="1538"/>
      <c r="AB24" s="1538"/>
      <c r="AC24" s="1538"/>
      <c r="AD24" s="1538"/>
      <c r="AE24" s="1538"/>
      <c r="AF24" s="1538"/>
      <c r="AG24" s="1538"/>
      <c r="AH24" s="1538"/>
      <c r="AI24" s="1538"/>
      <c r="AJ24" s="1538"/>
      <c r="AK24" s="1538"/>
      <c r="AL24" s="1538"/>
      <c r="AM24" s="1538"/>
      <c r="AN24" s="1538"/>
      <c r="AO24" s="1538"/>
      <c r="AR24" s="1044"/>
    </row>
    <row r="25" customHeight="1" spans="1:44">
      <c r="A25" s="1083"/>
      <c r="D25" s="1538"/>
      <c r="E25" s="1538"/>
      <c r="F25" s="1538"/>
      <c r="G25" s="1538"/>
      <c r="H25" s="1538"/>
      <c r="I25" s="1538"/>
      <c r="J25" s="1538"/>
      <c r="K25" s="1538"/>
      <c r="L25" s="1538"/>
      <c r="M25" s="1538"/>
      <c r="N25" s="1538"/>
      <c r="O25" s="1538"/>
      <c r="P25" s="1538"/>
      <c r="Q25" s="1538"/>
      <c r="R25" s="1538"/>
      <c r="S25" s="1538"/>
      <c r="T25" s="1538"/>
      <c r="U25" s="1538"/>
      <c r="V25" s="1538"/>
      <c r="W25" s="1538"/>
      <c r="X25" s="1538"/>
      <c r="Y25" s="1538"/>
      <c r="Z25" s="1538"/>
      <c r="AA25" s="1538"/>
      <c r="AB25" s="1538"/>
      <c r="AC25" s="1538"/>
      <c r="AD25" s="1538"/>
      <c r="AE25" s="1538"/>
      <c r="AF25" s="1538"/>
      <c r="AG25" s="1538"/>
      <c r="AH25" s="1538"/>
      <c r="AI25" s="1538"/>
      <c r="AJ25" s="1538"/>
      <c r="AK25" s="1538"/>
      <c r="AL25" s="1538"/>
      <c r="AM25" s="1538"/>
      <c r="AN25" s="1538"/>
      <c r="AO25" s="1538"/>
      <c r="AR25" s="1044"/>
    </row>
    <row r="26" customHeight="1" spans="1:44">
      <c r="A26" s="1083"/>
      <c r="D26" s="1538"/>
      <c r="E26" s="1538"/>
      <c r="F26" s="1538"/>
      <c r="G26" s="1538"/>
      <c r="H26" s="1538"/>
      <c r="I26" s="1538"/>
      <c r="J26" s="1538"/>
      <c r="K26" s="1538"/>
      <c r="L26" s="1538"/>
      <c r="M26" s="1538"/>
      <c r="N26" s="1538"/>
      <c r="O26" s="1538"/>
      <c r="P26" s="1538"/>
      <c r="Q26" s="1538"/>
      <c r="R26" s="1538"/>
      <c r="S26" s="1538"/>
      <c r="T26" s="1538"/>
      <c r="U26" s="1538"/>
      <c r="V26" s="1538"/>
      <c r="W26" s="1538"/>
      <c r="X26" s="1538"/>
      <c r="Y26" s="1538"/>
      <c r="Z26" s="1538"/>
      <c r="AA26" s="1538"/>
      <c r="AB26" s="1538"/>
      <c r="AC26" s="1538"/>
      <c r="AD26" s="1538"/>
      <c r="AE26" s="1538"/>
      <c r="AF26" s="1538"/>
      <c r="AG26" s="1538"/>
      <c r="AH26" s="1538"/>
      <c r="AI26" s="1538"/>
      <c r="AJ26" s="1538"/>
      <c r="AK26" s="1538"/>
      <c r="AL26" s="1538"/>
      <c r="AM26" s="1538"/>
      <c r="AN26" s="1538"/>
      <c r="AO26" s="1538"/>
      <c r="AR26" s="1044"/>
    </row>
    <row r="27" customHeight="1" spans="1:44">
      <c r="A27" s="1083"/>
      <c r="D27" s="1538"/>
      <c r="E27" s="1538"/>
      <c r="F27" s="1538"/>
      <c r="G27" s="1538"/>
      <c r="H27" s="1538"/>
      <c r="I27" s="1538"/>
      <c r="J27" s="1538"/>
      <c r="K27" s="1538"/>
      <c r="L27" s="1538"/>
      <c r="M27" s="1538"/>
      <c r="N27" s="1538"/>
      <c r="O27" s="1538"/>
      <c r="P27" s="1538"/>
      <c r="Q27" s="1538"/>
      <c r="R27" s="1538"/>
      <c r="S27" s="1538"/>
      <c r="T27" s="1538"/>
      <c r="U27" s="1538"/>
      <c r="V27" s="1538"/>
      <c r="W27" s="1538"/>
      <c r="X27" s="1538"/>
      <c r="Y27" s="1538"/>
      <c r="Z27" s="1538"/>
      <c r="AA27" s="1538"/>
      <c r="AB27" s="1538"/>
      <c r="AC27" s="1538"/>
      <c r="AD27" s="1538"/>
      <c r="AE27" s="1538"/>
      <c r="AF27" s="1538"/>
      <c r="AG27" s="1538"/>
      <c r="AH27" s="1538"/>
      <c r="AI27" s="1538"/>
      <c r="AJ27" s="1538"/>
      <c r="AK27" s="1538"/>
      <c r="AL27" s="1538"/>
      <c r="AM27" s="1538"/>
      <c r="AN27" s="1538"/>
      <c r="AO27" s="1538"/>
      <c r="AR27" s="1044"/>
    </row>
    <row r="28" customHeight="1" spans="1:44">
      <c r="A28" s="1083"/>
      <c r="D28" s="1538"/>
      <c r="E28" s="1538"/>
      <c r="F28" s="1538"/>
      <c r="G28" s="1538"/>
      <c r="H28" s="1538"/>
      <c r="I28" s="1538"/>
      <c r="J28" s="1538"/>
      <c r="K28" s="1538"/>
      <c r="L28" s="1538"/>
      <c r="M28" s="1538"/>
      <c r="N28" s="1538"/>
      <c r="O28" s="1538"/>
      <c r="P28" s="1538"/>
      <c r="Q28" s="1538"/>
      <c r="R28" s="1538"/>
      <c r="S28" s="1538"/>
      <c r="T28" s="1538"/>
      <c r="U28" s="1538"/>
      <c r="V28" s="1538"/>
      <c r="W28" s="1538"/>
      <c r="X28" s="1538"/>
      <c r="Y28" s="1538"/>
      <c r="Z28" s="1538"/>
      <c r="AA28" s="1538"/>
      <c r="AB28" s="1538"/>
      <c r="AC28" s="1538"/>
      <c r="AD28" s="1538"/>
      <c r="AE28" s="1538"/>
      <c r="AF28" s="1538"/>
      <c r="AG28" s="1538"/>
      <c r="AH28" s="1538"/>
      <c r="AI28" s="1538"/>
      <c r="AJ28" s="1538"/>
      <c r="AK28" s="1538"/>
      <c r="AL28" s="1538"/>
      <c r="AM28" s="1538"/>
      <c r="AN28" s="1538"/>
      <c r="AO28" s="1538"/>
      <c r="AR28" s="1044"/>
    </row>
    <row r="29" customHeight="1" spans="1:44">
      <c r="A29" s="1083"/>
      <c r="D29" s="1538"/>
      <c r="E29" s="1538"/>
      <c r="F29" s="1538"/>
      <c r="G29" s="1538"/>
      <c r="H29" s="1538"/>
      <c r="I29" s="1538"/>
      <c r="J29" s="1538"/>
      <c r="K29" s="1538"/>
      <c r="L29" s="1538"/>
      <c r="M29" s="1538"/>
      <c r="N29" s="1538"/>
      <c r="O29" s="1538"/>
      <c r="P29" s="1538"/>
      <c r="Q29" s="1538"/>
      <c r="R29" s="1538"/>
      <c r="S29" s="1538"/>
      <c r="T29" s="1538"/>
      <c r="U29" s="1538"/>
      <c r="V29" s="1538"/>
      <c r="W29" s="1538"/>
      <c r="X29" s="1538"/>
      <c r="Y29" s="1538"/>
      <c r="Z29" s="1538"/>
      <c r="AA29" s="1538"/>
      <c r="AB29" s="1538"/>
      <c r="AC29" s="1538"/>
      <c r="AD29" s="1538"/>
      <c r="AE29" s="1538"/>
      <c r="AF29" s="1538"/>
      <c r="AG29" s="1538"/>
      <c r="AH29" s="1538"/>
      <c r="AI29" s="1538"/>
      <c r="AJ29" s="1538"/>
      <c r="AK29" s="1538"/>
      <c r="AL29" s="1538"/>
      <c r="AM29" s="1538"/>
      <c r="AN29" s="1538"/>
      <c r="AO29" s="1538"/>
      <c r="AR29" s="1044"/>
    </row>
    <row r="30" customHeight="1" spans="1:44">
      <c r="A30" s="1083"/>
      <c r="D30" s="1538"/>
      <c r="E30" s="1538"/>
      <c r="F30" s="1538"/>
      <c r="G30" s="1538"/>
      <c r="H30" s="1538"/>
      <c r="I30" s="1538"/>
      <c r="J30" s="1538"/>
      <c r="K30" s="1538"/>
      <c r="L30" s="1538"/>
      <c r="M30" s="1538"/>
      <c r="N30" s="1538"/>
      <c r="O30" s="1538"/>
      <c r="P30" s="1538"/>
      <c r="Q30" s="1538"/>
      <c r="R30" s="1538"/>
      <c r="S30" s="1538"/>
      <c r="T30" s="1538"/>
      <c r="U30" s="1538"/>
      <c r="V30" s="1538"/>
      <c r="W30" s="1538"/>
      <c r="X30" s="1538"/>
      <c r="Y30" s="1538"/>
      <c r="Z30" s="1538"/>
      <c r="AA30" s="1538"/>
      <c r="AB30" s="1538"/>
      <c r="AC30" s="1538"/>
      <c r="AD30" s="1538"/>
      <c r="AE30" s="1538"/>
      <c r="AF30" s="1538"/>
      <c r="AG30" s="1538"/>
      <c r="AH30" s="1538"/>
      <c r="AI30" s="1538"/>
      <c r="AJ30" s="1538"/>
      <c r="AK30" s="1538"/>
      <c r="AL30" s="1538"/>
      <c r="AM30" s="1538"/>
      <c r="AN30" s="1538"/>
      <c r="AO30" s="1538"/>
      <c r="AR30" s="1044"/>
    </row>
    <row r="31" customHeight="1" spans="1:44">
      <c r="A31" s="1083"/>
      <c r="D31" s="1538"/>
      <c r="E31" s="1538"/>
      <c r="F31" s="1538"/>
      <c r="G31" s="1538"/>
      <c r="H31" s="1538"/>
      <c r="I31" s="1538"/>
      <c r="J31" s="1538"/>
      <c r="K31" s="1538"/>
      <c r="L31" s="1538"/>
      <c r="M31" s="1538"/>
      <c r="N31" s="1538"/>
      <c r="O31" s="1538"/>
      <c r="P31" s="1538"/>
      <c r="Q31" s="1538"/>
      <c r="R31" s="1538"/>
      <c r="S31" s="1538"/>
      <c r="T31" s="1538"/>
      <c r="U31" s="1538"/>
      <c r="V31" s="1538"/>
      <c r="W31" s="1538"/>
      <c r="X31" s="1538"/>
      <c r="Y31" s="1538"/>
      <c r="Z31" s="1538"/>
      <c r="AA31" s="1538"/>
      <c r="AB31" s="1538"/>
      <c r="AC31" s="1538"/>
      <c r="AD31" s="1538"/>
      <c r="AE31" s="1538"/>
      <c r="AF31" s="1538"/>
      <c r="AG31" s="1538"/>
      <c r="AH31" s="1538"/>
      <c r="AI31" s="1538"/>
      <c r="AJ31" s="1538"/>
      <c r="AK31" s="1538"/>
      <c r="AL31" s="1538"/>
      <c r="AM31" s="1538"/>
      <c r="AN31" s="1538"/>
      <c r="AO31" s="1538"/>
      <c r="AR31" s="1044"/>
    </row>
    <row r="32" customHeight="1" spans="1:44">
      <c r="A32" s="1083"/>
      <c r="D32" s="1538"/>
      <c r="E32" s="1538"/>
      <c r="F32" s="1538"/>
      <c r="G32" s="1538"/>
      <c r="H32" s="1538"/>
      <c r="I32" s="1538"/>
      <c r="J32" s="1538"/>
      <c r="K32" s="1538"/>
      <c r="L32" s="1538"/>
      <c r="M32" s="1538"/>
      <c r="N32" s="1538"/>
      <c r="O32" s="1538"/>
      <c r="P32" s="1538"/>
      <c r="Q32" s="1538"/>
      <c r="R32" s="1538"/>
      <c r="S32" s="1538"/>
      <c r="T32" s="1538"/>
      <c r="U32" s="1538"/>
      <c r="V32" s="1538"/>
      <c r="W32" s="1538"/>
      <c r="X32" s="1538"/>
      <c r="Y32" s="1538"/>
      <c r="Z32" s="1538"/>
      <c r="AA32" s="1538"/>
      <c r="AB32" s="1538"/>
      <c r="AC32" s="1538"/>
      <c r="AD32" s="1538"/>
      <c r="AE32" s="1538"/>
      <c r="AF32" s="1538"/>
      <c r="AG32" s="1538"/>
      <c r="AH32" s="1538"/>
      <c r="AI32" s="1538"/>
      <c r="AJ32" s="1538"/>
      <c r="AK32" s="1538"/>
      <c r="AL32" s="1538"/>
      <c r="AM32" s="1538"/>
      <c r="AN32" s="1538"/>
      <c r="AO32" s="1538"/>
      <c r="AR32" s="1044"/>
    </row>
    <row r="33" customHeight="1" spans="1:44">
      <c r="A33" s="1083"/>
      <c r="D33" s="1538"/>
      <c r="E33" s="1538"/>
      <c r="F33" s="1538"/>
      <c r="G33" s="1538"/>
      <c r="H33" s="1538"/>
      <c r="I33" s="1538"/>
      <c r="J33" s="1538"/>
      <c r="K33" s="1538"/>
      <c r="L33" s="1538"/>
      <c r="M33" s="1538"/>
      <c r="N33" s="1538"/>
      <c r="O33" s="1538"/>
      <c r="P33" s="1538"/>
      <c r="Q33" s="1538"/>
      <c r="R33" s="1538"/>
      <c r="S33" s="1538"/>
      <c r="T33" s="1538"/>
      <c r="U33" s="1538"/>
      <c r="V33" s="1538"/>
      <c r="W33" s="1538"/>
      <c r="X33" s="1538"/>
      <c r="Y33" s="1538"/>
      <c r="Z33" s="1538"/>
      <c r="AA33" s="1538"/>
      <c r="AB33" s="1538"/>
      <c r="AC33" s="1538"/>
      <c r="AD33" s="1538"/>
      <c r="AE33" s="1538"/>
      <c r="AF33" s="1538"/>
      <c r="AG33" s="1538"/>
      <c r="AH33" s="1538"/>
      <c r="AI33" s="1538"/>
      <c r="AJ33" s="1538"/>
      <c r="AK33" s="1538"/>
      <c r="AL33" s="1538"/>
      <c r="AM33" s="1538"/>
      <c r="AN33" s="1538"/>
      <c r="AO33" s="1538"/>
      <c r="AR33" s="1044"/>
    </row>
    <row r="34" customHeight="1" spans="1:44">
      <c r="A34" s="1083"/>
      <c r="D34" s="1538"/>
      <c r="E34" s="1538"/>
      <c r="F34" s="1538"/>
      <c r="G34" s="1538"/>
      <c r="H34" s="1538"/>
      <c r="I34" s="1538"/>
      <c r="J34" s="1538"/>
      <c r="K34" s="1538"/>
      <c r="L34" s="1538"/>
      <c r="M34" s="1538"/>
      <c r="N34" s="1538"/>
      <c r="O34" s="1538"/>
      <c r="P34" s="1538"/>
      <c r="Q34" s="1538"/>
      <c r="R34" s="1538"/>
      <c r="S34" s="1538"/>
      <c r="T34" s="1538"/>
      <c r="U34" s="1538"/>
      <c r="V34" s="1538"/>
      <c r="W34" s="1538"/>
      <c r="X34" s="1538"/>
      <c r="Y34" s="1538"/>
      <c r="Z34" s="1538"/>
      <c r="AA34" s="1538"/>
      <c r="AB34" s="1538"/>
      <c r="AC34" s="1538"/>
      <c r="AD34" s="1538"/>
      <c r="AE34" s="1538"/>
      <c r="AF34" s="1538"/>
      <c r="AG34" s="1538"/>
      <c r="AH34" s="1538"/>
      <c r="AI34" s="1538"/>
      <c r="AJ34" s="1538"/>
      <c r="AK34" s="1538"/>
      <c r="AL34" s="1538"/>
      <c r="AM34" s="1538"/>
      <c r="AN34" s="1538"/>
      <c r="AO34" s="1538"/>
      <c r="AR34" s="1044"/>
    </row>
    <row r="35" customHeight="1" spans="1:44">
      <c r="A35" s="1083"/>
      <c r="D35" s="1538"/>
      <c r="E35" s="1538"/>
      <c r="F35" s="1538"/>
      <c r="G35" s="1538"/>
      <c r="H35" s="1538"/>
      <c r="I35" s="1538"/>
      <c r="J35" s="1538"/>
      <c r="K35" s="1538"/>
      <c r="L35" s="1538"/>
      <c r="M35" s="1538"/>
      <c r="N35" s="1538"/>
      <c r="O35" s="1538"/>
      <c r="P35" s="1538"/>
      <c r="Q35" s="1538"/>
      <c r="R35" s="1538"/>
      <c r="S35" s="1538"/>
      <c r="T35" s="1538"/>
      <c r="U35" s="1538"/>
      <c r="V35" s="1538"/>
      <c r="W35" s="1538"/>
      <c r="X35" s="1538"/>
      <c r="Y35" s="1538"/>
      <c r="Z35" s="1538"/>
      <c r="AA35" s="1538"/>
      <c r="AB35" s="1538"/>
      <c r="AC35" s="1538"/>
      <c r="AD35" s="1538"/>
      <c r="AE35" s="1538"/>
      <c r="AF35" s="1538"/>
      <c r="AG35" s="1538"/>
      <c r="AH35" s="1538"/>
      <c r="AI35" s="1538"/>
      <c r="AJ35" s="1538"/>
      <c r="AK35" s="1538"/>
      <c r="AL35" s="1538"/>
      <c r="AM35" s="1538"/>
      <c r="AN35" s="1538"/>
      <c r="AO35" s="1538"/>
      <c r="AR35" s="1044"/>
    </row>
    <row r="36" customHeight="1" spans="1:44">
      <c r="A36" s="1083"/>
      <c r="D36" s="1538"/>
      <c r="E36" s="1538"/>
      <c r="F36" s="1538"/>
      <c r="G36" s="1538"/>
      <c r="H36" s="1538"/>
      <c r="I36" s="1538"/>
      <c r="J36" s="1538"/>
      <c r="K36" s="1538"/>
      <c r="L36" s="1538"/>
      <c r="M36" s="1538"/>
      <c r="N36" s="1538"/>
      <c r="O36" s="1538"/>
      <c r="P36" s="1538"/>
      <c r="Q36" s="1538"/>
      <c r="R36" s="1538"/>
      <c r="S36" s="1538"/>
      <c r="T36" s="1538"/>
      <c r="U36" s="1538"/>
      <c r="V36" s="1538"/>
      <c r="W36" s="1538"/>
      <c r="X36" s="1538"/>
      <c r="Y36" s="1538"/>
      <c r="Z36" s="1538"/>
      <c r="AA36" s="1538"/>
      <c r="AB36" s="1538"/>
      <c r="AC36" s="1538"/>
      <c r="AD36" s="1538"/>
      <c r="AE36" s="1538"/>
      <c r="AF36" s="1538"/>
      <c r="AG36" s="1538"/>
      <c r="AH36" s="1538"/>
      <c r="AI36" s="1538"/>
      <c r="AJ36" s="1538"/>
      <c r="AK36" s="1538"/>
      <c r="AL36" s="1538"/>
      <c r="AM36" s="1538"/>
      <c r="AN36" s="1538"/>
      <c r="AO36" s="1538"/>
      <c r="AR36" s="1044"/>
    </row>
    <row r="37" customHeight="1" spans="1:44">
      <c r="A37" s="1083"/>
      <c r="D37" s="1538"/>
      <c r="E37" s="1538"/>
      <c r="F37" s="1538"/>
      <c r="G37" s="1538"/>
      <c r="H37" s="1538"/>
      <c r="I37" s="1538"/>
      <c r="J37" s="1538"/>
      <c r="K37" s="1538"/>
      <c r="L37" s="1538"/>
      <c r="M37" s="1538"/>
      <c r="N37" s="1538"/>
      <c r="O37" s="1538"/>
      <c r="P37" s="1538"/>
      <c r="Q37" s="1538"/>
      <c r="R37" s="1538"/>
      <c r="S37" s="1538"/>
      <c r="T37" s="1538"/>
      <c r="U37" s="1538"/>
      <c r="V37" s="1538"/>
      <c r="W37" s="1538"/>
      <c r="X37" s="1538"/>
      <c r="Y37" s="1538"/>
      <c r="Z37" s="1538"/>
      <c r="AA37" s="1538"/>
      <c r="AB37" s="1538"/>
      <c r="AC37" s="1538"/>
      <c r="AD37" s="1538"/>
      <c r="AE37" s="1538"/>
      <c r="AF37" s="1538"/>
      <c r="AG37" s="1538"/>
      <c r="AH37" s="1538"/>
      <c r="AI37" s="1538"/>
      <c r="AJ37" s="1538"/>
      <c r="AK37" s="1538"/>
      <c r="AL37" s="1538"/>
      <c r="AM37" s="1538"/>
      <c r="AN37" s="1538"/>
      <c r="AO37" s="1538"/>
      <c r="AR37" s="1044"/>
    </row>
    <row r="38" customHeight="1" spans="1:44">
      <c r="A38" s="1083"/>
      <c r="D38" s="1538"/>
      <c r="E38" s="1538"/>
      <c r="F38" s="1538"/>
      <c r="G38" s="1538"/>
      <c r="H38" s="1538"/>
      <c r="I38" s="1538"/>
      <c r="J38" s="1538"/>
      <c r="K38" s="1538"/>
      <c r="L38" s="1538"/>
      <c r="M38" s="1538"/>
      <c r="N38" s="1538"/>
      <c r="O38" s="1538"/>
      <c r="P38" s="1538"/>
      <c r="Q38" s="1538"/>
      <c r="R38" s="1538"/>
      <c r="S38" s="1538"/>
      <c r="T38" s="1538"/>
      <c r="U38" s="1538"/>
      <c r="V38" s="1538"/>
      <c r="W38" s="1538"/>
      <c r="X38" s="1538"/>
      <c r="Y38" s="1538"/>
      <c r="Z38" s="1538"/>
      <c r="AA38" s="1538"/>
      <c r="AB38" s="1538"/>
      <c r="AC38" s="1538"/>
      <c r="AD38" s="1538"/>
      <c r="AE38" s="1538"/>
      <c r="AF38" s="1538"/>
      <c r="AG38" s="1538"/>
      <c r="AH38" s="1538"/>
      <c r="AI38" s="1538"/>
      <c r="AJ38" s="1538"/>
      <c r="AK38" s="1538"/>
      <c r="AL38" s="1538"/>
      <c r="AM38" s="1538"/>
      <c r="AN38" s="1538"/>
      <c r="AO38" s="1538"/>
      <c r="AR38" s="1044"/>
    </row>
    <row r="39" customHeight="1" spans="1:44">
      <c r="A39" s="1083"/>
      <c r="D39" s="1538"/>
      <c r="E39" s="1538"/>
      <c r="F39" s="1538"/>
      <c r="G39" s="1538"/>
      <c r="H39" s="1538"/>
      <c r="I39" s="1538"/>
      <c r="J39" s="1538"/>
      <c r="K39" s="1538"/>
      <c r="L39" s="1538"/>
      <c r="M39" s="1538"/>
      <c r="N39" s="1538"/>
      <c r="O39" s="1538"/>
      <c r="P39" s="1538"/>
      <c r="Q39" s="1538"/>
      <c r="R39" s="1538"/>
      <c r="S39" s="1538"/>
      <c r="T39" s="1538"/>
      <c r="U39" s="1538"/>
      <c r="V39" s="1538"/>
      <c r="W39" s="1538"/>
      <c r="X39" s="1538"/>
      <c r="Y39" s="1538"/>
      <c r="Z39" s="1538"/>
      <c r="AA39" s="1538"/>
      <c r="AB39" s="1538"/>
      <c r="AC39" s="1538"/>
      <c r="AD39" s="1538"/>
      <c r="AE39" s="1538"/>
      <c r="AF39" s="1538"/>
      <c r="AG39" s="1538"/>
      <c r="AH39" s="1538"/>
      <c r="AI39" s="1538"/>
      <c r="AJ39" s="1538"/>
      <c r="AK39" s="1538"/>
      <c r="AL39" s="1538"/>
      <c r="AM39" s="1538"/>
      <c r="AN39" s="1538"/>
      <c r="AO39" s="1538"/>
      <c r="AR39" s="1044"/>
    </row>
    <row r="40" customHeight="1" spans="1:44">
      <c r="A40" s="1083"/>
      <c r="D40" s="1539"/>
      <c r="E40" s="1539"/>
      <c r="F40" s="1539"/>
      <c r="G40" s="1539"/>
      <c r="H40" s="1539"/>
      <c r="I40" s="1539"/>
      <c r="J40" s="1539"/>
      <c r="K40" s="1539"/>
      <c r="L40" s="1539"/>
      <c r="M40" s="1539"/>
      <c r="N40" s="1539"/>
      <c r="O40" s="1539"/>
      <c r="P40" s="1539"/>
      <c r="Q40" s="1539"/>
      <c r="R40" s="1539"/>
      <c r="S40" s="1539"/>
      <c r="T40" s="1539"/>
      <c r="U40" s="1539"/>
      <c r="V40" s="1539"/>
      <c r="W40" s="1539"/>
      <c r="X40" s="1539"/>
      <c r="Y40" s="1539"/>
      <c r="Z40" s="1539"/>
      <c r="AA40" s="1539"/>
      <c r="AB40" s="1539"/>
      <c r="AC40" s="1539"/>
      <c r="AD40" s="1539"/>
      <c r="AE40" s="1539"/>
      <c r="AF40" s="1539"/>
      <c r="AG40" s="1539"/>
      <c r="AH40" s="1539"/>
      <c r="AI40" s="1539"/>
      <c r="AJ40" s="1539"/>
      <c r="AK40" s="1539"/>
      <c r="AL40" s="1539"/>
      <c r="AM40" s="1539"/>
      <c r="AR40" s="1044"/>
    </row>
    <row r="41" customHeight="1" spans="1:44">
      <c r="A41" s="1083"/>
      <c r="D41" s="1539"/>
      <c r="E41" s="1539"/>
      <c r="F41" s="1539"/>
      <c r="G41" s="1539"/>
      <c r="H41" s="1539"/>
      <c r="I41" s="1539"/>
      <c r="J41" s="1539"/>
      <c r="K41" s="1539"/>
      <c r="L41" s="1539"/>
      <c r="M41" s="1539"/>
      <c r="N41" s="1539"/>
      <c r="O41" s="1539"/>
      <c r="P41" s="1539"/>
      <c r="Q41" s="1539"/>
      <c r="R41" s="1539"/>
      <c r="S41" s="1539"/>
      <c r="T41" s="1539"/>
      <c r="U41" s="1539"/>
      <c r="V41" s="1539"/>
      <c r="W41" s="1539"/>
      <c r="X41" s="1539"/>
      <c r="Y41" s="1539"/>
      <c r="Z41" s="1539"/>
      <c r="AA41" s="1539"/>
      <c r="AB41" s="1539"/>
      <c r="AC41" s="1539"/>
      <c r="AD41" s="1539"/>
      <c r="AE41" s="1539"/>
      <c r="AF41" s="1539"/>
      <c r="AG41" s="1539"/>
      <c r="AH41" s="1539"/>
      <c r="AI41" s="1539"/>
      <c r="AJ41" s="1539"/>
      <c r="AK41" s="1539"/>
      <c r="AL41" s="1539"/>
      <c r="AM41" s="1539"/>
      <c r="AR41" s="1044"/>
    </row>
    <row r="42" customHeight="1" spans="1:44">
      <c r="A42" s="1083"/>
      <c r="D42" s="1539"/>
      <c r="E42" s="1539"/>
      <c r="F42" s="1539"/>
      <c r="G42" s="1539"/>
      <c r="H42" s="1539"/>
      <c r="I42" s="1539"/>
      <c r="J42" s="1539"/>
      <c r="K42" s="1539"/>
      <c r="L42" s="1539"/>
      <c r="M42" s="1539"/>
      <c r="N42" s="1539"/>
      <c r="O42" s="1539"/>
      <c r="P42" s="1539"/>
      <c r="Q42" s="1539"/>
      <c r="R42" s="1539"/>
      <c r="S42" s="1539"/>
      <c r="T42" s="1539"/>
      <c r="U42" s="1539"/>
      <c r="V42" s="1539"/>
      <c r="W42" s="1539"/>
      <c r="X42" s="1539"/>
      <c r="Y42" s="1539"/>
      <c r="Z42" s="1539"/>
      <c r="AA42" s="1539"/>
      <c r="AB42" s="1539"/>
      <c r="AC42" s="1539"/>
      <c r="AD42" s="1539"/>
      <c r="AE42" s="1539"/>
      <c r="AF42" s="1539"/>
      <c r="AG42" s="1539"/>
      <c r="AH42" s="1539"/>
      <c r="AI42" s="1539"/>
      <c r="AJ42" s="1539"/>
      <c r="AK42" s="1539"/>
      <c r="AL42" s="1539"/>
      <c r="AM42" s="1539"/>
      <c r="AR42" s="1044"/>
    </row>
    <row r="43" customHeight="1" spans="1:44">
      <c r="A43" s="1083"/>
      <c r="D43" s="1539"/>
      <c r="E43" s="1539"/>
      <c r="F43" s="1539"/>
      <c r="G43" s="1539"/>
      <c r="H43" s="1539"/>
      <c r="I43" s="1539"/>
      <c r="J43" s="1539"/>
      <c r="K43" s="1539"/>
      <c r="L43" s="1539"/>
      <c r="M43" s="1539"/>
      <c r="N43" s="1539"/>
      <c r="O43" s="1539"/>
      <c r="P43" s="1539"/>
      <c r="Q43" s="1539"/>
      <c r="R43" s="1539"/>
      <c r="S43" s="1539"/>
      <c r="T43" s="1539"/>
      <c r="U43" s="1539"/>
      <c r="V43" s="1539"/>
      <c r="W43" s="1539"/>
      <c r="X43" s="1539"/>
      <c r="Y43" s="1539"/>
      <c r="Z43" s="1539"/>
      <c r="AA43" s="1539"/>
      <c r="AB43" s="1539"/>
      <c r="AC43" s="1539"/>
      <c r="AD43" s="1539"/>
      <c r="AE43" s="1539"/>
      <c r="AF43" s="1539"/>
      <c r="AG43" s="1539"/>
      <c r="AH43" s="1539"/>
      <c r="AI43" s="1539"/>
      <c r="AJ43" s="1539"/>
      <c r="AK43" s="1539"/>
      <c r="AL43" s="1539"/>
      <c r="AM43" s="1539"/>
      <c r="AR43" s="1044"/>
    </row>
    <row r="44" customHeight="1" spans="1:44">
      <c r="A44" s="1083"/>
      <c r="D44" s="1539"/>
      <c r="E44" s="1539"/>
      <c r="F44" s="1539"/>
      <c r="G44" s="1539"/>
      <c r="H44" s="1539"/>
      <c r="I44" s="1539"/>
      <c r="J44" s="1539"/>
      <c r="K44" s="1539"/>
      <c r="L44" s="1539"/>
      <c r="M44" s="1539"/>
      <c r="N44" s="1539"/>
      <c r="O44" s="1539"/>
      <c r="P44" s="1539"/>
      <c r="Q44" s="1539"/>
      <c r="R44" s="1539"/>
      <c r="S44" s="1539"/>
      <c r="T44" s="1539"/>
      <c r="U44" s="1539"/>
      <c r="V44" s="1539"/>
      <c r="W44" s="1539"/>
      <c r="X44" s="1539"/>
      <c r="Y44" s="1539"/>
      <c r="Z44" s="1539"/>
      <c r="AA44" s="1539"/>
      <c r="AB44" s="1539"/>
      <c r="AC44" s="1539"/>
      <c r="AD44" s="1539"/>
      <c r="AE44" s="1539"/>
      <c r="AF44" s="1539"/>
      <c r="AG44" s="1539"/>
      <c r="AH44" s="1539"/>
      <c r="AI44" s="1539"/>
      <c r="AJ44" s="1539"/>
      <c r="AK44" s="1539"/>
      <c r="AL44" s="1539"/>
      <c r="AM44" s="1539"/>
      <c r="AR44" s="1044"/>
    </row>
    <row r="45" customHeight="1" spans="1:44">
      <c r="A45" s="1083"/>
      <c r="D45" s="1539"/>
      <c r="E45" s="1539"/>
      <c r="F45" s="1539"/>
      <c r="G45" s="1539"/>
      <c r="H45" s="1539"/>
      <c r="I45" s="1539"/>
      <c r="J45" s="1539"/>
      <c r="K45" s="1539"/>
      <c r="L45" s="1539"/>
      <c r="M45" s="1539"/>
      <c r="N45" s="1539"/>
      <c r="O45" s="1539"/>
      <c r="P45" s="1539"/>
      <c r="Q45" s="1539"/>
      <c r="R45" s="1539"/>
      <c r="S45" s="1539"/>
      <c r="T45" s="1539"/>
      <c r="U45" s="1539"/>
      <c r="V45" s="1539"/>
      <c r="W45" s="1539"/>
      <c r="X45" s="1539"/>
      <c r="Y45" s="1539"/>
      <c r="Z45" s="1539"/>
      <c r="AA45" s="1539"/>
      <c r="AB45" s="1539"/>
      <c r="AC45" s="1539"/>
      <c r="AD45" s="1539"/>
      <c r="AE45" s="1539"/>
      <c r="AF45" s="1539"/>
      <c r="AG45" s="1539"/>
      <c r="AH45" s="1539"/>
      <c r="AI45" s="1539"/>
      <c r="AJ45" s="1539"/>
      <c r="AK45" s="1539"/>
      <c r="AL45" s="1539"/>
      <c r="AM45" s="1539"/>
      <c r="AR45" s="1044"/>
    </row>
    <row r="46" customHeight="1" spans="1:44">
      <c r="A46" s="1083"/>
      <c r="D46" s="1539"/>
      <c r="E46" s="1539"/>
      <c r="F46" s="1539"/>
      <c r="G46" s="1539"/>
      <c r="H46" s="1539"/>
      <c r="I46" s="1539"/>
      <c r="J46" s="1539"/>
      <c r="K46" s="1539"/>
      <c r="L46" s="1539"/>
      <c r="M46" s="1539"/>
      <c r="N46" s="1539"/>
      <c r="O46" s="1539"/>
      <c r="P46" s="1539"/>
      <c r="Q46" s="1539"/>
      <c r="R46" s="1539"/>
      <c r="S46" s="1539"/>
      <c r="T46" s="1539"/>
      <c r="U46" s="1539"/>
      <c r="V46" s="1539"/>
      <c r="W46" s="1539"/>
      <c r="X46" s="1539"/>
      <c r="Y46" s="1539"/>
      <c r="Z46" s="1539"/>
      <c r="AA46" s="1539"/>
      <c r="AB46" s="1539"/>
      <c r="AC46" s="1539"/>
      <c r="AD46" s="1539"/>
      <c r="AE46" s="1539"/>
      <c r="AF46" s="1539"/>
      <c r="AG46" s="1539"/>
      <c r="AH46" s="1539"/>
      <c r="AI46" s="1539"/>
      <c r="AJ46" s="1539"/>
      <c r="AK46" s="1539"/>
      <c r="AL46" s="1539"/>
      <c r="AM46" s="1539"/>
      <c r="AR46" s="1044"/>
    </row>
    <row r="47" customHeight="1" spans="1:44">
      <c r="A47" s="1083"/>
      <c r="D47" s="1539"/>
      <c r="E47" s="1539"/>
      <c r="F47" s="1539"/>
      <c r="G47" s="1539"/>
      <c r="H47" s="1539"/>
      <c r="I47" s="1539"/>
      <c r="J47" s="1539"/>
      <c r="K47" s="1539"/>
      <c r="L47" s="1539"/>
      <c r="M47" s="1539"/>
      <c r="N47" s="1539"/>
      <c r="O47" s="1539"/>
      <c r="P47" s="1539"/>
      <c r="Q47" s="1539"/>
      <c r="R47" s="1539"/>
      <c r="S47" s="1539"/>
      <c r="T47" s="1539"/>
      <c r="U47" s="1539"/>
      <c r="V47" s="1539"/>
      <c r="W47" s="1539"/>
      <c r="X47" s="1539"/>
      <c r="Y47" s="1539"/>
      <c r="Z47" s="1539"/>
      <c r="AA47" s="1539"/>
      <c r="AB47" s="1539"/>
      <c r="AC47" s="1539"/>
      <c r="AD47" s="1539"/>
      <c r="AE47" s="1539"/>
      <c r="AF47" s="1539"/>
      <c r="AG47" s="1539"/>
      <c r="AH47" s="1539"/>
      <c r="AI47" s="1539"/>
      <c r="AJ47" s="1539"/>
      <c r="AK47" s="1539"/>
      <c r="AL47" s="1539"/>
      <c r="AM47" s="1539"/>
      <c r="AR47" s="1044"/>
    </row>
    <row r="48" customHeight="1" spans="1:44">
      <c r="A48" s="1083"/>
      <c r="D48" s="1539"/>
      <c r="E48" s="1539"/>
      <c r="F48" s="1539"/>
      <c r="G48" s="1539"/>
      <c r="H48" s="1539"/>
      <c r="I48" s="1539"/>
      <c r="J48" s="1539"/>
      <c r="K48" s="1539"/>
      <c r="L48" s="1539"/>
      <c r="M48" s="1539"/>
      <c r="N48" s="1539"/>
      <c r="O48" s="1539"/>
      <c r="P48" s="1539"/>
      <c r="Q48" s="1539"/>
      <c r="R48" s="1539"/>
      <c r="S48" s="1539"/>
      <c r="T48" s="1539"/>
      <c r="U48" s="1539"/>
      <c r="V48" s="1539"/>
      <c r="W48" s="1539"/>
      <c r="X48" s="1539"/>
      <c r="Y48" s="1539"/>
      <c r="Z48" s="1539"/>
      <c r="AA48" s="1539"/>
      <c r="AB48" s="1539"/>
      <c r="AC48" s="1539"/>
      <c r="AD48" s="1539"/>
      <c r="AE48" s="1539"/>
      <c r="AF48" s="1539"/>
      <c r="AG48" s="1539"/>
      <c r="AH48" s="1539"/>
      <c r="AI48" s="1539"/>
      <c r="AJ48" s="1539"/>
      <c r="AK48" s="1539"/>
      <c r="AL48" s="1539"/>
      <c r="AM48" s="1539"/>
      <c r="AR48" s="1044"/>
    </row>
    <row r="49" customHeight="1" spans="1:44">
      <c r="A49" s="1083"/>
      <c r="D49" s="1539"/>
      <c r="E49" s="1539"/>
      <c r="F49" s="1539"/>
      <c r="G49" s="1539"/>
      <c r="H49" s="1539"/>
      <c r="I49" s="1539"/>
      <c r="J49" s="1539"/>
      <c r="K49" s="1539"/>
      <c r="L49" s="1539"/>
      <c r="M49" s="1539"/>
      <c r="N49" s="1539"/>
      <c r="O49" s="1539"/>
      <c r="P49" s="1539"/>
      <c r="Q49" s="1539"/>
      <c r="R49" s="1539"/>
      <c r="S49" s="1539"/>
      <c r="T49" s="1539"/>
      <c r="U49" s="1539"/>
      <c r="V49" s="1539"/>
      <c r="W49" s="1539"/>
      <c r="X49" s="1539"/>
      <c r="Y49" s="1539"/>
      <c r="Z49" s="1539"/>
      <c r="AA49" s="1539"/>
      <c r="AB49" s="1539"/>
      <c r="AC49" s="1539"/>
      <c r="AD49" s="1539"/>
      <c r="AE49" s="1539"/>
      <c r="AF49" s="1539"/>
      <c r="AG49" s="1539"/>
      <c r="AH49" s="1539"/>
      <c r="AI49" s="1539"/>
      <c r="AJ49" s="1539"/>
      <c r="AK49" s="1539"/>
      <c r="AL49" s="1539"/>
      <c r="AM49" s="1539"/>
      <c r="AR49" s="1044"/>
    </row>
    <row r="50" customHeight="1" spans="1:44">
      <c r="A50" s="1083"/>
      <c r="D50" s="1539"/>
      <c r="E50" s="1539"/>
      <c r="F50" s="1539"/>
      <c r="G50" s="1539"/>
      <c r="H50" s="1539"/>
      <c r="I50" s="1539"/>
      <c r="J50" s="1539"/>
      <c r="K50" s="1539"/>
      <c r="L50" s="1539"/>
      <c r="M50" s="1539"/>
      <c r="N50" s="1539"/>
      <c r="O50" s="1539"/>
      <c r="P50" s="1539"/>
      <c r="Q50" s="1539"/>
      <c r="R50" s="1539"/>
      <c r="S50" s="1539"/>
      <c r="T50" s="1539"/>
      <c r="U50" s="1539"/>
      <c r="V50" s="1539"/>
      <c r="W50" s="1539"/>
      <c r="X50" s="1539"/>
      <c r="Y50" s="1539"/>
      <c r="Z50" s="1539"/>
      <c r="AA50" s="1539"/>
      <c r="AB50" s="1539"/>
      <c r="AC50" s="1539"/>
      <c r="AD50" s="1539"/>
      <c r="AE50" s="1539"/>
      <c r="AF50" s="1539"/>
      <c r="AG50" s="1539"/>
      <c r="AH50" s="1539"/>
      <c r="AI50" s="1539"/>
      <c r="AJ50" s="1539"/>
      <c r="AK50" s="1539"/>
      <c r="AL50" s="1539"/>
      <c r="AM50" s="1539"/>
      <c r="AR50" s="1044"/>
    </row>
    <row r="51" customHeight="1" spans="1:44">
      <c r="A51" s="1083"/>
      <c r="D51" s="1539"/>
      <c r="E51" s="1539"/>
      <c r="F51" s="1539"/>
      <c r="G51" s="1539"/>
      <c r="H51" s="1539"/>
      <c r="I51" s="1539"/>
      <c r="J51" s="1539"/>
      <c r="K51" s="1539"/>
      <c r="L51" s="1539"/>
      <c r="M51" s="1539"/>
      <c r="N51" s="1539"/>
      <c r="O51" s="1539"/>
      <c r="P51" s="1539"/>
      <c r="Q51" s="1539"/>
      <c r="R51" s="1539"/>
      <c r="S51" s="1539"/>
      <c r="T51" s="1539"/>
      <c r="U51" s="1539"/>
      <c r="V51" s="1539"/>
      <c r="W51" s="1539"/>
      <c r="X51" s="1539"/>
      <c r="Y51" s="1539"/>
      <c r="Z51" s="1539"/>
      <c r="AA51" s="1539"/>
      <c r="AB51" s="1539"/>
      <c r="AC51" s="1539"/>
      <c r="AD51" s="1539"/>
      <c r="AE51" s="1539"/>
      <c r="AF51" s="1539"/>
      <c r="AG51" s="1539"/>
      <c r="AH51" s="1539"/>
      <c r="AI51" s="1539"/>
      <c r="AJ51" s="1539"/>
      <c r="AK51" s="1539"/>
      <c r="AL51" s="1539"/>
      <c r="AM51" s="1539"/>
      <c r="AR51" s="1044"/>
    </row>
    <row r="52" customHeight="1" spans="1:44">
      <c r="A52" s="1083"/>
      <c r="AR52" s="1044"/>
    </row>
    <row r="53" customHeight="1" spans="1:44">
      <c r="A53" s="1083"/>
      <c r="AR53" s="1044"/>
    </row>
    <row r="54" customHeight="1" spans="1:44">
      <c r="A54" s="1540" t="s">
        <v>2</v>
      </c>
      <c r="B54" s="1541"/>
      <c r="C54" s="1541"/>
      <c r="D54" s="1541"/>
      <c r="E54" s="1541"/>
      <c r="F54" s="1541"/>
      <c r="G54" s="1541"/>
      <c r="H54" s="1541"/>
      <c r="I54" s="1542" t="str">
        <f>Dados!$I$5</f>
        <v>DEODÁPOLIS/MS</v>
      </c>
      <c r="J54" s="1542"/>
      <c r="K54" s="1542"/>
      <c r="L54" s="1542"/>
      <c r="M54" s="1542"/>
      <c r="N54" s="1542"/>
      <c r="O54" s="1542"/>
      <c r="P54" s="1542"/>
      <c r="Q54" s="1542"/>
      <c r="R54" s="1542"/>
      <c r="S54" s="1542"/>
      <c r="T54" s="1542"/>
      <c r="U54" s="1542"/>
      <c r="V54" s="1542"/>
      <c r="W54" s="1542"/>
      <c r="X54" s="1542"/>
      <c r="Y54" s="1542"/>
      <c r="Z54" s="1542"/>
      <c r="AA54" s="1542"/>
      <c r="AB54" s="1542"/>
      <c r="AC54" s="1542"/>
      <c r="AD54" s="1542"/>
      <c r="AE54" s="1542"/>
      <c r="AF54" s="1542"/>
      <c r="AG54" s="1542"/>
      <c r="AH54" s="1542"/>
      <c r="AI54" s="1542"/>
      <c r="AJ54" s="1542"/>
      <c r="AK54" s="1542"/>
      <c r="AL54" s="1542"/>
      <c r="AM54" s="1542"/>
      <c r="AN54" s="1542"/>
      <c r="AO54" s="1542"/>
      <c r="AP54" s="1542"/>
      <c r="AQ54" s="1542"/>
      <c r="AR54" s="1543"/>
    </row>
    <row r="55" customHeight="1" spans="1:44">
      <c r="A55" s="1544" t="s">
        <v>3</v>
      </c>
      <c r="B55" s="206"/>
      <c r="C55" s="206"/>
      <c r="D55" s="206"/>
      <c r="E55" s="206"/>
      <c r="F55" s="206"/>
      <c r="G55" s="206"/>
      <c r="H55" s="206"/>
      <c r="I55" s="92" t="str">
        <f>Dados!I6:AR6</f>
        <v>ESTRADA VICINAL 14ª LINHA (LADO NASCENTE)</v>
      </c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1545"/>
    </row>
    <row r="56" spans="1:44">
      <c r="A56" s="1546" t="s">
        <v>4</v>
      </c>
      <c r="B56" s="1512"/>
      <c r="C56" s="1512"/>
      <c r="D56" s="1512"/>
      <c r="E56" s="1512"/>
      <c r="F56" s="1512"/>
      <c r="G56" s="1512"/>
      <c r="H56" s="1512"/>
      <c r="I56" s="1547" t="str">
        <f>Dados!I7:AR7</f>
        <v>PONTE SOBRE O CÓRREGO IRETAN</v>
      </c>
      <c r="J56" s="1547"/>
      <c r="K56" s="1547"/>
      <c r="L56" s="1547"/>
      <c r="M56" s="1547"/>
      <c r="N56" s="1547"/>
      <c r="O56" s="1547"/>
      <c r="P56" s="1547"/>
      <c r="Q56" s="1547"/>
      <c r="R56" s="1547"/>
      <c r="S56" s="1547"/>
      <c r="T56" s="1547"/>
      <c r="U56" s="1547"/>
      <c r="V56" s="1547"/>
      <c r="W56" s="1547"/>
      <c r="X56" s="1547"/>
      <c r="Y56" s="1547"/>
      <c r="Z56" s="1547"/>
      <c r="AA56" s="1547"/>
      <c r="AB56" s="1547"/>
      <c r="AC56" s="1547"/>
      <c r="AD56" s="1547"/>
      <c r="AE56" s="1547"/>
      <c r="AF56" s="1547"/>
      <c r="AG56" s="1547"/>
      <c r="AH56" s="1547"/>
      <c r="AI56" s="1547"/>
      <c r="AJ56" s="1547"/>
      <c r="AK56" s="1547"/>
      <c r="AL56" s="1547"/>
      <c r="AM56" s="1547"/>
      <c r="AN56" s="1547"/>
      <c r="AO56" s="1547"/>
      <c r="AP56" s="1547"/>
      <c r="AQ56" s="1547"/>
      <c r="AR56" s="1548"/>
    </row>
    <row r="57" customHeight="1" spans="1:44">
      <c r="A57" s="1544" t="s">
        <v>5</v>
      </c>
      <c r="B57" s="206"/>
      <c r="C57" s="206"/>
      <c r="D57" s="206"/>
      <c r="E57" s="206"/>
      <c r="F57" s="206"/>
      <c r="G57" s="206"/>
      <c r="H57" s="206"/>
      <c r="I57" s="92" t="str">
        <f>Dados!I8</f>
        <v>22°14'28.18"S, 54º04'37.28"O</v>
      </c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206" t="s">
        <v>6</v>
      </c>
      <c r="AJ57" s="206"/>
      <c r="AK57" s="206"/>
      <c r="AL57" s="206"/>
      <c r="AM57" s="206"/>
      <c r="AN57" s="250"/>
      <c r="AO57" s="1549">
        <f>Dados!AO8:AP8</f>
        <v>90</v>
      </c>
      <c r="AP57" s="1550"/>
      <c r="AQ57" s="1551" t="s">
        <v>7</v>
      </c>
      <c r="AR57" s="1552"/>
    </row>
    <row r="58" hidden="1" customHeight="1" spans="1:44">
      <c r="A58" s="1546" t="s">
        <v>8</v>
      </c>
      <c r="B58" s="1512"/>
      <c r="C58" s="1512"/>
      <c r="D58" s="1512"/>
      <c r="E58" s="1512"/>
      <c r="F58" s="1512"/>
      <c r="G58" s="1512"/>
      <c r="H58" s="1512"/>
      <c r="I58" s="52">
        <v>60</v>
      </c>
      <c r="J58" s="52"/>
      <c r="K58" s="52" t="s">
        <v>9</v>
      </c>
      <c r="L58" s="52"/>
      <c r="M58" s="55"/>
      <c r="N58" s="55"/>
      <c r="AR58" s="1044"/>
    </row>
    <row r="59" hidden="1" customHeight="1" spans="1:44">
      <c r="A59" s="1546" t="s">
        <v>10</v>
      </c>
      <c r="B59" s="1512"/>
      <c r="C59" s="1512"/>
      <c r="D59" s="1512"/>
      <c r="E59" s="1512"/>
      <c r="F59" s="1512"/>
      <c r="G59" s="1512"/>
      <c r="H59" s="1512"/>
      <c r="I59" s="52">
        <v>6</v>
      </c>
      <c r="J59" s="52"/>
      <c r="K59" s="52" t="s">
        <v>9</v>
      </c>
      <c r="L59" s="52"/>
      <c r="M59" s="55"/>
      <c r="N59" s="55"/>
      <c r="AR59" s="1044"/>
    </row>
    <row r="60" customHeight="1" spans="1:44">
      <c r="A60" s="1553" t="s">
        <v>11</v>
      </c>
      <c r="B60" s="251"/>
      <c r="C60" s="251"/>
      <c r="D60" s="251"/>
      <c r="E60" s="251"/>
      <c r="F60" s="251"/>
      <c r="G60" s="251"/>
      <c r="H60" s="252"/>
      <c r="I60" s="250" t="s">
        <v>12</v>
      </c>
      <c r="J60" s="251"/>
      <c r="K60" s="251"/>
      <c r="L60" s="1554">
        <f>Dados!$L$11</f>
        <v>0.1527</v>
      </c>
      <c r="M60" s="1554"/>
      <c r="N60" s="1555"/>
      <c r="O60" s="250" t="s">
        <v>13</v>
      </c>
      <c r="P60" s="251"/>
      <c r="Q60" s="251"/>
      <c r="R60" s="1554">
        <f>Dados!$R$11</f>
        <v>0.2391</v>
      </c>
      <c r="S60" s="1554"/>
      <c r="T60" s="1555"/>
      <c r="U60" s="1556"/>
      <c r="V60" s="422"/>
      <c r="W60" s="422"/>
      <c r="X60" s="422"/>
      <c r="Y60" s="422"/>
      <c r="Z60" s="422"/>
      <c r="AA60" s="422"/>
      <c r="AB60" s="422"/>
      <c r="AC60" s="422"/>
      <c r="AD60" s="422"/>
      <c r="AE60" s="422"/>
      <c r="AF60" s="422"/>
      <c r="AG60" s="422"/>
      <c r="AH60" s="1557"/>
      <c r="AI60" s="250" t="s">
        <v>14</v>
      </c>
      <c r="AJ60" s="251"/>
      <c r="AK60" s="251"/>
      <c r="AL60" s="251"/>
      <c r="AM60" s="251"/>
      <c r="AN60" s="252"/>
      <c r="AO60" s="1558">
        <f>Dados!$AO$11</f>
        <v>120</v>
      </c>
      <c r="AP60" s="1559"/>
      <c r="AQ60" s="1551" t="s">
        <v>15</v>
      </c>
      <c r="AR60" s="1552"/>
    </row>
    <row r="61" customHeight="1" spans="1:44">
      <c r="A61" s="1560" t="s">
        <v>16</v>
      </c>
      <c r="B61" s="1561"/>
      <c r="C61" s="1561"/>
      <c r="D61" s="1561"/>
      <c r="E61" s="1561"/>
      <c r="F61" s="1561"/>
      <c r="G61" s="1561"/>
      <c r="H61" s="1562"/>
      <c r="I61" s="1563" t="str">
        <f>Dados!$I$12</f>
        <v>SEM DESONERAÇÃO SICRO (JANEIRO/2026)</v>
      </c>
      <c r="J61" s="1564"/>
      <c r="K61" s="1564"/>
      <c r="L61" s="1564"/>
      <c r="M61" s="1564"/>
      <c r="N61" s="1564"/>
      <c r="O61" s="1564"/>
      <c r="P61" s="1564"/>
      <c r="Q61" s="1564"/>
      <c r="R61" s="1564"/>
      <c r="S61" s="1564"/>
      <c r="T61" s="1564"/>
      <c r="U61" s="1564" t="str">
        <f>Dados!$U$12</f>
        <v>NÃO DESONERADO SINAPI (JANEIRO/2026)</v>
      </c>
      <c r="V61" s="1564"/>
      <c r="W61" s="1564"/>
      <c r="X61" s="1564"/>
      <c r="Y61" s="1564"/>
      <c r="Z61" s="1564"/>
      <c r="AA61" s="1564"/>
      <c r="AB61" s="1564"/>
      <c r="AC61" s="1564"/>
      <c r="AD61" s="1564"/>
      <c r="AE61" s="1564"/>
      <c r="AF61" s="1564"/>
      <c r="AG61" s="389"/>
      <c r="AH61" s="389"/>
      <c r="AI61" s="389"/>
      <c r="AJ61" s="389"/>
      <c r="AK61" s="389"/>
      <c r="AL61" s="389"/>
      <c r="AM61" s="389"/>
      <c r="AN61" s="389"/>
      <c r="AO61" s="389"/>
      <c r="AP61" s="389"/>
      <c r="AQ61" s="389"/>
      <c r="AR61" s="1098"/>
    </row>
  </sheetData>
  <mergeCells count="30">
    <mergeCell ref="A54:H54"/>
    <mergeCell ref="I54:AR54"/>
    <mergeCell ref="A55:H55"/>
    <mergeCell ref="I55:AR55"/>
    <mergeCell ref="A56:H56"/>
    <mergeCell ref="I56:AR56"/>
    <mergeCell ref="A57:H57"/>
    <mergeCell ref="I57:AH57"/>
    <mergeCell ref="AI57:AN57"/>
    <mergeCell ref="AO57:AP57"/>
    <mergeCell ref="AQ57:AR57"/>
    <mergeCell ref="A58:H58"/>
    <mergeCell ref="I58:J58"/>
    <mergeCell ref="K58:L58"/>
    <mergeCell ref="A59:H59"/>
    <mergeCell ref="I59:J59"/>
    <mergeCell ref="K59:L59"/>
    <mergeCell ref="A60:H60"/>
    <mergeCell ref="I60:K60"/>
    <mergeCell ref="L60:N60"/>
    <mergeCell ref="O60:Q60"/>
    <mergeCell ref="R60:T60"/>
    <mergeCell ref="AI60:AN60"/>
    <mergeCell ref="AO60:AP60"/>
    <mergeCell ref="AQ60:AR60"/>
    <mergeCell ref="A61:H61"/>
    <mergeCell ref="I61:T61"/>
    <mergeCell ref="U61:AF61"/>
    <mergeCell ref="D9:AO10"/>
    <mergeCell ref="D24:AO39"/>
  </mergeCells>
  <printOptions horizontalCentered="1"/>
  <pageMargins left="0.393700787401575" right="0.393700787401575" top="0.393700787401575" bottom="0.590551181102362" header="0" footer="0.196850393700787"/>
  <pageSetup paperSize="9" orientation="portrait"/>
  <headerFooter>
    <oddFooter>&amp;C
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BP30"/>
  <sheetViews>
    <sheetView showGridLines="0" view="pageBreakPreview" zoomScale="150" zoomScalePageLayoutView="140" zoomScaleNormal="100" workbookViewId="0">
      <selection activeCell="A1" sqref="A1"/>
    </sheetView>
  </sheetViews>
  <sheetFormatPr defaultColWidth="2.1047619047619" defaultRowHeight="12.75" customHeight="1"/>
  <cols>
    <col min="19" max="19" width="2.66666666666667" customWidth="1"/>
    <col min="42" max="42" width="2.66666666666667" customWidth="1"/>
  </cols>
  <sheetData>
    <row r="4" spans="1:44">
      <c r="A4" s="40" t="s">
        <v>17</v>
      </c>
      <c r="B4" s="41"/>
      <c r="C4" s="41"/>
      <c r="D4" s="41"/>
      <c r="E4" s="41"/>
      <c r="F4" s="41"/>
      <c r="G4" s="41"/>
      <c r="H4" s="41"/>
      <c r="I4" s="672" t="s">
        <v>18</v>
      </c>
      <c r="J4" s="672"/>
      <c r="K4" s="672"/>
      <c r="L4" s="672"/>
      <c r="M4" s="672"/>
      <c r="N4" s="672"/>
      <c r="O4" s="672"/>
      <c r="P4" s="672"/>
      <c r="Q4" s="672"/>
      <c r="R4" s="672"/>
      <c r="S4" s="672"/>
      <c r="T4" s="672"/>
      <c r="U4" s="672"/>
      <c r="V4" s="672"/>
      <c r="W4" s="672"/>
      <c r="X4" s="672"/>
      <c r="Y4" s="672"/>
      <c r="Z4" s="672"/>
      <c r="AA4" s="672"/>
      <c r="AB4" s="672"/>
      <c r="AC4" s="672"/>
      <c r="AD4" s="672"/>
      <c r="AE4" s="672"/>
      <c r="AF4" s="672"/>
      <c r="AG4" s="672"/>
      <c r="AH4" s="672"/>
      <c r="AI4" s="672"/>
      <c r="AJ4" s="672"/>
      <c r="AK4" s="672"/>
      <c r="AL4" s="672"/>
      <c r="AM4" s="672"/>
      <c r="AN4" s="672"/>
      <c r="AO4" s="672"/>
      <c r="AP4" s="672"/>
      <c r="AQ4" s="672"/>
      <c r="AR4" s="673"/>
    </row>
    <row r="5" customHeight="1" spans="1:44">
      <c r="A5" s="44" t="s">
        <v>2</v>
      </c>
      <c r="B5" s="45"/>
      <c r="C5" s="45"/>
      <c r="D5" s="45"/>
      <c r="E5" s="45"/>
      <c r="F5" s="45"/>
      <c r="G5" s="45"/>
      <c r="H5" s="45"/>
      <c r="I5" s="46" t="s">
        <v>19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7"/>
    </row>
    <row r="6" customHeight="1" spans="1:44">
      <c r="A6" s="44" t="s">
        <v>3</v>
      </c>
      <c r="B6" s="45"/>
      <c r="C6" s="45"/>
      <c r="D6" s="45"/>
      <c r="E6" s="45"/>
      <c r="F6" s="45"/>
      <c r="G6" s="45"/>
      <c r="H6" s="45"/>
      <c r="I6" s="46" t="s">
        <v>20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7"/>
    </row>
    <row r="7" spans="1:44">
      <c r="A7" s="44" t="s">
        <v>4</v>
      </c>
      <c r="B7" s="45"/>
      <c r="C7" s="45"/>
      <c r="D7" s="45"/>
      <c r="E7" s="45"/>
      <c r="F7" s="45"/>
      <c r="G7" s="45"/>
      <c r="H7" s="45"/>
      <c r="I7" s="674" t="s">
        <v>21</v>
      </c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5"/>
    </row>
    <row r="8" customHeight="1" spans="1:44">
      <c r="A8" s="44" t="s">
        <v>22</v>
      </c>
      <c r="B8" s="45"/>
      <c r="C8" s="45"/>
      <c r="D8" s="45"/>
      <c r="E8" s="45"/>
      <c r="F8" s="45"/>
      <c r="G8" s="45"/>
      <c r="H8" s="45"/>
      <c r="I8" s="46" t="s">
        <v>23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5" t="s">
        <v>6</v>
      </c>
      <c r="AJ8" s="45"/>
      <c r="AK8" s="45"/>
      <c r="AL8" s="45"/>
      <c r="AM8" s="45"/>
      <c r="AN8" s="45"/>
      <c r="AO8" s="827">
        <f>I9*I10</f>
        <v>90</v>
      </c>
      <c r="AP8" s="827"/>
      <c r="AQ8" s="52" t="s">
        <v>7</v>
      </c>
      <c r="AR8" s="53"/>
    </row>
    <row r="9" customHeight="1" spans="1:44">
      <c r="A9" s="44" t="s">
        <v>8</v>
      </c>
      <c r="B9" s="45"/>
      <c r="C9" s="45"/>
      <c r="D9" s="45"/>
      <c r="E9" s="45"/>
      <c r="F9" s="45"/>
      <c r="G9" s="45"/>
      <c r="H9" s="45"/>
      <c r="I9" s="54">
        <v>15</v>
      </c>
      <c r="J9" s="54"/>
      <c r="K9" s="52" t="s">
        <v>9</v>
      </c>
      <c r="L9" s="52"/>
      <c r="M9" s="55"/>
      <c r="N9" s="55"/>
      <c r="AR9" s="56"/>
    </row>
    <row r="10" customHeight="1" spans="1:44">
      <c r="A10" s="44" t="s">
        <v>10</v>
      </c>
      <c r="B10" s="45"/>
      <c r="C10" s="45"/>
      <c r="D10" s="45"/>
      <c r="E10" s="45"/>
      <c r="F10" s="45"/>
      <c r="G10" s="45"/>
      <c r="H10" s="45"/>
      <c r="I10" s="54">
        <v>6</v>
      </c>
      <c r="J10" s="54"/>
      <c r="K10" s="52" t="s">
        <v>9</v>
      </c>
      <c r="L10" s="52"/>
      <c r="M10" s="55"/>
      <c r="N10" s="55"/>
      <c r="AR10" s="56"/>
    </row>
    <row r="11" customHeight="1" spans="1:44">
      <c r="A11" s="44" t="s">
        <v>11</v>
      </c>
      <c r="B11" s="45"/>
      <c r="C11" s="45"/>
      <c r="D11" s="45"/>
      <c r="E11" s="45"/>
      <c r="F11" s="45"/>
      <c r="G11" s="45"/>
      <c r="H11" s="45"/>
      <c r="I11" s="45" t="s">
        <v>24</v>
      </c>
      <c r="J11" s="45"/>
      <c r="K11" s="45"/>
      <c r="L11" s="57">
        <f>BDI!D22/100</f>
        <v>0.1527</v>
      </c>
      <c r="M11" s="57"/>
      <c r="N11" s="57"/>
      <c r="O11" s="45" t="s">
        <v>13</v>
      </c>
      <c r="P11" s="45"/>
      <c r="Q11" s="45"/>
      <c r="R11" s="57">
        <f>BDI!H22/100</f>
        <v>0.2391</v>
      </c>
      <c r="S11" s="57"/>
      <c r="T11" s="57"/>
      <c r="AI11" s="45" t="s">
        <v>14</v>
      </c>
      <c r="AJ11" s="45"/>
      <c r="AK11" s="45"/>
      <c r="AL11" s="45"/>
      <c r="AM11" s="45"/>
      <c r="AN11" s="45"/>
      <c r="AO11" s="58">
        <v>120</v>
      </c>
      <c r="AP11" s="58"/>
      <c r="AQ11" s="52" t="s">
        <v>15</v>
      </c>
      <c r="AR11" s="53"/>
    </row>
    <row r="12" customHeight="1" spans="1:44">
      <c r="A12" s="59" t="s">
        <v>16</v>
      </c>
      <c r="B12" s="60"/>
      <c r="C12" s="60"/>
      <c r="D12" s="60"/>
      <c r="E12" s="60"/>
      <c r="F12" s="60"/>
      <c r="G12" s="60"/>
      <c r="H12" s="60"/>
      <c r="I12" s="61" t="s">
        <v>25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702" t="s">
        <v>26</v>
      </c>
      <c r="V12" s="702"/>
      <c r="W12" s="702"/>
      <c r="X12" s="702"/>
      <c r="Y12" s="702"/>
      <c r="Z12" s="702"/>
      <c r="AA12" s="702"/>
      <c r="AB12" s="702"/>
      <c r="AC12" s="702"/>
      <c r="AD12" s="702"/>
      <c r="AE12" s="702"/>
      <c r="AF12" s="702"/>
      <c r="AG12" s="70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4"/>
    </row>
    <row r="13" customHeight="1" spans="1:44">
      <c r="A13" s="202"/>
      <c r="B13" s="202"/>
      <c r="C13" s="202"/>
      <c r="D13" s="202"/>
      <c r="E13" s="202"/>
      <c r="F13" s="202"/>
      <c r="G13" s="202"/>
      <c r="H13" s="202"/>
      <c r="I13" s="202"/>
      <c r="J13" s="202"/>
      <c r="K13" s="202"/>
      <c r="L13" s="202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202"/>
      <c r="Y13" s="202"/>
      <c r="Z13" s="202"/>
      <c r="AA13" s="202"/>
      <c r="AB13" s="202"/>
      <c r="AC13" s="202"/>
      <c r="AD13" s="202"/>
      <c r="AE13" s="202"/>
      <c r="AF13" s="202"/>
      <c r="AG13" s="202"/>
      <c r="AH13" s="202"/>
      <c r="AI13" s="202"/>
      <c r="AJ13" s="202"/>
      <c r="AK13" s="202"/>
      <c r="AL13" s="202"/>
      <c r="AM13" s="202"/>
      <c r="AN13" s="202"/>
      <c r="AO13" s="202"/>
      <c r="AP13" s="202"/>
      <c r="AQ13" s="202"/>
      <c r="AR13" s="202"/>
    </row>
    <row r="14" customHeight="1" spans="1:44">
      <c r="A14" s="1514"/>
      <c r="B14" s="1515"/>
      <c r="C14" s="1515"/>
      <c r="D14" s="1515"/>
      <c r="E14" s="1515"/>
      <c r="F14" s="1515"/>
      <c r="G14" s="1515"/>
      <c r="H14" s="1515"/>
      <c r="I14" s="1515"/>
      <c r="J14" s="1515"/>
      <c r="K14" s="1515"/>
      <c r="L14" s="1515"/>
      <c r="M14" s="1515"/>
      <c r="N14" s="1515"/>
      <c r="O14" s="1515"/>
      <c r="P14" s="1515"/>
      <c r="Q14" s="1515"/>
      <c r="R14" s="1515"/>
      <c r="S14" s="1515"/>
      <c r="T14" s="1515"/>
      <c r="U14" s="1515"/>
      <c r="V14" s="1515"/>
      <c r="W14" s="1515"/>
      <c r="X14" s="1515"/>
      <c r="Y14" s="1515"/>
      <c r="Z14" s="1515"/>
      <c r="AA14" s="1515"/>
      <c r="AB14" s="1515"/>
      <c r="AC14" s="1515"/>
      <c r="AD14" s="1515"/>
      <c r="AE14" s="1515"/>
      <c r="AF14" s="1515"/>
      <c r="AG14" s="1515"/>
      <c r="AH14" s="1515"/>
      <c r="AI14" s="1515"/>
      <c r="AJ14" s="1515"/>
      <c r="AK14" s="1515"/>
      <c r="AL14" s="1515"/>
      <c r="AM14" s="1515"/>
      <c r="AN14" s="1515"/>
      <c r="AO14" s="1515"/>
      <c r="AP14" s="1515"/>
      <c r="AQ14" s="1515"/>
      <c r="AR14" s="1516"/>
    </row>
    <row r="15" customHeight="1" spans="1:44">
      <c r="A15" s="44" t="s">
        <v>27</v>
      </c>
      <c r="B15" s="45"/>
      <c r="C15" s="45"/>
      <c r="D15" s="45"/>
      <c r="E15" s="45"/>
      <c r="F15" s="45"/>
      <c r="G15" s="45"/>
      <c r="H15" s="45"/>
      <c r="I15" s="52" t="s">
        <v>28</v>
      </c>
      <c r="J15" s="52"/>
      <c r="AR15" s="56"/>
    </row>
    <row r="16" customHeight="1" spans="1:44">
      <c r="A16" s="44" t="s">
        <v>29</v>
      </c>
      <c r="B16" s="45"/>
      <c r="C16" s="45"/>
      <c r="D16" s="45"/>
      <c r="E16" s="45"/>
      <c r="F16" s="45"/>
      <c r="G16" s="45"/>
      <c r="H16" s="45"/>
      <c r="I16" s="52" t="s">
        <v>28</v>
      </c>
      <c r="J16" s="52"/>
      <c r="AR16" s="56"/>
    </row>
    <row r="17" customHeight="1" spans="1:68">
      <c r="A17" s="1517"/>
      <c r="AR17" s="56"/>
    </row>
    <row r="18" customHeight="1" spans="1:68">
      <c r="A18" s="1517"/>
      <c r="AR18" s="56"/>
    </row>
    <row r="19" customHeight="1" spans="1:68">
      <c r="A19" s="1518" t="s">
        <v>30</v>
      </c>
      <c r="B19" s="536"/>
      <c r="C19" s="536"/>
      <c r="D19" s="536"/>
      <c r="E19" s="536"/>
      <c r="F19" s="536"/>
      <c r="G19" s="536"/>
      <c r="H19" s="536"/>
      <c r="I19" s="536"/>
      <c r="J19" s="536"/>
      <c r="K19" s="536"/>
      <c r="L19" s="536"/>
      <c r="M19" s="536"/>
      <c r="N19" s="536"/>
      <c r="O19" s="536"/>
      <c r="P19" s="536"/>
      <c r="Q19" s="536"/>
      <c r="R19" s="536"/>
      <c r="S19" s="536"/>
      <c r="T19" s="536"/>
      <c r="U19" s="536"/>
      <c r="V19" s="536"/>
      <c r="W19" s="536"/>
      <c r="X19" s="536"/>
      <c r="Y19" s="536"/>
      <c r="Z19" s="536"/>
      <c r="AA19" s="536"/>
      <c r="AB19" s="536"/>
      <c r="AC19" s="536"/>
      <c r="AD19" s="536"/>
      <c r="AE19" s="536"/>
      <c r="AF19" s="536"/>
      <c r="AG19" s="536"/>
      <c r="AH19" s="536"/>
      <c r="AI19" s="536"/>
      <c r="AJ19" s="536"/>
      <c r="AK19" s="536"/>
      <c r="AL19" s="536"/>
      <c r="AM19" s="536"/>
      <c r="AN19" s="536"/>
      <c r="AO19" s="536"/>
      <c r="AP19" s="536"/>
      <c r="AQ19" s="536"/>
      <c r="AR19" s="1519"/>
      <c r="BM19" s="1520"/>
      <c r="BN19" s="1520"/>
      <c r="BO19" s="1520"/>
      <c r="BP19" s="1520"/>
    </row>
    <row r="20" customHeight="1" spans="1:68">
      <c r="A20" s="44" t="s">
        <v>31</v>
      </c>
      <c r="B20" s="45"/>
      <c r="C20" s="45"/>
      <c r="D20" s="45"/>
      <c r="E20" s="45"/>
      <c r="F20" s="45"/>
      <c r="G20" s="45"/>
      <c r="H20" s="45"/>
      <c r="I20" s="536" t="s">
        <v>32</v>
      </c>
      <c r="J20" s="536"/>
      <c r="K20" s="536"/>
      <c r="L20" s="536"/>
      <c r="M20" s="536"/>
      <c r="N20" s="536"/>
      <c r="O20" s="536"/>
      <c r="P20" s="536"/>
      <c r="Q20" s="536"/>
      <c r="R20" s="536"/>
      <c r="S20" s="536"/>
      <c r="T20" s="536"/>
      <c r="U20" s="536"/>
      <c r="V20" s="536"/>
      <c r="W20" s="536"/>
      <c r="X20" s="536"/>
      <c r="Y20" s="1521" t="s">
        <v>33</v>
      </c>
      <c r="Z20" s="1521"/>
      <c r="AA20" s="1521"/>
      <c r="AB20" s="1521"/>
      <c r="AC20" s="1521"/>
      <c r="AD20" s="1521"/>
      <c r="AE20" s="1521" t="s">
        <v>34</v>
      </c>
      <c r="AF20" s="1521"/>
      <c r="AG20" s="1521"/>
      <c r="AH20" s="1521"/>
      <c r="AI20" s="1521"/>
      <c r="AJ20" s="1521"/>
      <c r="AK20" s="1521" t="s">
        <v>35</v>
      </c>
      <c r="AL20" s="1521"/>
      <c r="AM20" s="1521"/>
      <c r="AN20" s="1521"/>
      <c r="AO20" s="1521"/>
      <c r="AP20" s="1521"/>
      <c r="AQ20" s="45"/>
      <c r="AR20" s="1522"/>
      <c r="BM20" s="1520"/>
      <c r="BN20" s="1520"/>
      <c r="BO20" s="1520"/>
      <c r="BP20" s="1520"/>
    </row>
    <row r="21" s="33" customFormat="1" customHeight="1" spans="1:68">
      <c r="A21" s="1523" t="s">
        <v>36</v>
      </c>
      <c r="B21" s="1524"/>
      <c r="C21" s="1524"/>
      <c r="D21" s="1524"/>
      <c r="E21" s="1524"/>
      <c r="F21" s="1524"/>
      <c r="G21" s="1524"/>
      <c r="H21" s="1524"/>
      <c r="I21" s="1525" t="s">
        <v>37</v>
      </c>
      <c r="J21" s="1525"/>
      <c r="K21" s="1525"/>
      <c r="L21" s="1525"/>
      <c r="M21" s="1525"/>
      <c r="N21" s="1525"/>
      <c r="O21" s="1525"/>
      <c r="P21" s="1525"/>
      <c r="Q21" s="1525"/>
      <c r="R21" s="1525"/>
      <c r="S21" s="1525"/>
      <c r="T21" s="1525"/>
      <c r="U21" s="1525"/>
      <c r="V21" s="1525"/>
      <c r="W21" s="1525"/>
      <c r="X21" s="1525"/>
      <c r="Y21" s="1526">
        <f>264-AK21</f>
        <v>256.8</v>
      </c>
      <c r="Z21" s="1526"/>
      <c r="AA21" s="1526"/>
      <c r="AB21" s="1527" t="s">
        <v>38</v>
      </c>
      <c r="AC21" s="1527"/>
      <c r="AD21" s="1527"/>
      <c r="AE21" s="1526">
        <v>0</v>
      </c>
      <c r="AF21" s="1526"/>
      <c r="AG21" s="1526"/>
      <c r="AH21" s="1527" t="s">
        <v>38</v>
      </c>
      <c r="AI21" s="1527"/>
      <c r="AJ21" s="1527"/>
      <c r="AK21" s="1526">
        <v>7.2</v>
      </c>
      <c r="AL21" s="1373"/>
      <c r="AM21" s="1373"/>
      <c r="AN21" s="1527" t="s">
        <v>38</v>
      </c>
      <c r="AO21" s="1527"/>
      <c r="AP21" s="1527"/>
      <c r="AR21" s="1528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customHeight="1" spans="1:68">
      <c r="A22" s="1518" t="s">
        <v>39</v>
      </c>
      <c r="B22" s="536"/>
      <c r="C22" s="536"/>
      <c r="D22" s="536"/>
      <c r="E22" s="536"/>
      <c r="F22" s="536"/>
      <c r="G22" s="536"/>
      <c r="H22" s="536"/>
      <c r="I22" s="536"/>
      <c r="J22" s="536"/>
      <c r="K22" s="536"/>
      <c r="L22" s="536"/>
      <c r="M22" s="536"/>
      <c r="N22" s="536"/>
      <c r="O22" s="536"/>
      <c r="P22" s="536"/>
      <c r="Q22" s="536"/>
      <c r="R22" s="536"/>
      <c r="S22" s="536"/>
      <c r="T22" s="536"/>
      <c r="U22" s="536"/>
      <c r="V22" s="536"/>
      <c r="W22" s="536"/>
      <c r="X22" s="536"/>
      <c r="Y22" s="536"/>
      <c r="Z22" s="536"/>
      <c r="AA22" s="536"/>
      <c r="AB22" s="536"/>
      <c r="AC22" s="536"/>
      <c r="AD22" s="536"/>
      <c r="AE22" s="536"/>
      <c r="AF22" s="536"/>
      <c r="AG22" s="536"/>
      <c r="AH22" s="536"/>
      <c r="AI22" s="536"/>
      <c r="AJ22" s="536"/>
      <c r="AK22" s="536"/>
      <c r="AL22" s="536"/>
      <c r="AM22" s="536"/>
      <c r="AN22" s="536"/>
      <c r="AO22" s="536"/>
      <c r="AP22" s="536"/>
      <c r="AR22" s="56"/>
      <c r="BM22" s="1529"/>
      <c r="BN22" s="1529"/>
      <c r="BO22" s="1529"/>
      <c r="BP22" s="1529"/>
    </row>
    <row r="23" s="33" customFormat="1" customHeight="1" spans="1:68">
      <c r="A23" s="1530" t="s">
        <v>40</v>
      </c>
      <c r="B23" s="1531"/>
      <c r="C23" s="1531"/>
      <c r="D23" s="1531"/>
      <c r="E23" s="1531"/>
      <c r="F23" s="1531"/>
      <c r="G23" s="1531"/>
      <c r="H23" s="1531"/>
      <c r="I23" s="1532" t="s">
        <v>41</v>
      </c>
      <c r="J23" s="1532"/>
      <c r="K23" s="1532"/>
      <c r="L23" s="1532"/>
      <c r="M23" s="1532"/>
      <c r="N23" s="1532"/>
      <c r="O23" s="1532"/>
      <c r="P23" s="1532"/>
      <c r="Q23" s="1532"/>
      <c r="R23" s="1532"/>
      <c r="S23" s="1532"/>
      <c r="T23" s="1532"/>
      <c r="U23" s="1532"/>
      <c r="V23" s="1532"/>
      <c r="W23" s="1532"/>
      <c r="X23" s="1532"/>
      <c r="Y23" s="1533">
        <f>Cotações!$AZ$45</f>
        <v>0</v>
      </c>
      <c r="Z23" s="1533"/>
      <c r="AA23" s="1533"/>
      <c r="AB23" s="1527" t="s">
        <v>38</v>
      </c>
      <c r="AC23" s="1527"/>
      <c r="AD23" s="1527"/>
      <c r="AE23" s="1526">
        <v>0</v>
      </c>
      <c r="AF23" s="1526"/>
      <c r="AG23" s="1526"/>
      <c r="AH23" s="1527" t="s">
        <v>38</v>
      </c>
      <c r="AI23" s="1527"/>
      <c r="AJ23" s="1527"/>
      <c r="AK23" s="1533">
        <f>Cotações!$AT$45</f>
        <v>0</v>
      </c>
      <c r="AL23" s="1281"/>
      <c r="AM23" s="1281"/>
      <c r="AN23" s="1527" t="s">
        <v>38</v>
      </c>
      <c r="AO23" s="1527"/>
      <c r="AP23" s="1527"/>
      <c r="AR23" s="1528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</row>
    <row r="24" s="33" customFormat="1" customHeight="1" spans="1:68">
      <c r="A24" s="1530" t="s">
        <v>42</v>
      </c>
      <c r="B24" s="1531"/>
      <c r="C24" s="1531"/>
      <c r="D24" s="1531"/>
      <c r="E24" s="1531"/>
      <c r="F24" s="1531"/>
      <c r="G24" s="1531"/>
      <c r="H24" s="1531"/>
      <c r="I24" s="1532" t="s">
        <v>43</v>
      </c>
      <c r="J24" s="1532"/>
      <c r="K24" s="1532"/>
      <c r="L24" s="1532"/>
      <c r="M24" s="1532"/>
      <c r="N24" s="1532"/>
      <c r="O24" s="1532"/>
      <c r="P24" s="1532"/>
      <c r="Q24" s="1532"/>
      <c r="R24" s="1532"/>
      <c r="S24" s="1532"/>
      <c r="T24" s="1532"/>
      <c r="U24" s="1532"/>
      <c r="V24" s="1532"/>
      <c r="W24" s="1532"/>
      <c r="X24" s="1532"/>
      <c r="Y24" s="1533">
        <f>Cotações!$AZ$19</f>
        <v>0</v>
      </c>
      <c r="Z24" s="1533"/>
      <c r="AA24" s="1533"/>
      <c r="AB24" s="1527" t="s">
        <v>38</v>
      </c>
      <c r="AC24" s="1527"/>
      <c r="AD24" s="1527"/>
      <c r="AE24" s="1526">
        <f>AE21</f>
        <v>0</v>
      </c>
      <c r="AF24" s="1526"/>
      <c r="AG24" s="1526"/>
      <c r="AH24" s="1527" t="s">
        <v>38</v>
      </c>
      <c r="AI24" s="1527"/>
      <c r="AJ24" s="1527"/>
      <c r="AK24" s="1533">
        <f>Cotações!$AT$19</f>
        <v>0</v>
      </c>
      <c r="AL24" s="1281"/>
      <c r="AM24" s="1281"/>
      <c r="AN24" s="1527" t="s">
        <v>38</v>
      </c>
      <c r="AO24" s="1527"/>
      <c r="AP24" s="1527"/>
      <c r="AR24" s="1528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="33" customFormat="1" customHeight="1" spans="1:68">
      <c r="A25" s="1530" t="s">
        <v>44</v>
      </c>
      <c r="B25" s="1531"/>
      <c r="C25" s="1531"/>
      <c r="D25" s="1531"/>
      <c r="E25" s="1531"/>
      <c r="F25" s="1531"/>
      <c r="G25" s="1531"/>
      <c r="H25" s="1531"/>
      <c r="I25" s="1532" t="s">
        <v>45</v>
      </c>
      <c r="J25" s="1532"/>
      <c r="K25" s="1532"/>
      <c r="L25" s="1532"/>
      <c r="M25" s="1532"/>
      <c r="N25" s="1532"/>
      <c r="O25" s="1532"/>
      <c r="P25" s="1532"/>
      <c r="Q25" s="1532"/>
      <c r="R25" s="1532"/>
      <c r="S25" s="1532"/>
      <c r="T25" s="1532"/>
      <c r="U25" s="1532"/>
      <c r="V25" s="1532"/>
      <c r="W25" s="1532"/>
      <c r="X25" s="1532"/>
      <c r="Y25" s="1526">
        <f>'Canteiro Id'!AK21</f>
        <v>7.3</v>
      </c>
      <c r="Z25" s="1526"/>
      <c r="AA25" s="1526"/>
      <c r="AB25" s="1527" t="s">
        <v>38</v>
      </c>
      <c r="AC25" s="1527"/>
      <c r="AD25" s="1527"/>
      <c r="AE25" s="1526">
        <f>AE24</f>
        <v>0</v>
      </c>
      <c r="AF25" s="1526"/>
      <c r="AG25" s="1526"/>
      <c r="AH25" s="1527" t="s">
        <v>38</v>
      </c>
      <c r="AI25" s="1527"/>
      <c r="AJ25" s="1527"/>
      <c r="AK25" s="1526">
        <f>'Canteiro Id'!AK22</f>
        <v>7.2</v>
      </c>
      <c r="AL25" s="1373"/>
      <c r="AM25" s="1373"/>
      <c r="AN25" s="1527" t="s">
        <v>38</v>
      </c>
      <c r="AO25" s="1527"/>
      <c r="AP25" s="1527"/>
      <c r="AR25" s="1528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customHeight="1" spans="1:68">
      <c r="A26" s="1518" t="s">
        <v>46</v>
      </c>
      <c r="B26" s="536"/>
      <c r="C26" s="536"/>
      <c r="D26" s="536"/>
      <c r="E26" s="536"/>
      <c r="F26" s="536"/>
      <c r="G26" s="536"/>
      <c r="H26" s="536"/>
      <c r="I26" s="536"/>
      <c r="J26" s="536"/>
      <c r="K26" s="536"/>
      <c r="L26" s="536"/>
      <c r="M26" s="536"/>
      <c r="N26" s="536"/>
      <c r="O26" s="536"/>
      <c r="P26" s="536"/>
      <c r="Q26" s="536"/>
      <c r="R26" s="536"/>
      <c r="S26" s="536"/>
      <c r="T26" s="536"/>
      <c r="U26" s="536"/>
      <c r="V26" s="536"/>
      <c r="W26" s="536"/>
      <c r="X26" s="536"/>
      <c r="Y26" s="536"/>
      <c r="Z26" s="536"/>
      <c r="AA26" s="536"/>
      <c r="AB26" s="536"/>
      <c r="AC26" s="536"/>
      <c r="AD26" s="536"/>
      <c r="AE26" s="536"/>
      <c r="AF26" s="536"/>
      <c r="AG26" s="536"/>
      <c r="AH26" s="536"/>
      <c r="AI26" s="536"/>
      <c r="AJ26" s="536"/>
      <c r="AK26" s="536"/>
      <c r="AL26" s="536"/>
      <c r="AM26" s="536"/>
      <c r="AN26" s="536"/>
      <c r="AO26" s="536"/>
      <c r="AP26" s="536"/>
      <c r="AR26" s="56"/>
    </row>
    <row r="27" s="33" customFormat="1" ht="12.6" customHeight="1" spans="1:68">
      <c r="A27" s="1530" t="s">
        <v>47</v>
      </c>
      <c r="B27" s="1531"/>
      <c r="C27" s="1531"/>
      <c r="D27" s="1531"/>
      <c r="E27" s="1531"/>
      <c r="F27" s="1531"/>
      <c r="G27" s="1531"/>
      <c r="H27" s="1531"/>
      <c r="I27" s="1532" t="s">
        <v>48</v>
      </c>
      <c r="J27" s="1532"/>
      <c r="K27" s="1532"/>
      <c r="L27" s="1532"/>
      <c r="M27" s="1532"/>
      <c r="N27" s="1532"/>
      <c r="O27" s="1532"/>
      <c r="P27" s="1532"/>
      <c r="Q27" s="1532"/>
      <c r="R27" s="1532"/>
      <c r="S27" s="1532"/>
      <c r="T27" s="1532"/>
      <c r="U27" s="1532"/>
      <c r="V27" s="1532"/>
      <c r="W27" s="1532"/>
      <c r="X27" s="1532"/>
      <c r="Y27" s="1533" t="e">
        <f>Cotações!#REF!</f>
        <v>#REF!</v>
      </c>
      <c r="Z27" s="1533"/>
      <c r="AA27" s="1533"/>
      <c r="AB27" s="1527" t="s">
        <v>38</v>
      </c>
      <c r="AC27" s="1527"/>
      <c r="AD27" s="1527"/>
      <c r="AE27" s="1526">
        <v>0</v>
      </c>
      <c r="AF27" s="1526"/>
      <c r="AG27" s="1526"/>
      <c r="AH27" s="1527" t="s">
        <v>38</v>
      </c>
      <c r="AI27" s="1527"/>
      <c r="AJ27" s="1527"/>
      <c r="AK27" s="1533" t="e">
        <f>Cotações!#REF!</f>
        <v>#REF!</v>
      </c>
      <c r="AL27" s="1281"/>
      <c r="AM27" s="1281"/>
      <c r="AN27" s="1527" t="s">
        <v>38</v>
      </c>
      <c r="AO27" s="1527"/>
      <c r="AP27" s="1527"/>
      <c r="AR27" s="1528"/>
    </row>
    <row r="28" customHeight="1" spans="1:68">
      <c r="A28" s="1534" t="s">
        <v>49</v>
      </c>
      <c r="B28" s="479"/>
      <c r="C28" s="479"/>
      <c r="D28" s="479"/>
      <c r="E28" s="479"/>
      <c r="F28" s="479"/>
      <c r="G28" s="479"/>
      <c r="H28" s="479"/>
      <c r="I28" s="1535" t="s">
        <v>50</v>
      </c>
      <c r="J28" s="1535"/>
      <c r="K28" s="1535"/>
      <c r="L28" s="1535"/>
      <c r="M28" s="1535"/>
      <c r="N28" s="1535"/>
      <c r="O28" s="1535"/>
      <c r="P28" s="1535"/>
      <c r="Q28" s="1535"/>
      <c r="R28" s="1535"/>
      <c r="S28" s="1535"/>
      <c r="T28" s="1535"/>
      <c r="U28" s="1535"/>
      <c r="V28" s="1535"/>
      <c r="W28" s="1535"/>
      <c r="X28" s="1535"/>
      <c r="Y28" s="1533">
        <f>Cotações!$AZ$34</f>
        <v>106.8</v>
      </c>
      <c r="Z28" s="1533"/>
      <c r="AA28" s="1533"/>
      <c r="AB28" s="1513" t="s">
        <v>38</v>
      </c>
      <c r="AC28" s="1513"/>
      <c r="AD28" s="1513"/>
      <c r="AE28" s="1533">
        <v>0</v>
      </c>
      <c r="AF28" s="1533"/>
      <c r="AG28" s="1533"/>
      <c r="AH28" s="1513" t="s">
        <v>38</v>
      </c>
      <c r="AI28" s="1513"/>
      <c r="AJ28" s="1513"/>
      <c r="AK28" s="1533">
        <f>Cotações!$AT$34</f>
        <v>11.2</v>
      </c>
      <c r="AL28" s="1281"/>
      <c r="AM28" s="1281"/>
      <c r="AN28" s="1513" t="s">
        <v>38</v>
      </c>
      <c r="AO28" s="1513"/>
      <c r="AP28" s="1513"/>
      <c r="AR28" s="56"/>
    </row>
    <row r="29" customHeight="1" spans="1:68">
      <c r="A29" s="1534" t="s">
        <v>51</v>
      </c>
      <c r="B29" s="479"/>
      <c r="C29" s="479"/>
      <c r="D29" s="479"/>
      <c r="E29" s="479"/>
      <c r="F29" s="479"/>
      <c r="G29" s="479"/>
      <c r="H29" s="479"/>
      <c r="I29" s="1535" t="s">
        <v>50</v>
      </c>
      <c r="J29" s="1535"/>
      <c r="K29" s="1535"/>
      <c r="L29" s="1535"/>
      <c r="M29" s="1535"/>
      <c r="N29" s="1535"/>
      <c r="O29" s="1535"/>
      <c r="P29" s="1535"/>
      <c r="Q29" s="1535"/>
      <c r="R29" s="1535"/>
      <c r="S29" s="1535"/>
      <c r="T29" s="1535"/>
      <c r="U29" s="1535"/>
      <c r="V29" s="1535"/>
      <c r="W29" s="1535"/>
      <c r="X29" s="1535"/>
      <c r="Y29" s="1533">
        <f>Cotações!$AZ$41</f>
        <v>106.8</v>
      </c>
      <c r="Z29" s="1533"/>
      <c r="AA29" s="1533"/>
      <c r="AB29" s="1513" t="s">
        <v>38</v>
      </c>
      <c r="AC29" s="1513"/>
      <c r="AD29" s="1513"/>
      <c r="AE29" s="1533">
        <v>0</v>
      </c>
      <c r="AF29" s="1533"/>
      <c r="AG29" s="1533"/>
      <c r="AH29" s="1513" t="s">
        <v>38</v>
      </c>
      <c r="AI29" s="1513"/>
      <c r="AJ29" s="1513"/>
      <c r="AK29" s="1533">
        <f>Cotações!$AT$41</f>
        <v>11.2</v>
      </c>
      <c r="AL29" s="1281"/>
      <c r="AM29" s="1281"/>
      <c r="AN29" s="1513" t="s">
        <v>38</v>
      </c>
      <c r="AO29" s="1513"/>
      <c r="AP29" s="1513"/>
      <c r="AR29" s="56"/>
    </row>
    <row r="30" customHeight="1" spans="1:68">
      <c r="A30" s="1536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4"/>
    </row>
  </sheetData>
  <mergeCells count="101">
    <mergeCell ref="A4:H4"/>
    <mergeCell ref="I4:AR4"/>
    <mergeCell ref="A5:H5"/>
    <mergeCell ref="I5:AR5"/>
    <mergeCell ref="A6:H6"/>
    <mergeCell ref="I6:AR6"/>
    <mergeCell ref="A7:H7"/>
    <mergeCell ref="I7:AR7"/>
    <mergeCell ref="A8:H8"/>
    <mergeCell ref="I8:AH8"/>
    <mergeCell ref="AI8:AN8"/>
    <mergeCell ref="AO8:AP8"/>
    <mergeCell ref="AQ8:AR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AI11:AN11"/>
    <mergeCell ref="AO11:AP11"/>
    <mergeCell ref="AQ11:AR11"/>
    <mergeCell ref="A12:H12"/>
    <mergeCell ref="I12:T12"/>
    <mergeCell ref="U12:AG12"/>
    <mergeCell ref="A13:AR13"/>
    <mergeCell ref="A14:AR14"/>
    <mergeCell ref="A15:H15"/>
    <mergeCell ref="I15:J15"/>
    <mergeCell ref="A16:H16"/>
    <mergeCell ref="I16:J16"/>
    <mergeCell ref="A19:AR19"/>
    <mergeCell ref="A20:H20"/>
    <mergeCell ref="I20:X20"/>
    <mergeCell ref="Y20:AD20"/>
    <mergeCell ref="AE20:AJ20"/>
    <mergeCell ref="AK20:AP20"/>
    <mergeCell ref="A21:H21"/>
    <mergeCell ref="I21:X21"/>
    <mergeCell ref="Y21:AA21"/>
    <mergeCell ref="AB21:AD21"/>
    <mergeCell ref="AE21:AG21"/>
    <mergeCell ref="AH21:AJ21"/>
    <mergeCell ref="AK21:AM21"/>
    <mergeCell ref="AN21:AP21"/>
    <mergeCell ref="A22:AP22"/>
    <mergeCell ref="BM22:BP22"/>
    <mergeCell ref="A23:H23"/>
    <mergeCell ref="I23:X23"/>
    <mergeCell ref="Y23:AA23"/>
    <mergeCell ref="AB23:AD23"/>
    <mergeCell ref="AE23:AG23"/>
    <mergeCell ref="AH23:AJ23"/>
    <mergeCell ref="AK23:AM23"/>
    <mergeCell ref="AN23:AP23"/>
    <mergeCell ref="A24:H24"/>
    <mergeCell ref="I24:X24"/>
    <mergeCell ref="Y24:AA24"/>
    <mergeCell ref="AB24:AD24"/>
    <mergeCell ref="AE24:AG24"/>
    <mergeCell ref="AH24:AJ24"/>
    <mergeCell ref="AK24:AM24"/>
    <mergeCell ref="AN24:AP24"/>
    <mergeCell ref="A25:H25"/>
    <mergeCell ref="I25:X25"/>
    <mergeCell ref="Y25:AA25"/>
    <mergeCell ref="AB25:AD25"/>
    <mergeCell ref="AE25:AG25"/>
    <mergeCell ref="AH25:AJ25"/>
    <mergeCell ref="AK25:AM25"/>
    <mergeCell ref="AN25:AP25"/>
    <mergeCell ref="A26:AP26"/>
    <mergeCell ref="A27:H27"/>
    <mergeCell ref="I27:X27"/>
    <mergeCell ref="Y27:AA27"/>
    <mergeCell ref="AB27:AD27"/>
    <mergeCell ref="AE27:AG27"/>
    <mergeCell ref="AH27:AJ27"/>
    <mergeCell ref="AK27:AM27"/>
    <mergeCell ref="AN27:AP27"/>
    <mergeCell ref="A28:H28"/>
    <mergeCell ref="I28:X28"/>
    <mergeCell ref="Y28:AA28"/>
    <mergeCell ref="AB28:AD28"/>
    <mergeCell ref="AE28:AG28"/>
    <mergeCell ref="AH28:AJ28"/>
    <mergeCell ref="AK28:AM28"/>
    <mergeCell ref="AN28:AP28"/>
    <mergeCell ref="A29:H29"/>
    <mergeCell ref="I29:X29"/>
    <mergeCell ref="Y29:AA29"/>
    <mergeCell ref="AB29:AD29"/>
    <mergeCell ref="AE29:AG29"/>
    <mergeCell ref="AH29:AJ29"/>
    <mergeCell ref="AK29:AM29"/>
    <mergeCell ref="AN29:AP29"/>
  </mergeCells>
  <printOptions horizontalCentered="1"/>
  <pageMargins left="0.393700787401575" right="0.393700787401575" top="0.393700787401575" bottom="0.78740157480315" header="0" footer="0.31496062992126"/>
  <pageSetup paperSize="9" orientation="portrait"/>
  <headerFooter>
    <oddFooter>&amp;L&amp;G&amp;R&amp;9Projeto Executivo de Engenharia, Estudos e
Orçamentos para a Construção de Ponte Rodoviária
em Concreto Armado - Rodovia Vicinal</oddFooter>
  </headerFooter>
  <drawing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AV253"/>
  <sheetViews>
    <sheetView showGridLines="0" view="pageBreakPreview" zoomScale="150" zoomScalePageLayoutView="140" zoomScaleNormal="160" workbookViewId="0">
      <selection activeCell="A1" sqref="A1"/>
    </sheetView>
  </sheetViews>
  <sheetFormatPr defaultColWidth="2.1047619047619" defaultRowHeight="12.75" customHeight="1"/>
  <cols>
    <col min="19" max="19" width="2.66666666666667" customWidth="1"/>
    <col min="42" max="42" width="2.66666666666667" customWidth="1"/>
  </cols>
  <sheetData>
    <row r="4" spans="1:48">
      <c r="A4" s="40" t="s">
        <v>17</v>
      </c>
      <c r="B4" s="41"/>
      <c r="C4" s="41"/>
      <c r="D4" s="41"/>
      <c r="E4" s="41"/>
      <c r="F4" s="41"/>
      <c r="G4" s="41"/>
      <c r="H4" s="41"/>
      <c r="I4" s="672" t="str">
        <f>IF(Dados!I4="","",Dados!I4)</f>
        <v>CONSTRUÇÃO DE PONTE RODOVIÁRIA EM CONCRETO ARMADO</v>
      </c>
      <c r="J4" s="672"/>
      <c r="K4" s="672"/>
      <c r="L4" s="672"/>
      <c r="M4" s="672"/>
      <c r="N4" s="672"/>
      <c r="O4" s="672"/>
      <c r="P4" s="672"/>
      <c r="Q4" s="672"/>
      <c r="R4" s="672"/>
      <c r="S4" s="672"/>
      <c r="T4" s="672"/>
      <c r="U4" s="672"/>
      <c r="V4" s="672"/>
      <c r="W4" s="672"/>
      <c r="X4" s="672"/>
      <c r="Y4" s="672"/>
      <c r="Z4" s="672"/>
      <c r="AA4" s="672"/>
      <c r="AB4" s="672"/>
      <c r="AC4" s="672"/>
      <c r="AD4" s="672"/>
      <c r="AE4" s="672"/>
      <c r="AF4" s="672"/>
      <c r="AG4" s="672"/>
      <c r="AH4" s="672"/>
      <c r="AI4" s="672"/>
      <c r="AJ4" s="672"/>
      <c r="AK4" s="672"/>
      <c r="AL4" s="672"/>
      <c r="AM4" s="672"/>
      <c r="AN4" s="672"/>
      <c r="AO4" s="672"/>
      <c r="AP4" s="672"/>
      <c r="AQ4" s="672"/>
      <c r="AR4" s="673"/>
    </row>
    <row r="5" customHeight="1" spans="1:48">
      <c r="A5" s="44" t="str">
        <f>Dados!A5</f>
        <v>MUNICÍPIO:</v>
      </c>
      <c r="B5" s="45"/>
      <c r="C5" s="45"/>
      <c r="D5" s="45"/>
      <c r="E5" s="45"/>
      <c r="F5" s="45"/>
      <c r="G5" s="45"/>
      <c r="H5" s="45"/>
      <c r="I5" s="46" t="str">
        <f>IF(Dados!I5="","",Dados!I5)</f>
        <v>DEODÁPOLIS/MS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7"/>
    </row>
    <row r="6" customHeight="1" spans="1:48">
      <c r="A6" s="44" t="str">
        <f>Dados!A6</f>
        <v>RODOVIA/ESTRADA:</v>
      </c>
      <c r="B6" s="45"/>
      <c r="C6" s="45"/>
      <c r="D6" s="45"/>
      <c r="E6" s="45"/>
      <c r="F6" s="45"/>
      <c r="G6" s="45"/>
      <c r="H6" s="45"/>
      <c r="I6" s="46" t="str">
        <f>IF(Dados!I6="","",Dados!I6)</f>
        <v>ESTRADA VICINAL 14ª LINHA (LADO NASCENTE)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7"/>
    </row>
    <row r="7" spans="1:48">
      <c r="A7" s="44" t="str">
        <f>Dados!A7</f>
        <v>LOCAL:</v>
      </c>
      <c r="B7" s="45"/>
      <c r="C7" s="45"/>
      <c r="D7" s="45"/>
      <c r="E7" s="45"/>
      <c r="F7" s="45"/>
      <c r="G7" s="45"/>
      <c r="H7" s="45"/>
      <c r="I7" s="674" t="str">
        <f>IF(Dados!I7="","",Dados!I7)</f>
        <v>PONTE SOBRE O CÓRREGO IRETAN</v>
      </c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5"/>
    </row>
    <row r="8" customHeight="1" spans="1:48">
      <c r="A8" s="44" t="str">
        <f>Dados!A8</f>
        <v>COORDENADAS:</v>
      </c>
      <c r="B8" s="45"/>
      <c r="C8" s="45"/>
      <c r="D8" s="45"/>
      <c r="E8" s="45"/>
      <c r="F8" s="45"/>
      <c r="G8" s="45"/>
      <c r="H8" s="45"/>
      <c r="I8" s="46" t="str">
        <f>IF(Dados!I8="","",Dados!I8)</f>
        <v>22°14'28.18"S, 54º04'37.28"O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5" t="str">
        <f>Dados!AI8</f>
        <v>ÁREA:</v>
      </c>
      <c r="AJ8" s="45"/>
      <c r="AK8" s="45"/>
      <c r="AL8" s="45"/>
      <c r="AM8" s="45"/>
      <c r="AN8" s="45"/>
      <c r="AO8" s="827">
        <f>IF(Dados!AO8="","",Dados!AO8)</f>
        <v>90</v>
      </c>
      <c r="AP8" s="827"/>
      <c r="AQ8" s="52" t="s">
        <v>7</v>
      </c>
      <c r="AR8" s="53"/>
    </row>
    <row r="9" customHeight="1" spans="1:48">
      <c r="A9" s="44" t="str">
        <f>Dados!A9</f>
        <v>COMPRIMENTO:</v>
      </c>
      <c r="B9" s="45"/>
      <c r="C9" s="45"/>
      <c r="D9" s="45"/>
      <c r="E9" s="45"/>
      <c r="F9" s="45"/>
      <c r="G9" s="45"/>
      <c r="H9" s="45"/>
      <c r="I9" s="54">
        <f>IF(Dados!I9="","",Dados!I9)</f>
        <v>15</v>
      </c>
      <c r="J9" s="54"/>
      <c r="K9" s="52" t="s">
        <v>9</v>
      </c>
      <c r="L9" s="52"/>
      <c r="M9" s="55"/>
      <c r="N9" s="55"/>
      <c r="AR9" s="56"/>
    </row>
    <row r="10" customHeight="1" spans="1:48">
      <c r="A10" s="44" t="str">
        <f>Dados!A10</f>
        <v>LARGURA:</v>
      </c>
      <c r="B10" s="45"/>
      <c r="C10" s="45"/>
      <c r="D10" s="45"/>
      <c r="E10" s="45"/>
      <c r="F10" s="45"/>
      <c r="G10" s="45"/>
      <c r="H10" s="45"/>
      <c r="I10" s="54">
        <f>IF(Dados!I10="","",Dados!I10)</f>
        <v>6</v>
      </c>
      <c r="J10" s="54"/>
      <c r="K10" s="52" t="s">
        <v>9</v>
      </c>
      <c r="L10" s="52"/>
      <c r="M10" s="55"/>
      <c r="N10" s="55"/>
      <c r="AR10" s="56"/>
    </row>
    <row r="11" customHeight="1" spans="1:48">
      <c r="A11" s="44" t="s">
        <v>11</v>
      </c>
      <c r="B11" s="45"/>
      <c r="C11" s="45"/>
      <c r="D11" s="45"/>
      <c r="E11" s="45"/>
      <c r="F11" s="45"/>
      <c r="G11" s="45"/>
      <c r="H11" s="45"/>
      <c r="I11" s="45" t="str">
        <f>Dados!I11</f>
        <v>INSUMO</v>
      </c>
      <c r="J11" s="45"/>
      <c r="K11" s="45"/>
      <c r="L11" s="57">
        <f>IF(Dados!L11="","",Dados!L11)</f>
        <v>0.1527</v>
      </c>
      <c r="M11" s="57"/>
      <c r="N11" s="57"/>
      <c r="O11" s="45" t="str">
        <f>Dados!O11</f>
        <v>SERVIÇO</v>
      </c>
      <c r="P11" s="45"/>
      <c r="Q11" s="45"/>
      <c r="R11" s="57">
        <f>IF(Dados!R11="","",Dados!R11)</f>
        <v>0.2391</v>
      </c>
      <c r="S11" s="57"/>
      <c r="T11" s="57"/>
      <c r="AI11" s="45" t="str">
        <f>Dados!AI11</f>
        <v>PRAZO DE EXECUÇÃO:</v>
      </c>
      <c r="AJ11" s="45"/>
      <c r="AK11" s="45"/>
      <c r="AL11" s="45"/>
      <c r="AM11" s="45"/>
      <c r="AN11" s="45"/>
      <c r="AO11" s="58">
        <f>IF(Dados!AO11="","",Dados!AO11)</f>
        <v>120</v>
      </c>
      <c r="AP11" s="58"/>
      <c r="AQ11" s="52" t="s">
        <v>15</v>
      </c>
      <c r="AR11" s="53"/>
    </row>
    <row r="12" customHeight="1" spans="1:48">
      <c r="A12" s="59" t="s">
        <v>16</v>
      </c>
      <c r="B12" s="60"/>
      <c r="C12" s="60"/>
      <c r="D12" s="60"/>
      <c r="E12" s="60"/>
      <c r="F12" s="60"/>
      <c r="G12" s="60"/>
      <c r="H12" s="60"/>
      <c r="I12" s="61" t="str">
        <f>IF(Dados!I12="","",Dados!I12)</f>
        <v>SEM DESONERAÇÃO SICRO (JANEIRO/2026)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tr">
        <f>IF(Dados!U12="","",Dados!U12)</f>
        <v>NÃO DESONERADO SINAPI (JANEIRO/2026)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2"/>
      <c r="AJ12" s="62"/>
      <c r="AK12" s="62"/>
      <c r="AL12" s="62"/>
      <c r="AM12" s="62"/>
      <c r="AN12" s="62"/>
      <c r="AO12" s="62"/>
      <c r="AP12" s="62"/>
      <c r="AQ12" s="62"/>
      <c r="AR12" s="64"/>
    </row>
    <row r="13" customHeight="1" spans="1:48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</row>
    <row r="14" customHeight="1" spans="1:48">
      <c r="A14" s="981" t="s">
        <v>52</v>
      </c>
      <c r="B14" s="982"/>
      <c r="C14" s="982"/>
      <c r="D14" s="982"/>
      <c r="E14" s="982"/>
      <c r="F14" s="982"/>
      <c r="G14" s="982"/>
      <c r="H14" s="982"/>
      <c r="I14" s="982"/>
      <c r="J14" s="982"/>
      <c r="K14" s="982"/>
      <c r="L14" s="982"/>
      <c r="M14" s="982"/>
      <c r="N14" s="982"/>
      <c r="O14" s="982"/>
      <c r="P14" s="982"/>
      <c r="Q14" s="982"/>
      <c r="R14" s="982"/>
      <c r="S14" s="982"/>
      <c r="T14" s="982"/>
      <c r="U14" s="982"/>
      <c r="V14" s="982"/>
      <c r="W14" s="982"/>
      <c r="X14" s="982"/>
      <c r="Y14" s="982"/>
      <c r="Z14" s="982"/>
      <c r="AA14" s="982"/>
      <c r="AB14" s="982"/>
      <c r="AC14" s="982"/>
      <c r="AD14" s="982"/>
      <c r="AE14" s="982"/>
      <c r="AF14" s="982"/>
      <c r="AG14" s="982"/>
      <c r="AH14" s="982"/>
      <c r="AI14" s="982"/>
      <c r="AJ14" s="982"/>
      <c r="AK14" s="982"/>
      <c r="AL14" s="982"/>
      <c r="AM14" s="982"/>
      <c r="AN14" s="982"/>
      <c r="AO14" s="982"/>
      <c r="AP14" s="982"/>
      <c r="AQ14" s="982"/>
      <c r="AR14" s="983"/>
    </row>
    <row r="15" customHeight="1" spans="1:48">
      <c r="A15" s="1474" t="s">
        <v>53</v>
      </c>
      <c r="B15" s="1475"/>
      <c r="C15" s="1475" t="s">
        <v>54</v>
      </c>
      <c r="D15" s="1475"/>
      <c r="E15" s="1475"/>
      <c r="F15" s="1475" t="s">
        <v>55</v>
      </c>
      <c r="G15" s="1475"/>
      <c r="H15" s="1475"/>
      <c r="I15" s="1475" t="s">
        <v>56</v>
      </c>
      <c r="J15" s="1475"/>
      <c r="K15" s="1475"/>
      <c r="L15" s="1475"/>
      <c r="M15" s="1475"/>
      <c r="N15" s="1475"/>
      <c r="O15" s="1475"/>
      <c r="P15" s="1475"/>
      <c r="Q15" s="1475"/>
      <c r="R15" s="1475"/>
      <c r="S15" s="1475"/>
      <c r="T15" s="1475"/>
      <c r="U15" s="1475"/>
      <c r="V15" s="1475"/>
      <c r="W15" s="1475"/>
      <c r="X15" s="1475"/>
      <c r="Y15" s="1475"/>
      <c r="Z15" s="1475"/>
      <c r="AA15" s="1475"/>
      <c r="AB15" s="1475"/>
      <c r="AC15" s="1475"/>
      <c r="AD15" s="1475"/>
      <c r="AE15" s="1475"/>
      <c r="AF15" s="1475"/>
      <c r="AG15" s="1475"/>
      <c r="AH15" s="1475"/>
      <c r="AI15" s="1476"/>
      <c r="AJ15" s="1476"/>
      <c r="AK15" s="1476"/>
      <c r="AL15" s="422"/>
      <c r="AM15" s="422"/>
      <c r="AN15" s="1475" t="s">
        <v>57</v>
      </c>
      <c r="AO15" s="1475"/>
      <c r="AP15" s="1475"/>
      <c r="AQ15" s="1475"/>
      <c r="AR15" s="1477"/>
    </row>
    <row r="16" customHeight="1" spans="1:48">
      <c r="A16" s="1478" t="str">
        <f>Orçamento!A16</f>
        <v>6</v>
      </c>
      <c r="B16" s="1404"/>
      <c r="C16" s="1479"/>
      <c r="D16" s="1479"/>
      <c r="E16" s="1479"/>
      <c r="F16" s="1479"/>
      <c r="G16" s="1479"/>
      <c r="H16" s="1479"/>
      <c r="I16" s="1404" t="str">
        <f>Orçamento!I16</f>
        <v>SERVIÇOS PRELIMINARES</v>
      </c>
      <c r="J16" s="1404"/>
      <c r="K16" s="1404"/>
      <c r="L16" s="1404"/>
      <c r="M16" s="1404"/>
      <c r="N16" s="1404"/>
      <c r="O16" s="1404"/>
      <c r="P16" s="1404"/>
      <c r="Q16" s="1404"/>
      <c r="R16" s="1404"/>
      <c r="S16" s="1404"/>
      <c r="T16" s="1404"/>
      <c r="U16" s="1404"/>
      <c r="V16" s="1404"/>
      <c r="W16" s="1404"/>
      <c r="X16" s="1404"/>
      <c r="Y16" s="1404"/>
      <c r="Z16" s="1404"/>
      <c r="AA16" s="1404"/>
      <c r="AB16" s="1404"/>
      <c r="AC16" s="1404"/>
      <c r="AD16" s="1404"/>
      <c r="AE16" s="1404"/>
      <c r="AF16" s="1404"/>
      <c r="AG16" s="1404"/>
      <c r="AH16" s="1404"/>
      <c r="AI16" s="1404"/>
      <c r="AJ16" s="1404"/>
      <c r="AK16" s="1404"/>
      <c r="AL16" s="1404"/>
      <c r="AM16" s="1404"/>
      <c r="AN16" s="1404"/>
      <c r="AO16" s="1404"/>
      <c r="AP16" s="1404"/>
      <c r="AQ16" s="1404"/>
      <c r="AR16" s="1480"/>
      <c r="AS16" s="1481" t="s">
        <v>58</v>
      </c>
      <c r="AT16" s="1482"/>
      <c r="AU16" s="1482"/>
      <c r="AV16" s="1483"/>
    </row>
    <row r="17" customHeight="1" spans="1:48">
      <c r="A17" s="1484"/>
      <c r="B17" s="1485"/>
      <c r="C17" s="1454"/>
      <c r="D17" s="1454"/>
      <c r="E17" s="1454"/>
      <c r="F17" s="1454"/>
      <c r="G17" s="1454"/>
      <c r="H17" s="1454"/>
      <c r="I17" s="1485" t="str">
        <f>CONCATENATE("TOTAL - ",I16)</f>
        <v>TOTAL - SERVIÇOS PRELIMINARES</v>
      </c>
      <c r="J17" s="1485"/>
      <c r="K17" s="1485"/>
      <c r="L17" s="1485"/>
      <c r="M17" s="1485"/>
      <c r="N17" s="1485"/>
      <c r="O17" s="1485"/>
      <c r="P17" s="1485"/>
      <c r="Q17" s="1485"/>
      <c r="R17" s="1485"/>
      <c r="S17" s="1485"/>
      <c r="T17" s="1485"/>
      <c r="U17" s="1485"/>
      <c r="V17" s="1485"/>
      <c r="W17" s="1485"/>
      <c r="X17" s="1485"/>
      <c r="Y17" s="1485"/>
      <c r="Z17" s="1485"/>
      <c r="AA17" s="1485"/>
      <c r="AB17" s="1454"/>
      <c r="AC17" s="1454"/>
      <c r="AD17" s="1454"/>
      <c r="AE17" s="1454"/>
      <c r="AF17" s="1486"/>
      <c r="AG17" s="1486"/>
      <c r="AH17" s="1486"/>
      <c r="AI17" s="1487"/>
      <c r="AJ17" s="1487"/>
      <c r="AK17" s="1487"/>
      <c r="AL17" s="62"/>
      <c r="AM17" s="62"/>
      <c r="AN17" s="1488">
        <f ca="1">Orçamento!AO16</f>
        <v>39778.03</v>
      </c>
      <c r="AO17" s="1488"/>
      <c r="AP17" s="1488"/>
      <c r="AQ17" s="1488"/>
      <c r="AR17" s="1489"/>
      <c r="AS17" s="1490">
        <f ca="1">AN17/AO27</f>
        <v>0.0433939090523348</v>
      </c>
      <c r="AT17" s="1490"/>
      <c r="AU17" s="1490"/>
      <c r="AV17" s="1491"/>
    </row>
    <row r="18" customHeight="1" spans="1:48">
      <c r="A18" s="1492" t="s">
        <v>59</v>
      </c>
      <c r="B18" s="1493"/>
      <c r="C18" s="1357"/>
      <c r="D18" s="1357"/>
      <c r="E18" s="1357"/>
      <c r="F18" s="1357"/>
      <c r="G18" s="1357"/>
      <c r="H18" s="1357"/>
      <c r="I18" s="1358" t="str">
        <f>Orçamento!I21</f>
        <v>MOBILIZAÇÃO E DESMOBILIZAÇÃO</v>
      </c>
      <c r="J18" s="1358"/>
      <c r="K18" s="1358"/>
      <c r="L18" s="1358"/>
      <c r="M18" s="1358"/>
      <c r="N18" s="1358"/>
      <c r="O18" s="1358"/>
      <c r="P18" s="1358"/>
      <c r="Q18" s="1358"/>
      <c r="R18" s="1358"/>
      <c r="S18" s="1358"/>
      <c r="T18" s="1358"/>
      <c r="U18" s="1358"/>
      <c r="V18" s="1358"/>
      <c r="W18" s="1358"/>
      <c r="X18" s="1358"/>
      <c r="Y18" s="1358"/>
      <c r="Z18" s="1358"/>
      <c r="AA18" s="1358"/>
      <c r="AB18" s="1358"/>
      <c r="AC18" s="1358"/>
      <c r="AD18" s="1358"/>
      <c r="AE18" s="1358"/>
      <c r="AF18" s="1358"/>
      <c r="AG18" s="1358"/>
      <c r="AH18" s="1358"/>
      <c r="AI18" s="1358"/>
      <c r="AJ18" s="1358"/>
      <c r="AK18" s="1358"/>
      <c r="AL18" s="1358"/>
      <c r="AM18" s="1358"/>
      <c r="AN18" s="1358"/>
      <c r="AO18" s="1358"/>
      <c r="AP18" s="1358"/>
      <c r="AQ18" s="1358"/>
      <c r="AR18" s="1494"/>
      <c r="AS18" s="1481" t="s">
        <v>60</v>
      </c>
      <c r="AT18" s="1482"/>
      <c r="AU18" s="1482"/>
      <c r="AV18" s="1483"/>
    </row>
    <row r="19" customHeight="1" spans="1:48">
      <c r="A19" s="1484"/>
      <c r="B19" s="1485"/>
      <c r="C19" s="1454"/>
      <c r="D19" s="1454"/>
      <c r="E19" s="1454"/>
      <c r="F19" s="1454"/>
      <c r="G19" s="1454"/>
      <c r="H19" s="1454"/>
      <c r="I19" s="1485" t="str">
        <f>CONCATENATE("TOTAL - ",I18)</f>
        <v>TOTAL - MOBILIZAÇÃO E DESMOBILIZAÇÃO</v>
      </c>
      <c r="J19" s="1485"/>
      <c r="K19" s="1485"/>
      <c r="L19" s="1485"/>
      <c r="M19" s="1485"/>
      <c r="N19" s="1485"/>
      <c r="O19" s="1485"/>
      <c r="P19" s="1485"/>
      <c r="Q19" s="1485"/>
      <c r="R19" s="1485"/>
      <c r="S19" s="1485"/>
      <c r="T19" s="1485"/>
      <c r="U19" s="1485"/>
      <c r="V19" s="1485"/>
      <c r="W19" s="1485"/>
      <c r="X19" s="1485"/>
      <c r="Y19" s="1485"/>
      <c r="Z19" s="1485"/>
      <c r="AA19" s="1485"/>
      <c r="AB19" s="1454"/>
      <c r="AC19" s="1454"/>
      <c r="AD19" s="1454"/>
      <c r="AE19" s="1454"/>
      <c r="AF19" s="1486"/>
      <c r="AG19" s="1486"/>
      <c r="AH19" s="1486"/>
      <c r="AI19" s="1487"/>
      <c r="AJ19" s="1487"/>
      <c r="AK19" s="1487"/>
      <c r="AL19" s="62"/>
      <c r="AM19" s="62"/>
      <c r="AN19" s="1488">
        <f ca="1">Orçamento!AO21</f>
        <v>119515.07</v>
      </c>
      <c r="AO19" s="1488"/>
      <c r="AP19" s="1488"/>
      <c r="AQ19" s="1488"/>
      <c r="AR19" s="1489"/>
      <c r="AS19" s="1490">
        <f ca="1">AN19/AO$27</f>
        <v>0.130379158494361</v>
      </c>
      <c r="AT19" s="1490"/>
      <c r="AU19" s="1490"/>
      <c r="AV19" s="1491"/>
    </row>
    <row r="20" s="1473" customFormat="1" customHeight="1" spans="1:48">
      <c r="A20" s="1478"/>
      <c r="B20" s="1495"/>
      <c r="C20" s="1479"/>
      <c r="D20" s="1479"/>
      <c r="E20" s="1479"/>
      <c r="F20" s="1479"/>
      <c r="G20" s="1479"/>
      <c r="H20" s="1479"/>
      <c r="I20" s="1404" t="str">
        <f>Orçamento!I26</f>
        <v>PONTE SOBRE O CÓRREGO IRETAN</v>
      </c>
      <c r="J20" s="1404"/>
      <c r="K20" s="1404"/>
      <c r="L20" s="1404"/>
      <c r="M20" s="1404"/>
      <c r="N20" s="1404"/>
      <c r="O20" s="1404"/>
      <c r="P20" s="1404"/>
      <c r="Q20" s="1404"/>
      <c r="R20" s="1404"/>
      <c r="S20" s="1404"/>
      <c r="T20" s="1404"/>
      <c r="U20" s="1404"/>
      <c r="V20" s="1404"/>
      <c r="W20" s="1404"/>
      <c r="X20" s="1404"/>
      <c r="Y20" s="1404"/>
      <c r="Z20" s="1404"/>
      <c r="AA20" s="1404"/>
      <c r="AB20" s="1404"/>
      <c r="AC20" s="1404"/>
      <c r="AD20" s="1404"/>
      <c r="AE20" s="1404"/>
      <c r="AF20" s="1404"/>
      <c r="AG20" s="1404"/>
      <c r="AH20" s="1404"/>
      <c r="AI20" s="1404"/>
      <c r="AJ20" s="1404"/>
      <c r="AK20" s="1404"/>
      <c r="AL20" s="1404"/>
      <c r="AM20" s="1404"/>
      <c r="AN20" s="1404"/>
      <c r="AO20" s="1404"/>
      <c r="AP20" s="1404"/>
      <c r="AQ20" s="1404"/>
      <c r="AR20" s="1480"/>
      <c r="AS20" s="1496" t="s">
        <v>61</v>
      </c>
      <c r="AT20" s="1497"/>
      <c r="AU20" s="1497"/>
      <c r="AV20" s="1498"/>
    </row>
    <row r="21" s="334" customFormat="1" customHeight="1" spans="1:48">
      <c r="A21" s="1499" t="s">
        <v>62</v>
      </c>
      <c r="B21" s="1500"/>
      <c r="C21" s="1280"/>
      <c r="D21" s="1280"/>
      <c r="E21" s="1280"/>
      <c r="F21" s="1280"/>
      <c r="G21" s="1280"/>
      <c r="H21" s="1280"/>
      <c r="I21" s="1282" t="str">
        <f>Orçamento!I27</f>
        <v>INFRAESTRUTURA</v>
      </c>
      <c r="J21" s="1282"/>
      <c r="K21" s="1282"/>
      <c r="L21" s="1282"/>
      <c r="M21" s="1282"/>
      <c r="N21" s="1282"/>
      <c r="O21" s="1282"/>
      <c r="P21" s="1282"/>
      <c r="Q21" s="1282"/>
      <c r="R21" s="1282"/>
      <c r="S21" s="1282"/>
      <c r="T21" s="1282"/>
      <c r="U21" s="1282"/>
      <c r="V21" s="1282"/>
      <c r="W21" s="1282"/>
      <c r="X21" s="1282"/>
      <c r="Y21" s="1282"/>
      <c r="Z21" s="1282"/>
      <c r="AA21" s="1282"/>
      <c r="AB21" s="1279"/>
      <c r="AC21" s="1279"/>
      <c r="AD21" s="1279"/>
      <c r="AE21" s="1279"/>
      <c r="AF21" s="1279"/>
      <c r="AG21" s="1279"/>
      <c r="AH21" s="1279"/>
      <c r="AI21" s="1279"/>
      <c r="AJ21" s="1279"/>
      <c r="AK21" s="1279"/>
      <c r="AL21" s="1279"/>
      <c r="AM21" s="1279"/>
      <c r="AN21" s="1501">
        <f>Orçamento!AO27</f>
        <v>124150.6</v>
      </c>
      <c r="AO21" s="1501"/>
      <c r="AP21" s="1501"/>
      <c r="AQ21" s="1501"/>
      <c r="AR21" s="1502"/>
      <c r="AS21" s="1490">
        <f ca="1">AN21/AO$27</f>
        <v>0.135436064711923</v>
      </c>
      <c r="AT21" s="1490"/>
      <c r="AU21" s="1490"/>
      <c r="AV21" s="1491"/>
    </row>
    <row r="22" s="334" customFormat="1" customHeight="1" spans="1:48">
      <c r="A22" s="1499" t="s">
        <v>63</v>
      </c>
      <c r="B22" s="1500"/>
      <c r="C22" s="1280"/>
      <c r="D22" s="1280"/>
      <c r="E22" s="1280"/>
      <c r="F22" s="1280"/>
      <c r="G22" s="1280"/>
      <c r="H22" s="1280"/>
      <c r="I22" s="1282" t="str">
        <f>Orçamento!I40</f>
        <v>MESOESTRUTURA</v>
      </c>
      <c r="J22" s="1282"/>
      <c r="K22" s="1282"/>
      <c r="L22" s="1282"/>
      <c r="M22" s="1282"/>
      <c r="N22" s="1282"/>
      <c r="O22" s="1282"/>
      <c r="P22" s="1282"/>
      <c r="Q22" s="1282"/>
      <c r="R22" s="1282"/>
      <c r="S22" s="1282"/>
      <c r="T22" s="1282"/>
      <c r="U22" s="1282"/>
      <c r="V22" s="1282"/>
      <c r="W22" s="1282"/>
      <c r="X22" s="1282"/>
      <c r="Y22" s="1282"/>
      <c r="Z22" s="1282"/>
      <c r="AA22" s="1282"/>
      <c r="AB22" s="1283"/>
      <c r="AC22" s="1283"/>
      <c r="AD22" s="1283"/>
      <c r="AE22" s="1283"/>
      <c r="AF22" s="1283"/>
      <c r="AG22" s="1283"/>
      <c r="AH22" s="1283"/>
      <c r="AI22" s="1283"/>
      <c r="AJ22" s="1283"/>
      <c r="AK22" s="1283"/>
      <c r="AL22" s="1283"/>
      <c r="AM22" s="1283"/>
      <c r="AN22" s="1501">
        <f>Orçamento!AO40</f>
        <v>285180.89</v>
      </c>
      <c r="AO22" s="1501"/>
      <c r="AP22" s="1501"/>
      <c r="AQ22" s="1501"/>
      <c r="AR22" s="1502"/>
      <c r="AS22" s="1490">
        <f ca="1">AN22/AO$27</f>
        <v>0.311104235280729</v>
      </c>
      <c r="AT22" s="1490"/>
      <c r="AU22" s="1490"/>
      <c r="AV22" s="1491"/>
    </row>
    <row r="23" s="334" customFormat="1" customHeight="1" spans="1:48">
      <c r="A23" s="1499" t="s">
        <v>64</v>
      </c>
      <c r="B23" s="1500"/>
      <c r="C23" s="1280"/>
      <c r="D23" s="1280"/>
      <c r="E23" s="1280"/>
      <c r="F23" s="1280"/>
      <c r="G23" s="1280"/>
      <c r="H23" s="1280"/>
      <c r="I23" s="1282" t="str">
        <f>Orçamento!I82</f>
        <v>SUPERESTRUTURA</v>
      </c>
      <c r="J23" s="1282"/>
      <c r="K23" s="1282"/>
      <c r="L23" s="1282"/>
      <c r="M23" s="1282"/>
      <c r="N23" s="1282"/>
      <c r="O23" s="1282"/>
      <c r="P23" s="1282"/>
      <c r="Q23" s="1282"/>
      <c r="R23" s="1282"/>
      <c r="S23" s="1282"/>
      <c r="T23" s="1282"/>
      <c r="U23" s="1282"/>
      <c r="V23" s="1282"/>
      <c r="W23" s="1282"/>
      <c r="X23" s="1282"/>
      <c r="Y23" s="1282"/>
      <c r="Z23" s="1282"/>
      <c r="AA23" s="1282"/>
      <c r="AB23" s="1283"/>
      <c r="AC23" s="1283"/>
      <c r="AD23" s="1283"/>
      <c r="AE23" s="1283"/>
      <c r="AF23" s="1283"/>
      <c r="AG23" s="1283"/>
      <c r="AH23" s="1283"/>
      <c r="AI23" s="1283"/>
      <c r="AJ23" s="1283"/>
      <c r="AK23" s="1283"/>
      <c r="AL23" s="1283"/>
      <c r="AM23" s="1283"/>
      <c r="AN23" s="1501">
        <f>Orçamento!AO82</f>
        <v>243729.62</v>
      </c>
      <c r="AO23" s="1501"/>
      <c r="AP23" s="1501"/>
      <c r="AQ23" s="1501"/>
      <c r="AR23" s="1502"/>
      <c r="AS23" s="1490">
        <f ca="1">AN23/AO$27</f>
        <v>0.265884986351514</v>
      </c>
      <c r="AT23" s="1490"/>
      <c r="AU23" s="1490"/>
      <c r="AV23" s="1491"/>
    </row>
    <row r="24" s="334" customFormat="1" customHeight="1" spans="1:48">
      <c r="A24" s="1499" t="s">
        <v>65</v>
      </c>
      <c r="B24" s="1500"/>
      <c r="C24" s="1280"/>
      <c r="D24" s="1280"/>
      <c r="E24" s="1280"/>
      <c r="F24" s="1280"/>
      <c r="G24" s="1280"/>
      <c r="H24" s="1280"/>
      <c r="I24" s="1279" t="str">
        <f>Orçamento!I115</f>
        <v>SERVIÇOS COMPLEMENTARES</v>
      </c>
      <c r="J24" s="1279"/>
      <c r="K24" s="1279"/>
      <c r="L24" s="1279"/>
      <c r="M24" s="1279"/>
      <c r="N24" s="1279"/>
      <c r="O24" s="1279"/>
      <c r="P24" s="1279"/>
      <c r="Q24" s="1279"/>
      <c r="R24" s="1279"/>
      <c r="S24" s="1279"/>
      <c r="T24" s="1279"/>
      <c r="U24" s="1279"/>
      <c r="V24" s="1279"/>
      <c r="W24" s="1279"/>
      <c r="X24" s="1279"/>
      <c r="Y24" s="1279"/>
      <c r="Z24" s="1279"/>
      <c r="AA24" s="1279"/>
      <c r="AB24" s="1283"/>
      <c r="AC24" s="1283"/>
      <c r="AD24" s="1283"/>
      <c r="AE24" s="1283"/>
      <c r="AF24" s="1283"/>
      <c r="AG24" s="1283"/>
      <c r="AH24" s="1283"/>
      <c r="AI24" s="1283"/>
      <c r="AJ24" s="1283"/>
      <c r="AK24" s="1283"/>
      <c r="AL24" s="1283"/>
      <c r="AM24" s="1283"/>
      <c r="AN24" s="1501">
        <f>Orçamento!AO115</f>
        <v>11857.28</v>
      </c>
      <c r="AO24" s="1501"/>
      <c r="AP24" s="1501"/>
      <c r="AQ24" s="1501"/>
      <c r="AR24" s="1502"/>
      <c r="AS24" s="1490">
        <f ca="1">AN24/AO$27</f>
        <v>0.0129351234821852</v>
      </c>
      <c r="AT24" s="1490"/>
      <c r="AU24" s="1490"/>
      <c r="AV24" s="1491"/>
    </row>
    <row r="25" customHeight="1" spans="1:48">
      <c r="A25" s="1478" t="s">
        <v>66</v>
      </c>
      <c r="B25" s="1495"/>
      <c r="C25" s="1479"/>
      <c r="D25" s="1479"/>
      <c r="E25" s="1479"/>
      <c r="F25" s="1479"/>
      <c r="G25" s="1479"/>
      <c r="H25" s="1479"/>
      <c r="I25" s="1404" t="str">
        <f>Orçamento!I124</f>
        <v>ADMINISTRAÇÃO LOCAL</v>
      </c>
      <c r="J25" s="1404"/>
      <c r="K25" s="1404"/>
      <c r="L25" s="1404"/>
      <c r="M25" s="1404"/>
      <c r="N25" s="1404"/>
      <c r="O25" s="1404"/>
      <c r="P25" s="1404"/>
      <c r="Q25" s="1404"/>
      <c r="R25" s="1404"/>
      <c r="S25" s="1404"/>
      <c r="T25" s="1404"/>
      <c r="U25" s="1404"/>
      <c r="V25" s="1404"/>
      <c r="W25" s="1404"/>
      <c r="X25" s="1404"/>
      <c r="Y25" s="1404"/>
      <c r="Z25" s="1404"/>
      <c r="AA25" s="1404"/>
      <c r="AB25" s="1404"/>
      <c r="AC25" s="1404"/>
      <c r="AD25" s="1404"/>
      <c r="AE25" s="1404"/>
      <c r="AF25" s="1404"/>
      <c r="AG25" s="1404"/>
      <c r="AH25" s="1404"/>
      <c r="AI25" s="1404"/>
      <c r="AJ25" s="1404"/>
      <c r="AK25" s="1404"/>
      <c r="AL25" s="1404"/>
      <c r="AM25" s="1404"/>
      <c r="AN25" s="1404"/>
      <c r="AO25" s="1404"/>
      <c r="AP25" s="1404"/>
      <c r="AQ25" s="1404"/>
      <c r="AR25" s="1480"/>
      <c r="AS25" s="1481" t="s">
        <v>67</v>
      </c>
      <c r="AT25" s="1482"/>
      <c r="AU25" s="1482"/>
      <c r="AV25" s="1483"/>
    </row>
    <row r="26" customHeight="1" spans="1:48">
      <c r="A26" s="1484"/>
      <c r="B26" s="1485"/>
      <c r="C26" s="1454"/>
      <c r="D26" s="1454"/>
      <c r="E26" s="1454"/>
      <c r="F26" s="1454"/>
      <c r="G26" s="1454"/>
      <c r="H26" s="1454"/>
      <c r="I26" s="1485" t="str">
        <f>CONCATENATE("TOTAL - ",I25)</f>
        <v>TOTAL - ADMINISTRAÇÃO LOCAL</v>
      </c>
      <c r="J26" s="1485"/>
      <c r="K26" s="1485"/>
      <c r="L26" s="1485"/>
      <c r="M26" s="1485"/>
      <c r="N26" s="1485"/>
      <c r="O26" s="1485"/>
      <c r="P26" s="1485"/>
      <c r="Q26" s="1485"/>
      <c r="R26" s="1485"/>
      <c r="S26" s="1485"/>
      <c r="T26" s="1485"/>
      <c r="U26" s="1485"/>
      <c r="V26" s="1485"/>
      <c r="W26" s="1485"/>
      <c r="X26" s="1485"/>
      <c r="Y26" s="1485"/>
      <c r="Z26" s="1485"/>
      <c r="AA26" s="1485"/>
      <c r="AB26" s="1454"/>
      <c r="AC26" s="1454"/>
      <c r="AD26" s="1454"/>
      <c r="AE26" s="1454"/>
      <c r="AF26" s="1486"/>
      <c r="AG26" s="1486"/>
      <c r="AH26" s="1486"/>
      <c r="AI26" s="1487"/>
      <c r="AJ26" s="1487"/>
      <c r="AK26" s="1487"/>
      <c r="AL26" s="62"/>
      <c r="AM26" s="62"/>
      <c r="AN26" s="1488">
        <f ca="1">Orçamento!AO124</f>
        <v>92461.63</v>
      </c>
      <c r="AO26" s="1488"/>
      <c r="AP26" s="1488"/>
      <c r="AQ26" s="1488"/>
      <c r="AR26" s="1489"/>
      <c r="AS26" s="1490">
        <f ca="1">AN26/AO$27</f>
        <v>0.100866522626953</v>
      </c>
      <c r="AT26" s="1490"/>
      <c r="AU26" s="1490"/>
      <c r="AV26" s="1491"/>
    </row>
    <row r="27" customHeight="1" spans="1:48">
      <c r="A27" s="1503"/>
      <c r="B27" s="1504"/>
      <c r="C27" s="1505"/>
      <c r="D27" s="1505"/>
      <c r="E27" s="1505"/>
      <c r="F27" s="1505"/>
      <c r="G27" s="1505"/>
      <c r="H27" s="1505"/>
      <c r="I27" s="1432" t="s">
        <v>68</v>
      </c>
      <c r="J27" s="1432"/>
      <c r="K27" s="1432"/>
      <c r="L27" s="1432"/>
      <c r="M27" s="1432"/>
      <c r="N27" s="1432"/>
      <c r="O27" s="1432"/>
      <c r="P27" s="1432"/>
      <c r="Q27" s="1432"/>
      <c r="R27" s="1432"/>
      <c r="S27" s="1432"/>
      <c r="T27" s="1432"/>
      <c r="U27" s="1432"/>
      <c r="V27" s="1432"/>
      <c r="W27" s="1432"/>
      <c r="X27" s="1432"/>
      <c r="Y27" s="1432"/>
      <c r="Z27" s="1432"/>
      <c r="AA27" s="1432"/>
      <c r="AB27" s="1505"/>
      <c r="AC27" s="1505"/>
      <c r="AD27" s="1505"/>
      <c r="AE27" s="1505"/>
      <c r="AF27" s="1506"/>
      <c r="AG27" s="1506"/>
      <c r="AH27" s="1506"/>
      <c r="AI27" s="1507"/>
      <c r="AJ27" s="1507"/>
      <c r="AK27" s="1507"/>
      <c r="AL27" s="1507"/>
      <c r="AM27" s="1507"/>
      <c r="AN27" s="1507"/>
      <c r="AO27" s="1508">
        <f ca="1">AN17+AN19+SUM(AN21:AR24)+AN26</f>
        <v>916673.12</v>
      </c>
      <c r="AP27" s="1508"/>
      <c r="AQ27" s="1508"/>
      <c r="AR27" s="1509"/>
      <c r="AS27" s="1481"/>
      <c r="AT27" s="1482"/>
      <c r="AU27" s="1482"/>
      <c r="AV27" s="1483"/>
    </row>
    <row r="28" customHeight="1" spans="1:48">
      <c r="A28" s="1503"/>
      <c r="B28" s="1504"/>
      <c r="C28" s="1505"/>
      <c r="D28" s="1505"/>
      <c r="E28" s="1505"/>
      <c r="F28" s="1505"/>
      <c r="G28" s="1505"/>
      <c r="H28" s="1505"/>
      <c r="I28" s="1432" t="s">
        <v>69</v>
      </c>
      <c r="J28" s="1432"/>
      <c r="K28" s="1432"/>
      <c r="L28" s="1432"/>
      <c r="M28" s="1432"/>
      <c r="N28" s="1432"/>
      <c r="O28" s="1432"/>
      <c r="P28" s="1432"/>
      <c r="Q28" s="1432"/>
      <c r="R28" s="1432"/>
      <c r="S28" s="1432"/>
      <c r="T28" s="1432"/>
      <c r="U28" s="1432"/>
      <c r="V28" s="1432"/>
      <c r="W28" s="1432"/>
      <c r="X28" s="1432"/>
      <c r="Y28" s="1432"/>
      <c r="Z28" s="1432"/>
      <c r="AA28" s="1432"/>
      <c r="AB28" s="1505"/>
      <c r="AC28" s="1505"/>
      <c r="AD28" s="1505"/>
      <c r="AE28" s="1505"/>
      <c r="AF28" s="1506"/>
      <c r="AG28" s="1506"/>
      <c r="AH28" s="1506"/>
      <c r="AI28" s="1507"/>
      <c r="AJ28" s="1507"/>
      <c r="AK28" s="1507"/>
      <c r="AL28" s="1507"/>
      <c r="AM28" s="1507"/>
      <c r="AN28" s="1507"/>
      <c r="AO28" s="1508">
        <f ca="1">$AO$27/$AO$8</f>
        <v>10185.2568888889</v>
      </c>
      <c r="AP28" s="1508"/>
      <c r="AQ28" s="1508"/>
      <c r="AR28" s="1509"/>
      <c r="AS28" s="1510"/>
      <c r="AT28" s="1510"/>
      <c r="AU28" s="1510"/>
      <c r="AV28" s="1511"/>
    </row>
    <row r="29" customHeight="1" spans="1:48">
      <c r="A29" s="1512"/>
      <c r="B29" s="1512"/>
      <c r="C29" s="1512"/>
      <c r="D29" s="1512"/>
      <c r="E29" s="1512"/>
      <c r="F29" s="1512"/>
      <c r="G29" s="1512"/>
      <c r="H29" s="1512"/>
      <c r="I29" s="1470"/>
      <c r="J29" s="1470"/>
      <c r="K29" s="1470"/>
      <c r="L29" s="1470"/>
      <c r="M29" s="1470"/>
      <c r="N29" s="1470"/>
      <c r="O29" s="1470"/>
      <c r="P29" s="1470"/>
      <c r="Q29" s="1470"/>
      <c r="R29" s="1470"/>
      <c r="S29" s="1470"/>
      <c r="T29" s="1470"/>
      <c r="U29" s="1470"/>
      <c r="V29" s="1470"/>
      <c r="W29" s="1470"/>
      <c r="X29" s="1470"/>
      <c r="Y29" s="1291"/>
      <c r="Z29" s="1291"/>
      <c r="AA29" s="1291"/>
      <c r="AB29" s="1513"/>
      <c r="AC29" s="1513"/>
      <c r="AD29" s="1513"/>
      <c r="AE29" s="1291"/>
      <c r="AF29" s="1291"/>
      <c r="AG29" s="1291"/>
      <c r="AH29" s="1513"/>
      <c r="AI29" s="1513"/>
      <c r="AJ29" s="1513"/>
      <c r="AK29" s="1291"/>
      <c r="AL29" s="1291"/>
      <c r="AM29" s="1291"/>
      <c r="AN29" s="1513"/>
      <c r="AO29" s="1513"/>
      <c r="AP29" s="1513"/>
    </row>
    <row r="30" customHeight="1" spans="1:48">
      <c r="A30" s="1512"/>
      <c r="B30" s="1512"/>
      <c r="C30" s="1512"/>
      <c r="D30" s="1512"/>
      <c r="E30" s="1512"/>
      <c r="F30" s="1512"/>
      <c r="G30" s="1512"/>
      <c r="H30" s="1512"/>
      <c r="I30" s="1512"/>
      <c r="J30" s="1512"/>
      <c r="K30" s="1512"/>
      <c r="L30" s="1512"/>
      <c r="M30" s="1512"/>
      <c r="N30" s="1512"/>
      <c r="O30" s="1512"/>
      <c r="P30" s="1512"/>
      <c r="Q30" s="1512"/>
      <c r="R30" s="1512"/>
      <c r="S30" s="1512"/>
      <c r="T30" s="1512"/>
      <c r="U30" s="1512"/>
      <c r="V30" s="1512"/>
      <c r="W30" s="1512"/>
      <c r="X30" s="1512"/>
      <c r="Y30" s="1512"/>
      <c r="Z30" s="1512"/>
      <c r="AA30" s="1512"/>
      <c r="AB30" s="1512"/>
      <c r="AC30" s="1512"/>
      <c r="AD30" s="1512"/>
      <c r="AE30" s="1512"/>
      <c r="AF30" s="1512"/>
      <c r="AG30" s="1512"/>
      <c r="AH30" s="1512"/>
      <c r="AI30" s="1512"/>
      <c r="AJ30" s="1512"/>
      <c r="AK30" s="1512"/>
      <c r="AL30" s="1512"/>
      <c r="AM30" s="1512"/>
      <c r="AN30" s="1512"/>
      <c r="AO30" s="1512"/>
      <c r="AP30" s="1512"/>
    </row>
    <row r="31" customHeight="1" spans="1:48">
      <c r="A31" s="1512"/>
      <c r="B31" s="1512"/>
      <c r="C31" s="1512"/>
      <c r="D31" s="1512"/>
      <c r="E31" s="1512"/>
      <c r="F31" s="1512"/>
      <c r="G31" s="1512"/>
      <c r="H31" s="1512"/>
      <c r="I31" s="1470"/>
      <c r="J31" s="1470"/>
      <c r="K31" s="1470"/>
      <c r="L31" s="1470"/>
      <c r="M31" s="1470"/>
      <c r="N31" s="1470"/>
      <c r="O31" s="1470"/>
      <c r="P31" s="1470"/>
      <c r="Q31" s="1470"/>
      <c r="R31" s="1470"/>
      <c r="S31" s="1470"/>
      <c r="T31" s="1470"/>
      <c r="U31" s="1470"/>
      <c r="V31" s="1470"/>
      <c r="W31" s="1470"/>
      <c r="X31" s="1470"/>
      <c r="Y31" s="1291"/>
      <c r="Z31" s="1291"/>
      <c r="AA31" s="1291"/>
      <c r="AB31" s="1513"/>
      <c r="AC31" s="1513"/>
      <c r="AD31" s="1513"/>
      <c r="AE31" s="1291"/>
      <c r="AF31" s="1291"/>
      <c r="AG31" s="1291"/>
      <c r="AH31" s="1513"/>
      <c r="AI31" s="1513"/>
      <c r="AJ31" s="1513"/>
      <c r="AK31" s="1291"/>
      <c r="AL31" s="1291"/>
      <c r="AM31" s="1291"/>
      <c r="AN31" s="1513"/>
      <c r="AO31" s="1513"/>
      <c r="AP31" s="1513"/>
    </row>
    <row r="32" customHeight="1" spans="1:48">
      <c r="A32" s="1512"/>
      <c r="B32" s="1512"/>
      <c r="C32" s="1512"/>
      <c r="D32" s="1512"/>
      <c r="E32" s="1512"/>
      <c r="F32" s="1512"/>
      <c r="G32" s="1512"/>
      <c r="H32" s="1512"/>
      <c r="I32" s="1470"/>
      <c r="J32" s="1470"/>
      <c r="K32" s="1470"/>
      <c r="L32" s="1470"/>
      <c r="M32" s="1470"/>
      <c r="N32" s="1470"/>
      <c r="O32" s="1470"/>
      <c r="P32" s="1470"/>
      <c r="Q32" s="1470"/>
      <c r="R32" s="1470"/>
      <c r="S32" s="1470"/>
      <c r="T32" s="1470"/>
      <c r="U32" s="1470"/>
      <c r="V32" s="1470"/>
      <c r="W32" s="1470"/>
      <c r="X32" s="1470"/>
      <c r="Y32" s="1291"/>
      <c r="Z32" s="1291"/>
      <c r="AA32" s="1291"/>
      <c r="AB32" s="1513"/>
      <c r="AC32" s="1513"/>
      <c r="AD32" s="1513"/>
      <c r="AE32" s="1291"/>
      <c r="AF32" s="1291"/>
      <c r="AG32" s="1291"/>
      <c r="AH32" s="1513"/>
      <c r="AI32" s="1513"/>
      <c r="AJ32" s="1513"/>
      <c r="AK32" s="1291"/>
      <c r="AL32" s="1291"/>
      <c r="AM32" s="1291"/>
      <c r="AN32" s="1513"/>
      <c r="AO32" s="1513"/>
      <c r="AP32" s="1513"/>
    </row>
    <row r="33" customHeight="1" spans="1:42">
      <c r="A33" s="1512"/>
      <c r="B33" s="1512"/>
      <c r="C33" s="1512"/>
      <c r="D33" s="1512"/>
      <c r="E33" s="1512"/>
      <c r="F33" s="1512"/>
      <c r="G33" s="1512"/>
      <c r="H33" s="1512"/>
      <c r="I33" s="1470"/>
      <c r="J33" s="1470"/>
      <c r="K33" s="1470"/>
      <c r="L33" s="1470"/>
      <c r="M33" s="1470"/>
      <c r="N33" s="1470"/>
      <c r="O33" s="1470"/>
      <c r="P33" s="1470"/>
      <c r="Q33" s="1470"/>
      <c r="R33" s="1470"/>
      <c r="S33" s="1470"/>
      <c r="T33" s="1470"/>
      <c r="U33" s="1470"/>
      <c r="V33" s="1470"/>
      <c r="W33" s="1470"/>
      <c r="X33" s="1470"/>
      <c r="Y33" s="1291"/>
      <c r="Z33" s="1291"/>
      <c r="AA33" s="1291"/>
      <c r="AB33" s="1513"/>
      <c r="AC33" s="1513"/>
      <c r="AD33" s="1513"/>
      <c r="AE33" s="1291"/>
      <c r="AF33" s="1291"/>
      <c r="AG33" s="1291"/>
      <c r="AH33" s="1513"/>
      <c r="AI33" s="1513"/>
      <c r="AJ33" s="1513"/>
      <c r="AK33" s="1291"/>
      <c r="AL33" s="1291"/>
      <c r="AM33" s="1291"/>
      <c r="AN33" s="1513"/>
      <c r="AO33" s="1513"/>
      <c r="AP33" s="1513"/>
    </row>
    <row r="34" customHeight="1" spans="1:42">
      <c r="A34" s="1512"/>
      <c r="B34" s="1512"/>
      <c r="C34" s="1512"/>
      <c r="D34" s="1512"/>
      <c r="E34" s="1512"/>
      <c r="F34" s="1512"/>
      <c r="G34" s="1512"/>
      <c r="H34" s="1512"/>
      <c r="I34" s="1470"/>
      <c r="J34" s="1470"/>
      <c r="K34" s="1470"/>
      <c r="L34" s="1470"/>
      <c r="M34" s="1470"/>
      <c r="N34" s="1470"/>
      <c r="O34" s="1470"/>
      <c r="P34" s="1470"/>
      <c r="Q34" s="1470"/>
      <c r="R34" s="1470"/>
      <c r="S34" s="1470"/>
      <c r="T34" s="1470"/>
      <c r="U34" s="1470"/>
      <c r="V34" s="1470"/>
      <c r="W34" s="1470"/>
      <c r="X34" s="1470"/>
      <c r="Y34" s="1291"/>
      <c r="Z34" s="1291"/>
      <c r="AA34" s="1291"/>
      <c r="AB34" s="1513"/>
      <c r="AC34" s="1513"/>
      <c r="AD34" s="1513"/>
      <c r="AE34" s="1291"/>
      <c r="AF34" s="1291"/>
      <c r="AG34" s="1291"/>
      <c r="AH34" s="1513"/>
      <c r="AI34" s="1513"/>
      <c r="AJ34" s="1513"/>
      <c r="AK34" s="1291"/>
      <c r="AL34" s="1291"/>
      <c r="AM34" s="1291"/>
      <c r="AN34" s="1513"/>
      <c r="AO34" s="1513"/>
      <c r="AP34" s="1513"/>
    </row>
    <row r="35" customHeight="1" spans="1:42">
      <c r="A35" s="1512"/>
      <c r="B35" s="1512"/>
      <c r="C35" s="1512"/>
      <c r="D35" s="1512"/>
      <c r="E35" s="1512"/>
      <c r="F35" s="1512"/>
      <c r="G35" s="1512"/>
      <c r="H35" s="1512"/>
      <c r="I35" s="1470"/>
      <c r="J35" s="1470"/>
      <c r="K35" s="1470"/>
      <c r="L35" s="1470"/>
      <c r="M35" s="1470"/>
      <c r="N35" s="1470"/>
      <c r="O35" s="1470"/>
      <c r="P35" s="1470"/>
      <c r="Q35" s="1470"/>
      <c r="R35" s="1470"/>
      <c r="S35" s="1470"/>
      <c r="T35" s="1470"/>
      <c r="U35" s="1470"/>
      <c r="V35" s="1470"/>
      <c r="W35" s="1470"/>
      <c r="X35" s="1470"/>
      <c r="Y35" s="1291"/>
      <c r="Z35" s="1291"/>
      <c r="AA35" s="1291"/>
      <c r="AB35" s="1513"/>
      <c r="AC35" s="1513"/>
      <c r="AD35" s="1513"/>
      <c r="AE35" s="1291"/>
      <c r="AF35" s="1291"/>
      <c r="AG35" s="1291"/>
      <c r="AH35" s="1513"/>
      <c r="AI35" s="1513"/>
      <c r="AJ35" s="1513"/>
      <c r="AK35" s="1291"/>
      <c r="AL35" s="1291"/>
      <c r="AM35" s="1291"/>
      <c r="AN35" s="1513"/>
      <c r="AO35" s="1513"/>
      <c r="AP35" s="1513"/>
    </row>
    <row r="253" customHeight="1" spans="8:8">
      <c r="H253" t="s">
        <v>70</v>
      </c>
    </row>
  </sheetData>
  <mergeCells count="171">
    <mergeCell ref="A4:H4"/>
    <mergeCell ref="I4:AR4"/>
    <mergeCell ref="A5:H5"/>
    <mergeCell ref="I5:AR5"/>
    <mergeCell ref="A6:H6"/>
    <mergeCell ref="I6:AR6"/>
    <mergeCell ref="A7:H7"/>
    <mergeCell ref="I7:AR7"/>
    <mergeCell ref="A8:H8"/>
    <mergeCell ref="I8:AH8"/>
    <mergeCell ref="AI8:AN8"/>
    <mergeCell ref="AO8:AP8"/>
    <mergeCell ref="AQ8:AR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AI11:AN11"/>
    <mergeCell ref="AO11:AP11"/>
    <mergeCell ref="AQ11:AR11"/>
    <mergeCell ref="A12:H12"/>
    <mergeCell ref="I12:U12"/>
    <mergeCell ref="V12:AH12"/>
    <mergeCell ref="A13:AR13"/>
    <mergeCell ref="A14:AR14"/>
    <mergeCell ref="A15:B15"/>
    <mergeCell ref="C15:E15"/>
    <mergeCell ref="F15:H15"/>
    <mergeCell ref="I15:AA15"/>
    <mergeCell ref="AB15:AC15"/>
    <mergeCell ref="AD15:AE15"/>
    <mergeCell ref="AF15:AH15"/>
    <mergeCell ref="AN15:AR15"/>
    <mergeCell ref="A16:B16"/>
    <mergeCell ref="C16:E16"/>
    <mergeCell ref="F16:H16"/>
    <mergeCell ref="I16:AR16"/>
    <mergeCell ref="AS16:AV16"/>
    <mergeCell ref="A17:B17"/>
    <mergeCell ref="C17:E17"/>
    <mergeCell ref="F17:H17"/>
    <mergeCell ref="I17:AA17"/>
    <mergeCell ref="AB17:AC17"/>
    <mergeCell ref="AD17:AE17"/>
    <mergeCell ref="AF17:AH17"/>
    <mergeCell ref="AN17:AR17"/>
    <mergeCell ref="AS17:AV17"/>
    <mergeCell ref="A18:B18"/>
    <mergeCell ref="C18:E18"/>
    <mergeCell ref="F18:H18"/>
    <mergeCell ref="I18:AR18"/>
    <mergeCell ref="AS18:AV18"/>
    <mergeCell ref="A19:B19"/>
    <mergeCell ref="C19:E19"/>
    <mergeCell ref="F19:H19"/>
    <mergeCell ref="I19:AA19"/>
    <mergeCell ref="AB19:AC19"/>
    <mergeCell ref="AD19:AE19"/>
    <mergeCell ref="AF19:AH19"/>
    <mergeCell ref="AN19:AR19"/>
    <mergeCell ref="AS19:AV19"/>
    <mergeCell ref="A20:B20"/>
    <mergeCell ref="C20:E20"/>
    <mergeCell ref="F20:H20"/>
    <mergeCell ref="I20:AR20"/>
    <mergeCell ref="AS20:AV20"/>
    <mergeCell ref="A21:B21"/>
    <mergeCell ref="C21:E21"/>
    <mergeCell ref="F21:H21"/>
    <mergeCell ref="I21:AA21"/>
    <mergeCell ref="AN21:AR21"/>
    <mergeCell ref="AS21:AV21"/>
    <mergeCell ref="A22:B22"/>
    <mergeCell ref="I22:AA22"/>
    <mergeCell ref="AN22:AR22"/>
    <mergeCell ref="AS22:AV22"/>
    <mergeCell ref="A23:B23"/>
    <mergeCell ref="I23:AA23"/>
    <mergeCell ref="AN23:AR23"/>
    <mergeCell ref="AS23:AV23"/>
    <mergeCell ref="A24:B24"/>
    <mergeCell ref="AN24:AR24"/>
    <mergeCell ref="AS24:AV24"/>
    <mergeCell ref="A25:B25"/>
    <mergeCell ref="C25:E25"/>
    <mergeCell ref="F25:H25"/>
    <mergeCell ref="I25:AR25"/>
    <mergeCell ref="AS25:AV25"/>
    <mergeCell ref="A26:B26"/>
    <mergeCell ref="C26:E26"/>
    <mergeCell ref="F26:H26"/>
    <mergeCell ref="I26:AA26"/>
    <mergeCell ref="AB26:AC26"/>
    <mergeCell ref="AD26:AE26"/>
    <mergeCell ref="AF26:AH26"/>
    <mergeCell ref="AN26:AR26"/>
    <mergeCell ref="AS26:AV26"/>
    <mergeCell ref="A27:B27"/>
    <mergeCell ref="C27:E27"/>
    <mergeCell ref="F27:H27"/>
    <mergeCell ref="I27:AA27"/>
    <mergeCell ref="AB27:AC27"/>
    <mergeCell ref="AD27:AE27"/>
    <mergeCell ref="AF27:AH27"/>
    <mergeCell ref="AO27:AR27"/>
    <mergeCell ref="AS27:AV27"/>
    <mergeCell ref="A28:B28"/>
    <mergeCell ref="C28:E28"/>
    <mergeCell ref="F28:H28"/>
    <mergeCell ref="I28:AA28"/>
    <mergeCell ref="AB28:AC28"/>
    <mergeCell ref="AD28:AE28"/>
    <mergeCell ref="AF28:AH28"/>
    <mergeCell ref="AO28:AR28"/>
    <mergeCell ref="AS28:AV28"/>
    <mergeCell ref="A29:H29"/>
    <mergeCell ref="I29:X29"/>
    <mergeCell ref="Y29:AA29"/>
    <mergeCell ref="AB29:AD29"/>
    <mergeCell ref="AE29:AG29"/>
    <mergeCell ref="AH29:AJ29"/>
    <mergeCell ref="AK29:AM29"/>
    <mergeCell ref="AN29:AP29"/>
    <mergeCell ref="A30:AP30"/>
    <mergeCell ref="A31:H31"/>
    <mergeCell ref="I31:X31"/>
    <mergeCell ref="Y31:AA31"/>
    <mergeCell ref="AB31:AD31"/>
    <mergeCell ref="AE31:AG31"/>
    <mergeCell ref="AH31:AJ31"/>
    <mergeCell ref="AK31:AM31"/>
    <mergeCell ref="AN31:AP31"/>
    <mergeCell ref="A32:H32"/>
    <mergeCell ref="I32:X32"/>
    <mergeCell ref="Y32:AA32"/>
    <mergeCell ref="AB32:AD32"/>
    <mergeCell ref="AE32:AG32"/>
    <mergeCell ref="AH32:AJ32"/>
    <mergeCell ref="AK32:AM32"/>
    <mergeCell ref="AN32:AP32"/>
    <mergeCell ref="A33:H33"/>
    <mergeCell ref="I33:X33"/>
    <mergeCell ref="Y33:AA33"/>
    <mergeCell ref="AB33:AD33"/>
    <mergeCell ref="AE33:AG33"/>
    <mergeCell ref="AH33:AJ33"/>
    <mergeCell ref="AK33:AM33"/>
    <mergeCell ref="AN33:AP33"/>
    <mergeCell ref="A34:H34"/>
    <mergeCell ref="I34:X34"/>
    <mergeCell ref="Y34:AA34"/>
    <mergeCell ref="AB34:AD34"/>
    <mergeCell ref="AE34:AG34"/>
    <mergeCell ref="AH34:AJ34"/>
    <mergeCell ref="AK34:AM34"/>
    <mergeCell ref="AN34:AP34"/>
    <mergeCell ref="A35:H35"/>
    <mergeCell ref="I35:X35"/>
    <mergeCell ref="Y35:AA35"/>
    <mergeCell ref="AB35:AD35"/>
    <mergeCell ref="AE35:AG35"/>
    <mergeCell ref="AH35:AJ35"/>
    <mergeCell ref="AK35:AM35"/>
    <mergeCell ref="AN35:AP35"/>
  </mergeCells>
  <printOptions horizontalCentered="1"/>
  <pageMargins left="0.393700787401575" right="0.393700787401575" top="0.393700787401575" bottom="0.78740157480315" header="0" footer="0.31496062992126"/>
  <pageSetup paperSize="9" orientation="portrait"/>
  <headerFooter>
    <oddFooter>&amp;L&amp;G&amp;R&amp;9Projeto Executivo de Engenharia, Estudos e
Orçamentos para a Construção de Ponte Rodoviária
em Concreto Armado - Rodovia Vicinal</oddFooter>
  </headerFooter>
  <ignoredErrors>
    <ignoredError sqref="B25" numberStoredAsText="1"/>
  </ignoredErrors>
  <drawing r:id="rId1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AZ189"/>
  <sheetViews>
    <sheetView showGridLines="0" view="pageBreakPreview" zoomScale="160" zoomScalePageLayoutView="140" zoomScaleNormal="160" workbookViewId="0">
      <selection activeCell="A1" sqref="A1"/>
    </sheetView>
  </sheetViews>
  <sheetFormatPr defaultColWidth="2.1047619047619" defaultRowHeight="12.75" customHeight="1"/>
  <cols>
    <col min="19" max="19" width="2.66666666666667" customWidth="1"/>
    <col min="37" max="37" width="3.33333333333333" customWidth="1"/>
    <col min="42" max="42" width="2.66666666666667" customWidth="1"/>
    <col min="45" max="45" width="2.1047619047619" style="1258"/>
    <col min="46" max="46" width="6.55238095238095" customWidth="1"/>
    <col min="47" max="48" width="8.33333333333333" customWidth="1"/>
    <col min="49" max="49" width="9.43809523809524" customWidth="1"/>
    <col min="50" max="52" width="8.33333333333333" customWidth="1"/>
  </cols>
  <sheetData>
    <row r="4" ht="14.4" customHeight="1" spans="1:45">
      <c r="A4" s="40" t="s">
        <v>17</v>
      </c>
      <c r="B4" s="41"/>
      <c r="C4" s="41"/>
      <c r="D4" s="41"/>
      <c r="E4" s="41"/>
      <c r="F4" s="41"/>
      <c r="G4" s="41"/>
      <c r="H4" s="41"/>
      <c r="I4" s="672" t="s">
        <v>18</v>
      </c>
      <c r="J4" s="672"/>
      <c r="K4" s="672"/>
      <c r="L4" s="672"/>
      <c r="M4" s="672"/>
      <c r="N4" s="672"/>
      <c r="O4" s="672"/>
      <c r="P4" s="672"/>
      <c r="Q4" s="672"/>
      <c r="R4" s="672"/>
      <c r="S4" s="672"/>
      <c r="T4" s="672"/>
      <c r="U4" s="672"/>
      <c r="V4" s="672"/>
      <c r="W4" s="672"/>
      <c r="X4" s="672"/>
      <c r="Y4" s="672"/>
      <c r="Z4" s="672"/>
      <c r="AA4" s="672"/>
      <c r="AB4" s="672"/>
      <c r="AC4" s="672"/>
      <c r="AD4" s="672"/>
      <c r="AE4" s="672"/>
      <c r="AF4" s="672"/>
      <c r="AG4" s="672"/>
      <c r="AH4" s="672"/>
      <c r="AI4" s="672"/>
      <c r="AJ4" s="672"/>
      <c r="AK4" s="672"/>
      <c r="AL4" s="672"/>
      <c r="AM4" s="672"/>
      <c r="AN4" s="672"/>
      <c r="AO4" s="672"/>
      <c r="AP4" s="672"/>
      <c r="AQ4" s="672"/>
      <c r="AR4" s="673"/>
    </row>
    <row r="5" customHeight="1" spans="1:45">
      <c r="A5" s="44" t="str">
        <f>Dados!A5</f>
        <v>MUNICÍPIO:</v>
      </c>
      <c r="B5" s="45"/>
      <c r="C5" s="45"/>
      <c r="D5" s="45"/>
      <c r="E5" s="45"/>
      <c r="F5" s="45"/>
      <c r="G5" s="45"/>
      <c r="H5" s="45"/>
      <c r="I5" s="46" t="s">
        <v>19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7"/>
    </row>
    <row r="6" customHeight="1" spans="1:45">
      <c r="A6" s="44" t="str">
        <f>Dados!A6</f>
        <v>RODOVIA/ESTRADA:</v>
      </c>
      <c r="B6" s="45"/>
      <c r="C6" s="45"/>
      <c r="D6" s="45"/>
      <c r="E6" s="45"/>
      <c r="F6" s="45"/>
      <c r="G6" s="45"/>
      <c r="H6" s="45"/>
      <c r="I6" s="46" t="s">
        <v>20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7"/>
    </row>
    <row r="7" ht="14.4" customHeight="1" spans="1:45">
      <c r="A7" s="44" t="str">
        <f>Dados!A7</f>
        <v>LOCAL:</v>
      </c>
      <c r="B7" s="45"/>
      <c r="C7" s="45"/>
      <c r="D7" s="45"/>
      <c r="E7" s="45"/>
      <c r="F7" s="45"/>
      <c r="G7" s="45"/>
      <c r="H7" s="45"/>
      <c r="I7" s="674" t="s">
        <v>21</v>
      </c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5"/>
    </row>
    <row r="8" customHeight="1" spans="1:45">
      <c r="A8" s="44" t="str">
        <f>Dados!A8</f>
        <v>COORDENADAS:</v>
      </c>
      <c r="B8" s="45"/>
      <c r="C8" s="45"/>
      <c r="D8" s="45"/>
      <c r="E8" s="45"/>
      <c r="F8" s="45"/>
      <c r="G8" s="45"/>
      <c r="H8" s="45"/>
      <c r="I8" s="46" t="s">
        <v>23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5" t="str">
        <f>Dados!AI8</f>
        <v>ÁREA:</v>
      </c>
      <c r="AJ8" s="45"/>
      <c r="AK8" s="45"/>
      <c r="AL8" s="45"/>
      <c r="AM8" s="45"/>
      <c r="AN8" s="45"/>
      <c r="AO8" s="827">
        <f>IF(Dados!AO8="","",Dados!AO8)</f>
        <v>90</v>
      </c>
      <c r="AP8" s="827"/>
      <c r="AQ8" s="52" t="s">
        <v>7</v>
      </c>
      <c r="AR8" s="53"/>
    </row>
    <row r="9" customHeight="1" spans="1:45">
      <c r="A9" s="44" t="str">
        <f>Dados!A9</f>
        <v>COMPRIMENTO:</v>
      </c>
      <c r="B9" s="45"/>
      <c r="C9" s="45"/>
      <c r="D9" s="45"/>
      <c r="E9" s="45"/>
      <c r="F9" s="45"/>
      <c r="G9" s="45"/>
      <c r="H9" s="45"/>
      <c r="I9" s="54">
        <v>15</v>
      </c>
      <c r="J9" s="54"/>
      <c r="K9" s="52" t="s">
        <v>9</v>
      </c>
      <c r="L9" s="52"/>
      <c r="M9" s="55"/>
      <c r="N9" s="55"/>
      <c r="AR9" s="56"/>
    </row>
    <row r="10" customHeight="1" spans="1:45">
      <c r="A10" s="44" t="str">
        <f>Dados!A10</f>
        <v>LARGURA:</v>
      </c>
      <c r="B10" s="45"/>
      <c r="C10" s="45"/>
      <c r="D10" s="45"/>
      <c r="E10" s="45"/>
      <c r="F10" s="45"/>
      <c r="G10" s="45"/>
      <c r="H10" s="45"/>
      <c r="I10" s="54">
        <v>6</v>
      </c>
      <c r="J10" s="54"/>
      <c r="K10" s="52" t="s">
        <v>9</v>
      </c>
      <c r="L10" s="52"/>
      <c r="M10" s="55"/>
      <c r="N10" s="55"/>
      <c r="AR10" s="56"/>
    </row>
    <row r="11" customHeight="1" spans="1:45">
      <c r="A11" s="44" t="s">
        <v>11</v>
      </c>
      <c r="B11" s="45"/>
      <c r="C11" s="45"/>
      <c r="D11" s="45"/>
      <c r="E11" s="45"/>
      <c r="F11" s="45"/>
      <c r="G11" s="45"/>
      <c r="H11" s="45"/>
      <c r="I11" s="45" t="s">
        <v>24</v>
      </c>
      <c r="J11" s="45"/>
      <c r="K11" s="45"/>
      <c r="L11" s="57">
        <v>0.1527</v>
      </c>
      <c r="M11" s="57"/>
      <c r="N11" s="57"/>
      <c r="O11" s="45" t="s">
        <v>13</v>
      </c>
      <c r="P11" s="45"/>
      <c r="Q11" s="45"/>
      <c r="R11" s="57">
        <v>0.2391</v>
      </c>
      <c r="S11" s="57"/>
      <c r="T11" s="57"/>
      <c r="AI11" s="45" t="str">
        <f>Dados!AI11</f>
        <v>PRAZO DE EXECUÇÃO:</v>
      </c>
      <c r="AJ11" s="45"/>
      <c r="AK11" s="45"/>
      <c r="AL11" s="45"/>
      <c r="AM11" s="45"/>
      <c r="AN11" s="45"/>
      <c r="AO11" s="58">
        <f>IF(Dados!AO11="","",Dados!AO11)</f>
        <v>120</v>
      </c>
      <c r="AP11" s="58"/>
      <c r="AQ11" s="52" t="s">
        <v>15</v>
      </c>
      <c r="AR11" s="53"/>
    </row>
    <row r="12" customHeight="1" spans="1:45">
      <c r="A12" s="59" t="s">
        <v>16</v>
      </c>
      <c r="B12" s="60"/>
      <c r="C12" s="60"/>
      <c r="D12" s="60"/>
      <c r="E12" s="60"/>
      <c r="F12" s="60"/>
      <c r="G12" s="60"/>
      <c r="H12" s="60"/>
      <c r="I12" s="61" t="s">
        <v>25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">
        <v>26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R12" s="64"/>
    </row>
    <row r="13" customHeight="1" spans="1:45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</row>
    <row r="14" customHeight="1" spans="1:45">
      <c r="A14" s="290" t="s">
        <v>71</v>
      </c>
      <c r="B14" s="291"/>
      <c r="C14" s="291"/>
      <c r="D14" s="291"/>
      <c r="E14" s="291"/>
      <c r="F14" s="291"/>
      <c r="G14" s="291"/>
      <c r="H14" s="291"/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1"/>
      <c r="T14" s="291"/>
      <c r="U14" s="291"/>
      <c r="V14" s="291"/>
      <c r="W14" s="291"/>
      <c r="X14" s="291"/>
      <c r="Y14" s="291"/>
      <c r="Z14" s="291"/>
      <c r="AA14" s="291"/>
      <c r="AB14" s="291"/>
      <c r="AC14" s="291"/>
      <c r="AD14" s="291"/>
      <c r="AE14" s="291"/>
      <c r="AF14" s="291"/>
      <c r="AG14" s="291"/>
      <c r="AH14" s="291"/>
      <c r="AI14" s="291"/>
      <c r="AJ14" s="291"/>
      <c r="AK14" s="291"/>
      <c r="AL14" s="291"/>
      <c r="AM14" s="291"/>
      <c r="AN14" s="291"/>
      <c r="AO14" s="291"/>
      <c r="AP14" s="291"/>
      <c r="AQ14" s="291"/>
      <c r="AR14" s="292"/>
    </row>
    <row r="15" customHeight="1" spans="1:45">
      <c r="A15" s="1259" t="s">
        <v>53</v>
      </c>
      <c r="B15" s="1260"/>
      <c r="C15" s="1260" t="s">
        <v>54</v>
      </c>
      <c r="D15" s="1260"/>
      <c r="E15" s="1260"/>
      <c r="F15" s="1260" t="s">
        <v>55</v>
      </c>
      <c r="G15" s="1260"/>
      <c r="H15" s="1260"/>
      <c r="I15" s="1260" t="s">
        <v>56</v>
      </c>
      <c r="J15" s="1260"/>
      <c r="K15" s="1260"/>
      <c r="L15" s="1260"/>
      <c r="M15" s="1260"/>
      <c r="N15" s="1260"/>
      <c r="O15" s="1260"/>
      <c r="P15" s="1260"/>
      <c r="Q15" s="1260"/>
      <c r="R15" s="1260"/>
      <c r="S15" s="1260"/>
      <c r="T15" s="1260"/>
      <c r="U15" s="1260"/>
      <c r="V15" s="1260"/>
      <c r="W15" s="1260"/>
      <c r="X15" s="1260"/>
      <c r="Y15" s="1260"/>
      <c r="Z15" s="1260"/>
      <c r="AA15" s="1260"/>
      <c r="AD15" s="1260" t="s">
        <v>72</v>
      </c>
      <c r="AE15" s="1260"/>
      <c r="AF15" s="1260" t="s">
        <v>73</v>
      </c>
      <c r="AG15" s="1260"/>
      <c r="AH15" s="1260" t="s">
        <v>74</v>
      </c>
      <c r="AI15" s="1260"/>
      <c r="AJ15" s="1260"/>
      <c r="AK15" s="1260" t="s">
        <v>75</v>
      </c>
      <c r="AL15" s="1260"/>
      <c r="AM15" s="1260"/>
      <c r="AN15" s="1260"/>
      <c r="AO15" s="1260" t="s">
        <v>57</v>
      </c>
      <c r="AP15" s="1260"/>
      <c r="AQ15" s="1260"/>
      <c r="AR15" s="1261"/>
    </row>
    <row r="16" s="1252" customFormat="1" ht="17.4" customHeight="1" spans="1:45">
      <c r="A16" s="1262" t="s">
        <v>76</v>
      </c>
      <c r="B16" s="1263"/>
      <c r="C16" s="1264"/>
      <c r="D16" s="1264"/>
      <c r="E16" s="1264"/>
      <c r="F16" s="1264"/>
      <c r="G16" s="1264"/>
      <c r="H16" s="1264"/>
      <c r="I16" s="1265" t="s">
        <v>77</v>
      </c>
      <c r="J16" s="1265"/>
      <c r="K16" s="1265"/>
      <c r="L16" s="1265"/>
      <c r="M16" s="1265"/>
      <c r="N16" s="1265"/>
      <c r="O16" s="1265"/>
      <c r="P16" s="1265"/>
      <c r="Q16" s="1265"/>
      <c r="R16" s="1265"/>
      <c r="S16" s="1265"/>
      <c r="T16" s="1265"/>
      <c r="U16" s="1265"/>
      <c r="V16" s="1265"/>
      <c r="W16" s="1265"/>
      <c r="X16" s="1265"/>
      <c r="Y16" s="1265"/>
      <c r="Z16" s="1265"/>
      <c r="AA16" s="1265"/>
      <c r="AB16" s="1266"/>
      <c r="AC16" s="1266"/>
      <c r="AD16" s="1266"/>
      <c r="AE16" s="1266"/>
      <c r="AF16" s="1266"/>
      <c r="AG16" s="1266"/>
      <c r="AH16" s="1266"/>
      <c r="AI16" s="1266"/>
      <c r="AJ16" s="1266"/>
      <c r="AK16" s="1266"/>
      <c r="AL16" s="1266"/>
      <c r="AM16" s="1266"/>
      <c r="AN16" s="1266"/>
      <c r="AO16" s="1267">
        <f ca="1">SUM(AO17,AO19)</f>
        <v>39778.03</v>
      </c>
      <c r="AP16" s="1268"/>
      <c r="AQ16" s="1268"/>
      <c r="AR16" s="1269"/>
      <c r="AS16" s="1270"/>
    </row>
    <row r="17" s="1253" customFormat="1" ht="17.4" customHeight="1" spans="1:52">
      <c r="A17" s="1271" t="str">
        <f>CONCATENATE(A16,".1")</f>
        <v>6.1</v>
      </c>
      <c r="B17" s="1272"/>
      <c r="C17" s="1273"/>
      <c r="D17" s="1273"/>
      <c r="E17" s="1273"/>
      <c r="F17" s="1273"/>
      <c r="G17" s="1273"/>
      <c r="H17" s="1273"/>
      <c r="I17" s="1274" t="s">
        <v>78</v>
      </c>
      <c r="J17" s="1274"/>
      <c r="K17" s="1274"/>
      <c r="L17" s="1274"/>
      <c r="M17" s="1274"/>
      <c r="N17" s="1274"/>
      <c r="O17" s="1274"/>
      <c r="P17" s="1274"/>
      <c r="Q17" s="1274"/>
      <c r="R17" s="1274"/>
      <c r="S17" s="1274"/>
      <c r="T17" s="1274"/>
      <c r="U17" s="1274"/>
      <c r="V17" s="1274"/>
      <c r="W17" s="1274"/>
      <c r="X17" s="1274"/>
      <c r="Y17" s="1274"/>
      <c r="Z17" s="1274"/>
      <c r="AA17" s="1274"/>
      <c r="AB17" s="1274"/>
      <c r="AC17" s="1274"/>
      <c r="AD17" s="1274"/>
      <c r="AE17" s="1274"/>
      <c r="AF17" s="1274"/>
      <c r="AG17" s="1274"/>
      <c r="AH17" s="1274"/>
      <c r="AI17" s="1274"/>
      <c r="AJ17" s="1274"/>
      <c r="AK17" s="1274"/>
      <c r="AL17" s="1274"/>
      <c r="AM17" s="1274"/>
      <c r="AN17" s="1274"/>
      <c r="AO17" s="1275">
        <f ca="1">SUM(AO18)</f>
        <v>35230.43</v>
      </c>
      <c r="AP17" s="1273"/>
      <c r="AQ17" s="1273"/>
      <c r="AR17" s="1276"/>
      <c r="AS17" s="1277"/>
    </row>
    <row r="18" s="334" customFormat="1" ht="17.4" customHeight="1" spans="1:52">
      <c r="A18" s="1278" t="str">
        <f>CONCATENATE(A17,".1")</f>
        <v>6.1.1</v>
      </c>
      <c r="B18" s="1279"/>
      <c r="C18" s="1280" t="s">
        <v>79</v>
      </c>
      <c r="D18" s="1280"/>
      <c r="E18" s="1280"/>
      <c r="F18" s="1281" t="s">
        <v>80</v>
      </c>
      <c r="G18" s="1281"/>
      <c r="H18" s="1281"/>
      <c r="I18" s="1282" t="s">
        <v>81</v>
      </c>
      <c r="J18" s="1282"/>
      <c r="K18" s="1282"/>
      <c r="L18" s="1282"/>
      <c r="M18" s="1282"/>
      <c r="N18" s="1282"/>
      <c r="O18" s="1282"/>
      <c r="P18" s="1282"/>
      <c r="Q18" s="1282"/>
      <c r="R18" s="1282"/>
      <c r="S18" s="1282"/>
      <c r="T18" s="1282"/>
      <c r="U18" s="1282"/>
      <c r="V18" s="1282"/>
      <c r="W18" s="1282"/>
      <c r="X18" s="1282"/>
      <c r="Y18" s="1282"/>
      <c r="Z18" s="1282"/>
      <c r="AA18" s="1282"/>
      <c r="AB18" s="1282"/>
      <c r="AC18" s="1282"/>
      <c r="AD18" s="1283"/>
      <c r="AE18" s="1283"/>
      <c r="AF18" s="1280" t="s">
        <v>82</v>
      </c>
      <c r="AG18" s="1280"/>
      <c r="AH18" s="1284">
        <f>Memória_Orçamento!K21</f>
        <v>1</v>
      </c>
      <c r="AI18" s="1284"/>
      <c r="AJ18" s="1284"/>
      <c r="AK18" s="1285">
        <f ca="1">ROUND('Canteiro Qtd'!AA68,2)</f>
        <v>35230.43</v>
      </c>
      <c r="AL18" s="1285"/>
      <c r="AM18" s="1285"/>
      <c r="AN18" s="1285"/>
      <c r="AO18" s="1286">
        <f ca="1">IF(F18="","",ROUND((AH18*AK18),2))</f>
        <v>35230.43</v>
      </c>
      <c r="AP18" s="1286"/>
      <c r="AQ18" s="1286"/>
      <c r="AR18" s="1287"/>
      <c r="AS18" s="1258" t="s">
        <v>83</v>
      </c>
      <c r="AU18" s="1288">
        <f ca="1">ROUND('Canteiro Qtd'!AA66,2)</f>
        <v>28432.27</v>
      </c>
      <c r="AV18" s="1288">
        <f ca="1">ROUND(AH18*AU18,2)</f>
        <v>28432.27</v>
      </c>
      <c r="AW18" s="1288"/>
      <c r="AX18" s="1288"/>
      <c r="AY18" s="1288"/>
      <c r="AZ18" s="1288"/>
    </row>
    <row r="19" s="1253" customFormat="1" ht="17.4" customHeight="1" spans="1:52">
      <c r="A19" s="1271" t="str">
        <f>CONCATENATE(A16,".2")</f>
        <v>6.2</v>
      </c>
      <c r="B19" s="1272"/>
      <c r="C19" s="1273"/>
      <c r="D19" s="1273"/>
      <c r="E19" s="1273"/>
      <c r="F19" s="1273"/>
      <c r="G19" s="1273"/>
      <c r="H19" s="1273"/>
      <c r="I19" s="1274" t="s">
        <v>84</v>
      </c>
      <c r="J19" s="1274"/>
      <c r="K19" s="1274"/>
      <c r="L19" s="1274"/>
      <c r="M19" s="1274"/>
      <c r="N19" s="1274"/>
      <c r="O19" s="1274"/>
      <c r="P19" s="1274"/>
      <c r="Q19" s="1274"/>
      <c r="R19" s="1274"/>
      <c r="S19" s="1274"/>
      <c r="T19" s="1274"/>
      <c r="U19" s="1274"/>
      <c r="V19" s="1274"/>
      <c r="W19" s="1274"/>
      <c r="X19" s="1274"/>
      <c r="Y19" s="1274"/>
      <c r="Z19" s="1274"/>
      <c r="AA19" s="1274"/>
      <c r="AB19" s="1274"/>
      <c r="AC19" s="1274"/>
      <c r="AD19" s="1274"/>
      <c r="AE19" s="1274"/>
      <c r="AF19" s="1274"/>
      <c r="AG19" s="1274"/>
      <c r="AH19" s="1289"/>
      <c r="AI19" s="1289"/>
      <c r="AJ19" s="1289"/>
      <c r="AK19" s="1290"/>
      <c r="AL19" s="1290"/>
      <c r="AM19" s="1290"/>
      <c r="AN19" s="1290"/>
      <c r="AO19" s="1275">
        <f>SUM(AO20)</f>
        <v>4547.6</v>
      </c>
      <c r="AP19" s="1273"/>
      <c r="AQ19" s="1273"/>
      <c r="AR19" s="1276"/>
      <c r="AS19" s="1277"/>
    </row>
    <row r="20" s="334" customFormat="1" ht="17.4" customHeight="1" spans="1:52">
      <c r="A20" s="1278" t="str">
        <f>CONCATENATE(A19,".1")</f>
        <v>6.2.1</v>
      </c>
      <c r="B20" s="1279"/>
      <c r="C20" s="1291" t="s">
        <v>85</v>
      </c>
      <c r="D20" s="1291"/>
      <c r="E20" s="1291"/>
      <c r="F20" s="1281">
        <v>103689</v>
      </c>
      <c r="G20" s="1281"/>
      <c r="H20" s="1281"/>
      <c r="I20" s="1292" t="s">
        <v>86</v>
      </c>
      <c r="J20" s="1292"/>
      <c r="K20" s="1292"/>
      <c r="L20" s="1292"/>
      <c r="M20" s="1292"/>
      <c r="N20" s="1292"/>
      <c r="O20" s="1292"/>
      <c r="P20" s="1292"/>
      <c r="Q20" s="1292"/>
      <c r="R20" s="1292"/>
      <c r="S20" s="1292"/>
      <c r="T20" s="1292"/>
      <c r="U20" s="1292"/>
      <c r="V20" s="1292"/>
      <c r="W20" s="1292"/>
      <c r="X20" s="1292"/>
      <c r="Y20" s="1292"/>
      <c r="Z20" s="1292"/>
      <c r="AA20" s="1292"/>
      <c r="AB20" s="1292"/>
      <c r="AC20" s="1292"/>
      <c r="AD20" s="1283"/>
      <c r="AE20" s="1283"/>
      <c r="AF20" s="1280" t="s">
        <v>7</v>
      </c>
      <c r="AG20" s="1280"/>
      <c r="AH20" s="1284">
        <f>Memória_Orçamento!K34</f>
        <v>8</v>
      </c>
      <c r="AI20" s="1284"/>
      <c r="AJ20" s="1284"/>
      <c r="AK20" s="1285">
        <f>IF(F20="","",ROUND('Composições Principais'!L$97*(1+$R$11),2))</f>
        <v>568.45</v>
      </c>
      <c r="AL20" s="1285"/>
      <c r="AM20" s="1285"/>
      <c r="AN20" s="1285"/>
      <c r="AO20" s="1286">
        <f>IF(F20="","",ROUND((AH20*AK20),2))</f>
        <v>4547.6</v>
      </c>
      <c r="AP20" s="1286"/>
      <c r="AQ20" s="1286"/>
      <c r="AR20" s="1287"/>
      <c r="AS20" s="1258" t="s">
        <v>83</v>
      </c>
      <c r="AU20" s="1293">
        <f>ROUND((AK20/(1+$R$11)),2)</f>
        <v>458.76</v>
      </c>
      <c r="AV20" s="1288">
        <f>ROUND(AH20*AU20,2)</f>
        <v>3670.08</v>
      </c>
      <c r="AX20" s="1279"/>
      <c r="AY20" s="1288"/>
      <c r="AZ20" s="1288"/>
    </row>
    <row r="21" s="1252" customFormat="1" ht="17.4" customHeight="1" spans="1:52">
      <c r="A21" s="1262" t="s">
        <v>59</v>
      </c>
      <c r="B21" s="1263"/>
      <c r="C21" s="1264"/>
      <c r="D21" s="1264"/>
      <c r="E21" s="1264"/>
      <c r="F21" s="1264"/>
      <c r="G21" s="1264"/>
      <c r="H21" s="1264"/>
      <c r="I21" s="1265" t="s">
        <v>87</v>
      </c>
      <c r="J21" s="1265"/>
      <c r="K21" s="1265"/>
      <c r="L21" s="1265"/>
      <c r="M21" s="1265"/>
      <c r="N21" s="1265"/>
      <c r="O21" s="1265"/>
      <c r="P21" s="1265"/>
      <c r="Q21" s="1265"/>
      <c r="R21" s="1265"/>
      <c r="S21" s="1265"/>
      <c r="T21" s="1265"/>
      <c r="U21" s="1265"/>
      <c r="V21" s="1265"/>
      <c r="W21" s="1265"/>
      <c r="X21" s="1265"/>
      <c r="Y21" s="1265"/>
      <c r="Z21" s="1265"/>
      <c r="AA21" s="1265"/>
      <c r="AB21" s="1266"/>
      <c r="AC21" s="1266"/>
      <c r="AD21" s="1266"/>
      <c r="AE21" s="1266"/>
      <c r="AF21" s="1266"/>
      <c r="AG21" s="1266"/>
      <c r="AH21" s="1294"/>
      <c r="AI21" s="1294"/>
      <c r="AJ21" s="1294"/>
      <c r="AK21" s="1295"/>
      <c r="AL21" s="1295"/>
      <c r="AM21" s="1295"/>
      <c r="AN21" s="1295"/>
      <c r="AO21" s="1267">
        <f ca="1">SUM(AO22)</f>
        <v>119515.07</v>
      </c>
      <c r="AP21" s="1268"/>
      <c r="AQ21" s="1268"/>
      <c r="AR21" s="1269"/>
      <c r="AS21" s="1270"/>
    </row>
    <row r="22" s="1253" customFormat="1" ht="17.4" customHeight="1" spans="1:52">
      <c r="A22" s="1271" t="str">
        <f>CONCATENATE(A21,".1")</f>
        <v>7.1</v>
      </c>
      <c r="B22" s="1272"/>
      <c r="C22" s="1273"/>
      <c r="D22" s="1273"/>
      <c r="E22" s="1273"/>
      <c r="F22" s="1273"/>
      <c r="G22" s="1273"/>
      <c r="H22" s="1273"/>
      <c r="I22" s="1274" t="s">
        <v>87</v>
      </c>
      <c r="J22" s="1274"/>
      <c r="K22" s="1274"/>
      <c r="L22" s="1274"/>
      <c r="M22" s="1274"/>
      <c r="N22" s="1274"/>
      <c r="O22" s="1274"/>
      <c r="P22" s="1274"/>
      <c r="Q22" s="1274"/>
      <c r="R22" s="1274"/>
      <c r="S22" s="1274"/>
      <c r="T22" s="1274"/>
      <c r="U22" s="1274"/>
      <c r="V22" s="1274"/>
      <c r="W22" s="1274"/>
      <c r="X22" s="1274"/>
      <c r="Y22" s="1274"/>
      <c r="Z22" s="1274"/>
      <c r="AA22" s="1274"/>
      <c r="AB22" s="1274"/>
      <c r="AC22" s="1274"/>
      <c r="AD22" s="1296"/>
      <c r="AE22" s="1296"/>
      <c r="AF22" s="1296"/>
      <c r="AG22" s="1296"/>
      <c r="AH22" s="1297"/>
      <c r="AI22" s="1297"/>
      <c r="AJ22" s="1297"/>
      <c r="AK22" s="1298"/>
      <c r="AL22" s="1298"/>
      <c r="AM22" s="1298"/>
      <c r="AN22" s="1298"/>
      <c r="AO22" s="1275">
        <f ca="1">SUM(AO23:AR25)</f>
        <v>119515.07</v>
      </c>
      <c r="AP22" s="1273"/>
      <c r="AQ22" s="1273"/>
      <c r="AR22" s="1276"/>
      <c r="AS22" s="1277"/>
    </row>
    <row r="23" s="334" customFormat="1" ht="17.4" customHeight="1" spans="1:52">
      <c r="A23" s="1299" t="str">
        <f>CONCATENATE(A22,".1")</f>
        <v>7.1.1</v>
      </c>
      <c r="B23" s="1300"/>
      <c r="C23" s="1301" t="s">
        <v>79</v>
      </c>
      <c r="D23" s="1301"/>
      <c r="E23" s="1301"/>
      <c r="F23" s="1302" t="s">
        <v>88</v>
      </c>
      <c r="G23" s="1302"/>
      <c r="H23" s="1302"/>
      <c r="I23" s="1303" t="s">
        <v>89</v>
      </c>
      <c r="J23" s="1303"/>
      <c r="K23" s="1303"/>
      <c r="L23" s="1303"/>
      <c r="M23" s="1303"/>
      <c r="N23" s="1303"/>
      <c r="O23" s="1303"/>
      <c r="P23" s="1303"/>
      <c r="Q23" s="1303"/>
      <c r="R23" s="1303"/>
      <c r="S23" s="1303"/>
      <c r="T23" s="1303"/>
      <c r="U23" s="1303"/>
      <c r="V23" s="1303"/>
      <c r="W23" s="1303"/>
      <c r="X23" s="1303"/>
      <c r="Y23" s="1303"/>
      <c r="Z23" s="1303"/>
      <c r="AA23" s="1303"/>
      <c r="AB23" s="1303"/>
      <c r="AC23" s="1303"/>
      <c r="AD23" s="1304"/>
      <c r="AE23" s="1304"/>
      <c r="AF23" s="1301" t="s">
        <v>82</v>
      </c>
      <c r="AG23" s="1301"/>
      <c r="AH23" s="1305">
        <f>Memória_Orçamento!K47</f>
        <v>1</v>
      </c>
      <c r="AI23" s="1305"/>
      <c r="AJ23" s="1305"/>
      <c r="AK23" s="1306">
        <f ca="1">'Mobilização EQP'!BO57</f>
        <v>98375.79</v>
      </c>
      <c r="AL23" s="1306"/>
      <c r="AM23" s="1306"/>
      <c r="AN23" s="1306"/>
      <c r="AO23" s="1307">
        <f ca="1">IF(F23="","",ROUND((AH23*AK23),2))</f>
        <v>98375.79</v>
      </c>
      <c r="AP23" s="1307"/>
      <c r="AQ23" s="1307"/>
      <c r="AR23" s="1308"/>
      <c r="AS23" s="1258" t="s">
        <v>83</v>
      </c>
      <c r="AU23" s="1309">
        <f ca="1">ROUND((AK23/(1+$R$11)),2)</f>
        <v>79392.94</v>
      </c>
      <c r="AV23" s="1288">
        <f ca="1">ROUND(AH23*AU23,2)</f>
        <v>79392.94</v>
      </c>
      <c r="AX23" s="1309">
        <f ca="1">AO23/AH23</f>
        <v>98375.79</v>
      </c>
      <c r="AY23" s="1288"/>
      <c r="AZ23" s="1288"/>
    </row>
    <row r="24" s="334" customFormat="1" ht="17.4" customHeight="1" spans="1:52">
      <c r="A24" s="1278" t="str">
        <f>CONCATENATE(A22,".3")</f>
        <v>7.1.3</v>
      </c>
      <c r="B24" s="1279"/>
      <c r="C24" s="1280" t="s">
        <v>79</v>
      </c>
      <c r="D24" s="1280"/>
      <c r="E24" s="1280"/>
      <c r="F24" s="1281" t="s">
        <v>90</v>
      </c>
      <c r="G24" s="1281"/>
      <c r="H24" s="1281"/>
      <c r="I24" s="1292" t="s">
        <v>91</v>
      </c>
      <c r="J24" s="1292"/>
      <c r="K24" s="1292"/>
      <c r="L24" s="1292"/>
      <c r="M24" s="1292"/>
      <c r="N24" s="1292"/>
      <c r="O24" s="1292"/>
      <c r="P24" s="1292"/>
      <c r="Q24" s="1292"/>
      <c r="R24" s="1292"/>
      <c r="S24" s="1292"/>
      <c r="T24" s="1292"/>
      <c r="U24" s="1292"/>
      <c r="V24" s="1292"/>
      <c r="W24" s="1292"/>
      <c r="X24" s="1292"/>
      <c r="Y24" s="1292"/>
      <c r="Z24" s="1292"/>
      <c r="AA24" s="1292"/>
      <c r="AB24" s="1292"/>
      <c r="AC24" s="1292"/>
      <c r="AD24" s="1283"/>
      <c r="AE24" s="1283"/>
      <c r="AF24" s="1280" t="s">
        <v>82</v>
      </c>
      <c r="AG24" s="1280"/>
      <c r="AH24" s="1284">
        <f>Memória_Orçamento!K60</f>
        <v>4</v>
      </c>
      <c r="AI24" s="1284"/>
      <c r="AJ24" s="1284"/>
      <c r="AK24" s="1310">
        <f>IF(F24="","",ROUND('Composições Principais'!L$182*(1+$R$11),2))</f>
        <v>2642.41</v>
      </c>
      <c r="AL24" s="1310"/>
      <c r="AM24" s="1310"/>
      <c r="AN24" s="1310"/>
      <c r="AO24" s="1286">
        <f>IF(F24="","",ROUND((AH24*AK24),2))</f>
        <v>10569.64</v>
      </c>
      <c r="AP24" s="1286"/>
      <c r="AQ24" s="1286"/>
      <c r="AR24" s="1287"/>
      <c r="AS24" s="1258" t="s">
        <v>83</v>
      </c>
      <c r="AU24" s="1309">
        <f>ROUND((AK24/(1+$R$11)),2)</f>
        <v>2132.52</v>
      </c>
      <c r="AV24" s="1288">
        <f>ROUND(AH24*AU24,2)</f>
        <v>8530.08</v>
      </c>
      <c r="AX24" s="1309">
        <f>AO24/AH24</f>
        <v>2642.41</v>
      </c>
      <c r="AY24" s="1288"/>
      <c r="AZ24" s="1288"/>
    </row>
    <row r="25" s="334" customFormat="1" ht="17.4" customHeight="1" spans="1:52">
      <c r="A25" s="1311" t="str">
        <f>CONCATENATE(A22,".4")</f>
        <v>7.1.4</v>
      </c>
      <c r="B25" s="1312"/>
      <c r="C25" s="1313" t="s">
        <v>79</v>
      </c>
      <c r="D25" s="1313"/>
      <c r="E25" s="1313"/>
      <c r="F25" s="1314" t="s">
        <v>92</v>
      </c>
      <c r="G25" s="1314"/>
      <c r="H25" s="1314"/>
      <c r="I25" s="1315" t="s">
        <v>93</v>
      </c>
      <c r="J25" s="1315"/>
      <c r="K25" s="1315"/>
      <c r="L25" s="1315"/>
      <c r="M25" s="1315"/>
      <c r="N25" s="1315"/>
      <c r="O25" s="1315"/>
      <c r="P25" s="1315"/>
      <c r="Q25" s="1315"/>
      <c r="R25" s="1315"/>
      <c r="S25" s="1315"/>
      <c r="T25" s="1315"/>
      <c r="U25" s="1315"/>
      <c r="V25" s="1315"/>
      <c r="W25" s="1315"/>
      <c r="X25" s="1315"/>
      <c r="Y25" s="1315"/>
      <c r="Z25" s="1315"/>
      <c r="AA25" s="1315"/>
      <c r="AB25" s="1315"/>
      <c r="AC25" s="1315"/>
      <c r="AD25" s="1316"/>
      <c r="AE25" s="1316"/>
      <c r="AF25" s="1313" t="s">
        <v>82</v>
      </c>
      <c r="AG25" s="1313"/>
      <c r="AH25" s="1317">
        <f>Memória_Orçamento!K73</f>
        <v>4</v>
      </c>
      <c r="AI25" s="1317"/>
      <c r="AJ25" s="1317"/>
      <c r="AK25" s="1318">
        <f>IF(F25="","",ROUND('Composições Principais'!L$267*(1+$R$11),2))</f>
        <v>2642.41</v>
      </c>
      <c r="AL25" s="1318"/>
      <c r="AM25" s="1318"/>
      <c r="AN25" s="1318"/>
      <c r="AO25" s="1319">
        <f>IF(F25="","",ROUND((AH25*AK25),2))</f>
        <v>10569.64</v>
      </c>
      <c r="AP25" s="1319"/>
      <c r="AQ25" s="1319"/>
      <c r="AR25" s="1320"/>
      <c r="AS25" s="1258" t="s">
        <v>83</v>
      </c>
      <c r="AU25" s="1309">
        <f>ROUND((AK25/(1+$R$11)),2)</f>
        <v>2132.52</v>
      </c>
      <c r="AV25" s="1288">
        <f>ROUND(AH25*AU25,2)</f>
        <v>8530.08</v>
      </c>
      <c r="AY25" s="1309">
        <f>AK25</f>
        <v>2642.41</v>
      </c>
    </row>
    <row r="26" s="1252" customFormat="1" ht="17.4" customHeight="1" spans="1:52">
      <c r="A26" s="1321" t="s">
        <v>94</v>
      </c>
      <c r="B26" s="1322"/>
      <c r="C26" s="1323"/>
      <c r="D26" s="1323"/>
      <c r="E26" s="1323"/>
      <c r="F26" s="1323"/>
      <c r="G26" s="1323"/>
      <c r="H26" s="1323"/>
      <c r="I26" s="1324" t="s">
        <v>21</v>
      </c>
      <c r="J26" s="1324"/>
      <c r="K26" s="1324"/>
      <c r="L26" s="1324"/>
      <c r="M26" s="1324"/>
      <c r="N26" s="1324"/>
      <c r="O26" s="1324"/>
      <c r="P26" s="1324"/>
      <c r="Q26" s="1324"/>
      <c r="R26" s="1324"/>
      <c r="S26" s="1324"/>
      <c r="T26" s="1324"/>
      <c r="U26" s="1324"/>
      <c r="V26" s="1324"/>
      <c r="W26" s="1324"/>
      <c r="X26" s="1324"/>
      <c r="Y26" s="1324"/>
      <c r="Z26" s="1324"/>
      <c r="AA26" s="1324"/>
      <c r="AB26" s="1325"/>
      <c r="AC26" s="1325"/>
      <c r="AD26" s="1325"/>
      <c r="AE26" s="1325"/>
      <c r="AF26" s="1325"/>
      <c r="AG26" s="1325"/>
      <c r="AH26" s="1326"/>
      <c r="AI26" s="1326"/>
      <c r="AJ26" s="1326"/>
      <c r="AK26" s="1327"/>
      <c r="AL26" s="1327"/>
      <c r="AM26" s="1327"/>
      <c r="AN26" s="1327"/>
      <c r="AO26" s="1328">
        <f>SUM(AO27,AO40,AO82,AO115)</f>
        <v>664918.39</v>
      </c>
      <c r="AP26" s="1329"/>
      <c r="AQ26" s="1329"/>
      <c r="AR26" s="1330"/>
      <c r="AS26" s="1270"/>
    </row>
    <row r="27" s="334" customFormat="1" ht="17.4" customHeight="1" spans="1:52">
      <c r="A27" s="1331">
        <v>1</v>
      </c>
      <c r="B27" s="1272"/>
      <c r="C27" s="1332"/>
      <c r="D27" s="1332"/>
      <c r="E27" s="1332"/>
      <c r="F27" s="1332"/>
      <c r="G27" s="1332"/>
      <c r="H27" s="1332"/>
      <c r="I27" s="1274" t="s">
        <v>95</v>
      </c>
      <c r="J27" s="1274"/>
      <c r="K27" s="1274"/>
      <c r="L27" s="1274"/>
      <c r="M27" s="1274"/>
      <c r="N27" s="1274"/>
      <c r="O27" s="1274"/>
      <c r="P27" s="1274"/>
      <c r="Q27" s="1274"/>
      <c r="R27" s="1274"/>
      <c r="S27" s="1274"/>
      <c r="T27" s="1274"/>
      <c r="U27" s="1274"/>
      <c r="V27" s="1274"/>
      <c r="W27" s="1274"/>
      <c r="X27" s="1274"/>
      <c r="Y27" s="1274"/>
      <c r="Z27" s="1274"/>
      <c r="AA27" s="1274"/>
      <c r="AB27" s="1272"/>
      <c r="AC27" s="1272"/>
      <c r="AD27" s="1272"/>
      <c r="AE27" s="1272"/>
      <c r="AF27" s="1272"/>
      <c r="AG27" s="1272"/>
      <c r="AH27" s="1333"/>
      <c r="AI27" s="1333"/>
      <c r="AJ27" s="1333"/>
      <c r="AK27" s="1334"/>
      <c r="AL27" s="1334"/>
      <c r="AM27" s="1334"/>
      <c r="AN27" s="1334"/>
      <c r="AO27" s="1275">
        <f>SUM(AO28,A34,AO34)</f>
        <v>124150.6</v>
      </c>
      <c r="AP27" s="1273"/>
      <c r="AQ27" s="1273"/>
      <c r="AR27" s="1276"/>
      <c r="AS27" s="1279"/>
    </row>
    <row r="28" s="1254" customFormat="1" ht="17.4" customHeight="1" spans="1:52">
      <c r="A28" s="1335" t="str">
        <f>CONCATENATE(A$27,".1")</f>
        <v>1.1</v>
      </c>
      <c r="B28" s="1336"/>
      <c r="C28" s="1337"/>
      <c r="D28" s="1337"/>
      <c r="E28" s="1337"/>
      <c r="F28" s="1337"/>
      <c r="G28" s="1337"/>
      <c r="H28" s="1337"/>
      <c r="I28" s="1338" t="s">
        <v>96</v>
      </c>
      <c r="J28" s="1338"/>
      <c r="K28" s="1338"/>
      <c r="L28" s="1338"/>
      <c r="M28" s="1338"/>
      <c r="N28" s="1338"/>
      <c r="O28" s="1338"/>
      <c r="P28" s="1338"/>
      <c r="Q28" s="1338"/>
      <c r="R28" s="1338"/>
      <c r="S28" s="1338"/>
      <c r="T28" s="1338"/>
      <c r="U28" s="1338"/>
      <c r="V28" s="1338"/>
      <c r="W28" s="1338"/>
      <c r="X28" s="1338"/>
      <c r="Y28" s="1338"/>
      <c r="Z28" s="1338"/>
      <c r="AA28" s="1338"/>
      <c r="AB28" s="1338"/>
      <c r="AC28" s="1338"/>
      <c r="AD28" s="1337"/>
      <c r="AE28" s="1337"/>
      <c r="AF28" s="1337"/>
      <c r="AG28" s="1337"/>
      <c r="AH28" s="1339"/>
      <c r="AI28" s="1339"/>
      <c r="AJ28" s="1339"/>
      <c r="AK28" s="1340"/>
      <c r="AL28" s="1340"/>
      <c r="AM28" s="1340"/>
      <c r="AN28" s="1340"/>
      <c r="AO28" s="1340">
        <f>SUM(AO29:AR33)</f>
        <v>62022.73</v>
      </c>
      <c r="AP28" s="1340"/>
      <c r="AQ28" s="1340"/>
      <c r="AR28" s="1341"/>
      <c r="AS28" s="1342"/>
    </row>
    <row r="29" ht="17.4" customHeight="1" spans="1:52">
      <c r="A29" s="1299" t="str">
        <f>CONCATENATE(A28,".1")</f>
        <v>1.1.1</v>
      </c>
      <c r="B29" s="1300"/>
      <c r="C29" s="1343" t="s">
        <v>97</v>
      </c>
      <c r="D29" s="1343"/>
      <c r="E29" s="1343"/>
      <c r="F29" s="1302">
        <v>5502109</v>
      </c>
      <c r="G29" s="1302"/>
      <c r="H29" s="1302"/>
      <c r="I29" s="1344" t="s">
        <v>98</v>
      </c>
      <c r="J29" s="1344"/>
      <c r="K29" s="1344"/>
      <c r="L29" s="1344"/>
      <c r="M29" s="1344"/>
      <c r="N29" s="1344"/>
      <c r="O29" s="1344"/>
      <c r="P29" s="1344"/>
      <c r="Q29" s="1344"/>
      <c r="R29" s="1344"/>
      <c r="S29" s="1344"/>
      <c r="T29" s="1344"/>
      <c r="U29" s="1344"/>
      <c r="V29" s="1344"/>
      <c r="W29" s="1344"/>
      <c r="X29" s="1344"/>
      <c r="Y29" s="1344"/>
      <c r="Z29" s="1344"/>
      <c r="AA29" s="1344"/>
      <c r="AB29" s="1344"/>
      <c r="AC29" s="1344"/>
      <c r="AD29" s="1304"/>
      <c r="AE29" s="1304"/>
      <c r="AF29" s="1301" t="s">
        <v>99</v>
      </c>
      <c r="AG29" s="1301"/>
      <c r="AH29" s="1305">
        <f>Memória_Orçamento!K119</f>
        <v>57.6</v>
      </c>
      <c r="AI29" s="1305"/>
      <c r="AJ29" s="1305"/>
      <c r="AK29" s="1345">
        <f>IF(F29="","",ROUND('Composições Principais'!L$352*(1+$R$11),2))</f>
        <v>8.17</v>
      </c>
      <c r="AL29" s="1345"/>
      <c r="AM29" s="1345"/>
      <c r="AN29" s="1345"/>
      <c r="AO29" s="1307">
        <f>IF(F29="","",ROUND((AH29*AK29),2))</f>
        <v>470.59</v>
      </c>
      <c r="AP29" s="1307"/>
      <c r="AQ29" s="1307"/>
      <c r="AR29" s="1308"/>
      <c r="AS29" s="1258" t="s">
        <v>83</v>
      </c>
      <c r="AU29" s="1309">
        <f>ROUND((AK29/(1+$R$11)),2)</f>
        <v>6.59</v>
      </c>
      <c r="AV29" s="1288">
        <f>ROUND(AH29*AU29,2)</f>
        <v>379.58</v>
      </c>
      <c r="AX29" s="1309"/>
      <c r="AY29" s="1288"/>
      <c r="AZ29" s="1288"/>
    </row>
    <row r="30" ht="17.4" customHeight="1" spans="1:52">
      <c r="A30" s="1278" t="str">
        <f>CONCATENATE(A28,".2")</f>
        <v>1.1.2</v>
      </c>
      <c r="B30" s="1279"/>
      <c r="C30" s="1346" t="s">
        <v>97</v>
      </c>
      <c r="D30" s="1346"/>
      <c r="E30" s="1346"/>
      <c r="F30" s="1281">
        <v>5502109</v>
      </c>
      <c r="G30" s="1281"/>
      <c r="H30" s="1281"/>
      <c r="I30" s="1292" t="s">
        <v>98</v>
      </c>
      <c r="J30" s="1292"/>
      <c r="K30" s="1292"/>
      <c r="L30" s="1292"/>
      <c r="M30" s="1292"/>
      <c r="N30" s="1292"/>
      <c r="O30" s="1292"/>
      <c r="P30" s="1292"/>
      <c r="Q30" s="1292"/>
      <c r="R30" s="1292"/>
      <c r="S30" s="1292"/>
      <c r="T30" s="1292"/>
      <c r="U30" s="1292"/>
      <c r="V30" s="1292"/>
      <c r="W30" s="1292"/>
      <c r="X30" s="1292"/>
      <c r="Y30" s="1292"/>
      <c r="Z30" s="1292"/>
      <c r="AA30" s="1292"/>
      <c r="AB30" s="1292"/>
      <c r="AC30" s="1292"/>
      <c r="AD30" s="1283"/>
      <c r="AE30" s="1283"/>
      <c r="AF30" s="1280" t="s">
        <v>99</v>
      </c>
      <c r="AG30" s="1280"/>
      <c r="AH30" s="1284">
        <f>Memória_Orçamento!K170</f>
        <v>91.04</v>
      </c>
      <c r="AI30" s="1284"/>
      <c r="AJ30" s="1284"/>
      <c r="AK30" s="1347">
        <f>IF(F30="","",ROUND('Composições Principais'!L$352*(1+$R$11),2))</f>
        <v>8.17</v>
      </c>
      <c r="AL30" s="1347"/>
      <c r="AM30" s="1347"/>
      <c r="AN30" s="1347"/>
      <c r="AO30" s="1286">
        <f>IF(F30="","",ROUND((AH30*AK30),2))</f>
        <v>743.8</v>
      </c>
      <c r="AP30" s="1286"/>
      <c r="AQ30" s="1286"/>
      <c r="AR30" s="1287"/>
      <c r="AS30" s="1258" t="s">
        <v>83</v>
      </c>
      <c r="AU30" s="1309">
        <f>ROUND((AK30/(1+$R$11)),2)</f>
        <v>6.59</v>
      </c>
      <c r="AV30" s="1288">
        <f>ROUND(AH30*AU30,2)</f>
        <v>599.95</v>
      </c>
      <c r="AX30" s="1309"/>
      <c r="AY30" s="1288"/>
      <c r="AZ30" s="1288"/>
    </row>
    <row r="31" ht="17.4" customHeight="1" spans="1:52">
      <c r="A31" s="1278" t="str">
        <f>CONCATENATE(A28,".3")</f>
        <v>1.1.3</v>
      </c>
      <c r="B31" s="1279"/>
      <c r="C31" s="1346" t="s">
        <v>97</v>
      </c>
      <c r="D31" s="1346"/>
      <c r="E31" s="1346"/>
      <c r="F31" s="1281">
        <v>407819</v>
      </c>
      <c r="G31" s="1281"/>
      <c r="H31" s="1281"/>
      <c r="I31" s="1292" t="s">
        <v>100</v>
      </c>
      <c r="J31" s="1292"/>
      <c r="K31" s="1292"/>
      <c r="L31" s="1292"/>
      <c r="M31" s="1292"/>
      <c r="N31" s="1292"/>
      <c r="O31" s="1292"/>
      <c r="P31" s="1292"/>
      <c r="Q31" s="1292"/>
      <c r="R31" s="1292"/>
      <c r="S31" s="1292"/>
      <c r="T31" s="1292"/>
      <c r="U31" s="1292"/>
      <c r="V31" s="1292"/>
      <c r="W31" s="1292"/>
      <c r="X31" s="1292"/>
      <c r="Y31" s="1292"/>
      <c r="Z31" s="1292"/>
      <c r="AA31" s="1292"/>
      <c r="AB31" s="1292"/>
      <c r="AC31" s="1292"/>
      <c r="AD31" s="1283"/>
      <c r="AE31" s="1283"/>
      <c r="AF31" s="1280" t="s">
        <v>101</v>
      </c>
      <c r="AG31" s="1280"/>
      <c r="AH31" s="1284">
        <f>Memória_Orçamento!K202</f>
        <v>81.4</v>
      </c>
      <c r="AI31" s="1284"/>
      <c r="AJ31" s="1284"/>
      <c r="AK31" s="1285">
        <f>IF(F31="","",ROUND('Composições Principais'!L$522*(1+$R$11),2))</f>
        <v>15.96</v>
      </c>
      <c r="AL31" s="1285"/>
      <c r="AM31" s="1285"/>
      <c r="AN31" s="1285"/>
      <c r="AO31" s="1286">
        <f>IF(F31="","",ROUND((AH31*AK31),2))</f>
        <v>1299.14</v>
      </c>
      <c r="AP31" s="1286"/>
      <c r="AQ31" s="1286"/>
      <c r="AR31" s="1287"/>
      <c r="AS31" s="1258" t="s">
        <v>83</v>
      </c>
      <c r="AU31" s="1309">
        <f>ROUND((AK31/(1+$R$11)),2)</f>
        <v>12.88</v>
      </c>
      <c r="AV31" s="1288">
        <f>ROUND(AH31*AU31,2)</f>
        <v>1048.43</v>
      </c>
      <c r="AX31" s="1309"/>
      <c r="AY31" s="1288"/>
      <c r="AZ31" s="1288"/>
    </row>
    <row r="32" s="334" customFormat="1" ht="17.4" customHeight="1" spans="1:52">
      <c r="A32" s="1278" t="str">
        <f>CONCATENATE(A28,".4")</f>
        <v>1.1.4</v>
      </c>
      <c r="B32" s="1279"/>
      <c r="C32" s="1346" t="s">
        <v>97</v>
      </c>
      <c r="D32" s="1346"/>
      <c r="E32" s="1346"/>
      <c r="F32" s="1281">
        <v>2306113</v>
      </c>
      <c r="G32" s="1281"/>
      <c r="H32" s="1281"/>
      <c r="I32" s="1292" t="s">
        <v>102</v>
      </c>
      <c r="J32" s="1292"/>
      <c r="K32" s="1292"/>
      <c r="L32" s="1292"/>
      <c r="M32" s="1292"/>
      <c r="N32" s="1292"/>
      <c r="O32" s="1292"/>
      <c r="P32" s="1292"/>
      <c r="Q32" s="1292"/>
      <c r="R32" s="1292"/>
      <c r="S32" s="1292"/>
      <c r="T32" s="1292"/>
      <c r="U32" s="1292"/>
      <c r="V32" s="1292"/>
      <c r="W32" s="1292"/>
      <c r="X32" s="1292"/>
      <c r="Y32" s="1292"/>
      <c r="Z32" s="1292"/>
      <c r="AA32" s="1292"/>
      <c r="AB32" s="1292"/>
      <c r="AC32" s="1292"/>
      <c r="AD32" s="1283"/>
      <c r="AE32" s="1283"/>
      <c r="AF32" s="1280" t="s">
        <v>9</v>
      </c>
      <c r="AG32" s="1280"/>
      <c r="AH32" s="1284">
        <f>Memória_Orçamento!K214</f>
        <v>120</v>
      </c>
      <c r="AI32" s="1284"/>
      <c r="AJ32" s="1284"/>
      <c r="AK32" s="1285">
        <f>IF(F32="","",ROUND('Composições Principais'!L$607*(1+$R$11),2))</f>
        <v>486.85</v>
      </c>
      <c r="AL32" s="1285"/>
      <c r="AM32" s="1285"/>
      <c r="AN32" s="1285"/>
      <c r="AO32" s="1286">
        <f>IF(F32="","",ROUND((AH32*AK32),2))</f>
        <v>58422</v>
      </c>
      <c r="AP32" s="1286"/>
      <c r="AQ32" s="1286"/>
      <c r="AR32" s="1287"/>
      <c r="AS32" s="1258" t="s">
        <v>83</v>
      </c>
      <c r="AU32" s="1309">
        <f>ROUND((AK32/(1+$R$11)),2)</f>
        <v>392.91</v>
      </c>
      <c r="AV32" s="1288">
        <f>ROUND(AH32*AU32,2)</f>
        <v>47149.2</v>
      </c>
      <c r="AX32" s="1309"/>
      <c r="AY32" s="1288"/>
      <c r="AZ32" s="1288"/>
    </row>
    <row r="33" ht="17.4" customHeight="1" spans="1:52">
      <c r="A33" s="1311" t="str">
        <f>CONCATENATE(A28,".5")</f>
        <v>1.1.5</v>
      </c>
      <c r="B33" s="1312"/>
      <c r="C33" s="1348" t="s">
        <v>97</v>
      </c>
      <c r="D33" s="1348"/>
      <c r="E33" s="1348"/>
      <c r="F33" s="1314">
        <v>2003864</v>
      </c>
      <c r="G33" s="1314"/>
      <c r="H33" s="1314"/>
      <c r="I33" s="1315" t="s">
        <v>103</v>
      </c>
      <c r="J33" s="1315"/>
      <c r="K33" s="1315"/>
      <c r="L33" s="1315"/>
      <c r="M33" s="1315"/>
      <c r="N33" s="1315"/>
      <c r="O33" s="1315"/>
      <c r="P33" s="1315"/>
      <c r="Q33" s="1315"/>
      <c r="R33" s="1315"/>
      <c r="S33" s="1315"/>
      <c r="T33" s="1315"/>
      <c r="U33" s="1315"/>
      <c r="V33" s="1315"/>
      <c r="W33" s="1315"/>
      <c r="X33" s="1315"/>
      <c r="Y33" s="1315"/>
      <c r="Z33" s="1315"/>
      <c r="AA33" s="1315"/>
      <c r="AB33" s="1315"/>
      <c r="AC33" s="1315"/>
      <c r="AD33" s="1316"/>
      <c r="AE33" s="1316"/>
      <c r="AF33" s="1313" t="s">
        <v>104</v>
      </c>
      <c r="AG33" s="1313"/>
      <c r="AH33" s="1317">
        <f>Memória_Orçamento!K226</f>
        <v>60</v>
      </c>
      <c r="AI33" s="1317"/>
      <c r="AJ33" s="1317"/>
      <c r="AK33" s="1349">
        <f>IF(F33="","",ROUND('Composições Principais'!L$437*(1+$R$11),2))</f>
        <v>18.12</v>
      </c>
      <c r="AL33" s="1349"/>
      <c r="AM33" s="1349"/>
      <c r="AN33" s="1349"/>
      <c r="AO33" s="1319">
        <f>IF(F33="","",ROUND((AH33*AK33),2))</f>
        <v>1087.2</v>
      </c>
      <c r="AP33" s="1319"/>
      <c r="AQ33" s="1319"/>
      <c r="AR33" s="1320"/>
      <c r="AS33" s="1258" t="s">
        <v>83</v>
      </c>
      <c r="AU33" s="1309">
        <f>ROUND((AK33/(1+$R$11)),2)</f>
        <v>14.62</v>
      </c>
      <c r="AV33" s="1288">
        <f>ROUND(AH33*AU33,2)</f>
        <v>877.2</v>
      </c>
      <c r="AX33" s="1309"/>
      <c r="AY33" s="1288"/>
      <c r="AZ33" s="1288"/>
    </row>
    <row r="34" s="1254" customFormat="1" ht="17.4" customHeight="1" spans="1:52">
      <c r="A34" s="1350" t="str">
        <f>CONCATENATE(A$27,".2")</f>
        <v>1.2</v>
      </c>
      <c r="B34" s="1342"/>
      <c r="C34" s="1351"/>
      <c r="D34" s="1351"/>
      <c r="E34" s="1351"/>
      <c r="F34" s="1351"/>
      <c r="G34" s="1351"/>
      <c r="H34" s="1351"/>
      <c r="I34" s="1352" t="s">
        <v>105</v>
      </c>
      <c r="J34" s="1352"/>
      <c r="K34" s="1352"/>
      <c r="L34" s="1352"/>
      <c r="M34" s="1352"/>
      <c r="N34" s="1352"/>
      <c r="O34" s="1352"/>
      <c r="P34" s="1352"/>
      <c r="Q34" s="1352"/>
      <c r="R34" s="1352"/>
      <c r="S34" s="1352"/>
      <c r="T34" s="1352"/>
      <c r="U34" s="1352"/>
      <c r="V34" s="1352"/>
      <c r="W34" s="1352"/>
      <c r="X34" s="1352"/>
      <c r="Y34" s="1352"/>
      <c r="Z34" s="1352"/>
      <c r="AA34" s="1352"/>
      <c r="AB34" s="1352"/>
      <c r="AC34" s="1352"/>
      <c r="AD34" s="1351"/>
      <c r="AE34" s="1351"/>
      <c r="AF34" s="1351"/>
      <c r="AG34" s="1351"/>
      <c r="AH34" s="1353"/>
      <c r="AI34" s="1353"/>
      <c r="AJ34" s="1353"/>
      <c r="AK34" s="1354"/>
      <c r="AL34" s="1354"/>
      <c r="AM34" s="1354"/>
      <c r="AN34" s="1354"/>
      <c r="AO34" s="1354">
        <f>SUM(AO35:AR39)</f>
        <v>62127.87</v>
      </c>
      <c r="AP34" s="1354"/>
      <c r="AQ34" s="1354"/>
      <c r="AR34" s="1355"/>
      <c r="AS34" s="1342"/>
    </row>
    <row r="35" ht="17.4" customHeight="1" spans="1:52">
      <c r="A35" s="1299" t="str">
        <f>CONCATENATE(A34,".1")</f>
        <v>1.2.1</v>
      </c>
      <c r="B35" s="1300"/>
      <c r="C35" s="1343" t="s">
        <v>97</v>
      </c>
      <c r="D35" s="1343"/>
      <c r="E35" s="1343"/>
      <c r="F35" s="1302">
        <v>5502109</v>
      </c>
      <c r="G35" s="1302"/>
      <c r="H35" s="1302"/>
      <c r="I35" s="1344" t="s">
        <v>98</v>
      </c>
      <c r="J35" s="1344"/>
      <c r="K35" s="1344"/>
      <c r="L35" s="1344"/>
      <c r="M35" s="1344"/>
      <c r="N35" s="1344"/>
      <c r="O35" s="1344"/>
      <c r="P35" s="1344"/>
      <c r="Q35" s="1344"/>
      <c r="R35" s="1344"/>
      <c r="S35" s="1344"/>
      <c r="T35" s="1344"/>
      <c r="U35" s="1344"/>
      <c r="V35" s="1344"/>
      <c r="W35" s="1344"/>
      <c r="X35" s="1344"/>
      <c r="Y35" s="1344"/>
      <c r="Z35" s="1344"/>
      <c r="AA35" s="1344"/>
      <c r="AB35" s="1344"/>
      <c r="AC35" s="1344"/>
      <c r="AD35" s="1304"/>
      <c r="AE35" s="1304"/>
      <c r="AF35" s="1301" t="s">
        <v>99</v>
      </c>
      <c r="AG35" s="1301"/>
      <c r="AH35" s="1305">
        <f>Memória_Orçamento!K275</f>
        <v>57.6</v>
      </c>
      <c r="AI35" s="1305"/>
      <c r="AJ35" s="1305"/>
      <c r="AK35" s="1345">
        <f>IF(F35="","",ROUND('Composições Principais'!L$352*(1+$R$11),2))</f>
        <v>8.17</v>
      </c>
      <c r="AL35" s="1345"/>
      <c r="AM35" s="1345"/>
      <c r="AN35" s="1345"/>
      <c r="AO35" s="1307">
        <f>IF(F35="","",ROUND((AH35*AK35),2))</f>
        <v>470.59</v>
      </c>
      <c r="AP35" s="1307"/>
      <c r="AQ35" s="1307"/>
      <c r="AR35" s="1308"/>
      <c r="AS35" s="1258" t="s">
        <v>83</v>
      </c>
      <c r="AU35" s="1309">
        <f>ROUND((AK35/(1+$R$11)),2)</f>
        <v>6.59</v>
      </c>
      <c r="AV35" s="1288">
        <f>ROUND(AH35*AU35,2)</f>
        <v>379.58</v>
      </c>
      <c r="AX35" s="1309"/>
      <c r="AY35" s="1288"/>
      <c r="AZ35" s="1288"/>
    </row>
    <row r="36" ht="17.4" customHeight="1" spans="1:52">
      <c r="A36" s="1278" t="str">
        <f>CONCATENATE(A34,".2")</f>
        <v>1.2.2</v>
      </c>
      <c r="B36" s="1279"/>
      <c r="C36" s="1346" t="s">
        <v>97</v>
      </c>
      <c r="D36" s="1346"/>
      <c r="E36" s="1346"/>
      <c r="F36" s="1281">
        <v>5502109</v>
      </c>
      <c r="G36" s="1281"/>
      <c r="H36" s="1281"/>
      <c r="I36" s="1292" t="s">
        <v>98</v>
      </c>
      <c r="J36" s="1292"/>
      <c r="K36" s="1292"/>
      <c r="L36" s="1292"/>
      <c r="M36" s="1292"/>
      <c r="N36" s="1292"/>
      <c r="O36" s="1292"/>
      <c r="P36" s="1292"/>
      <c r="Q36" s="1292"/>
      <c r="R36" s="1292"/>
      <c r="S36" s="1292"/>
      <c r="T36" s="1292"/>
      <c r="U36" s="1292"/>
      <c r="V36" s="1292"/>
      <c r="W36" s="1292"/>
      <c r="X36" s="1292"/>
      <c r="Y36" s="1292"/>
      <c r="Z36" s="1292"/>
      <c r="AA36" s="1292"/>
      <c r="AB36" s="1292"/>
      <c r="AC36" s="1292"/>
      <c r="AD36" s="1283"/>
      <c r="AE36" s="1283"/>
      <c r="AF36" s="1280" t="s">
        <v>99</v>
      </c>
      <c r="AG36" s="1280"/>
      <c r="AH36" s="1284">
        <f>Memória_Orçamento!K326</f>
        <v>103.91</v>
      </c>
      <c r="AI36" s="1284"/>
      <c r="AJ36" s="1284"/>
      <c r="AK36" s="1347">
        <f>IF(F36="","",ROUND('Composições Principais'!L$352*(1+$R$11),2))</f>
        <v>8.17</v>
      </c>
      <c r="AL36" s="1347"/>
      <c r="AM36" s="1347"/>
      <c r="AN36" s="1347"/>
      <c r="AO36" s="1286">
        <f>IF(F36="","",ROUND((AH36*AK36),2))</f>
        <v>848.94</v>
      </c>
      <c r="AP36" s="1286"/>
      <c r="AQ36" s="1286"/>
      <c r="AR36" s="1287"/>
      <c r="AS36" s="1258" t="s">
        <v>83</v>
      </c>
      <c r="AU36" s="1309">
        <f>ROUND((AK36/(1+$R$11)),2)</f>
        <v>6.59</v>
      </c>
      <c r="AV36" s="1288">
        <f>ROUND(AH36*AU36,2)</f>
        <v>684.77</v>
      </c>
      <c r="AX36" s="1309"/>
      <c r="AY36" s="1288"/>
      <c r="AZ36" s="1288"/>
    </row>
    <row r="37" ht="17.4" customHeight="1" spans="1:52">
      <c r="A37" s="1278" t="str">
        <f>CONCATENATE(A34,".3")</f>
        <v>1.2.3</v>
      </c>
      <c r="B37" s="1279"/>
      <c r="C37" s="1346" t="s">
        <v>97</v>
      </c>
      <c r="D37" s="1346"/>
      <c r="E37" s="1346"/>
      <c r="F37" s="1281">
        <v>407819</v>
      </c>
      <c r="G37" s="1281"/>
      <c r="H37" s="1281"/>
      <c r="I37" s="1292" t="s">
        <v>100</v>
      </c>
      <c r="J37" s="1292"/>
      <c r="K37" s="1292"/>
      <c r="L37" s="1292"/>
      <c r="M37" s="1292"/>
      <c r="N37" s="1292"/>
      <c r="O37" s="1292"/>
      <c r="P37" s="1292"/>
      <c r="Q37" s="1292"/>
      <c r="R37" s="1292"/>
      <c r="S37" s="1292"/>
      <c r="T37" s="1292"/>
      <c r="U37" s="1292"/>
      <c r="V37" s="1292"/>
      <c r="W37" s="1292"/>
      <c r="X37" s="1292"/>
      <c r="Y37" s="1292"/>
      <c r="Z37" s="1292"/>
      <c r="AA37" s="1292"/>
      <c r="AB37" s="1292"/>
      <c r="AC37" s="1292"/>
      <c r="AD37" s="1283"/>
      <c r="AE37" s="1283"/>
      <c r="AF37" s="1280" t="s">
        <v>101</v>
      </c>
      <c r="AG37" s="1280"/>
      <c r="AH37" s="1284">
        <f>Memória_Orçamento!K358</f>
        <v>81.4</v>
      </c>
      <c r="AI37" s="1284"/>
      <c r="AJ37" s="1284"/>
      <c r="AK37" s="1285">
        <f>IF(F37="","",ROUND('Composições Principais'!L$522*(1+$R$11),2))</f>
        <v>15.96</v>
      </c>
      <c r="AL37" s="1285"/>
      <c r="AM37" s="1285"/>
      <c r="AN37" s="1285"/>
      <c r="AO37" s="1286">
        <f>IF(F37="","",ROUND((AH37*AK37),2))</f>
        <v>1299.14</v>
      </c>
      <c r="AP37" s="1286"/>
      <c r="AQ37" s="1286"/>
      <c r="AR37" s="1287"/>
      <c r="AS37" s="1258" t="s">
        <v>83</v>
      </c>
      <c r="AU37" s="1309">
        <f>ROUND((AK37/(1+$R$11)),2)</f>
        <v>12.88</v>
      </c>
      <c r="AV37" s="1288">
        <f>ROUND(AH37*AU37,2)</f>
        <v>1048.43</v>
      </c>
      <c r="AX37" s="1309"/>
      <c r="AY37" s="1288"/>
      <c r="AZ37" s="1288"/>
    </row>
    <row r="38" s="334" customFormat="1" ht="17.4" customHeight="1" spans="1:52">
      <c r="A38" s="1278" t="str">
        <f>CONCATENATE(A34,".4")</f>
        <v>1.2.4</v>
      </c>
      <c r="B38" s="1279"/>
      <c r="C38" s="1346" t="s">
        <v>97</v>
      </c>
      <c r="D38" s="1346"/>
      <c r="E38" s="1346"/>
      <c r="F38" s="1281">
        <v>2306113</v>
      </c>
      <c r="G38" s="1281"/>
      <c r="H38" s="1281"/>
      <c r="I38" s="1292" t="s">
        <v>102</v>
      </c>
      <c r="J38" s="1292"/>
      <c r="K38" s="1292"/>
      <c r="L38" s="1292"/>
      <c r="M38" s="1292"/>
      <c r="N38" s="1292"/>
      <c r="O38" s="1292"/>
      <c r="P38" s="1292"/>
      <c r="Q38" s="1292"/>
      <c r="R38" s="1292"/>
      <c r="S38" s="1292"/>
      <c r="T38" s="1292"/>
      <c r="U38" s="1292"/>
      <c r="V38" s="1292"/>
      <c r="W38" s="1292"/>
      <c r="X38" s="1292"/>
      <c r="Y38" s="1292"/>
      <c r="Z38" s="1292"/>
      <c r="AA38" s="1292"/>
      <c r="AB38" s="1292"/>
      <c r="AC38" s="1292"/>
      <c r="AD38" s="1283"/>
      <c r="AE38" s="1283"/>
      <c r="AF38" s="1280" t="s">
        <v>9</v>
      </c>
      <c r="AG38" s="1280"/>
      <c r="AH38" s="1284">
        <f>Memória_Orçamento!K370</f>
        <v>120</v>
      </c>
      <c r="AI38" s="1284"/>
      <c r="AJ38" s="1284"/>
      <c r="AK38" s="1285">
        <f>IF(F38="","",ROUND('Composições Principais'!L$607*(1+$R$11),2))</f>
        <v>486.85</v>
      </c>
      <c r="AL38" s="1285"/>
      <c r="AM38" s="1285"/>
      <c r="AN38" s="1285"/>
      <c r="AO38" s="1286">
        <f>IF(F38="","",ROUND((AH38*AK38),2))</f>
        <v>58422</v>
      </c>
      <c r="AP38" s="1286"/>
      <c r="AQ38" s="1286"/>
      <c r="AR38" s="1287"/>
      <c r="AS38" s="1258" t="s">
        <v>83</v>
      </c>
      <c r="AU38" s="1309">
        <f>ROUND((AK38/(1+$R$11)),2)</f>
        <v>392.91</v>
      </c>
      <c r="AV38" s="1288">
        <f>ROUND(AH38*AU38,2)</f>
        <v>47149.2</v>
      </c>
      <c r="AX38" s="1309"/>
      <c r="AY38" s="1288"/>
      <c r="AZ38" s="1288"/>
    </row>
    <row r="39" ht="17.4" customHeight="1" spans="1:52">
      <c r="A39" s="1311" t="str">
        <f>CONCATENATE(A34,".5")</f>
        <v>1.2.5</v>
      </c>
      <c r="B39" s="1312"/>
      <c r="C39" s="1348" t="s">
        <v>97</v>
      </c>
      <c r="D39" s="1348"/>
      <c r="E39" s="1348"/>
      <c r="F39" s="1314">
        <v>2003864</v>
      </c>
      <c r="G39" s="1314"/>
      <c r="H39" s="1314"/>
      <c r="I39" s="1315" t="s">
        <v>103</v>
      </c>
      <c r="J39" s="1315"/>
      <c r="K39" s="1315"/>
      <c r="L39" s="1315"/>
      <c r="M39" s="1315"/>
      <c r="N39" s="1315"/>
      <c r="O39" s="1315"/>
      <c r="P39" s="1315"/>
      <c r="Q39" s="1315"/>
      <c r="R39" s="1315"/>
      <c r="S39" s="1315"/>
      <c r="T39" s="1315"/>
      <c r="U39" s="1315"/>
      <c r="V39" s="1315"/>
      <c r="W39" s="1315"/>
      <c r="X39" s="1315"/>
      <c r="Y39" s="1315"/>
      <c r="Z39" s="1315"/>
      <c r="AA39" s="1315"/>
      <c r="AB39" s="1315"/>
      <c r="AC39" s="1315"/>
      <c r="AD39" s="1316"/>
      <c r="AE39" s="1316"/>
      <c r="AF39" s="1313" t="s">
        <v>104</v>
      </c>
      <c r="AG39" s="1313"/>
      <c r="AH39" s="1317">
        <f>Memória_Orçamento!K382</f>
        <v>60</v>
      </c>
      <c r="AI39" s="1317"/>
      <c r="AJ39" s="1317"/>
      <c r="AK39" s="1349">
        <f>IF(F39="","",ROUND('Composições Principais'!L$437*(1+$R$11),2))</f>
        <v>18.12</v>
      </c>
      <c r="AL39" s="1349"/>
      <c r="AM39" s="1349"/>
      <c r="AN39" s="1349"/>
      <c r="AO39" s="1319">
        <f>IF(F39="","",ROUND((AH39*AK39),2))</f>
        <v>1087.2</v>
      </c>
      <c r="AP39" s="1319"/>
      <c r="AQ39" s="1319"/>
      <c r="AR39" s="1320"/>
      <c r="AS39" s="1258" t="s">
        <v>83</v>
      </c>
      <c r="AU39" s="1309">
        <f>ROUND((AK39/(1+$R$11)),2)</f>
        <v>14.62</v>
      </c>
      <c r="AV39" s="1288">
        <f>ROUND(AH39*AU39,2)</f>
        <v>877.2</v>
      </c>
      <c r="AX39" s="1309"/>
      <c r="AY39" s="1288"/>
      <c r="AZ39" s="1288"/>
    </row>
    <row r="40" ht="17.4" customHeight="1" spans="1:52">
      <c r="A40" s="1356">
        <v>2</v>
      </c>
      <c r="B40" s="1277"/>
      <c r="C40" s="1357"/>
      <c r="D40" s="1357"/>
      <c r="E40" s="1357"/>
      <c r="F40" s="1357"/>
      <c r="G40" s="1357"/>
      <c r="H40" s="1357"/>
      <c r="I40" s="1358" t="s">
        <v>106</v>
      </c>
      <c r="J40" s="1358"/>
      <c r="K40" s="1358"/>
      <c r="L40" s="1358"/>
      <c r="M40" s="1358"/>
      <c r="N40" s="1358"/>
      <c r="O40" s="1358"/>
      <c r="P40" s="1358"/>
      <c r="Q40" s="1358"/>
      <c r="R40" s="1358"/>
      <c r="S40" s="1358"/>
      <c r="T40" s="1358"/>
      <c r="U40" s="1358"/>
      <c r="V40" s="1358"/>
      <c r="W40" s="1358"/>
      <c r="X40" s="1358"/>
      <c r="Y40" s="1358"/>
      <c r="Z40" s="1358"/>
      <c r="AA40" s="1358"/>
      <c r="AB40" s="1277"/>
      <c r="AC40" s="1277"/>
      <c r="AD40" s="1277"/>
      <c r="AE40" s="1277"/>
      <c r="AF40" s="1277"/>
      <c r="AG40" s="1277"/>
      <c r="AH40" s="1359"/>
      <c r="AI40" s="1359"/>
      <c r="AJ40" s="1359"/>
      <c r="AK40" s="1360"/>
      <c r="AL40" s="1360"/>
      <c r="AM40" s="1360"/>
      <c r="AN40" s="1360"/>
      <c r="AO40" s="1361">
        <f>SUM(AO41,AO50,AO59,AO66,AO73,AO75,AO77)</f>
        <v>285180.89</v>
      </c>
      <c r="AP40" s="1361"/>
      <c r="AQ40" s="1361"/>
      <c r="AR40" s="1362"/>
    </row>
    <row r="41" s="1255" customFormat="1" ht="17.4" customHeight="1" spans="1:52">
      <c r="A41" s="1363" t="str">
        <f>CONCATENATE(A40,".1")</f>
        <v>2.1</v>
      </c>
      <c r="B41" s="1364"/>
      <c r="C41" s="1365"/>
      <c r="D41" s="1365"/>
      <c r="E41" s="1365"/>
      <c r="F41" s="1365"/>
      <c r="G41" s="1365"/>
      <c r="H41" s="1365"/>
      <c r="I41" s="1366" t="s">
        <v>107</v>
      </c>
      <c r="J41" s="1366"/>
      <c r="K41" s="1366"/>
      <c r="L41" s="1366"/>
      <c r="M41" s="1366"/>
      <c r="N41" s="1366"/>
      <c r="O41" s="1366"/>
      <c r="P41" s="1366"/>
      <c r="Q41" s="1366"/>
      <c r="R41" s="1366"/>
      <c r="S41" s="1366"/>
      <c r="T41" s="1366"/>
      <c r="U41" s="1366"/>
      <c r="V41" s="1366"/>
      <c r="W41" s="1366"/>
      <c r="X41" s="1366"/>
      <c r="Y41" s="1366"/>
      <c r="Z41" s="1366"/>
      <c r="AA41" s="1366"/>
      <c r="AB41" s="1366"/>
      <c r="AC41" s="1366"/>
      <c r="AD41" s="1365"/>
      <c r="AE41" s="1365"/>
      <c r="AF41" s="1365"/>
      <c r="AG41" s="1365"/>
      <c r="AH41" s="1367"/>
      <c r="AI41" s="1367"/>
      <c r="AJ41" s="1367"/>
      <c r="AK41" s="1368"/>
      <c r="AL41" s="1368"/>
      <c r="AM41" s="1368"/>
      <c r="AN41" s="1368"/>
      <c r="AO41" s="1368">
        <f>SUM(AO42:AR49)</f>
        <v>123459.9</v>
      </c>
      <c r="AP41" s="1368"/>
      <c r="AQ41" s="1368"/>
      <c r="AR41" s="1369"/>
      <c r="AS41" s="1370"/>
    </row>
    <row r="42" ht="17.4" customHeight="1" spans="1:52">
      <c r="A42" s="1299" t="str">
        <f>CONCATENATE(A41,".1")</f>
        <v>2.1.1</v>
      </c>
      <c r="B42" s="1300"/>
      <c r="C42" s="1343" t="s">
        <v>97</v>
      </c>
      <c r="D42" s="1343"/>
      <c r="E42" s="1343"/>
      <c r="F42" s="1302">
        <v>1107900</v>
      </c>
      <c r="G42" s="1302"/>
      <c r="H42" s="1302"/>
      <c r="I42" s="1344" t="s">
        <v>108</v>
      </c>
      <c r="J42" s="1344"/>
      <c r="K42" s="1344"/>
      <c r="L42" s="1344"/>
      <c r="M42" s="1344"/>
      <c r="N42" s="1344"/>
      <c r="O42" s="1344"/>
      <c r="P42" s="1344"/>
      <c r="Q42" s="1344"/>
      <c r="R42" s="1344"/>
      <c r="S42" s="1344"/>
      <c r="T42" s="1344"/>
      <c r="U42" s="1344"/>
      <c r="V42" s="1344"/>
      <c r="W42" s="1344"/>
      <c r="X42" s="1344"/>
      <c r="Y42" s="1344"/>
      <c r="Z42" s="1344"/>
      <c r="AA42" s="1344"/>
      <c r="AB42" s="1344"/>
      <c r="AC42" s="1344"/>
      <c r="AD42" s="1304"/>
      <c r="AE42" s="1304"/>
      <c r="AF42" s="1301" t="s">
        <v>99</v>
      </c>
      <c r="AG42" s="1301"/>
      <c r="AH42" s="1305">
        <f>Memória_Orçamento!K428</f>
        <v>33.62</v>
      </c>
      <c r="AI42" s="1305"/>
      <c r="AJ42" s="1305"/>
      <c r="AK42" s="1306">
        <f>IF(F42="","",ROUND('Composições Principais'!L$692*(1+$R$11),2))</f>
        <v>1310.99</v>
      </c>
      <c r="AL42" s="1306"/>
      <c r="AM42" s="1306"/>
      <c r="AN42" s="1306"/>
      <c r="AO42" s="1307">
        <f t="shared" ref="AO42:AO49" si="0">IF(F42="","",ROUND((AH42*AK42),2))</f>
        <v>44075.48</v>
      </c>
      <c r="AP42" s="1307"/>
      <c r="AQ42" s="1307"/>
      <c r="AR42" s="1308"/>
      <c r="AS42" s="1258" t="s">
        <v>83</v>
      </c>
      <c r="AU42" s="1309">
        <f t="shared" ref="AU42:AU49" si="1">ROUND((AK42/(1+$R$11)),2)</f>
        <v>1058.02</v>
      </c>
      <c r="AV42" s="1288">
        <f t="shared" ref="AV42:AV49" si="2">ROUND(AH42*AU42,2)</f>
        <v>35570.63</v>
      </c>
      <c r="AX42" s="1309"/>
      <c r="AY42" s="1288"/>
      <c r="AZ42" s="1288"/>
    </row>
    <row r="43" ht="17.4" customHeight="1" spans="1:52">
      <c r="A43" s="1278" t="str">
        <f>CONCATENATE(A41,".2")</f>
        <v>2.1.2</v>
      </c>
      <c r="B43" s="1279"/>
      <c r="C43" s="1346" t="s">
        <v>97</v>
      </c>
      <c r="D43" s="1346"/>
      <c r="E43" s="1346"/>
      <c r="F43" s="1281">
        <v>1106057</v>
      </c>
      <c r="G43" s="1281"/>
      <c r="H43" s="1281"/>
      <c r="I43" s="1292" t="s">
        <v>109</v>
      </c>
      <c r="J43" s="1292"/>
      <c r="K43" s="1292"/>
      <c r="L43" s="1292"/>
      <c r="M43" s="1292"/>
      <c r="N43" s="1292"/>
      <c r="O43" s="1292"/>
      <c r="P43" s="1292"/>
      <c r="Q43" s="1292"/>
      <c r="R43" s="1292"/>
      <c r="S43" s="1292"/>
      <c r="T43" s="1292"/>
      <c r="U43" s="1292"/>
      <c r="V43" s="1292"/>
      <c r="W43" s="1292"/>
      <c r="X43" s="1292"/>
      <c r="Y43" s="1292"/>
      <c r="Z43" s="1292"/>
      <c r="AA43" s="1292"/>
      <c r="AB43" s="1292"/>
      <c r="AC43" s="1292"/>
      <c r="AD43" s="1283"/>
      <c r="AE43" s="1283"/>
      <c r="AF43" s="1280" t="s">
        <v>99</v>
      </c>
      <c r="AG43" s="1280"/>
      <c r="AH43" s="1284">
        <f>Memória_Orçamento!K468</f>
        <v>0.42</v>
      </c>
      <c r="AI43" s="1284"/>
      <c r="AJ43" s="1284"/>
      <c r="AK43" s="1285">
        <f>IF(F43="","",ROUND('Composições Principais'!L$1202*(1+$R$11),2))</f>
        <v>1213.64</v>
      </c>
      <c r="AL43" s="1285"/>
      <c r="AM43" s="1285"/>
      <c r="AN43" s="1285"/>
      <c r="AO43" s="1286">
        <f t="shared" si="0"/>
        <v>509.73</v>
      </c>
      <c r="AP43" s="1286"/>
      <c r="AQ43" s="1286"/>
      <c r="AR43" s="1287"/>
      <c r="AS43" s="1258" t="s">
        <v>83</v>
      </c>
      <c r="AU43" s="1309">
        <f t="shared" si="1"/>
        <v>979.45</v>
      </c>
      <c r="AV43" s="1288">
        <f t="shared" si="2"/>
        <v>411.37</v>
      </c>
      <c r="AX43" s="1309"/>
      <c r="AY43" s="1288"/>
      <c r="AZ43" s="1288"/>
    </row>
    <row r="44" ht="17.4" customHeight="1" spans="1:52">
      <c r="A44" s="1278" t="str">
        <f>CONCATENATE(A41,".3")</f>
        <v>2.1.3</v>
      </c>
      <c r="B44" s="1279"/>
      <c r="C44" s="1346" t="s">
        <v>97</v>
      </c>
      <c r="D44" s="1346"/>
      <c r="E44" s="1346"/>
      <c r="F44" s="1281">
        <v>3108000</v>
      </c>
      <c r="G44" s="1281"/>
      <c r="H44" s="1281"/>
      <c r="I44" s="1292" t="s">
        <v>110</v>
      </c>
      <c r="J44" s="1292"/>
      <c r="K44" s="1292"/>
      <c r="L44" s="1292"/>
      <c r="M44" s="1292"/>
      <c r="N44" s="1292"/>
      <c r="O44" s="1292"/>
      <c r="P44" s="1292"/>
      <c r="Q44" s="1292"/>
      <c r="R44" s="1292"/>
      <c r="S44" s="1292"/>
      <c r="T44" s="1292"/>
      <c r="U44" s="1292"/>
      <c r="V44" s="1292"/>
      <c r="W44" s="1292"/>
      <c r="X44" s="1292"/>
      <c r="Y44" s="1292"/>
      <c r="Z44" s="1292"/>
      <c r="AA44" s="1292"/>
      <c r="AB44" s="1292"/>
      <c r="AC44" s="1292"/>
      <c r="AD44" s="1283"/>
      <c r="AE44" s="1283"/>
      <c r="AF44" s="1280" t="s">
        <v>7</v>
      </c>
      <c r="AG44" s="1280"/>
      <c r="AH44" s="1284">
        <f>Memória_Orçamento!K514</f>
        <v>166.62</v>
      </c>
      <c r="AI44" s="1284"/>
      <c r="AJ44" s="1284"/>
      <c r="AK44" s="1285">
        <f>IF(F44="","",ROUND('Composições Principais'!L$862*(1+$R$11),2))</f>
        <v>108.67</v>
      </c>
      <c r="AL44" s="1285"/>
      <c r="AM44" s="1285"/>
      <c r="AN44" s="1285"/>
      <c r="AO44" s="1286">
        <f t="shared" si="0"/>
        <v>18106.6</v>
      </c>
      <c r="AP44" s="1286"/>
      <c r="AQ44" s="1286"/>
      <c r="AR44" s="1287"/>
      <c r="AS44" s="1258" t="s">
        <v>83</v>
      </c>
      <c r="AU44" s="1309">
        <f t="shared" si="1"/>
        <v>87.7</v>
      </c>
      <c r="AV44" s="1288">
        <f t="shared" si="2"/>
        <v>14612.57</v>
      </c>
      <c r="AX44" s="1309"/>
      <c r="AY44" s="1288"/>
      <c r="AZ44" s="1288"/>
    </row>
    <row r="45" ht="17.4" customHeight="1" spans="1:52">
      <c r="A45" s="1278" t="str">
        <f>CONCATENATE(A41,".4")</f>
        <v>2.1.4</v>
      </c>
      <c r="B45" s="1279"/>
      <c r="C45" s="1346" t="s">
        <v>97</v>
      </c>
      <c r="D45" s="1346"/>
      <c r="E45" s="1346"/>
      <c r="F45" s="1281">
        <v>407819</v>
      </c>
      <c r="G45" s="1281"/>
      <c r="H45" s="1281"/>
      <c r="I45" s="1292" t="s">
        <v>100</v>
      </c>
      <c r="J45" s="1292"/>
      <c r="K45" s="1292"/>
      <c r="L45" s="1292"/>
      <c r="M45" s="1292"/>
      <c r="N45" s="1292"/>
      <c r="O45" s="1292"/>
      <c r="P45" s="1292"/>
      <c r="Q45" s="1292"/>
      <c r="R45" s="1292"/>
      <c r="S45" s="1292"/>
      <c r="T45" s="1292"/>
      <c r="U45" s="1292"/>
      <c r="V45" s="1292"/>
      <c r="W45" s="1292"/>
      <c r="X45" s="1292"/>
      <c r="Y45" s="1292"/>
      <c r="Z45" s="1292"/>
      <c r="AA45" s="1292"/>
      <c r="AB45" s="1292"/>
      <c r="AC45" s="1292"/>
      <c r="AD45" s="1283"/>
      <c r="AE45" s="1283"/>
      <c r="AF45" s="1280" t="s">
        <v>101</v>
      </c>
      <c r="AG45" s="1280"/>
      <c r="AH45" s="1284">
        <f>Memória_Orçamento!K613</f>
        <v>3378.05</v>
      </c>
      <c r="AI45" s="1284"/>
      <c r="AJ45" s="1284"/>
      <c r="AK45" s="1285">
        <f>IF(F45="","",ROUND('Composições Principais'!L$522*(1+$R$11),2))</f>
        <v>15.96</v>
      </c>
      <c r="AL45" s="1285"/>
      <c r="AM45" s="1285"/>
      <c r="AN45" s="1285"/>
      <c r="AO45" s="1286">
        <f t="shared" si="0"/>
        <v>53913.68</v>
      </c>
      <c r="AP45" s="1286"/>
      <c r="AQ45" s="1286"/>
      <c r="AR45" s="1287"/>
      <c r="AS45" s="1258" t="s">
        <v>83</v>
      </c>
      <c r="AU45" s="1309">
        <f t="shared" si="1"/>
        <v>12.88</v>
      </c>
      <c r="AV45" s="1288">
        <f t="shared" si="2"/>
        <v>43509.28</v>
      </c>
      <c r="AX45" s="1309"/>
      <c r="AY45" s="1288"/>
      <c r="AZ45" s="1288"/>
    </row>
    <row r="46" ht="17.4" customHeight="1" spans="1:52">
      <c r="A46" s="1278" t="str">
        <f>CONCATENATE(A41,".5")</f>
        <v>2.1.5</v>
      </c>
      <c r="B46" s="1371"/>
      <c r="C46" s="1346" t="s">
        <v>97</v>
      </c>
      <c r="D46" s="1346"/>
      <c r="E46" s="1346"/>
      <c r="F46" s="1281">
        <v>3806429</v>
      </c>
      <c r="G46" s="1281"/>
      <c r="H46" s="1281"/>
      <c r="I46" s="1292" t="s">
        <v>111</v>
      </c>
      <c r="J46" s="1292"/>
      <c r="K46" s="1292"/>
      <c r="L46" s="1292"/>
      <c r="M46" s="1292"/>
      <c r="N46" s="1292"/>
      <c r="O46" s="1292"/>
      <c r="P46" s="1292"/>
      <c r="Q46" s="1292"/>
      <c r="R46" s="1292"/>
      <c r="S46" s="1292"/>
      <c r="T46" s="1292"/>
      <c r="U46" s="1292"/>
      <c r="V46" s="1292"/>
      <c r="W46" s="1292"/>
      <c r="X46" s="1292"/>
      <c r="Y46" s="1292"/>
      <c r="Z46" s="1292"/>
      <c r="AA46" s="1292"/>
      <c r="AB46" s="1292"/>
      <c r="AC46" s="1292"/>
      <c r="AD46" s="1283"/>
      <c r="AE46" s="1283"/>
      <c r="AF46" s="1280" t="s">
        <v>99</v>
      </c>
      <c r="AG46" s="1280"/>
      <c r="AH46" s="1284">
        <f>Memória_Orçamento!K665</f>
        <v>189.84</v>
      </c>
      <c r="AI46" s="1284"/>
      <c r="AJ46" s="1284"/>
      <c r="AK46" s="1285">
        <f>IF(F46="","",ROUND('Composições Principais'!L$947*(1+$R$11),2))</f>
        <v>24.76</v>
      </c>
      <c r="AL46" s="1285"/>
      <c r="AM46" s="1285"/>
      <c r="AN46" s="1285"/>
      <c r="AO46" s="1286">
        <f t="shared" si="0"/>
        <v>4700.44</v>
      </c>
      <c r="AP46" s="1286"/>
      <c r="AQ46" s="1286"/>
      <c r="AR46" s="1287"/>
      <c r="AS46" s="1258" t="s">
        <v>83</v>
      </c>
      <c r="AU46" s="1309">
        <f t="shared" si="1"/>
        <v>19.98</v>
      </c>
      <c r="AV46" s="1288">
        <f t="shared" si="2"/>
        <v>3793</v>
      </c>
      <c r="AX46" s="1309"/>
      <c r="AY46" s="1288"/>
      <c r="AZ46" s="1288"/>
    </row>
    <row r="47" s="34" customFormat="1" ht="17.4" customHeight="1" spans="1:52">
      <c r="A47" s="1372" t="str">
        <f>CONCATENATE(A41,".6")</f>
        <v>2.1.6</v>
      </c>
      <c r="B47" s="1371"/>
      <c r="C47" s="1346" t="s">
        <v>97</v>
      </c>
      <c r="D47" s="1346"/>
      <c r="E47" s="1346"/>
      <c r="F47" s="1373">
        <v>4815671</v>
      </c>
      <c r="G47" s="1373"/>
      <c r="H47" s="1373"/>
      <c r="I47" s="1374" t="s">
        <v>112</v>
      </c>
      <c r="J47" s="1374"/>
      <c r="K47" s="1374"/>
      <c r="L47" s="1374"/>
      <c r="M47" s="1374"/>
      <c r="N47" s="1374"/>
      <c r="O47" s="1374"/>
      <c r="P47" s="1374"/>
      <c r="Q47" s="1374"/>
      <c r="R47" s="1374"/>
      <c r="S47" s="1374"/>
      <c r="T47" s="1374"/>
      <c r="U47" s="1374"/>
      <c r="V47" s="1374"/>
      <c r="W47" s="1374"/>
      <c r="X47" s="1374"/>
      <c r="Y47" s="1374"/>
      <c r="Z47" s="1374"/>
      <c r="AA47" s="1374"/>
      <c r="AB47" s="1374"/>
      <c r="AC47" s="1374"/>
      <c r="AD47" s="1375"/>
      <c r="AE47" s="1375"/>
      <c r="AF47" s="1346" t="s">
        <v>99</v>
      </c>
      <c r="AG47" s="1346"/>
      <c r="AH47" s="1376">
        <f>Memória_Orçamento!K718</f>
        <v>52.12</v>
      </c>
      <c r="AI47" s="1376"/>
      <c r="AJ47" s="1376"/>
      <c r="AK47" s="1285">
        <f>IF(F47="","",ROUND('Composições Principais'!L$1032*(1+$R$11),2))</f>
        <v>24.77</v>
      </c>
      <c r="AL47" s="1285"/>
      <c r="AM47" s="1285"/>
      <c r="AN47" s="1285"/>
      <c r="AO47" s="1377">
        <f t="shared" si="0"/>
        <v>1291.01</v>
      </c>
      <c r="AP47" s="1377"/>
      <c r="AQ47" s="1377"/>
      <c r="AR47" s="1378"/>
      <c r="AS47" s="1258" t="s">
        <v>83</v>
      </c>
      <c r="AU47" s="1379">
        <f t="shared" si="1"/>
        <v>19.99</v>
      </c>
      <c r="AV47" s="1380">
        <f t="shared" si="2"/>
        <v>1041.88</v>
      </c>
      <c r="AX47" s="1379"/>
      <c r="AY47" s="1380"/>
      <c r="AZ47" s="1380"/>
    </row>
    <row r="48" s="334" customFormat="1" ht="17.4" customHeight="1" spans="1:52">
      <c r="A48" s="1372" t="str">
        <f>CONCATENATE(A41,".7")</f>
        <v>2.1.7</v>
      </c>
      <c r="B48" s="1279"/>
      <c r="C48" s="1346" t="s">
        <v>97</v>
      </c>
      <c r="D48" s="1346"/>
      <c r="E48" s="1346"/>
      <c r="F48" s="1281">
        <v>1505860</v>
      </c>
      <c r="G48" s="1281"/>
      <c r="H48" s="1281"/>
      <c r="I48" s="1374" t="s">
        <v>113</v>
      </c>
      <c r="J48" s="1374"/>
      <c r="K48" s="1374"/>
      <c r="L48" s="1374"/>
      <c r="M48" s="1374"/>
      <c r="N48" s="1374"/>
      <c r="O48" s="1374"/>
      <c r="P48" s="1374"/>
      <c r="Q48" s="1374"/>
      <c r="R48" s="1374"/>
      <c r="S48" s="1374"/>
      <c r="T48" s="1374"/>
      <c r="U48" s="1374"/>
      <c r="V48" s="1374"/>
      <c r="W48" s="1374"/>
      <c r="X48" s="1374"/>
      <c r="Y48" s="1374"/>
      <c r="Z48" s="1374"/>
      <c r="AA48" s="1374"/>
      <c r="AB48" s="1374"/>
      <c r="AC48" s="1374"/>
      <c r="AD48" s="1283"/>
      <c r="AE48" s="1283"/>
      <c r="AF48" s="1346" t="s">
        <v>99</v>
      </c>
      <c r="AG48" s="1346"/>
      <c r="AH48" s="1284">
        <f>Memória_Orçamento!K771</f>
        <v>3.16</v>
      </c>
      <c r="AI48" s="1284"/>
      <c r="AJ48" s="1284"/>
      <c r="AK48" s="1285">
        <f>IF(F48="","",ROUND('Composições Principais'!L$1117*(1+$R$11),2))</f>
        <v>224.04</v>
      </c>
      <c r="AL48" s="1285"/>
      <c r="AM48" s="1285"/>
      <c r="AN48" s="1285"/>
      <c r="AO48" s="1286">
        <f t="shared" si="0"/>
        <v>707.97</v>
      </c>
      <c r="AP48" s="1286"/>
      <c r="AQ48" s="1286"/>
      <c r="AR48" s="1287"/>
      <c r="AS48" s="1258" t="s">
        <v>83</v>
      </c>
      <c r="AU48" s="1309">
        <f t="shared" si="1"/>
        <v>180.81</v>
      </c>
      <c r="AV48" s="1288">
        <f t="shared" si="2"/>
        <v>571.36</v>
      </c>
      <c r="AX48" s="1309"/>
      <c r="AY48" s="1288"/>
      <c r="AZ48" s="1288"/>
    </row>
    <row r="49" s="334" customFormat="1" ht="17.4" customHeight="1" spans="1:52">
      <c r="A49" s="1381" t="str">
        <f>CONCATENATE(A41,".8")</f>
        <v>2.1.8</v>
      </c>
      <c r="B49" s="1312"/>
      <c r="C49" s="1348" t="s">
        <v>97</v>
      </c>
      <c r="D49" s="1348"/>
      <c r="E49" s="1348"/>
      <c r="F49" s="1314">
        <v>1100657</v>
      </c>
      <c r="G49" s="1314"/>
      <c r="H49" s="1314"/>
      <c r="I49" s="1315" t="s">
        <v>114</v>
      </c>
      <c r="J49" s="1315"/>
      <c r="K49" s="1315"/>
      <c r="L49" s="1315"/>
      <c r="M49" s="1315"/>
      <c r="N49" s="1315"/>
      <c r="O49" s="1315"/>
      <c r="P49" s="1315"/>
      <c r="Q49" s="1315"/>
      <c r="R49" s="1315"/>
      <c r="S49" s="1315"/>
      <c r="T49" s="1315"/>
      <c r="U49" s="1315"/>
      <c r="V49" s="1315"/>
      <c r="W49" s="1315"/>
      <c r="X49" s="1315"/>
      <c r="Y49" s="1315"/>
      <c r="Z49" s="1315"/>
      <c r="AA49" s="1315"/>
      <c r="AB49" s="1315"/>
      <c r="AC49" s="1315"/>
      <c r="AD49" s="1316"/>
      <c r="AE49" s="1316"/>
      <c r="AF49" s="1313" t="s">
        <v>99</v>
      </c>
      <c r="AG49" s="1313"/>
      <c r="AH49" s="1317">
        <f>Memória_Orçamento!K817</f>
        <v>33.62</v>
      </c>
      <c r="AI49" s="1317"/>
      <c r="AJ49" s="1317"/>
      <c r="AK49" s="1349">
        <f>IF(F49="","",ROUND('Composições Principais'!L$777*(1+$R$11),2))</f>
        <v>4.61</v>
      </c>
      <c r="AL49" s="1349"/>
      <c r="AM49" s="1349"/>
      <c r="AN49" s="1349"/>
      <c r="AO49" s="1319">
        <f t="shared" si="0"/>
        <v>154.99</v>
      </c>
      <c r="AP49" s="1319"/>
      <c r="AQ49" s="1319"/>
      <c r="AR49" s="1320"/>
      <c r="AS49" s="1258" t="s">
        <v>83</v>
      </c>
      <c r="AU49" s="1309">
        <f t="shared" si="1"/>
        <v>3.72</v>
      </c>
      <c r="AV49" s="1288">
        <f t="shared" si="2"/>
        <v>125.07</v>
      </c>
      <c r="AX49" s="1309"/>
      <c r="AY49" s="1288"/>
      <c r="AZ49" s="1288"/>
    </row>
    <row r="50" s="1255" customFormat="1" ht="17.4" customHeight="1" spans="1:52">
      <c r="A50" s="1382" t="str">
        <f>CONCATENATE(A40,".2")</f>
        <v>2.2</v>
      </c>
      <c r="B50" s="1383"/>
      <c r="C50" s="1384"/>
      <c r="D50" s="1384"/>
      <c r="E50" s="1384"/>
      <c r="F50" s="1384"/>
      <c r="G50" s="1384"/>
      <c r="H50" s="1384"/>
      <c r="I50" s="1385" t="s">
        <v>115</v>
      </c>
      <c r="J50" s="1385"/>
      <c r="K50" s="1385"/>
      <c r="L50" s="1385"/>
      <c r="M50" s="1385"/>
      <c r="N50" s="1385"/>
      <c r="O50" s="1385"/>
      <c r="P50" s="1385"/>
      <c r="Q50" s="1385"/>
      <c r="R50" s="1385"/>
      <c r="S50" s="1385"/>
      <c r="T50" s="1385"/>
      <c r="U50" s="1385"/>
      <c r="V50" s="1385"/>
      <c r="W50" s="1385"/>
      <c r="X50" s="1385"/>
      <c r="Y50" s="1385"/>
      <c r="Z50" s="1385"/>
      <c r="AA50" s="1385"/>
      <c r="AB50" s="1385"/>
      <c r="AC50" s="1385"/>
      <c r="AD50" s="1384"/>
      <c r="AE50" s="1384"/>
      <c r="AF50" s="1384"/>
      <c r="AG50" s="1384"/>
      <c r="AH50" s="1386"/>
      <c r="AI50" s="1386"/>
      <c r="AJ50" s="1386"/>
      <c r="AK50" s="1387"/>
      <c r="AL50" s="1387"/>
      <c r="AM50" s="1387"/>
      <c r="AN50" s="1387"/>
      <c r="AO50" s="1387">
        <f>SUM(AO51:AR58)</f>
        <v>123606.44</v>
      </c>
      <c r="AP50" s="1387"/>
      <c r="AQ50" s="1387"/>
      <c r="AR50" s="1388"/>
      <c r="AS50" s="1370"/>
    </row>
    <row r="51" ht="17.4" customHeight="1" spans="1:52">
      <c r="A51" s="1299" t="str">
        <f>CONCATENATE(A50,".1")</f>
        <v>2.2.1</v>
      </c>
      <c r="B51" s="1300"/>
      <c r="C51" s="1343" t="s">
        <v>97</v>
      </c>
      <c r="D51" s="1343"/>
      <c r="E51" s="1343"/>
      <c r="F51" s="1302">
        <v>1107900</v>
      </c>
      <c r="G51" s="1302"/>
      <c r="H51" s="1302"/>
      <c r="I51" s="1344" t="s">
        <v>108</v>
      </c>
      <c r="J51" s="1344"/>
      <c r="K51" s="1344"/>
      <c r="L51" s="1344"/>
      <c r="M51" s="1344"/>
      <c r="N51" s="1344"/>
      <c r="O51" s="1344"/>
      <c r="P51" s="1344"/>
      <c r="Q51" s="1344"/>
      <c r="R51" s="1344"/>
      <c r="S51" s="1344"/>
      <c r="T51" s="1344"/>
      <c r="U51" s="1344"/>
      <c r="V51" s="1344"/>
      <c r="W51" s="1344"/>
      <c r="X51" s="1344"/>
      <c r="Y51" s="1344"/>
      <c r="Z51" s="1344"/>
      <c r="AA51" s="1344"/>
      <c r="AB51" s="1344"/>
      <c r="AC51" s="1344"/>
      <c r="AD51" s="1304"/>
      <c r="AE51" s="1304"/>
      <c r="AF51" s="1301" t="s">
        <v>99</v>
      </c>
      <c r="AG51" s="1301"/>
      <c r="AH51" s="1305">
        <f>Memória_Orçamento!K863</f>
        <v>33.62</v>
      </c>
      <c r="AI51" s="1305"/>
      <c r="AJ51" s="1305"/>
      <c r="AK51" s="1306">
        <f>IF(F51="","",ROUND('Composições Principais'!L$692*(1+$R$11),2))</f>
        <v>1310.99</v>
      </c>
      <c r="AL51" s="1306"/>
      <c r="AM51" s="1306"/>
      <c r="AN51" s="1306"/>
      <c r="AO51" s="1307">
        <f t="shared" ref="AO51:AO58" si="3">IF(F51="","",ROUND((AH51*AK51),2))</f>
        <v>44075.48</v>
      </c>
      <c r="AP51" s="1307"/>
      <c r="AQ51" s="1307"/>
      <c r="AR51" s="1308"/>
      <c r="AS51" s="1258" t="s">
        <v>83</v>
      </c>
      <c r="AU51" s="1309">
        <f t="shared" ref="AU51:AU58" si="4">ROUND((AK51/(1+$R$11)),2)</f>
        <v>1058.02</v>
      </c>
      <c r="AV51" s="1288">
        <f t="shared" ref="AV51:AV58" si="5">ROUND(AH51*AU51,2)</f>
        <v>35570.63</v>
      </c>
      <c r="AX51" s="1309"/>
      <c r="AY51" s="1288"/>
      <c r="AZ51" s="1288"/>
    </row>
    <row r="52" ht="17.4" customHeight="1" spans="1:52">
      <c r="A52" s="1278" t="str">
        <f>CONCATENATE(A50,".2")</f>
        <v>2.2.2</v>
      </c>
      <c r="B52" s="1279"/>
      <c r="C52" s="1346" t="s">
        <v>97</v>
      </c>
      <c r="D52" s="1346"/>
      <c r="E52" s="1346"/>
      <c r="F52" s="1281">
        <v>1106057</v>
      </c>
      <c r="G52" s="1281"/>
      <c r="H52" s="1281"/>
      <c r="I52" s="1292" t="s">
        <v>109</v>
      </c>
      <c r="J52" s="1292"/>
      <c r="K52" s="1292"/>
      <c r="L52" s="1292"/>
      <c r="M52" s="1292"/>
      <c r="N52" s="1292"/>
      <c r="O52" s="1292"/>
      <c r="P52" s="1292"/>
      <c r="Q52" s="1292"/>
      <c r="R52" s="1292"/>
      <c r="S52" s="1292"/>
      <c r="T52" s="1292"/>
      <c r="U52" s="1292"/>
      <c r="V52" s="1292"/>
      <c r="W52" s="1292"/>
      <c r="X52" s="1292"/>
      <c r="Y52" s="1292"/>
      <c r="Z52" s="1292"/>
      <c r="AA52" s="1292"/>
      <c r="AB52" s="1292"/>
      <c r="AC52" s="1292"/>
      <c r="AD52" s="1283"/>
      <c r="AE52" s="1283"/>
      <c r="AF52" s="1280" t="s">
        <v>99</v>
      </c>
      <c r="AG52" s="1280"/>
      <c r="AH52" s="1284">
        <f>Memória_Orçamento!K903</f>
        <v>0.42</v>
      </c>
      <c r="AI52" s="1284"/>
      <c r="AJ52" s="1284"/>
      <c r="AK52" s="1285">
        <f>IF(F52="","",ROUND('Composições Principais'!L$1202*(1+$R$11),2))</f>
        <v>1213.64</v>
      </c>
      <c r="AL52" s="1285"/>
      <c r="AM52" s="1285"/>
      <c r="AN52" s="1285"/>
      <c r="AO52" s="1286">
        <f t="shared" si="3"/>
        <v>509.73</v>
      </c>
      <c r="AP52" s="1286"/>
      <c r="AQ52" s="1286"/>
      <c r="AR52" s="1287"/>
      <c r="AS52" s="1258" t="s">
        <v>83</v>
      </c>
      <c r="AU52" s="1309">
        <f t="shared" si="4"/>
        <v>979.45</v>
      </c>
      <c r="AV52" s="1288">
        <f t="shared" si="5"/>
        <v>411.37</v>
      </c>
      <c r="AX52" s="1309"/>
      <c r="AY52" s="1288"/>
      <c r="AZ52" s="1288"/>
    </row>
    <row r="53" ht="17.4" customHeight="1" spans="1:52">
      <c r="A53" s="1278" t="str">
        <f>CONCATENATE(A50,".3")</f>
        <v>2.2.3</v>
      </c>
      <c r="B53" s="1279"/>
      <c r="C53" s="1346" t="s">
        <v>97</v>
      </c>
      <c r="D53" s="1346"/>
      <c r="E53" s="1346"/>
      <c r="F53" s="1281">
        <v>3108000</v>
      </c>
      <c r="G53" s="1281"/>
      <c r="H53" s="1281"/>
      <c r="I53" s="1292" t="s">
        <v>110</v>
      </c>
      <c r="J53" s="1292"/>
      <c r="K53" s="1292"/>
      <c r="L53" s="1292"/>
      <c r="M53" s="1292"/>
      <c r="N53" s="1292"/>
      <c r="O53" s="1292"/>
      <c r="P53" s="1292"/>
      <c r="Q53" s="1292"/>
      <c r="R53" s="1292"/>
      <c r="S53" s="1292"/>
      <c r="T53" s="1292"/>
      <c r="U53" s="1292"/>
      <c r="V53" s="1292"/>
      <c r="W53" s="1292"/>
      <c r="X53" s="1292"/>
      <c r="Y53" s="1292"/>
      <c r="Z53" s="1292"/>
      <c r="AA53" s="1292"/>
      <c r="AB53" s="1292"/>
      <c r="AC53" s="1292"/>
      <c r="AD53" s="1283"/>
      <c r="AE53" s="1283"/>
      <c r="AF53" s="1280" t="s">
        <v>7</v>
      </c>
      <c r="AG53" s="1280"/>
      <c r="AH53" s="1284">
        <f>Memória_Orçamento!K949</f>
        <v>166.62</v>
      </c>
      <c r="AI53" s="1284"/>
      <c r="AJ53" s="1284"/>
      <c r="AK53" s="1285">
        <f>IF(F53="","",ROUND('Composições Principais'!L$862*(1+$R$11),2))</f>
        <v>108.67</v>
      </c>
      <c r="AL53" s="1285"/>
      <c r="AM53" s="1285"/>
      <c r="AN53" s="1285"/>
      <c r="AO53" s="1286">
        <f t="shared" si="3"/>
        <v>18106.6</v>
      </c>
      <c r="AP53" s="1286"/>
      <c r="AQ53" s="1286"/>
      <c r="AR53" s="1287"/>
      <c r="AS53" s="1258" t="s">
        <v>83</v>
      </c>
      <c r="AU53" s="1309">
        <f t="shared" si="4"/>
        <v>87.7</v>
      </c>
      <c r="AV53" s="1288">
        <f t="shared" si="5"/>
        <v>14612.57</v>
      </c>
      <c r="AX53" s="1309"/>
      <c r="AY53" s="1288"/>
      <c r="AZ53" s="1288"/>
    </row>
    <row r="54" ht="17.4" customHeight="1" spans="1:52">
      <c r="A54" s="1278" t="str">
        <f>CONCATENATE(A50,".4")</f>
        <v>2.2.4</v>
      </c>
      <c r="B54" s="1279"/>
      <c r="C54" s="1346" t="s">
        <v>97</v>
      </c>
      <c r="D54" s="1346"/>
      <c r="E54" s="1346"/>
      <c r="F54" s="1281">
        <v>407819</v>
      </c>
      <c r="G54" s="1281"/>
      <c r="H54" s="1281"/>
      <c r="I54" s="1292" t="s">
        <v>100</v>
      </c>
      <c r="J54" s="1292"/>
      <c r="K54" s="1292"/>
      <c r="L54" s="1292"/>
      <c r="M54" s="1292"/>
      <c r="N54" s="1292"/>
      <c r="O54" s="1292"/>
      <c r="P54" s="1292"/>
      <c r="Q54" s="1292"/>
      <c r="R54" s="1292"/>
      <c r="S54" s="1292"/>
      <c r="T54" s="1292"/>
      <c r="U54" s="1292"/>
      <c r="V54" s="1292"/>
      <c r="W54" s="1292"/>
      <c r="X54" s="1292"/>
      <c r="Y54" s="1292"/>
      <c r="Z54" s="1292"/>
      <c r="AA54" s="1292"/>
      <c r="AB54" s="1292"/>
      <c r="AC54" s="1292"/>
      <c r="AD54" s="1283"/>
      <c r="AE54" s="1283"/>
      <c r="AF54" s="1280" t="s">
        <v>101</v>
      </c>
      <c r="AG54" s="1280"/>
      <c r="AH54" s="1284">
        <f>Memória_Orçamento!K1048</f>
        <v>3378.05</v>
      </c>
      <c r="AI54" s="1284"/>
      <c r="AJ54" s="1284"/>
      <c r="AK54" s="1285">
        <f>IF(F54="","",ROUND('Composições Principais'!L$522*(1+$R$11),2))</f>
        <v>15.96</v>
      </c>
      <c r="AL54" s="1285"/>
      <c r="AM54" s="1285"/>
      <c r="AN54" s="1285"/>
      <c r="AO54" s="1286">
        <f t="shared" si="3"/>
        <v>53913.68</v>
      </c>
      <c r="AP54" s="1286"/>
      <c r="AQ54" s="1286"/>
      <c r="AR54" s="1287"/>
      <c r="AS54" s="1258" t="s">
        <v>83</v>
      </c>
      <c r="AU54" s="1309">
        <f t="shared" si="4"/>
        <v>12.88</v>
      </c>
      <c r="AV54" s="1288">
        <f t="shared" si="5"/>
        <v>43509.28</v>
      </c>
      <c r="AX54" s="1309"/>
      <c r="AY54" s="1288"/>
      <c r="AZ54" s="1288"/>
    </row>
    <row r="55" ht="17.4" customHeight="1" spans="1:52">
      <c r="A55" s="1278" t="str">
        <f>CONCATENATE(A50,".5")</f>
        <v>2.2.5</v>
      </c>
      <c r="B55" s="1371"/>
      <c r="C55" s="1346" t="s">
        <v>97</v>
      </c>
      <c r="D55" s="1346"/>
      <c r="E55" s="1346"/>
      <c r="F55" s="1281">
        <v>3806429</v>
      </c>
      <c r="G55" s="1281"/>
      <c r="H55" s="1281"/>
      <c r="I55" s="1292" t="s">
        <v>111</v>
      </c>
      <c r="J55" s="1292"/>
      <c r="K55" s="1292"/>
      <c r="L55" s="1292"/>
      <c r="M55" s="1292"/>
      <c r="N55" s="1292"/>
      <c r="O55" s="1292"/>
      <c r="P55" s="1292"/>
      <c r="Q55" s="1292"/>
      <c r="R55" s="1292"/>
      <c r="S55" s="1292"/>
      <c r="T55" s="1292"/>
      <c r="U55" s="1292"/>
      <c r="V55" s="1292"/>
      <c r="W55" s="1292"/>
      <c r="X55" s="1292"/>
      <c r="Y55" s="1292"/>
      <c r="Z55" s="1292"/>
      <c r="AA55" s="1292"/>
      <c r="AB55" s="1292"/>
      <c r="AC55" s="1292"/>
      <c r="AD55" s="1283"/>
      <c r="AE55" s="1283"/>
      <c r="AF55" s="1280" t="s">
        <v>99</v>
      </c>
      <c r="AG55" s="1280"/>
      <c r="AH55" s="1284">
        <f>Memória_Orçamento!K1100</f>
        <v>189.84</v>
      </c>
      <c r="AI55" s="1284"/>
      <c r="AJ55" s="1284"/>
      <c r="AK55" s="1285">
        <f>IF(F55="","",ROUND('Composições Principais'!L$947*(1+$R$11),2))</f>
        <v>24.76</v>
      </c>
      <c r="AL55" s="1285"/>
      <c r="AM55" s="1285"/>
      <c r="AN55" s="1285"/>
      <c r="AO55" s="1286">
        <f t="shared" si="3"/>
        <v>4700.44</v>
      </c>
      <c r="AP55" s="1286"/>
      <c r="AQ55" s="1286"/>
      <c r="AR55" s="1287"/>
      <c r="AS55" s="1258" t="s">
        <v>83</v>
      </c>
      <c r="AU55" s="1309">
        <f t="shared" si="4"/>
        <v>19.98</v>
      </c>
      <c r="AV55" s="1288">
        <f t="shared" si="5"/>
        <v>3793</v>
      </c>
      <c r="AX55" s="1309"/>
      <c r="AY55" s="1288"/>
      <c r="AZ55" s="1288"/>
    </row>
    <row r="56" s="34" customFormat="1" ht="17.4" customHeight="1" spans="1:52">
      <c r="A56" s="1372" t="str">
        <f>CONCATENATE(A50,".6")</f>
        <v>2.2.6</v>
      </c>
      <c r="B56" s="1371"/>
      <c r="C56" s="1346" t="s">
        <v>97</v>
      </c>
      <c r="D56" s="1346"/>
      <c r="E56" s="1346"/>
      <c r="F56" s="1373">
        <v>4815671</v>
      </c>
      <c r="G56" s="1373"/>
      <c r="H56" s="1373"/>
      <c r="I56" s="1374" t="s">
        <v>112</v>
      </c>
      <c r="J56" s="1374"/>
      <c r="K56" s="1374"/>
      <c r="L56" s="1374"/>
      <c r="M56" s="1374"/>
      <c r="N56" s="1374"/>
      <c r="O56" s="1374"/>
      <c r="P56" s="1374"/>
      <c r="Q56" s="1374"/>
      <c r="R56" s="1374"/>
      <c r="S56" s="1374"/>
      <c r="T56" s="1374"/>
      <c r="U56" s="1374"/>
      <c r="V56" s="1374"/>
      <c r="W56" s="1374"/>
      <c r="X56" s="1374"/>
      <c r="Y56" s="1374"/>
      <c r="Z56" s="1374"/>
      <c r="AA56" s="1374"/>
      <c r="AB56" s="1374"/>
      <c r="AC56" s="1374"/>
      <c r="AD56" s="1375"/>
      <c r="AE56" s="1375"/>
      <c r="AF56" s="1346" t="s">
        <v>99</v>
      </c>
      <c r="AG56" s="1346"/>
      <c r="AH56" s="1376">
        <f>Memória_Orçamento!K1153</f>
        <v>56.77</v>
      </c>
      <c r="AI56" s="1376"/>
      <c r="AJ56" s="1376"/>
      <c r="AK56" s="1285">
        <f>IF(F56="","",ROUND('Composições Principais'!L$1032*(1+$R$11),2))</f>
        <v>24.77</v>
      </c>
      <c r="AL56" s="1285"/>
      <c r="AM56" s="1285"/>
      <c r="AN56" s="1285"/>
      <c r="AO56" s="1377">
        <f t="shared" si="3"/>
        <v>1406.19</v>
      </c>
      <c r="AP56" s="1377"/>
      <c r="AQ56" s="1377"/>
      <c r="AR56" s="1378"/>
      <c r="AS56" s="1258" t="s">
        <v>83</v>
      </c>
      <c r="AU56" s="1379">
        <f t="shared" si="4"/>
        <v>19.99</v>
      </c>
      <c r="AV56" s="1380">
        <f t="shared" si="5"/>
        <v>1134.83</v>
      </c>
      <c r="AX56" s="1379"/>
      <c r="AY56" s="1380"/>
      <c r="AZ56" s="1380"/>
    </row>
    <row r="57" s="334" customFormat="1" ht="17.4" customHeight="1" spans="1:52">
      <c r="A57" s="1372" t="str">
        <f>CONCATENATE(A50,".7")</f>
        <v>2.2.7</v>
      </c>
      <c r="B57" s="1279"/>
      <c r="C57" s="1346" t="s">
        <v>97</v>
      </c>
      <c r="D57" s="1346"/>
      <c r="E57" s="1346"/>
      <c r="F57" s="1281">
        <v>1505860</v>
      </c>
      <c r="G57" s="1281"/>
      <c r="H57" s="1281"/>
      <c r="I57" s="1374" t="s">
        <v>113</v>
      </c>
      <c r="J57" s="1374"/>
      <c r="K57" s="1374"/>
      <c r="L57" s="1374"/>
      <c r="M57" s="1374"/>
      <c r="N57" s="1374"/>
      <c r="O57" s="1374"/>
      <c r="P57" s="1374"/>
      <c r="Q57" s="1374"/>
      <c r="R57" s="1374"/>
      <c r="S57" s="1374"/>
      <c r="T57" s="1374"/>
      <c r="U57" s="1374"/>
      <c r="V57" s="1374"/>
      <c r="W57" s="1374"/>
      <c r="X57" s="1374"/>
      <c r="Y57" s="1374"/>
      <c r="Z57" s="1374"/>
      <c r="AA57" s="1374"/>
      <c r="AB57" s="1374"/>
      <c r="AC57" s="1374"/>
      <c r="AD57" s="1283"/>
      <c r="AE57" s="1283"/>
      <c r="AF57" s="1346" t="s">
        <v>99</v>
      </c>
      <c r="AG57" s="1346"/>
      <c r="AH57" s="1284">
        <f>Memória_Orçamento!K1206</f>
        <v>3.3</v>
      </c>
      <c r="AI57" s="1284"/>
      <c r="AJ57" s="1284"/>
      <c r="AK57" s="1285">
        <f>IF(F57="","",ROUND('Composições Principais'!L$1117*(1+$R$11),2))</f>
        <v>224.04</v>
      </c>
      <c r="AL57" s="1285"/>
      <c r="AM57" s="1285"/>
      <c r="AN57" s="1285"/>
      <c r="AO57" s="1286">
        <f t="shared" si="3"/>
        <v>739.33</v>
      </c>
      <c r="AP57" s="1286"/>
      <c r="AQ57" s="1286"/>
      <c r="AR57" s="1287"/>
      <c r="AS57" s="1258" t="s">
        <v>83</v>
      </c>
      <c r="AU57" s="1309">
        <f t="shared" si="4"/>
        <v>180.81</v>
      </c>
      <c r="AV57" s="1288">
        <f t="shared" si="5"/>
        <v>596.67</v>
      </c>
      <c r="AX57" s="1309"/>
      <c r="AY57" s="1288"/>
      <c r="AZ57" s="1288"/>
    </row>
    <row r="58" s="334" customFormat="1" ht="17.4" customHeight="1" spans="1:52">
      <c r="A58" s="1381" t="str">
        <f>CONCATENATE(A50,".8")</f>
        <v>2.2.8</v>
      </c>
      <c r="B58" s="1312"/>
      <c r="C58" s="1348" t="s">
        <v>97</v>
      </c>
      <c r="D58" s="1348"/>
      <c r="E58" s="1348"/>
      <c r="F58" s="1314">
        <v>1100657</v>
      </c>
      <c r="G58" s="1314"/>
      <c r="H58" s="1314"/>
      <c r="I58" s="1315" t="s">
        <v>114</v>
      </c>
      <c r="J58" s="1315"/>
      <c r="K58" s="1315"/>
      <c r="L58" s="1315"/>
      <c r="M58" s="1315"/>
      <c r="N58" s="1315"/>
      <c r="O58" s="1315"/>
      <c r="P58" s="1315"/>
      <c r="Q58" s="1315"/>
      <c r="R58" s="1315"/>
      <c r="S58" s="1315"/>
      <c r="T58" s="1315"/>
      <c r="U58" s="1315"/>
      <c r="V58" s="1315"/>
      <c r="W58" s="1315"/>
      <c r="X58" s="1315"/>
      <c r="Y58" s="1315"/>
      <c r="Z58" s="1315"/>
      <c r="AA58" s="1315"/>
      <c r="AB58" s="1315"/>
      <c r="AC58" s="1315"/>
      <c r="AD58" s="1316"/>
      <c r="AE58" s="1316"/>
      <c r="AF58" s="1313" t="s">
        <v>99</v>
      </c>
      <c r="AG58" s="1313"/>
      <c r="AH58" s="1317">
        <f>Memória_Orçamento!K1252</f>
        <v>33.62</v>
      </c>
      <c r="AI58" s="1317"/>
      <c r="AJ58" s="1317"/>
      <c r="AK58" s="1349">
        <f>IF(F58="","",ROUND('Composições Principais'!L$777*(1+$R$11),2))</f>
        <v>4.61</v>
      </c>
      <c r="AL58" s="1349"/>
      <c r="AM58" s="1349"/>
      <c r="AN58" s="1349"/>
      <c r="AO58" s="1319">
        <f t="shared" si="3"/>
        <v>154.99</v>
      </c>
      <c r="AP58" s="1319"/>
      <c r="AQ58" s="1319"/>
      <c r="AR58" s="1320"/>
      <c r="AS58" s="1258" t="s">
        <v>83</v>
      </c>
      <c r="AU58" s="1309">
        <f t="shared" si="4"/>
        <v>3.72</v>
      </c>
      <c r="AV58" s="1288">
        <f t="shared" si="5"/>
        <v>125.07</v>
      </c>
      <c r="AX58" s="1309"/>
      <c r="AY58" s="1288"/>
      <c r="AZ58" s="1288"/>
    </row>
    <row r="59" s="1255" customFormat="1" ht="17.4" customHeight="1" spans="1:52">
      <c r="A59" s="1389" t="str">
        <f>CONCATENATE(A40,".3")</f>
        <v>2.3</v>
      </c>
      <c r="B59" s="1390"/>
      <c r="C59" s="1391"/>
      <c r="D59" s="1391"/>
      <c r="E59" s="1391"/>
      <c r="F59" s="1391"/>
      <c r="G59" s="1391"/>
      <c r="H59" s="1391"/>
      <c r="I59" s="1392" t="s">
        <v>116</v>
      </c>
      <c r="J59" s="1392"/>
      <c r="K59" s="1392"/>
      <c r="L59" s="1392"/>
      <c r="M59" s="1392"/>
      <c r="N59" s="1392"/>
      <c r="O59" s="1392"/>
      <c r="P59" s="1392"/>
      <c r="Q59" s="1392"/>
      <c r="R59" s="1392"/>
      <c r="S59" s="1392"/>
      <c r="T59" s="1392"/>
      <c r="U59" s="1392"/>
      <c r="V59" s="1392"/>
      <c r="W59" s="1392"/>
      <c r="X59" s="1392"/>
      <c r="Y59" s="1392"/>
      <c r="Z59" s="1392"/>
      <c r="AA59" s="1392"/>
      <c r="AB59" s="1392"/>
      <c r="AC59" s="1392"/>
      <c r="AD59" s="1391"/>
      <c r="AE59" s="1391"/>
      <c r="AF59" s="1391"/>
      <c r="AG59" s="1391"/>
      <c r="AH59" s="1393"/>
      <c r="AI59" s="1393"/>
      <c r="AJ59" s="1393"/>
      <c r="AK59" s="1394"/>
      <c r="AL59" s="1394"/>
      <c r="AM59" s="1394"/>
      <c r="AN59" s="1394"/>
      <c r="AO59" s="1394">
        <f>SUM(AO60:AR65)</f>
        <v>12622.98</v>
      </c>
      <c r="AP59" s="1394"/>
      <c r="AQ59" s="1394"/>
      <c r="AR59" s="1395"/>
      <c r="AS59" s="1370"/>
    </row>
    <row r="60" ht="17.4" customHeight="1" spans="1:52">
      <c r="A60" s="1299" t="str">
        <f>CONCATENATE(A59,".1")</f>
        <v>2.3.1</v>
      </c>
      <c r="B60" s="1279"/>
      <c r="C60" s="1343" t="s">
        <v>97</v>
      </c>
      <c r="D60" s="1343"/>
      <c r="E60" s="1343"/>
      <c r="F60" s="1281">
        <v>1107900</v>
      </c>
      <c r="G60" s="1281"/>
      <c r="H60" s="1281"/>
      <c r="I60" s="1292" t="s">
        <v>108</v>
      </c>
      <c r="J60" s="1292"/>
      <c r="K60" s="1292"/>
      <c r="L60" s="1292"/>
      <c r="M60" s="1292"/>
      <c r="N60" s="1292"/>
      <c r="O60" s="1292"/>
      <c r="P60" s="1292"/>
      <c r="Q60" s="1292"/>
      <c r="R60" s="1292"/>
      <c r="S60" s="1292"/>
      <c r="T60" s="1292"/>
      <c r="U60" s="1292"/>
      <c r="V60" s="1292"/>
      <c r="W60" s="1292"/>
      <c r="X60" s="1292"/>
      <c r="Y60" s="1292"/>
      <c r="Z60" s="1292"/>
      <c r="AA60" s="1292"/>
      <c r="AB60" s="1292"/>
      <c r="AC60" s="1292"/>
      <c r="AD60" s="1283"/>
      <c r="AE60" s="1283"/>
      <c r="AF60" s="1280" t="s">
        <v>99</v>
      </c>
      <c r="AG60" s="1280"/>
      <c r="AH60" s="1284">
        <f>Memória_Orçamento!K1284</f>
        <v>4.8</v>
      </c>
      <c r="AI60" s="1284"/>
      <c r="AJ60" s="1284"/>
      <c r="AK60" s="1285">
        <f>IF(F60="","",ROUND('Composições Principais'!L$692*(1+$R$11),2))</f>
        <v>1310.99</v>
      </c>
      <c r="AL60" s="1285"/>
      <c r="AM60" s="1285"/>
      <c r="AN60" s="1285"/>
      <c r="AO60" s="1286">
        <f t="shared" ref="AO60:AO65" si="6">IF(F60="","",ROUND((AH60*AK60),2))</f>
        <v>6292.75</v>
      </c>
      <c r="AP60" s="1286"/>
      <c r="AQ60" s="1286"/>
      <c r="AR60" s="1287"/>
      <c r="AS60" s="1258" t="s">
        <v>83</v>
      </c>
      <c r="AU60" s="1309">
        <f t="shared" ref="AU60:AU65" si="7">ROUND((AK60/(1+$R$11)),2)</f>
        <v>1058.02</v>
      </c>
      <c r="AV60" s="1288">
        <f t="shared" ref="AV60:AV65" si="8">ROUND(AH60*AU60,2)</f>
        <v>5078.5</v>
      </c>
      <c r="AX60" s="1309"/>
      <c r="AY60" s="1288"/>
      <c r="AZ60" s="1288"/>
    </row>
    <row r="61" ht="17.4" customHeight="1" spans="1:52">
      <c r="A61" s="1278" t="str">
        <f>CONCATENATE(A59,".2")</f>
        <v>2.3.2</v>
      </c>
      <c r="B61" s="1279"/>
      <c r="C61" s="1346" t="s">
        <v>97</v>
      </c>
      <c r="D61" s="1346"/>
      <c r="E61" s="1346"/>
      <c r="F61" s="1281">
        <v>1106057</v>
      </c>
      <c r="G61" s="1281"/>
      <c r="H61" s="1281"/>
      <c r="I61" s="1292" t="s">
        <v>109</v>
      </c>
      <c r="J61" s="1292"/>
      <c r="K61" s="1292"/>
      <c r="L61" s="1292"/>
      <c r="M61" s="1292"/>
      <c r="N61" s="1292"/>
      <c r="O61" s="1292"/>
      <c r="P61" s="1292"/>
      <c r="Q61" s="1292"/>
      <c r="R61" s="1292"/>
      <c r="S61" s="1292"/>
      <c r="T61" s="1292"/>
      <c r="U61" s="1292"/>
      <c r="V61" s="1292"/>
      <c r="W61" s="1292"/>
      <c r="X61" s="1292"/>
      <c r="Y61" s="1292"/>
      <c r="Z61" s="1292"/>
      <c r="AA61" s="1292"/>
      <c r="AB61" s="1292"/>
      <c r="AC61" s="1292"/>
      <c r="AD61" s="1283"/>
      <c r="AE61" s="1283"/>
      <c r="AF61" s="1280" t="s">
        <v>99</v>
      </c>
      <c r="AG61" s="1280"/>
      <c r="AH61" s="1284">
        <f>Memória_Orçamento!K1316</f>
        <v>1.2</v>
      </c>
      <c r="AI61" s="1284"/>
      <c r="AJ61" s="1284"/>
      <c r="AK61" s="1285">
        <f>IF(F61="","",ROUND('Composições Principais'!L$1202*(1+$R$11),2))</f>
        <v>1213.64</v>
      </c>
      <c r="AL61" s="1285"/>
      <c r="AM61" s="1285"/>
      <c r="AN61" s="1285"/>
      <c r="AO61" s="1286">
        <f t="shared" si="6"/>
        <v>1456.37</v>
      </c>
      <c r="AP61" s="1286"/>
      <c r="AQ61" s="1286"/>
      <c r="AR61" s="1287"/>
      <c r="AS61" s="1258" t="s">
        <v>83</v>
      </c>
      <c r="AU61" s="1309">
        <f t="shared" si="7"/>
        <v>979.45</v>
      </c>
      <c r="AV61" s="1288">
        <f t="shared" si="8"/>
        <v>1175.34</v>
      </c>
      <c r="AX61" s="1309"/>
      <c r="AY61" s="1288"/>
      <c r="AZ61" s="1288"/>
    </row>
    <row r="62" ht="17.4" customHeight="1" spans="1:52">
      <c r="A62" s="1278" t="str">
        <f>CONCATENATE(A59,".3")</f>
        <v>2.3.3</v>
      </c>
      <c r="B62" s="1279"/>
      <c r="C62" s="1346" t="s">
        <v>97</v>
      </c>
      <c r="D62" s="1346"/>
      <c r="E62" s="1346"/>
      <c r="F62" s="1281">
        <v>3108000</v>
      </c>
      <c r="G62" s="1281"/>
      <c r="H62" s="1281"/>
      <c r="I62" s="1292" t="s">
        <v>110</v>
      </c>
      <c r="J62" s="1292"/>
      <c r="K62" s="1292"/>
      <c r="L62" s="1292"/>
      <c r="M62" s="1292"/>
      <c r="N62" s="1292"/>
      <c r="O62" s="1292"/>
      <c r="P62" s="1292"/>
      <c r="Q62" s="1292"/>
      <c r="R62" s="1292"/>
      <c r="S62" s="1292"/>
      <c r="T62" s="1292"/>
      <c r="U62" s="1292"/>
      <c r="V62" s="1292"/>
      <c r="W62" s="1292"/>
      <c r="X62" s="1292"/>
      <c r="Y62" s="1292"/>
      <c r="Z62" s="1292"/>
      <c r="AA62" s="1292"/>
      <c r="AB62" s="1292"/>
      <c r="AC62" s="1292"/>
      <c r="AD62" s="1283"/>
      <c r="AE62" s="1283"/>
      <c r="AF62" s="1280" t="s">
        <v>7</v>
      </c>
      <c r="AG62" s="1280"/>
      <c r="AH62" s="1284">
        <f>Memória_Orçamento!K1348</f>
        <v>4</v>
      </c>
      <c r="AI62" s="1284"/>
      <c r="AJ62" s="1284"/>
      <c r="AK62" s="1285">
        <f>IF(F62="","",ROUND('Composições Principais'!L$862*(1+$R$11),2))</f>
        <v>108.67</v>
      </c>
      <c r="AL62" s="1285"/>
      <c r="AM62" s="1285"/>
      <c r="AN62" s="1285"/>
      <c r="AO62" s="1286">
        <f t="shared" si="6"/>
        <v>434.68</v>
      </c>
      <c r="AP62" s="1286"/>
      <c r="AQ62" s="1286"/>
      <c r="AR62" s="1287"/>
      <c r="AS62" s="1258" t="s">
        <v>83</v>
      </c>
      <c r="AU62" s="1309">
        <f t="shared" si="7"/>
        <v>87.7</v>
      </c>
      <c r="AV62" s="1288">
        <f t="shared" si="8"/>
        <v>350.8</v>
      </c>
      <c r="AX62" s="1309"/>
      <c r="AY62" s="1288"/>
      <c r="AZ62" s="1288"/>
    </row>
    <row r="63" ht="17.4" customHeight="1" spans="1:52">
      <c r="A63" s="1278" t="str">
        <f>CONCATENATE(A59,".4")</f>
        <v>2.3.4</v>
      </c>
      <c r="B63" s="1279"/>
      <c r="C63" s="1346" t="s">
        <v>97</v>
      </c>
      <c r="D63" s="1346"/>
      <c r="E63" s="1346"/>
      <c r="F63" s="1281">
        <v>407819</v>
      </c>
      <c r="G63" s="1281"/>
      <c r="H63" s="1281"/>
      <c r="I63" s="1292" t="s">
        <v>100</v>
      </c>
      <c r="J63" s="1292"/>
      <c r="K63" s="1292"/>
      <c r="L63" s="1292"/>
      <c r="M63" s="1292"/>
      <c r="N63" s="1292"/>
      <c r="O63" s="1292"/>
      <c r="P63" s="1292"/>
      <c r="Q63" s="1292"/>
      <c r="R63" s="1292"/>
      <c r="S63" s="1292"/>
      <c r="T63" s="1292"/>
      <c r="U63" s="1292"/>
      <c r="V63" s="1292"/>
      <c r="W63" s="1292"/>
      <c r="X63" s="1292"/>
      <c r="Y63" s="1292"/>
      <c r="Z63" s="1292"/>
      <c r="AA63" s="1292"/>
      <c r="AB63" s="1292"/>
      <c r="AC63" s="1292"/>
      <c r="AD63" s="1283"/>
      <c r="AE63" s="1283"/>
      <c r="AF63" s="1280" t="s">
        <v>101</v>
      </c>
      <c r="AG63" s="1280"/>
      <c r="AH63" s="1284">
        <f>Memória_Orçamento!K1402</f>
        <v>262.45</v>
      </c>
      <c r="AI63" s="1284"/>
      <c r="AJ63" s="1284"/>
      <c r="AK63" s="1285">
        <f>IF(F63="","",ROUND('Composições Principais'!L$522*(1+$R$11),2))</f>
        <v>15.96</v>
      </c>
      <c r="AL63" s="1285"/>
      <c r="AM63" s="1285"/>
      <c r="AN63" s="1285"/>
      <c r="AO63" s="1286">
        <f t="shared" si="6"/>
        <v>4188.7</v>
      </c>
      <c r="AP63" s="1286"/>
      <c r="AQ63" s="1286"/>
      <c r="AR63" s="1287"/>
      <c r="AS63" s="1258" t="s">
        <v>83</v>
      </c>
      <c r="AU63" s="1309">
        <f t="shared" si="7"/>
        <v>12.88</v>
      </c>
      <c r="AV63" s="1288">
        <f t="shared" si="8"/>
        <v>3380.36</v>
      </c>
      <c r="AX63" s="1309"/>
      <c r="AY63" s="1288"/>
      <c r="AZ63" s="1288"/>
    </row>
    <row r="64" ht="17.4" customHeight="1" spans="1:52">
      <c r="A64" s="1278" t="str">
        <f>CONCATENATE(A59,".5")</f>
        <v>2.3.5</v>
      </c>
      <c r="B64" s="1279"/>
      <c r="C64" s="1346" t="s">
        <v>97</v>
      </c>
      <c r="D64" s="1346"/>
      <c r="E64" s="1346"/>
      <c r="F64" s="1281">
        <v>5502109</v>
      </c>
      <c r="G64" s="1281"/>
      <c r="H64" s="1281"/>
      <c r="I64" s="1292" t="s">
        <v>98</v>
      </c>
      <c r="J64" s="1292"/>
      <c r="K64" s="1292"/>
      <c r="L64" s="1292"/>
      <c r="M64" s="1292"/>
      <c r="N64" s="1292"/>
      <c r="O64" s="1292"/>
      <c r="P64" s="1292"/>
      <c r="Q64" s="1292"/>
      <c r="R64" s="1292"/>
      <c r="S64" s="1292"/>
      <c r="T64" s="1292"/>
      <c r="U64" s="1292"/>
      <c r="V64" s="1292"/>
      <c r="W64" s="1292"/>
      <c r="X64" s="1292"/>
      <c r="Y64" s="1292"/>
      <c r="Z64" s="1292"/>
      <c r="AA64" s="1292"/>
      <c r="AB64" s="1292"/>
      <c r="AC64" s="1292"/>
      <c r="AD64" s="1283"/>
      <c r="AE64" s="1283"/>
      <c r="AF64" s="1280" t="s">
        <v>99</v>
      </c>
      <c r="AG64" s="1280"/>
      <c r="AH64" s="1284">
        <f>Memória_Orçamento!K1430</f>
        <v>27.95</v>
      </c>
      <c r="AI64" s="1284"/>
      <c r="AJ64" s="1284"/>
      <c r="AK64" s="1347">
        <f>IF(F64="","",ROUND('Composições Principais'!L$352*(1+$R$11),2))</f>
        <v>8.17</v>
      </c>
      <c r="AL64" s="1347"/>
      <c r="AM64" s="1347"/>
      <c r="AN64" s="1347"/>
      <c r="AO64" s="1286">
        <f t="shared" si="6"/>
        <v>228.35</v>
      </c>
      <c r="AP64" s="1286"/>
      <c r="AQ64" s="1286"/>
      <c r="AR64" s="1287"/>
      <c r="AS64" s="1258" t="s">
        <v>83</v>
      </c>
      <c r="AU64" s="1309">
        <f t="shared" si="7"/>
        <v>6.59</v>
      </c>
      <c r="AV64" s="1288">
        <f t="shared" si="8"/>
        <v>184.19</v>
      </c>
      <c r="AX64" s="1309"/>
      <c r="AY64" s="1288"/>
      <c r="AZ64" s="1288"/>
    </row>
    <row r="65" s="334" customFormat="1" ht="17.4" customHeight="1" spans="1:52">
      <c r="A65" s="1372" t="str">
        <f>CONCATENATE(A59,".6")</f>
        <v>2.3.6</v>
      </c>
      <c r="B65" s="1279"/>
      <c r="C65" s="1346" t="s">
        <v>97</v>
      </c>
      <c r="D65" s="1346"/>
      <c r="E65" s="1346"/>
      <c r="F65" s="1281">
        <v>1100657</v>
      </c>
      <c r="G65" s="1281"/>
      <c r="H65" s="1281"/>
      <c r="I65" s="1292" t="s">
        <v>114</v>
      </c>
      <c r="J65" s="1292"/>
      <c r="K65" s="1292"/>
      <c r="L65" s="1292"/>
      <c r="M65" s="1292"/>
      <c r="N65" s="1292"/>
      <c r="O65" s="1292"/>
      <c r="P65" s="1292"/>
      <c r="Q65" s="1292"/>
      <c r="R65" s="1292"/>
      <c r="S65" s="1292"/>
      <c r="T65" s="1292"/>
      <c r="U65" s="1292"/>
      <c r="V65" s="1292"/>
      <c r="W65" s="1292"/>
      <c r="X65" s="1292"/>
      <c r="Y65" s="1292"/>
      <c r="Z65" s="1292"/>
      <c r="AA65" s="1292"/>
      <c r="AB65" s="1292"/>
      <c r="AC65" s="1292"/>
      <c r="AD65" s="1283"/>
      <c r="AE65" s="1283"/>
      <c r="AF65" s="1280" t="s">
        <v>99</v>
      </c>
      <c r="AG65" s="1280"/>
      <c r="AH65" s="1284">
        <f>Memória_Orçamento!K1462</f>
        <v>4.8</v>
      </c>
      <c r="AI65" s="1284"/>
      <c r="AJ65" s="1284"/>
      <c r="AK65" s="1285">
        <f>IF(F65="","",ROUND('Composições Principais'!L$777*(1+$R$11),2))</f>
        <v>4.61</v>
      </c>
      <c r="AL65" s="1285"/>
      <c r="AM65" s="1285"/>
      <c r="AN65" s="1285"/>
      <c r="AO65" s="1286">
        <f t="shared" si="6"/>
        <v>22.13</v>
      </c>
      <c r="AP65" s="1286"/>
      <c r="AQ65" s="1286"/>
      <c r="AR65" s="1287"/>
      <c r="AS65" s="1258" t="s">
        <v>83</v>
      </c>
      <c r="AU65" s="1309">
        <f t="shared" si="7"/>
        <v>3.72</v>
      </c>
      <c r="AV65" s="1288">
        <f t="shared" si="8"/>
        <v>17.86</v>
      </c>
      <c r="AX65" s="1309"/>
      <c r="AY65" s="1288"/>
      <c r="AZ65" s="1288"/>
    </row>
    <row r="66" s="1255" customFormat="1" ht="17.4" customHeight="1" spans="1:52">
      <c r="A66" s="1389" t="str">
        <f>CONCATENATE(A40,".4")</f>
        <v>2.4</v>
      </c>
      <c r="B66" s="1390"/>
      <c r="C66" s="1391"/>
      <c r="D66" s="1391"/>
      <c r="E66" s="1391"/>
      <c r="F66" s="1391"/>
      <c r="G66" s="1391"/>
      <c r="H66" s="1391"/>
      <c r="I66" s="1392" t="s">
        <v>117</v>
      </c>
      <c r="J66" s="1392"/>
      <c r="K66" s="1392"/>
      <c r="L66" s="1392"/>
      <c r="M66" s="1392"/>
      <c r="N66" s="1392"/>
      <c r="O66" s="1392"/>
      <c r="P66" s="1392"/>
      <c r="Q66" s="1392"/>
      <c r="R66" s="1392"/>
      <c r="S66" s="1392"/>
      <c r="T66" s="1392"/>
      <c r="U66" s="1392"/>
      <c r="V66" s="1392"/>
      <c r="W66" s="1392"/>
      <c r="X66" s="1392"/>
      <c r="Y66" s="1392"/>
      <c r="Z66" s="1392"/>
      <c r="AA66" s="1392"/>
      <c r="AB66" s="1392"/>
      <c r="AC66" s="1392"/>
      <c r="AD66" s="1391"/>
      <c r="AE66" s="1391"/>
      <c r="AF66" s="1391"/>
      <c r="AG66" s="1391"/>
      <c r="AH66" s="1393"/>
      <c r="AI66" s="1393"/>
      <c r="AJ66" s="1393"/>
      <c r="AK66" s="1394"/>
      <c r="AL66" s="1394"/>
      <c r="AM66" s="1394"/>
      <c r="AN66" s="1394"/>
      <c r="AO66" s="1394">
        <f>SUM(AO67:AR72)</f>
        <v>12879.6</v>
      </c>
      <c r="AP66" s="1394"/>
      <c r="AQ66" s="1394"/>
      <c r="AR66" s="1395"/>
      <c r="AS66" s="1370"/>
    </row>
    <row r="67" ht="17.4" customHeight="1" spans="1:52">
      <c r="A67" s="1299" t="str">
        <f>CONCATENATE(A66,".1")</f>
        <v>2.4.1</v>
      </c>
      <c r="B67" s="1279"/>
      <c r="C67" s="1343" t="s">
        <v>97</v>
      </c>
      <c r="D67" s="1343"/>
      <c r="E67" s="1343"/>
      <c r="F67" s="1281">
        <v>1107900</v>
      </c>
      <c r="G67" s="1281"/>
      <c r="H67" s="1281"/>
      <c r="I67" s="1292" t="s">
        <v>108</v>
      </c>
      <c r="J67" s="1292"/>
      <c r="K67" s="1292"/>
      <c r="L67" s="1292"/>
      <c r="M67" s="1292"/>
      <c r="N67" s="1292"/>
      <c r="O67" s="1292"/>
      <c r="P67" s="1292"/>
      <c r="Q67" s="1292"/>
      <c r="R67" s="1292"/>
      <c r="S67" s="1292"/>
      <c r="T67" s="1292"/>
      <c r="U67" s="1292"/>
      <c r="V67" s="1292"/>
      <c r="W67" s="1292"/>
      <c r="X67" s="1292"/>
      <c r="Y67" s="1292"/>
      <c r="Z67" s="1292"/>
      <c r="AA67" s="1292"/>
      <c r="AB67" s="1292"/>
      <c r="AC67" s="1292"/>
      <c r="AD67" s="1283"/>
      <c r="AE67" s="1283"/>
      <c r="AF67" s="1280" t="s">
        <v>99</v>
      </c>
      <c r="AG67" s="1280"/>
      <c r="AH67" s="1284">
        <f>Memória_Orçamento!K1494</f>
        <v>4.8</v>
      </c>
      <c r="AI67" s="1284"/>
      <c r="AJ67" s="1284"/>
      <c r="AK67" s="1285">
        <f>IF(F67="","",ROUND('Composições Principais'!L$692*(1+$R$11),2))</f>
        <v>1310.99</v>
      </c>
      <c r="AL67" s="1285"/>
      <c r="AM67" s="1285"/>
      <c r="AN67" s="1285"/>
      <c r="AO67" s="1286">
        <f t="shared" ref="AO67:AO72" si="9">IF(F67="","",ROUND((AH67*AK67),2))</f>
        <v>6292.75</v>
      </c>
      <c r="AP67" s="1286"/>
      <c r="AQ67" s="1286"/>
      <c r="AR67" s="1287"/>
      <c r="AS67" s="1258" t="s">
        <v>83</v>
      </c>
      <c r="AU67" s="1309">
        <f t="shared" ref="AU67:AU72" si="10">ROUND((AK67/(1+$R$11)),2)</f>
        <v>1058.02</v>
      </c>
      <c r="AV67" s="1288">
        <f t="shared" ref="AV67:AV72" si="11">ROUND(AH67*AU67,2)</f>
        <v>5078.5</v>
      </c>
      <c r="AX67" s="1309"/>
      <c r="AY67" s="1288"/>
      <c r="AZ67" s="1288"/>
    </row>
    <row r="68" ht="17.4" customHeight="1" spans="1:52">
      <c r="A68" s="1278" t="str">
        <f>CONCATENATE(A66,".2")</f>
        <v>2.4.2</v>
      </c>
      <c r="B68" s="1279"/>
      <c r="C68" s="1346" t="s">
        <v>97</v>
      </c>
      <c r="D68" s="1346"/>
      <c r="E68" s="1346"/>
      <c r="F68" s="1281">
        <v>1106057</v>
      </c>
      <c r="G68" s="1281"/>
      <c r="H68" s="1281"/>
      <c r="I68" s="1292" t="s">
        <v>109</v>
      </c>
      <c r="J68" s="1292"/>
      <c r="K68" s="1292"/>
      <c r="L68" s="1292"/>
      <c r="M68" s="1292"/>
      <c r="N68" s="1292"/>
      <c r="O68" s="1292"/>
      <c r="P68" s="1292"/>
      <c r="Q68" s="1292"/>
      <c r="R68" s="1292"/>
      <c r="S68" s="1292"/>
      <c r="T68" s="1292"/>
      <c r="U68" s="1292"/>
      <c r="V68" s="1292"/>
      <c r="W68" s="1292"/>
      <c r="X68" s="1292"/>
      <c r="Y68" s="1292"/>
      <c r="Z68" s="1292"/>
      <c r="AA68" s="1292"/>
      <c r="AB68" s="1292"/>
      <c r="AC68" s="1292"/>
      <c r="AD68" s="1283"/>
      <c r="AE68" s="1283"/>
      <c r="AF68" s="1280" t="s">
        <v>99</v>
      </c>
      <c r="AG68" s="1280"/>
      <c r="AH68" s="1284">
        <f>Memória_Orçamento!K1526</f>
        <v>1.2</v>
      </c>
      <c r="AI68" s="1284"/>
      <c r="AJ68" s="1284"/>
      <c r="AK68" s="1285">
        <f>IF(F68="","",ROUND('Composições Principais'!L$1202*(1+$R$11),2))</f>
        <v>1213.64</v>
      </c>
      <c r="AL68" s="1285"/>
      <c r="AM68" s="1285"/>
      <c r="AN68" s="1285"/>
      <c r="AO68" s="1286">
        <f t="shared" si="9"/>
        <v>1456.37</v>
      </c>
      <c r="AP68" s="1286"/>
      <c r="AQ68" s="1286"/>
      <c r="AR68" s="1287"/>
      <c r="AS68" s="1258" t="s">
        <v>83</v>
      </c>
      <c r="AU68" s="1309">
        <f t="shared" si="10"/>
        <v>979.45</v>
      </c>
      <c r="AV68" s="1288">
        <f t="shared" si="11"/>
        <v>1175.34</v>
      </c>
      <c r="AX68" s="1309"/>
      <c r="AY68" s="1288"/>
      <c r="AZ68" s="1288"/>
    </row>
    <row r="69" ht="17.4" customHeight="1" spans="1:52">
      <c r="A69" s="1278" t="str">
        <f>CONCATENATE(A66,".3")</f>
        <v>2.4.3</v>
      </c>
      <c r="B69" s="1279"/>
      <c r="C69" s="1346" t="s">
        <v>97</v>
      </c>
      <c r="D69" s="1346"/>
      <c r="E69" s="1346"/>
      <c r="F69" s="1281">
        <v>3108000</v>
      </c>
      <c r="G69" s="1281"/>
      <c r="H69" s="1281"/>
      <c r="I69" s="1292" t="s">
        <v>110</v>
      </c>
      <c r="J69" s="1292"/>
      <c r="K69" s="1292"/>
      <c r="L69" s="1292"/>
      <c r="M69" s="1292"/>
      <c r="N69" s="1292"/>
      <c r="O69" s="1292"/>
      <c r="P69" s="1292"/>
      <c r="Q69" s="1292"/>
      <c r="R69" s="1292"/>
      <c r="S69" s="1292"/>
      <c r="T69" s="1292"/>
      <c r="U69" s="1292"/>
      <c r="V69" s="1292"/>
      <c r="W69" s="1292"/>
      <c r="X69" s="1292"/>
      <c r="Y69" s="1292"/>
      <c r="Z69" s="1292"/>
      <c r="AA69" s="1292"/>
      <c r="AB69" s="1292"/>
      <c r="AC69" s="1292"/>
      <c r="AD69" s="1283"/>
      <c r="AE69" s="1283"/>
      <c r="AF69" s="1280" t="s">
        <v>7</v>
      </c>
      <c r="AG69" s="1280"/>
      <c r="AH69" s="1284">
        <f>Memória_Orçamento!K1558</f>
        <v>4</v>
      </c>
      <c r="AI69" s="1284"/>
      <c r="AJ69" s="1284"/>
      <c r="AK69" s="1285">
        <f>IF(F69="","",ROUND('Composições Principais'!L$862*(1+$R$11),2))</f>
        <v>108.67</v>
      </c>
      <c r="AL69" s="1285"/>
      <c r="AM69" s="1285"/>
      <c r="AN69" s="1285"/>
      <c r="AO69" s="1286">
        <f t="shared" si="9"/>
        <v>434.68</v>
      </c>
      <c r="AP69" s="1286"/>
      <c r="AQ69" s="1286"/>
      <c r="AR69" s="1287"/>
      <c r="AS69" s="1258" t="s">
        <v>83</v>
      </c>
      <c r="AU69" s="1309">
        <f t="shared" si="10"/>
        <v>87.7</v>
      </c>
      <c r="AV69" s="1288">
        <f t="shared" si="11"/>
        <v>350.8</v>
      </c>
      <c r="AX69" s="1309"/>
      <c r="AY69" s="1288"/>
      <c r="AZ69" s="1288"/>
    </row>
    <row r="70" ht="17.4" customHeight="1" spans="1:52">
      <c r="A70" s="1278" t="str">
        <f>CONCATENATE(A66,".4")</f>
        <v>2.4.4</v>
      </c>
      <c r="B70" s="1279"/>
      <c r="C70" s="1346" t="s">
        <v>97</v>
      </c>
      <c r="D70" s="1346"/>
      <c r="E70" s="1346"/>
      <c r="F70" s="1281">
        <v>407819</v>
      </c>
      <c r="G70" s="1281"/>
      <c r="H70" s="1281"/>
      <c r="I70" s="1292" t="s">
        <v>100</v>
      </c>
      <c r="J70" s="1292"/>
      <c r="K70" s="1292"/>
      <c r="L70" s="1292"/>
      <c r="M70" s="1292"/>
      <c r="N70" s="1292"/>
      <c r="O70" s="1292"/>
      <c r="P70" s="1292"/>
      <c r="Q70" s="1292"/>
      <c r="R70" s="1292"/>
      <c r="S70" s="1292"/>
      <c r="T70" s="1292"/>
      <c r="U70" s="1292"/>
      <c r="V70" s="1292"/>
      <c r="W70" s="1292"/>
      <c r="X70" s="1292"/>
      <c r="Y70" s="1292"/>
      <c r="Z70" s="1292"/>
      <c r="AA70" s="1292"/>
      <c r="AB70" s="1292"/>
      <c r="AC70" s="1292"/>
      <c r="AD70" s="1283"/>
      <c r="AE70" s="1283"/>
      <c r="AF70" s="1280" t="s">
        <v>101</v>
      </c>
      <c r="AG70" s="1280"/>
      <c r="AH70" s="1284">
        <f>Memória_Orçamento!K1612</f>
        <v>262.45</v>
      </c>
      <c r="AI70" s="1284"/>
      <c r="AJ70" s="1284"/>
      <c r="AK70" s="1285">
        <f>IF(F70="","",ROUND('Composições Principais'!L$522*(1+$R$11),2))</f>
        <v>15.96</v>
      </c>
      <c r="AL70" s="1285"/>
      <c r="AM70" s="1285"/>
      <c r="AN70" s="1285"/>
      <c r="AO70" s="1286">
        <f t="shared" si="9"/>
        <v>4188.7</v>
      </c>
      <c r="AP70" s="1286"/>
      <c r="AQ70" s="1286"/>
      <c r="AR70" s="1287"/>
      <c r="AS70" s="1258" t="s">
        <v>83</v>
      </c>
      <c r="AU70" s="1309">
        <f t="shared" si="10"/>
        <v>12.88</v>
      </c>
      <c r="AV70" s="1288">
        <f t="shared" si="11"/>
        <v>3380.36</v>
      </c>
      <c r="AX70" s="1309"/>
      <c r="AY70" s="1288"/>
      <c r="AZ70" s="1288"/>
    </row>
    <row r="71" ht="17.4" customHeight="1" spans="1:52">
      <c r="A71" s="1278" t="str">
        <f>CONCATENATE(A66,".5")</f>
        <v>2.4.5</v>
      </c>
      <c r="B71" s="1279"/>
      <c r="C71" s="1346" t="s">
        <v>97</v>
      </c>
      <c r="D71" s="1346"/>
      <c r="E71" s="1346"/>
      <c r="F71" s="1281">
        <v>5502109</v>
      </c>
      <c r="G71" s="1281"/>
      <c r="H71" s="1281"/>
      <c r="I71" s="1292" t="s">
        <v>98</v>
      </c>
      <c r="J71" s="1292"/>
      <c r="K71" s="1292"/>
      <c r="L71" s="1292"/>
      <c r="M71" s="1292"/>
      <c r="N71" s="1292"/>
      <c r="O71" s="1292"/>
      <c r="P71" s="1292"/>
      <c r="Q71" s="1292"/>
      <c r="R71" s="1292"/>
      <c r="S71" s="1292"/>
      <c r="T71" s="1292"/>
      <c r="U71" s="1292"/>
      <c r="V71" s="1292"/>
      <c r="W71" s="1292"/>
      <c r="X71" s="1292"/>
      <c r="Y71" s="1292"/>
      <c r="Z71" s="1292"/>
      <c r="AA71" s="1292"/>
      <c r="AB71" s="1292"/>
      <c r="AC71" s="1292"/>
      <c r="AD71" s="1283"/>
      <c r="AE71" s="1283"/>
      <c r="AF71" s="1280" t="s">
        <v>99</v>
      </c>
      <c r="AG71" s="1280"/>
      <c r="AH71" s="1284">
        <f>Memória_Orçamento!K1640</f>
        <v>59.36</v>
      </c>
      <c r="AI71" s="1284"/>
      <c r="AJ71" s="1284"/>
      <c r="AK71" s="1347">
        <f>IF(F71="","",ROUND('Composições Principais'!L$352*(1+$R$11),2))</f>
        <v>8.17</v>
      </c>
      <c r="AL71" s="1347"/>
      <c r="AM71" s="1347"/>
      <c r="AN71" s="1347"/>
      <c r="AO71" s="1286">
        <f t="shared" si="9"/>
        <v>484.97</v>
      </c>
      <c r="AP71" s="1286"/>
      <c r="AQ71" s="1286"/>
      <c r="AR71" s="1287"/>
      <c r="AS71" s="1258" t="s">
        <v>83</v>
      </c>
      <c r="AU71" s="1309">
        <f t="shared" si="10"/>
        <v>6.59</v>
      </c>
      <c r="AV71" s="1288">
        <f t="shared" si="11"/>
        <v>391.18</v>
      </c>
      <c r="AX71" s="1309"/>
      <c r="AY71" s="1288"/>
      <c r="AZ71" s="1288"/>
    </row>
    <row r="72" s="334" customFormat="1" ht="17.4" customHeight="1" spans="1:52">
      <c r="A72" s="1372" t="str">
        <f>CONCATENATE(A66,".6")</f>
        <v>2.4.6</v>
      </c>
      <c r="B72" s="1279"/>
      <c r="C72" s="1346" t="s">
        <v>97</v>
      </c>
      <c r="D72" s="1346"/>
      <c r="E72" s="1346"/>
      <c r="F72" s="1281">
        <v>1100657</v>
      </c>
      <c r="G72" s="1281"/>
      <c r="H72" s="1281"/>
      <c r="I72" s="1292" t="s">
        <v>114</v>
      </c>
      <c r="J72" s="1292"/>
      <c r="K72" s="1292"/>
      <c r="L72" s="1292"/>
      <c r="M72" s="1292"/>
      <c r="N72" s="1292"/>
      <c r="O72" s="1292"/>
      <c r="P72" s="1292"/>
      <c r="Q72" s="1292"/>
      <c r="R72" s="1292"/>
      <c r="S72" s="1292"/>
      <c r="T72" s="1292"/>
      <c r="U72" s="1292"/>
      <c r="V72" s="1292"/>
      <c r="W72" s="1292"/>
      <c r="X72" s="1292"/>
      <c r="Y72" s="1292"/>
      <c r="Z72" s="1292"/>
      <c r="AA72" s="1292"/>
      <c r="AB72" s="1292"/>
      <c r="AC72" s="1292"/>
      <c r="AD72" s="1283"/>
      <c r="AE72" s="1283"/>
      <c r="AF72" s="1280" t="s">
        <v>99</v>
      </c>
      <c r="AG72" s="1280"/>
      <c r="AH72" s="1284">
        <f>Memória_Orçamento!K1672</f>
        <v>4.8</v>
      </c>
      <c r="AI72" s="1284"/>
      <c r="AJ72" s="1284"/>
      <c r="AK72" s="1285">
        <f>IF(F72="","",ROUND('Composições Principais'!L$777*(1+$R$11),2))</f>
        <v>4.61</v>
      </c>
      <c r="AL72" s="1285"/>
      <c r="AM72" s="1285"/>
      <c r="AN72" s="1285"/>
      <c r="AO72" s="1286">
        <f t="shared" si="9"/>
        <v>22.13</v>
      </c>
      <c r="AP72" s="1286"/>
      <c r="AQ72" s="1286"/>
      <c r="AR72" s="1287"/>
      <c r="AS72" s="1258" t="s">
        <v>83</v>
      </c>
      <c r="AU72" s="1309">
        <f t="shared" si="10"/>
        <v>3.72</v>
      </c>
      <c r="AV72" s="1288">
        <f t="shared" si="11"/>
        <v>17.86</v>
      </c>
      <c r="AX72" s="1309"/>
      <c r="AY72" s="1288"/>
      <c r="AZ72" s="1288"/>
    </row>
    <row r="73" s="1255" customFormat="1" ht="17.4" customHeight="1" spans="1:52">
      <c r="A73" s="1389" t="str">
        <f>CONCATENATE(A40,".5")</f>
        <v>2.5</v>
      </c>
      <c r="B73" s="1390"/>
      <c r="C73" s="1391"/>
      <c r="D73" s="1391"/>
      <c r="E73" s="1391"/>
      <c r="F73" s="1391"/>
      <c r="G73" s="1391"/>
      <c r="H73" s="1391"/>
      <c r="I73" s="1392" t="s">
        <v>118</v>
      </c>
      <c r="J73" s="1392"/>
      <c r="K73" s="1392"/>
      <c r="L73" s="1392"/>
      <c r="M73" s="1392"/>
      <c r="N73" s="1392"/>
      <c r="O73" s="1392"/>
      <c r="P73" s="1392"/>
      <c r="Q73" s="1392"/>
      <c r="R73" s="1392"/>
      <c r="S73" s="1392"/>
      <c r="T73" s="1392"/>
      <c r="U73" s="1392"/>
      <c r="V73" s="1392"/>
      <c r="W73" s="1392"/>
      <c r="X73" s="1392"/>
      <c r="Y73" s="1392"/>
      <c r="Z73" s="1392"/>
      <c r="AA73" s="1392"/>
      <c r="AB73" s="1392"/>
      <c r="AC73" s="1392"/>
      <c r="AD73" s="1396"/>
      <c r="AE73" s="1396"/>
      <c r="AF73" s="1396"/>
      <c r="AG73" s="1396"/>
      <c r="AH73" s="1397"/>
      <c r="AI73" s="1397"/>
      <c r="AJ73" s="1397"/>
      <c r="AK73" s="1398"/>
      <c r="AL73" s="1398"/>
      <c r="AM73" s="1398"/>
      <c r="AN73" s="1398"/>
      <c r="AO73" s="1394">
        <f>SUM(AO74)</f>
        <v>4843.5</v>
      </c>
      <c r="AP73" s="1394"/>
      <c r="AQ73" s="1394"/>
      <c r="AR73" s="1395"/>
      <c r="AS73" s="1370"/>
    </row>
    <row r="74" ht="17.4" customHeight="1" spans="1:52">
      <c r="A74" s="1278" t="str">
        <f>CONCATENATE(A73,".1")</f>
        <v>2.5.1</v>
      </c>
      <c r="B74" s="1279"/>
      <c r="C74" s="1280" t="s">
        <v>79</v>
      </c>
      <c r="D74" s="1280"/>
      <c r="E74" s="1280"/>
      <c r="F74" s="1281" t="s">
        <v>119</v>
      </c>
      <c r="G74" s="1281"/>
      <c r="H74" s="1281"/>
      <c r="I74" s="1292" t="s">
        <v>120</v>
      </c>
      <c r="J74" s="1292"/>
      <c r="K74" s="1292"/>
      <c r="L74" s="1292"/>
      <c r="M74" s="1292"/>
      <c r="N74" s="1292"/>
      <c r="O74" s="1292"/>
      <c r="P74" s="1292"/>
      <c r="Q74" s="1292"/>
      <c r="R74" s="1292"/>
      <c r="S74" s="1292"/>
      <c r="T74" s="1292"/>
      <c r="U74" s="1292"/>
      <c r="V74" s="1292"/>
      <c r="W74" s="1292"/>
      <c r="X74" s="1292"/>
      <c r="Y74" s="1292"/>
      <c r="Z74" s="1292"/>
      <c r="AA74" s="1292"/>
      <c r="AB74" s="1292"/>
      <c r="AC74" s="1292"/>
      <c r="AD74" s="1283"/>
      <c r="AE74" s="1283"/>
      <c r="AF74" s="1280" t="s">
        <v>82</v>
      </c>
      <c r="AG74" s="1280"/>
      <c r="AH74" s="1284">
        <f>Memória_Orçamento!K1712</f>
        <v>5</v>
      </c>
      <c r="AI74" s="1284"/>
      <c r="AJ74" s="1284"/>
      <c r="AK74" s="1285">
        <f>IF(F74="","",ROUND('Composições Principais'!L$1287*(1+$R$11),2))</f>
        <v>968.7</v>
      </c>
      <c r="AL74" s="1285"/>
      <c r="AM74" s="1285"/>
      <c r="AN74" s="1285"/>
      <c r="AO74" s="1286">
        <f>IF(F74="","",ROUND((AH74*AK74),2))</f>
        <v>4843.5</v>
      </c>
      <c r="AP74" s="1286"/>
      <c r="AQ74" s="1286"/>
      <c r="AR74" s="1287"/>
      <c r="AS74" s="1258" t="s">
        <v>83</v>
      </c>
      <c r="AU74" s="1309">
        <f>ROUND((AK74/(1+$R$11)),2)</f>
        <v>781.78</v>
      </c>
      <c r="AV74" s="1288">
        <f>ROUND(AH74*AU74,2)</f>
        <v>3908.9</v>
      </c>
      <c r="AX74" s="1309"/>
      <c r="AY74" s="1288"/>
      <c r="AZ74" s="1288"/>
    </row>
    <row r="75" s="1255" customFormat="1" ht="17.4" customHeight="1" spans="1:52">
      <c r="A75" s="1389" t="str">
        <f>CONCATENATE(A40,".6")</f>
        <v>2.6</v>
      </c>
      <c r="B75" s="1390"/>
      <c r="C75" s="1391"/>
      <c r="D75" s="1391"/>
      <c r="E75" s="1391"/>
      <c r="F75" s="1391"/>
      <c r="G75" s="1391"/>
      <c r="H75" s="1391"/>
      <c r="I75" s="1392" t="s">
        <v>121</v>
      </c>
      <c r="J75" s="1392"/>
      <c r="K75" s="1392"/>
      <c r="L75" s="1392"/>
      <c r="M75" s="1392"/>
      <c r="N75" s="1392"/>
      <c r="O75" s="1392"/>
      <c r="P75" s="1392"/>
      <c r="Q75" s="1392"/>
      <c r="R75" s="1392"/>
      <c r="S75" s="1392"/>
      <c r="T75" s="1392"/>
      <c r="U75" s="1392"/>
      <c r="V75" s="1392"/>
      <c r="W75" s="1392"/>
      <c r="X75" s="1392"/>
      <c r="Y75" s="1392"/>
      <c r="Z75" s="1392"/>
      <c r="AA75" s="1392"/>
      <c r="AB75" s="1392"/>
      <c r="AC75" s="1392"/>
      <c r="AD75" s="1396"/>
      <c r="AE75" s="1396"/>
      <c r="AF75" s="1396"/>
      <c r="AG75" s="1396"/>
      <c r="AH75" s="1397"/>
      <c r="AI75" s="1397"/>
      <c r="AJ75" s="1397"/>
      <c r="AK75" s="1398"/>
      <c r="AL75" s="1398"/>
      <c r="AM75" s="1398"/>
      <c r="AN75" s="1398"/>
      <c r="AO75" s="1394">
        <f>SUM(AO76)</f>
        <v>4843.5</v>
      </c>
      <c r="AP75" s="1394"/>
      <c r="AQ75" s="1394"/>
      <c r="AR75" s="1395"/>
      <c r="AS75" s="1370"/>
    </row>
    <row r="76" ht="17.4" customHeight="1" spans="1:52">
      <c r="A76" s="1278" t="str">
        <f>CONCATENATE(A75,".1")</f>
        <v>2.6.1</v>
      </c>
      <c r="B76" s="1279"/>
      <c r="C76" s="1280" t="s">
        <v>79</v>
      </c>
      <c r="D76" s="1280"/>
      <c r="E76" s="1280"/>
      <c r="F76" s="1281" t="s">
        <v>119</v>
      </c>
      <c r="G76" s="1281"/>
      <c r="H76" s="1281"/>
      <c r="I76" s="1292" t="s">
        <v>120</v>
      </c>
      <c r="J76" s="1292"/>
      <c r="K76" s="1292"/>
      <c r="L76" s="1292"/>
      <c r="M76" s="1292"/>
      <c r="N76" s="1292"/>
      <c r="O76" s="1292"/>
      <c r="P76" s="1292"/>
      <c r="Q76" s="1292"/>
      <c r="R76" s="1292"/>
      <c r="S76" s="1292"/>
      <c r="T76" s="1292"/>
      <c r="U76" s="1292"/>
      <c r="V76" s="1292"/>
      <c r="W76" s="1292"/>
      <c r="X76" s="1292"/>
      <c r="Y76" s="1292"/>
      <c r="Z76" s="1292"/>
      <c r="AA76" s="1292"/>
      <c r="AB76" s="1292"/>
      <c r="AC76" s="1292"/>
      <c r="AD76" s="1283"/>
      <c r="AE76" s="1283"/>
      <c r="AF76" s="1280" t="s">
        <v>82</v>
      </c>
      <c r="AG76" s="1280"/>
      <c r="AH76" s="1284">
        <f>Memória_Orçamento!K1752</f>
        <v>5</v>
      </c>
      <c r="AI76" s="1284"/>
      <c r="AJ76" s="1284"/>
      <c r="AK76" s="1285">
        <f>IF(F76="","",ROUND('Composições Principais'!L$1287*(1+$R$11),2))</f>
        <v>968.7</v>
      </c>
      <c r="AL76" s="1285"/>
      <c r="AM76" s="1285"/>
      <c r="AN76" s="1285"/>
      <c r="AO76" s="1286">
        <f>IF(F76="","",ROUND((AH76*AK76),2))</f>
        <v>4843.5</v>
      </c>
      <c r="AP76" s="1286"/>
      <c r="AQ76" s="1286"/>
      <c r="AR76" s="1287"/>
      <c r="AS76" s="1258" t="s">
        <v>83</v>
      </c>
      <c r="AU76" s="1309">
        <f>ROUND((AK76/(1+$R$11)),2)</f>
        <v>781.78</v>
      </c>
      <c r="AV76" s="1288">
        <f>ROUND(AH76*AU76,2)</f>
        <v>3908.9</v>
      </c>
      <c r="AX76" s="1309"/>
      <c r="AY76" s="1288"/>
      <c r="AZ76" s="1288"/>
    </row>
    <row r="77" s="1255" customFormat="1" ht="17.4" customHeight="1" spans="1:52">
      <c r="A77" s="1389" t="str">
        <f>CONCATENATE(A40,".7")</f>
        <v>2.7</v>
      </c>
      <c r="B77" s="1390"/>
      <c r="C77" s="1391"/>
      <c r="D77" s="1391"/>
      <c r="E77" s="1391"/>
      <c r="F77" s="1391"/>
      <c r="G77" s="1391"/>
      <c r="H77" s="1391"/>
      <c r="I77" s="1392" t="s">
        <v>122</v>
      </c>
      <c r="J77" s="1392"/>
      <c r="K77" s="1392"/>
      <c r="L77" s="1392"/>
      <c r="M77" s="1392"/>
      <c r="N77" s="1392"/>
      <c r="O77" s="1392"/>
      <c r="P77" s="1392"/>
      <c r="Q77" s="1392"/>
      <c r="R77" s="1392"/>
      <c r="S77" s="1392"/>
      <c r="T77" s="1392"/>
      <c r="U77" s="1392"/>
      <c r="V77" s="1392"/>
      <c r="W77" s="1392"/>
      <c r="X77" s="1392"/>
      <c r="Y77" s="1392"/>
      <c r="Z77" s="1392"/>
      <c r="AA77" s="1392"/>
      <c r="AB77" s="1392"/>
      <c r="AC77" s="1392"/>
      <c r="AD77" s="1396"/>
      <c r="AE77" s="1396"/>
      <c r="AF77" s="1396"/>
      <c r="AG77" s="1396"/>
      <c r="AH77" s="1397"/>
      <c r="AI77" s="1397"/>
      <c r="AJ77" s="1397"/>
      <c r="AK77" s="1398"/>
      <c r="AL77" s="1398"/>
      <c r="AM77" s="1398"/>
      <c r="AN77" s="1398"/>
      <c r="AO77" s="1394">
        <f>SUM(AO78:AR81)</f>
        <v>2924.97</v>
      </c>
      <c r="AP77" s="1394"/>
      <c r="AQ77" s="1394"/>
      <c r="AR77" s="1395"/>
      <c r="AS77" s="1370"/>
    </row>
    <row r="78" ht="17.4" customHeight="1" spans="1:52">
      <c r="A78" s="1299" t="str">
        <f>CONCATENATE(A77,".1")</f>
        <v>2.7.1</v>
      </c>
      <c r="B78" s="1279"/>
      <c r="C78" s="1343" t="s">
        <v>97</v>
      </c>
      <c r="D78" s="1343"/>
      <c r="E78" s="1343"/>
      <c r="F78" s="1281">
        <v>1107900</v>
      </c>
      <c r="G78" s="1281"/>
      <c r="H78" s="1281"/>
      <c r="I78" s="1292" t="s">
        <v>108</v>
      </c>
      <c r="J78" s="1292"/>
      <c r="K78" s="1292"/>
      <c r="L78" s="1292"/>
      <c r="M78" s="1292"/>
      <c r="N78" s="1292"/>
      <c r="O78" s="1292"/>
      <c r="P78" s="1292"/>
      <c r="Q78" s="1292"/>
      <c r="R78" s="1292"/>
      <c r="S78" s="1292"/>
      <c r="T78" s="1292"/>
      <c r="U78" s="1292"/>
      <c r="V78" s="1292"/>
      <c r="W78" s="1292"/>
      <c r="X78" s="1292"/>
      <c r="Y78" s="1292"/>
      <c r="Z78" s="1292"/>
      <c r="AA78" s="1292"/>
      <c r="AB78" s="1292"/>
      <c r="AC78" s="1292"/>
      <c r="AD78" s="1283"/>
      <c r="AE78" s="1283"/>
      <c r="AF78" s="1280" t="s">
        <v>99</v>
      </c>
      <c r="AG78" s="1280"/>
      <c r="AH78" s="1284">
        <f>Memória_Orçamento!K1789</f>
        <v>0.12</v>
      </c>
      <c r="AI78" s="1284"/>
      <c r="AJ78" s="1284"/>
      <c r="AK78" s="1285">
        <f>IF(F78="","",ROUND('Composições Principais'!L$692*(1+$R$11),2))</f>
        <v>1310.99</v>
      </c>
      <c r="AL78" s="1285"/>
      <c r="AM78" s="1285"/>
      <c r="AN78" s="1285"/>
      <c r="AO78" s="1286">
        <f>IF(F78="","",ROUND((AH78*AK78),2))</f>
        <v>157.32</v>
      </c>
      <c r="AP78" s="1286"/>
      <c r="AQ78" s="1286"/>
      <c r="AR78" s="1287"/>
      <c r="AS78" s="1258" t="s">
        <v>83</v>
      </c>
      <c r="AU78" s="1309">
        <f>ROUND((AK78/(1+$R$11)),2)</f>
        <v>1058.02</v>
      </c>
      <c r="AV78" s="1288">
        <f>ROUND(AH78*AU78,2)</f>
        <v>126.96</v>
      </c>
      <c r="AX78" s="1309"/>
      <c r="AY78" s="1288"/>
      <c r="AZ78" s="1288"/>
    </row>
    <row r="79" ht="17.4" customHeight="1" spans="1:52">
      <c r="A79" s="1278" t="str">
        <f>CONCATENATE(A77,".2")</f>
        <v>2.7.2</v>
      </c>
      <c r="B79" s="1279"/>
      <c r="C79" s="1346" t="s">
        <v>97</v>
      </c>
      <c r="D79" s="1346"/>
      <c r="E79" s="1346"/>
      <c r="F79" s="1281">
        <v>3108000</v>
      </c>
      <c r="G79" s="1281"/>
      <c r="H79" s="1281"/>
      <c r="I79" s="1292" t="s">
        <v>110</v>
      </c>
      <c r="J79" s="1292"/>
      <c r="K79" s="1292"/>
      <c r="L79" s="1292"/>
      <c r="M79" s="1292"/>
      <c r="N79" s="1292"/>
      <c r="O79" s="1292"/>
      <c r="P79" s="1292"/>
      <c r="Q79" s="1292"/>
      <c r="R79" s="1292"/>
      <c r="S79" s="1292"/>
      <c r="T79" s="1292"/>
      <c r="U79" s="1292"/>
      <c r="V79" s="1292"/>
      <c r="W79" s="1292"/>
      <c r="X79" s="1292"/>
      <c r="Y79" s="1292"/>
      <c r="Z79" s="1292"/>
      <c r="AA79" s="1292"/>
      <c r="AB79" s="1292"/>
      <c r="AC79" s="1292"/>
      <c r="AD79" s="1283"/>
      <c r="AE79" s="1283"/>
      <c r="AF79" s="1280" t="s">
        <v>7</v>
      </c>
      <c r="AG79" s="1280"/>
      <c r="AH79" s="1284">
        <f>Memória_Orçamento!K1826</f>
        <v>1.01</v>
      </c>
      <c r="AI79" s="1284"/>
      <c r="AJ79" s="1284"/>
      <c r="AK79" s="1285">
        <f>IF(F79="","",ROUND('Composições Principais'!L$862*(1+$R$11),2))</f>
        <v>108.67</v>
      </c>
      <c r="AL79" s="1285"/>
      <c r="AM79" s="1285"/>
      <c r="AN79" s="1285"/>
      <c r="AO79" s="1286">
        <f>IF(F79="","",ROUND((AH79*AK79),2))</f>
        <v>109.76</v>
      </c>
      <c r="AP79" s="1286"/>
      <c r="AQ79" s="1286"/>
      <c r="AR79" s="1287"/>
      <c r="AS79" s="1258" t="s">
        <v>83</v>
      </c>
      <c r="AU79" s="1309">
        <f>ROUND((AK79/(1+$R$11)),2)</f>
        <v>87.7</v>
      </c>
      <c r="AV79" s="1288">
        <f>ROUND(AH79*AU79,2)</f>
        <v>88.58</v>
      </c>
      <c r="AX79" s="1309"/>
      <c r="AY79" s="1288"/>
      <c r="AZ79" s="1288"/>
    </row>
    <row r="80" ht="17.4" customHeight="1" spans="1:52">
      <c r="A80" s="1278" t="str">
        <f>CONCATENATE(A77,".3")</f>
        <v>2.7.3</v>
      </c>
      <c r="B80" s="1279"/>
      <c r="C80" s="1346" t="s">
        <v>97</v>
      </c>
      <c r="D80" s="1346"/>
      <c r="E80" s="1346"/>
      <c r="F80" s="1281">
        <v>407819</v>
      </c>
      <c r="G80" s="1281"/>
      <c r="H80" s="1281"/>
      <c r="I80" s="1292" t="s">
        <v>100</v>
      </c>
      <c r="J80" s="1292"/>
      <c r="K80" s="1292"/>
      <c r="L80" s="1292"/>
      <c r="M80" s="1292"/>
      <c r="N80" s="1292"/>
      <c r="O80" s="1292"/>
      <c r="P80" s="1292"/>
      <c r="Q80" s="1292"/>
      <c r="R80" s="1292"/>
      <c r="S80" s="1292"/>
      <c r="T80" s="1292"/>
      <c r="U80" s="1292"/>
      <c r="V80" s="1292"/>
      <c r="W80" s="1292"/>
      <c r="X80" s="1292"/>
      <c r="Y80" s="1292"/>
      <c r="Z80" s="1292"/>
      <c r="AA80" s="1292"/>
      <c r="AB80" s="1292"/>
      <c r="AC80" s="1292"/>
      <c r="AD80" s="1283"/>
      <c r="AE80" s="1283"/>
      <c r="AF80" s="1280" t="s">
        <v>101</v>
      </c>
      <c r="AG80" s="1280"/>
      <c r="AH80" s="1284">
        <f>Memória_Orçamento!K1877</f>
        <v>166.5</v>
      </c>
      <c r="AI80" s="1284"/>
      <c r="AJ80" s="1284"/>
      <c r="AK80" s="1285">
        <f>IF(F80="","",ROUND('Composições Principais'!L$522*(1+$R$11),2))</f>
        <v>15.96</v>
      </c>
      <c r="AL80" s="1285"/>
      <c r="AM80" s="1285"/>
      <c r="AN80" s="1285"/>
      <c r="AO80" s="1286">
        <f>IF(F80="","",ROUND((AH80*AK80),2))</f>
        <v>2657.34</v>
      </c>
      <c r="AP80" s="1286"/>
      <c r="AQ80" s="1286"/>
      <c r="AR80" s="1287"/>
      <c r="AS80" s="1258" t="s">
        <v>83</v>
      </c>
      <c r="AU80" s="1309">
        <f>ROUND((AK80/(1+$R$11)),2)</f>
        <v>12.88</v>
      </c>
      <c r="AV80" s="1288">
        <f>ROUND(AH80*AU80,2)</f>
        <v>2144.52</v>
      </c>
      <c r="AX80" s="1309"/>
      <c r="AY80" s="1288"/>
      <c r="AZ80" s="1288"/>
    </row>
    <row r="81" s="334" customFormat="1" ht="17.4" customHeight="1" spans="1:52">
      <c r="A81" s="1278" t="str">
        <f>CONCATENATE(A77,".4")</f>
        <v>2.7.4</v>
      </c>
      <c r="B81" s="1279"/>
      <c r="C81" s="1346" t="s">
        <v>97</v>
      </c>
      <c r="D81" s="1346"/>
      <c r="E81" s="1346"/>
      <c r="F81" s="1281">
        <v>1100657</v>
      </c>
      <c r="G81" s="1281"/>
      <c r="H81" s="1281"/>
      <c r="I81" s="1292" t="s">
        <v>114</v>
      </c>
      <c r="J81" s="1292"/>
      <c r="K81" s="1292"/>
      <c r="L81" s="1292"/>
      <c r="M81" s="1292"/>
      <c r="N81" s="1292"/>
      <c r="O81" s="1292"/>
      <c r="P81" s="1292"/>
      <c r="Q81" s="1292"/>
      <c r="R81" s="1292"/>
      <c r="S81" s="1292"/>
      <c r="T81" s="1292"/>
      <c r="U81" s="1292"/>
      <c r="V81" s="1292"/>
      <c r="W81" s="1292"/>
      <c r="X81" s="1292"/>
      <c r="Y81" s="1292"/>
      <c r="Z81" s="1292"/>
      <c r="AA81" s="1292"/>
      <c r="AB81" s="1292"/>
      <c r="AC81" s="1292"/>
      <c r="AD81" s="1283"/>
      <c r="AE81" s="1283"/>
      <c r="AF81" s="1280" t="s">
        <v>99</v>
      </c>
      <c r="AG81" s="1280"/>
      <c r="AH81" s="1284">
        <f>Memória_Orçamento!K1914</f>
        <v>0.12</v>
      </c>
      <c r="AI81" s="1284"/>
      <c r="AJ81" s="1284"/>
      <c r="AK81" s="1285">
        <f>IF(F81="","",ROUND('Composições Principais'!L$777*(1+$R$11),2))</f>
        <v>4.61</v>
      </c>
      <c r="AL81" s="1285"/>
      <c r="AM81" s="1285"/>
      <c r="AN81" s="1285"/>
      <c r="AO81" s="1286">
        <f>IF(F81="","",ROUND((AH81*AK81),2))</f>
        <v>0.55</v>
      </c>
      <c r="AP81" s="1286"/>
      <c r="AQ81" s="1286"/>
      <c r="AR81" s="1287"/>
      <c r="AS81" s="1258" t="s">
        <v>83</v>
      </c>
      <c r="AU81" s="1309">
        <f>ROUND((AK81/(1+$R$11)),2)</f>
        <v>3.72</v>
      </c>
      <c r="AV81" s="1288">
        <f>ROUND(AH81*AU81,2)</f>
        <v>0.45</v>
      </c>
      <c r="AX81" s="1309"/>
      <c r="AY81" s="1288"/>
      <c r="AZ81" s="1288"/>
    </row>
    <row r="82" ht="17.4" customHeight="1" spans="1:52">
      <c r="A82" s="1331">
        <v>3</v>
      </c>
      <c r="B82" s="1272"/>
      <c r="C82" s="1332"/>
      <c r="D82" s="1332"/>
      <c r="E82" s="1332"/>
      <c r="F82" s="1332"/>
      <c r="G82" s="1332"/>
      <c r="H82" s="1332"/>
      <c r="I82" s="1274" t="s">
        <v>123</v>
      </c>
      <c r="J82" s="1274"/>
      <c r="K82" s="1274"/>
      <c r="L82" s="1274"/>
      <c r="M82" s="1274"/>
      <c r="N82" s="1274"/>
      <c r="O82" s="1274"/>
      <c r="P82" s="1274"/>
      <c r="Q82" s="1274"/>
      <c r="R82" s="1274"/>
      <c r="S82" s="1274"/>
      <c r="T82" s="1274"/>
      <c r="U82" s="1274"/>
      <c r="V82" s="1274"/>
      <c r="W82" s="1274"/>
      <c r="X82" s="1274"/>
      <c r="Y82" s="1274"/>
      <c r="Z82" s="1274"/>
      <c r="AA82" s="1274"/>
      <c r="AB82" s="1272"/>
      <c r="AC82" s="1272"/>
      <c r="AD82" s="1272"/>
      <c r="AE82" s="1272"/>
      <c r="AF82" s="1272"/>
      <c r="AG82" s="1272"/>
      <c r="AH82" s="1333"/>
      <c r="AI82" s="1333"/>
      <c r="AJ82" s="1333"/>
      <c r="AK82" s="1334"/>
      <c r="AL82" s="1334"/>
      <c r="AM82" s="1334"/>
      <c r="AN82" s="1334"/>
      <c r="AO82" s="1275">
        <f>SUM(AO83,AO88,AO93,AO98,AO112,AO106)</f>
        <v>243729.62</v>
      </c>
      <c r="AP82" s="1275"/>
      <c r="AQ82" s="1275"/>
      <c r="AR82" s="1399"/>
    </row>
    <row r="83" s="1255" customFormat="1" ht="17.4" customHeight="1" spans="1:52">
      <c r="A83" s="1389" t="str">
        <f>CONCATENATE(A82,".1")</f>
        <v>3.1</v>
      </c>
      <c r="B83" s="1390"/>
      <c r="C83" s="1391"/>
      <c r="D83" s="1391"/>
      <c r="E83" s="1391"/>
      <c r="F83" s="1391"/>
      <c r="G83" s="1391"/>
      <c r="H83" s="1391"/>
      <c r="I83" s="1392" t="s">
        <v>124</v>
      </c>
      <c r="J83" s="1392"/>
      <c r="K83" s="1392"/>
      <c r="L83" s="1392"/>
      <c r="M83" s="1392"/>
      <c r="N83" s="1392"/>
      <c r="O83" s="1392"/>
      <c r="P83" s="1392"/>
      <c r="Q83" s="1392"/>
      <c r="R83" s="1392"/>
      <c r="S83" s="1392"/>
      <c r="T83" s="1392"/>
      <c r="U83" s="1392"/>
      <c r="V83" s="1392"/>
      <c r="W83" s="1392"/>
      <c r="X83" s="1392"/>
      <c r="Y83" s="1392"/>
      <c r="Z83" s="1392"/>
      <c r="AA83" s="1392"/>
      <c r="AB83" s="1392"/>
      <c r="AC83" s="1392"/>
      <c r="AD83" s="1396"/>
      <c r="AE83" s="1396"/>
      <c r="AF83" s="1396"/>
      <c r="AG83" s="1396"/>
      <c r="AH83" s="1397"/>
      <c r="AI83" s="1397"/>
      <c r="AJ83" s="1397"/>
      <c r="AK83" s="1398"/>
      <c r="AL83" s="1398"/>
      <c r="AM83" s="1398"/>
      <c r="AN83" s="1398"/>
      <c r="AO83" s="1394">
        <f>SUM(AO84:AR87)</f>
        <v>38202.3</v>
      </c>
      <c r="AP83" s="1394"/>
      <c r="AQ83" s="1394"/>
      <c r="AR83" s="1395"/>
      <c r="AS83" s="1370"/>
    </row>
    <row r="84" ht="17.4" customHeight="1" spans="1:52">
      <c r="A84" s="1299" t="str">
        <f>CONCATENATE(A83,".1")</f>
        <v>3.1.1</v>
      </c>
      <c r="B84" s="1279"/>
      <c r="C84" s="1343" t="s">
        <v>97</v>
      </c>
      <c r="D84" s="1343"/>
      <c r="E84" s="1343"/>
      <c r="F84" s="1281">
        <v>1107900</v>
      </c>
      <c r="G84" s="1281"/>
      <c r="H84" s="1281"/>
      <c r="I84" s="1292" t="s">
        <v>108</v>
      </c>
      <c r="J84" s="1292"/>
      <c r="K84" s="1292"/>
      <c r="L84" s="1292"/>
      <c r="M84" s="1292"/>
      <c r="N84" s="1292"/>
      <c r="O84" s="1292"/>
      <c r="P84" s="1292"/>
      <c r="Q84" s="1292"/>
      <c r="R84" s="1292"/>
      <c r="S84" s="1292"/>
      <c r="T84" s="1292"/>
      <c r="U84" s="1292"/>
      <c r="V84" s="1292"/>
      <c r="W84" s="1292"/>
      <c r="X84" s="1292"/>
      <c r="Y84" s="1292"/>
      <c r="Z84" s="1292"/>
      <c r="AA84" s="1292"/>
      <c r="AB84" s="1292"/>
      <c r="AC84" s="1292"/>
      <c r="AD84" s="1283"/>
      <c r="AE84" s="1283"/>
      <c r="AF84" s="1280" t="s">
        <v>99</v>
      </c>
      <c r="AG84" s="1280"/>
      <c r="AH84" s="1284">
        <f>Memória_Orçamento!K1940</f>
        <v>15.75</v>
      </c>
      <c r="AI84" s="1284"/>
      <c r="AJ84" s="1284"/>
      <c r="AK84" s="1285">
        <f>IF(F84="","",ROUND('Composições Principais'!L$692*(1+$R$11),2))</f>
        <v>1310.99</v>
      </c>
      <c r="AL84" s="1285"/>
      <c r="AM84" s="1285"/>
      <c r="AN84" s="1285"/>
      <c r="AO84" s="1286">
        <f>IF(F84="","",ROUND((AH84*AK84),2))</f>
        <v>20648.09</v>
      </c>
      <c r="AP84" s="1286"/>
      <c r="AQ84" s="1286"/>
      <c r="AR84" s="1287"/>
      <c r="AS84" s="1258" t="s">
        <v>83</v>
      </c>
      <c r="AU84" s="1309">
        <f>ROUND((AK84/(1+$R$11)),2)</f>
        <v>1058.02</v>
      </c>
      <c r="AV84" s="1288">
        <f>ROUND(AH84*AU84,2)</f>
        <v>16663.82</v>
      </c>
      <c r="AX84" s="1309"/>
      <c r="AY84" s="1288"/>
      <c r="AZ84" s="1288"/>
    </row>
    <row r="85" ht="17.4" customHeight="1" spans="1:52">
      <c r="A85" s="1278" t="str">
        <f>CONCATENATE(A83,".2")</f>
        <v>3.1.2</v>
      </c>
      <c r="B85" s="1279"/>
      <c r="C85" s="1346" t="s">
        <v>97</v>
      </c>
      <c r="D85" s="1346"/>
      <c r="E85" s="1346"/>
      <c r="F85" s="1281">
        <v>3108000</v>
      </c>
      <c r="G85" s="1281"/>
      <c r="H85" s="1281"/>
      <c r="I85" s="1292" t="s">
        <v>110</v>
      </c>
      <c r="J85" s="1292"/>
      <c r="K85" s="1292"/>
      <c r="L85" s="1292"/>
      <c r="M85" s="1292"/>
      <c r="N85" s="1292"/>
      <c r="O85" s="1292"/>
      <c r="P85" s="1292"/>
      <c r="Q85" s="1292"/>
      <c r="R85" s="1292"/>
      <c r="S85" s="1292"/>
      <c r="T85" s="1292"/>
      <c r="U85" s="1292"/>
      <c r="V85" s="1292"/>
      <c r="W85" s="1292"/>
      <c r="X85" s="1292"/>
      <c r="Y85" s="1292"/>
      <c r="Z85" s="1292"/>
      <c r="AA85" s="1292"/>
      <c r="AB85" s="1292"/>
      <c r="AC85" s="1292"/>
      <c r="AD85" s="1283"/>
      <c r="AE85" s="1283"/>
      <c r="AF85" s="1280" t="s">
        <v>7</v>
      </c>
      <c r="AG85" s="1280"/>
      <c r="AH85" s="1284">
        <f>Memória_Orçamento!K1966</f>
        <v>6.6</v>
      </c>
      <c r="AI85" s="1284"/>
      <c r="AJ85" s="1284"/>
      <c r="AK85" s="1285">
        <f>IF(F85="","",ROUND('Composições Principais'!L$862*(1+$R$11),2))</f>
        <v>108.67</v>
      </c>
      <c r="AL85" s="1285"/>
      <c r="AM85" s="1285"/>
      <c r="AN85" s="1285"/>
      <c r="AO85" s="1286">
        <f>IF(F85="","",ROUND((AH85*AK85),2))</f>
        <v>717.22</v>
      </c>
      <c r="AP85" s="1286"/>
      <c r="AQ85" s="1286"/>
      <c r="AR85" s="1287"/>
      <c r="AS85" s="1258" t="s">
        <v>83</v>
      </c>
      <c r="AU85" s="1309">
        <f>ROUND((AK85/(1+$R$11)),2)</f>
        <v>87.7</v>
      </c>
      <c r="AV85" s="1288">
        <f>ROUND(AH85*AU85,2)</f>
        <v>578.82</v>
      </c>
      <c r="AX85" s="1309"/>
      <c r="AY85" s="1288"/>
      <c r="AZ85" s="1288"/>
    </row>
    <row r="86" ht="17.4" customHeight="1" spans="1:52">
      <c r="A86" s="1278" t="str">
        <f>CONCATENATE(A83,".3")</f>
        <v>3.1.3</v>
      </c>
      <c r="B86" s="1279"/>
      <c r="C86" s="1346" t="s">
        <v>97</v>
      </c>
      <c r="D86" s="1346"/>
      <c r="E86" s="1346"/>
      <c r="F86" s="1281">
        <v>407819</v>
      </c>
      <c r="G86" s="1281"/>
      <c r="H86" s="1281"/>
      <c r="I86" s="1292" t="s">
        <v>100</v>
      </c>
      <c r="J86" s="1292"/>
      <c r="K86" s="1292"/>
      <c r="L86" s="1292"/>
      <c r="M86" s="1292"/>
      <c r="N86" s="1292"/>
      <c r="O86" s="1292"/>
      <c r="P86" s="1292"/>
      <c r="Q86" s="1292"/>
      <c r="R86" s="1292"/>
      <c r="S86" s="1292"/>
      <c r="T86" s="1292"/>
      <c r="U86" s="1292"/>
      <c r="V86" s="1292"/>
      <c r="W86" s="1292"/>
      <c r="X86" s="1292"/>
      <c r="Y86" s="1292"/>
      <c r="Z86" s="1292"/>
      <c r="AA86" s="1292"/>
      <c r="AB86" s="1292"/>
      <c r="AC86" s="1292"/>
      <c r="AD86" s="1283"/>
      <c r="AE86" s="1283"/>
      <c r="AF86" s="1280" t="s">
        <v>101</v>
      </c>
      <c r="AG86" s="1280"/>
      <c r="AH86" s="1284">
        <f>Memória_Orçamento!K2015</f>
        <v>1050.4</v>
      </c>
      <c r="AI86" s="1284"/>
      <c r="AJ86" s="1284"/>
      <c r="AK86" s="1285">
        <f>IF(F86="","",ROUND('Composições Principais'!L$522*(1+$R$11),2))</f>
        <v>15.96</v>
      </c>
      <c r="AL86" s="1285"/>
      <c r="AM86" s="1285"/>
      <c r="AN86" s="1285"/>
      <c r="AO86" s="1286">
        <f>IF(F86="","",ROUND((AH86*AK86),2))</f>
        <v>16764.38</v>
      </c>
      <c r="AP86" s="1286"/>
      <c r="AQ86" s="1286"/>
      <c r="AR86" s="1287"/>
      <c r="AS86" s="1258" t="s">
        <v>83</v>
      </c>
      <c r="AU86" s="1309">
        <f>ROUND((AK86/(1+$R$11)),2)</f>
        <v>12.88</v>
      </c>
      <c r="AV86" s="1288">
        <f>ROUND(AH86*AU86,2)</f>
        <v>13529.15</v>
      </c>
      <c r="AX86" s="1309"/>
      <c r="AY86" s="1288"/>
      <c r="AZ86" s="1288"/>
    </row>
    <row r="87" ht="17.4" customHeight="1" spans="1:52">
      <c r="A87" s="1278" t="str">
        <f>CONCATENATE(A83,".4")</f>
        <v>3.1.4</v>
      </c>
      <c r="B87" s="1279"/>
      <c r="C87" s="1346" t="s">
        <v>97</v>
      </c>
      <c r="D87" s="1346"/>
      <c r="E87" s="1346"/>
      <c r="F87" s="1281">
        <v>1100657</v>
      </c>
      <c r="G87" s="1281"/>
      <c r="H87" s="1281"/>
      <c r="I87" s="1292" t="s">
        <v>114</v>
      </c>
      <c r="J87" s="1292"/>
      <c r="K87" s="1292"/>
      <c r="L87" s="1292"/>
      <c r="M87" s="1292"/>
      <c r="N87" s="1292"/>
      <c r="O87" s="1292"/>
      <c r="P87" s="1292"/>
      <c r="Q87" s="1292"/>
      <c r="R87" s="1292"/>
      <c r="S87" s="1292"/>
      <c r="T87" s="1292"/>
      <c r="U87" s="1292"/>
      <c r="V87" s="1292"/>
      <c r="W87" s="1292"/>
      <c r="X87" s="1292"/>
      <c r="Y87" s="1292"/>
      <c r="Z87" s="1292"/>
      <c r="AA87" s="1292"/>
      <c r="AB87" s="1292"/>
      <c r="AC87" s="1292"/>
      <c r="AD87" s="1283"/>
      <c r="AE87" s="1283"/>
      <c r="AF87" s="1280" t="s">
        <v>99</v>
      </c>
      <c r="AG87" s="1280"/>
      <c r="AH87" s="1284">
        <f>Memória_Orçamento!K2041</f>
        <v>15.75</v>
      </c>
      <c r="AI87" s="1284"/>
      <c r="AJ87" s="1284"/>
      <c r="AK87" s="1285">
        <f>IF(F87="","",ROUND('Composições Principais'!L$777*(1+$R$11),2))</f>
        <v>4.61</v>
      </c>
      <c r="AL87" s="1285"/>
      <c r="AM87" s="1285"/>
      <c r="AN87" s="1285"/>
      <c r="AO87" s="1286">
        <f>IF(F87="","",ROUND((AH87*AK87),2))</f>
        <v>72.61</v>
      </c>
      <c r="AP87" s="1286"/>
      <c r="AQ87" s="1286"/>
      <c r="AR87" s="1287"/>
      <c r="AS87" s="1258" t="s">
        <v>83</v>
      </c>
      <c r="AU87" s="1309">
        <f>ROUND((AK87/(1+$R$11)),2)</f>
        <v>3.72</v>
      </c>
      <c r="AV87" s="1288">
        <f>ROUND(AH87*AU87,2)</f>
        <v>58.59</v>
      </c>
      <c r="AX87" s="1309"/>
      <c r="AY87" s="1288"/>
      <c r="AZ87" s="1288"/>
    </row>
    <row r="88" s="1255" customFormat="1" ht="17.4" customHeight="1" spans="1:52">
      <c r="A88" s="1389" t="str">
        <f>CONCATENATE(A82,".2")</f>
        <v>3.2</v>
      </c>
      <c r="B88" s="1390"/>
      <c r="C88" s="1391"/>
      <c r="D88" s="1391"/>
      <c r="E88" s="1391"/>
      <c r="F88" s="1391"/>
      <c r="G88" s="1391"/>
      <c r="H88" s="1391"/>
      <c r="I88" s="1392" t="s">
        <v>125</v>
      </c>
      <c r="J88" s="1392"/>
      <c r="K88" s="1392"/>
      <c r="L88" s="1392"/>
      <c r="M88" s="1392"/>
      <c r="N88" s="1392"/>
      <c r="O88" s="1392"/>
      <c r="P88" s="1392"/>
      <c r="Q88" s="1392"/>
      <c r="R88" s="1392"/>
      <c r="S88" s="1392"/>
      <c r="T88" s="1392"/>
      <c r="U88" s="1392"/>
      <c r="V88" s="1392"/>
      <c r="W88" s="1392"/>
      <c r="X88" s="1392"/>
      <c r="Y88" s="1392"/>
      <c r="Z88" s="1392"/>
      <c r="AA88" s="1392"/>
      <c r="AB88" s="1392"/>
      <c r="AC88" s="1392"/>
      <c r="AD88" s="1396"/>
      <c r="AE88" s="1396"/>
      <c r="AF88" s="1396"/>
      <c r="AG88" s="1396"/>
      <c r="AH88" s="1397"/>
      <c r="AI88" s="1397"/>
      <c r="AJ88" s="1397"/>
      <c r="AK88" s="1398"/>
      <c r="AL88" s="1398"/>
      <c r="AM88" s="1398"/>
      <c r="AN88" s="1398"/>
      <c r="AO88" s="1394">
        <f>SUM(AO89:AR92)</f>
        <v>17176.18</v>
      </c>
      <c r="AP88" s="1394"/>
      <c r="AQ88" s="1394"/>
      <c r="AR88" s="1395"/>
      <c r="AS88" s="1370"/>
    </row>
    <row r="89" ht="17.4" customHeight="1" spans="1:52">
      <c r="A89" s="1299" t="str">
        <f>CONCATENATE(A88,".1")</f>
        <v>3.2.1</v>
      </c>
      <c r="B89" s="1279"/>
      <c r="C89" s="1343" t="s">
        <v>97</v>
      </c>
      <c r="D89" s="1343"/>
      <c r="E89" s="1343"/>
      <c r="F89" s="1281">
        <v>1107900</v>
      </c>
      <c r="G89" s="1281"/>
      <c r="H89" s="1281"/>
      <c r="I89" s="1292" t="s">
        <v>108</v>
      </c>
      <c r="J89" s="1292"/>
      <c r="K89" s="1292"/>
      <c r="L89" s="1292"/>
      <c r="M89" s="1292"/>
      <c r="N89" s="1292"/>
      <c r="O89" s="1292"/>
      <c r="P89" s="1292"/>
      <c r="Q89" s="1292"/>
      <c r="R89" s="1292"/>
      <c r="S89" s="1292"/>
      <c r="T89" s="1292"/>
      <c r="U89" s="1292"/>
      <c r="V89" s="1292"/>
      <c r="W89" s="1292"/>
      <c r="X89" s="1292"/>
      <c r="Y89" s="1292"/>
      <c r="Z89" s="1292"/>
      <c r="AA89" s="1292"/>
      <c r="AB89" s="1292"/>
      <c r="AC89" s="1292"/>
      <c r="AD89" s="1283"/>
      <c r="AE89" s="1283"/>
      <c r="AF89" s="1280" t="s">
        <v>99</v>
      </c>
      <c r="AG89" s="1280"/>
      <c r="AH89" s="1284">
        <f>Memória_Orçamento!K2068</f>
        <v>6.76</v>
      </c>
      <c r="AI89" s="1284"/>
      <c r="AJ89" s="1284"/>
      <c r="AK89" s="1285">
        <f>IF(F89="","",ROUND('Composições Principais'!L$692*(1+$R$11),2))</f>
        <v>1310.99</v>
      </c>
      <c r="AL89" s="1285"/>
      <c r="AM89" s="1285"/>
      <c r="AN89" s="1285"/>
      <c r="AO89" s="1286">
        <f>IF(F89="","",ROUND((AH89*AK89),2))</f>
        <v>8862.29</v>
      </c>
      <c r="AP89" s="1286"/>
      <c r="AQ89" s="1286"/>
      <c r="AR89" s="1287"/>
      <c r="AS89" s="1258" t="s">
        <v>83</v>
      </c>
      <c r="AU89" s="1309">
        <f>ROUND((AK89/(1+$R$11)),2)</f>
        <v>1058.02</v>
      </c>
      <c r="AV89" s="1288">
        <f>ROUND(AH89*AU89,2)</f>
        <v>7152.22</v>
      </c>
      <c r="AX89" s="1309"/>
      <c r="AY89" s="1288"/>
      <c r="AZ89" s="1288"/>
    </row>
    <row r="90" ht="17.4" customHeight="1" spans="1:52">
      <c r="A90" s="1278" t="str">
        <f>CONCATENATE(A88,".2")</f>
        <v>3.2.2</v>
      </c>
      <c r="B90" s="1279"/>
      <c r="C90" s="1346" t="s">
        <v>97</v>
      </c>
      <c r="D90" s="1346"/>
      <c r="E90" s="1346"/>
      <c r="F90" s="1281">
        <v>3108000</v>
      </c>
      <c r="G90" s="1281"/>
      <c r="H90" s="1281"/>
      <c r="I90" s="1292" t="s">
        <v>110</v>
      </c>
      <c r="J90" s="1292"/>
      <c r="K90" s="1292"/>
      <c r="L90" s="1292"/>
      <c r="M90" s="1292"/>
      <c r="N90" s="1292"/>
      <c r="O90" s="1292"/>
      <c r="P90" s="1292"/>
      <c r="Q90" s="1292"/>
      <c r="R90" s="1292"/>
      <c r="S90" s="1292"/>
      <c r="T90" s="1292"/>
      <c r="U90" s="1292"/>
      <c r="V90" s="1292"/>
      <c r="W90" s="1292"/>
      <c r="X90" s="1292"/>
      <c r="Y90" s="1292"/>
      <c r="Z90" s="1292"/>
      <c r="AA90" s="1292"/>
      <c r="AB90" s="1292"/>
      <c r="AC90" s="1292"/>
      <c r="AD90" s="1283"/>
      <c r="AE90" s="1283"/>
      <c r="AF90" s="1280" t="s">
        <v>7</v>
      </c>
      <c r="AG90" s="1280"/>
      <c r="AH90" s="1284">
        <f>Memória_Orçamento!K2096</f>
        <v>34.23</v>
      </c>
      <c r="AI90" s="1284"/>
      <c r="AJ90" s="1284"/>
      <c r="AK90" s="1285">
        <f>IF(F90="","",ROUND('Composições Principais'!L$862*(1+$R$11),2))</f>
        <v>108.67</v>
      </c>
      <c r="AL90" s="1285"/>
      <c r="AM90" s="1285"/>
      <c r="AN90" s="1285"/>
      <c r="AO90" s="1286">
        <f>IF(F90="","",ROUND((AH90*AK90),2))</f>
        <v>3719.77</v>
      </c>
      <c r="AP90" s="1286"/>
      <c r="AQ90" s="1286"/>
      <c r="AR90" s="1287"/>
      <c r="AS90" s="1258" t="s">
        <v>83</v>
      </c>
      <c r="AU90" s="1309">
        <f>ROUND((AK90/(1+$R$11)),2)</f>
        <v>87.7</v>
      </c>
      <c r="AV90" s="1288">
        <f>ROUND(AH90*AU90,2)</f>
        <v>3001.97</v>
      </c>
      <c r="AX90" s="1309"/>
      <c r="AY90" s="1288"/>
      <c r="AZ90" s="1288"/>
    </row>
    <row r="91" ht="17.4" customHeight="1" spans="1:52">
      <c r="A91" s="1278" t="str">
        <f>CONCATENATE(A88,".3")</f>
        <v>3.2.3</v>
      </c>
      <c r="B91" s="1279"/>
      <c r="C91" s="1346" t="s">
        <v>97</v>
      </c>
      <c r="D91" s="1346"/>
      <c r="E91" s="1346"/>
      <c r="F91" s="1281">
        <v>407819</v>
      </c>
      <c r="G91" s="1281"/>
      <c r="H91" s="1281"/>
      <c r="I91" s="1292" t="s">
        <v>100</v>
      </c>
      <c r="J91" s="1292"/>
      <c r="K91" s="1292"/>
      <c r="L91" s="1292"/>
      <c r="M91" s="1292"/>
      <c r="N91" s="1292"/>
      <c r="O91" s="1292"/>
      <c r="P91" s="1292"/>
      <c r="Q91" s="1292"/>
      <c r="R91" s="1292"/>
      <c r="S91" s="1292"/>
      <c r="T91" s="1292"/>
      <c r="U91" s="1292"/>
      <c r="V91" s="1292"/>
      <c r="W91" s="1292"/>
      <c r="X91" s="1292"/>
      <c r="Y91" s="1292"/>
      <c r="Z91" s="1292"/>
      <c r="AA91" s="1292"/>
      <c r="AB91" s="1292"/>
      <c r="AC91" s="1292"/>
      <c r="AD91" s="1283"/>
      <c r="AE91" s="1283"/>
      <c r="AF91" s="1280" t="s">
        <v>101</v>
      </c>
      <c r="AG91" s="1280"/>
      <c r="AH91" s="1284">
        <f>Memória_Orçamento!K2149</f>
        <v>285.9</v>
      </c>
      <c r="AI91" s="1284"/>
      <c r="AJ91" s="1284"/>
      <c r="AK91" s="1285">
        <f>IF(F91="","",ROUND('Composições Principais'!L$522*(1+$R$11),2))</f>
        <v>15.96</v>
      </c>
      <c r="AL91" s="1285"/>
      <c r="AM91" s="1285"/>
      <c r="AN91" s="1285"/>
      <c r="AO91" s="1286">
        <f>IF(F91="","",ROUND((AH91*AK91),2))</f>
        <v>4562.96</v>
      </c>
      <c r="AP91" s="1286"/>
      <c r="AQ91" s="1286"/>
      <c r="AR91" s="1287"/>
      <c r="AS91" s="1258" t="s">
        <v>83</v>
      </c>
      <c r="AU91" s="1309">
        <f>ROUND((AK91/(1+$R$11)),2)</f>
        <v>12.88</v>
      </c>
      <c r="AV91" s="1288">
        <f>ROUND(AH91*AU91,2)</f>
        <v>3682.39</v>
      </c>
      <c r="AX91" s="1309"/>
      <c r="AY91" s="1288"/>
      <c r="AZ91" s="1288"/>
    </row>
    <row r="92" ht="17.4" customHeight="1" spans="1:52">
      <c r="A92" s="1278" t="str">
        <f>CONCATENATE(A88,".4")</f>
        <v>3.2.4</v>
      </c>
      <c r="B92" s="1279"/>
      <c r="C92" s="1346" t="s">
        <v>97</v>
      </c>
      <c r="D92" s="1346"/>
      <c r="E92" s="1346"/>
      <c r="F92" s="1281">
        <v>1100657</v>
      </c>
      <c r="G92" s="1281"/>
      <c r="H92" s="1281"/>
      <c r="I92" s="1292" t="s">
        <v>114</v>
      </c>
      <c r="J92" s="1292"/>
      <c r="K92" s="1292"/>
      <c r="L92" s="1292"/>
      <c r="M92" s="1292"/>
      <c r="N92" s="1292"/>
      <c r="O92" s="1292"/>
      <c r="P92" s="1292"/>
      <c r="Q92" s="1292"/>
      <c r="R92" s="1292"/>
      <c r="S92" s="1292"/>
      <c r="T92" s="1292"/>
      <c r="U92" s="1292"/>
      <c r="V92" s="1292"/>
      <c r="W92" s="1292"/>
      <c r="X92" s="1292"/>
      <c r="Y92" s="1292"/>
      <c r="Z92" s="1292"/>
      <c r="AA92" s="1292"/>
      <c r="AB92" s="1292"/>
      <c r="AC92" s="1292"/>
      <c r="AD92" s="1283"/>
      <c r="AE92" s="1283"/>
      <c r="AF92" s="1280" t="s">
        <v>99</v>
      </c>
      <c r="AG92" s="1280"/>
      <c r="AH92" s="1284">
        <f>Memória_Orçamento!K2176</f>
        <v>6.76</v>
      </c>
      <c r="AI92" s="1284"/>
      <c r="AJ92" s="1284"/>
      <c r="AK92" s="1285">
        <f>IF(F92="","",ROUND('Composições Principais'!L$777*(1+$R$11),2))</f>
        <v>4.61</v>
      </c>
      <c r="AL92" s="1285"/>
      <c r="AM92" s="1285"/>
      <c r="AN92" s="1285"/>
      <c r="AO92" s="1286">
        <f>IF(F92="","",ROUND((AH92*AK92),2))</f>
        <v>31.16</v>
      </c>
      <c r="AP92" s="1286"/>
      <c r="AQ92" s="1286"/>
      <c r="AR92" s="1287"/>
      <c r="AS92" s="1258" t="s">
        <v>83</v>
      </c>
      <c r="AU92" s="1309">
        <f>ROUND((AK92/(1+$R$11)),2)</f>
        <v>3.72</v>
      </c>
      <c r="AV92" s="1288">
        <f>ROUND(AH92*AU92,2)</f>
        <v>25.15</v>
      </c>
      <c r="AX92" s="1309"/>
      <c r="AY92" s="1288"/>
      <c r="AZ92" s="1288"/>
    </row>
    <row r="93" s="1255" customFormat="1" ht="17.4" customHeight="1" spans="1:52">
      <c r="A93" s="1389" t="str">
        <f>CONCATENATE(A82,".3")</f>
        <v>3.3</v>
      </c>
      <c r="B93" s="1390"/>
      <c r="C93" s="1391"/>
      <c r="D93" s="1391"/>
      <c r="E93" s="1391"/>
      <c r="F93" s="1391"/>
      <c r="G93" s="1391"/>
      <c r="H93" s="1391"/>
      <c r="I93" s="1392" t="s">
        <v>126</v>
      </c>
      <c r="J93" s="1392"/>
      <c r="K93" s="1392"/>
      <c r="L93" s="1392"/>
      <c r="M93" s="1392"/>
      <c r="N93" s="1392"/>
      <c r="O93" s="1392"/>
      <c r="P93" s="1392"/>
      <c r="Q93" s="1392"/>
      <c r="R93" s="1392"/>
      <c r="S93" s="1392"/>
      <c r="T93" s="1392"/>
      <c r="U93" s="1392"/>
      <c r="V93" s="1392"/>
      <c r="W93" s="1392"/>
      <c r="X93" s="1392"/>
      <c r="Y93" s="1392"/>
      <c r="Z93" s="1392"/>
      <c r="AA93" s="1392"/>
      <c r="AB93" s="1392"/>
      <c r="AC93" s="1392"/>
      <c r="AD93" s="1396"/>
      <c r="AE93" s="1396"/>
      <c r="AF93" s="1396"/>
      <c r="AG93" s="1396"/>
      <c r="AH93" s="1397"/>
      <c r="AI93" s="1397"/>
      <c r="AJ93" s="1397"/>
      <c r="AK93" s="1398"/>
      <c r="AL93" s="1398"/>
      <c r="AM93" s="1398"/>
      <c r="AN93" s="1398"/>
      <c r="AO93" s="1394">
        <f>SUM(AO94:AR97)</f>
        <v>10783.61</v>
      </c>
      <c r="AP93" s="1394"/>
      <c r="AQ93" s="1394"/>
      <c r="AR93" s="1395"/>
      <c r="AS93" s="1370"/>
    </row>
    <row r="94" ht="17.4" customHeight="1" spans="1:52">
      <c r="A94" s="1299" t="str">
        <f>CONCATENATE(A93,".1")</f>
        <v>3.3.1</v>
      </c>
      <c r="B94" s="1279"/>
      <c r="C94" s="1343" t="s">
        <v>97</v>
      </c>
      <c r="D94" s="1343"/>
      <c r="E94" s="1343"/>
      <c r="F94" s="1281">
        <v>1107900</v>
      </c>
      <c r="G94" s="1281"/>
      <c r="H94" s="1281"/>
      <c r="I94" s="1292" t="s">
        <v>108</v>
      </c>
      <c r="J94" s="1292"/>
      <c r="K94" s="1292"/>
      <c r="L94" s="1292"/>
      <c r="M94" s="1292"/>
      <c r="N94" s="1292"/>
      <c r="O94" s="1292"/>
      <c r="P94" s="1292"/>
      <c r="Q94" s="1292"/>
      <c r="R94" s="1292"/>
      <c r="S94" s="1292"/>
      <c r="T94" s="1292"/>
      <c r="U94" s="1292"/>
      <c r="V94" s="1292"/>
      <c r="W94" s="1292"/>
      <c r="X94" s="1292"/>
      <c r="Y94" s="1292"/>
      <c r="Z94" s="1292"/>
      <c r="AA94" s="1292"/>
      <c r="AB94" s="1292"/>
      <c r="AC94" s="1292"/>
      <c r="AD94" s="1283"/>
      <c r="AE94" s="1283"/>
      <c r="AF94" s="1280" t="s">
        <v>99</v>
      </c>
      <c r="AG94" s="1280"/>
      <c r="AH94" s="1284">
        <f>Memória_Orçamento!K2204</f>
        <v>3.15</v>
      </c>
      <c r="AI94" s="1284"/>
      <c r="AJ94" s="1284"/>
      <c r="AK94" s="1285">
        <f>IF(F94="","",ROUND('Composições Principais'!L$692*(1+$R$11),2))</f>
        <v>1310.99</v>
      </c>
      <c r="AL94" s="1285"/>
      <c r="AM94" s="1285"/>
      <c r="AN94" s="1285"/>
      <c r="AO94" s="1286">
        <f>IF(F94="","",ROUND((AH94*AK94),2))</f>
        <v>4129.62</v>
      </c>
      <c r="AP94" s="1286"/>
      <c r="AQ94" s="1286"/>
      <c r="AR94" s="1287"/>
      <c r="AS94" s="1258" t="s">
        <v>83</v>
      </c>
      <c r="AU94" s="1309">
        <f>ROUND((AK94/(1+$R$11)),2)</f>
        <v>1058.02</v>
      </c>
      <c r="AV94" s="1288">
        <f>ROUND(AH94*AU94,2)</f>
        <v>3332.76</v>
      </c>
      <c r="AX94" s="1309"/>
      <c r="AY94" s="1288"/>
      <c r="AZ94" s="1288"/>
    </row>
    <row r="95" ht="17.4" customHeight="1" spans="1:52">
      <c r="A95" s="1278" t="str">
        <f>CONCATENATE(A93,".2")</f>
        <v>3.3.2</v>
      </c>
      <c r="B95" s="1279"/>
      <c r="C95" s="1346" t="s">
        <v>97</v>
      </c>
      <c r="D95" s="1346"/>
      <c r="E95" s="1346"/>
      <c r="F95" s="1281">
        <v>3108000</v>
      </c>
      <c r="G95" s="1281"/>
      <c r="H95" s="1281"/>
      <c r="I95" s="1292" t="s">
        <v>110</v>
      </c>
      <c r="J95" s="1292"/>
      <c r="K95" s="1292"/>
      <c r="L95" s="1292"/>
      <c r="M95" s="1292"/>
      <c r="N95" s="1292"/>
      <c r="O95" s="1292"/>
      <c r="P95" s="1292"/>
      <c r="Q95" s="1292"/>
      <c r="R95" s="1292"/>
      <c r="S95" s="1292"/>
      <c r="T95" s="1292"/>
      <c r="U95" s="1292"/>
      <c r="V95" s="1292"/>
      <c r="W95" s="1292"/>
      <c r="X95" s="1292"/>
      <c r="Y95" s="1292"/>
      <c r="Z95" s="1292"/>
      <c r="AA95" s="1292"/>
      <c r="AB95" s="1292"/>
      <c r="AC95" s="1292"/>
      <c r="AD95" s="1283"/>
      <c r="AE95" s="1283"/>
      <c r="AF95" s="1280" t="s">
        <v>7</v>
      </c>
      <c r="AG95" s="1280"/>
      <c r="AH95" s="1284">
        <f>Memória_Orçamento!K2231</f>
        <v>28.64</v>
      </c>
      <c r="AI95" s="1284"/>
      <c r="AJ95" s="1284"/>
      <c r="AK95" s="1285">
        <f>IF(F95="","",ROUND('Composições Principais'!L$862*(1+$R$11),2))</f>
        <v>108.67</v>
      </c>
      <c r="AL95" s="1285"/>
      <c r="AM95" s="1285"/>
      <c r="AN95" s="1285"/>
      <c r="AO95" s="1286">
        <f>IF(F95="","",ROUND((AH95*AK95),2))</f>
        <v>3112.31</v>
      </c>
      <c r="AP95" s="1286"/>
      <c r="AQ95" s="1286"/>
      <c r="AR95" s="1287"/>
      <c r="AS95" s="1258" t="s">
        <v>83</v>
      </c>
      <c r="AU95" s="1309">
        <f>ROUND((AK95/(1+$R$11)),2)</f>
        <v>87.7</v>
      </c>
      <c r="AV95" s="1288">
        <f>ROUND(AH95*AU95,2)</f>
        <v>2511.73</v>
      </c>
      <c r="AX95" s="1309"/>
      <c r="AY95" s="1288"/>
      <c r="AZ95" s="1288"/>
    </row>
    <row r="96" ht="17.4" customHeight="1" spans="1:52">
      <c r="A96" s="1278" t="str">
        <f>CONCATENATE(A93,".3")</f>
        <v>3.3.3</v>
      </c>
      <c r="B96" s="1279"/>
      <c r="C96" s="1346" t="s">
        <v>97</v>
      </c>
      <c r="D96" s="1346"/>
      <c r="E96" s="1346"/>
      <c r="F96" s="1281">
        <v>407819</v>
      </c>
      <c r="G96" s="1281"/>
      <c r="H96" s="1281"/>
      <c r="I96" s="1292" t="s">
        <v>100</v>
      </c>
      <c r="J96" s="1292"/>
      <c r="K96" s="1292"/>
      <c r="L96" s="1292"/>
      <c r="M96" s="1292"/>
      <c r="N96" s="1292"/>
      <c r="O96" s="1292"/>
      <c r="P96" s="1292"/>
      <c r="Q96" s="1292"/>
      <c r="R96" s="1292"/>
      <c r="S96" s="1292"/>
      <c r="T96" s="1292"/>
      <c r="U96" s="1292"/>
      <c r="V96" s="1292"/>
      <c r="W96" s="1292"/>
      <c r="X96" s="1292"/>
      <c r="Y96" s="1292"/>
      <c r="Z96" s="1292"/>
      <c r="AA96" s="1292"/>
      <c r="AB96" s="1292"/>
      <c r="AC96" s="1292"/>
      <c r="AD96" s="1283"/>
      <c r="AE96" s="1283"/>
      <c r="AF96" s="1280" t="s">
        <v>101</v>
      </c>
      <c r="AG96" s="1280"/>
      <c r="AH96" s="1284">
        <f>Memória_Orçamento!K2260</f>
        <v>221</v>
      </c>
      <c r="AI96" s="1284"/>
      <c r="AJ96" s="1284"/>
      <c r="AK96" s="1285">
        <f>IF(F96="","",ROUND('Composições Principais'!L$522*(1+$R$11),2))</f>
        <v>15.96</v>
      </c>
      <c r="AL96" s="1285"/>
      <c r="AM96" s="1285"/>
      <c r="AN96" s="1285"/>
      <c r="AO96" s="1286">
        <f>IF(F96="","",ROUND((AH96*AK96),2))</f>
        <v>3527.16</v>
      </c>
      <c r="AP96" s="1286"/>
      <c r="AQ96" s="1286"/>
      <c r="AR96" s="1287"/>
      <c r="AS96" s="1258" t="s">
        <v>83</v>
      </c>
      <c r="AU96" s="1309">
        <f>ROUND((AK96/(1+$R$11)),2)</f>
        <v>12.88</v>
      </c>
      <c r="AV96" s="1288">
        <f>ROUND(AH96*AU96,2)</f>
        <v>2846.48</v>
      </c>
      <c r="AX96" s="1309"/>
      <c r="AY96" s="1288"/>
      <c r="AZ96" s="1288"/>
    </row>
    <row r="97" ht="17.4" customHeight="1" spans="1:52">
      <c r="A97" s="1278" t="str">
        <f>CONCATENATE(A93,".4")</f>
        <v>3.3.4</v>
      </c>
      <c r="B97" s="1279"/>
      <c r="C97" s="1346" t="s">
        <v>97</v>
      </c>
      <c r="D97" s="1346"/>
      <c r="E97" s="1346"/>
      <c r="F97" s="1281">
        <v>1100657</v>
      </c>
      <c r="G97" s="1281"/>
      <c r="H97" s="1281"/>
      <c r="I97" s="1292" t="s">
        <v>114</v>
      </c>
      <c r="J97" s="1292"/>
      <c r="K97" s="1292"/>
      <c r="L97" s="1292"/>
      <c r="M97" s="1292"/>
      <c r="N97" s="1292"/>
      <c r="O97" s="1292"/>
      <c r="P97" s="1292"/>
      <c r="Q97" s="1292"/>
      <c r="R97" s="1292"/>
      <c r="S97" s="1292"/>
      <c r="T97" s="1292"/>
      <c r="U97" s="1292"/>
      <c r="V97" s="1292"/>
      <c r="W97" s="1292"/>
      <c r="X97" s="1292"/>
      <c r="Y97" s="1292"/>
      <c r="Z97" s="1292"/>
      <c r="AA97" s="1292"/>
      <c r="AB97" s="1292"/>
      <c r="AC97" s="1292"/>
      <c r="AD97" s="1283"/>
      <c r="AE97" s="1283"/>
      <c r="AF97" s="1280" t="s">
        <v>99</v>
      </c>
      <c r="AG97" s="1280"/>
      <c r="AH97" s="1284">
        <f>Memória_Orçamento!K2288</f>
        <v>3.15</v>
      </c>
      <c r="AI97" s="1284"/>
      <c r="AJ97" s="1284"/>
      <c r="AK97" s="1285">
        <f>IF(F97="","",ROUND('Composições Principais'!L$777*(1+$R$11),2))</f>
        <v>4.61</v>
      </c>
      <c r="AL97" s="1285"/>
      <c r="AM97" s="1285"/>
      <c r="AN97" s="1285"/>
      <c r="AO97" s="1286">
        <f>IF(F97="","",ROUND((AH97*AK97),2))</f>
        <v>14.52</v>
      </c>
      <c r="AP97" s="1286"/>
      <c r="AQ97" s="1286"/>
      <c r="AR97" s="1287"/>
      <c r="AS97" s="1258" t="s">
        <v>83</v>
      </c>
      <c r="AU97" s="1309">
        <f>ROUND((AK97/(1+$R$11)),2)</f>
        <v>3.72</v>
      </c>
      <c r="AV97" s="1288">
        <f>ROUND(AH97*AU97,2)</f>
        <v>11.72</v>
      </c>
      <c r="AX97" s="1309"/>
      <c r="AY97" s="1288"/>
      <c r="AZ97" s="1288"/>
    </row>
    <row r="98" s="1255" customFormat="1" ht="17.4" customHeight="1" spans="1:52">
      <c r="A98" s="1389" t="str">
        <f>CONCATENATE(A82,".4")</f>
        <v>3.4</v>
      </c>
      <c r="B98" s="1390"/>
      <c r="C98" s="1391"/>
      <c r="D98" s="1391"/>
      <c r="E98" s="1391"/>
      <c r="F98" s="1391"/>
      <c r="G98" s="1391"/>
      <c r="H98" s="1391"/>
      <c r="I98" s="1392" t="s">
        <v>127</v>
      </c>
      <c r="J98" s="1392"/>
      <c r="K98" s="1392"/>
      <c r="L98" s="1392"/>
      <c r="M98" s="1392"/>
      <c r="N98" s="1392"/>
      <c r="O98" s="1392"/>
      <c r="P98" s="1392"/>
      <c r="Q98" s="1392"/>
      <c r="R98" s="1392"/>
      <c r="S98" s="1392"/>
      <c r="T98" s="1392"/>
      <c r="U98" s="1392"/>
      <c r="V98" s="1392"/>
      <c r="W98" s="1392"/>
      <c r="X98" s="1392"/>
      <c r="Y98" s="1392"/>
      <c r="Z98" s="1392"/>
      <c r="AA98" s="1392"/>
      <c r="AB98" s="1392"/>
      <c r="AC98" s="1392"/>
      <c r="AD98" s="1396"/>
      <c r="AE98" s="1396"/>
      <c r="AF98" s="1396"/>
      <c r="AG98" s="1396"/>
      <c r="AH98" s="1397"/>
      <c r="AI98" s="1397"/>
      <c r="AJ98" s="1397"/>
      <c r="AK98" s="1398"/>
      <c r="AL98" s="1398"/>
      <c r="AM98" s="1398"/>
      <c r="AN98" s="1398"/>
      <c r="AO98" s="1394">
        <f>SUM(AO99:AR105)</f>
        <v>123437.25</v>
      </c>
      <c r="AP98" s="1394"/>
      <c r="AQ98" s="1394"/>
      <c r="AR98" s="1395"/>
      <c r="AS98" s="1370"/>
    </row>
    <row r="99" ht="17.4" customHeight="1" spans="1:52">
      <c r="A99" s="1299" t="str">
        <f>CONCATENATE(A98,".1")</f>
        <v>3.4.1</v>
      </c>
      <c r="B99" s="1279"/>
      <c r="C99" s="1343" t="s">
        <v>97</v>
      </c>
      <c r="D99" s="1343"/>
      <c r="E99" s="1343"/>
      <c r="F99" s="1281">
        <v>1107908</v>
      </c>
      <c r="G99" s="1281"/>
      <c r="H99" s="1281"/>
      <c r="I99" s="1292" t="s">
        <v>128</v>
      </c>
      <c r="J99" s="1292"/>
      <c r="K99" s="1292"/>
      <c r="L99" s="1292"/>
      <c r="M99" s="1292"/>
      <c r="N99" s="1292"/>
      <c r="O99" s="1292"/>
      <c r="P99" s="1292"/>
      <c r="Q99" s="1292"/>
      <c r="R99" s="1292"/>
      <c r="S99" s="1292"/>
      <c r="T99" s="1292"/>
      <c r="U99" s="1292"/>
      <c r="V99" s="1292"/>
      <c r="W99" s="1292"/>
      <c r="X99" s="1292"/>
      <c r="Y99" s="1292"/>
      <c r="Z99" s="1292"/>
      <c r="AA99" s="1292"/>
      <c r="AB99" s="1292"/>
      <c r="AC99" s="1292"/>
      <c r="AD99" s="1283"/>
      <c r="AE99" s="1283"/>
      <c r="AF99" s="1280" t="s">
        <v>99</v>
      </c>
      <c r="AG99" s="1280"/>
      <c r="AH99" s="1284">
        <f>Memória_Orçamento!K2313</f>
        <v>21.65</v>
      </c>
      <c r="AI99" s="1284"/>
      <c r="AJ99" s="1284"/>
      <c r="AK99" s="1285">
        <f>IF(F99="","",ROUND('Composições Principais'!L$1372*(1+$R$11),2))</f>
        <v>1399.63</v>
      </c>
      <c r="AL99" s="1285"/>
      <c r="AM99" s="1285"/>
      <c r="AN99" s="1285"/>
      <c r="AO99" s="1286">
        <f t="shared" ref="AO99:AO105" si="12">IF(F99="","",ROUND((AH99*AK99),2))</f>
        <v>30301.99</v>
      </c>
      <c r="AP99" s="1286"/>
      <c r="AQ99" s="1286"/>
      <c r="AR99" s="1287"/>
      <c r="AS99" s="1258" t="s">
        <v>83</v>
      </c>
      <c r="AT99" s="1400"/>
      <c r="AU99" s="1309">
        <f t="shared" ref="AU99:AU105" si="13">ROUND((AK99/(1+$R$11)),2)</f>
        <v>1129.55</v>
      </c>
      <c r="AV99" s="1288">
        <f t="shared" ref="AV99:AV105" si="14">ROUND(AH99*AU99,2)</f>
        <v>24454.76</v>
      </c>
      <c r="AX99" s="1309"/>
      <c r="AY99" s="1288"/>
      <c r="AZ99" s="1288"/>
    </row>
    <row r="100" ht="17.4" customHeight="1" spans="1:52">
      <c r="A100" s="1278" t="str">
        <f>CONCATENATE(A98,".2")</f>
        <v>3.4.2</v>
      </c>
      <c r="B100" s="1279"/>
      <c r="C100" s="1346" t="s">
        <v>97</v>
      </c>
      <c r="D100" s="1346"/>
      <c r="E100" s="1346"/>
      <c r="F100" s="1281">
        <v>3108000</v>
      </c>
      <c r="G100" s="1281"/>
      <c r="H100" s="1281"/>
      <c r="I100" s="1292" t="s">
        <v>110</v>
      </c>
      <c r="J100" s="1292"/>
      <c r="K100" s="1292"/>
      <c r="L100" s="1292"/>
      <c r="M100" s="1292"/>
      <c r="N100" s="1292"/>
      <c r="O100" s="1292"/>
      <c r="P100" s="1292"/>
      <c r="Q100" s="1292"/>
      <c r="R100" s="1292"/>
      <c r="S100" s="1292"/>
      <c r="T100" s="1292"/>
      <c r="U100" s="1292"/>
      <c r="V100" s="1292"/>
      <c r="W100" s="1292"/>
      <c r="X100" s="1292"/>
      <c r="Y100" s="1292"/>
      <c r="Z100" s="1292"/>
      <c r="AA100" s="1292"/>
      <c r="AB100" s="1292"/>
      <c r="AC100" s="1292"/>
      <c r="AD100" s="1283"/>
      <c r="AE100" s="1283"/>
      <c r="AF100" s="1280" t="s">
        <v>7</v>
      </c>
      <c r="AG100" s="1280"/>
      <c r="AH100" s="1284">
        <f>Memória_Orçamento!K2338</f>
        <v>209.8</v>
      </c>
      <c r="AI100" s="1284"/>
      <c r="AJ100" s="1284"/>
      <c r="AK100" s="1285">
        <f>IF(F100="","",ROUND('Composições Principais'!L$862*(1+$R$11),2))</f>
        <v>108.67</v>
      </c>
      <c r="AL100" s="1285"/>
      <c r="AM100" s="1285"/>
      <c r="AN100" s="1285"/>
      <c r="AO100" s="1286">
        <f t="shared" si="12"/>
        <v>22798.97</v>
      </c>
      <c r="AP100" s="1286"/>
      <c r="AQ100" s="1286"/>
      <c r="AR100" s="1287"/>
      <c r="AS100" s="1258" t="s">
        <v>83</v>
      </c>
      <c r="AT100" s="1400"/>
      <c r="AU100" s="1309">
        <f t="shared" si="13"/>
        <v>87.7</v>
      </c>
      <c r="AV100" s="1288">
        <f t="shared" si="14"/>
        <v>18399.46</v>
      </c>
      <c r="AX100" s="1309"/>
      <c r="AY100" s="1288"/>
      <c r="AZ100" s="1288"/>
    </row>
    <row r="101" ht="17.4" customHeight="1" spans="1:52">
      <c r="A101" s="1278" t="str">
        <f>CONCATENATE(A98,".3")</f>
        <v>3.4.3</v>
      </c>
      <c r="B101" s="1279"/>
      <c r="C101" s="1346" t="s">
        <v>97</v>
      </c>
      <c r="D101" s="1346"/>
      <c r="E101" s="1346"/>
      <c r="F101" s="1281">
        <v>407819</v>
      </c>
      <c r="G101" s="1281"/>
      <c r="H101" s="1281"/>
      <c r="I101" s="1292" t="s">
        <v>100</v>
      </c>
      <c r="J101" s="1292"/>
      <c r="K101" s="1292"/>
      <c r="L101" s="1292"/>
      <c r="M101" s="1292"/>
      <c r="N101" s="1292"/>
      <c r="O101" s="1292"/>
      <c r="P101" s="1292"/>
      <c r="Q101" s="1292"/>
      <c r="R101" s="1292"/>
      <c r="S101" s="1292"/>
      <c r="T101" s="1292"/>
      <c r="U101" s="1292"/>
      <c r="V101" s="1292"/>
      <c r="W101" s="1292"/>
      <c r="X101" s="1292"/>
      <c r="Y101" s="1292"/>
      <c r="Z101" s="1292"/>
      <c r="AA101" s="1292"/>
      <c r="AB101" s="1292"/>
      <c r="AC101" s="1292"/>
      <c r="AD101" s="1283"/>
      <c r="AE101" s="1283"/>
      <c r="AF101" s="1280" t="s">
        <v>101</v>
      </c>
      <c r="AG101" s="1280"/>
      <c r="AH101" s="1284">
        <f>Memória_Orçamento!K2428</f>
        <v>2751.2</v>
      </c>
      <c r="AI101" s="1284"/>
      <c r="AJ101" s="1284"/>
      <c r="AK101" s="1285">
        <f>IF(F101="","",ROUND('Composições Principais'!L$522*(1+$R$11),2))</f>
        <v>15.96</v>
      </c>
      <c r="AL101" s="1285"/>
      <c r="AM101" s="1285"/>
      <c r="AN101" s="1285"/>
      <c r="AO101" s="1286">
        <f t="shared" si="12"/>
        <v>43909.15</v>
      </c>
      <c r="AP101" s="1286"/>
      <c r="AQ101" s="1286"/>
      <c r="AR101" s="1287"/>
      <c r="AS101" s="1258" t="s">
        <v>83</v>
      </c>
      <c r="AT101" s="1400"/>
      <c r="AU101" s="1309">
        <f t="shared" si="13"/>
        <v>12.88</v>
      </c>
      <c r="AV101" s="1288">
        <f t="shared" si="14"/>
        <v>35435.46</v>
      </c>
      <c r="AX101" s="1309"/>
      <c r="AY101" s="1288"/>
      <c r="AZ101" s="1288"/>
    </row>
    <row r="102" ht="17.4" customHeight="1" spans="1:52">
      <c r="A102" s="1278" t="str">
        <f>CONCATENATE(A98,".4")</f>
        <v>3.4.4</v>
      </c>
      <c r="B102" s="1279"/>
      <c r="C102" s="1346" t="s">
        <v>97</v>
      </c>
      <c r="D102" s="1346"/>
      <c r="E102" s="1346"/>
      <c r="F102" s="1281">
        <v>407820</v>
      </c>
      <c r="G102" s="1281"/>
      <c r="H102" s="1281"/>
      <c r="I102" s="1292" t="s">
        <v>129</v>
      </c>
      <c r="J102" s="1292"/>
      <c r="K102" s="1292"/>
      <c r="L102" s="1292"/>
      <c r="M102" s="1292"/>
      <c r="N102" s="1292"/>
      <c r="O102" s="1292"/>
      <c r="P102" s="1292"/>
      <c r="Q102" s="1292"/>
      <c r="R102" s="1292"/>
      <c r="S102" s="1292"/>
      <c r="T102" s="1292"/>
      <c r="U102" s="1292"/>
      <c r="V102" s="1292"/>
      <c r="W102" s="1292"/>
      <c r="X102" s="1292"/>
      <c r="Y102" s="1292"/>
      <c r="Z102" s="1292"/>
      <c r="AA102" s="1292"/>
      <c r="AB102" s="1292"/>
      <c r="AC102" s="1292"/>
      <c r="AD102" s="1283"/>
      <c r="AE102" s="1283"/>
      <c r="AF102" s="1280" t="s">
        <v>101</v>
      </c>
      <c r="AG102" s="1280"/>
      <c r="AH102" s="1284">
        <f>Memória_Orçamento!K2511</f>
        <v>260.8</v>
      </c>
      <c r="AI102" s="1284"/>
      <c r="AJ102" s="1284"/>
      <c r="AK102" s="1285">
        <f>IF(F102="","",ROUND('Composições Principais'!L$1457*(1+$R$11),2))</f>
        <v>18.41</v>
      </c>
      <c r="AL102" s="1285"/>
      <c r="AM102" s="1285"/>
      <c r="AN102" s="1285"/>
      <c r="AO102" s="1286">
        <f t="shared" si="12"/>
        <v>4801.33</v>
      </c>
      <c r="AP102" s="1286"/>
      <c r="AQ102" s="1286"/>
      <c r="AR102" s="1287"/>
      <c r="AS102" s="1258" t="s">
        <v>83</v>
      </c>
      <c r="AT102" s="1400"/>
      <c r="AU102" s="1309">
        <f t="shared" si="13"/>
        <v>14.86</v>
      </c>
      <c r="AV102" s="1288">
        <f t="shared" si="14"/>
        <v>3875.49</v>
      </c>
      <c r="AX102" s="1309"/>
      <c r="AY102" s="1288"/>
      <c r="AZ102" s="1288"/>
    </row>
    <row r="103" ht="17.4" customHeight="1" spans="1:52">
      <c r="A103" s="1278" t="str">
        <f>CONCATENATE(A98,".5")</f>
        <v>3.4.5</v>
      </c>
      <c r="B103" s="1279"/>
      <c r="C103" s="1346" t="s">
        <v>97</v>
      </c>
      <c r="D103" s="1346"/>
      <c r="E103" s="1346"/>
      <c r="F103" s="1281">
        <v>4507956</v>
      </c>
      <c r="G103" s="1281"/>
      <c r="H103" s="1281"/>
      <c r="I103" s="1292" t="s">
        <v>130</v>
      </c>
      <c r="J103" s="1292"/>
      <c r="K103" s="1292"/>
      <c r="L103" s="1292"/>
      <c r="M103" s="1292"/>
      <c r="N103" s="1292"/>
      <c r="O103" s="1292"/>
      <c r="P103" s="1292"/>
      <c r="Q103" s="1292"/>
      <c r="R103" s="1292"/>
      <c r="S103" s="1292"/>
      <c r="T103" s="1292"/>
      <c r="U103" s="1292"/>
      <c r="V103" s="1292"/>
      <c r="W103" s="1292"/>
      <c r="X103" s="1292"/>
      <c r="Y103" s="1292"/>
      <c r="Z103" s="1292"/>
      <c r="AA103" s="1292"/>
      <c r="AB103" s="1292"/>
      <c r="AC103" s="1292"/>
      <c r="AD103" s="1283"/>
      <c r="AE103" s="1283"/>
      <c r="AF103" s="1280" t="s">
        <v>101</v>
      </c>
      <c r="AG103" s="1280"/>
      <c r="AH103" s="1284">
        <f>Memória_Orçamento!K2537</f>
        <v>50.48</v>
      </c>
      <c r="AI103" s="1284"/>
      <c r="AJ103" s="1284"/>
      <c r="AK103" s="1285">
        <f>IF(F103="","",ROUND('Composições Principais'!L$1542*(1+$R$11),2))</f>
        <v>11.76</v>
      </c>
      <c r="AL103" s="1285"/>
      <c r="AM103" s="1285"/>
      <c r="AN103" s="1285"/>
      <c r="AO103" s="1286">
        <f t="shared" si="12"/>
        <v>593.64</v>
      </c>
      <c r="AP103" s="1286"/>
      <c r="AQ103" s="1286"/>
      <c r="AR103" s="1287"/>
      <c r="AS103" s="1258" t="s">
        <v>83</v>
      </c>
      <c r="AT103" s="1400"/>
      <c r="AU103" s="1309">
        <f t="shared" si="13"/>
        <v>9.49</v>
      </c>
      <c r="AV103" s="1288">
        <f t="shared" si="14"/>
        <v>479.06</v>
      </c>
      <c r="AX103" s="1309"/>
      <c r="AY103" s="1288"/>
      <c r="AZ103" s="1288"/>
    </row>
    <row r="104" s="334" customFormat="1" ht="17.4" customHeight="1" spans="1:52">
      <c r="A104" s="1372" t="str">
        <f>CONCATENATE(A98,".6")</f>
        <v>3.4.6</v>
      </c>
      <c r="B104" s="1279"/>
      <c r="C104" s="1346" t="s">
        <v>97</v>
      </c>
      <c r="D104" s="1346"/>
      <c r="E104" s="1346"/>
      <c r="F104" s="1281">
        <v>3806420</v>
      </c>
      <c r="G104" s="1281"/>
      <c r="H104" s="1281"/>
      <c r="I104" s="1292" t="s">
        <v>131</v>
      </c>
      <c r="J104" s="1292"/>
      <c r="K104" s="1292"/>
      <c r="L104" s="1292"/>
      <c r="M104" s="1292"/>
      <c r="N104" s="1292"/>
      <c r="O104" s="1292"/>
      <c r="P104" s="1292"/>
      <c r="Q104" s="1292"/>
      <c r="R104" s="1292"/>
      <c r="S104" s="1292"/>
      <c r="T104" s="1292"/>
      <c r="U104" s="1292"/>
      <c r="V104" s="1292"/>
      <c r="W104" s="1292"/>
      <c r="X104" s="1292"/>
      <c r="Y104" s="1292"/>
      <c r="Z104" s="1292"/>
      <c r="AA104" s="1292"/>
      <c r="AB104" s="1292"/>
      <c r="AC104" s="1292"/>
      <c r="AD104" s="1283"/>
      <c r="AE104" s="1283"/>
      <c r="AF104" s="1280" t="s">
        <v>82</v>
      </c>
      <c r="AG104" s="1280"/>
      <c r="AH104" s="1376">
        <f>Memória_Orçamento!K2581</f>
        <v>4</v>
      </c>
      <c r="AI104" s="1376"/>
      <c r="AJ104" s="1376"/>
      <c r="AK104" s="1310">
        <f>IF(F96="","",ROUND('Composições Principais'!L$1627*(1+$R$11),2))</f>
        <v>5233.09</v>
      </c>
      <c r="AL104" s="1310"/>
      <c r="AM104" s="1310"/>
      <c r="AN104" s="1310"/>
      <c r="AO104" s="1286">
        <f t="shared" si="12"/>
        <v>20932.36</v>
      </c>
      <c r="AP104" s="1286"/>
      <c r="AQ104" s="1286"/>
      <c r="AR104" s="1287"/>
      <c r="AS104" s="1258" t="s">
        <v>83</v>
      </c>
      <c r="AT104" s="1400"/>
      <c r="AU104" s="1309">
        <f t="shared" si="13"/>
        <v>4223.3</v>
      </c>
      <c r="AV104" s="1288">
        <f t="shared" si="14"/>
        <v>16893.2</v>
      </c>
      <c r="AX104" s="1309"/>
      <c r="AY104" s="1288"/>
      <c r="AZ104" s="1288"/>
    </row>
    <row r="105" ht="17.4" customHeight="1" spans="1:52">
      <c r="A105" s="1372" t="str">
        <f>CONCATENATE(A98,".7")</f>
        <v>3.4.7</v>
      </c>
      <c r="B105" s="1279"/>
      <c r="C105" s="1346" t="s">
        <v>97</v>
      </c>
      <c r="D105" s="1346"/>
      <c r="E105" s="1346"/>
      <c r="F105" s="1281">
        <v>1100657</v>
      </c>
      <c r="G105" s="1281"/>
      <c r="H105" s="1281"/>
      <c r="I105" s="1292" t="s">
        <v>114</v>
      </c>
      <c r="J105" s="1292"/>
      <c r="K105" s="1292"/>
      <c r="L105" s="1292"/>
      <c r="M105" s="1292"/>
      <c r="N105" s="1292"/>
      <c r="O105" s="1292"/>
      <c r="P105" s="1292"/>
      <c r="Q105" s="1292"/>
      <c r="R105" s="1292"/>
      <c r="S105" s="1292"/>
      <c r="T105" s="1292"/>
      <c r="U105" s="1292"/>
      <c r="V105" s="1292"/>
      <c r="W105" s="1292"/>
      <c r="X105" s="1292"/>
      <c r="Y105" s="1292"/>
      <c r="Z105" s="1292"/>
      <c r="AA105" s="1292"/>
      <c r="AB105" s="1292"/>
      <c r="AC105" s="1292"/>
      <c r="AD105" s="1283"/>
      <c r="AE105" s="1283"/>
      <c r="AF105" s="1280" t="s">
        <v>99</v>
      </c>
      <c r="AG105" s="1280"/>
      <c r="AH105" s="1284">
        <f>Memória_Orçamento!K2606</f>
        <v>21.65</v>
      </c>
      <c r="AI105" s="1284"/>
      <c r="AJ105" s="1284"/>
      <c r="AK105" s="1285">
        <f>IF(F105="","",ROUND('Composições Principais'!L$777*(1+$R$11),2))</f>
        <v>4.61</v>
      </c>
      <c r="AL105" s="1285"/>
      <c r="AM105" s="1285"/>
      <c r="AN105" s="1285"/>
      <c r="AO105" s="1286">
        <f t="shared" si="12"/>
        <v>99.81</v>
      </c>
      <c r="AP105" s="1286"/>
      <c r="AQ105" s="1286"/>
      <c r="AR105" s="1287"/>
      <c r="AS105" s="1258" t="s">
        <v>83</v>
      </c>
      <c r="AT105" s="1400"/>
      <c r="AU105" s="1309">
        <f t="shared" si="13"/>
        <v>3.72</v>
      </c>
      <c r="AV105" s="1288">
        <f t="shared" si="14"/>
        <v>80.54</v>
      </c>
      <c r="AX105" s="1309"/>
      <c r="AY105" s="1288"/>
      <c r="AZ105" s="1288"/>
    </row>
    <row r="106" s="1255" customFormat="1" ht="17.4" customHeight="1" spans="1:52">
      <c r="A106" s="1389" t="str">
        <f>CONCATENATE(A82,".5")</f>
        <v>3.5</v>
      </c>
      <c r="B106" s="1390"/>
      <c r="C106" s="1391"/>
      <c r="D106" s="1391"/>
      <c r="E106" s="1391"/>
      <c r="F106" s="1391"/>
      <c r="G106" s="1391"/>
      <c r="H106" s="1391"/>
      <c r="I106" s="1392" t="s">
        <v>132</v>
      </c>
      <c r="J106" s="1392"/>
      <c r="K106" s="1392"/>
      <c r="L106" s="1392"/>
      <c r="M106" s="1392"/>
      <c r="N106" s="1392"/>
      <c r="O106" s="1392"/>
      <c r="P106" s="1392"/>
      <c r="Q106" s="1392"/>
      <c r="R106" s="1392"/>
      <c r="S106" s="1392"/>
      <c r="T106" s="1392"/>
      <c r="U106" s="1392"/>
      <c r="V106" s="1392"/>
      <c r="W106" s="1392"/>
      <c r="X106" s="1392"/>
      <c r="Y106" s="1392"/>
      <c r="Z106" s="1392"/>
      <c r="AA106" s="1392"/>
      <c r="AB106" s="1392"/>
      <c r="AC106" s="1392"/>
      <c r="AD106" s="1391"/>
      <c r="AE106" s="1391"/>
      <c r="AF106" s="1391"/>
      <c r="AG106" s="1391"/>
      <c r="AH106" s="1393"/>
      <c r="AI106" s="1393"/>
      <c r="AJ106" s="1393"/>
      <c r="AK106" s="1394"/>
      <c r="AL106" s="1394"/>
      <c r="AM106" s="1394"/>
      <c r="AN106" s="1394"/>
      <c r="AO106" s="1394">
        <f>SUM(AO107:AR111)</f>
        <v>49306.68</v>
      </c>
      <c r="AP106" s="1394"/>
      <c r="AQ106" s="1394"/>
      <c r="AR106" s="1395"/>
      <c r="AS106" s="1370"/>
    </row>
    <row r="107" ht="17.4" customHeight="1" spans="1:52">
      <c r="A107" s="1299" t="str">
        <f>CONCATENATE(A106,".1")</f>
        <v>3.5.1</v>
      </c>
      <c r="B107" s="1279"/>
      <c r="C107" s="1343" t="s">
        <v>97</v>
      </c>
      <c r="D107" s="1343"/>
      <c r="E107" s="1343"/>
      <c r="F107" s="1281">
        <v>1107900</v>
      </c>
      <c r="G107" s="1281"/>
      <c r="H107" s="1281"/>
      <c r="I107" s="1292" t="s">
        <v>108</v>
      </c>
      <c r="J107" s="1292"/>
      <c r="K107" s="1292"/>
      <c r="L107" s="1292"/>
      <c r="M107" s="1292"/>
      <c r="N107" s="1292"/>
      <c r="O107" s="1292"/>
      <c r="P107" s="1292"/>
      <c r="Q107" s="1292"/>
      <c r="R107" s="1292"/>
      <c r="S107" s="1292"/>
      <c r="T107" s="1292"/>
      <c r="U107" s="1292"/>
      <c r="V107" s="1292"/>
      <c r="W107" s="1292"/>
      <c r="X107" s="1292"/>
      <c r="Y107" s="1292"/>
      <c r="Z107" s="1292"/>
      <c r="AA107" s="1292"/>
      <c r="AB107" s="1292"/>
      <c r="AC107" s="1292"/>
      <c r="AD107" s="1283"/>
      <c r="AE107" s="1283"/>
      <c r="AF107" s="1280" t="s">
        <v>99</v>
      </c>
      <c r="AG107" s="1280"/>
      <c r="AH107" s="1284">
        <f>Memória_Orçamento!K2638</f>
        <v>13.62</v>
      </c>
      <c r="AI107" s="1284"/>
      <c r="AJ107" s="1284"/>
      <c r="AK107" s="1285">
        <f>IF(F107="","",ROUND('Composições Principais'!L$692*(1+$R$11),2))</f>
        <v>1310.99</v>
      </c>
      <c r="AL107" s="1285"/>
      <c r="AM107" s="1285"/>
      <c r="AN107" s="1285"/>
      <c r="AO107" s="1286">
        <f>IF(F107="","",ROUND((AH107*AK107),2))</f>
        <v>17855.68</v>
      </c>
      <c r="AP107" s="1286"/>
      <c r="AQ107" s="1286"/>
      <c r="AR107" s="1287"/>
      <c r="AS107" s="1258" t="s">
        <v>83</v>
      </c>
      <c r="AT107" s="1400"/>
      <c r="AU107" s="1309">
        <f>ROUND((AK107/(1+$R$11)),2)</f>
        <v>1058.02</v>
      </c>
      <c r="AV107" s="1288">
        <f>ROUND(AH107*AU107,2)</f>
        <v>14410.23</v>
      </c>
      <c r="AX107" s="1309"/>
      <c r="AY107" s="1288"/>
      <c r="AZ107" s="1288"/>
    </row>
    <row r="108" ht="17.4" customHeight="1" spans="1:52">
      <c r="A108" s="1278" t="str">
        <f>CONCATENATE(A106,".2")</f>
        <v>3.5.2</v>
      </c>
      <c r="B108" s="1279"/>
      <c r="C108" s="1346" t="s">
        <v>97</v>
      </c>
      <c r="D108" s="1346"/>
      <c r="E108" s="1346"/>
      <c r="F108" s="1281">
        <v>1106057</v>
      </c>
      <c r="G108" s="1281"/>
      <c r="H108" s="1281"/>
      <c r="I108" s="1292" t="s">
        <v>109</v>
      </c>
      <c r="J108" s="1292"/>
      <c r="K108" s="1292"/>
      <c r="L108" s="1292"/>
      <c r="M108" s="1292"/>
      <c r="N108" s="1292"/>
      <c r="O108" s="1292"/>
      <c r="P108" s="1292"/>
      <c r="Q108" s="1292"/>
      <c r="R108" s="1292"/>
      <c r="S108" s="1292"/>
      <c r="T108" s="1292"/>
      <c r="U108" s="1292"/>
      <c r="V108" s="1292"/>
      <c r="W108" s="1292"/>
      <c r="X108" s="1292"/>
      <c r="Y108" s="1292"/>
      <c r="Z108" s="1292"/>
      <c r="AA108" s="1292"/>
      <c r="AB108" s="1292"/>
      <c r="AC108" s="1292"/>
      <c r="AD108" s="1283"/>
      <c r="AE108" s="1283"/>
      <c r="AF108" s="1280" t="s">
        <v>99</v>
      </c>
      <c r="AG108" s="1280"/>
      <c r="AH108" s="1284">
        <f>Memória_Orçamento!K2670</f>
        <v>2.4</v>
      </c>
      <c r="AI108" s="1284"/>
      <c r="AJ108" s="1284"/>
      <c r="AK108" s="1285">
        <f>IF(F108="","",ROUND('Composições Principais'!L$1202*(1+$R$11),2))</f>
        <v>1213.64</v>
      </c>
      <c r="AL108" s="1285"/>
      <c r="AM108" s="1285"/>
      <c r="AN108" s="1285"/>
      <c r="AO108" s="1286">
        <f>IF(F108="","",ROUND((AH108*AK108),2))</f>
        <v>2912.74</v>
      </c>
      <c r="AP108" s="1286"/>
      <c r="AQ108" s="1286"/>
      <c r="AR108" s="1287"/>
      <c r="AS108" s="1258" t="s">
        <v>83</v>
      </c>
      <c r="AT108" s="1400"/>
      <c r="AU108" s="1309">
        <f>ROUND((AK108/(1+$R$11)),2)</f>
        <v>979.45</v>
      </c>
      <c r="AV108" s="1288">
        <f>ROUND(AH108*AU108,2)</f>
        <v>2350.68</v>
      </c>
      <c r="AX108" s="1309"/>
      <c r="AY108" s="1288"/>
      <c r="AZ108" s="1288"/>
    </row>
    <row r="109" ht="17.4" customHeight="1" spans="1:52">
      <c r="A109" s="1278" t="str">
        <f>CONCATENATE(A106,".3")</f>
        <v>3.5.3</v>
      </c>
      <c r="B109" s="1279"/>
      <c r="C109" s="1346" t="s">
        <v>97</v>
      </c>
      <c r="D109" s="1346"/>
      <c r="E109" s="1346"/>
      <c r="F109" s="1281">
        <v>3108000</v>
      </c>
      <c r="G109" s="1281"/>
      <c r="H109" s="1281"/>
      <c r="I109" s="1292" t="s">
        <v>110</v>
      </c>
      <c r="J109" s="1292"/>
      <c r="K109" s="1292"/>
      <c r="L109" s="1292"/>
      <c r="M109" s="1292"/>
      <c r="N109" s="1292"/>
      <c r="O109" s="1292"/>
      <c r="P109" s="1292"/>
      <c r="Q109" s="1292"/>
      <c r="R109" s="1292"/>
      <c r="S109" s="1292"/>
      <c r="T109" s="1292"/>
      <c r="U109" s="1292"/>
      <c r="V109" s="1292"/>
      <c r="W109" s="1292"/>
      <c r="X109" s="1292"/>
      <c r="Y109" s="1292"/>
      <c r="Z109" s="1292"/>
      <c r="AA109" s="1292"/>
      <c r="AB109" s="1292"/>
      <c r="AC109" s="1292"/>
      <c r="AD109" s="1283"/>
      <c r="AE109" s="1283"/>
      <c r="AF109" s="1280" t="s">
        <v>7</v>
      </c>
      <c r="AG109" s="1280"/>
      <c r="AH109" s="1284">
        <f>Memória_Orçamento!K2702</f>
        <v>14.14</v>
      </c>
      <c r="AI109" s="1284"/>
      <c r="AJ109" s="1284"/>
      <c r="AK109" s="1285">
        <f>IF(F109="","",ROUND('Composições Principais'!L$862*(1+$R$11),2))</f>
        <v>108.67</v>
      </c>
      <c r="AL109" s="1285"/>
      <c r="AM109" s="1285"/>
      <c r="AN109" s="1285"/>
      <c r="AO109" s="1286">
        <f>IF(F109="","",ROUND((AH109*AK109),2))</f>
        <v>1536.59</v>
      </c>
      <c r="AP109" s="1286"/>
      <c r="AQ109" s="1286"/>
      <c r="AR109" s="1287"/>
      <c r="AS109" s="1258" t="s">
        <v>83</v>
      </c>
      <c r="AT109" s="1400"/>
      <c r="AU109" s="1309">
        <f>ROUND((AK109/(1+$R$11)),2)</f>
        <v>87.7</v>
      </c>
      <c r="AV109" s="1288">
        <f>ROUND(AH109*AU109,2)</f>
        <v>1240.08</v>
      </c>
      <c r="AX109" s="1309"/>
      <c r="AY109" s="1288"/>
      <c r="AZ109" s="1288"/>
    </row>
    <row r="110" ht="17.4" customHeight="1" spans="1:52">
      <c r="A110" s="1278" t="str">
        <f>CONCATENATE(A106,".4")</f>
        <v>3.5.4</v>
      </c>
      <c r="B110" s="1371"/>
      <c r="C110" s="1346" t="s">
        <v>97</v>
      </c>
      <c r="D110" s="1346"/>
      <c r="E110" s="1346"/>
      <c r="F110" s="1281">
        <v>407819</v>
      </c>
      <c r="G110" s="1281"/>
      <c r="H110" s="1281"/>
      <c r="I110" s="1292" t="s">
        <v>100</v>
      </c>
      <c r="J110" s="1292"/>
      <c r="K110" s="1292"/>
      <c r="L110" s="1292"/>
      <c r="M110" s="1292"/>
      <c r="N110" s="1292"/>
      <c r="O110" s="1292"/>
      <c r="P110" s="1292"/>
      <c r="Q110" s="1292"/>
      <c r="R110" s="1292"/>
      <c r="S110" s="1292"/>
      <c r="T110" s="1292"/>
      <c r="U110" s="1292"/>
      <c r="V110" s="1292"/>
      <c r="W110" s="1292"/>
      <c r="X110" s="1292"/>
      <c r="Y110" s="1292"/>
      <c r="Z110" s="1292"/>
      <c r="AA110" s="1292"/>
      <c r="AB110" s="1292"/>
      <c r="AC110" s="1292"/>
      <c r="AD110" s="1283"/>
      <c r="AE110" s="1283"/>
      <c r="AF110" s="1280" t="s">
        <v>101</v>
      </c>
      <c r="AG110" s="1280"/>
      <c r="AH110" s="1284">
        <f>Memória_Orçamento!K2783</f>
        <v>1687.9</v>
      </c>
      <c r="AI110" s="1284"/>
      <c r="AJ110" s="1284"/>
      <c r="AK110" s="1285">
        <f>IF(F110="","",ROUND('Composições Principais'!L$522*(1+$R$11),2))</f>
        <v>15.96</v>
      </c>
      <c r="AL110" s="1285"/>
      <c r="AM110" s="1285"/>
      <c r="AN110" s="1285"/>
      <c r="AO110" s="1286">
        <f>IF(F110="","",ROUND((AH110*AK110),2))</f>
        <v>26938.88</v>
      </c>
      <c r="AP110" s="1286"/>
      <c r="AQ110" s="1286"/>
      <c r="AR110" s="1287"/>
      <c r="AS110" s="1258" t="s">
        <v>83</v>
      </c>
      <c r="AT110" s="1400"/>
      <c r="AU110" s="1309">
        <f>ROUND((AK110/(1+$R$11)),2)</f>
        <v>12.88</v>
      </c>
      <c r="AV110" s="1288">
        <f>ROUND(AH110*AU110,2)</f>
        <v>21740.15</v>
      </c>
      <c r="AX110" s="1309"/>
      <c r="AY110" s="1288"/>
      <c r="AZ110" s="1288"/>
    </row>
    <row r="111" s="334" customFormat="1" ht="17.4" customHeight="1" spans="1:52">
      <c r="A111" s="1278" t="str">
        <f>CONCATENATE(A106,".5")</f>
        <v>3.5.5</v>
      </c>
      <c r="B111" s="1279"/>
      <c r="C111" s="1346" t="s">
        <v>97</v>
      </c>
      <c r="D111" s="1346"/>
      <c r="E111" s="1346"/>
      <c r="F111" s="1281">
        <v>1100657</v>
      </c>
      <c r="G111" s="1281"/>
      <c r="H111" s="1281"/>
      <c r="I111" s="1292" t="s">
        <v>114</v>
      </c>
      <c r="J111" s="1292"/>
      <c r="K111" s="1292"/>
      <c r="L111" s="1292"/>
      <c r="M111" s="1292"/>
      <c r="N111" s="1292"/>
      <c r="O111" s="1292"/>
      <c r="P111" s="1292"/>
      <c r="Q111" s="1292"/>
      <c r="R111" s="1292"/>
      <c r="S111" s="1292"/>
      <c r="T111" s="1292"/>
      <c r="U111" s="1292"/>
      <c r="V111" s="1292"/>
      <c r="W111" s="1292"/>
      <c r="X111" s="1292"/>
      <c r="Y111" s="1292"/>
      <c r="Z111" s="1292"/>
      <c r="AA111" s="1292"/>
      <c r="AB111" s="1292"/>
      <c r="AC111" s="1292"/>
      <c r="AD111" s="1283"/>
      <c r="AE111" s="1283"/>
      <c r="AF111" s="1280" t="s">
        <v>99</v>
      </c>
      <c r="AG111" s="1280"/>
      <c r="AH111" s="1284">
        <f>Memória_Orçamento!K2815</f>
        <v>13.62</v>
      </c>
      <c r="AI111" s="1284"/>
      <c r="AJ111" s="1284"/>
      <c r="AK111" s="1285">
        <f>IF(F111="","",ROUND('Composições Principais'!L$777*(1+$R$11),2))</f>
        <v>4.61</v>
      </c>
      <c r="AL111" s="1285"/>
      <c r="AM111" s="1285"/>
      <c r="AN111" s="1285"/>
      <c r="AO111" s="1286">
        <f>IF(F111="","",ROUND((AH111*AK111),2))</f>
        <v>62.79</v>
      </c>
      <c r="AP111" s="1286"/>
      <c r="AQ111" s="1286"/>
      <c r="AR111" s="1287"/>
      <c r="AS111" s="1258" t="s">
        <v>83</v>
      </c>
      <c r="AT111" s="1400"/>
      <c r="AU111" s="1309">
        <f>ROUND((AK111/(1+$R$11)),2)</f>
        <v>3.72</v>
      </c>
      <c r="AV111" s="1288">
        <f>ROUND(AH111*AU111,2)</f>
        <v>50.67</v>
      </c>
      <c r="AX111" s="1309"/>
      <c r="AY111" s="1288"/>
      <c r="AZ111" s="1288"/>
    </row>
    <row r="112" s="1255" customFormat="1" ht="17.4" customHeight="1" spans="1:52">
      <c r="A112" s="1389" t="str">
        <f>CONCATENATE(A82,".6")</f>
        <v>3.6</v>
      </c>
      <c r="B112" s="1390"/>
      <c r="C112" s="1391"/>
      <c r="D112" s="1391"/>
      <c r="E112" s="1391"/>
      <c r="F112" s="1391"/>
      <c r="G112" s="1391"/>
      <c r="H112" s="1391"/>
      <c r="I112" s="1392" t="s">
        <v>133</v>
      </c>
      <c r="J112" s="1392"/>
      <c r="K112" s="1392"/>
      <c r="L112" s="1392"/>
      <c r="M112" s="1392"/>
      <c r="N112" s="1392"/>
      <c r="O112" s="1392"/>
      <c r="P112" s="1392"/>
      <c r="Q112" s="1392"/>
      <c r="R112" s="1392"/>
      <c r="S112" s="1392"/>
      <c r="T112" s="1392"/>
      <c r="U112" s="1392"/>
      <c r="V112" s="1392"/>
      <c r="W112" s="1392"/>
      <c r="X112" s="1392"/>
      <c r="Y112" s="1392"/>
      <c r="Z112" s="1392"/>
      <c r="AA112" s="1392"/>
      <c r="AB112" s="1392"/>
      <c r="AC112" s="1392"/>
      <c r="AD112" s="1391"/>
      <c r="AE112" s="1391"/>
      <c r="AF112" s="1391"/>
      <c r="AG112" s="1391"/>
      <c r="AH112" s="1393"/>
      <c r="AI112" s="1393"/>
      <c r="AJ112" s="1393"/>
      <c r="AK112" s="1394"/>
      <c r="AL112" s="1394"/>
      <c r="AM112" s="1394"/>
      <c r="AN112" s="1394"/>
      <c r="AO112" s="1394">
        <f>SUM(AO113:AR114)</f>
        <v>4823.6</v>
      </c>
      <c r="AP112" s="1394"/>
      <c r="AQ112" s="1394"/>
      <c r="AR112" s="1395"/>
      <c r="AS112" s="1370"/>
    </row>
    <row r="113" ht="17.4" customHeight="1" spans="1:52">
      <c r="A113" s="1278" t="str">
        <f>CONCATENATE(A112,".1")</f>
        <v>3.6.1</v>
      </c>
      <c r="B113" s="1279"/>
      <c r="C113" s="1343" t="s">
        <v>97</v>
      </c>
      <c r="D113" s="1343"/>
      <c r="E113" s="1343"/>
      <c r="F113" s="1281">
        <v>1106057</v>
      </c>
      <c r="G113" s="1281"/>
      <c r="H113" s="1281"/>
      <c r="I113" s="1292" t="s">
        <v>109</v>
      </c>
      <c r="J113" s="1292"/>
      <c r="K113" s="1292"/>
      <c r="L113" s="1292"/>
      <c r="M113" s="1292"/>
      <c r="N113" s="1292"/>
      <c r="O113" s="1292"/>
      <c r="P113" s="1292"/>
      <c r="Q113" s="1292"/>
      <c r="R113" s="1292"/>
      <c r="S113" s="1292"/>
      <c r="T113" s="1292"/>
      <c r="U113" s="1292"/>
      <c r="V113" s="1292"/>
      <c r="W113" s="1292"/>
      <c r="X113" s="1292"/>
      <c r="Y113" s="1292"/>
      <c r="Z113" s="1292"/>
      <c r="AA113" s="1292"/>
      <c r="AB113" s="1292"/>
      <c r="AC113" s="1292"/>
      <c r="AD113" s="1283"/>
      <c r="AE113" s="1283"/>
      <c r="AF113" s="1280" t="s">
        <v>99</v>
      </c>
      <c r="AG113" s="1280"/>
      <c r="AH113" s="1284">
        <f>Memória_Orçamento!Y2830</f>
        <v>2.9</v>
      </c>
      <c r="AI113" s="1284"/>
      <c r="AJ113" s="1284"/>
      <c r="AK113" s="1285">
        <f>IF(F113="","",ROUND('Composições Principais'!L$1202*(1+$R$11),2))</f>
        <v>1213.64</v>
      </c>
      <c r="AL113" s="1285"/>
      <c r="AM113" s="1285"/>
      <c r="AN113" s="1285"/>
      <c r="AO113" s="1286">
        <f>IF(F113="","",ROUND((AH113*AK113),2))</f>
        <v>3519.56</v>
      </c>
      <c r="AP113" s="1286"/>
      <c r="AQ113" s="1286"/>
      <c r="AR113" s="1287"/>
      <c r="AS113" s="1258" t="s">
        <v>83</v>
      </c>
      <c r="AU113" s="1309">
        <f>ROUND((AK113/(1+$R$11)),2)</f>
        <v>979.45</v>
      </c>
      <c r="AV113" s="1288">
        <f>ROUND(AH113*AU113,2)</f>
        <v>2840.41</v>
      </c>
      <c r="AX113" s="1309"/>
      <c r="AY113" s="1288"/>
      <c r="AZ113" s="1288"/>
    </row>
    <row r="114" s="334" customFormat="1" ht="17.4" customHeight="1" spans="1:52">
      <c r="A114" s="1278" t="str">
        <f>CONCATENATE(A112,".2")</f>
        <v>3.6.2</v>
      </c>
      <c r="B114" s="1279"/>
      <c r="C114" s="1346" t="s">
        <v>97</v>
      </c>
      <c r="D114" s="1346"/>
      <c r="E114" s="1346"/>
      <c r="F114" s="1281">
        <v>3108000</v>
      </c>
      <c r="G114" s="1281"/>
      <c r="H114" s="1281"/>
      <c r="I114" s="1292" t="s">
        <v>110</v>
      </c>
      <c r="J114" s="1292"/>
      <c r="K114" s="1292"/>
      <c r="L114" s="1292"/>
      <c r="M114" s="1292"/>
      <c r="N114" s="1292"/>
      <c r="O114" s="1292"/>
      <c r="P114" s="1292"/>
      <c r="Q114" s="1292"/>
      <c r="R114" s="1292"/>
      <c r="S114" s="1292"/>
      <c r="T114" s="1292"/>
      <c r="U114" s="1292"/>
      <c r="V114" s="1292"/>
      <c r="W114" s="1292"/>
      <c r="X114" s="1292"/>
      <c r="Y114" s="1292"/>
      <c r="Z114" s="1292"/>
      <c r="AA114" s="1292"/>
      <c r="AB114" s="1292"/>
      <c r="AC114" s="1292"/>
      <c r="AD114" s="1283"/>
      <c r="AE114" s="1283"/>
      <c r="AF114" s="1280" t="s">
        <v>7</v>
      </c>
      <c r="AG114" s="1280"/>
      <c r="AH114" s="1284">
        <f>Memória_Orçamento!K2857</f>
        <v>12</v>
      </c>
      <c r="AI114" s="1284"/>
      <c r="AJ114" s="1284"/>
      <c r="AK114" s="1285">
        <f>IF(F114="","",ROUND('Composições Principais'!L$862*(1+$R$11),2))</f>
        <v>108.67</v>
      </c>
      <c r="AL114" s="1285"/>
      <c r="AM114" s="1285"/>
      <c r="AN114" s="1285"/>
      <c r="AO114" s="1286">
        <f>IF(F114="","",ROUND((AH114*AK114),2))</f>
        <v>1304.04</v>
      </c>
      <c r="AP114" s="1286"/>
      <c r="AQ114" s="1286"/>
      <c r="AR114" s="1287"/>
      <c r="AS114" s="1258" t="s">
        <v>83</v>
      </c>
      <c r="AU114" s="1309">
        <f>ROUND((AK114/(1+$R$11)),2)</f>
        <v>87.7</v>
      </c>
      <c r="AV114" s="1288">
        <f>ROUND(AH114*AU114,2)</f>
        <v>1052.4</v>
      </c>
      <c r="AX114" s="1309"/>
      <c r="AY114" s="1288"/>
      <c r="AZ114" s="1288"/>
    </row>
    <row r="115" s="1256" customFormat="1" ht="17.4" customHeight="1" spans="1:52">
      <c r="A115" s="1401">
        <v>4</v>
      </c>
      <c r="B115" s="1402"/>
      <c r="C115" s="1403"/>
      <c r="D115" s="1403"/>
      <c r="E115" s="1403"/>
      <c r="F115" s="1403"/>
      <c r="G115" s="1403"/>
      <c r="H115" s="1403"/>
      <c r="I115" s="1404" t="s">
        <v>134</v>
      </c>
      <c r="J115" s="1404"/>
      <c r="K115" s="1404"/>
      <c r="L115" s="1404"/>
      <c r="M115" s="1404"/>
      <c r="N115" s="1404"/>
      <c r="O115" s="1404"/>
      <c r="P115" s="1404"/>
      <c r="Q115" s="1404"/>
      <c r="R115" s="1404"/>
      <c r="S115" s="1404"/>
      <c r="T115" s="1404"/>
      <c r="U115" s="1404"/>
      <c r="V115" s="1404"/>
      <c r="W115" s="1404"/>
      <c r="X115" s="1404"/>
      <c r="Y115" s="1404"/>
      <c r="Z115" s="1404"/>
      <c r="AA115" s="1404"/>
      <c r="AB115" s="1404"/>
      <c r="AC115" s="1404"/>
      <c r="AD115" s="1402"/>
      <c r="AE115" s="1402"/>
      <c r="AF115" s="1402"/>
      <c r="AG115" s="1402"/>
      <c r="AH115" s="1405"/>
      <c r="AI115" s="1405"/>
      <c r="AJ115" s="1405"/>
      <c r="AK115" s="1406"/>
      <c r="AL115" s="1406"/>
      <c r="AM115" s="1406"/>
      <c r="AN115" s="1406"/>
      <c r="AO115" s="1275">
        <f>SUM(AO116,AO120,AO122)</f>
        <v>11857.28</v>
      </c>
      <c r="AP115" s="1275"/>
      <c r="AQ115" s="1275"/>
      <c r="AR115" s="1399"/>
      <c r="AS115" s="1407"/>
    </row>
    <row r="116" s="1255" customFormat="1" ht="17.4" customHeight="1" spans="1:52">
      <c r="A116" s="1363" t="str">
        <f>CONCATENATE(A115,".2")</f>
        <v>4.2</v>
      </c>
      <c r="B116" s="1364"/>
      <c r="C116" s="1365"/>
      <c r="D116" s="1365"/>
      <c r="E116" s="1365"/>
      <c r="F116" s="1365"/>
      <c r="G116" s="1365"/>
      <c r="H116" s="1365"/>
      <c r="I116" s="1366" t="s">
        <v>135</v>
      </c>
      <c r="J116" s="1366"/>
      <c r="K116" s="1366"/>
      <c r="L116" s="1366"/>
      <c r="M116" s="1366"/>
      <c r="N116" s="1366"/>
      <c r="O116" s="1366"/>
      <c r="P116" s="1366"/>
      <c r="Q116" s="1366"/>
      <c r="R116" s="1366"/>
      <c r="S116" s="1366"/>
      <c r="T116" s="1366"/>
      <c r="U116" s="1366"/>
      <c r="V116" s="1366"/>
      <c r="W116" s="1366"/>
      <c r="X116" s="1366"/>
      <c r="Y116" s="1366"/>
      <c r="Z116" s="1366"/>
      <c r="AA116" s="1366"/>
      <c r="AB116" s="1366"/>
      <c r="AC116" s="1366"/>
      <c r="AD116" s="1364"/>
      <c r="AE116" s="1364"/>
      <c r="AF116" s="1364"/>
      <c r="AG116" s="1364"/>
      <c r="AH116" s="1408"/>
      <c r="AI116" s="1408"/>
      <c r="AJ116" s="1408"/>
      <c r="AK116" s="1409"/>
      <c r="AL116" s="1409"/>
      <c r="AM116" s="1409"/>
      <c r="AN116" s="1409"/>
      <c r="AO116" s="1368">
        <f>SUM(AO117:AR119)</f>
        <v>9219.46</v>
      </c>
      <c r="AP116" s="1368"/>
      <c r="AQ116" s="1368"/>
      <c r="AR116" s="1369"/>
      <c r="AS116" s="1370"/>
    </row>
    <row r="117" ht="17.4" customHeight="1" spans="1:52">
      <c r="A117" s="1299" t="str">
        <f>CONCATENATE(A116,".1")</f>
        <v>4.2.1</v>
      </c>
      <c r="B117" s="1300"/>
      <c r="C117" s="1343" t="s">
        <v>97</v>
      </c>
      <c r="D117" s="1343"/>
      <c r="E117" s="1343"/>
      <c r="F117" s="1302">
        <v>5213571</v>
      </c>
      <c r="G117" s="1302"/>
      <c r="H117" s="1302"/>
      <c r="I117" s="1344" t="s">
        <v>136</v>
      </c>
      <c r="J117" s="1344"/>
      <c r="K117" s="1344"/>
      <c r="L117" s="1344"/>
      <c r="M117" s="1344"/>
      <c r="N117" s="1344"/>
      <c r="O117" s="1344"/>
      <c r="P117" s="1344"/>
      <c r="Q117" s="1344"/>
      <c r="R117" s="1344"/>
      <c r="S117" s="1344"/>
      <c r="T117" s="1344"/>
      <c r="U117" s="1344"/>
      <c r="V117" s="1344"/>
      <c r="W117" s="1344"/>
      <c r="X117" s="1344"/>
      <c r="Y117" s="1344"/>
      <c r="Z117" s="1344"/>
      <c r="AA117" s="1344"/>
      <c r="AB117" s="1344"/>
      <c r="AC117" s="1344"/>
      <c r="AD117" s="1304"/>
      <c r="AE117" s="1304"/>
      <c r="AF117" s="1301" t="s">
        <v>7</v>
      </c>
      <c r="AG117" s="1301"/>
      <c r="AH117" s="1305">
        <f>Memória_Orçamento!K2943</f>
        <v>10.17</v>
      </c>
      <c r="AI117" s="1305"/>
      <c r="AJ117" s="1305"/>
      <c r="AK117" s="1306">
        <f>IF(F117="","",ROUND('Composições Principais'!L$1797*(1+$R$11),2))</f>
        <v>601.93</v>
      </c>
      <c r="AL117" s="1306"/>
      <c r="AM117" s="1306"/>
      <c r="AN117" s="1306"/>
      <c r="AO117" s="1307">
        <f>IF(F117="","",ROUND((AH117*AK117),2))</f>
        <v>6121.63</v>
      </c>
      <c r="AP117" s="1307"/>
      <c r="AQ117" s="1307"/>
      <c r="AR117" s="1308"/>
      <c r="AS117" s="1258" t="s">
        <v>83</v>
      </c>
      <c r="AU117" s="1309">
        <f>ROUND((AK117/(1+$R$11)),2)</f>
        <v>485.78</v>
      </c>
      <c r="AV117" s="1288">
        <f>ROUND(AH117*AU117,2)</f>
        <v>4940.38</v>
      </c>
      <c r="AX117" s="1309"/>
      <c r="AY117" s="1288"/>
      <c r="AZ117" s="1288"/>
    </row>
    <row r="118" ht="17.4" customHeight="1" spans="1:52">
      <c r="A118" s="1278" t="str">
        <f>CONCATENATE(A116,".2")</f>
        <v>4.2.2</v>
      </c>
      <c r="B118" s="1279"/>
      <c r="C118" s="1346" t="s">
        <v>97</v>
      </c>
      <c r="D118" s="1346"/>
      <c r="E118" s="1346"/>
      <c r="F118" s="1281">
        <v>5216111</v>
      </c>
      <c r="G118" s="1281"/>
      <c r="H118" s="1281"/>
      <c r="I118" s="1292" t="s">
        <v>137</v>
      </c>
      <c r="J118" s="1292"/>
      <c r="K118" s="1292"/>
      <c r="L118" s="1292"/>
      <c r="M118" s="1292"/>
      <c r="N118" s="1292"/>
      <c r="O118" s="1292"/>
      <c r="P118" s="1292"/>
      <c r="Q118" s="1292"/>
      <c r="R118" s="1292"/>
      <c r="S118" s="1292"/>
      <c r="T118" s="1292"/>
      <c r="U118" s="1292"/>
      <c r="V118" s="1292"/>
      <c r="W118" s="1292"/>
      <c r="X118" s="1292"/>
      <c r="Y118" s="1292"/>
      <c r="Z118" s="1292"/>
      <c r="AA118" s="1292"/>
      <c r="AB118" s="1292"/>
      <c r="AC118" s="1292"/>
      <c r="AD118" s="1283"/>
      <c r="AE118" s="1283"/>
      <c r="AF118" s="1280" t="s">
        <v>82</v>
      </c>
      <c r="AG118" s="1280"/>
      <c r="AH118" s="1284">
        <f>Memória_Orçamento!K3029</f>
        <v>18</v>
      </c>
      <c r="AI118" s="1284"/>
      <c r="AJ118" s="1284"/>
      <c r="AK118" s="1285">
        <f>IF(F118="","",ROUND('Composições Principais'!L$1882*(1+$R$11),2))</f>
        <v>165.26</v>
      </c>
      <c r="AL118" s="1285"/>
      <c r="AM118" s="1285"/>
      <c r="AN118" s="1285"/>
      <c r="AO118" s="1286">
        <f>IF(F118="","",ROUND((AH118*AK118),2))</f>
        <v>2974.68</v>
      </c>
      <c r="AP118" s="1286"/>
      <c r="AQ118" s="1286"/>
      <c r="AR118" s="1287"/>
      <c r="AS118" s="1258" t="s">
        <v>83</v>
      </c>
      <c r="AU118" s="1309">
        <f>ROUND((AK118/(1+$R$11)),2)</f>
        <v>133.37</v>
      </c>
      <c r="AV118" s="1288">
        <f>ROUND(AH118*AU118,2)</f>
        <v>2400.66</v>
      </c>
      <c r="AX118" s="1309"/>
      <c r="AY118" s="1288"/>
      <c r="AZ118" s="1288"/>
    </row>
    <row r="119" ht="17.4" customHeight="1" spans="1:52">
      <c r="A119" s="1311" t="str">
        <f>CONCATENATE(A116,".3")</f>
        <v>4.2.3</v>
      </c>
      <c r="B119" s="1312"/>
      <c r="C119" s="1348" t="s">
        <v>97</v>
      </c>
      <c r="D119" s="1348"/>
      <c r="E119" s="1348"/>
      <c r="F119" s="1314">
        <v>5214001</v>
      </c>
      <c r="G119" s="1314"/>
      <c r="H119" s="1314"/>
      <c r="I119" s="1315" t="s">
        <v>138</v>
      </c>
      <c r="J119" s="1315"/>
      <c r="K119" s="1315"/>
      <c r="L119" s="1315"/>
      <c r="M119" s="1315"/>
      <c r="N119" s="1315"/>
      <c r="O119" s="1315"/>
      <c r="P119" s="1315"/>
      <c r="Q119" s="1315"/>
      <c r="R119" s="1315"/>
      <c r="S119" s="1315"/>
      <c r="T119" s="1315"/>
      <c r="U119" s="1315"/>
      <c r="V119" s="1315"/>
      <c r="W119" s="1315"/>
      <c r="X119" s="1315"/>
      <c r="Y119" s="1315"/>
      <c r="Z119" s="1315"/>
      <c r="AA119" s="1315"/>
      <c r="AB119" s="1315"/>
      <c r="AC119" s="1315"/>
      <c r="AD119" s="1316"/>
      <c r="AE119" s="1316"/>
      <c r="AF119" s="1313" t="s">
        <v>7</v>
      </c>
      <c r="AG119" s="1313"/>
      <c r="AH119" s="1317">
        <f>Memória_Orçamento!K3048</f>
        <v>7.5</v>
      </c>
      <c r="AI119" s="1317"/>
      <c r="AJ119" s="1317"/>
      <c r="AK119" s="1349">
        <f>IF(F119="","",ROUND('Composições Principais'!L$1712*(1+$R$11),2))</f>
        <v>16.42</v>
      </c>
      <c r="AL119" s="1349"/>
      <c r="AM119" s="1349"/>
      <c r="AN119" s="1349"/>
      <c r="AO119" s="1319">
        <f>IF(F119="","",ROUND((AH119*AK119),2))</f>
        <v>123.15</v>
      </c>
      <c r="AP119" s="1319"/>
      <c r="AQ119" s="1319"/>
      <c r="AR119" s="1320"/>
      <c r="AS119" s="1258" t="s">
        <v>83</v>
      </c>
      <c r="AU119" s="1309">
        <f>ROUND((AK119/(1+$R$11)),2)</f>
        <v>13.25</v>
      </c>
      <c r="AV119" s="1288">
        <f>ROUND(AH119*AU119,2)</f>
        <v>99.38</v>
      </c>
      <c r="AX119" s="1309"/>
      <c r="AY119" s="1288"/>
      <c r="AZ119" s="1288"/>
    </row>
    <row r="120" s="1255" customFormat="1" ht="17.4" customHeight="1" spans="1:52">
      <c r="A120" s="1382" t="str">
        <f>CONCATENATE(A115,".3")</f>
        <v>4.3</v>
      </c>
      <c r="B120" s="1383"/>
      <c r="C120" s="1384"/>
      <c r="D120" s="1384"/>
      <c r="E120" s="1384"/>
      <c r="F120" s="1384"/>
      <c r="G120" s="1384"/>
      <c r="H120" s="1384"/>
      <c r="I120" s="1385" t="s">
        <v>139</v>
      </c>
      <c r="J120" s="1385"/>
      <c r="K120" s="1385"/>
      <c r="L120" s="1385"/>
      <c r="M120" s="1385"/>
      <c r="N120" s="1385"/>
      <c r="O120" s="1385"/>
      <c r="P120" s="1385"/>
      <c r="Q120" s="1385"/>
      <c r="R120" s="1385"/>
      <c r="S120" s="1385"/>
      <c r="T120" s="1385"/>
      <c r="U120" s="1385"/>
      <c r="V120" s="1385"/>
      <c r="W120" s="1385"/>
      <c r="X120" s="1385"/>
      <c r="Y120" s="1385"/>
      <c r="Z120" s="1385"/>
      <c r="AA120" s="1385"/>
      <c r="AB120" s="1385"/>
      <c r="AC120" s="1385"/>
      <c r="AD120" s="1384"/>
      <c r="AE120" s="1384"/>
      <c r="AF120" s="1384"/>
      <c r="AG120" s="1384"/>
      <c r="AH120" s="1386"/>
      <c r="AI120" s="1386"/>
      <c r="AJ120" s="1386"/>
      <c r="AK120" s="1387"/>
      <c r="AL120" s="1387"/>
      <c r="AM120" s="1387"/>
      <c r="AN120" s="1387"/>
      <c r="AO120" s="1387">
        <f>SUM(AO121)</f>
        <v>1152.6</v>
      </c>
      <c r="AP120" s="1387"/>
      <c r="AQ120" s="1387"/>
      <c r="AR120" s="1388"/>
      <c r="AS120" s="1370"/>
    </row>
    <row r="121" ht="17.4" customHeight="1" spans="1:52">
      <c r="A121" s="1278" t="str">
        <f>CONCATENATE(A120,".1")</f>
        <v>4.3.1</v>
      </c>
      <c r="B121" s="1279"/>
      <c r="C121" s="1343" t="s">
        <v>97</v>
      </c>
      <c r="D121" s="1343"/>
      <c r="E121" s="1343"/>
      <c r="F121" s="1281">
        <v>2007971</v>
      </c>
      <c r="G121" s="1281"/>
      <c r="H121" s="1281"/>
      <c r="I121" s="1292" t="s">
        <v>140</v>
      </c>
      <c r="J121" s="1292"/>
      <c r="K121" s="1292"/>
      <c r="L121" s="1292"/>
      <c r="M121" s="1292"/>
      <c r="N121" s="1292"/>
      <c r="O121" s="1292"/>
      <c r="P121" s="1292"/>
      <c r="Q121" s="1292"/>
      <c r="R121" s="1292"/>
      <c r="S121" s="1292"/>
      <c r="T121" s="1292"/>
      <c r="U121" s="1292"/>
      <c r="V121" s="1292"/>
      <c r="W121" s="1292"/>
      <c r="X121" s="1292"/>
      <c r="Y121" s="1292"/>
      <c r="Z121" s="1292"/>
      <c r="AA121" s="1292"/>
      <c r="AB121" s="1292"/>
      <c r="AC121" s="1292"/>
      <c r="AD121" s="1283"/>
      <c r="AE121" s="1283"/>
      <c r="AF121" s="1280" t="s">
        <v>9</v>
      </c>
      <c r="AG121" s="1280"/>
      <c r="AH121" s="1284">
        <f>Memória_Orçamento!K3113</f>
        <v>10</v>
      </c>
      <c r="AI121" s="1284"/>
      <c r="AJ121" s="1284"/>
      <c r="AK121" s="1285">
        <f>IF(F121="","",ROUND('Composições Principais'!L$1967*(1+$R$11),2))</f>
        <v>115.26</v>
      </c>
      <c r="AL121" s="1285"/>
      <c r="AM121" s="1285"/>
      <c r="AN121" s="1285"/>
      <c r="AO121" s="1286">
        <f>IF(F121="","",ROUND((AH121*AK121),2))</f>
        <v>1152.6</v>
      </c>
      <c r="AP121" s="1286"/>
      <c r="AQ121" s="1286"/>
      <c r="AR121" s="1287"/>
      <c r="AS121" s="1258" t="s">
        <v>83</v>
      </c>
      <c r="AU121" s="1309">
        <f>ROUND((AK121/(1+$R$11)),2)</f>
        <v>93.02</v>
      </c>
      <c r="AV121" s="1288">
        <f>ROUND(AH121*AU121,2)</f>
        <v>930.2</v>
      </c>
      <c r="AX121" s="1309"/>
      <c r="AY121" s="1288"/>
      <c r="AZ121" s="1288"/>
    </row>
    <row r="122" s="1254" customFormat="1" ht="17.4" customHeight="1" spans="1:52">
      <c r="A122" s="1410" t="str">
        <f>CONCATENATE(A$115,".4")</f>
        <v>4.4</v>
      </c>
      <c r="B122" s="1411"/>
      <c r="C122" s="1412"/>
      <c r="D122" s="1412"/>
      <c r="E122" s="1412"/>
      <c r="F122" s="1412"/>
      <c r="G122" s="1412"/>
      <c r="H122" s="1412"/>
      <c r="I122" s="1413" t="s">
        <v>141</v>
      </c>
      <c r="J122" s="1413"/>
      <c r="K122" s="1413"/>
      <c r="L122" s="1413"/>
      <c r="M122" s="1413"/>
      <c r="N122" s="1413"/>
      <c r="O122" s="1413"/>
      <c r="P122" s="1413"/>
      <c r="Q122" s="1413"/>
      <c r="R122" s="1413"/>
      <c r="S122" s="1413"/>
      <c r="T122" s="1413"/>
      <c r="U122" s="1413"/>
      <c r="V122" s="1413"/>
      <c r="W122" s="1413"/>
      <c r="X122" s="1413"/>
      <c r="Y122" s="1413"/>
      <c r="Z122" s="1413"/>
      <c r="AA122" s="1413"/>
      <c r="AB122" s="1413"/>
      <c r="AC122" s="1413"/>
      <c r="AD122" s="1412"/>
      <c r="AE122" s="1412"/>
      <c r="AF122" s="1412"/>
      <c r="AG122" s="1412"/>
      <c r="AH122" s="1414"/>
      <c r="AI122" s="1414"/>
      <c r="AJ122" s="1414"/>
      <c r="AK122" s="1415"/>
      <c r="AL122" s="1415"/>
      <c r="AM122" s="1415"/>
      <c r="AN122" s="1415"/>
      <c r="AO122" s="1415">
        <f>SUM(AO123)</f>
        <v>1485.22</v>
      </c>
      <c r="AP122" s="1415"/>
      <c r="AQ122" s="1415"/>
      <c r="AR122" s="1416"/>
      <c r="AS122" s="1342"/>
    </row>
    <row r="123" ht="17.4" customHeight="1" spans="1:52">
      <c r="A123" s="1278" t="str">
        <f>CONCATENATE(A122,".1")</f>
        <v>4.4.1</v>
      </c>
      <c r="B123" s="1279"/>
      <c r="C123" s="1343" t="s">
        <v>97</v>
      </c>
      <c r="D123" s="1343"/>
      <c r="E123" s="1343"/>
      <c r="F123" s="1281">
        <v>5502109</v>
      </c>
      <c r="G123" s="1281"/>
      <c r="H123" s="1281"/>
      <c r="I123" s="1292" t="s">
        <v>98</v>
      </c>
      <c r="J123" s="1292"/>
      <c r="K123" s="1292"/>
      <c r="L123" s="1292"/>
      <c r="M123" s="1292"/>
      <c r="N123" s="1292"/>
      <c r="O123" s="1292"/>
      <c r="P123" s="1292"/>
      <c r="Q123" s="1292"/>
      <c r="R123" s="1292"/>
      <c r="S123" s="1292"/>
      <c r="T123" s="1292"/>
      <c r="U123" s="1292"/>
      <c r="V123" s="1292"/>
      <c r="W123" s="1292"/>
      <c r="X123" s="1292"/>
      <c r="Y123" s="1292"/>
      <c r="Z123" s="1292"/>
      <c r="AA123" s="1292"/>
      <c r="AB123" s="1292"/>
      <c r="AC123" s="1292"/>
      <c r="AD123" s="1283"/>
      <c r="AE123" s="1283"/>
      <c r="AF123" s="1280" t="s">
        <v>99</v>
      </c>
      <c r="AG123" s="1280"/>
      <c r="AH123" s="1284">
        <f>Memória_Orçamento!K3149</f>
        <v>181.79</v>
      </c>
      <c r="AI123" s="1284"/>
      <c r="AJ123" s="1284"/>
      <c r="AK123" s="1347">
        <f>IF(F123="","",ROUND('Composições Principais'!L$352*(1+$R$11),2))</f>
        <v>8.17</v>
      </c>
      <c r="AL123" s="1347"/>
      <c r="AM123" s="1347"/>
      <c r="AN123" s="1347"/>
      <c r="AO123" s="1286">
        <f>IF(F123="","",ROUND((AH123*AK123),2))</f>
        <v>1485.22</v>
      </c>
      <c r="AP123" s="1286"/>
      <c r="AQ123" s="1286"/>
      <c r="AR123" s="1287"/>
      <c r="AS123" s="1258" t="s">
        <v>83</v>
      </c>
      <c r="AU123" s="1309">
        <f>ROUND((AK123/(1+$R$11)),2)</f>
        <v>6.59</v>
      </c>
      <c r="AV123" s="1288">
        <f>ROUND(AH123*AU123,2)</f>
        <v>1198</v>
      </c>
      <c r="AX123" s="1309"/>
      <c r="AY123" s="1288"/>
      <c r="AZ123" s="1288"/>
    </row>
    <row r="124" s="1257" customFormat="1" ht="17.4" customHeight="1" spans="1:52">
      <c r="A124" s="1417">
        <v>5</v>
      </c>
      <c r="B124" s="1418"/>
      <c r="C124" s="1419"/>
      <c r="D124" s="1419"/>
      <c r="E124" s="1419"/>
      <c r="F124" s="1419"/>
      <c r="G124" s="1419"/>
      <c r="H124" s="1419"/>
      <c r="I124" s="1420" t="s">
        <v>142</v>
      </c>
      <c r="J124" s="1420"/>
      <c r="K124" s="1420"/>
      <c r="L124" s="1420"/>
      <c r="M124" s="1420"/>
      <c r="N124" s="1420"/>
      <c r="O124" s="1420"/>
      <c r="P124" s="1420"/>
      <c r="Q124" s="1420"/>
      <c r="R124" s="1420"/>
      <c r="S124" s="1420"/>
      <c r="T124" s="1420"/>
      <c r="U124" s="1420"/>
      <c r="V124" s="1420"/>
      <c r="W124" s="1420"/>
      <c r="X124" s="1420"/>
      <c r="Y124" s="1420"/>
      <c r="Z124" s="1420"/>
      <c r="AA124" s="1420"/>
      <c r="AB124" s="1420"/>
      <c r="AC124" s="1420"/>
      <c r="AD124" s="1418"/>
      <c r="AE124" s="1418"/>
      <c r="AF124" s="1418"/>
      <c r="AG124" s="1418"/>
      <c r="AH124" s="1421"/>
      <c r="AI124" s="1421"/>
      <c r="AJ124" s="1421"/>
      <c r="AK124" s="1422"/>
      <c r="AL124" s="1422"/>
      <c r="AM124" s="1422"/>
      <c r="AN124" s="1422"/>
      <c r="AO124" s="1423">
        <f ca="1">SUM(AO125,AO132,AO139,AO146,AO148)</f>
        <v>92461.63</v>
      </c>
      <c r="AP124" s="1423"/>
      <c r="AQ124" s="1423"/>
      <c r="AR124" s="1424"/>
      <c r="AS124" s="1325"/>
    </row>
    <row r="125" ht="17.4" customHeight="1" spans="1:52">
      <c r="A125" s="1271" t="str">
        <f>CONCATENATE(A124,".1")</f>
        <v>5.1</v>
      </c>
      <c r="B125" s="1272"/>
      <c r="C125" s="1296"/>
      <c r="D125" s="1296"/>
      <c r="E125" s="1296"/>
      <c r="F125" s="1273"/>
      <c r="G125" s="1273"/>
      <c r="H125" s="1273"/>
      <c r="I125" s="1274" t="s">
        <v>143</v>
      </c>
      <c r="J125" s="1274"/>
      <c r="K125" s="1274"/>
      <c r="L125" s="1274"/>
      <c r="M125" s="1274"/>
      <c r="N125" s="1274"/>
      <c r="O125" s="1274"/>
      <c r="P125" s="1274"/>
      <c r="Q125" s="1274"/>
      <c r="R125" s="1274"/>
      <c r="S125" s="1274"/>
      <c r="T125" s="1274"/>
      <c r="U125" s="1274"/>
      <c r="V125" s="1274"/>
      <c r="W125" s="1274"/>
      <c r="X125" s="1274"/>
      <c r="Y125" s="1274"/>
      <c r="Z125" s="1274"/>
      <c r="AA125" s="1274"/>
      <c r="AB125" s="1274"/>
      <c r="AC125" s="1274"/>
      <c r="AD125" s="1273"/>
      <c r="AE125" s="1273"/>
      <c r="AF125" s="1273"/>
      <c r="AG125" s="1273"/>
      <c r="AH125" s="1425"/>
      <c r="AI125" s="1425"/>
      <c r="AJ125" s="1425"/>
      <c r="AK125" s="1275"/>
      <c r="AL125" s="1275"/>
      <c r="AM125" s="1275"/>
      <c r="AN125" s="1275"/>
      <c r="AO125" s="1275">
        <f>SUM(AO126,AO129)</f>
        <v>48032.39</v>
      </c>
      <c r="AP125" s="1275"/>
      <c r="AQ125" s="1275"/>
      <c r="AR125" s="1399"/>
    </row>
    <row r="126" ht="17.4" customHeight="1" spans="1:52">
      <c r="A126" s="1382" t="str">
        <f>CONCATENATE(A125,".1")</f>
        <v>5.1.1</v>
      </c>
      <c r="B126" s="1383"/>
      <c r="C126" s="1426"/>
      <c r="D126" s="1426"/>
      <c r="E126" s="1426"/>
      <c r="F126" s="1384"/>
      <c r="G126" s="1384"/>
      <c r="H126" s="1384"/>
      <c r="I126" s="1385" t="s">
        <v>144</v>
      </c>
      <c r="J126" s="1385"/>
      <c r="K126" s="1385"/>
      <c r="L126" s="1385"/>
      <c r="M126" s="1385"/>
      <c r="N126" s="1385"/>
      <c r="O126" s="1385"/>
      <c r="P126" s="1385"/>
      <c r="Q126" s="1385"/>
      <c r="R126" s="1385"/>
      <c r="S126" s="1385"/>
      <c r="T126" s="1385"/>
      <c r="U126" s="1385"/>
      <c r="V126" s="1385"/>
      <c r="W126" s="1385"/>
      <c r="X126" s="1385"/>
      <c r="Y126" s="1385"/>
      <c r="Z126" s="1385"/>
      <c r="AA126" s="1385"/>
      <c r="AB126" s="1385"/>
      <c r="AC126" s="1385"/>
      <c r="AD126" s="1384"/>
      <c r="AE126" s="1384"/>
      <c r="AF126" s="1384"/>
      <c r="AG126" s="1384"/>
      <c r="AH126" s="1386"/>
      <c r="AI126" s="1386"/>
      <c r="AJ126" s="1386"/>
      <c r="AK126" s="1387"/>
      <c r="AL126" s="1387"/>
      <c r="AM126" s="1387"/>
      <c r="AN126" s="1387"/>
      <c r="AO126" s="1394">
        <f>SUM(AO127:AR128)</f>
        <v>15017.83</v>
      </c>
      <c r="AP126" s="1394"/>
      <c r="AQ126" s="1394"/>
      <c r="AR126" s="1395"/>
    </row>
    <row r="127" ht="17.4" customHeight="1" spans="1:52">
      <c r="A127" s="1278" t="str">
        <f>CONCATENATE(A126,".1")</f>
        <v>5.1.1.1</v>
      </c>
      <c r="B127" s="1279"/>
      <c r="C127" s="1343" t="s">
        <v>97</v>
      </c>
      <c r="D127" s="1343"/>
      <c r="E127" s="1343"/>
      <c r="F127" s="1281" t="str">
        <f>'Adm Local'!F19</f>
        <v>P9812</v>
      </c>
      <c r="G127" s="1281"/>
      <c r="H127" s="1281"/>
      <c r="I127" s="1292" t="s">
        <v>145</v>
      </c>
      <c r="J127" s="1292"/>
      <c r="K127" s="1292"/>
      <c r="L127" s="1292"/>
      <c r="M127" s="1292"/>
      <c r="N127" s="1292"/>
      <c r="O127" s="1292"/>
      <c r="P127" s="1292"/>
      <c r="Q127" s="1292"/>
      <c r="R127" s="1292"/>
      <c r="S127" s="1292"/>
      <c r="T127" s="1292"/>
      <c r="U127" s="1292"/>
      <c r="V127" s="1292"/>
      <c r="W127" s="1292"/>
      <c r="X127" s="1292"/>
      <c r="Y127" s="1292"/>
      <c r="Z127" s="1292"/>
      <c r="AA127" s="1292"/>
      <c r="AB127" s="1292"/>
      <c r="AC127" s="1292"/>
      <c r="AD127" s="1283"/>
      <c r="AE127" s="1283"/>
      <c r="AF127" s="1280" t="s">
        <v>146</v>
      </c>
      <c r="AG127" s="1280"/>
      <c r="AH127" s="1284">
        <f>'Adm Local'!$AG$19*'Adm Local'!$AG$103</f>
        <v>0.25</v>
      </c>
      <c r="AI127" s="1284"/>
      <c r="AJ127" s="1284"/>
      <c r="AK127" s="1285">
        <f>ROUND('Adm Local'!AK19*(1+$R$11),2)</f>
        <v>34344.13</v>
      </c>
      <c r="AL127" s="1285"/>
      <c r="AM127" s="1285"/>
      <c r="AN127" s="1285"/>
      <c r="AO127" s="1286">
        <f>IF(F127="","",TRUNC((AH127*AK127),2))</f>
        <v>8586.03</v>
      </c>
      <c r="AP127" s="1286"/>
      <c r="AQ127" s="1286"/>
      <c r="AR127" s="1287"/>
      <c r="AU127" s="1309">
        <f>ROUND((AK127/(1+$R$11)),2)</f>
        <v>27717</v>
      </c>
      <c r="AV127" s="1288">
        <f>ROUND(AH127*AU127,2)</f>
        <v>6929.25</v>
      </c>
      <c r="AW127" s="1427"/>
      <c r="AX127" s="1309"/>
      <c r="AY127" s="1288"/>
      <c r="AZ127" s="1288"/>
    </row>
    <row r="128" ht="17.4" customHeight="1" spans="1:52">
      <c r="A128" s="1278" t="str">
        <f>CONCATENATE(A126,".2")</f>
        <v>5.1.1.2</v>
      </c>
      <c r="B128" s="1279"/>
      <c r="C128" s="1346" t="s">
        <v>97</v>
      </c>
      <c r="D128" s="1346"/>
      <c r="E128" s="1346"/>
      <c r="F128" s="1281" t="str">
        <f>'Adm Local'!F24</f>
        <v>E9093</v>
      </c>
      <c r="G128" s="1281"/>
      <c r="H128" s="1281"/>
      <c r="I128" s="1292" t="s">
        <v>147</v>
      </c>
      <c r="J128" s="1292"/>
      <c r="K128" s="1292"/>
      <c r="L128" s="1292"/>
      <c r="M128" s="1292"/>
      <c r="N128" s="1292"/>
      <c r="O128" s="1292"/>
      <c r="P128" s="1292"/>
      <c r="Q128" s="1292"/>
      <c r="R128" s="1292"/>
      <c r="S128" s="1292"/>
      <c r="T128" s="1292"/>
      <c r="U128" s="1292"/>
      <c r="V128" s="1292"/>
      <c r="W128" s="1292"/>
      <c r="X128" s="1292"/>
      <c r="Y128" s="1292"/>
      <c r="Z128" s="1292"/>
      <c r="AA128" s="1292"/>
      <c r="AB128" s="1292"/>
      <c r="AC128" s="1292"/>
      <c r="AD128" s="1283"/>
      <c r="AE128" s="1283"/>
      <c r="AF128" s="1280" t="s">
        <v>146</v>
      </c>
      <c r="AG128" s="1280"/>
      <c r="AH128" s="1284">
        <f>'Adm Local'!$Y$24*'Adm Local'!$AG$103</f>
        <v>2</v>
      </c>
      <c r="AI128" s="1284"/>
      <c r="AJ128" s="1284"/>
      <c r="AK128" s="1285">
        <f>ROUND('Adm Local'!AO35*(1+$R$11),2)</f>
        <v>3215.9</v>
      </c>
      <c r="AL128" s="1285"/>
      <c r="AM128" s="1285"/>
      <c r="AN128" s="1285"/>
      <c r="AO128" s="1286">
        <f>IF(F128="","",TRUNC((AH128*AK128),2))</f>
        <v>6431.8</v>
      </c>
      <c r="AP128" s="1286"/>
      <c r="AQ128" s="1286"/>
      <c r="AR128" s="1287"/>
      <c r="AU128" s="1309">
        <f>ROUND((AK128/(1+$R$11)),2)</f>
        <v>2595.35</v>
      </c>
      <c r="AV128" s="1288">
        <f>ROUND(AH128*AU128,2)</f>
        <v>5190.7</v>
      </c>
      <c r="AW128" s="678"/>
      <c r="AX128" s="1309"/>
      <c r="AY128" s="1288"/>
      <c r="AZ128" s="1288"/>
    </row>
    <row r="129" s="1255" customFormat="1" ht="17.4" customHeight="1" spans="1:52">
      <c r="A129" s="1389" t="str">
        <f>CONCATENATE(A125,".2")</f>
        <v>5.1.2</v>
      </c>
      <c r="B129" s="1390"/>
      <c r="C129" s="1428"/>
      <c r="D129" s="1428"/>
      <c r="E129" s="1428"/>
      <c r="F129" s="1391"/>
      <c r="G129" s="1391"/>
      <c r="H129" s="1391"/>
      <c r="I129" s="1392" t="s">
        <v>148</v>
      </c>
      <c r="J129" s="1392"/>
      <c r="K129" s="1392"/>
      <c r="L129" s="1392"/>
      <c r="M129" s="1392"/>
      <c r="N129" s="1392"/>
      <c r="O129" s="1392"/>
      <c r="P129" s="1392"/>
      <c r="Q129" s="1392"/>
      <c r="R129" s="1392"/>
      <c r="S129" s="1392"/>
      <c r="T129" s="1392"/>
      <c r="U129" s="1392"/>
      <c r="V129" s="1392"/>
      <c r="W129" s="1392"/>
      <c r="X129" s="1392"/>
      <c r="Y129" s="1392"/>
      <c r="Z129" s="1392"/>
      <c r="AA129" s="1392"/>
      <c r="AB129" s="1392"/>
      <c r="AC129" s="1392"/>
      <c r="AD129" s="1391"/>
      <c r="AE129" s="1391"/>
      <c r="AF129" s="1391"/>
      <c r="AG129" s="1391"/>
      <c r="AH129" s="1393"/>
      <c r="AI129" s="1393"/>
      <c r="AJ129" s="1393"/>
      <c r="AK129" s="1394"/>
      <c r="AL129" s="1394"/>
      <c r="AM129" s="1394"/>
      <c r="AN129" s="1394"/>
      <c r="AO129" s="1394">
        <f>SUM(AO130:AR131)</f>
        <v>33014.56</v>
      </c>
      <c r="AP129" s="1394"/>
      <c r="AQ129" s="1394"/>
      <c r="AR129" s="1395"/>
      <c r="AS129" s="1370"/>
    </row>
    <row r="130" ht="17.4" customHeight="1" spans="1:52">
      <c r="A130" s="1278" t="str">
        <f>CONCATENATE(A129,".1")</f>
        <v>5.1.2.1</v>
      </c>
      <c r="B130" s="1279"/>
      <c r="C130" s="1343" t="s">
        <v>97</v>
      </c>
      <c r="D130" s="1343"/>
      <c r="E130" s="1343"/>
      <c r="F130" s="1281" t="str">
        <f>'Adm Local'!F30</f>
        <v>P9827</v>
      </c>
      <c r="G130" s="1281"/>
      <c r="H130" s="1281"/>
      <c r="I130" s="1292" t="s">
        <v>149</v>
      </c>
      <c r="J130" s="1292"/>
      <c r="K130" s="1292"/>
      <c r="L130" s="1292"/>
      <c r="M130" s="1292"/>
      <c r="N130" s="1292"/>
      <c r="O130" s="1292"/>
      <c r="P130" s="1292"/>
      <c r="Q130" s="1292"/>
      <c r="R130" s="1292"/>
      <c r="S130" s="1292"/>
      <c r="T130" s="1292"/>
      <c r="U130" s="1292"/>
      <c r="V130" s="1292"/>
      <c r="W130" s="1292"/>
      <c r="X130" s="1292"/>
      <c r="Y130" s="1292"/>
      <c r="Z130" s="1292"/>
      <c r="AA130" s="1292"/>
      <c r="AB130" s="1292"/>
      <c r="AC130" s="1292"/>
      <c r="AD130" s="1283"/>
      <c r="AE130" s="1283"/>
      <c r="AF130" s="1280" t="s">
        <v>146</v>
      </c>
      <c r="AG130" s="1280"/>
      <c r="AH130" s="1284">
        <f>'Adm Local'!$Y$30*'Adm Local'!$AG$104</f>
        <v>4</v>
      </c>
      <c r="AI130" s="1284"/>
      <c r="AJ130" s="1284"/>
      <c r="AK130" s="1285">
        <f>ROUND('Adm Local'!AK30*(1+$R$11),2)</f>
        <v>6645.69</v>
      </c>
      <c r="AL130" s="1285"/>
      <c r="AM130" s="1285"/>
      <c r="AN130" s="1285"/>
      <c r="AO130" s="1286">
        <f>IF(F130="","",ROUND((AH130*AK130),2))</f>
        <v>26582.76</v>
      </c>
      <c r="AP130" s="1286"/>
      <c r="AQ130" s="1286"/>
      <c r="AR130" s="1287"/>
      <c r="AU130" s="1309">
        <f>ROUND((AK130/(1+$R$11)),2)</f>
        <v>5363.32</v>
      </c>
      <c r="AV130" s="1288">
        <f>ROUND(AH130*AU130,2)</f>
        <v>21453.28</v>
      </c>
      <c r="AW130" s="1288"/>
      <c r="AX130" s="1309"/>
      <c r="AY130" s="1288"/>
      <c r="AZ130" s="1288"/>
    </row>
    <row r="131" ht="17.4" customHeight="1" spans="1:52">
      <c r="A131" s="1278" t="str">
        <f>CONCATENATE(A129,".2")</f>
        <v>5.1.2.2</v>
      </c>
      <c r="B131" s="1279"/>
      <c r="C131" s="1346" t="s">
        <v>97</v>
      </c>
      <c r="D131" s="1346"/>
      <c r="E131" s="1346"/>
      <c r="F131" s="1281" t="str">
        <f>'Adm Local'!F35:H35</f>
        <v>E9093</v>
      </c>
      <c r="G131" s="1281"/>
      <c r="H131" s="1281"/>
      <c r="I131" s="1292" t="s">
        <v>147</v>
      </c>
      <c r="J131" s="1292"/>
      <c r="K131" s="1292"/>
      <c r="L131" s="1292"/>
      <c r="M131" s="1292"/>
      <c r="N131" s="1292"/>
      <c r="O131" s="1292"/>
      <c r="P131" s="1292"/>
      <c r="Q131" s="1292"/>
      <c r="R131" s="1292"/>
      <c r="S131" s="1292"/>
      <c r="T131" s="1292"/>
      <c r="U131" s="1292"/>
      <c r="V131" s="1292"/>
      <c r="W131" s="1292"/>
      <c r="X131" s="1292"/>
      <c r="Y131" s="1292"/>
      <c r="Z131" s="1292"/>
      <c r="AA131" s="1292"/>
      <c r="AB131" s="1292"/>
      <c r="AC131" s="1292"/>
      <c r="AD131" s="1283"/>
      <c r="AE131" s="1283"/>
      <c r="AF131" s="1280" t="s">
        <v>146</v>
      </c>
      <c r="AG131" s="1280"/>
      <c r="AH131" s="1284">
        <f>'Adm Local'!$Y$35*'Adm Local'!$AG$104</f>
        <v>2</v>
      </c>
      <c r="AI131" s="1284"/>
      <c r="AJ131" s="1284"/>
      <c r="AK131" s="1285">
        <f>ROUND('Adm Local'!AO35*(1+$R$11),2)</f>
        <v>3215.9</v>
      </c>
      <c r="AL131" s="1285"/>
      <c r="AM131" s="1285"/>
      <c r="AN131" s="1285"/>
      <c r="AO131" s="1286">
        <f>IF(F131="","",ROUND((AH131*AK131),2))</f>
        <v>6431.8</v>
      </c>
      <c r="AP131" s="1286"/>
      <c r="AQ131" s="1286"/>
      <c r="AR131" s="1287"/>
      <c r="AU131" s="1309">
        <f>ROUND((AK131/(1+$R$11)),2)</f>
        <v>2595.35</v>
      </c>
      <c r="AV131" s="1288">
        <f>ROUND(AH131*AU131,2)</f>
        <v>5190.7</v>
      </c>
      <c r="AX131" s="1309"/>
      <c r="AY131" s="1288"/>
      <c r="AZ131" s="1288"/>
    </row>
    <row r="132" s="1253" customFormat="1" ht="17.4" customHeight="1" spans="1:52">
      <c r="A132" s="1271" t="str">
        <f>CONCATENATE(A124,".2")</f>
        <v>5.2</v>
      </c>
      <c r="B132" s="1272"/>
      <c r="C132" s="1296"/>
      <c r="D132" s="1296"/>
      <c r="E132" s="1296"/>
      <c r="F132" s="1273"/>
      <c r="G132" s="1273"/>
      <c r="H132" s="1273"/>
      <c r="I132" s="1274" t="s">
        <v>150</v>
      </c>
      <c r="J132" s="1274"/>
      <c r="K132" s="1274"/>
      <c r="L132" s="1274"/>
      <c r="M132" s="1274"/>
      <c r="N132" s="1274"/>
      <c r="O132" s="1274"/>
      <c r="P132" s="1274"/>
      <c r="Q132" s="1274"/>
      <c r="R132" s="1274"/>
      <c r="S132" s="1274"/>
      <c r="T132" s="1274"/>
      <c r="U132" s="1274"/>
      <c r="V132" s="1274"/>
      <c r="W132" s="1274"/>
      <c r="X132" s="1274"/>
      <c r="Y132" s="1274"/>
      <c r="Z132" s="1274"/>
      <c r="AA132" s="1274"/>
      <c r="AB132" s="1274"/>
      <c r="AC132" s="1274"/>
      <c r="AD132" s="1273"/>
      <c r="AE132" s="1273"/>
      <c r="AF132" s="1273"/>
      <c r="AG132" s="1273"/>
      <c r="AH132" s="1425"/>
      <c r="AI132" s="1425"/>
      <c r="AJ132" s="1425"/>
      <c r="AK132" s="1275"/>
      <c r="AL132" s="1275"/>
      <c r="AM132" s="1275"/>
      <c r="AN132" s="1275"/>
      <c r="AO132" s="1275">
        <f>SUM(AO133,AO137)</f>
        <v>26661.13</v>
      </c>
      <c r="AP132" s="1275"/>
      <c r="AQ132" s="1275"/>
      <c r="AR132" s="1399"/>
      <c r="AS132" s="1277"/>
    </row>
    <row r="133" s="1255" customFormat="1" ht="17.4" customHeight="1" spans="1:52">
      <c r="A133" s="1389" t="str">
        <f>CONCATENATE(A132,".2")</f>
        <v>5.2.2</v>
      </c>
      <c r="B133" s="1390"/>
      <c r="C133" s="1428"/>
      <c r="D133" s="1428"/>
      <c r="E133" s="1428"/>
      <c r="F133" s="1391"/>
      <c r="G133" s="1391"/>
      <c r="H133" s="1391"/>
      <c r="I133" s="1392" t="s">
        <v>151</v>
      </c>
      <c r="J133" s="1392"/>
      <c r="K133" s="1392"/>
      <c r="L133" s="1392"/>
      <c r="M133" s="1392"/>
      <c r="N133" s="1392"/>
      <c r="O133" s="1392"/>
      <c r="P133" s="1392"/>
      <c r="Q133" s="1392"/>
      <c r="R133" s="1392"/>
      <c r="S133" s="1392"/>
      <c r="T133" s="1392"/>
      <c r="U133" s="1392"/>
      <c r="V133" s="1392"/>
      <c r="W133" s="1392"/>
      <c r="X133" s="1392"/>
      <c r="Y133" s="1392"/>
      <c r="Z133" s="1392"/>
      <c r="AA133" s="1392"/>
      <c r="AB133" s="1392"/>
      <c r="AC133" s="1392"/>
      <c r="AD133" s="1391"/>
      <c r="AE133" s="1391"/>
      <c r="AF133" s="1391"/>
      <c r="AG133" s="1391"/>
      <c r="AH133" s="1393"/>
      <c r="AI133" s="1393"/>
      <c r="AJ133" s="1393"/>
      <c r="AK133" s="1394"/>
      <c r="AL133" s="1394"/>
      <c r="AM133" s="1394"/>
      <c r="AN133" s="1394"/>
      <c r="AO133" s="1394">
        <f>SUM(AO134:AR136)</f>
        <v>7239.45</v>
      </c>
      <c r="AP133" s="1394"/>
      <c r="AQ133" s="1394"/>
      <c r="AR133" s="1395"/>
      <c r="AS133" s="1370"/>
    </row>
    <row r="134" ht="17.4" customHeight="1" spans="1:52">
      <c r="A134" s="1278" t="str">
        <f>CONCATENATE(A133,".1")</f>
        <v>5.2.2.1</v>
      </c>
      <c r="B134" s="1279"/>
      <c r="C134" s="1343" t="s">
        <v>97</v>
      </c>
      <c r="D134" s="1343"/>
      <c r="E134" s="1343"/>
      <c r="F134" s="1281" t="str">
        <f>'Adm Local'!F45</f>
        <v>P9949</v>
      </c>
      <c r="G134" s="1281"/>
      <c r="H134" s="1281"/>
      <c r="I134" s="1292" t="s">
        <v>152</v>
      </c>
      <c r="J134" s="1292"/>
      <c r="K134" s="1292"/>
      <c r="L134" s="1292"/>
      <c r="M134" s="1292"/>
      <c r="N134" s="1292"/>
      <c r="O134" s="1292"/>
      <c r="P134" s="1292"/>
      <c r="Q134" s="1292"/>
      <c r="R134" s="1292"/>
      <c r="S134" s="1292"/>
      <c r="T134" s="1292"/>
      <c r="U134" s="1292"/>
      <c r="V134" s="1292"/>
      <c r="W134" s="1292"/>
      <c r="X134" s="1292"/>
      <c r="Y134" s="1292"/>
      <c r="Z134" s="1292"/>
      <c r="AA134" s="1292"/>
      <c r="AB134" s="1292"/>
      <c r="AC134" s="1292"/>
      <c r="AD134" s="1283"/>
      <c r="AE134" s="1283"/>
      <c r="AF134" s="1280" t="s">
        <v>146</v>
      </c>
      <c r="AG134" s="1280"/>
      <c r="AH134" s="1284">
        <f>'Adm Local'!$AG$45*'Adm Local'!$AG$107</f>
        <v>0.2</v>
      </c>
      <c r="AI134" s="1284"/>
      <c r="AJ134" s="1284"/>
      <c r="AK134" s="1285">
        <f>ROUND('Adm Local'!AO45*(1+$R$11),2)</f>
        <v>8495.59</v>
      </c>
      <c r="AL134" s="1285"/>
      <c r="AM134" s="1285"/>
      <c r="AN134" s="1285"/>
      <c r="AO134" s="1286">
        <f>IF(F134="","",ROUND((AH134*AK134),2))</f>
        <v>1699.12</v>
      </c>
      <c r="AP134" s="1286"/>
      <c r="AQ134" s="1286"/>
      <c r="AR134" s="1287"/>
      <c r="AU134" s="1309">
        <f>ROUND((AK134/(1+$R$11)),2)</f>
        <v>6856.26</v>
      </c>
      <c r="AV134" s="1288">
        <f>ROUND(AH134*AU134,2)</f>
        <v>1371.25</v>
      </c>
      <c r="AX134" s="1309"/>
      <c r="AY134" s="1288"/>
      <c r="AZ134" s="1288"/>
    </row>
    <row r="135" ht="17.4" customHeight="1" spans="1:52">
      <c r="A135" s="1278" t="str">
        <f>CONCATENATE(A133,".2")</f>
        <v>5.2.2.2</v>
      </c>
      <c r="B135" s="1279"/>
      <c r="C135" s="1346" t="s">
        <v>97</v>
      </c>
      <c r="D135" s="1346"/>
      <c r="E135" s="1346"/>
      <c r="F135" s="1281" t="str">
        <f>'Adm Local'!F46</f>
        <v>P9950</v>
      </c>
      <c r="G135" s="1281"/>
      <c r="H135" s="1281"/>
      <c r="I135" s="1292" t="s">
        <v>153</v>
      </c>
      <c r="J135" s="1292"/>
      <c r="K135" s="1292"/>
      <c r="L135" s="1292"/>
      <c r="M135" s="1292"/>
      <c r="N135" s="1292"/>
      <c r="O135" s="1292"/>
      <c r="P135" s="1292"/>
      <c r="Q135" s="1292"/>
      <c r="R135" s="1292"/>
      <c r="S135" s="1292"/>
      <c r="T135" s="1292"/>
      <c r="U135" s="1292"/>
      <c r="V135" s="1292"/>
      <c r="W135" s="1292"/>
      <c r="X135" s="1292"/>
      <c r="Y135" s="1292"/>
      <c r="Z135" s="1292"/>
      <c r="AA135" s="1292"/>
      <c r="AB135" s="1292"/>
      <c r="AC135" s="1292"/>
      <c r="AD135" s="1283"/>
      <c r="AE135" s="1283"/>
      <c r="AF135" s="1280" t="s">
        <v>146</v>
      </c>
      <c r="AG135" s="1280"/>
      <c r="AH135" s="1284">
        <f>'Adm Local'!$AG$46*'Adm Local'!$AG$107</f>
        <v>0.4</v>
      </c>
      <c r="AI135" s="1284"/>
      <c r="AJ135" s="1284"/>
      <c r="AK135" s="1285">
        <f>ROUND('Adm Local'!AK46*(1+$R$11),2)</f>
        <v>6779.61</v>
      </c>
      <c r="AL135" s="1285"/>
      <c r="AM135" s="1285"/>
      <c r="AN135" s="1285"/>
      <c r="AO135" s="1286">
        <f>IF(F135="","",ROUND((AH135*AK135),2))</f>
        <v>2711.84</v>
      </c>
      <c r="AP135" s="1286"/>
      <c r="AQ135" s="1286"/>
      <c r="AR135" s="1287"/>
      <c r="AU135" s="1309">
        <f>ROUND((AK135/(1+$R$11)),2)</f>
        <v>5471.4</v>
      </c>
      <c r="AV135" s="1288">
        <f>ROUND(AH135*AU135,2)</f>
        <v>2188.56</v>
      </c>
      <c r="AX135" s="1309"/>
      <c r="AY135" s="1288"/>
      <c r="AZ135" s="1288"/>
    </row>
    <row r="136" ht="17.4" customHeight="1" spans="1:52">
      <c r="A136" s="1278" t="str">
        <f>CONCATENATE(A133,".3")</f>
        <v>5.2.2.3</v>
      </c>
      <c r="B136" s="1279"/>
      <c r="C136" s="1346" t="s">
        <v>97</v>
      </c>
      <c r="D136" s="1346"/>
      <c r="E136" s="1346"/>
      <c r="F136" s="1281" t="str">
        <f>'Adm Local'!F51</f>
        <v>E9125</v>
      </c>
      <c r="G136" s="1281"/>
      <c r="H136" s="1281"/>
      <c r="I136" s="1292" t="s">
        <v>154</v>
      </c>
      <c r="J136" s="1292"/>
      <c r="K136" s="1292"/>
      <c r="L136" s="1292"/>
      <c r="M136" s="1292"/>
      <c r="N136" s="1292"/>
      <c r="O136" s="1292"/>
      <c r="P136" s="1292"/>
      <c r="Q136" s="1292"/>
      <c r="R136" s="1292"/>
      <c r="S136" s="1292"/>
      <c r="T136" s="1292"/>
      <c r="U136" s="1292"/>
      <c r="V136" s="1292"/>
      <c r="W136" s="1292"/>
      <c r="X136" s="1292"/>
      <c r="Y136" s="1292"/>
      <c r="Z136" s="1292"/>
      <c r="AA136" s="1292"/>
      <c r="AB136" s="1292"/>
      <c r="AC136" s="1292"/>
      <c r="AD136" s="1283"/>
      <c r="AE136" s="1283"/>
      <c r="AF136" s="1280" t="s">
        <v>146</v>
      </c>
      <c r="AG136" s="1280"/>
      <c r="AH136" s="1284">
        <f>'Adm Local'!$Y$51*'Adm Local'!$AG$107</f>
        <v>0.2</v>
      </c>
      <c r="AI136" s="1284"/>
      <c r="AJ136" s="1284"/>
      <c r="AK136" s="1285">
        <f>ROUND('Adm Local'!AO51*(1+$R$11),2)</f>
        <v>14142.44</v>
      </c>
      <c r="AL136" s="1285"/>
      <c r="AM136" s="1285"/>
      <c r="AN136" s="1285"/>
      <c r="AO136" s="1286">
        <f>IF(F136="","",ROUND((AH136*AK136),2))</f>
        <v>2828.49</v>
      </c>
      <c r="AP136" s="1286"/>
      <c r="AQ136" s="1286"/>
      <c r="AR136" s="1287"/>
      <c r="AU136" s="1309">
        <f>ROUND((AK136/(1+$R$11)),2)</f>
        <v>11413.48</v>
      </c>
      <c r="AV136" s="1288">
        <f>ROUND(AH136*AU136,2)</f>
        <v>2282.7</v>
      </c>
      <c r="AX136" s="1309"/>
      <c r="AY136" s="1288"/>
      <c r="AZ136" s="1288"/>
    </row>
    <row r="137" s="1255" customFormat="1" ht="17.4" customHeight="1" spans="1:52">
      <c r="A137" s="1389" t="str">
        <f>CONCATENATE(A132,".3")</f>
        <v>5.2.3</v>
      </c>
      <c r="B137" s="1390"/>
      <c r="C137" s="1428"/>
      <c r="D137" s="1428"/>
      <c r="E137" s="1428"/>
      <c r="F137" s="1391"/>
      <c r="G137" s="1391"/>
      <c r="H137" s="1391"/>
      <c r="I137" s="1392" t="s">
        <v>155</v>
      </c>
      <c r="J137" s="1392"/>
      <c r="K137" s="1392"/>
      <c r="L137" s="1392"/>
      <c r="M137" s="1392"/>
      <c r="N137" s="1392"/>
      <c r="O137" s="1392"/>
      <c r="P137" s="1392"/>
      <c r="Q137" s="1392"/>
      <c r="R137" s="1392"/>
      <c r="S137" s="1392"/>
      <c r="T137" s="1392"/>
      <c r="U137" s="1392"/>
      <c r="V137" s="1392"/>
      <c r="W137" s="1392"/>
      <c r="X137" s="1392"/>
      <c r="Y137" s="1392"/>
      <c r="Z137" s="1392"/>
      <c r="AA137" s="1392"/>
      <c r="AB137" s="1392"/>
      <c r="AC137" s="1392"/>
      <c r="AD137" s="1391"/>
      <c r="AE137" s="1391"/>
      <c r="AF137" s="1391"/>
      <c r="AG137" s="1391"/>
      <c r="AH137" s="1393"/>
      <c r="AI137" s="1393"/>
      <c r="AJ137" s="1393"/>
      <c r="AK137" s="1394"/>
      <c r="AL137" s="1394"/>
      <c r="AM137" s="1394"/>
      <c r="AN137" s="1394"/>
      <c r="AO137" s="1394">
        <f>SUM(AO138)</f>
        <v>19421.68</v>
      </c>
      <c r="AP137" s="1394"/>
      <c r="AQ137" s="1394"/>
      <c r="AR137" s="1395"/>
      <c r="AS137" s="1370"/>
    </row>
    <row r="138" ht="17.4" customHeight="1" spans="1:52">
      <c r="A138" s="1278" t="str">
        <f>CONCATENATE(A137,".1")</f>
        <v>5.2.3.1</v>
      </c>
      <c r="B138" s="1279"/>
      <c r="C138" s="1343" t="s">
        <v>97</v>
      </c>
      <c r="D138" s="1343"/>
      <c r="E138" s="1343"/>
      <c r="F138" s="1281" t="str">
        <f>'Adm Local'!F55</f>
        <v>P9876</v>
      </c>
      <c r="G138" s="1281"/>
      <c r="H138" s="1281"/>
      <c r="I138" s="1292" t="s">
        <v>156</v>
      </c>
      <c r="J138" s="1292"/>
      <c r="K138" s="1292"/>
      <c r="L138" s="1292"/>
      <c r="M138" s="1292"/>
      <c r="N138" s="1292"/>
      <c r="O138" s="1292"/>
      <c r="P138" s="1292"/>
      <c r="Q138" s="1292"/>
      <c r="R138" s="1292"/>
      <c r="S138" s="1292"/>
      <c r="T138" s="1292"/>
      <c r="U138" s="1292"/>
      <c r="V138" s="1292"/>
      <c r="W138" s="1292"/>
      <c r="X138" s="1292"/>
      <c r="Y138" s="1292"/>
      <c r="Z138" s="1292"/>
      <c r="AA138" s="1292"/>
      <c r="AB138" s="1292"/>
      <c r="AC138" s="1292"/>
      <c r="AD138" s="1283"/>
      <c r="AE138" s="1283"/>
      <c r="AF138" s="1280" t="s">
        <v>146</v>
      </c>
      <c r="AG138" s="1280"/>
      <c r="AH138" s="1284">
        <f>'Adm Local'!$AG$55*'Adm Local'!$AG$108</f>
        <v>2</v>
      </c>
      <c r="AI138" s="1284"/>
      <c r="AJ138" s="1284"/>
      <c r="AK138" s="1285">
        <f>ROUND('Adm Local'!AK55*(1+$R$11),2)</f>
        <v>9710.84</v>
      </c>
      <c r="AL138" s="1285"/>
      <c r="AM138" s="1285"/>
      <c r="AN138" s="1285"/>
      <c r="AO138" s="1286">
        <f>IF(F138="","",TRUNC((AH138*AK138),2))</f>
        <v>19421.68</v>
      </c>
      <c r="AP138" s="1286"/>
      <c r="AQ138" s="1286"/>
      <c r="AR138" s="1287"/>
      <c r="AU138" s="1309">
        <f>ROUND((AK138/(1+$R$11)),2)</f>
        <v>7837.01</v>
      </c>
      <c r="AV138" s="1288">
        <f>ROUND(AH138*AU138,2)</f>
        <v>15674.02</v>
      </c>
      <c r="AX138" s="1309"/>
      <c r="AY138" s="1288"/>
      <c r="AZ138" s="1288"/>
    </row>
    <row r="139" s="1253" customFormat="1" ht="17.4" customHeight="1" spans="1:52">
      <c r="A139" s="1271" t="str">
        <f>CONCATENATE(A124,".3")</f>
        <v>5.3</v>
      </c>
      <c r="B139" s="1272"/>
      <c r="C139" s="1296"/>
      <c r="D139" s="1296"/>
      <c r="E139" s="1296"/>
      <c r="F139" s="1273"/>
      <c r="G139" s="1273"/>
      <c r="H139" s="1273"/>
      <c r="I139" s="1274" t="s">
        <v>157</v>
      </c>
      <c r="J139" s="1274"/>
      <c r="K139" s="1274"/>
      <c r="L139" s="1274"/>
      <c r="M139" s="1274"/>
      <c r="N139" s="1274"/>
      <c r="O139" s="1274"/>
      <c r="P139" s="1274"/>
      <c r="Q139" s="1274"/>
      <c r="R139" s="1274"/>
      <c r="S139" s="1274"/>
      <c r="T139" s="1274"/>
      <c r="U139" s="1274"/>
      <c r="V139" s="1274"/>
      <c r="W139" s="1274"/>
      <c r="X139" s="1274"/>
      <c r="Y139" s="1274"/>
      <c r="Z139" s="1274"/>
      <c r="AA139" s="1274"/>
      <c r="AB139" s="1274"/>
      <c r="AC139" s="1274"/>
      <c r="AD139" s="1273"/>
      <c r="AE139" s="1273"/>
      <c r="AF139" s="1273"/>
      <c r="AG139" s="1273"/>
      <c r="AH139" s="1425"/>
      <c r="AI139" s="1425"/>
      <c r="AJ139" s="1425"/>
      <c r="AK139" s="1275"/>
      <c r="AL139" s="1275"/>
      <c r="AM139" s="1275"/>
      <c r="AN139" s="1275"/>
      <c r="AO139" s="1275">
        <f>SUM(AO140,AO142)</f>
        <v>10923.66</v>
      </c>
      <c r="AP139" s="1275"/>
      <c r="AQ139" s="1275"/>
      <c r="AR139" s="1399"/>
      <c r="AS139" s="1277"/>
    </row>
    <row r="140" s="1255" customFormat="1" ht="17.4" customHeight="1" spans="1:52">
      <c r="A140" s="1389" t="str">
        <f>CONCATENATE(A139,".1")</f>
        <v>5.3.1</v>
      </c>
      <c r="B140" s="1390"/>
      <c r="C140" s="1428"/>
      <c r="D140" s="1428"/>
      <c r="E140" s="1428"/>
      <c r="F140" s="1391"/>
      <c r="G140" s="1391"/>
      <c r="H140" s="1391"/>
      <c r="I140" s="1392" t="s">
        <v>158</v>
      </c>
      <c r="J140" s="1392"/>
      <c r="K140" s="1392"/>
      <c r="L140" s="1392"/>
      <c r="M140" s="1392"/>
      <c r="N140" s="1392"/>
      <c r="O140" s="1392"/>
      <c r="P140" s="1392"/>
      <c r="Q140" s="1392"/>
      <c r="R140" s="1392"/>
      <c r="S140" s="1392"/>
      <c r="T140" s="1392"/>
      <c r="U140" s="1392"/>
      <c r="V140" s="1392"/>
      <c r="W140" s="1392"/>
      <c r="X140" s="1392"/>
      <c r="Y140" s="1392"/>
      <c r="Z140" s="1392"/>
      <c r="AA140" s="1392"/>
      <c r="AB140" s="1392"/>
      <c r="AC140" s="1392"/>
      <c r="AD140" s="1391"/>
      <c r="AE140" s="1391"/>
      <c r="AF140" s="1391"/>
      <c r="AG140" s="1391"/>
      <c r="AH140" s="1393"/>
      <c r="AI140" s="1393"/>
      <c r="AJ140" s="1393"/>
      <c r="AK140" s="1394"/>
      <c r="AL140" s="1394"/>
      <c r="AM140" s="1394"/>
      <c r="AN140" s="1394"/>
      <c r="AO140" s="1394">
        <f>SUM(AO141:AR141)</f>
        <v>6401.81</v>
      </c>
      <c r="AP140" s="1394"/>
      <c r="AQ140" s="1394"/>
      <c r="AR140" s="1395"/>
      <c r="AS140" s="1370"/>
    </row>
    <row r="141" ht="17.4" customHeight="1" spans="1:52">
      <c r="A141" s="1278" t="str">
        <f>CONCATENATE(A140,".1")</f>
        <v>5.3.1.1</v>
      </c>
      <c r="B141" s="1279"/>
      <c r="C141" s="1343" t="s">
        <v>97</v>
      </c>
      <c r="D141" s="1343"/>
      <c r="E141" s="1343"/>
      <c r="F141" s="1281" t="str">
        <f>'Adm Local'!F64:H64</f>
        <v>P9806</v>
      </c>
      <c r="G141" s="1281"/>
      <c r="H141" s="1281"/>
      <c r="I141" s="1292" t="s">
        <v>159</v>
      </c>
      <c r="J141" s="1292"/>
      <c r="K141" s="1292"/>
      <c r="L141" s="1292"/>
      <c r="M141" s="1292"/>
      <c r="N141" s="1292"/>
      <c r="O141" s="1292"/>
      <c r="P141" s="1292"/>
      <c r="Q141" s="1292"/>
      <c r="R141" s="1292"/>
      <c r="S141" s="1292"/>
      <c r="T141" s="1292"/>
      <c r="U141" s="1292"/>
      <c r="V141" s="1292"/>
      <c r="W141" s="1292"/>
      <c r="X141" s="1292"/>
      <c r="Y141" s="1292"/>
      <c r="Z141" s="1292"/>
      <c r="AA141" s="1292"/>
      <c r="AB141" s="1292"/>
      <c r="AC141" s="1292"/>
      <c r="AD141" s="1283"/>
      <c r="AE141" s="1283"/>
      <c r="AF141" s="1280" t="s">
        <v>146</v>
      </c>
      <c r="AG141" s="1280"/>
      <c r="AH141" s="1284">
        <f>'Adm Local'!Y64*'Adm Local'!AG$111</f>
        <v>1</v>
      </c>
      <c r="AI141" s="1284"/>
      <c r="AJ141" s="1284"/>
      <c r="AK141" s="1285">
        <f>ROUND(+VLOOKUP(F141,'Mão de Obra'!A:J,9,"falso")*(1+$R$11),2)</f>
        <v>6401.81</v>
      </c>
      <c r="AL141" s="1285"/>
      <c r="AM141" s="1285"/>
      <c r="AN141" s="1285"/>
      <c r="AO141" s="1286">
        <f>IF(F141="","",TRUNC((AH141*AK141),2))</f>
        <v>6401.81</v>
      </c>
      <c r="AP141" s="1286"/>
      <c r="AQ141" s="1286"/>
      <c r="AR141" s="1287"/>
      <c r="AU141" s="1309">
        <f>ROUND((AK141/(1+$R$11)),2)</f>
        <v>5166.5</v>
      </c>
      <c r="AV141" s="1288">
        <f>ROUND(AH141*AU141,2)</f>
        <v>5166.5</v>
      </c>
      <c r="AX141" s="1309"/>
      <c r="AY141" s="1288"/>
      <c r="AZ141" s="1288"/>
    </row>
    <row r="142" s="1255" customFormat="1" ht="17.4" customHeight="1" spans="1:52">
      <c r="A142" s="1389" t="str">
        <f>CONCATENATE(A139,".2")</f>
        <v>5.3.2</v>
      </c>
      <c r="B142" s="1390"/>
      <c r="C142" s="1428"/>
      <c r="D142" s="1428"/>
      <c r="E142" s="1428"/>
      <c r="F142" s="1391"/>
      <c r="G142" s="1391"/>
      <c r="H142" s="1391"/>
      <c r="I142" s="1392" t="s">
        <v>160</v>
      </c>
      <c r="J142" s="1392"/>
      <c r="K142" s="1392"/>
      <c r="L142" s="1392"/>
      <c r="M142" s="1392"/>
      <c r="N142" s="1392"/>
      <c r="O142" s="1392"/>
      <c r="P142" s="1392"/>
      <c r="Q142" s="1392"/>
      <c r="R142" s="1392"/>
      <c r="S142" s="1392"/>
      <c r="T142" s="1392"/>
      <c r="U142" s="1392"/>
      <c r="V142" s="1392"/>
      <c r="W142" s="1392"/>
      <c r="X142" s="1392"/>
      <c r="Y142" s="1392"/>
      <c r="Z142" s="1392"/>
      <c r="AA142" s="1392"/>
      <c r="AB142" s="1392"/>
      <c r="AC142" s="1392"/>
      <c r="AD142" s="1391"/>
      <c r="AE142" s="1391"/>
      <c r="AF142" s="1391"/>
      <c r="AG142" s="1391"/>
      <c r="AH142" s="1393"/>
      <c r="AI142" s="1393"/>
      <c r="AJ142" s="1393"/>
      <c r="AK142" s="1394"/>
      <c r="AL142" s="1394"/>
      <c r="AM142" s="1394"/>
      <c r="AN142" s="1394"/>
      <c r="AO142" s="1394">
        <f>SUM(AO143:AR145)</f>
        <v>4521.85</v>
      </c>
      <c r="AP142" s="1394"/>
      <c r="AQ142" s="1394"/>
      <c r="AR142" s="1395"/>
      <c r="AS142" s="1370"/>
    </row>
    <row r="143" ht="17.4" customHeight="1" spans="1:52">
      <c r="A143" s="1278" t="str">
        <f>CONCATENATE(A142,".1")</f>
        <v>5.3.2.1</v>
      </c>
      <c r="B143" s="1279"/>
      <c r="C143" s="1343" t="s">
        <v>97</v>
      </c>
      <c r="D143" s="1343"/>
      <c r="E143" s="1343"/>
      <c r="F143" s="1281" t="str">
        <f>'Adm Local'!F68:H68</f>
        <v>P9858</v>
      </c>
      <c r="G143" s="1281"/>
      <c r="H143" s="1281"/>
      <c r="I143" s="1292" t="s">
        <v>161</v>
      </c>
      <c r="J143" s="1292"/>
      <c r="K143" s="1292"/>
      <c r="L143" s="1292"/>
      <c r="M143" s="1292"/>
      <c r="N143" s="1292"/>
      <c r="O143" s="1292"/>
      <c r="P143" s="1292"/>
      <c r="Q143" s="1292"/>
      <c r="R143" s="1292"/>
      <c r="S143" s="1292"/>
      <c r="T143" s="1292"/>
      <c r="U143" s="1292"/>
      <c r="V143" s="1292"/>
      <c r="W143" s="1292"/>
      <c r="X143" s="1292"/>
      <c r="Y143" s="1292"/>
      <c r="Z143" s="1292"/>
      <c r="AA143" s="1292"/>
      <c r="AB143" s="1292"/>
      <c r="AC143" s="1292"/>
      <c r="AD143" s="1283"/>
      <c r="AE143" s="1283"/>
      <c r="AF143" s="1280" t="s">
        <v>146</v>
      </c>
      <c r="AG143" s="1280"/>
      <c r="AH143" s="1284">
        <f>'Adm Local'!Y68*'Adm Local'!AG$112</f>
        <v>0.13</v>
      </c>
      <c r="AI143" s="1284"/>
      <c r="AJ143" s="1284"/>
      <c r="AK143" s="1285">
        <f>ROUND(+VLOOKUP(F143,'Mão de Obra'!A:J,9,"falso")*(1+$R$11),2)</f>
        <v>8459.2</v>
      </c>
      <c r="AL143" s="1285"/>
      <c r="AM143" s="1285"/>
      <c r="AN143" s="1285"/>
      <c r="AO143" s="1286">
        <f>IF(F143="","",ROUND((AH143*AK143),2))</f>
        <v>1099.7</v>
      </c>
      <c r="AP143" s="1286"/>
      <c r="AQ143" s="1286"/>
      <c r="AR143" s="1287"/>
      <c r="AU143" s="1309">
        <f>ROUND((AK143/(1+$R$11)),2)</f>
        <v>6826.89</v>
      </c>
      <c r="AV143" s="1288">
        <f>ROUND(AH143*AU143,2)</f>
        <v>887.5</v>
      </c>
      <c r="AX143" s="1309"/>
      <c r="AY143" s="1288"/>
      <c r="AZ143" s="1288"/>
    </row>
    <row r="144" ht="17.4" customHeight="1" spans="1:52">
      <c r="A144" s="1278" t="str">
        <f>CONCATENATE(A142,".2")</f>
        <v>5.3.2.2</v>
      </c>
      <c r="B144" s="1279"/>
      <c r="C144" s="1346" t="s">
        <v>97</v>
      </c>
      <c r="D144" s="1346"/>
      <c r="E144" s="1346"/>
      <c r="F144" s="1281" t="str">
        <f>'Adm Local'!F69:H69</f>
        <v>P9833</v>
      </c>
      <c r="G144" s="1281"/>
      <c r="H144" s="1281"/>
      <c r="I144" s="1292" t="s">
        <v>162</v>
      </c>
      <c r="J144" s="1292"/>
      <c r="K144" s="1292"/>
      <c r="L144" s="1292"/>
      <c r="M144" s="1292"/>
      <c r="N144" s="1292"/>
      <c r="O144" s="1292"/>
      <c r="P144" s="1292"/>
      <c r="Q144" s="1292"/>
      <c r="R144" s="1292"/>
      <c r="S144" s="1292"/>
      <c r="T144" s="1292"/>
      <c r="U144" s="1292"/>
      <c r="V144" s="1292"/>
      <c r="W144" s="1292"/>
      <c r="X144" s="1292"/>
      <c r="Y144" s="1292"/>
      <c r="Z144" s="1292"/>
      <c r="AA144" s="1292"/>
      <c r="AB144" s="1292"/>
      <c r="AC144" s="1292"/>
      <c r="AD144" s="1283"/>
      <c r="AE144" s="1283"/>
      <c r="AF144" s="1280" t="s">
        <v>146</v>
      </c>
      <c r="AG144" s="1280"/>
      <c r="AH144" s="1284">
        <f>'Adm Local'!Y69*'Adm Local'!AG$112</f>
        <v>0.26</v>
      </c>
      <c r="AI144" s="1284"/>
      <c r="AJ144" s="1284"/>
      <c r="AK144" s="1285">
        <f>ROUND(+VLOOKUP(F144,'Mão de Obra'!A:J,9,"falso")*(1+$R$11),2)</f>
        <v>6090.88</v>
      </c>
      <c r="AL144" s="1285"/>
      <c r="AM144" s="1285"/>
      <c r="AN144" s="1285"/>
      <c r="AO144" s="1286">
        <f>IF(F144="","",ROUND((AH144*AK144),2))</f>
        <v>1583.63</v>
      </c>
      <c r="AP144" s="1286"/>
      <c r="AQ144" s="1286"/>
      <c r="AR144" s="1287"/>
      <c r="AU144" s="1309">
        <f>ROUND((AK144/(1+$R$11)),2)</f>
        <v>4915.57</v>
      </c>
      <c r="AV144" s="1288">
        <f>ROUND(AH144*AU144,2)</f>
        <v>1278.05</v>
      </c>
      <c r="AX144" s="1309"/>
      <c r="AY144" s="1288"/>
      <c r="AZ144" s="1288"/>
    </row>
    <row r="145" ht="17.4" customHeight="1" spans="1:52">
      <c r="A145" s="1278" t="str">
        <f>CONCATENATE(A142,".3")</f>
        <v>5.3.2.3</v>
      </c>
      <c r="B145" s="1279"/>
      <c r="C145" s="1346" t="s">
        <v>97</v>
      </c>
      <c r="D145" s="1346"/>
      <c r="E145" s="1346"/>
      <c r="F145" s="1281" t="str">
        <f>'Adm Local'!F74:H74</f>
        <v>E9125</v>
      </c>
      <c r="G145" s="1281"/>
      <c r="H145" s="1281"/>
      <c r="I145" s="1292" t="s">
        <v>154</v>
      </c>
      <c r="J145" s="1292"/>
      <c r="K145" s="1292"/>
      <c r="L145" s="1292"/>
      <c r="M145" s="1292"/>
      <c r="N145" s="1292"/>
      <c r="O145" s="1292"/>
      <c r="P145" s="1292"/>
      <c r="Q145" s="1292"/>
      <c r="R145" s="1292"/>
      <c r="S145" s="1292"/>
      <c r="T145" s="1292"/>
      <c r="U145" s="1292"/>
      <c r="V145" s="1292"/>
      <c r="W145" s="1292"/>
      <c r="X145" s="1292"/>
      <c r="Y145" s="1292"/>
      <c r="Z145" s="1292"/>
      <c r="AA145" s="1292"/>
      <c r="AB145" s="1292"/>
      <c r="AC145" s="1292"/>
      <c r="AD145" s="1283"/>
      <c r="AE145" s="1283"/>
      <c r="AF145" s="1280" t="s">
        <v>146</v>
      </c>
      <c r="AG145" s="1280"/>
      <c r="AH145" s="1284">
        <f>'Adm Local'!Y74*'Adm Local'!AG$112</f>
        <v>0.13</v>
      </c>
      <c r="AI145" s="1284"/>
      <c r="AJ145" s="1284"/>
      <c r="AK145" s="1285">
        <f>ROUND('Adm Local'!AO74*(1+$R$11),2)</f>
        <v>14142.44</v>
      </c>
      <c r="AL145" s="1285"/>
      <c r="AM145" s="1285"/>
      <c r="AN145" s="1285"/>
      <c r="AO145" s="1286">
        <f>IF(F145="","",ROUND((AH145*AK145),2))</f>
        <v>1838.52</v>
      </c>
      <c r="AP145" s="1286"/>
      <c r="AQ145" s="1286"/>
      <c r="AR145" s="1287"/>
      <c r="AU145" s="1309">
        <f>ROUND((AK145/(1+$R$11)),2)</f>
        <v>11413.48</v>
      </c>
      <c r="AV145" s="1288">
        <f>ROUND(AH145*AU145,2)</f>
        <v>1483.75</v>
      </c>
      <c r="AX145" s="1309"/>
      <c r="AY145" s="1288"/>
      <c r="AZ145" s="1288"/>
    </row>
    <row r="146" s="1253" customFormat="1" ht="17.4" customHeight="1" spans="1:52">
      <c r="A146" s="1271" t="str">
        <f>CONCATENATE(A124,".4")</f>
        <v>5.4</v>
      </c>
      <c r="B146" s="1272"/>
      <c r="C146" s="1296"/>
      <c r="D146" s="1296"/>
      <c r="E146" s="1296"/>
      <c r="F146" s="1273"/>
      <c r="G146" s="1273"/>
      <c r="H146" s="1273"/>
      <c r="I146" s="1274" t="s">
        <v>163</v>
      </c>
      <c r="J146" s="1274"/>
      <c r="K146" s="1274"/>
      <c r="L146" s="1274"/>
      <c r="M146" s="1274"/>
      <c r="N146" s="1274"/>
      <c r="O146" s="1274"/>
      <c r="P146" s="1274"/>
      <c r="Q146" s="1274"/>
      <c r="R146" s="1274"/>
      <c r="S146" s="1274"/>
      <c r="T146" s="1274"/>
      <c r="U146" s="1274"/>
      <c r="V146" s="1274"/>
      <c r="W146" s="1274"/>
      <c r="X146" s="1274"/>
      <c r="Y146" s="1274"/>
      <c r="Z146" s="1274"/>
      <c r="AA146" s="1274"/>
      <c r="AB146" s="1274"/>
      <c r="AC146" s="1274"/>
      <c r="AD146" s="1273"/>
      <c r="AE146" s="1273"/>
      <c r="AF146" s="1273"/>
      <c r="AG146" s="1273"/>
      <c r="AH146" s="1425"/>
      <c r="AI146" s="1425"/>
      <c r="AJ146" s="1425"/>
      <c r="AK146" s="1275"/>
      <c r="AL146" s="1275"/>
      <c r="AM146" s="1275"/>
      <c r="AN146" s="1275"/>
      <c r="AO146" s="1275">
        <f ca="1">SUM(AO147)</f>
        <v>2441.52</v>
      </c>
      <c r="AP146" s="1275"/>
      <c r="AQ146" s="1275"/>
      <c r="AR146" s="1399"/>
      <c r="AS146" s="1277"/>
    </row>
    <row r="147" ht="17.4" customHeight="1" spans="1:52">
      <c r="A147" s="1278" t="str">
        <f>CONCATENATE(A146,".1")</f>
        <v>5.4.1</v>
      </c>
      <c r="B147" s="1279"/>
      <c r="C147" s="1280" t="s">
        <v>79</v>
      </c>
      <c r="D147" s="1280"/>
      <c r="E147" s="1280"/>
      <c r="F147" s="1281"/>
      <c r="G147" s="1281"/>
      <c r="H147" s="1281"/>
      <c r="I147" s="1292" t="s">
        <v>164</v>
      </c>
      <c r="J147" s="1292"/>
      <c r="K147" s="1292"/>
      <c r="L147" s="1292"/>
      <c r="M147" s="1292"/>
      <c r="N147" s="1292"/>
      <c r="O147" s="1292"/>
      <c r="P147" s="1292"/>
      <c r="Q147" s="1292"/>
      <c r="R147" s="1292"/>
      <c r="S147" s="1292"/>
      <c r="T147" s="1292"/>
      <c r="U147" s="1292"/>
      <c r="V147" s="1292"/>
      <c r="W147" s="1292"/>
      <c r="X147" s="1292"/>
      <c r="Y147" s="1292"/>
      <c r="Z147" s="1292"/>
      <c r="AA147" s="1292"/>
      <c r="AB147" s="1292"/>
      <c r="AC147" s="1292"/>
      <c r="AD147" s="1283"/>
      <c r="AE147" s="1283"/>
      <c r="AF147" s="1280" t="s">
        <v>146</v>
      </c>
      <c r="AG147" s="1280"/>
      <c r="AH147" s="1284">
        <f>'Adm Local'!AG115</f>
        <v>2</v>
      </c>
      <c r="AI147" s="1284"/>
      <c r="AJ147" s="1284"/>
      <c r="AK147" s="1285">
        <f ca="1">ROUND('Adm Local'!AO93*(1+$R$11),2)</f>
        <v>1220.76</v>
      </c>
      <c r="AL147" s="1285"/>
      <c r="AM147" s="1285"/>
      <c r="AN147" s="1285"/>
      <c r="AO147" s="1286">
        <f ca="1">TRUNC((AH147*AK147),2)</f>
        <v>2441.52</v>
      </c>
      <c r="AP147" s="1286"/>
      <c r="AQ147" s="1286"/>
      <c r="AR147" s="1287"/>
      <c r="AU147" s="1309">
        <f ca="1">ROUND((AK147/(1+$R$11)),2)</f>
        <v>985.2</v>
      </c>
      <c r="AV147" s="1288">
        <f ca="1">ROUND(AH147*AU147,2)</f>
        <v>1970.4</v>
      </c>
      <c r="AX147" s="1309"/>
      <c r="AY147" s="1288"/>
      <c r="AZ147" s="1288"/>
    </row>
    <row r="148" s="1253" customFormat="1" ht="17.4" customHeight="1" spans="1:52">
      <c r="A148" s="1271" t="str">
        <f>CONCATENATE(A124,".5")</f>
        <v>5.5</v>
      </c>
      <c r="B148" s="1272"/>
      <c r="C148" s="1296"/>
      <c r="D148" s="1296"/>
      <c r="E148" s="1296"/>
      <c r="F148" s="1273"/>
      <c r="G148" s="1273"/>
      <c r="H148" s="1273"/>
      <c r="I148" s="1274" t="s">
        <v>165</v>
      </c>
      <c r="J148" s="1274"/>
      <c r="K148" s="1274"/>
      <c r="L148" s="1274"/>
      <c r="M148" s="1274"/>
      <c r="N148" s="1274"/>
      <c r="O148" s="1274"/>
      <c r="P148" s="1274"/>
      <c r="Q148" s="1274"/>
      <c r="R148" s="1274"/>
      <c r="S148" s="1274"/>
      <c r="T148" s="1274"/>
      <c r="U148" s="1274"/>
      <c r="V148" s="1274"/>
      <c r="W148" s="1274"/>
      <c r="X148" s="1274"/>
      <c r="Y148" s="1274"/>
      <c r="Z148" s="1274"/>
      <c r="AA148" s="1274"/>
      <c r="AB148" s="1274"/>
      <c r="AC148" s="1274"/>
      <c r="AD148" s="1273"/>
      <c r="AE148" s="1273"/>
      <c r="AF148" s="1273"/>
      <c r="AG148" s="1273"/>
      <c r="AH148" s="1425"/>
      <c r="AI148" s="1425"/>
      <c r="AJ148" s="1425"/>
      <c r="AK148" s="1275"/>
      <c r="AL148" s="1275"/>
      <c r="AM148" s="1275"/>
      <c r="AN148" s="1275"/>
      <c r="AO148" s="1275">
        <f ca="1">SUM(AO149)</f>
        <v>4402.93</v>
      </c>
      <c r="AP148" s="1275"/>
      <c r="AQ148" s="1275"/>
      <c r="AR148" s="1399"/>
      <c r="AS148" s="1277"/>
    </row>
    <row r="149" ht="17.4" customHeight="1" spans="1:52">
      <c r="A149" s="1278" t="str">
        <f>CONCATENATE(A148,".1")</f>
        <v>5.5.1</v>
      </c>
      <c r="B149" s="1279"/>
      <c r="C149" s="1280" t="s">
        <v>79</v>
      </c>
      <c r="D149" s="1280"/>
      <c r="E149" s="1280"/>
      <c r="F149" s="1281"/>
      <c r="G149" s="1281"/>
      <c r="H149" s="1281"/>
      <c r="I149" s="1292" t="s">
        <v>166</v>
      </c>
      <c r="J149" s="1292"/>
      <c r="K149" s="1292"/>
      <c r="L149" s="1292"/>
      <c r="M149" s="1292"/>
      <c r="N149" s="1292"/>
      <c r="O149" s="1292"/>
      <c r="P149" s="1292"/>
      <c r="Q149" s="1292"/>
      <c r="R149" s="1292"/>
      <c r="S149" s="1292"/>
      <c r="T149" s="1292"/>
      <c r="U149" s="1292"/>
      <c r="V149" s="1292"/>
      <c r="W149" s="1292"/>
      <c r="X149" s="1292"/>
      <c r="Y149" s="1292"/>
      <c r="Z149" s="1292"/>
      <c r="AA149" s="1292"/>
      <c r="AB149" s="1292"/>
      <c r="AC149" s="1292"/>
      <c r="AD149" s="1283"/>
      <c r="AE149" s="1283"/>
      <c r="AF149" s="1280" t="s">
        <v>82</v>
      </c>
      <c r="AG149" s="1280"/>
      <c r="AH149" s="1284">
        <v>1</v>
      </c>
      <c r="AI149" s="1284"/>
      <c r="AJ149" s="1284"/>
      <c r="AK149" s="1285">
        <f ca="1">ROUND('Adm Local'!AO121*(1+$R$11),2)</f>
        <v>4402.93</v>
      </c>
      <c r="AL149" s="1285"/>
      <c r="AM149" s="1285"/>
      <c r="AN149" s="1285"/>
      <c r="AO149" s="1286">
        <f ca="1">TRUNC((AH149*AK149),2)</f>
        <v>4402.93</v>
      </c>
      <c r="AP149" s="1286"/>
      <c r="AQ149" s="1286"/>
      <c r="AR149" s="1287"/>
      <c r="AU149" s="1309">
        <f ca="1">ROUND((AK149/(1+$R$11)),2)</f>
        <v>3553.33</v>
      </c>
      <c r="AV149" s="1288">
        <f ca="1">ROUND(AH149*AU149,2)</f>
        <v>3553.33</v>
      </c>
      <c r="AX149" s="1309"/>
      <c r="AY149" s="1288"/>
      <c r="AZ149" s="1288"/>
    </row>
    <row r="150" ht="17.4" customHeight="1" spans="1:52">
      <c r="A150" s="1429"/>
      <c r="B150" s="1430"/>
      <c r="C150" s="1431"/>
      <c r="D150" s="1431"/>
      <c r="E150" s="1431"/>
      <c r="F150" s="1431"/>
      <c r="G150" s="1431"/>
      <c r="H150" s="1431"/>
      <c r="I150" s="1432" t="s">
        <v>68</v>
      </c>
      <c r="J150" s="1432"/>
      <c r="K150" s="1432"/>
      <c r="L150" s="1432"/>
      <c r="M150" s="1432"/>
      <c r="N150" s="1432"/>
      <c r="O150" s="1432"/>
      <c r="P150" s="1432"/>
      <c r="Q150" s="1432"/>
      <c r="R150" s="1432"/>
      <c r="S150" s="1432"/>
      <c r="T150" s="1432"/>
      <c r="U150" s="1432"/>
      <c r="V150" s="1432"/>
      <c r="W150" s="1432"/>
      <c r="X150" s="1432"/>
      <c r="Y150" s="1432"/>
      <c r="Z150" s="1432"/>
      <c r="AA150" s="1432"/>
      <c r="AB150" s="1431"/>
      <c r="AC150" s="1431"/>
      <c r="AD150" s="1431"/>
      <c r="AE150" s="1431"/>
      <c r="AF150" s="1431"/>
      <c r="AG150" s="1431"/>
      <c r="AH150" s="1433"/>
      <c r="AI150" s="1433"/>
      <c r="AJ150" s="1433"/>
      <c r="AK150" s="1434"/>
      <c r="AL150" s="1434"/>
      <c r="AM150" s="1434"/>
      <c r="AN150" s="1435"/>
      <c r="AO150" s="1436">
        <f ca="1">SUM(AO16,AO21,AO26,AO124)</f>
        <v>916673.12</v>
      </c>
      <c r="AP150" s="1436"/>
      <c r="AQ150" s="1436"/>
      <c r="AR150" s="1437"/>
      <c r="AV150" s="1438">
        <f ca="1">SUM(AV18:AV149)</f>
        <v>739782.97</v>
      </c>
      <c r="AW150" s="1438"/>
      <c r="AY150" s="1438"/>
    </row>
    <row r="151" ht="17.4" customHeight="1" spans="1:52">
      <c r="A151" s="1429"/>
      <c r="B151" s="1430"/>
      <c r="C151" s="1431"/>
      <c r="D151" s="1431"/>
      <c r="E151" s="1431"/>
      <c r="F151" s="1431"/>
      <c r="G151" s="1431"/>
      <c r="H151" s="1431"/>
      <c r="I151" s="1432" t="s">
        <v>69</v>
      </c>
      <c r="J151" s="1432"/>
      <c r="K151" s="1432"/>
      <c r="L151" s="1432"/>
      <c r="M151" s="1432"/>
      <c r="N151" s="1432"/>
      <c r="O151" s="1432"/>
      <c r="P151" s="1432"/>
      <c r="Q151" s="1432"/>
      <c r="R151" s="1432"/>
      <c r="S151" s="1432"/>
      <c r="T151" s="1432"/>
      <c r="U151" s="1432"/>
      <c r="V151" s="1432"/>
      <c r="W151" s="1432"/>
      <c r="X151" s="1432"/>
      <c r="Y151" s="1432"/>
      <c r="Z151" s="1432"/>
      <c r="AA151" s="1432"/>
      <c r="AB151" s="1431"/>
      <c r="AC151" s="1431"/>
      <c r="AD151" s="1431"/>
      <c r="AE151" s="1431"/>
      <c r="AF151" s="1431"/>
      <c r="AG151" s="1431"/>
      <c r="AH151" s="1433"/>
      <c r="AI151" s="1433"/>
      <c r="AJ151" s="1433"/>
      <c r="AK151" s="1434"/>
      <c r="AL151" s="1434"/>
      <c r="AM151" s="1434"/>
      <c r="AN151" s="1435"/>
      <c r="AO151" s="1436">
        <f ca="1">AO150/AO8</f>
        <v>10185.2568888889</v>
      </c>
      <c r="AP151" s="1436"/>
      <c r="AQ151" s="1436"/>
      <c r="AR151" s="1437"/>
    </row>
    <row r="152" customHeight="1" spans="1:52">
      <c r="AO152" s="678"/>
      <c r="AP152" s="678"/>
      <c r="AQ152" s="678"/>
      <c r="AR152" s="678"/>
    </row>
    <row r="153" customHeight="1" spans="1:52">
      <c r="F153" s="1439" t="s">
        <v>167</v>
      </c>
      <c r="G153" s="1440"/>
      <c r="H153" s="1440"/>
      <c r="I153" s="1440"/>
      <c r="J153" s="1440"/>
      <c r="K153" s="1440"/>
      <c r="L153" s="1440"/>
      <c r="M153" s="1440"/>
      <c r="N153" s="1440"/>
      <c r="O153" s="1440"/>
      <c r="P153" s="1440"/>
      <c r="Q153" s="1440"/>
      <c r="R153" s="1440"/>
      <c r="S153" s="1440"/>
      <c r="T153" s="1440"/>
      <c r="U153" s="1440"/>
      <c r="V153" s="1440"/>
      <c r="W153" s="1440"/>
      <c r="X153" s="1440"/>
      <c r="Y153" s="1440"/>
      <c r="Z153" s="1440"/>
      <c r="AA153" s="1440"/>
      <c r="AB153" s="1440"/>
      <c r="AC153" s="1440"/>
      <c r="AD153" s="1440"/>
      <c r="AE153" s="1440"/>
      <c r="AF153" s="1440"/>
      <c r="AG153" s="1440"/>
      <c r="AH153" s="1440"/>
      <c r="AI153" s="1440"/>
      <c r="AJ153" s="1440"/>
      <c r="AK153" s="1440"/>
      <c r="AL153" s="1440"/>
      <c r="AM153" s="1440"/>
      <c r="AN153" s="1440"/>
      <c r="AO153" s="1440"/>
      <c r="AP153" s="1441"/>
    </row>
    <row r="154" customHeight="1" spans="1:52">
      <c r="F154" s="1442"/>
      <c r="G154" s="1443"/>
      <c r="H154" s="1443"/>
      <c r="I154" s="1443"/>
      <c r="J154" s="1443"/>
      <c r="K154" s="1443"/>
      <c r="L154" s="1443"/>
      <c r="M154" s="1443"/>
      <c r="N154" s="1443"/>
      <c r="O154" s="1443"/>
      <c r="P154" s="1443"/>
      <c r="Q154" s="1443"/>
      <c r="R154" s="1443"/>
      <c r="S154" s="1443"/>
      <c r="T154" s="1443"/>
      <c r="U154" s="1443"/>
      <c r="V154" s="1443"/>
      <c r="W154" s="1443"/>
      <c r="X154" s="1443"/>
      <c r="Y154" s="1443"/>
      <c r="Z154" s="1443"/>
      <c r="AA154" s="1443"/>
      <c r="AB154" s="1443"/>
      <c r="AC154" s="1443"/>
      <c r="AD154" s="1443"/>
      <c r="AE154" s="1443"/>
      <c r="AF154" s="1443"/>
      <c r="AG154" s="1443"/>
      <c r="AH154" s="1443"/>
      <c r="AI154" s="1443"/>
      <c r="AJ154" s="1443"/>
      <c r="AK154" s="1443"/>
      <c r="AL154" s="1443"/>
      <c r="AM154" s="1443"/>
      <c r="AN154" s="1443"/>
      <c r="AO154" s="1443"/>
      <c r="AP154" s="1444"/>
    </row>
    <row r="155" customHeight="1" spans="1:52">
      <c r="F155" s="1439" t="s">
        <v>168</v>
      </c>
      <c r="G155" s="1440"/>
      <c r="H155" s="1440"/>
      <c r="I155" s="1440"/>
      <c r="J155" s="1440"/>
      <c r="K155" s="1440"/>
      <c r="L155" s="1440"/>
      <c r="M155" s="1440"/>
      <c r="N155" s="1440"/>
      <c r="O155" s="1440"/>
      <c r="P155" s="1440"/>
      <c r="Q155" s="1440"/>
      <c r="R155" s="1440"/>
      <c r="S155" s="1440"/>
      <c r="T155" s="1440"/>
      <c r="U155" s="1440"/>
      <c r="V155" s="1440"/>
      <c r="W155" s="1440"/>
      <c r="X155" s="1440"/>
      <c r="Y155" s="1440"/>
      <c r="Z155" s="1440"/>
      <c r="AA155" s="1440"/>
      <c r="AB155" s="1440"/>
      <c r="AC155" s="1440"/>
      <c r="AD155" s="1440"/>
      <c r="AE155" s="1440"/>
      <c r="AF155" s="1440"/>
      <c r="AG155" s="1440"/>
      <c r="AH155" s="1440"/>
      <c r="AI155" s="1440"/>
      <c r="AJ155" s="1440"/>
      <c r="AK155" s="1440"/>
      <c r="AL155" s="1440"/>
      <c r="AM155" s="1440"/>
      <c r="AN155" s="1440"/>
      <c r="AO155" s="1440"/>
      <c r="AP155" s="1441"/>
    </row>
    <row r="156" customHeight="1" spans="1:52">
      <c r="F156" s="1442"/>
      <c r="G156" s="1443"/>
      <c r="H156" s="1443"/>
      <c r="I156" s="1443"/>
      <c r="J156" s="1443"/>
      <c r="K156" s="1443"/>
      <c r="L156" s="1443"/>
      <c r="M156" s="1443"/>
      <c r="N156" s="1443"/>
      <c r="O156" s="1443"/>
      <c r="P156" s="1443"/>
      <c r="Q156" s="1443"/>
      <c r="R156" s="1443"/>
      <c r="S156" s="1443"/>
      <c r="T156" s="1443"/>
      <c r="U156" s="1443"/>
      <c r="V156" s="1443"/>
      <c r="W156" s="1443"/>
      <c r="X156" s="1443"/>
      <c r="Y156" s="1443"/>
      <c r="Z156" s="1443"/>
      <c r="AA156" s="1443"/>
      <c r="AB156" s="1443"/>
      <c r="AC156" s="1443"/>
      <c r="AD156" s="1443"/>
      <c r="AE156" s="1443"/>
      <c r="AF156" s="1443"/>
      <c r="AG156" s="1443"/>
      <c r="AH156" s="1443"/>
      <c r="AI156" s="1443"/>
      <c r="AJ156" s="1443"/>
      <c r="AK156" s="1443"/>
      <c r="AL156" s="1443"/>
      <c r="AM156" s="1443"/>
      <c r="AN156" s="1443"/>
      <c r="AO156" s="1443"/>
      <c r="AP156" s="1444"/>
      <c r="AU156" s="1445" t="s">
        <v>169</v>
      </c>
      <c r="AV156" s="1445" t="s">
        <v>170</v>
      </c>
      <c r="AW156" s="1445" t="s">
        <v>171</v>
      </c>
      <c r="AX156" s="1445" t="s">
        <v>172</v>
      </c>
      <c r="AY156" s="1445" t="s">
        <v>173</v>
      </c>
      <c r="AZ156" s="1445"/>
    </row>
    <row r="157" customHeight="1" spans="1:52">
      <c r="F157" s="1259">
        <v>1106057</v>
      </c>
      <c r="G157" s="1260"/>
      <c r="H157" s="1261"/>
      <c r="I157" s="1446" t="s">
        <v>109</v>
      </c>
      <c r="J157" s="1447"/>
      <c r="K157" s="1447"/>
      <c r="L157" s="1447"/>
      <c r="M157" s="1447"/>
      <c r="N157" s="1447"/>
      <c r="O157" s="1447"/>
      <c r="P157" s="1447"/>
      <c r="Q157" s="1447"/>
      <c r="R157" s="1447"/>
      <c r="S157" s="1447"/>
      <c r="T157" s="1447"/>
      <c r="U157" s="1447"/>
      <c r="V157" s="1447"/>
      <c r="W157" s="1447"/>
      <c r="X157" s="1447"/>
      <c r="Y157" s="1447"/>
      <c r="Z157" s="1447"/>
      <c r="AA157" s="1448"/>
      <c r="AB157" s="1259"/>
      <c r="AC157" s="1261"/>
      <c r="AD157" s="1259" t="s">
        <v>99</v>
      </c>
      <c r="AE157" s="1261"/>
      <c r="AF157" s="1449">
        <v>8.54</v>
      </c>
      <c r="AG157" s="1450"/>
      <c r="AH157" s="1451"/>
      <c r="AI157" s="1449">
        <v>1213.636495</v>
      </c>
      <c r="AJ157" s="1450"/>
      <c r="AK157" s="1450"/>
      <c r="AL157" s="1451"/>
      <c r="AM157" s="1449">
        <f>AF157*AI157</f>
        <v>10364.4556673</v>
      </c>
      <c r="AN157" s="1450"/>
      <c r="AO157" s="1450"/>
      <c r="AP157" s="1451"/>
      <c r="AU157" s="1452">
        <v>0</v>
      </c>
      <c r="AV157" s="1452">
        <v>5.1195592</v>
      </c>
      <c r="AW157" s="1452">
        <v>0</v>
      </c>
      <c r="AX157" s="1452">
        <v>6.2775832</v>
      </c>
      <c r="AY157" s="1452">
        <v>2395.7618972</v>
      </c>
    </row>
    <row r="158" customHeight="1" spans="1:52">
      <c r="F158" s="1453"/>
      <c r="G158" s="1454"/>
      <c r="H158" s="1455"/>
      <c r="I158" s="1456"/>
      <c r="J158" s="1457"/>
      <c r="K158" s="1457"/>
      <c r="L158" s="1457"/>
      <c r="M158" s="1457"/>
      <c r="N158" s="1457"/>
      <c r="O158" s="1457"/>
      <c r="P158" s="1457"/>
      <c r="Q158" s="1457"/>
      <c r="R158" s="1457"/>
      <c r="S158" s="1457"/>
      <c r="T158" s="1457"/>
      <c r="U158" s="1457"/>
      <c r="V158" s="1457"/>
      <c r="W158" s="1457"/>
      <c r="X158" s="1457"/>
      <c r="Y158" s="1457"/>
      <c r="Z158" s="1457"/>
      <c r="AA158" s="1458"/>
      <c r="AB158" s="1453"/>
      <c r="AC158" s="1455"/>
      <c r="AD158" s="1453"/>
      <c r="AE158" s="1455"/>
      <c r="AF158" s="1459"/>
      <c r="AG158" s="1460"/>
      <c r="AH158" s="1461"/>
      <c r="AI158" s="1459"/>
      <c r="AJ158" s="1460"/>
      <c r="AK158" s="1460"/>
      <c r="AL158" s="1461"/>
      <c r="AM158" s="1459"/>
      <c r="AN158" s="1460"/>
      <c r="AO158" s="1460"/>
      <c r="AP158" s="1461"/>
      <c r="AU158" s="1452"/>
      <c r="AV158" s="1452"/>
      <c r="AW158" s="1452"/>
      <c r="AX158" s="1452"/>
      <c r="AY158" s="1452"/>
    </row>
    <row r="159" customHeight="1" spans="1:52">
      <c r="F159" s="1259">
        <v>1107888</v>
      </c>
      <c r="G159" s="1260"/>
      <c r="H159" s="1261"/>
      <c r="I159" s="1446" t="s">
        <v>174</v>
      </c>
      <c r="J159" s="1447"/>
      <c r="K159" s="1447"/>
      <c r="L159" s="1447"/>
      <c r="M159" s="1447"/>
      <c r="N159" s="1447"/>
      <c r="O159" s="1447"/>
      <c r="P159" s="1447"/>
      <c r="Q159" s="1447"/>
      <c r="R159" s="1447"/>
      <c r="S159" s="1447"/>
      <c r="T159" s="1447"/>
      <c r="U159" s="1447"/>
      <c r="V159" s="1447"/>
      <c r="W159" s="1447"/>
      <c r="X159" s="1447"/>
      <c r="Y159" s="1447"/>
      <c r="Z159" s="1447"/>
      <c r="AA159" s="1448"/>
      <c r="AB159" s="1259"/>
      <c r="AC159" s="1261"/>
      <c r="AD159" s="1259" t="s">
        <v>99</v>
      </c>
      <c r="AE159" s="1261"/>
      <c r="AF159" s="1449">
        <v>0</v>
      </c>
      <c r="AG159" s="1450"/>
      <c r="AH159" s="1451"/>
      <c r="AI159" s="1449">
        <v>1209.968759</v>
      </c>
      <c r="AJ159" s="1450"/>
      <c r="AK159" s="1450"/>
      <c r="AL159" s="1451"/>
      <c r="AM159" s="1449">
        <f>AF159*AI159</f>
        <v>0</v>
      </c>
      <c r="AN159" s="1450"/>
      <c r="AO159" s="1450"/>
      <c r="AP159" s="1451"/>
      <c r="AU159" s="1452">
        <v>0</v>
      </c>
      <c r="AV159" s="1452">
        <v>0</v>
      </c>
      <c r="AW159" s="1452">
        <v>0</v>
      </c>
      <c r="AX159" s="1452">
        <v>0</v>
      </c>
      <c r="AY159" s="1452">
        <v>0</v>
      </c>
    </row>
    <row r="160" customHeight="1" spans="1:52">
      <c r="F160" s="1453"/>
      <c r="G160" s="1454"/>
      <c r="H160" s="1455"/>
      <c r="I160" s="1456"/>
      <c r="J160" s="1457"/>
      <c r="K160" s="1457"/>
      <c r="L160" s="1457"/>
      <c r="M160" s="1457"/>
      <c r="N160" s="1457"/>
      <c r="O160" s="1457"/>
      <c r="P160" s="1457"/>
      <c r="Q160" s="1457"/>
      <c r="R160" s="1457"/>
      <c r="S160" s="1457"/>
      <c r="T160" s="1457"/>
      <c r="U160" s="1457"/>
      <c r="V160" s="1457"/>
      <c r="W160" s="1457"/>
      <c r="X160" s="1457"/>
      <c r="Y160" s="1457"/>
      <c r="Z160" s="1457"/>
      <c r="AA160" s="1458"/>
      <c r="AB160" s="1453"/>
      <c r="AC160" s="1455"/>
      <c r="AD160" s="1453"/>
      <c r="AE160" s="1455"/>
      <c r="AF160" s="1459"/>
      <c r="AG160" s="1460"/>
      <c r="AH160" s="1461"/>
      <c r="AI160" s="1459"/>
      <c r="AJ160" s="1460"/>
      <c r="AK160" s="1460"/>
      <c r="AL160" s="1461"/>
      <c r="AM160" s="1459"/>
      <c r="AN160" s="1460"/>
      <c r="AO160" s="1460"/>
      <c r="AP160" s="1461"/>
      <c r="AU160" s="1452"/>
      <c r="AV160" s="1452"/>
      <c r="AW160" s="1452"/>
      <c r="AX160" s="1452"/>
      <c r="AY160" s="1452"/>
    </row>
    <row r="161" customHeight="1" spans="6:51">
      <c r="F161" s="1259">
        <v>1107928</v>
      </c>
      <c r="G161" s="1260"/>
      <c r="H161" s="1261"/>
      <c r="I161" s="1446" t="s">
        <v>175</v>
      </c>
      <c r="J161" s="1447"/>
      <c r="K161" s="1447"/>
      <c r="L161" s="1447"/>
      <c r="M161" s="1447"/>
      <c r="N161" s="1447"/>
      <c r="O161" s="1447"/>
      <c r="P161" s="1447"/>
      <c r="Q161" s="1447"/>
      <c r="R161" s="1447"/>
      <c r="S161" s="1447"/>
      <c r="T161" s="1447"/>
      <c r="U161" s="1447"/>
      <c r="V161" s="1447"/>
      <c r="W161" s="1447"/>
      <c r="X161" s="1447"/>
      <c r="Y161" s="1447"/>
      <c r="Z161" s="1447"/>
      <c r="AA161" s="1448"/>
      <c r="AB161" s="1259"/>
      <c r="AC161" s="1261"/>
      <c r="AD161" s="1259" t="s">
        <v>99</v>
      </c>
      <c r="AE161" s="1261"/>
      <c r="AF161" s="1449">
        <v>0</v>
      </c>
      <c r="AG161" s="1450"/>
      <c r="AH161" s="1451"/>
      <c r="AI161" s="1449">
        <v>1153.069287</v>
      </c>
      <c r="AJ161" s="1450"/>
      <c r="AK161" s="1450"/>
      <c r="AL161" s="1451"/>
      <c r="AM161" s="1449">
        <f>AF161*AI161</f>
        <v>0</v>
      </c>
      <c r="AN161" s="1450"/>
      <c r="AO161" s="1450"/>
      <c r="AP161" s="1451"/>
      <c r="AU161" s="1452">
        <v>0</v>
      </c>
      <c r="AV161" s="1452">
        <v>0</v>
      </c>
      <c r="AW161" s="1452">
        <v>0</v>
      </c>
      <c r="AX161" s="1452">
        <v>0</v>
      </c>
      <c r="AY161" s="1452">
        <v>0</v>
      </c>
    </row>
    <row r="162" customHeight="1" spans="6:51">
      <c r="F162" s="1453"/>
      <c r="G162" s="1454"/>
      <c r="H162" s="1455"/>
      <c r="I162" s="1456"/>
      <c r="J162" s="1457"/>
      <c r="K162" s="1457"/>
      <c r="L162" s="1457"/>
      <c r="M162" s="1457"/>
      <c r="N162" s="1457"/>
      <c r="O162" s="1457"/>
      <c r="P162" s="1457"/>
      <c r="Q162" s="1457"/>
      <c r="R162" s="1457"/>
      <c r="S162" s="1457"/>
      <c r="T162" s="1457"/>
      <c r="U162" s="1457"/>
      <c r="V162" s="1457"/>
      <c r="W162" s="1457"/>
      <c r="X162" s="1457"/>
      <c r="Y162" s="1457"/>
      <c r="Z162" s="1457"/>
      <c r="AA162" s="1458"/>
      <c r="AB162" s="1453"/>
      <c r="AC162" s="1455"/>
      <c r="AD162" s="1453"/>
      <c r="AE162" s="1455"/>
      <c r="AF162" s="1459"/>
      <c r="AG162" s="1460"/>
      <c r="AH162" s="1461"/>
      <c r="AI162" s="1459"/>
      <c r="AJ162" s="1460"/>
      <c r="AK162" s="1460"/>
      <c r="AL162" s="1461"/>
      <c r="AM162" s="1459"/>
      <c r="AN162" s="1460"/>
      <c r="AO162" s="1460"/>
      <c r="AP162" s="1461"/>
      <c r="AU162" s="1452"/>
      <c r="AV162" s="1452"/>
      <c r="AW162" s="1452"/>
      <c r="AX162" s="1452"/>
      <c r="AY162" s="1452"/>
    </row>
    <row r="163" customHeight="1" spans="6:51">
      <c r="F163" s="1259">
        <v>1106280</v>
      </c>
      <c r="G163" s="1260"/>
      <c r="H163" s="1261"/>
      <c r="I163" s="1446" t="s">
        <v>176</v>
      </c>
      <c r="J163" s="1447"/>
      <c r="K163" s="1447"/>
      <c r="L163" s="1447"/>
      <c r="M163" s="1447"/>
      <c r="N163" s="1447"/>
      <c r="O163" s="1447"/>
      <c r="P163" s="1447"/>
      <c r="Q163" s="1447"/>
      <c r="R163" s="1447"/>
      <c r="S163" s="1447"/>
      <c r="T163" s="1447"/>
      <c r="U163" s="1447"/>
      <c r="V163" s="1447"/>
      <c r="W163" s="1447"/>
      <c r="X163" s="1447"/>
      <c r="Y163" s="1447"/>
      <c r="Z163" s="1447"/>
      <c r="AA163" s="1448"/>
      <c r="AB163" s="1259"/>
      <c r="AC163" s="1261"/>
      <c r="AD163" s="1259" t="s">
        <v>99</v>
      </c>
      <c r="AE163" s="1261"/>
      <c r="AF163" s="1449">
        <v>0</v>
      </c>
      <c r="AG163" s="1450"/>
      <c r="AH163" s="1451"/>
      <c r="AI163" s="1449">
        <v>1225.854021</v>
      </c>
      <c r="AJ163" s="1450"/>
      <c r="AK163" s="1450"/>
      <c r="AL163" s="1451"/>
      <c r="AM163" s="1449">
        <f>AF163*AI163</f>
        <v>0</v>
      </c>
      <c r="AN163" s="1450"/>
      <c r="AO163" s="1450"/>
      <c r="AP163" s="1451"/>
      <c r="AU163" s="1452">
        <v>0</v>
      </c>
      <c r="AV163" s="1452">
        <v>0</v>
      </c>
      <c r="AW163" s="1452">
        <v>0</v>
      </c>
      <c r="AX163" s="1452">
        <v>0</v>
      </c>
      <c r="AY163" s="1452">
        <v>0</v>
      </c>
    </row>
    <row r="164" customHeight="1" spans="6:51">
      <c r="F164" s="1453"/>
      <c r="G164" s="1454"/>
      <c r="H164" s="1455"/>
      <c r="I164" s="1456"/>
      <c r="J164" s="1457"/>
      <c r="K164" s="1457"/>
      <c r="L164" s="1457"/>
      <c r="M164" s="1457"/>
      <c r="N164" s="1457"/>
      <c r="O164" s="1457"/>
      <c r="P164" s="1457"/>
      <c r="Q164" s="1457"/>
      <c r="R164" s="1457"/>
      <c r="S164" s="1457"/>
      <c r="T164" s="1457"/>
      <c r="U164" s="1457"/>
      <c r="V164" s="1457"/>
      <c r="W164" s="1457"/>
      <c r="X164" s="1457"/>
      <c r="Y164" s="1457"/>
      <c r="Z164" s="1457"/>
      <c r="AA164" s="1458"/>
      <c r="AB164" s="1453"/>
      <c r="AC164" s="1455"/>
      <c r="AD164" s="1453"/>
      <c r="AE164" s="1455"/>
      <c r="AF164" s="1459"/>
      <c r="AG164" s="1460"/>
      <c r="AH164" s="1461"/>
      <c r="AI164" s="1459"/>
      <c r="AJ164" s="1460"/>
      <c r="AK164" s="1460"/>
      <c r="AL164" s="1461"/>
      <c r="AM164" s="1459"/>
      <c r="AN164" s="1460"/>
      <c r="AO164" s="1460"/>
      <c r="AP164" s="1461"/>
      <c r="AU164" s="1452"/>
      <c r="AV164" s="1452"/>
      <c r="AW164" s="1452"/>
      <c r="AX164" s="1452"/>
      <c r="AY164" s="1452"/>
    </row>
    <row r="165" customHeight="1" spans="6:51">
      <c r="F165" s="1259">
        <v>1107890</v>
      </c>
      <c r="G165" s="1260"/>
      <c r="H165" s="1261"/>
      <c r="I165" s="1446" t="s">
        <v>177</v>
      </c>
      <c r="J165" s="1447"/>
      <c r="K165" s="1447"/>
      <c r="L165" s="1447"/>
      <c r="M165" s="1447"/>
      <c r="N165" s="1447"/>
      <c r="O165" s="1447"/>
      <c r="P165" s="1447"/>
      <c r="Q165" s="1447"/>
      <c r="R165" s="1447"/>
      <c r="S165" s="1447"/>
      <c r="T165" s="1447"/>
      <c r="U165" s="1447"/>
      <c r="V165" s="1447"/>
      <c r="W165" s="1447"/>
      <c r="X165" s="1447"/>
      <c r="Y165" s="1447"/>
      <c r="Z165" s="1447"/>
      <c r="AA165" s="1448"/>
      <c r="AB165" s="1259"/>
      <c r="AC165" s="1261"/>
      <c r="AD165" s="1259" t="s">
        <v>99</v>
      </c>
      <c r="AE165" s="1261"/>
      <c r="AF165" s="1449">
        <v>0</v>
      </c>
      <c r="AG165" s="1450"/>
      <c r="AH165" s="1451"/>
      <c r="AI165" s="1449">
        <v>1204.987577</v>
      </c>
      <c r="AJ165" s="1450"/>
      <c r="AK165" s="1450"/>
      <c r="AL165" s="1451"/>
      <c r="AM165" s="1449">
        <f>AF165*AI165</f>
        <v>0</v>
      </c>
      <c r="AN165" s="1450"/>
      <c r="AO165" s="1450"/>
      <c r="AP165" s="1451"/>
      <c r="AU165" s="1452">
        <v>0</v>
      </c>
      <c r="AV165" s="1452">
        <v>0</v>
      </c>
      <c r="AW165" s="1452">
        <v>0</v>
      </c>
      <c r="AX165" s="1452">
        <v>0</v>
      </c>
      <c r="AY165" s="1452">
        <v>0</v>
      </c>
    </row>
    <row r="166" customHeight="1" spans="6:51">
      <c r="F166" s="1453"/>
      <c r="G166" s="1454"/>
      <c r="H166" s="1455"/>
      <c r="I166" s="1456"/>
      <c r="J166" s="1457"/>
      <c r="K166" s="1457"/>
      <c r="L166" s="1457"/>
      <c r="M166" s="1457"/>
      <c r="N166" s="1457"/>
      <c r="O166" s="1457"/>
      <c r="P166" s="1457"/>
      <c r="Q166" s="1457"/>
      <c r="R166" s="1457"/>
      <c r="S166" s="1457"/>
      <c r="T166" s="1457"/>
      <c r="U166" s="1457"/>
      <c r="V166" s="1457"/>
      <c r="W166" s="1457"/>
      <c r="X166" s="1457"/>
      <c r="Y166" s="1457"/>
      <c r="Z166" s="1457"/>
      <c r="AA166" s="1458"/>
      <c r="AB166" s="1453"/>
      <c r="AC166" s="1455"/>
      <c r="AD166" s="1453"/>
      <c r="AE166" s="1455"/>
      <c r="AF166" s="1459"/>
      <c r="AG166" s="1460"/>
      <c r="AH166" s="1461"/>
      <c r="AI166" s="1459"/>
      <c r="AJ166" s="1460"/>
      <c r="AK166" s="1460"/>
      <c r="AL166" s="1461"/>
      <c r="AM166" s="1459"/>
      <c r="AN166" s="1460"/>
      <c r="AO166" s="1460"/>
      <c r="AP166" s="1461"/>
      <c r="AU166" s="1452"/>
      <c r="AV166" s="1452"/>
      <c r="AW166" s="1452"/>
      <c r="AX166" s="1452"/>
      <c r="AY166" s="1452"/>
    </row>
    <row r="167" customHeight="1" spans="6:51">
      <c r="F167" s="1259">
        <v>1107900</v>
      </c>
      <c r="G167" s="1260"/>
      <c r="H167" s="1261"/>
      <c r="I167" s="1446" t="s">
        <v>108</v>
      </c>
      <c r="J167" s="1447"/>
      <c r="K167" s="1447"/>
      <c r="L167" s="1447"/>
      <c r="M167" s="1447"/>
      <c r="N167" s="1447"/>
      <c r="O167" s="1447"/>
      <c r="P167" s="1447"/>
      <c r="Q167" s="1447"/>
      <c r="R167" s="1447"/>
      <c r="S167" s="1447"/>
      <c r="T167" s="1447"/>
      <c r="U167" s="1447"/>
      <c r="V167" s="1447"/>
      <c r="W167" s="1447"/>
      <c r="X167" s="1447"/>
      <c r="Y167" s="1447"/>
      <c r="Z167" s="1447"/>
      <c r="AA167" s="1448"/>
      <c r="AB167" s="1259"/>
      <c r="AC167" s="1261"/>
      <c r="AD167" s="1259" t="s">
        <v>99</v>
      </c>
      <c r="AE167" s="1261"/>
      <c r="AF167" s="1449">
        <v>116.24</v>
      </c>
      <c r="AG167" s="1450"/>
      <c r="AH167" s="1451"/>
      <c r="AI167" s="1449">
        <v>1310.992582</v>
      </c>
      <c r="AJ167" s="1450"/>
      <c r="AK167" s="1450"/>
      <c r="AL167" s="1451"/>
      <c r="AM167" s="1449">
        <f>AF167*AI167</f>
        <v>152389.77773168</v>
      </c>
      <c r="AN167" s="1450"/>
      <c r="AO167" s="1450"/>
      <c r="AP167" s="1451"/>
      <c r="AU167" s="1452">
        <v>122.877304</v>
      </c>
      <c r="AV167" s="1452">
        <v>69.0035512</v>
      </c>
      <c r="AW167" s="1452">
        <v>42.7228496</v>
      </c>
      <c r="AX167" s="1452">
        <v>42.7228496</v>
      </c>
      <c r="AY167" s="1452">
        <v>40958.9413096</v>
      </c>
    </row>
    <row r="168" customHeight="1" spans="6:51">
      <c r="F168" s="1453"/>
      <c r="G168" s="1454"/>
      <c r="H168" s="1455"/>
      <c r="I168" s="1456"/>
      <c r="J168" s="1457"/>
      <c r="K168" s="1457"/>
      <c r="L168" s="1457"/>
      <c r="M168" s="1457"/>
      <c r="N168" s="1457"/>
      <c r="O168" s="1457"/>
      <c r="P168" s="1457"/>
      <c r="Q168" s="1457"/>
      <c r="R168" s="1457"/>
      <c r="S168" s="1457"/>
      <c r="T168" s="1457"/>
      <c r="U168" s="1457"/>
      <c r="V168" s="1457"/>
      <c r="W168" s="1457"/>
      <c r="X168" s="1457"/>
      <c r="Y168" s="1457"/>
      <c r="Z168" s="1457"/>
      <c r="AA168" s="1458"/>
      <c r="AB168" s="1453"/>
      <c r="AC168" s="1455"/>
      <c r="AD168" s="1453"/>
      <c r="AE168" s="1455"/>
      <c r="AF168" s="1459"/>
      <c r="AG168" s="1460"/>
      <c r="AH168" s="1461"/>
      <c r="AI168" s="1459"/>
      <c r="AJ168" s="1460"/>
      <c r="AK168" s="1460"/>
      <c r="AL168" s="1461"/>
      <c r="AM168" s="1459"/>
      <c r="AN168" s="1460"/>
      <c r="AO168" s="1460"/>
      <c r="AP168" s="1461"/>
      <c r="AU168" s="1452"/>
      <c r="AV168" s="1452"/>
      <c r="AW168" s="1452"/>
      <c r="AX168" s="1452"/>
      <c r="AY168" s="1452"/>
    </row>
    <row r="169" customHeight="1" spans="6:51">
      <c r="F169" s="1439">
        <v>1106282</v>
      </c>
      <c r="G169" s="1440"/>
      <c r="H169" s="1441"/>
      <c r="I169" s="1446" t="s">
        <v>178</v>
      </c>
      <c r="J169" s="1447"/>
      <c r="K169" s="1447"/>
      <c r="L169" s="1447"/>
      <c r="M169" s="1447"/>
      <c r="N169" s="1447"/>
      <c r="O169" s="1447"/>
      <c r="P169" s="1447"/>
      <c r="Q169" s="1447"/>
      <c r="R169" s="1447"/>
      <c r="S169" s="1447"/>
      <c r="T169" s="1447"/>
      <c r="U169" s="1447"/>
      <c r="V169" s="1447"/>
      <c r="W169" s="1447"/>
      <c r="X169" s="1447"/>
      <c r="Y169" s="1447"/>
      <c r="Z169" s="1447"/>
      <c r="AA169" s="1448"/>
      <c r="AB169" s="1259"/>
      <c r="AC169" s="1261"/>
      <c r="AD169" s="1259" t="s">
        <v>99</v>
      </c>
      <c r="AE169" s="1261"/>
      <c r="AF169" s="1449">
        <v>0</v>
      </c>
      <c r="AG169" s="1450"/>
      <c r="AH169" s="1451"/>
      <c r="AI169" s="1449">
        <v>1323.148153</v>
      </c>
      <c r="AJ169" s="1450"/>
      <c r="AK169" s="1450"/>
      <c r="AL169" s="1451"/>
      <c r="AM169" s="1449">
        <f>AF169*AI169</f>
        <v>0</v>
      </c>
      <c r="AN169" s="1450"/>
      <c r="AO169" s="1450"/>
      <c r="AP169" s="1451"/>
      <c r="AU169" s="1452">
        <v>0</v>
      </c>
      <c r="AV169" s="1452">
        <v>0</v>
      </c>
      <c r="AW169" s="1452">
        <v>0</v>
      </c>
      <c r="AX169" s="1452">
        <v>0</v>
      </c>
      <c r="AY169" s="1452">
        <v>0</v>
      </c>
    </row>
    <row r="170" customHeight="1" spans="6:51">
      <c r="F170" s="1442"/>
      <c r="G170" s="1443"/>
      <c r="H170" s="1444"/>
      <c r="I170" s="1456"/>
      <c r="J170" s="1457"/>
      <c r="K170" s="1457"/>
      <c r="L170" s="1457"/>
      <c r="M170" s="1457"/>
      <c r="N170" s="1457"/>
      <c r="O170" s="1457"/>
      <c r="P170" s="1457"/>
      <c r="Q170" s="1457"/>
      <c r="R170" s="1457"/>
      <c r="S170" s="1457"/>
      <c r="T170" s="1457"/>
      <c r="U170" s="1457"/>
      <c r="V170" s="1457"/>
      <c r="W170" s="1457"/>
      <c r="X170" s="1457"/>
      <c r="Y170" s="1457"/>
      <c r="Z170" s="1457"/>
      <c r="AA170" s="1458"/>
      <c r="AB170" s="1453"/>
      <c r="AC170" s="1455"/>
      <c r="AD170" s="1453"/>
      <c r="AE170" s="1455"/>
      <c r="AF170" s="1459"/>
      <c r="AG170" s="1460"/>
      <c r="AH170" s="1461"/>
      <c r="AI170" s="1459"/>
      <c r="AJ170" s="1460"/>
      <c r="AK170" s="1460"/>
      <c r="AL170" s="1461"/>
      <c r="AM170" s="1459"/>
      <c r="AN170" s="1460"/>
      <c r="AO170" s="1460"/>
      <c r="AP170" s="1461"/>
      <c r="AU170" s="1452"/>
      <c r="AV170" s="1452"/>
      <c r="AW170" s="1452"/>
      <c r="AX170" s="1452"/>
      <c r="AY170" s="1452"/>
    </row>
    <row r="171" customHeight="1" spans="6:51">
      <c r="F171" s="1439">
        <v>1107908</v>
      </c>
      <c r="G171" s="1440"/>
      <c r="H171" s="1441"/>
      <c r="I171" s="1446" t="s">
        <v>128</v>
      </c>
      <c r="J171" s="1447"/>
      <c r="K171" s="1447"/>
      <c r="L171" s="1447"/>
      <c r="M171" s="1447"/>
      <c r="N171" s="1447"/>
      <c r="O171" s="1447"/>
      <c r="P171" s="1447"/>
      <c r="Q171" s="1447"/>
      <c r="R171" s="1447"/>
      <c r="S171" s="1447"/>
      <c r="T171" s="1447"/>
      <c r="U171" s="1447"/>
      <c r="V171" s="1447"/>
      <c r="W171" s="1447"/>
      <c r="X171" s="1447"/>
      <c r="Y171" s="1447"/>
      <c r="Z171" s="1447"/>
      <c r="AA171" s="1448"/>
      <c r="AB171" s="1259"/>
      <c r="AC171" s="1261"/>
      <c r="AD171" s="1259" t="s">
        <v>99</v>
      </c>
      <c r="AE171" s="1261"/>
      <c r="AF171" s="1449">
        <v>21.65</v>
      </c>
      <c r="AG171" s="1450"/>
      <c r="AH171" s="1451"/>
      <c r="AI171" s="1449">
        <v>1399.625405</v>
      </c>
      <c r="AJ171" s="1450"/>
      <c r="AK171" s="1450"/>
      <c r="AL171" s="1451"/>
      <c r="AM171" s="1449">
        <f>AF171*AI171</f>
        <v>30301.89001825</v>
      </c>
      <c r="AN171" s="1450"/>
      <c r="AO171" s="1450"/>
      <c r="AP171" s="1451"/>
      <c r="AU171" s="1452">
        <v>28.5812475</v>
      </c>
      <c r="AV171" s="1452">
        <v>11.7782495</v>
      </c>
      <c r="AW171" s="1452">
        <v>7.957241</v>
      </c>
      <c r="AX171" s="1452">
        <v>7.957241</v>
      </c>
      <c r="AY171" s="1452">
        <v>9527.1039335</v>
      </c>
    </row>
    <row r="172" customHeight="1" spans="6:51">
      <c r="F172" s="1442"/>
      <c r="G172" s="1443"/>
      <c r="H172" s="1444"/>
      <c r="I172" s="1456"/>
      <c r="J172" s="1457"/>
      <c r="K172" s="1457"/>
      <c r="L172" s="1457"/>
      <c r="M172" s="1457"/>
      <c r="N172" s="1457"/>
      <c r="O172" s="1457"/>
      <c r="P172" s="1457"/>
      <c r="Q172" s="1457"/>
      <c r="R172" s="1457"/>
      <c r="S172" s="1457"/>
      <c r="T172" s="1457"/>
      <c r="U172" s="1457"/>
      <c r="V172" s="1457"/>
      <c r="W172" s="1457"/>
      <c r="X172" s="1457"/>
      <c r="Y172" s="1457"/>
      <c r="Z172" s="1457"/>
      <c r="AA172" s="1458"/>
      <c r="AB172" s="1453"/>
      <c r="AC172" s="1455"/>
      <c r="AD172" s="1453"/>
      <c r="AE172" s="1455"/>
      <c r="AF172" s="1459"/>
      <c r="AG172" s="1460"/>
      <c r="AH172" s="1461"/>
      <c r="AI172" s="1459"/>
      <c r="AJ172" s="1460"/>
      <c r="AK172" s="1460"/>
      <c r="AL172" s="1461"/>
      <c r="AM172" s="1459"/>
      <c r="AN172" s="1460"/>
      <c r="AO172" s="1460"/>
      <c r="AP172" s="1461"/>
      <c r="AU172" s="1452"/>
      <c r="AV172" s="1452"/>
      <c r="AW172" s="1452"/>
      <c r="AX172" s="1452"/>
      <c r="AY172" s="1452"/>
    </row>
    <row r="173" customHeight="1" spans="6:51">
      <c r="F173" s="1439" t="s">
        <v>179</v>
      </c>
      <c r="G173" s="1440"/>
      <c r="H173" s="1441"/>
      <c r="I173" s="1446" t="s">
        <v>180</v>
      </c>
      <c r="J173" s="1447"/>
      <c r="K173" s="1447"/>
      <c r="L173" s="1447"/>
      <c r="M173" s="1447"/>
      <c r="N173" s="1447"/>
      <c r="O173" s="1447"/>
      <c r="P173" s="1447"/>
      <c r="Q173" s="1447"/>
      <c r="R173" s="1447"/>
      <c r="S173" s="1447"/>
      <c r="T173" s="1447"/>
      <c r="U173" s="1447"/>
      <c r="V173" s="1447"/>
      <c r="W173" s="1447"/>
      <c r="X173" s="1447"/>
      <c r="Y173" s="1447"/>
      <c r="Z173" s="1447"/>
      <c r="AA173" s="1448"/>
      <c r="AB173" s="1259"/>
      <c r="AC173" s="1261"/>
      <c r="AD173" s="1259" t="s">
        <v>9</v>
      </c>
      <c r="AE173" s="1261"/>
      <c r="AF173" s="1449">
        <v>0</v>
      </c>
      <c r="AG173" s="1450"/>
      <c r="AH173" s="1451"/>
      <c r="AI173" s="1449">
        <v>78.422639</v>
      </c>
      <c r="AJ173" s="1450"/>
      <c r="AK173" s="1450"/>
      <c r="AL173" s="1451"/>
      <c r="AM173" s="1449">
        <f>AF173*AI173</f>
        <v>0</v>
      </c>
      <c r="AN173" s="1450"/>
      <c r="AO173" s="1450"/>
      <c r="AP173" s="1451"/>
      <c r="AU173" s="1452">
        <v>0</v>
      </c>
      <c r="AV173" s="1452">
        <v>0</v>
      </c>
      <c r="AW173" s="1452">
        <v>0</v>
      </c>
      <c r="AX173" s="1452">
        <v>0</v>
      </c>
      <c r="AY173" s="1452">
        <v>0</v>
      </c>
    </row>
    <row r="174" ht="12.6" customHeight="1" spans="6:51">
      <c r="F174" s="1442"/>
      <c r="G174" s="1443"/>
      <c r="H174" s="1444"/>
      <c r="I174" s="1456"/>
      <c r="J174" s="1457"/>
      <c r="K174" s="1457"/>
      <c r="L174" s="1457"/>
      <c r="M174" s="1457"/>
      <c r="N174" s="1457"/>
      <c r="O174" s="1457"/>
      <c r="P174" s="1457"/>
      <c r="Q174" s="1457"/>
      <c r="R174" s="1457"/>
      <c r="S174" s="1457"/>
      <c r="T174" s="1457"/>
      <c r="U174" s="1457"/>
      <c r="V174" s="1457"/>
      <c r="W174" s="1457"/>
      <c r="X174" s="1457"/>
      <c r="Y174" s="1457"/>
      <c r="Z174" s="1457"/>
      <c r="AA174" s="1458"/>
      <c r="AB174" s="1453"/>
      <c r="AC174" s="1455"/>
      <c r="AD174" s="1453"/>
      <c r="AE174" s="1455"/>
      <c r="AF174" s="1459"/>
      <c r="AG174" s="1460"/>
      <c r="AH174" s="1461"/>
      <c r="AI174" s="1459"/>
      <c r="AJ174" s="1460"/>
      <c r="AK174" s="1460"/>
      <c r="AL174" s="1461"/>
      <c r="AM174" s="1459"/>
      <c r="AN174" s="1460"/>
      <c r="AO174" s="1460"/>
      <c r="AP174" s="1461"/>
      <c r="AU174" s="1452"/>
      <c r="AV174" s="1452"/>
      <c r="AW174" s="1452"/>
      <c r="AX174" s="1452"/>
      <c r="AY174" s="1452"/>
    </row>
    <row r="175" customHeight="1" spans="6:51">
      <c r="F175" s="1439" t="s">
        <v>181</v>
      </c>
      <c r="G175" s="1440"/>
      <c r="H175" s="1441"/>
      <c r="I175" s="1446" t="s">
        <v>182</v>
      </c>
      <c r="J175" s="1447"/>
      <c r="K175" s="1447"/>
      <c r="L175" s="1447"/>
      <c r="M175" s="1447"/>
      <c r="N175" s="1447"/>
      <c r="O175" s="1447"/>
      <c r="P175" s="1447"/>
      <c r="Q175" s="1447"/>
      <c r="R175" s="1447"/>
      <c r="S175" s="1447"/>
      <c r="T175" s="1447"/>
      <c r="U175" s="1447"/>
      <c r="V175" s="1447"/>
      <c r="W175" s="1447"/>
      <c r="X175" s="1447"/>
      <c r="Y175" s="1447"/>
      <c r="Z175" s="1447"/>
      <c r="AA175" s="1448"/>
      <c r="AB175" s="1259"/>
      <c r="AC175" s="1261"/>
      <c r="AD175" s="1259" t="s">
        <v>9</v>
      </c>
      <c r="AE175" s="1261"/>
      <c r="AF175" s="1449">
        <v>0</v>
      </c>
      <c r="AG175" s="1450"/>
      <c r="AH175" s="1451"/>
      <c r="AI175" s="1449">
        <v>111.841166</v>
      </c>
      <c r="AJ175" s="1450"/>
      <c r="AK175" s="1450"/>
      <c r="AL175" s="1451"/>
      <c r="AM175" s="1449">
        <f>AF175*AI175</f>
        <v>0</v>
      </c>
      <c r="AN175" s="1450"/>
      <c r="AO175" s="1450"/>
      <c r="AP175" s="1451"/>
      <c r="AU175" s="1452">
        <v>0</v>
      </c>
      <c r="AV175" s="1452">
        <v>0</v>
      </c>
      <c r="AW175" s="1452">
        <v>0</v>
      </c>
      <c r="AX175" s="1452">
        <v>0</v>
      </c>
      <c r="AY175" s="1452">
        <v>0</v>
      </c>
    </row>
    <row r="176" customHeight="1" spans="6:51">
      <c r="F176" s="1442"/>
      <c r="G176" s="1443"/>
      <c r="H176" s="1444"/>
      <c r="I176" s="1456"/>
      <c r="J176" s="1457"/>
      <c r="K176" s="1457"/>
      <c r="L176" s="1457"/>
      <c r="M176" s="1457"/>
      <c r="N176" s="1457"/>
      <c r="O176" s="1457"/>
      <c r="P176" s="1457"/>
      <c r="Q176" s="1457"/>
      <c r="R176" s="1457"/>
      <c r="S176" s="1457"/>
      <c r="T176" s="1457"/>
      <c r="U176" s="1457"/>
      <c r="V176" s="1457"/>
      <c r="W176" s="1457"/>
      <c r="X176" s="1457"/>
      <c r="Y176" s="1457"/>
      <c r="Z176" s="1457"/>
      <c r="AA176" s="1458"/>
      <c r="AB176" s="1453"/>
      <c r="AC176" s="1455"/>
      <c r="AD176" s="1453"/>
      <c r="AE176" s="1455"/>
      <c r="AF176" s="1459"/>
      <c r="AG176" s="1460"/>
      <c r="AH176" s="1461"/>
      <c r="AI176" s="1459"/>
      <c r="AJ176" s="1460"/>
      <c r="AK176" s="1460"/>
      <c r="AL176" s="1461"/>
      <c r="AM176" s="1459"/>
      <c r="AN176" s="1460"/>
      <c r="AO176" s="1460"/>
      <c r="AP176" s="1461"/>
      <c r="AU176" s="1452"/>
      <c r="AV176" s="1452"/>
      <c r="AW176" s="1452"/>
      <c r="AX176" s="1452"/>
      <c r="AY176" s="1452"/>
    </row>
    <row r="177" customHeight="1" spans="6:51">
      <c r="F177" s="1439" t="s">
        <v>183</v>
      </c>
      <c r="G177" s="1440"/>
      <c r="H177" s="1441"/>
      <c r="I177" s="1446" t="s">
        <v>184</v>
      </c>
      <c r="J177" s="1447"/>
      <c r="K177" s="1447"/>
      <c r="L177" s="1447"/>
      <c r="M177" s="1447"/>
      <c r="N177" s="1447"/>
      <c r="O177" s="1447"/>
      <c r="P177" s="1447"/>
      <c r="Q177" s="1447"/>
      <c r="R177" s="1447"/>
      <c r="S177" s="1447"/>
      <c r="T177" s="1447"/>
      <c r="U177" s="1447"/>
      <c r="V177" s="1447"/>
      <c r="W177" s="1447"/>
      <c r="X177" s="1447"/>
      <c r="Y177" s="1447"/>
      <c r="Z177" s="1447"/>
      <c r="AA177" s="1448"/>
      <c r="AB177" s="1259"/>
      <c r="AC177" s="1261"/>
      <c r="AD177" s="1259" t="s">
        <v>9</v>
      </c>
      <c r="AE177" s="1261"/>
      <c r="AF177" s="1449">
        <v>0</v>
      </c>
      <c r="AG177" s="1450"/>
      <c r="AH177" s="1451"/>
      <c r="AI177" s="1449">
        <v>175.406996</v>
      </c>
      <c r="AJ177" s="1450"/>
      <c r="AK177" s="1450"/>
      <c r="AL177" s="1451"/>
      <c r="AM177" s="1449">
        <f>AF177*AI177</f>
        <v>0</v>
      </c>
      <c r="AN177" s="1450"/>
      <c r="AO177" s="1450"/>
      <c r="AP177" s="1451"/>
      <c r="AU177" s="1452">
        <v>0</v>
      </c>
      <c r="AV177" s="1452">
        <v>0</v>
      </c>
      <c r="AW177" s="1452">
        <v>0</v>
      </c>
      <c r="AX177" s="1452">
        <v>0</v>
      </c>
      <c r="AY177" s="1452">
        <v>0</v>
      </c>
    </row>
    <row r="178" customHeight="1" spans="6:51">
      <c r="F178" s="1442"/>
      <c r="G178" s="1443"/>
      <c r="H178" s="1444"/>
      <c r="I178" s="1456"/>
      <c r="J178" s="1457"/>
      <c r="K178" s="1457"/>
      <c r="L178" s="1457"/>
      <c r="M178" s="1457"/>
      <c r="N178" s="1457"/>
      <c r="O178" s="1457"/>
      <c r="P178" s="1457"/>
      <c r="Q178" s="1457"/>
      <c r="R178" s="1457"/>
      <c r="S178" s="1457"/>
      <c r="T178" s="1457"/>
      <c r="U178" s="1457"/>
      <c r="V178" s="1457"/>
      <c r="W178" s="1457"/>
      <c r="X178" s="1457"/>
      <c r="Y178" s="1457"/>
      <c r="Z178" s="1457"/>
      <c r="AA178" s="1458"/>
      <c r="AB178" s="1453"/>
      <c r="AC178" s="1455"/>
      <c r="AD178" s="1453"/>
      <c r="AE178" s="1455"/>
      <c r="AF178" s="1459"/>
      <c r="AG178" s="1460"/>
      <c r="AH178" s="1461"/>
      <c r="AI178" s="1459"/>
      <c r="AJ178" s="1460"/>
      <c r="AK178" s="1460"/>
      <c r="AL178" s="1461"/>
      <c r="AM178" s="1459"/>
      <c r="AN178" s="1460"/>
      <c r="AO178" s="1460"/>
      <c r="AP178" s="1461"/>
      <c r="AU178" s="1452"/>
      <c r="AV178" s="1452"/>
      <c r="AW178" s="1452"/>
      <c r="AX178" s="1452"/>
      <c r="AY178" s="1452"/>
    </row>
    <row r="179" customHeight="1" spans="6:51">
      <c r="F179" s="1462">
        <v>407819</v>
      </c>
      <c r="G179" s="1463"/>
      <c r="H179" s="1464"/>
      <c r="I179" s="1446" t="s">
        <v>100</v>
      </c>
      <c r="J179" s="1447"/>
      <c r="K179" s="1447"/>
      <c r="L179" s="1447"/>
      <c r="M179" s="1447"/>
      <c r="N179" s="1447"/>
      <c r="O179" s="1447"/>
      <c r="P179" s="1447"/>
      <c r="Q179" s="1447"/>
      <c r="R179" s="1447"/>
      <c r="S179" s="1447"/>
      <c r="T179" s="1447"/>
      <c r="U179" s="1447"/>
      <c r="V179" s="1447"/>
      <c r="W179" s="1447"/>
      <c r="X179" s="1447"/>
      <c r="Y179" s="1447"/>
      <c r="Z179" s="1447"/>
      <c r="AA179" s="1448"/>
      <c r="AB179" s="1259"/>
      <c r="AC179" s="1261"/>
      <c r="AD179" s="1259" t="s">
        <v>101</v>
      </c>
      <c r="AE179" s="1261"/>
      <c r="AF179" s="1449">
        <v>13606.7</v>
      </c>
      <c r="AG179" s="1450"/>
      <c r="AH179" s="1451"/>
      <c r="AI179" s="1449">
        <v>15.959608</v>
      </c>
      <c r="AJ179" s="1450"/>
      <c r="AK179" s="1450"/>
      <c r="AL179" s="1451"/>
      <c r="AM179" s="1449">
        <f>AF179*AI179</f>
        <v>217157.5981736</v>
      </c>
      <c r="AN179" s="1450"/>
      <c r="AO179" s="1450"/>
      <c r="AP179" s="1451"/>
      <c r="AU179" s="1465">
        <f>SUM(AU157:AU178)</f>
        <v>151.4585515</v>
      </c>
      <c r="AV179" s="1465">
        <f>SUM(AV157:AV178)</f>
        <v>85.9013599</v>
      </c>
      <c r="AW179" s="1465">
        <f>SUM(AW157:AW178)</f>
        <v>50.6800906</v>
      </c>
      <c r="AX179" s="1465">
        <f>SUM(AX157:AX178)</f>
        <v>56.9576738</v>
      </c>
      <c r="AY179" s="1465">
        <f>SUM(AY157:AY178)</f>
        <v>52881.8071403</v>
      </c>
    </row>
    <row r="180" customHeight="1" spans="6:51">
      <c r="F180" s="1466"/>
      <c r="G180" s="1467"/>
      <c r="H180" s="1468"/>
      <c r="I180" s="1456"/>
      <c r="J180" s="1457"/>
      <c r="K180" s="1457"/>
      <c r="L180" s="1457"/>
      <c r="M180" s="1457"/>
      <c r="N180" s="1457"/>
      <c r="O180" s="1457"/>
      <c r="P180" s="1457"/>
      <c r="Q180" s="1457"/>
      <c r="R180" s="1457"/>
      <c r="S180" s="1457"/>
      <c r="T180" s="1457"/>
      <c r="U180" s="1457"/>
      <c r="V180" s="1457"/>
      <c r="W180" s="1457"/>
      <c r="X180" s="1457"/>
      <c r="Y180" s="1457"/>
      <c r="Z180" s="1457"/>
      <c r="AA180" s="1458"/>
      <c r="AB180" s="1453"/>
      <c r="AC180" s="1455"/>
      <c r="AD180" s="1453"/>
      <c r="AE180" s="1455"/>
      <c r="AF180" s="1459"/>
      <c r="AG180" s="1460"/>
      <c r="AH180" s="1461"/>
      <c r="AI180" s="1459"/>
      <c r="AJ180" s="1460"/>
      <c r="AK180" s="1460"/>
      <c r="AL180" s="1461"/>
      <c r="AM180" s="1459"/>
      <c r="AN180" s="1460"/>
      <c r="AO180" s="1460"/>
      <c r="AP180" s="1461"/>
      <c r="AT180" s="1469"/>
      <c r="AU180" s="1470"/>
      <c r="AV180" s="1470"/>
      <c r="AW180" s="1470"/>
      <c r="AX180" s="1470"/>
      <c r="AY180" s="1470"/>
    </row>
    <row r="181" customHeight="1" spans="6:51">
      <c r="F181" s="1462">
        <v>3108000</v>
      </c>
      <c r="G181" s="1463"/>
      <c r="H181" s="1464"/>
      <c r="I181" s="1446" t="s">
        <v>110</v>
      </c>
      <c r="J181" s="1447"/>
      <c r="K181" s="1447"/>
      <c r="L181" s="1447"/>
      <c r="M181" s="1447"/>
      <c r="N181" s="1447"/>
      <c r="O181" s="1447"/>
      <c r="P181" s="1447"/>
      <c r="Q181" s="1447"/>
      <c r="R181" s="1447"/>
      <c r="S181" s="1447"/>
      <c r="T181" s="1447"/>
      <c r="U181" s="1447"/>
      <c r="V181" s="1447"/>
      <c r="W181" s="1447"/>
      <c r="X181" s="1447"/>
      <c r="Y181" s="1447"/>
      <c r="Z181" s="1447"/>
      <c r="AA181" s="1448"/>
      <c r="AB181" s="1259"/>
      <c r="AC181" s="1261"/>
      <c r="AD181" s="1259" t="s">
        <v>7</v>
      </c>
      <c r="AE181" s="1261"/>
      <c r="AF181" s="1449">
        <v>647.66</v>
      </c>
      <c r="AG181" s="1450"/>
      <c r="AH181" s="1451"/>
      <c r="AI181" s="1449">
        <v>108.66907</v>
      </c>
      <c r="AJ181" s="1450"/>
      <c r="AK181" s="1450"/>
      <c r="AL181" s="1451"/>
      <c r="AM181" s="1449">
        <f>AF181*AI181</f>
        <v>70380.6098762</v>
      </c>
      <c r="AN181" s="1450"/>
      <c r="AO181" s="1450"/>
      <c r="AP181" s="1451"/>
      <c r="AT181" s="1469"/>
      <c r="AU181" s="1471"/>
      <c r="AV181" s="1472"/>
    </row>
    <row r="182" customHeight="1" spans="6:51">
      <c r="F182" s="1466"/>
      <c r="G182" s="1467"/>
      <c r="H182" s="1468"/>
      <c r="I182" s="1456"/>
      <c r="J182" s="1457"/>
      <c r="K182" s="1457"/>
      <c r="L182" s="1457"/>
      <c r="M182" s="1457"/>
      <c r="N182" s="1457"/>
      <c r="O182" s="1457"/>
      <c r="P182" s="1457"/>
      <c r="Q182" s="1457"/>
      <c r="R182" s="1457"/>
      <c r="S182" s="1457"/>
      <c r="T182" s="1457"/>
      <c r="U182" s="1457"/>
      <c r="V182" s="1457"/>
      <c r="W182" s="1457"/>
      <c r="X182" s="1457"/>
      <c r="Y182" s="1457"/>
      <c r="Z182" s="1457"/>
      <c r="AA182" s="1458"/>
      <c r="AB182" s="1453"/>
      <c r="AC182" s="1455"/>
      <c r="AD182" s="1453"/>
      <c r="AE182" s="1455"/>
      <c r="AF182" s="1459"/>
      <c r="AG182" s="1460"/>
      <c r="AH182" s="1461"/>
      <c r="AI182" s="1459"/>
      <c r="AJ182" s="1460"/>
      <c r="AK182" s="1460"/>
      <c r="AL182" s="1461"/>
      <c r="AM182" s="1459"/>
      <c r="AN182" s="1460"/>
      <c r="AO182" s="1460"/>
      <c r="AP182" s="1461"/>
      <c r="AT182" s="1469"/>
      <c r="AU182" s="1471"/>
      <c r="AV182" s="1472"/>
    </row>
    <row r="183" customHeight="1" spans="6:51">
      <c r="F183" s="1439" t="s">
        <v>119</v>
      </c>
      <c r="G183" s="1440"/>
      <c r="H183" s="1441"/>
      <c r="I183" s="1446" t="s">
        <v>120</v>
      </c>
      <c r="J183" s="1447"/>
      <c r="K183" s="1447"/>
      <c r="L183" s="1447"/>
      <c r="M183" s="1447"/>
      <c r="N183" s="1447"/>
      <c r="O183" s="1447"/>
      <c r="P183" s="1447"/>
      <c r="Q183" s="1447"/>
      <c r="R183" s="1447"/>
      <c r="S183" s="1447"/>
      <c r="T183" s="1447"/>
      <c r="U183" s="1447"/>
      <c r="V183" s="1447"/>
      <c r="W183" s="1447"/>
      <c r="X183" s="1447"/>
      <c r="Y183" s="1447"/>
      <c r="Z183" s="1447"/>
      <c r="AA183" s="1448"/>
      <c r="AB183" s="1259"/>
      <c r="AC183" s="1261"/>
      <c r="AD183" s="1259" t="s">
        <v>82</v>
      </c>
      <c r="AE183" s="1261"/>
      <c r="AF183" s="1449">
        <v>10</v>
      </c>
      <c r="AG183" s="1450"/>
      <c r="AH183" s="1451"/>
      <c r="AI183" s="1449">
        <v>968.703598</v>
      </c>
      <c r="AJ183" s="1450"/>
      <c r="AK183" s="1450"/>
      <c r="AL183" s="1451"/>
      <c r="AM183" s="1449">
        <f>AF183*AI183</f>
        <v>9687.03598</v>
      </c>
      <c r="AN183" s="1450"/>
      <c r="AO183" s="1450"/>
      <c r="AP183" s="1451"/>
      <c r="AT183" s="1469"/>
      <c r="AU183" s="1471"/>
      <c r="AV183" s="1472"/>
    </row>
    <row r="184" customHeight="1" spans="6:51">
      <c r="F184" s="1442"/>
      <c r="G184" s="1443"/>
      <c r="H184" s="1444"/>
      <c r="I184" s="1456"/>
      <c r="J184" s="1457"/>
      <c r="K184" s="1457"/>
      <c r="L184" s="1457"/>
      <c r="M184" s="1457"/>
      <c r="N184" s="1457"/>
      <c r="O184" s="1457"/>
      <c r="P184" s="1457"/>
      <c r="Q184" s="1457"/>
      <c r="R184" s="1457"/>
      <c r="S184" s="1457"/>
      <c r="T184" s="1457"/>
      <c r="U184" s="1457"/>
      <c r="V184" s="1457"/>
      <c r="W184" s="1457"/>
      <c r="X184" s="1457"/>
      <c r="Y184" s="1457"/>
      <c r="Z184" s="1457"/>
      <c r="AA184" s="1458"/>
      <c r="AB184" s="1453"/>
      <c r="AC184" s="1455"/>
      <c r="AD184" s="1453"/>
      <c r="AE184" s="1455"/>
      <c r="AF184" s="1459"/>
      <c r="AG184" s="1460"/>
      <c r="AH184" s="1461"/>
      <c r="AI184" s="1459"/>
      <c r="AJ184" s="1460"/>
      <c r="AK184" s="1460"/>
      <c r="AL184" s="1461"/>
      <c r="AM184" s="1459"/>
      <c r="AN184" s="1460"/>
      <c r="AO184" s="1460"/>
      <c r="AP184" s="1461"/>
      <c r="AT184" s="1469"/>
      <c r="AU184" s="1471"/>
      <c r="AV184" s="1472"/>
    </row>
    <row r="185" customHeight="1" spans="6:51">
      <c r="F185" s="1439">
        <v>2108169</v>
      </c>
      <c r="G185" s="1440"/>
      <c r="H185" s="1441"/>
      <c r="I185" s="1446" t="s">
        <v>185</v>
      </c>
      <c r="J185" s="1447"/>
      <c r="K185" s="1447"/>
      <c r="L185" s="1447"/>
      <c r="M185" s="1447"/>
      <c r="N185" s="1447"/>
      <c r="O185" s="1447"/>
      <c r="P185" s="1447"/>
      <c r="Q185" s="1447"/>
      <c r="R185" s="1447"/>
      <c r="S185" s="1447"/>
      <c r="T185" s="1447"/>
      <c r="U185" s="1447"/>
      <c r="V185" s="1447"/>
      <c r="W185" s="1447"/>
      <c r="X185" s="1447"/>
      <c r="Y185" s="1447"/>
      <c r="Z185" s="1447"/>
      <c r="AA185" s="1448"/>
      <c r="AB185" s="1259"/>
      <c r="AC185" s="1261"/>
      <c r="AD185" s="1259" t="s">
        <v>99</v>
      </c>
      <c r="AE185" s="1261"/>
      <c r="AF185" s="1449">
        <v>0</v>
      </c>
      <c r="AG185" s="1450"/>
      <c r="AH185" s="1451"/>
      <c r="AI185" s="1449">
        <v>62.463031</v>
      </c>
      <c r="AJ185" s="1450"/>
      <c r="AK185" s="1450"/>
      <c r="AL185" s="1451"/>
      <c r="AM185" s="1449">
        <f>AF185*AI185</f>
        <v>0</v>
      </c>
      <c r="AN185" s="1450"/>
      <c r="AO185" s="1450"/>
      <c r="AP185" s="1451"/>
      <c r="AT185" s="1469"/>
      <c r="AU185" s="1471"/>
      <c r="AV185" s="1472"/>
    </row>
    <row r="186" customHeight="1" spans="6:51">
      <c r="F186" s="1442"/>
      <c r="G186" s="1443"/>
      <c r="H186" s="1444"/>
      <c r="I186" s="1456"/>
      <c r="J186" s="1457"/>
      <c r="K186" s="1457"/>
      <c r="L186" s="1457"/>
      <c r="M186" s="1457"/>
      <c r="N186" s="1457"/>
      <c r="O186" s="1457"/>
      <c r="P186" s="1457"/>
      <c r="Q186" s="1457"/>
      <c r="R186" s="1457"/>
      <c r="S186" s="1457"/>
      <c r="T186" s="1457"/>
      <c r="U186" s="1457"/>
      <c r="V186" s="1457"/>
      <c r="W186" s="1457"/>
      <c r="X186" s="1457"/>
      <c r="Y186" s="1457"/>
      <c r="Z186" s="1457"/>
      <c r="AA186" s="1458"/>
      <c r="AB186" s="1453"/>
      <c r="AC186" s="1455"/>
      <c r="AD186" s="1453"/>
      <c r="AE186" s="1455"/>
      <c r="AF186" s="1459"/>
      <c r="AG186" s="1460"/>
      <c r="AH186" s="1461"/>
      <c r="AI186" s="1459"/>
      <c r="AJ186" s="1460"/>
      <c r="AK186" s="1460"/>
      <c r="AL186" s="1461"/>
      <c r="AM186" s="1459"/>
      <c r="AN186" s="1460"/>
      <c r="AO186" s="1460"/>
      <c r="AP186" s="1461"/>
    </row>
    <row r="187" customHeight="1" spans="6:51">
      <c r="F187" s="1439">
        <v>2306122</v>
      </c>
      <c r="G187" s="1440"/>
      <c r="H187" s="1441"/>
      <c r="I187" s="1446" t="s">
        <v>186</v>
      </c>
      <c r="J187" s="1447"/>
      <c r="K187" s="1447"/>
      <c r="L187" s="1447"/>
      <c r="M187" s="1447"/>
      <c r="N187" s="1447"/>
      <c r="O187" s="1447"/>
      <c r="P187" s="1447"/>
      <c r="Q187" s="1447"/>
      <c r="R187" s="1447"/>
      <c r="S187" s="1447"/>
      <c r="T187" s="1447"/>
      <c r="U187" s="1447"/>
      <c r="V187" s="1447"/>
      <c r="W187" s="1447"/>
      <c r="X187" s="1447"/>
      <c r="Y187" s="1447"/>
      <c r="Z187" s="1447"/>
      <c r="AA187" s="1448"/>
      <c r="AB187" s="1259"/>
      <c r="AC187" s="1261"/>
      <c r="AD187" s="1259" t="s">
        <v>9</v>
      </c>
      <c r="AE187" s="1261"/>
      <c r="AF187" s="1449">
        <v>0</v>
      </c>
      <c r="AG187" s="1450"/>
      <c r="AH187" s="1451"/>
      <c r="AI187" s="1449">
        <v>929.052398</v>
      </c>
      <c r="AJ187" s="1450"/>
      <c r="AK187" s="1450"/>
      <c r="AL187" s="1451"/>
      <c r="AM187" s="1449">
        <f>AF187*AI187</f>
        <v>0</v>
      </c>
      <c r="AN187" s="1450"/>
      <c r="AO187" s="1450"/>
      <c r="AP187" s="1451"/>
      <c r="AT187" s="1469"/>
      <c r="AU187" s="1471"/>
      <c r="AV187" s="1472"/>
    </row>
    <row r="188" customHeight="1" spans="6:51">
      <c r="F188" s="1442"/>
      <c r="G188" s="1443"/>
      <c r="H188" s="1444"/>
      <c r="I188" s="1456"/>
      <c r="J188" s="1457"/>
      <c r="K188" s="1457"/>
      <c r="L188" s="1457"/>
      <c r="M188" s="1457"/>
      <c r="N188" s="1457"/>
      <c r="O188" s="1457"/>
      <c r="P188" s="1457"/>
      <c r="Q188" s="1457"/>
      <c r="R188" s="1457"/>
      <c r="S188" s="1457"/>
      <c r="T188" s="1457"/>
      <c r="U188" s="1457"/>
      <c r="V188" s="1457"/>
      <c r="W188" s="1457"/>
      <c r="X188" s="1457"/>
      <c r="Y188" s="1457"/>
      <c r="Z188" s="1457"/>
      <c r="AA188" s="1458"/>
      <c r="AB188" s="1453"/>
      <c r="AC188" s="1455"/>
      <c r="AD188" s="1453"/>
      <c r="AE188" s="1455"/>
      <c r="AF188" s="1459"/>
      <c r="AG188" s="1460"/>
      <c r="AH188" s="1461"/>
      <c r="AI188" s="1459"/>
      <c r="AJ188" s="1460"/>
      <c r="AK188" s="1460"/>
      <c r="AL188" s="1461"/>
      <c r="AM188" s="1459"/>
      <c r="AN188" s="1460"/>
      <c r="AO188" s="1460"/>
      <c r="AP188" s="1461"/>
      <c r="AT188" s="1469"/>
      <c r="AU188" s="1471"/>
      <c r="AV188" s="1472"/>
    </row>
    <row r="189" customHeight="1" spans="6:51">
      <c r="AT189" s="1469"/>
      <c r="AU189" s="1471"/>
      <c r="AV189" s="1472"/>
    </row>
  </sheetData>
  <mergeCells count="1072">
    <mergeCell ref="A4:H4"/>
    <mergeCell ref="I4:AR4"/>
    <mergeCell ref="A5:H5"/>
    <mergeCell ref="I5:AR5"/>
    <mergeCell ref="A6:H6"/>
    <mergeCell ref="I6:AR6"/>
    <mergeCell ref="A7:H7"/>
    <mergeCell ref="I7:AR7"/>
    <mergeCell ref="A8:H8"/>
    <mergeCell ref="I8:AH8"/>
    <mergeCell ref="AI8:AN8"/>
    <mergeCell ref="AO8:AP8"/>
    <mergeCell ref="AQ8:AR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AI11:AN11"/>
    <mergeCell ref="AO11:AP11"/>
    <mergeCell ref="AQ11:AR11"/>
    <mergeCell ref="A12:H12"/>
    <mergeCell ref="I12:U12"/>
    <mergeCell ref="V12:AH12"/>
    <mergeCell ref="A13:AR13"/>
    <mergeCell ref="A14:AR14"/>
    <mergeCell ref="A15:B15"/>
    <mergeCell ref="C15:E15"/>
    <mergeCell ref="F15:H15"/>
    <mergeCell ref="I15:AA15"/>
    <mergeCell ref="AD15:AE15"/>
    <mergeCell ref="AF15:AG15"/>
    <mergeCell ref="AH15:AJ15"/>
    <mergeCell ref="AK15:AN15"/>
    <mergeCell ref="AO15:AR15"/>
    <mergeCell ref="C16:E16"/>
    <mergeCell ref="F16:H16"/>
    <mergeCell ref="I16:AA16"/>
    <mergeCell ref="AO16:AR16"/>
    <mergeCell ref="C17:E17"/>
    <mergeCell ref="F17:H17"/>
    <mergeCell ref="I17:AC17"/>
    <mergeCell ref="AO17:AR17"/>
    <mergeCell ref="C18:E18"/>
    <mergeCell ref="F18:H18"/>
    <mergeCell ref="I18:AC18"/>
    <mergeCell ref="AF18:AG18"/>
    <mergeCell ref="AH18:AJ18"/>
    <mergeCell ref="AK18:AN18"/>
    <mergeCell ref="AO18:AR18"/>
    <mergeCell ref="C19:E19"/>
    <mergeCell ref="F19:H19"/>
    <mergeCell ref="I19:AC19"/>
    <mergeCell ref="AO19:AR19"/>
    <mergeCell ref="C20:E20"/>
    <mergeCell ref="F20:H20"/>
    <mergeCell ref="I20:AC20"/>
    <mergeCell ref="AF20:AG20"/>
    <mergeCell ref="AH20:AJ20"/>
    <mergeCell ref="AK20:AN20"/>
    <mergeCell ref="AO20:AR20"/>
    <mergeCell ref="C21:E21"/>
    <mergeCell ref="F21:H21"/>
    <mergeCell ref="I21:AA21"/>
    <mergeCell ref="AO21:AR21"/>
    <mergeCell ref="C22:E22"/>
    <mergeCell ref="F22:H22"/>
    <mergeCell ref="I22:AC22"/>
    <mergeCell ref="AO22:AR22"/>
    <mergeCell ref="C23:E23"/>
    <mergeCell ref="F23:H23"/>
    <mergeCell ref="I23:AC23"/>
    <mergeCell ref="AF23:AG23"/>
    <mergeCell ref="AH23:AJ23"/>
    <mergeCell ref="AK23:AN23"/>
    <mergeCell ref="AO23:AR23"/>
    <mergeCell ref="C24:E24"/>
    <mergeCell ref="F24:H24"/>
    <mergeCell ref="I24:AC24"/>
    <mergeCell ref="AF24:AG24"/>
    <mergeCell ref="AH24:AJ24"/>
    <mergeCell ref="AK24:AN24"/>
    <mergeCell ref="AO24:AR24"/>
    <mergeCell ref="C25:E25"/>
    <mergeCell ref="F25:H25"/>
    <mergeCell ref="I25:AC25"/>
    <mergeCell ref="AF25:AG25"/>
    <mergeCell ref="AH25:AJ25"/>
    <mergeCell ref="AK25:AN25"/>
    <mergeCell ref="AO25:AR25"/>
    <mergeCell ref="C26:E26"/>
    <mergeCell ref="F26:H26"/>
    <mergeCell ref="I26:AA26"/>
    <mergeCell ref="AO26:AR26"/>
    <mergeCell ref="C27:E27"/>
    <mergeCell ref="F27:H27"/>
    <mergeCell ref="I27:AA27"/>
    <mergeCell ref="AO27:AR27"/>
    <mergeCell ref="I28:AC28"/>
    <mergeCell ref="AD28:AE28"/>
    <mergeCell ref="AF28:AG28"/>
    <mergeCell ref="AH28:AJ28"/>
    <mergeCell ref="AK28:AN28"/>
    <mergeCell ref="AO28:AR28"/>
    <mergeCell ref="C29:E29"/>
    <mergeCell ref="F29:H29"/>
    <mergeCell ref="I29:AC29"/>
    <mergeCell ref="AF29:AG29"/>
    <mergeCell ref="AH29:AJ29"/>
    <mergeCell ref="AK29:AN29"/>
    <mergeCell ref="AO29:AR29"/>
    <mergeCell ref="C30:E30"/>
    <mergeCell ref="F30:H30"/>
    <mergeCell ref="I30:AC30"/>
    <mergeCell ref="AF30:AG30"/>
    <mergeCell ref="AH30:AJ30"/>
    <mergeCell ref="AK30:AN30"/>
    <mergeCell ref="AO30:AR30"/>
    <mergeCell ref="C31:E31"/>
    <mergeCell ref="F31:H31"/>
    <mergeCell ref="I31:AC31"/>
    <mergeCell ref="AF31:AG31"/>
    <mergeCell ref="AH31:AJ31"/>
    <mergeCell ref="AK31:AN31"/>
    <mergeCell ref="AO31:AR31"/>
    <mergeCell ref="C32:E32"/>
    <mergeCell ref="F32:H32"/>
    <mergeCell ref="I32:AC32"/>
    <mergeCell ref="AF32:AG32"/>
    <mergeCell ref="AH32:AJ32"/>
    <mergeCell ref="AK32:AN32"/>
    <mergeCell ref="AO32:AR32"/>
    <mergeCell ref="C33:E33"/>
    <mergeCell ref="F33:H33"/>
    <mergeCell ref="I33:AC33"/>
    <mergeCell ref="AF33:AG33"/>
    <mergeCell ref="AH33:AJ33"/>
    <mergeCell ref="AK33:AN33"/>
    <mergeCell ref="AO33:AR33"/>
    <mergeCell ref="I34:AC34"/>
    <mergeCell ref="AD34:AE34"/>
    <mergeCell ref="AF34:AG34"/>
    <mergeCell ref="AH34:AJ34"/>
    <mergeCell ref="AK34:AN34"/>
    <mergeCell ref="AO34:AR34"/>
    <mergeCell ref="C35:E35"/>
    <mergeCell ref="F35:H35"/>
    <mergeCell ref="I35:AC35"/>
    <mergeCell ref="AF35:AG35"/>
    <mergeCell ref="AH35:AJ35"/>
    <mergeCell ref="AK35:AN35"/>
    <mergeCell ref="AO35:AR35"/>
    <mergeCell ref="C36:E36"/>
    <mergeCell ref="F36:H36"/>
    <mergeCell ref="I36:AC36"/>
    <mergeCell ref="AF36:AG36"/>
    <mergeCell ref="AH36:AJ36"/>
    <mergeCell ref="AK36:AN36"/>
    <mergeCell ref="AO36:AR36"/>
    <mergeCell ref="C37:E37"/>
    <mergeCell ref="F37:H37"/>
    <mergeCell ref="I37:AC37"/>
    <mergeCell ref="AF37:AG37"/>
    <mergeCell ref="AH37:AJ37"/>
    <mergeCell ref="AK37:AN37"/>
    <mergeCell ref="AO37:AR37"/>
    <mergeCell ref="C38:E38"/>
    <mergeCell ref="F38:H38"/>
    <mergeCell ref="I38:AC38"/>
    <mergeCell ref="AF38:AG38"/>
    <mergeCell ref="AH38:AJ38"/>
    <mergeCell ref="AK38:AN38"/>
    <mergeCell ref="AO38:AR38"/>
    <mergeCell ref="C39:E39"/>
    <mergeCell ref="F39:H39"/>
    <mergeCell ref="I39:AC39"/>
    <mergeCell ref="AF39:AG39"/>
    <mergeCell ref="AH39:AJ39"/>
    <mergeCell ref="AK39:AN39"/>
    <mergeCell ref="AO39:AR39"/>
    <mergeCell ref="C40:E40"/>
    <mergeCell ref="F40:H40"/>
    <mergeCell ref="I40:AA40"/>
    <mergeCell ref="AO40:AR40"/>
    <mergeCell ref="I41:AC41"/>
    <mergeCell ref="AD41:AE41"/>
    <mergeCell ref="AF41:AG41"/>
    <mergeCell ref="AH41:AJ41"/>
    <mergeCell ref="AK41:AN41"/>
    <mergeCell ref="AO41:AR41"/>
    <mergeCell ref="C42:E42"/>
    <mergeCell ref="F42:H42"/>
    <mergeCell ref="I42:AC42"/>
    <mergeCell ref="AF42:AG42"/>
    <mergeCell ref="AH42:AJ42"/>
    <mergeCell ref="AK42:AN42"/>
    <mergeCell ref="AO42:AR42"/>
    <mergeCell ref="C43:E43"/>
    <mergeCell ref="F43:H43"/>
    <mergeCell ref="I43:AC43"/>
    <mergeCell ref="AF43:AG43"/>
    <mergeCell ref="AH43:AJ43"/>
    <mergeCell ref="AK43:AN43"/>
    <mergeCell ref="AO43:AR43"/>
    <mergeCell ref="C44:E44"/>
    <mergeCell ref="F44:H44"/>
    <mergeCell ref="I44:AC44"/>
    <mergeCell ref="AF44:AG44"/>
    <mergeCell ref="AH44:AJ44"/>
    <mergeCell ref="AK44:AN44"/>
    <mergeCell ref="AO44:AR44"/>
    <mergeCell ref="C45:E45"/>
    <mergeCell ref="F45:H45"/>
    <mergeCell ref="I45:AC45"/>
    <mergeCell ref="AF45:AG45"/>
    <mergeCell ref="AH45:AJ45"/>
    <mergeCell ref="AK45:AN45"/>
    <mergeCell ref="AO45:AR45"/>
    <mergeCell ref="C46:E46"/>
    <mergeCell ref="F46:H46"/>
    <mergeCell ref="I46:AC46"/>
    <mergeCell ref="AF46:AG46"/>
    <mergeCell ref="AH46:AJ46"/>
    <mergeCell ref="AK46:AN46"/>
    <mergeCell ref="AO46:AR46"/>
    <mergeCell ref="C47:E47"/>
    <mergeCell ref="F47:H47"/>
    <mergeCell ref="I47:AC47"/>
    <mergeCell ref="AF47:AG47"/>
    <mergeCell ref="AH47:AJ47"/>
    <mergeCell ref="AK47:AN47"/>
    <mergeCell ref="AO47:AR47"/>
    <mergeCell ref="C48:E48"/>
    <mergeCell ref="F48:H48"/>
    <mergeCell ref="I48:AC48"/>
    <mergeCell ref="AF48:AG48"/>
    <mergeCell ref="AH48:AJ48"/>
    <mergeCell ref="AK48:AN48"/>
    <mergeCell ref="AO48:AR48"/>
    <mergeCell ref="C49:E49"/>
    <mergeCell ref="F49:H49"/>
    <mergeCell ref="I49:AC49"/>
    <mergeCell ref="AF49:AG49"/>
    <mergeCell ref="AH49:AJ49"/>
    <mergeCell ref="AK49:AN49"/>
    <mergeCell ref="AO49:AR49"/>
    <mergeCell ref="I50:AC50"/>
    <mergeCell ref="AD50:AE50"/>
    <mergeCell ref="AF50:AG50"/>
    <mergeCell ref="AH50:AJ50"/>
    <mergeCell ref="AK50:AN50"/>
    <mergeCell ref="AO50:AR50"/>
    <mergeCell ref="C51:E51"/>
    <mergeCell ref="F51:H51"/>
    <mergeCell ref="I51:AC51"/>
    <mergeCell ref="AF51:AG51"/>
    <mergeCell ref="AH51:AJ51"/>
    <mergeCell ref="AK51:AN51"/>
    <mergeCell ref="AO51:AR51"/>
    <mergeCell ref="C52:E52"/>
    <mergeCell ref="F52:H52"/>
    <mergeCell ref="I52:AC52"/>
    <mergeCell ref="AF52:AG52"/>
    <mergeCell ref="AH52:AJ52"/>
    <mergeCell ref="AK52:AN52"/>
    <mergeCell ref="AO52:AR52"/>
    <mergeCell ref="C53:E53"/>
    <mergeCell ref="F53:H53"/>
    <mergeCell ref="I53:AC53"/>
    <mergeCell ref="AF53:AG53"/>
    <mergeCell ref="AH53:AJ53"/>
    <mergeCell ref="AK53:AN53"/>
    <mergeCell ref="AO53:AR53"/>
    <mergeCell ref="C54:E54"/>
    <mergeCell ref="F54:H54"/>
    <mergeCell ref="I54:AC54"/>
    <mergeCell ref="AF54:AG54"/>
    <mergeCell ref="AH54:AJ54"/>
    <mergeCell ref="AK54:AN54"/>
    <mergeCell ref="AO54:AR54"/>
    <mergeCell ref="C55:E55"/>
    <mergeCell ref="F55:H55"/>
    <mergeCell ref="I55:AC55"/>
    <mergeCell ref="AF55:AG55"/>
    <mergeCell ref="AH55:AJ55"/>
    <mergeCell ref="AK55:AN55"/>
    <mergeCell ref="AO55:AR55"/>
    <mergeCell ref="C56:E56"/>
    <mergeCell ref="F56:H56"/>
    <mergeCell ref="I56:AC56"/>
    <mergeCell ref="AF56:AG56"/>
    <mergeCell ref="AH56:AJ56"/>
    <mergeCell ref="AK56:AN56"/>
    <mergeCell ref="AO56:AR56"/>
    <mergeCell ref="C57:E57"/>
    <mergeCell ref="F57:H57"/>
    <mergeCell ref="I57:AC57"/>
    <mergeCell ref="AF57:AG57"/>
    <mergeCell ref="AH57:AJ57"/>
    <mergeCell ref="AK57:AN57"/>
    <mergeCell ref="AO57:AR57"/>
    <mergeCell ref="C58:E58"/>
    <mergeCell ref="F58:H58"/>
    <mergeCell ref="I58:AC58"/>
    <mergeCell ref="AF58:AG58"/>
    <mergeCell ref="AH58:AJ58"/>
    <mergeCell ref="AK58:AN58"/>
    <mergeCell ref="AO58:AR58"/>
    <mergeCell ref="I59:AC59"/>
    <mergeCell ref="AD59:AE59"/>
    <mergeCell ref="AF59:AG59"/>
    <mergeCell ref="AH59:AJ59"/>
    <mergeCell ref="AK59:AN59"/>
    <mergeCell ref="AO59:AR59"/>
    <mergeCell ref="C60:E60"/>
    <mergeCell ref="F60:H60"/>
    <mergeCell ref="I60:AC60"/>
    <mergeCell ref="AF60:AG60"/>
    <mergeCell ref="AH60:AJ60"/>
    <mergeCell ref="AK60:AN60"/>
    <mergeCell ref="AO60:AR60"/>
    <mergeCell ref="C61:E61"/>
    <mergeCell ref="F61:H61"/>
    <mergeCell ref="I61:AC61"/>
    <mergeCell ref="AF61:AG61"/>
    <mergeCell ref="AH61:AJ61"/>
    <mergeCell ref="AK61:AN61"/>
    <mergeCell ref="AO61:AR61"/>
    <mergeCell ref="C62:E62"/>
    <mergeCell ref="F62:H62"/>
    <mergeCell ref="I62:AC62"/>
    <mergeCell ref="AF62:AG62"/>
    <mergeCell ref="AH62:AJ62"/>
    <mergeCell ref="AK62:AN62"/>
    <mergeCell ref="AO62:AR62"/>
    <mergeCell ref="C63:E63"/>
    <mergeCell ref="F63:H63"/>
    <mergeCell ref="I63:AC63"/>
    <mergeCell ref="AF63:AG63"/>
    <mergeCell ref="AH63:AJ63"/>
    <mergeCell ref="AK63:AN63"/>
    <mergeCell ref="AO63:AR63"/>
    <mergeCell ref="C64:E64"/>
    <mergeCell ref="F64:H64"/>
    <mergeCell ref="I64:AC64"/>
    <mergeCell ref="AF64:AG64"/>
    <mergeCell ref="AH64:AJ64"/>
    <mergeCell ref="AK64:AN64"/>
    <mergeCell ref="AO64:AR64"/>
    <mergeCell ref="C65:E65"/>
    <mergeCell ref="F65:H65"/>
    <mergeCell ref="I65:AC65"/>
    <mergeCell ref="AF65:AG65"/>
    <mergeCell ref="AH65:AJ65"/>
    <mergeCell ref="AK65:AN65"/>
    <mergeCell ref="AO65:AR65"/>
    <mergeCell ref="I66:AC66"/>
    <mergeCell ref="AD66:AE66"/>
    <mergeCell ref="AF66:AG66"/>
    <mergeCell ref="AH66:AJ66"/>
    <mergeCell ref="AK66:AN66"/>
    <mergeCell ref="AO66:AR66"/>
    <mergeCell ref="C67:E67"/>
    <mergeCell ref="F67:H67"/>
    <mergeCell ref="I67:AC67"/>
    <mergeCell ref="AF67:AG67"/>
    <mergeCell ref="AH67:AJ67"/>
    <mergeCell ref="AK67:AN67"/>
    <mergeCell ref="AO67:AR67"/>
    <mergeCell ref="C68:E68"/>
    <mergeCell ref="F68:H68"/>
    <mergeCell ref="I68:AC68"/>
    <mergeCell ref="AF68:AG68"/>
    <mergeCell ref="AH68:AJ68"/>
    <mergeCell ref="AK68:AN68"/>
    <mergeCell ref="AO68:AR68"/>
    <mergeCell ref="C69:E69"/>
    <mergeCell ref="F69:H69"/>
    <mergeCell ref="I69:AC69"/>
    <mergeCell ref="AF69:AG69"/>
    <mergeCell ref="AH69:AJ69"/>
    <mergeCell ref="AK69:AN69"/>
    <mergeCell ref="AO69:AR69"/>
    <mergeCell ref="C70:E70"/>
    <mergeCell ref="F70:H70"/>
    <mergeCell ref="I70:AC70"/>
    <mergeCell ref="AF70:AG70"/>
    <mergeCell ref="AH70:AJ70"/>
    <mergeCell ref="AK70:AN70"/>
    <mergeCell ref="AO70:AR70"/>
    <mergeCell ref="C71:E71"/>
    <mergeCell ref="F71:H71"/>
    <mergeCell ref="I71:AC71"/>
    <mergeCell ref="AF71:AG71"/>
    <mergeCell ref="AH71:AJ71"/>
    <mergeCell ref="AK71:AN71"/>
    <mergeCell ref="AO71:AR71"/>
    <mergeCell ref="C72:E72"/>
    <mergeCell ref="F72:H72"/>
    <mergeCell ref="I72:AC72"/>
    <mergeCell ref="AF72:AG72"/>
    <mergeCell ref="AH72:AJ72"/>
    <mergeCell ref="AK72:AN72"/>
    <mergeCell ref="AO72:AR72"/>
    <mergeCell ref="I73:AC73"/>
    <mergeCell ref="AO73:AR73"/>
    <mergeCell ref="C74:E74"/>
    <mergeCell ref="F74:H74"/>
    <mergeCell ref="I74:AC74"/>
    <mergeCell ref="AF74:AG74"/>
    <mergeCell ref="AH74:AJ74"/>
    <mergeCell ref="AK74:AN74"/>
    <mergeCell ref="AO74:AR74"/>
    <mergeCell ref="I75:AC75"/>
    <mergeCell ref="AO75:AR75"/>
    <mergeCell ref="C76:E76"/>
    <mergeCell ref="F76:H76"/>
    <mergeCell ref="I76:AC76"/>
    <mergeCell ref="AF76:AG76"/>
    <mergeCell ref="AH76:AJ76"/>
    <mergeCell ref="AK76:AN76"/>
    <mergeCell ref="AO76:AR76"/>
    <mergeCell ref="I77:AC77"/>
    <mergeCell ref="AO77:AR77"/>
    <mergeCell ref="C78:E78"/>
    <mergeCell ref="F78:H78"/>
    <mergeCell ref="I78:AC78"/>
    <mergeCell ref="AF78:AG78"/>
    <mergeCell ref="AH78:AJ78"/>
    <mergeCell ref="AK78:AN78"/>
    <mergeCell ref="AO78:AR78"/>
    <mergeCell ref="C79:E79"/>
    <mergeCell ref="F79:H79"/>
    <mergeCell ref="I79:AC79"/>
    <mergeCell ref="AF79:AG79"/>
    <mergeCell ref="AH79:AJ79"/>
    <mergeCell ref="AK79:AN79"/>
    <mergeCell ref="AO79:AR79"/>
    <mergeCell ref="C80:E80"/>
    <mergeCell ref="F80:H80"/>
    <mergeCell ref="I80:AC80"/>
    <mergeCell ref="AF80:AG80"/>
    <mergeCell ref="AH80:AJ80"/>
    <mergeCell ref="AK80:AN80"/>
    <mergeCell ref="AO80:AR80"/>
    <mergeCell ref="C81:E81"/>
    <mergeCell ref="F81:H81"/>
    <mergeCell ref="I81:AC81"/>
    <mergeCell ref="AF81:AG81"/>
    <mergeCell ref="AH81:AJ81"/>
    <mergeCell ref="AK81:AN81"/>
    <mergeCell ref="AO81:AR81"/>
    <mergeCell ref="C82:E82"/>
    <mergeCell ref="F82:H82"/>
    <mergeCell ref="I82:AA82"/>
    <mergeCell ref="AO82:AR82"/>
    <mergeCell ref="I83:AC83"/>
    <mergeCell ref="AO83:AR83"/>
    <mergeCell ref="C84:E84"/>
    <mergeCell ref="F84:H84"/>
    <mergeCell ref="I84:AC84"/>
    <mergeCell ref="AF84:AG84"/>
    <mergeCell ref="AH84:AJ84"/>
    <mergeCell ref="AK84:AN84"/>
    <mergeCell ref="AO84:AR84"/>
    <mergeCell ref="C85:E85"/>
    <mergeCell ref="F85:H85"/>
    <mergeCell ref="I85:AC85"/>
    <mergeCell ref="AF85:AG85"/>
    <mergeCell ref="AH85:AJ85"/>
    <mergeCell ref="AK85:AN85"/>
    <mergeCell ref="AO85:AR85"/>
    <mergeCell ref="C86:E86"/>
    <mergeCell ref="F86:H86"/>
    <mergeCell ref="I86:AC86"/>
    <mergeCell ref="AF86:AG86"/>
    <mergeCell ref="AH86:AJ86"/>
    <mergeCell ref="AK86:AN86"/>
    <mergeCell ref="AO86:AR86"/>
    <mergeCell ref="C87:E87"/>
    <mergeCell ref="F87:H87"/>
    <mergeCell ref="I87:AC87"/>
    <mergeCell ref="AF87:AG87"/>
    <mergeCell ref="AH87:AJ87"/>
    <mergeCell ref="AK87:AN87"/>
    <mergeCell ref="AO87:AR87"/>
    <mergeCell ref="I88:AC88"/>
    <mergeCell ref="AO88:AR88"/>
    <mergeCell ref="C89:E89"/>
    <mergeCell ref="F89:H89"/>
    <mergeCell ref="I89:AC89"/>
    <mergeCell ref="AF89:AG89"/>
    <mergeCell ref="AH89:AJ89"/>
    <mergeCell ref="AK89:AN89"/>
    <mergeCell ref="AO89:AR89"/>
    <mergeCell ref="C90:E90"/>
    <mergeCell ref="F90:H90"/>
    <mergeCell ref="I90:AC90"/>
    <mergeCell ref="AF90:AG90"/>
    <mergeCell ref="AH90:AJ90"/>
    <mergeCell ref="AK90:AN90"/>
    <mergeCell ref="AO90:AR90"/>
    <mergeCell ref="C91:E91"/>
    <mergeCell ref="F91:H91"/>
    <mergeCell ref="I91:AC91"/>
    <mergeCell ref="AF91:AG91"/>
    <mergeCell ref="AH91:AJ91"/>
    <mergeCell ref="AK91:AN91"/>
    <mergeCell ref="AO91:AR91"/>
    <mergeCell ref="C92:E92"/>
    <mergeCell ref="F92:H92"/>
    <mergeCell ref="I92:AC92"/>
    <mergeCell ref="AF92:AG92"/>
    <mergeCell ref="AH92:AJ92"/>
    <mergeCell ref="AK92:AN92"/>
    <mergeCell ref="AO92:AR92"/>
    <mergeCell ref="I93:AC93"/>
    <mergeCell ref="AO93:AR93"/>
    <mergeCell ref="C94:E94"/>
    <mergeCell ref="F94:H94"/>
    <mergeCell ref="I94:AC94"/>
    <mergeCell ref="AF94:AG94"/>
    <mergeCell ref="AH94:AJ94"/>
    <mergeCell ref="AK94:AN94"/>
    <mergeCell ref="AO94:AR94"/>
    <mergeCell ref="C95:E95"/>
    <mergeCell ref="F95:H95"/>
    <mergeCell ref="I95:AC95"/>
    <mergeCell ref="AF95:AG95"/>
    <mergeCell ref="AH95:AJ95"/>
    <mergeCell ref="AK95:AN95"/>
    <mergeCell ref="AO95:AR95"/>
    <mergeCell ref="C96:E96"/>
    <mergeCell ref="F96:H96"/>
    <mergeCell ref="I96:AC96"/>
    <mergeCell ref="AF96:AG96"/>
    <mergeCell ref="AH96:AJ96"/>
    <mergeCell ref="AK96:AN96"/>
    <mergeCell ref="AO96:AR96"/>
    <mergeCell ref="C97:E97"/>
    <mergeCell ref="F97:H97"/>
    <mergeCell ref="I97:AC97"/>
    <mergeCell ref="AF97:AG97"/>
    <mergeCell ref="AH97:AJ97"/>
    <mergeCell ref="AK97:AN97"/>
    <mergeCell ref="AO97:AR97"/>
    <mergeCell ref="C98:E98"/>
    <mergeCell ref="I98:AC98"/>
    <mergeCell ref="AO98:AR98"/>
    <mergeCell ref="C99:E99"/>
    <mergeCell ref="F99:H99"/>
    <mergeCell ref="I99:AC99"/>
    <mergeCell ref="AF99:AG99"/>
    <mergeCell ref="AH99:AJ99"/>
    <mergeCell ref="AK99:AN99"/>
    <mergeCell ref="AO99:AR99"/>
    <mergeCell ref="C100:E100"/>
    <mergeCell ref="F100:H100"/>
    <mergeCell ref="I100:AC100"/>
    <mergeCell ref="AF100:AG100"/>
    <mergeCell ref="AH100:AJ100"/>
    <mergeCell ref="AK100:AN100"/>
    <mergeCell ref="AO100:AR100"/>
    <mergeCell ref="C101:E101"/>
    <mergeCell ref="F101:H101"/>
    <mergeCell ref="I101:AC101"/>
    <mergeCell ref="AF101:AG101"/>
    <mergeCell ref="AH101:AJ101"/>
    <mergeCell ref="AK101:AN101"/>
    <mergeCell ref="AO101:AR101"/>
    <mergeCell ref="C102:E102"/>
    <mergeCell ref="F102:H102"/>
    <mergeCell ref="I102:AC102"/>
    <mergeCell ref="AF102:AG102"/>
    <mergeCell ref="AH102:AJ102"/>
    <mergeCell ref="AK102:AN102"/>
    <mergeCell ref="AO102:AR102"/>
    <mergeCell ref="C103:E103"/>
    <mergeCell ref="F103:H103"/>
    <mergeCell ref="I103:AC103"/>
    <mergeCell ref="AF103:AG103"/>
    <mergeCell ref="AH103:AJ103"/>
    <mergeCell ref="AK103:AN103"/>
    <mergeCell ref="AO103:AR103"/>
    <mergeCell ref="C104:E104"/>
    <mergeCell ref="F104:H104"/>
    <mergeCell ref="I104:AC104"/>
    <mergeCell ref="AF104:AG104"/>
    <mergeCell ref="AH104:AJ104"/>
    <mergeCell ref="AK104:AN104"/>
    <mergeCell ref="AO104:AR104"/>
    <mergeCell ref="C105:E105"/>
    <mergeCell ref="F105:H105"/>
    <mergeCell ref="I105:AC105"/>
    <mergeCell ref="AF105:AG105"/>
    <mergeCell ref="AH105:AJ105"/>
    <mergeCell ref="AK105:AN105"/>
    <mergeCell ref="AO105:AR105"/>
    <mergeCell ref="I106:AC106"/>
    <mergeCell ref="AD106:AE106"/>
    <mergeCell ref="AF106:AG106"/>
    <mergeCell ref="AH106:AJ106"/>
    <mergeCell ref="AK106:AN106"/>
    <mergeCell ref="AO106:AR106"/>
    <mergeCell ref="C107:E107"/>
    <mergeCell ref="F107:H107"/>
    <mergeCell ref="I107:AC107"/>
    <mergeCell ref="AF107:AG107"/>
    <mergeCell ref="AH107:AJ107"/>
    <mergeCell ref="AK107:AN107"/>
    <mergeCell ref="AO107:AR107"/>
    <mergeCell ref="C108:E108"/>
    <mergeCell ref="F108:H108"/>
    <mergeCell ref="I108:AC108"/>
    <mergeCell ref="AF108:AG108"/>
    <mergeCell ref="AH108:AJ108"/>
    <mergeCell ref="AK108:AN108"/>
    <mergeCell ref="AO108:AR108"/>
    <mergeCell ref="C109:E109"/>
    <mergeCell ref="F109:H109"/>
    <mergeCell ref="I109:AC109"/>
    <mergeCell ref="AF109:AG109"/>
    <mergeCell ref="AH109:AJ109"/>
    <mergeCell ref="AK109:AN109"/>
    <mergeCell ref="AO109:AR109"/>
    <mergeCell ref="C110:E110"/>
    <mergeCell ref="F110:H110"/>
    <mergeCell ref="I110:AC110"/>
    <mergeCell ref="AF110:AG110"/>
    <mergeCell ref="AH110:AJ110"/>
    <mergeCell ref="AK110:AN110"/>
    <mergeCell ref="AO110:AR110"/>
    <mergeCell ref="C111:E111"/>
    <mergeCell ref="F111:H111"/>
    <mergeCell ref="I111:AC111"/>
    <mergeCell ref="AF111:AG111"/>
    <mergeCell ref="AH111:AJ111"/>
    <mergeCell ref="AK111:AN111"/>
    <mergeCell ref="AO111:AR111"/>
    <mergeCell ref="I112:AC112"/>
    <mergeCell ref="AD112:AE112"/>
    <mergeCell ref="AF112:AG112"/>
    <mergeCell ref="AH112:AJ112"/>
    <mergeCell ref="AK112:AN112"/>
    <mergeCell ref="AO112:AR112"/>
    <mergeCell ref="C113:E113"/>
    <mergeCell ref="F113:H113"/>
    <mergeCell ref="I113:AC113"/>
    <mergeCell ref="AF113:AG113"/>
    <mergeCell ref="AH113:AJ113"/>
    <mergeCell ref="AK113:AN113"/>
    <mergeCell ref="AO113:AR113"/>
    <mergeCell ref="C114:E114"/>
    <mergeCell ref="F114:H114"/>
    <mergeCell ref="I114:AC114"/>
    <mergeCell ref="AF114:AG114"/>
    <mergeCell ref="AH114:AJ114"/>
    <mergeCell ref="AK114:AN114"/>
    <mergeCell ref="AO114:AR114"/>
    <mergeCell ref="I115:AC115"/>
    <mergeCell ref="AO115:AR115"/>
    <mergeCell ref="I116:AC116"/>
    <mergeCell ref="AO116:AR116"/>
    <mergeCell ref="C117:E117"/>
    <mergeCell ref="F117:H117"/>
    <mergeCell ref="I117:AC117"/>
    <mergeCell ref="AF117:AG117"/>
    <mergeCell ref="AH117:AJ117"/>
    <mergeCell ref="AK117:AN117"/>
    <mergeCell ref="AO117:AR117"/>
    <mergeCell ref="C118:E118"/>
    <mergeCell ref="F118:H118"/>
    <mergeCell ref="I118:AC118"/>
    <mergeCell ref="AF118:AG118"/>
    <mergeCell ref="AH118:AJ118"/>
    <mergeCell ref="AK118:AN118"/>
    <mergeCell ref="AO118:AR118"/>
    <mergeCell ref="C119:E119"/>
    <mergeCell ref="F119:H119"/>
    <mergeCell ref="I119:AC119"/>
    <mergeCell ref="AF119:AG119"/>
    <mergeCell ref="AH119:AJ119"/>
    <mergeCell ref="AK119:AN119"/>
    <mergeCell ref="AO119:AR119"/>
    <mergeCell ref="I120:AC120"/>
    <mergeCell ref="AD120:AE120"/>
    <mergeCell ref="AF120:AG120"/>
    <mergeCell ref="AH120:AJ120"/>
    <mergeCell ref="AK120:AN120"/>
    <mergeCell ref="AO120:AR120"/>
    <mergeCell ref="C121:E121"/>
    <mergeCell ref="F121:H121"/>
    <mergeCell ref="I121:AC121"/>
    <mergeCell ref="AF121:AG121"/>
    <mergeCell ref="AH121:AJ121"/>
    <mergeCell ref="AK121:AN121"/>
    <mergeCell ref="AO121:AR121"/>
    <mergeCell ref="I122:AC122"/>
    <mergeCell ref="AD122:AE122"/>
    <mergeCell ref="AF122:AG122"/>
    <mergeCell ref="AH122:AJ122"/>
    <mergeCell ref="AK122:AN122"/>
    <mergeCell ref="AO122:AR122"/>
    <mergeCell ref="C123:E123"/>
    <mergeCell ref="F123:H123"/>
    <mergeCell ref="I123:AC123"/>
    <mergeCell ref="AF123:AG123"/>
    <mergeCell ref="AH123:AJ123"/>
    <mergeCell ref="AK123:AN123"/>
    <mergeCell ref="AO123:AR123"/>
    <mergeCell ref="I124:AC124"/>
    <mergeCell ref="AO124:AR124"/>
    <mergeCell ref="I125:AC125"/>
    <mergeCell ref="AD125:AE125"/>
    <mergeCell ref="AF125:AG125"/>
    <mergeCell ref="AH125:AJ125"/>
    <mergeCell ref="AK125:AN125"/>
    <mergeCell ref="AO125:AR125"/>
    <mergeCell ref="I126:AC126"/>
    <mergeCell ref="AD126:AE126"/>
    <mergeCell ref="AF126:AG126"/>
    <mergeCell ref="AH126:AJ126"/>
    <mergeCell ref="AK126:AN126"/>
    <mergeCell ref="AO126:AR126"/>
    <mergeCell ref="C127:E127"/>
    <mergeCell ref="F127:H127"/>
    <mergeCell ref="I127:AC127"/>
    <mergeCell ref="AF127:AG127"/>
    <mergeCell ref="AH127:AJ127"/>
    <mergeCell ref="AK127:AN127"/>
    <mergeCell ref="AO127:AR127"/>
    <mergeCell ref="C128:E128"/>
    <mergeCell ref="F128:H128"/>
    <mergeCell ref="I128:AC128"/>
    <mergeCell ref="AF128:AG128"/>
    <mergeCell ref="AH128:AJ128"/>
    <mergeCell ref="AK128:AN128"/>
    <mergeCell ref="AO128:AR128"/>
    <mergeCell ref="I129:AC129"/>
    <mergeCell ref="AD129:AE129"/>
    <mergeCell ref="AF129:AG129"/>
    <mergeCell ref="AH129:AJ129"/>
    <mergeCell ref="AK129:AN129"/>
    <mergeCell ref="AO129:AR129"/>
    <mergeCell ref="C130:E130"/>
    <mergeCell ref="F130:H130"/>
    <mergeCell ref="I130:AC130"/>
    <mergeCell ref="AF130:AG130"/>
    <mergeCell ref="AH130:AJ130"/>
    <mergeCell ref="AK130:AN130"/>
    <mergeCell ref="AO130:AR130"/>
    <mergeCell ref="C131:E131"/>
    <mergeCell ref="F131:H131"/>
    <mergeCell ref="I131:AC131"/>
    <mergeCell ref="AF131:AG131"/>
    <mergeCell ref="AH131:AJ131"/>
    <mergeCell ref="AK131:AN131"/>
    <mergeCell ref="AO131:AR131"/>
    <mergeCell ref="I132:AC132"/>
    <mergeCell ref="AD132:AE132"/>
    <mergeCell ref="AF132:AG132"/>
    <mergeCell ref="AH132:AJ132"/>
    <mergeCell ref="AK132:AN132"/>
    <mergeCell ref="AO132:AR132"/>
    <mergeCell ref="I133:AC133"/>
    <mergeCell ref="AD133:AE133"/>
    <mergeCell ref="AF133:AG133"/>
    <mergeCell ref="AH133:AJ133"/>
    <mergeCell ref="AK133:AN133"/>
    <mergeCell ref="AO133:AR133"/>
    <mergeCell ref="C134:E134"/>
    <mergeCell ref="F134:H134"/>
    <mergeCell ref="I134:AC134"/>
    <mergeCell ref="AF134:AG134"/>
    <mergeCell ref="AH134:AJ134"/>
    <mergeCell ref="AK134:AN134"/>
    <mergeCell ref="AO134:AR134"/>
    <mergeCell ref="C135:E135"/>
    <mergeCell ref="F135:H135"/>
    <mergeCell ref="I135:AC135"/>
    <mergeCell ref="AF135:AG135"/>
    <mergeCell ref="AH135:AJ135"/>
    <mergeCell ref="AK135:AN135"/>
    <mergeCell ref="AO135:AR135"/>
    <mergeCell ref="C136:E136"/>
    <mergeCell ref="F136:H136"/>
    <mergeCell ref="I136:AC136"/>
    <mergeCell ref="AF136:AG136"/>
    <mergeCell ref="AH136:AJ136"/>
    <mergeCell ref="AK136:AN136"/>
    <mergeCell ref="AO136:AR136"/>
    <mergeCell ref="I137:AC137"/>
    <mergeCell ref="AD137:AE137"/>
    <mergeCell ref="AF137:AG137"/>
    <mergeCell ref="AH137:AJ137"/>
    <mergeCell ref="AK137:AN137"/>
    <mergeCell ref="AO137:AR137"/>
    <mergeCell ref="C138:E138"/>
    <mergeCell ref="F138:H138"/>
    <mergeCell ref="I138:AC138"/>
    <mergeCell ref="AF138:AG138"/>
    <mergeCell ref="AH138:AJ138"/>
    <mergeCell ref="AK138:AN138"/>
    <mergeCell ref="AO138:AR138"/>
    <mergeCell ref="I139:AC139"/>
    <mergeCell ref="AD139:AE139"/>
    <mergeCell ref="AF139:AG139"/>
    <mergeCell ref="AH139:AJ139"/>
    <mergeCell ref="AK139:AN139"/>
    <mergeCell ref="AO139:AR139"/>
    <mergeCell ref="I140:AC140"/>
    <mergeCell ref="AD140:AE140"/>
    <mergeCell ref="AF140:AG140"/>
    <mergeCell ref="AH140:AJ140"/>
    <mergeCell ref="AK140:AN140"/>
    <mergeCell ref="AO140:AR140"/>
    <mergeCell ref="C141:E141"/>
    <mergeCell ref="F141:H141"/>
    <mergeCell ref="I141:AC141"/>
    <mergeCell ref="AF141:AG141"/>
    <mergeCell ref="AH141:AJ141"/>
    <mergeCell ref="AK141:AN141"/>
    <mergeCell ref="AO141:AR141"/>
    <mergeCell ref="I142:AC142"/>
    <mergeCell ref="AD142:AE142"/>
    <mergeCell ref="AF142:AG142"/>
    <mergeCell ref="AH142:AJ142"/>
    <mergeCell ref="AK142:AN142"/>
    <mergeCell ref="AO142:AR142"/>
    <mergeCell ref="C143:E143"/>
    <mergeCell ref="F143:H143"/>
    <mergeCell ref="I143:AC143"/>
    <mergeCell ref="AF143:AG143"/>
    <mergeCell ref="AH143:AJ143"/>
    <mergeCell ref="AK143:AN143"/>
    <mergeCell ref="AO143:AR143"/>
    <mergeCell ref="C144:E144"/>
    <mergeCell ref="F144:H144"/>
    <mergeCell ref="I144:AC144"/>
    <mergeCell ref="AF144:AG144"/>
    <mergeCell ref="AH144:AJ144"/>
    <mergeCell ref="AK144:AN144"/>
    <mergeCell ref="AO144:AR144"/>
    <mergeCell ref="C145:E145"/>
    <mergeCell ref="F145:H145"/>
    <mergeCell ref="I145:AC145"/>
    <mergeCell ref="AF145:AG145"/>
    <mergeCell ref="AH145:AJ145"/>
    <mergeCell ref="AK145:AN145"/>
    <mergeCell ref="AO145:AR145"/>
    <mergeCell ref="I146:AC146"/>
    <mergeCell ref="AD146:AE146"/>
    <mergeCell ref="AF146:AG146"/>
    <mergeCell ref="AH146:AJ146"/>
    <mergeCell ref="AK146:AN146"/>
    <mergeCell ref="AO146:AR146"/>
    <mergeCell ref="C147:E147"/>
    <mergeCell ref="F147:H147"/>
    <mergeCell ref="I147:AC147"/>
    <mergeCell ref="AF147:AG147"/>
    <mergeCell ref="AH147:AJ147"/>
    <mergeCell ref="AK147:AN147"/>
    <mergeCell ref="AO147:AR147"/>
    <mergeCell ref="I148:AC148"/>
    <mergeCell ref="AD148:AE148"/>
    <mergeCell ref="AF148:AG148"/>
    <mergeCell ref="AH148:AJ148"/>
    <mergeCell ref="AK148:AN148"/>
    <mergeCell ref="AO148:AR148"/>
    <mergeCell ref="C149:E149"/>
    <mergeCell ref="F149:H149"/>
    <mergeCell ref="I149:AC149"/>
    <mergeCell ref="AF149:AG149"/>
    <mergeCell ref="AH149:AJ149"/>
    <mergeCell ref="AK149:AN149"/>
    <mergeCell ref="AO149:AR149"/>
    <mergeCell ref="C150:E150"/>
    <mergeCell ref="F150:H150"/>
    <mergeCell ref="I150:AA150"/>
    <mergeCell ref="AB150:AD150"/>
    <mergeCell ref="AE150:AG150"/>
    <mergeCell ref="AH150:AJ150"/>
    <mergeCell ref="AK150:AM150"/>
    <mergeCell ref="AO150:AR150"/>
    <mergeCell ref="C151:E151"/>
    <mergeCell ref="F151:H151"/>
    <mergeCell ref="I151:AA151"/>
    <mergeCell ref="AB151:AD151"/>
    <mergeCell ref="AE151:AG151"/>
    <mergeCell ref="AH151:AJ151"/>
    <mergeCell ref="AK151:AM151"/>
    <mergeCell ref="AO151:AR151"/>
    <mergeCell ref="AU157:AU158"/>
    <mergeCell ref="AU159:AU160"/>
    <mergeCell ref="AU161:AU162"/>
    <mergeCell ref="AU163:AU164"/>
    <mergeCell ref="AU165:AU166"/>
    <mergeCell ref="AU167:AU168"/>
    <mergeCell ref="AU169:AU170"/>
    <mergeCell ref="AU171:AU172"/>
    <mergeCell ref="AU173:AU174"/>
    <mergeCell ref="AU175:AU176"/>
    <mergeCell ref="AU177:AU178"/>
    <mergeCell ref="AU179:AU180"/>
    <mergeCell ref="AV157:AV158"/>
    <mergeCell ref="AV159:AV160"/>
    <mergeCell ref="AV161:AV162"/>
    <mergeCell ref="AV163:AV164"/>
    <mergeCell ref="AV165:AV166"/>
    <mergeCell ref="AV167:AV168"/>
    <mergeCell ref="AV169:AV170"/>
    <mergeCell ref="AV171:AV172"/>
    <mergeCell ref="AV173:AV174"/>
    <mergeCell ref="AV175:AV176"/>
    <mergeCell ref="AV177:AV178"/>
    <mergeCell ref="AV179:AV180"/>
    <mergeCell ref="AW157:AW158"/>
    <mergeCell ref="AW159:AW160"/>
    <mergeCell ref="AW161:AW162"/>
    <mergeCell ref="AW163:AW164"/>
    <mergeCell ref="AW165:AW166"/>
    <mergeCell ref="AW167:AW168"/>
    <mergeCell ref="AW169:AW170"/>
    <mergeCell ref="AW171:AW172"/>
    <mergeCell ref="AW173:AW174"/>
    <mergeCell ref="AW175:AW176"/>
    <mergeCell ref="AW177:AW178"/>
    <mergeCell ref="AW179:AW180"/>
    <mergeCell ref="AX157:AX158"/>
    <mergeCell ref="AX159:AX160"/>
    <mergeCell ref="AX161:AX162"/>
    <mergeCell ref="AX163:AX164"/>
    <mergeCell ref="AX165:AX166"/>
    <mergeCell ref="AX167:AX168"/>
    <mergeCell ref="AX169:AX170"/>
    <mergeCell ref="AX171:AX172"/>
    <mergeCell ref="AX173:AX174"/>
    <mergeCell ref="AX175:AX176"/>
    <mergeCell ref="AX177:AX178"/>
    <mergeCell ref="AX179:AX180"/>
    <mergeCell ref="AY157:AY158"/>
    <mergeCell ref="AY159:AY160"/>
    <mergeCell ref="AY161:AY162"/>
    <mergeCell ref="AY163:AY164"/>
    <mergeCell ref="AY165:AY166"/>
    <mergeCell ref="AY167:AY168"/>
    <mergeCell ref="AY169:AY170"/>
    <mergeCell ref="AY171:AY172"/>
    <mergeCell ref="AY173:AY174"/>
    <mergeCell ref="AY175:AY176"/>
    <mergeCell ref="AY177:AY178"/>
    <mergeCell ref="AY179:AY180"/>
    <mergeCell ref="AF159:AH160"/>
    <mergeCell ref="AI159:AL160"/>
    <mergeCell ref="AM159:AP160"/>
    <mergeCell ref="AF171:AH172"/>
    <mergeCell ref="F173:H174"/>
    <mergeCell ref="AF161:AH162"/>
    <mergeCell ref="I157:AA158"/>
    <mergeCell ref="AB157:AC158"/>
    <mergeCell ref="AD157:AE158"/>
    <mergeCell ref="AI157:AL158"/>
    <mergeCell ref="AM157:AP158"/>
    <mergeCell ref="F155:AP156"/>
    <mergeCell ref="F157:H158"/>
    <mergeCell ref="F159:H160"/>
    <mergeCell ref="I159:AA160"/>
    <mergeCell ref="AB159:AC160"/>
    <mergeCell ref="AD159:AE160"/>
    <mergeCell ref="AB161:AC162"/>
    <mergeCell ref="AD161:AE162"/>
    <mergeCell ref="I167:AA168"/>
    <mergeCell ref="I163:AA164"/>
    <mergeCell ref="AI165:AL166"/>
    <mergeCell ref="AM165:AP166"/>
    <mergeCell ref="AI167:AL168"/>
    <mergeCell ref="AM167:AP168"/>
    <mergeCell ref="AI171:AL172"/>
    <mergeCell ref="AM171:AP172"/>
    <mergeCell ref="AI161:AL162"/>
    <mergeCell ref="AM161:AP162"/>
    <mergeCell ref="F163:H164"/>
    <mergeCell ref="F165:H166"/>
    <mergeCell ref="I165:AA166"/>
    <mergeCell ref="F167:H168"/>
    <mergeCell ref="F179:H180"/>
    <mergeCell ref="F169:H170"/>
    <mergeCell ref="AB169:AC170"/>
    <mergeCell ref="AD169:AE170"/>
    <mergeCell ref="F171:H172"/>
    <mergeCell ref="I171:AA172"/>
    <mergeCell ref="AB171:AC172"/>
    <mergeCell ref="AD171:AE172"/>
    <mergeCell ref="AF157:AH158"/>
    <mergeCell ref="I161:AA162"/>
    <mergeCell ref="F161:H162"/>
    <mergeCell ref="AI163:AL164"/>
    <mergeCell ref="AM163:AP164"/>
    <mergeCell ref="AB167:AC168"/>
    <mergeCell ref="AD167:AE168"/>
    <mergeCell ref="AB175:AC176"/>
    <mergeCell ref="AD175:AE176"/>
    <mergeCell ref="I175:AA176"/>
    <mergeCell ref="I173:AA174"/>
    <mergeCell ref="AB173:AC174"/>
    <mergeCell ref="AD173:AE174"/>
    <mergeCell ref="AF173:AH174"/>
    <mergeCell ref="AI173:AL174"/>
    <mergeCell ref="AM173:AP174"/>
    <mergeCell ref="I169:AA170"/>
    <mergeCell ref="AB165:AC166"/>
    <mergeCell ref="AD165:AE166"/>
    <mergeCell ref="AF163:AH164"/>
    <mergeCell ref="AF167:AH168"/>
    <mergeCell ref="AF165:AH166"/>
    <mergeCell ref="AB183:AC184"/>
    <mergeCell ref="AD183:AE184"/>
    <mergeCell ref="AI181:AL182"/>
    <mergeCell ref="AM181:AP182"/>
    <mergeCell ref="I177:AA178"/>
    <mergeCell ref="AB177:AC178"/>
    <mergeCell ref="AD177:AE178"/>
    <mergeCell ref="AF177:AH178"/>
    <mergeCell ref="AI177:AL178"/>
    <mergeCell ref="AM177:AP178"/>
    <mergeCell ref="AI179:AL180"/>
    <mergeCell ref="AM179:AP180"/>
    <mergeCell ref="AF179:AH180"/>
    <mergeCell ref="AF183:AH184"/>
    <mergeCell ref="AI169:AL170"/>
    <mergeCell ref="AM169:AP170"/>
    <mergeCell ref="AF169:AH170"/>
    <mergeCell ref="I181:AA182"/>
    <mergeCell ref="AF181:AH182"/>
    <mergeCell ref="I183:AA184"/>
    <mergeCell ref="AI175:AL176"/>
    <mergeCell ref="AM175:AP176"/>
    <mergeCell ref="AB181:AC182"/>
    <mergeCell ref="AD181:AE182"/>
    <mergeCell ref="F187:H188"/>
    <mergeCell ref="I185:AA186"/>
    <mergeCell ref="AB179:AC180"/>
    <mergeCell ref="AD179:AE180"/>
    <mergeCell ref="AI183:AL184"/>
    <mergeCell ref="AM183:AP184"/>
    <mergeCell ref="I179:AA180"/>
    <mergeCell ref="AF175:AH176"/>
    <mergeCell ref="AI185:AL186"/>
    <mergeCell ref="AM185:AP186"/>
    <mergeCell ref="AB185:AC186"/>
    <mergeCell ref="AD185:AE186"/>
    <mergeCell ref="I187:AA188"/>
    <mergeCell ref="AB187:AC188"/>
    <mergeCell ref="AD187:AE188"/>
    <mergeCell ref="AI187:AL188"/>
    <mergeCell ref="AM187:AP188"/>
    <mergeCell ref="AF187:AH188"/>
    <mergeCell ref="AF185:AH186"/>
    <mergeCell ref="F185:H186"/>
    <mergeCell ref="F177:H178"/>
    <mergeCell ref="F175:H176"/>
    <mergeCell ref="F183:H184"/>
    <mergeCell ref="F181:H182"/>
    <mergeCell ref="AB163:AC164"/>
    <mergeCell ref="AD163:AE164"/>
    <mergeCell ref="F153:AP154"/>
  </mergeCells>
  <printOptions horizontalCentered="1"/>
  <pageMargins left="0.393700787401575" right="0.393700787401575" top="0.196850393700787" bottom="0.590551181102362" header="0" footer="0.118110236220472"/>
  <pageSetup paperSize="9" fitToHeight="13" orientation="portrait"/>
  <headerFooter>
    <oddFooter>&amp;L&amp;G&amp;R&amp;8Projeto Executivo de Engenharia, Estudos e
Orçamentos para a Construção de Ponte Rodoviária
em Concreto Armado - Rodovia Vicinal</oddFooter>
  </headerFooter>
  <rowBreaks count="2" manualBreakCount="2">
    <brk id="111" max="43" man="1"/>
    <brk id="136" max="43" man="1"/>
  </rowBreaks>
  <ignoredErrors>
    <ignoredError sqref="A148 A139" formula="1"/>
  </ignoredErrors>
  <drawing r:id="rId1"/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3150"/>
  <sheetViews>
    <sheetView view="pageBreakPreview" zoomScale="130" zoomScalePageLayoutView="115" zoomScaleNormal="110" workbookViewId="0">
      <selection activeCell="A1" sqref="A1"/>
    </sheetView>
  </sheetViews>
  <sheetFormatPr defaultColWidth="3.33333333333333" defaultRowHeight="15"/>
  <cols>
    <col min="12" max="12" width="8.21904761904762" customWidth="1"/>
    <col min="31" max="31" width="12" customWidth="1"/>
    <col min="32" max="33" width="3.33333333333333" customWidth="1"/>
  </cols>
  <sheetData>
    <row r="1" ht="14.1" customHeight="1"/>
    <row r="2" spans="1:28">
      <c r="A2" s="1038" t="s">
        <v>187</v>
      </c>
      <c r="B2" s="1038"/>
      <c r="C2" s="1038"/>
      <c r="D2" s="1038"/>
      <c r="E2" s="1038"/>
      <c r="F2" s="1038"/>
      <c r="G2" s="1038" t="s">
        <v>188</v>
      </c>
      <c r="H2" s="1038"/>
      <c r="I2" s="1038"/>
      <c r="J2" s="1038"/>
      <c r="K2" s="1038"/>
      <c r="L2" s="1038"/>
      <c r="M2" s="1038"/>
      <c r="N2" s="1038"/>
      <c r="O2" s="1038"/>
      <c r="P2" s="1038"/>
      <c r="Q2" s="1038"/>
      <c r="R2" s="1038"/>
      <c r="S2" s="1038"/>
      <c r="T2" s="1038"/>
      <c r="U2" s="1038"/>
      <c r="V2" s="1038"/>
      <c r="W2" s="1038"/>
      <c r="X2" s="1038"/>
      <c r="Y2" s="1038"/>
      <c r="Z2" s="1038"/>
      <c r="AA2" s="1038"/>
      <c r="AB2" s="1038"/>
    </row>
    <row r="3" spans="1:28">
      <c r="A3" s="1038" t="s">
        <v>3</v>
      </c>
      <c r="B3" s="1038"/>
      <c r="C3" s="1038"/>
      <c r="D3" s="1038"/>
      <c r="E3" s="1038"/>
      <c r="F3" s="1038"/>
      <c r="G3" s="1038" t="s">
        <v>189</v>
      </c>
      <c r="H3" s="1038"/>
      <c r="I3" s="1038"/>
      <c r="J3" s="1038"/>
      <c r="K3" s="1038"/>
      <c r="L3" s="1038"/>
      <c r="M3" s="1038"/>
      <c r="N3" s="1038"/>
      <c r="O3" s="1038"/>
      <c r="P3" s="1038"/>
      <c r="Q3" s="1038"/>
      <c r="R3" s="1038"/>
      <c r="S3" s="1038"/>
      <c r="T3" s="1038"/>
      <c r="U3" s="1038"/>
      <c r="V3" s="1038"/>
      <c r="W3" s="1038"/>
      <c r="X3" s="1038"/>
      <c r="Y3" s="1038"/>
      <c r="Z3" s="1038"/>
      <c r="AA3" s="1038"/>
      <c r="AB3" s="1038"/>
    </row>
    <row r="4" hidden="1" spans="1:28">
      <c r="A4" s="1038" t="s">
        <v>190</v>
      </c>
      <c r="B4" s="1038"/>
      <c r="C4" s="1038"/>
      <c r="D4" s="1038"/>
      <c r="E4" s="1038"/>
      <c r="F4" s="1038"/>
      <c r="G4" s="1038" t="s">
        <v>191</v>
      </c>
      <c r="H4" s="1038"/>
      <c r="I4" s="1038"/>
      <c r="J4" s="1038"/>
      <c r="K4" s="1038"/>
      <c r="L4" s="1038"/>
      <c r="M4" s="1038"/>
      <c r="N4" s="1038"/>
      <c r="O4" s="1038"/>
      <c r="P4" s="1038"/>
      <c r="Q4" s="1038"/>
      <c r="R4" s="1038"/>
      <c r="S4" s="1038"/>
      <c r="T4" s="1038"/>
      <c r="U4" s="1038"/>
      <c r="V4" s="1038"/>
      <c r="W4" s="1038"/>
      <c r="X4" s="1038"/>
      <c r="Y4" s="1038"/>
      <c r="Z4" s="1038"/>
      <c r="AA4" s="1038"/>
      <c r="AB4" s="1038"/>
    </row>
    <row r="5" hidden="1" spans="1:28">
      <c r="A5" s="1038" t="s">
        <v>192</v>
      </c>
      <c r="B5" s="1038"/>
      <c r="C5" s="1038"/>
      <c r="D5" s="1038"/>
      <c r="E5" s="1038"/>
      <c r="F5" s="1038"/>
      <c r="G5" s="1038" t="s">
        <v>193</v>
      </c>
      <c r="H5" s="1038"/>
      <c r="I5" s="1038"/>
      <c r="J5" s="1038"/>
      <c r="K5" s="1038"/>
      <c r="L5" s="1038"/>
      <c r="M5" s="1038"/>
      <c r="N5" s="1038"/>
      <c r="O5" s="1038"/>
      <c r="P5" s="1038"/>
      <c r="Q5" s="1038"/>
      <c r="R5" s="1038"/>
      <c r="S5" s="1038"/>
      <c r="T5" s="1038"/>
      <c r="U5" s="1038"/>
      <c r="V5" s="1038"/>
      <c r="W5" s="1038"/>
      <c r="X5" s="1038"/>
      <c r="Y5" s="1038"/>
      <c r="Z5" s="1038"/>
      <c r="AA5" s="1038"/>
      <c r="AB5" s="1038"/>
    </row>
    <row r="6" spans="1:28">
      <c r="A6" s="1038" t="s">
        <v>2</v>
      </c>
      <c r="B6" s="1038"/>
      <c r="C6" s="1038"/>
      <c r="D6" s="1038"/>
      <c r="E6" s="1038"/>
      <c r="F6" s="1038"/>
      <c r="G6" s="1038" t="s">
        <v>194</v>
      </c>
      <c r="H6" s="1038"/>
      <c r="I6" s="1038"/>
      <c r="J6" s="1038"/>
      <c r="K6" s="1038"/>
      <c r="L6" s="1038"/>
      <c r="M6" s="1038"/>
      <c r="N6" s="1038"/>
      <c r="O6" s="1038"/>
      <c r="P6" s="1038"/>
      <c r="Q6" s="1038"/>
      <c r="R6" s="1038"/>
      <c r="S6" s="1038"/>
      <c r="T6" s="1038"/>
      <c r="U6" s="1038"/>
      <c r="V6" s="1038"/>
      <c r="W6" s="1038"/>
      <c r="X6" s="1038"/>
      <c r="Y6" s="1038"/>
      <c r="Z6" s="1038"/>
      <c r="AA6" s="1038"/>
      <c r="AB6" s="1038"/>
    </row>
    <row r="7" spans="1:28">
      <c r="A7" s="1038"/>
      <c r="B7" s="1038"/>
      <c r="C7" s="1038"/>
      <c r="D7" s="1038"/>
      <c r="E7" s="1038"/>
      <c r="F7" s="1038"/>
      <c r="G7" s="1038"/>
      <c r="H7" s="1038"/>
      <c r="I7" s="1038"/>
      <c r="J7" s="1038"/>
      <c r="K7" s="1038"/>
      <c r="L7" s="1038"/>
      <c r="M7" s="1038"/>
      <c r="N7" s="1038"/>
      <c r="O7" s="1038"/>
      <c r="P7" s="1038"/>
      <c r="Q7" s="1038"/>
      <c r="R7" s="1038"/>
      <c r="S7" s="1038"/>
      <c r="T7" s="1038"/>
      <c r="U7" s="1038"/>
      <c r="V7" s="1038"/>
      <c r="W7" s="1038"/>
      <c r="X7" s="1038"/>
      <c r="Y7" s="1038"/>
      <c r="Z7" s="1038"/>
      <c r="AA7" s="1038"/>
      <c r="AB7" s="1038"/>
    </row>
    <row r="8" ht="15.75" spans="1:28">
      <c r="A8" s="1039" t="s">
        <v>195</v>
      </c>
      <c r="B8" s="1039"/>
      <c r="C8" s="1039"/>
      <c r="D8" s="1039"/>
      <c r="E8" s="1039"/>
      <c r="F8" s="1039"/>
      <c r="G8" s="1039"/>
      <c r="H8" s="1039"/>
      <c r="I8" s="1039"/>
      <c r="J8" s="1039"/>
      <c r="K8" s="1039"/>
      <c r="L8" s="1039"/>
      <c r="M8" s="1039"/>
      <c r="N8" s="1039"/>
      <c r="O8" s="1039"/>
      <c r="P8" s="1039"/>
      <c r="Q8" s="1039"/>
      <c r="R8" s="1039"/>
      <c r="S8" s="1039"/>
      <c r="T8" s="1039"/>
      <c r="U8" s="1039"/>
      <c r="V8" s="1039"/>
      <c r="W8" s="1039"/>
      <c r="X8" s="1039"/>
      <c r="Y8" s="1039"/>
      <c r="Z8" s="1039"/>
      <c r="AA8" s="1039"/>
      <c r="AB8" s="1039"/>
    </row>
    <row r="9" ht="15.75"/>
    <row r="10" spans="1:28">
      <c r="A10" s="1040" t="s">
        <v>196</v>
      </c>
      <c r="B10" s="1041"/>
      <c r="C10" s="1041"/>
      <c r="D10" s="1041"/>
      <c r="E10" s="1041"/>
      <c r="F10" s="1041"/>
      <c r="G10" s="1041"/>
      <c r="H10" s="1041"/>
      <c r="I10" s="1041"/>
      <c r="J10" s="1041"/>
      <c r="K10" s="1041"/>
      <c r="L10" s="1041"/>
      <c r="M10" s="1041"/>
      <c r="N10" s="1041"/>
      <c r="O10" s="1041"/>
      <c r="P10" s="1041"/>
      <c r="Q10" s="1041"/>
      <c r="R10" s="1041"/>
      <c r="S10" s="1041"/>
      <c r="T10" s="1041"/>
      <c r="U10" s="1041"/>
      <c r="V10" s="1041"/>
      <c r="W10" s="1041"/>
      <c r="X10" s="1041"/>
      <c r="Y10" s="1041"/>
      <c r="Z10" s="1041"/>
      <c r="AA10" s="1041"/>
      <c r="AB10" s="1042"/>
    </row>
    <row r="11" spans="1:28">
      <c r="A11" s="1043"/>
      <c r="AB11" s="1044"/>
    </row>
    <row r="12" spans="1:28">
      <c r="A12" s="1045" t="s">
        <v>78</v>
      </c>
      <c r="B12" s="1046"/>
      <c r="C12" s="1046"/>
      <c r="D12" s="1046"/>
      <c r="E12" s="1046"/>
      <c r="F12" s="1046"/>
      <c r="G12" s="1046"/>
      <c r="H12" s="1046"/>
      <c r="I12" s="1046"/>
      <c r="J12" s="1046"/>
      <c r="K12" s="1046"/>
      <c r="L12" s="1046"/>
      <c r="M12" s="1046"/>
      <c r="N12" s="1046"/>
      <c r="O12" s="1046"/>
      <c r="P12" s="1046"/>
      <c r="Q12" s="1046"/>
      <c r="R12" s="1046"/>
      <c r="S12" s="1046"/>
      <c r="T12" s="1046"/>
      <c r="U12" s="1046"/>
      <c r="V12" s="1046"/>
      <c r="W12" s="1046"/>
      <c r="X12" s="1046"/>
      <c r="Y12" s="1046"/>
      <c r="Z12" s="1046"/>
      <c r="AA12" s="1046"/>
      <c r="AB12" s="1047"/>
    </row>
    <row r="13" ht="14.4" customHeight="1" spans="1:28">
      <c r="A13" s="1048" t="s">
        <v>197</v>
      </c>
      <c r="B13" s="1049"/>
      <c r="C13" s="1049"/>
      <c r="D13" s="1050"/>
      <c r="E13" s="1051" t="s">
        <v>198</v>
      </c>
      <c r="F13" s="1049"/>
      <c r="G13" s="1049"/>
      <c r="H13" s="1050"/>
      <c r="I13" s="1051"/>
      <c r="J13" s="1049"/>
      <c r="K13" s="1049"/>
      <c r="L13" s="1050"/>
      <c r="M13" s="1051"/>
      <c r="N13" s="1049"/>
      <c r="O13" s="1049"/>
      <c r="P13" s="1050"/>
      <c r="Q13" s="1051"/>
      <c r="R13" s="1049"/>
      <c r="S13" s="1049"/>
      <c r="T13" s="1050"/>
      <c r="U13" s="1052"/>
      <c r="V13" s="1053"/>
      <c r="W13" s="1053"/>
      <c r="X13" s="1054"/>
      <c r="Y13" s="1055" t="s">
        <v>199</v>
      </c>
      <c r="Z13" s="1056"/>
      <c r="AA13" s="1056"/>
      <c r="AB13" s="1057"/>
    </row>
    <row r="14" ht="14.4" customHeight="1" spans="1:28">
      <c r="A14" s="1058"/>
      <c r="B14" s="1059"/>
      <c r="C14" s="1059"/>
      <c r="D14" s="1060"/>
      <c r="E14" s="1061"/>
      <c r="F14" s="1059"/>
      <c r="G14" s="1059"/>
      <c r="H14" s="1060"/>
      <c r="I14" s="1061"/>
      <c r="J14" s="1059"/>
      <c r="K14" s="1059"/>
      <c r="L14" s="1060"/>
      <c r="M14" s="1061"/>
      <c r="N14" s="1059"/>
      <c r="O14" s="1059"/>
      <c r="P14" s="1060"/>
      <c r="Q14" s="1061"/>
      <c r="R14" s="1059"/>
      <c r="S14" s="1059"/>
      <c r="T14" s="1060"/>
      <c r="U14" s="1062"/>
      <c r="V14" s="1063"/>
      <c r="W14" s="1063"/>
      <c r="X14" s="1064"/>
      <c r="Y14" s="1065"/>
      <c r="Z14" s="1066"/>
      <c r="AA14" s="1066"/>
      <c r="AB14" s="1067"/>
    </row>
    <row r="15" ht="15.75" spans="1:28">
      <c r="A15" s="1068">
        <v>1</v>
      </c>
      <c r="B15" s="1069"/>
      <c r="C15" s="1069"/>
      <c r="D15" s="1069"/>
      <c r="E15" s="1069">
        <v>1</v>
      </c>
      <c r="F15" s="1069"/>
      <c r="G15" s="1069"/>
      <c r="H15" s="1069"/>
      <c r="I15" s="1070"/>
      <c r="J15" s="1071"/>
      <c r="K15" s="1071"/>
      <c r="L15" s="1072"/>
      <c r="M15" s="1073"/>
      <c r="N15" s="1073"/>
      <c r="O15" s="1073"/>
      <c r="P15" s="1073"/>
      <c r="Q15" s="1073"/>
      <c r="R15" s="1073"/>
      <c r="S15" s="1073"/>
      <c r="T15" s="1073"/>
      <c r="U15" s="1074"/>
      <c r="V15" s="1075"/>
      <c r="W15" s="1075"/>
      <c r="X15" s="1076"/>
      <c r="Y15" s="1077">
        <f>A15*E15</f>
        <v>1</v>
      </c>
      <c r="Z15" s="1077"/>
      <c r="AA15" s="1077"/>
      <c r="AB15" s="1078"/>
    </row>
    <row r="16" ht="15.75" spans="1:28">
      <c r="A16" s="1079" t="s">
        <v>200</v>
      </c>
      <c r="B16" s="1080"/>
      <c r="C16" s="1080"/>
      <c r="D16" s="1080"/>
      <c r="E16" s="1080"/>
      <c r="F16" s="1080"/>
      <c r="G16" s="1080"/>
      <c r="H16" s="1080"/>
      <c r="I16" s="1080"/>
      <c r="J16" s="1080"/>
      <c r="K16" s="1080"/>
      <c r="L16" s="1080"/>
      <c r="M16" s="1080"/>
      <c r="N16" s="1080"/>
      <c r="O16" s="1080"/>
      <c r="P16" s="1080"/>
      <c r="Q16" s="1080"/>
      <c r="R16" s="1080"/>
      <c r="S16" s="1080"/>
      <c r="T16" s="1080"/>
      <c r="U16" s="1080"/>
      <c r="V16" s="1080"/>
      <c r="W16" s="1080"/>
      <c r="X16" s="1080"/>
      <c r="Y16" s="1080"/>
      <c r="Z16" s="1080"/>
      <c r="AA16" s="1080"/>
      <c r="AB16" s="1081"/>
    </row>
    <row r="17" ht="15.75" spans="1:28">
      <c r="A17" s="1082"/>
      <c r="B17" s="1041"/>
      <c r="C17" s="1041"/>
      <c r="D17" s="1041"/>
      <c r="E17" s="1041"/>
      <c r="F17" s="1041"/>
      <c r="G17" s="1041"/>
      <c r="H17" s="1041"/>
      <c r="I17" s="1041"/>
      <c r="J17" s="1041"/>
      <c r="K17" s="1041"/>
      <c r="L17" s="1041"/>
      <c r="M17" s="1041"/>
      <c r="N17" s="1041"/>
      <c r="O17" s="1041"/>
      <c r="P17" s="1041"/>
      <c r="Q17" s="1041"/>
      <c r="R17" s="1041"/>
      <c r="S17" s="1041"/>
      <c r="T17" s="1041"/>
      <c r="U17" s="1041"/>
      <c r="V17" s="1041"/>
      <c r="W17" s="1041"/>
      <c r="X17" s="1041"/>
      <c r="Y17" s="1041"/>
      <c r="Z17" s="1041"/>
      <c r="AA17" s="1041"/>
      <c r="AB17" s="1042"/>
    </row>
    <row r="18" spans="1:28">
      <c r="A18" s="1083"/>
      <c r="K18" s="1084" t="s">
        <v>201</v>
      </c>
      <c r="L18" s="1085"/>
      <c r="M18" s="1085"/>
      <c r="N18" s="1085"/>
      <c r="O18" s="1085"/>
      <c r="P18" s="1085"/>
      <c r="Q18" s="1085"/>
      <c r="R18" s="1086"/>
      <c r="AB18" s="1044"/>
    </row>
    <row r="19" spans="1:28">
      <c r="A19" s="1083"/>
      <c r="K19" s="1087" t="s">
        <v>202</v>
      </c>
      <c r="L19" s="1088"/>
      <c r="M19" s="1088"/>
      <c r="N19" s="1088"/>
      <c r="O19" s="1088"/>
      <c r="P19" s="1088"/>
      <c r="Q19" s="1088"/>
      <c r="R19" s="1089"/>
      <c r="AB19" s="1044"/>
    </row>
    <row r="20" spans="1:28">
      <c r="A20" s="1083"/>
      <c r="K20" s="1090"/>
      <c r="L20" s="1091"/>
      <c r="M20" s="1091"/>
      <c r="N20" s="1091"/>
      <c r="O20" s="1091"/>
      <c r="P20" s="1091"/>
      <c r="Q20" s="1091"/>
      <c r="R20" s="1092"/>
      <c r="AB20" s="1044"/>
    </row>
    <row r="21" ht="15.75" spans="1:28">
      <c r="A21" s="1083"/>
      <c r="K21" s="1093">
        <f>ROUNDUP(Y15,2)</f>
        <v>1</v>
      </c>
      <c r="L21" s="1094"/>
      <c r="M21" s="1094"/>
      <c r="N21" s="1094"/>
      <c r="O21" s="1094"/>
      <c r="P21" s="1094"/>
      <c r="Q21" s="1094"/>
      <c r="R21" s="1095"/>
      <c r="AB21" s="1044"/>
    </row>
    <row r="22" ht="15.75" spans="1:28">
      <c r="A22" s="1096"/>
      <c r="B22" s="389"/>
      <c r="C22" s="389"/>
      <c r="D22" s="389"/>
      <c r="E22" s="389"/>
      <c r="F22" s="389"/>
      <c r="G22" s="389"/>
      <c r="H22" s="389"/>
      <c r="I22" s="1097"/>
      <c r="J22" s="1097"/>
      <c r="K22" s="1097"/>
      <c r="L22" s="1097"/>
      <c r="M22" s="1097"/>
      <c r="N22" s="1097"/>
      <c r="O22" s="1097"/>
      <c r="P22" s="1097"/>
      <c r="Q22" s="389"/>
      <c r="R22" s="389"/>
      <c r="S22" s="389"/>
      <c r="T22" s="389"/>
      <c r="U22" s="389"/>
      <c r="V22" s="389"/>
      <c r="W22" s="389"/>
      <c r="X22" s="389"/>
      <c r="Y22" s="389"/>
      <c r="Z22" s="389"/>
      <c r="AA22" s="389"/>
      <c r="AB22" s="1098"/>
    </row>
    <row r="23" spans="1:28">
      <c r="A23" s="1040" t="s">
        <v>203</v>
      </c>
      <c r="B23" s="1041"/>
      <c r="C23" s="1041"/>
      <c r="D23" s="1041"/>
      <c r="E23" s="1041"/>
      <c r="F23" s="1041"/>
      <c r="G23" s="1041"/>
      <c r="H23" s="1041"/>
      <c r="I23" s="1041"/>
      <c r="J23" s="1041"/>
      <c r="K23" s="1041"/>
      <c r="L23" s="1041"/>
      <c r="M23" s="1041"/>
      <c r="N23" s="1041"/>
      <c r="O23" s="1041"/>
      <c r="P23" s="1041"/>
      <c r="Q23" s="1041"/>
      <c r="R23" s="1041"/>
      <c r="S23" s="1041"/>
      <c r="T23" s="1041"/>
      <c r="U23" s="1041"/>
      <c r="V23" s="1041"/>
      <c r="W23" s="1041"/>
      <c r="X23" s="1041"/>
      <c r="Y23" s="1041"/>
      <c r="Z23" s="1041"/>
      <c r="AA23" s="1041"/>
      <c r="AB23" s="1042"/>
    </row>
    <row r="24" spans="1:28">
      <c r="A24" s="1083"/>
      <c r="AB24" s="1044"/>
    </row>
    <row r="25" spans="1:28">
      <c r="A25" s="1099" t="s">
        <v>204</v>
      </c>
      <c r="B25" s="424"/>
      <c r="C25" s="424"/>
      <c r="D25" s="424"/>
      <c r="E25" s="424"/>
      <c r="F25" s="424"/>
      <c r="G25" s="424"/>
      <c r="H25" s="424"/>
      <c r="I25" s="424"/>
      <c r="J25" s="424"/>
      <c r="K25" s="424"/>
      <c r="L25" s="424"/>
      <c r="M25" s="424"/>
      <c r="N25" s="424"/>
      <c r="O25" s="424"/>
      <c r="P25" s="424"/>
      <c r="Q25" s="424"/>
      <c r="R25" s="424"/>
      <c r="S25" s="424"/>
      <c r="T25" s="424"/>
      <c r="U25" s="424"/>
      <c r="V25" s="424"/>
      <c r="W25" s="424"/>
      <c r="X25" s="424"/>
      <c r="Y25" s="424"/>
      <c r="Z25" s="424"/>
      <c r="AA25" s="424"/>
      <c r="AB25" s="1100"/>
    </row>
    <row r="26" ht="14.4" customHeight="1" spans="1:28">
      <c r="A26" s="1101" t="s">
        <v>205</v>
      </c>
      <c r="B26" s="1102"/>
      <c r="C26" s="1102"/>
      <c r="D26" s="1103"/>
      <c r="E26" s="1104" t="s">
        <v>206</v>
      </c>
      <c r="F26" s="1102"/>
      <c r="G26" s="1102"/>
      <c r="H26" s="1103"/>
      <c r="I26" s="1051" t="s">
        <v>207</v>
      </c>
      <c r="J26" s="1049"/>
      <c r="K26" s="1049"/>
      <c r="L26" s="1050"/>
      <c r="M26" s="1104"/>
      <c r="N26" s="1102"/>
      <c r="O26" s="1102"/>
      <c r="P26" s="1103"/>
      <c r="Q26" s="1104"/>
      <c r="R26" s="1102"/>
      <c r="S26" s="1102"/>
      <c r="T26" s="1103"/>
      <c r="U26" s="1055"/>
      <c r="V26" s="1056"/>
      <c r="W26" s="1056"/>
      <c r="X26" s="1105"/>
      <c r="Y26" s="1104" t="s">
        <v>208</v>
      </c>
      <c r="Z26" s="1102"/>
      <c r="AA26" s="1102"/>
      <c r="AB26" s="1106"/>
    </row>
    <row r="27" ht="14.4" customHeight="1" spans="1:28">
      <c r="A27" s="1058" t="s">
        <v>209</v>
      </c>
      <c r="B27" s="1059"/>
      <c r="C27" s="1059"/>
      <c r="D27" s="1060"/>
      <c r="E27" s="1061" t="s">
        <v>210</v>
      </c>
      <c r="F27" s="1059"/>
      <c r="G27" s="1059"/>
      <c r="H27" s="1060"/>
      <c r="I27" s="1061"/>
      <c r="J27" s="1059"/>
      <c r="K27" s="1059"/>
      <c r="L27" s="1060"/>
      <c r="M27" s="1061"/>
      <c r="N27" s="1059"/>
      <c r="O27" s="1059"/>
      <c r="P27" s="1060"/>
      <c r="Q27" s="1061"/>
      <c r="R27" s="1059"/>
      <c r="S27" s="1059"/>
      <c r="T27" s="1060"/>
      <c r="U27" s="1065"/>
      <c r="V27" s="1066"/>
      <c r="W27" s="1066"/>
      <c r="X27" s="1107"/>
      <c r="Y27" s="1061"/>
      <c r="Z27" s="1059"/>
      <c r="AA27" s="1059"/>
      <c r="AB27" s="1108"/>
    </row>
    <row r="28" ht="15.75" spans="1:28">
      <c r="A28" s="1109">
        <v>4</v>
      </c>
      <c r="B28" s="1110"/>
      <c r="C28" s="1110"/>
      <c r="D28" s="1110"/>
      <c r="E28" s="1110">
        <v>2</v>
      </c>
      <c r="F28" s="1110"/>
      <c r="G28" s="1110"/>
      <c r="H28" s="1110"/>
      <c r="I28" s="1110">
        <v>1</v>
      </c>
      <c r="J28" s="1110"/>
      <c r="K28" s="1110"/>
      <c r="L28" s="1110"/>
      <c r="M28" s="1077"/>
      <c r="N28" s="1077"/>
      <c r="O28" s="1077"/>
      <c r="P28" s="1077"/>
      <c r="Q28" s="1077"/>
      <c r="R28" s="1077"/>
      <c r="S28" s="1077"/>
      <c r="T28" s="1077"/>
      <c r="U28" s="1077"/>
      <c r="V28" s="1077"/>
      <c r="W28" s="1077"/>
      <c r="X28" s="1077"/>
      <c r="Y28" s="1111">
        <f>$A28*$E28*$I28</f>
        <v>8</v>
      </c>
      <c r="Z28" s="1112"/>
      <c r="AA28" s="1112"/>
      <c r="AB28" s="1113"/>
    </row>
    <row r="29" ht="15.75" spans="1:28">
      <c r="A29" s="1079" t="s">
        <v>211</v>
      </c>
      <c r="B29" s="1080"/>
      <c r="C29" s="1080"/>
      <c r="D29" s="1080"/>
      <c r="E29" s="1080"/>
      <c r="F29" s="1080"/>
      <c r="G29" s="1080"/>
      <c r="H29" s="1080"/>
      <c r="I29" s="1080"/>
      <c r="J29" s="1080"/>
      <c r="K29" s="1080"/>
      <c r="L29" s="1080"/>
      <c r="M29" s="1080"/>
      <c r="N29" s="1080"/>
      <c r="O29" s="1080"/>
      <c r="P29" s="1080"/>
      <c r="Q29" s="1080"/>
      <c r="R29" s="1080"/>
      <c r="S29" s="1080"/>
      <c r="T29" s="1080"/>
      <c r="U29" s="1080"/>
      <c r="V29" s="1080"/>
      <c r="W29" s="1080"/>
      <c r="X29" s="1080"/>
      <c r="Y29" s="1080"/>
      <c r="Z29" s="1080"/>
      <c r="AA29" s="1080"/>
      <c r="AB29" s="1081"/>
    </row>
    <row r="30" ht="15.75" spans="1:28">
      <c r="A30" s="1083"/>
      <c r="AB30" s="1044"/>
    </row>
    <row r="31" spans="1:28">
      <c r="A31" s="1083"/>
      <c r="K31" s="1084" t="s">
        <v>212</v>
      </c>
      <c r="L31" s="1085"/>
      <c r="M31" s="1085"/>
      <c r="N31" s="1085"/>
      <c r="O31" s="1085"/>
      <c r="P31" s="1085"/>
      <c r="Q31" s="1085"/>
      <c r="R31" s="1086"/>
      <c r="AB31" s="1044"/>
    </row>
    <row r="32" spans="1:28">
      <c r="A32" s="1083"/>
      <c r="K32" s="1087" t="s">
        <v>213</v>
      </c>
      <c r="L32" s="1088"/>
      <c r="M32" s="1088"/>
      <c r="N32" s="1088"/>
      <c r="O32" s="1088"/>
      <c r="P32" s="1088"/>
      <c r="Q32" s="1088"/>
      <c r="R32" s="1089"/>
      <c r="AB32" s="1044"/>
    </row>
    <row r="33" spans="1:28">
      <c r="A33" s="1083"/>
      <c r="K33" s="1090"/>
      <c r="L33" s="1091"/>
      <c r="M33" s="1091"/>
      <c r="N33" s="1091"/>
      <c r="O33" s="1091"/>
      <c r="P33" s="1091"/>
      <c r="Q33" s="1091"/>
      <c r="R33" s="1092"/>
      <c r="AB33" s="1044"/>
    </row>
    <row r="34" ht="15.75" spans="1:28">
      <c r="A34" s="1083"/>
      <c r="K34" s="1093">
        <f>ROUND(Y28,2)</f>
        <v>8</v>
      </c>
      <c r="L34" s="1094"/>
      <c r="M34" s="1094"/>
      <c r="N34" s="1094"/>
      <c r="O34" s="1094"/>
      <c r="P34" s="1094"/>
      <c r="Q34" s="1094"/>
      <c r="R34" s="1095"/>
      <c r="AB34" s="1044"/>
    </row>
    <row r="35" ht="15.75" spans="1:28">
      <c r="A35" s="1096"/>
      <c r="B35" s="389"/>
      <c r="C35" s="389"/>
      <c r="D35" s="389"/>
      <c r="E35" s="389"/>
      <c r="F35" s="389"/>
      <c r="G35" s="389"/>
      <c r="H35" s="389"/>
      <c r="I35" s="1097"/>
      <c r="J35" s="1097"/>
      <c r="K35" s="1097"/>
      <c r="L35" s="1097"/>
      <c r="M35" s="1097"/>
      <c r="N35" s="1097"/>
      <c r="O35" s="1097"/>
      <c r="P35" s="1097"/>
      <c r="Q35" s="389"/>
      <c r="R35" s="389"/>
      <c r="S35" s="389"/>
      <c r="T35" s="389"/>
      <c r="U35" s="389"/>
      <c r="V35" s="389"/>
      <c r="W35" s="389"/>
      <c r="X35" s="389"/>
      <c r="Y35" s="389"/>
      <c r="Z35" s="389"/>
      <c r="AA35" s="389"/>
      <c r="AB35" s="1098"/>
    </row>
    <row r="36" spans="1:28">
      <c r="A36" s="1040" t="s">
        <v>214</v>
      </c>
      <c r="B36" s="1041"/>
      <c r="C36" s="1041"/>
      <c r="D36" s="1041"/>
      <c r="E36" s="1041"/>
      <c r="F36" s="1041"/>
      <c r="G36" s="1041"/>
      <c r="H36" s="1041"/>
      <c r="I36" s="1041"/>
      <c r="J36" s="1041"/>
      <c r="K36" s="1041"/>
      <c r="L36" s="1041"/>
      <c r="M36" s="1041"/>
      <c r="N36" s="1041"/>
      <c r="O36" s="1041"/>
      <c r="P36" s="1041"/>
      <c r="Q36" s="1041"/>
      <c r="R36" s="1041"/>
      <c r="S36" s="1041"/>
      <c r="T36" s="1041"/>
      <c r="U36" s="1041"/>
      <c r="V36" s="1041"/>
      <c r="W36" s="1041"/>
      <c r="X36" s="1041"/>
      <c r="Y36" s="1041"/>
      <c r="Z36" s="1041"/>
      <c r="AA36" s="1041"/>
      <c r="AB36" s="1042"/>
    </row>
    <row r="37" spans="1:28">
      <c r="A37" s="1043"/>
      <c r="AB37" s="1044"/>
    </row>
    <row r="38" spans="1:28">
      <c r="A38" s="1045" t="s">
        <v>87</v>
      </c>
      <c r="B38" s="1046"/>
      <c r="C38" s="1046"/>
      <c r="D38" s="1046"/>
      <c r="E38" s="1046"/>
      <c r="F38" s="1046"/>
      <c r="G38" s="1046"/>
      <c r="H38" s="1046"/>
      <c r="I38" s="1046"/>
      <c r="J38" s="1046"/>
      <c r="K38" s="1046"/>
      <c r="L38" s="1046"/>
      <c r="M38" s="1046"/>
      <c r="N38" s="1046"/>
      <c r="O38" s="1046"/>
      <c r="P38" s="1046"/>
      <c r="Q38" s="1046"/>
      <c r="R38" s="1046"/>
      <c r="S38" s="1046"/>
      <c r="T38" s="1046"/>
      <c r="U38" s="1046"/>
      <c r="V38" s="1046"/>
      <c r="W38" s="1046"/>
      <c r="X38" s="1046"/>
      <c r="Y38" s="1046"/>
      <c r="Z38" s="1046"/>
      <c r="AA38" s="1046"/>
      <c r="AB38" s="1047"/>
    </row>
    <row r="39" ht="14.4" customHeight="1" spans="1:28">
      <c r="A39" s="1048" t="s">
        <v>215</v>
      </c>
      <c r="B39" s="1049"/>
      <c r="C39" s="1049"/>
      <c r="D39" s="1050"/>
      <c r="E39" s="1051" t="s">
        <v>198</v>
      </c>
      <c r="F39" s="1049"/>
      <c r="G39" s="1049"/>
      <c r="H39" s="1050"/>
      <c r="I39" s="1051"/>
      <c r="J39" s="1049"/>
      <c r="K39" s="1049"/>
      <c r="L39" s="1050"/>
      <c r="M39" s="1051"/>
      <c r="N39" s="1049"/>
      <c r="O39" s="1049"/>
      <c r="P39" s="1050"/>
      <c r="Q39" s="1051"/>
      <c r="R39" s="1049"/>
      <c r="S39" s="1049"/>
      <c r="T39" s="1050"/>
      <c r="U39" s="1052"/>
      <c r="V39" s="1053"/>
      <c r="W39" s="1053"/>
      <c r="X39" s="1054"/>
      <c r="Y39" s="1055" t="s">
        <v>216</v>
      </c>
      <c r="Z39" s="1056"/>
      <c r="AA39" s="1056"/>
      <c r="AB39" s="1057"/>
    </row>
    <row r="40" ht="14.4" customHeight="1" spans="1:28">
      <c r="A40" s="1058"/>
      <c r="B40" s="1059"/>
      <c r="C40" s="1059"/>
      <c r="D40" s="1060"/>
      <c r="E40" s="1061"/>
      <c r="F40" s="1059"/>
      <c r="G40" s="1059"/>
      <c r="H40" s="1060"/>
      <c r="I40" s="1061"/>
      <c r="J40" s="1059"/>
      <c r="K40" s="1059"/>
      <c r="L40" s="1060"/>
      <c r="M40" s="1061"/>
      <c r="N40" s="1059"/>
      <c r="O40" s="1059"/>
      <c r="P40" s="1060"/>
      <c r="Q40" s="1061"/>
      <c r="R40" s="1059"/>
      <c r="S40" s="1059"/>
      <c r="T40" s="1060"/>
      <c r="U40" s="1062"/>
      <c r="V40" s="1063"/>
      <c r="W40" s="1063"/>
      <c r="X40" s="1064"/>
      <c r="Y40" s="1065"/>
      <c r="Z40" s="1066"/>
      <c r="AA40" s="1066"/>
      <c r="AB40" s="1067"/>
    </row>
    <row r="41" ht="15.75" spans="1:28">
      <c r="A41" s="1068">
        <v>1</v>
      </c>
      <c r="B41" s="1069"/>
      <c r="C41" s="1069"/>
      <c r="D41" s="1069"/>
      <c r="E41" s="1069">
        <v>1</v>
      </c>
      <c r="F41" s="1069"/>
      <c r="G41" s="1069"/>
      <c r="H41" s="1069"/>
      <c r="I41" s="1070"/>
      <c r="J41" s="1071"/>
      <c r="K41" s="1071"/>
      <c r="L41" s="1072"/>
      <c r="M41" s="1073"/>
      <c r="N41" s="1073"/>
      <c r="O41" s="1073"/>
      <c r="P41" s="1073"/>
      <c r="Q41" s="1073"/>
      <c r="R41" s="1073"/>
      <c r="S41" s="1073"/>
      <c r="T41" s="1073"/>
      <c r="U41" s="1074"/>
      <c r="V41" s="1075"/>
      <c r="W41" s="1075"/>
      <c r="X41" s="1076"/>
      <c r="Y41" s="1077">
        <f>A41*E41</f>
        <v>1</v>
      </c>
      <c r="Z41" s="1077"/>
      <c r="AA41" s="1077"/>
      <c r="AB41" s="1078"/>
    </row>
    <row r="42" ht="15.75" spans="1:28">
      <c r="A42" s="1079" t="s">
        <v>217</v>
      </c>
      <c r="B42" s="1080"/>
      <c r="C42" s="1080"/>
      <c r="D42" s="1080"/>
      <c r="E42" s="1080"/>
      <c r="F42" s="1080"/>
      <c r="G42" s="1080"/>
      <c r="H42" s="1080"/>
      <c r="I42" s="1080"/>
      <c r="J42" s="1080"/>
      <c r="K42" s="1080"/>
      <c r="L42" s="1080"/>
      <c r="M42" s="1080"/>
      <c r="N42" s="1080"/>
      <c r="O42" s="1080"/>
      <c r="P42" s="1080"/>
      <c r="Q42" s="1080"/>
      <c r="R42" s="1080"/>
      <c r="S42" s="1080"/>
      <c r="T42" s="1080"/>
      <c r="U42" s="1080"/>
      <c r="V42" s="1080"/>
      <c r="W42" s="1080"/>
      <c r="X42" s="1080"/>
      <c r="Y42" s="1080"/>
      <c r="Z42" s="1080"/>
      <c r="AA42" s="1080"/>
      <c r="AB42" s="1081"/>
    </row>
    <row r="43" ht="15.75" spans="1:28">
      <c r="A43" s="1082"/>
      <c r="B43" s="1041"/>
      <c r="C43" s="1041"/>
      <c r="D43" s="1041"/>
      <c r="E43" s="1041"/>
      <c r="F43" s="1041"/>
      <c r="G43" s="1041"/>
      <c r="H43" s="1041"/>
      <c r="I43" s="1041"/>
      <c r="J43" s="1041"/>
      <c r="K43" s="1041"/>
      <c r="L43" s="1041"/>
      <c r="M43" s="1041"/>
      <c r="N43" s="1041"/>
      <c r="O43" s="1041"/>
      <c r="P43" s="1041"/>
      <c r="Q43" s="1041"/>
      <c r="R43" s="1041"/>
      <c r="S43" s="1041"/>
      <c r="T43" s="1041"/>
      <c r="U43" s="1041"/>
      <c r="V43" s="1041"/>
      <c r="W43" s="1041"/>
      <c r="X43" s="1041"/>
      <c r="Y43" s="1041"/>
      <c r="Z43" s="1041"/>
      <c r="AA43" s="1041"/>
      <c r="AB43" s="1042"/>
    </row>
    <row r="44" spans="1:28">
      <c r="A44" s="1083"/>
      <c r="K44" s="1084" t="s">
        <v>218</v>
      </c>
      <c r="L44" s="1085"/>
      <c r="M44" s="1085"/>
      <c r="N44" s="1085"/>
      <c r="O44" s="1085"/>
      <c r="P44" s="1085"/>
      <c r="Q44" s="1085"/>
      <c r="R44" s="1086"/>
      <c r="AB44" s="1044"/>
    </row>
    <row r="45" spans="1:28">
      <c r="A45" s="1083"/>
      <c r="K45" s="1087" t="s">
        <v>219</v>
      </c>
      <c r="L45" s="1088"/>
      <c r="M45" s="1088"/>
      <c r="N45" s="1088"/>
      <c r="O45" s="1088"/>
      <c r="P45" s="1088"/>
      <c r="Q45" s="1088"/>
      <c r="R45" s="1089"/>
      <c r="AB45" s="1044"/>
    </row>
    <row r="46" spans="1:28">
      <c r="A46" s="1083"/>
      <c r="K46" s="1090"/>
      <c r="L46" s="1091"/>
      <c r="M46" s="1091"/>
      <c r="N46" s="1091"/>
      <c r="O46" s="1091"/>
      <c r="P46" s="1091"/>
      <c r="Q46" s="1091"/>
      <c r="R46" s="1092"/>
      <c r="AB46" s="1044"/>
    </row>
    <row r="47" ht="15.75" spans="1:28">
      <c r="A47" s="1083"/>
      <c r="K47" s="1093">
        <f>ROUNDUP(Y41,2)</f>
        <v>1</v>
      </c>
      <c r="L47" s="1094"/>
      <c r="M47" s="1094"/>
      <c r="N47" s="1094"/>
      <c r="O47" s="1094"/>
      <c r="P47" s="1094"/>
      <c r="Q47" s="1094"/>
      <c r="R47" s="1095"/>
      <c r="AB47" s="1044"/>
    </row>
    <row r="48" ht="15.75" spans="1:28">
      <c r="A48" s="1096"/>
      <c r="B48" s="389"/>
      <c r="C48" s="389"/>
      <c r="D48" s="389"/>
      <c r="E48" s="389"/>
      <c r="F48" s="389"/>
      <c r="G48" s="389"/>
      <c r="H48" s="389"/>
      <c r="I48" s="1097"/>
      <c r="J48" s="1097"/>
      <c r="K48" s="1097"/>
      <c r="L48" s="1097"/>
      <c r="M48" s="1097"/>
      <c r="N48" s="1097"/>
      <c r="O48" s="1097"/>
      <c r="P48" s="1097"/>
      <c r="Q48" s="389"/>
      <c r="R48" s="389"/>
      <c r="S48" s="389"/>
      <c r="T48" s="389"/>
      <c r="U48" s="389"/>
      <c r="V48" s="389"/>
      <c r="W48" s="389"/>
      <c r="X48" s="389"/>
      <c r="Y48" s="389"/>
      <c r="Z48" s="389"/>
      <c r="AA48" s="389"/>
      <c r="AB48" s="1098"/>
    </row>
    <row r="49" spans="1:28">
      <c r="A49" s="1040" t="s">
        <v>220</v>
      </c>
      <c r="B49" s="1041"/>
      <c r="C49" s="1041"/>
      <c r="D49" s="1041"/>
      <c r="E49" s="1041"/>
      <c r="F49" s="1041"/>
      <c r="G49" s="1041"/>
      <c r="H49" s="1041"/>
      <c r="I49" s="1041"/>
      <c r="J49" s="1041"/>
      <c r="K49" s="1041"/>
      <c r="L49" s="1041"/>
      <c r="M49" s="1041"/>
      <c r="N49" s="1041"/>
      <c r="O49" s="1041"/>
      <c r="P49" s="1041"/>
      <c r="Q49" s="1041"/>
      <c r="R49" s="1041"/>
      <c r="S49" s="1041"/>
      <c r="T49" s="1041"/>
      <c r="U49" s="1041"/>
      <c r="V49" s="1041"/>
      <c r="W49" s="1041"/>
      <c r="X49" s="1041"/>
      <c r="Y49" s="1041"/>
      <c r="Z49" s="1041"/>
      <c r="AA49" s="1041"/>
      <c r="AB49" s="1042"/>
    </row>
    <row r="50" spans="1:28">
      <c r="A50" s="1043"/>
      <c r="AB50" s="1044"/>
    </row>
    <row r="51" spans="1:28">
      <c r="A51" s="1045" t="s">
        <v>221</v>
      </c>
      <c r="B51" s="1046"/>
      <c r="C51" s="1046"/>
      <c r="D51" s="1046"/>
      <c r="E51" s="1046"/>
      <c r="F51" s="1046"/>
      <c r="G51" s="1046"/>
      <c r="H51" s="1046"/>
      <c r="I51" s="1046"/>
      <c r="J51" s="1046"/>
      <c r="K51" s="1046"/>
      <c r="L51" s="1046"/>
      <c r="M51" s="1046"/>
      <c r="N51" s="1046"/>
      <c r="O51" s="1046"/>
      <c r="P51" s="1046"/>
      <c r="Q51" s="1046"/>
      <c r="R51" s="1046"/>
      <c r="S51" s="1046"/>
      <c r="T51" s="1046"/>
      <c r="U51" s="1046"/>
      <c r="V51" s="1046"/>
      <c r="W51" s="1046"/>
      <c r="X51" s="1046"/>
      <c r="Y51" s="1046"/>
      <c r="Z51" s="1046"/>
      <c r="AA51" s="1046"/>
      <c r="AB51" s="1047"/>
    </row>
    <row r="52" ht="14.4" customHeight="1" spans="1:28">
      <c r="A52" s="1048" t="s">
        <v>222</v>
      </c>
      <c r="B52" s="1049"/>
      <c r="C52" s="1049"/>
      <c r="D52" s="1050"/>
      <c r="E52" s="1051" t="s">
        <v>198</v>
      </c>
      <c r="F52" s="1049"/>
      <c r="G52" s="1049"/>
      <c r="H52" s="1050"/>
      <c r="I52" s="1051"/>
      <c r="J52" s="1049"/>
      <c r="K52" s="1049"/>
      <c r="L52" s="1050"/>
      <c r="M52" s="1051"/>
      <c r="N52" s="1049"/>
      <c r="O52" s="1049"/>
      <c r="P52" s="1050"/>
      <c r="Q52" s="1051"/>
      <c r="R52" s="1049"/>
      <c r="S52" s="1049"/>
      <c r="T52" s="1050"/>
      <c r="U52" s="1052"/>
      <c r="V52" s="1053"/>
      <c r="W52" s="1053"/>
      <c r="X52" s="1054"/>
      <c r="Y52" s="1055" t="s">
        <v>223</v>
      </c>
      <c r="Z52" s="1056"/>
      <c r="AA52" s="1056"/>
      <c r="AB52" s="1057"/>
    </row>
    <row r="53" ht="14.4" customHeight="1" spans="1:28">
      <c r="A53" s="1058"/>
      <c r="B53" s="1059"/>
      <c r="C53" s="1059"/>
      <c r="D53" s="1060"/>
      <c r="E53" s="1061"/>
      <c r="F53" s="1059"/>
      <c r="G53" s="1059"/>
      <c r="H53" s="1060"/>
      <c r="I53" s="1061"/>
      <c r="J53" s="1059"/>
      <c r="K53" s="1059"/>
      <c r="L53" s="1060"/>
      <c r="M53" s="1061"/>
      <c r="N53" s="1059"/>
      <c r="O53" s="1059"/>
      <c r="P53" s="1060"/>
      <c r="Q53" s="1061"/>
      <c r="R53" s="1059"/>
      <c r="S53" s="1059"/>
      <c r="T53" s="1060"/>
      <c r="U53" s="1062"/>
      <c r="V53" s="1063"/>
      <c r="W53" s="1063"/>
      <c r="X53" s="1064"/>
      <c r="Y53" s="1065"/>
      <c r="Z53" s="1066"/>
      <c r="AA53" s="1066"/>
      <c r="AB53" s="1067"/>
    </row>
    <row r="54" ht="15.75" spans="1:28">
      <c r="A54" s="1068">
        <f>Orçamento!AO$11/30</f>
        <v>4</v>
      </c>
      <c r="B54" s="1069"/>
      <c r="C54" s="1069"/>
      <c r="D54" s="1069"/>
      <c r="E54" s="1069">
        <v>1</v>
      </c>
      <c r="F54" s="1069"/>
      <c r="G54" s="1069"/>
      <c r="H54" s="1069"/>
      <c r="I54" s="1070"/>
      <c r="J54" s="1071"/>
      <c r="K54" s="1071"/>
      <c r="L54" s="1072"/>
      <c r="M54" s="1073"/>
      <c r="N54" s="1073"/>
      <c r="O54" s="1073"/>
      <c r="P54" s="1073"/>
      <c r="Q54" s="1073"/>
      <c r="R54" s="1073"/>
      <c r="S54" s="1073"/>
      <c r="T54" s="1073"/>
      <c r="U54" s="1074"/>
      <c r="V54" s="1075"/>
      <c r="W54" s="1075"/>
      <c r="X54" s="1076"/>
      <c r="Y54" s="1077">
        <f>A54*E54</f>
        <v>4</v>
      </c>
      <c r="Z54" s="1077"/>
      <c r="AA54" s="1077"/>
      <c r="AB54" s="1078"/>
    </row>
    <row r="55" ht="15.75" spans="1:28">
      <c r="A55" s="1079" t="s">
        <v>224</v>
      </c>
      <c r="B55" s="1080"/>
      <c r="C55" s="1080"/>
      <c r="D55" s="1080"/>
      <c r="E55" s="1080"/>
      <c r="F55" s="1080"/>
      <c r="G55" s="1080"/>
      <c r="H55" s="1080"/>
      <c r="I55" s="1080"/>
      <c r="J55" s="1080"/>
      <c r="K55" s="1080"/>
      <c r="L55" s="1080"/>
      <c r="M55" s="1080"/>
      <c r="N55" s="1080"/>
      <c r="O55" s="1080"/>
      <c r="P55" s="1080"/>
      <c r="Q55" s="1080"/>
      <c r="R55" s="1080"/>
      <c r="S55" s="1080"/>
      <c r="T55" s="1080"/>
      <c r="U55" s="1080"/>
      <c r="V55" s="1080"/>
      <c r="W55" s="1080"/>
      <c r="X55" s="1080"/>
      <c r="Y55" s="1080"/>
      <c r="Z55" s="1080"/>
      <c r="AA55" s="1080"/>
      <c r="AB55" s="1081"/>
    </row>
    <row r="56" ht="15.75" spans="1:28">
      <c r="A56" s="1082"/>
      <c r="B56" s="1041"/>
      <c r="C56" s="1041"/>
      <c r="D56" s="1041"/>
      <c r="E56" s="1041"/>
      <c r="F56" s="1041"/>
      <c r="G56" s="1041"/>
      <c r="H56" s="1041"/>
      <c r="I56" s="1041"/>
      <c r="J56" s="1041"/>
      <c r="K56" s="1041"/>
      <c r="L56" s="1041"/>
      <c r="M56" s="1041"/>
      <c r="N56" s="1041"/>
      <c r="O56" s="1041"/>
      <c r="P56" s="1041"/>
      <c r="Q56" s="1041"/>
      <c r="R56" s="1041"/>
      <c r="S56" s="1041"/>
      <c r="T56" s="1041"/>
      <c r="U56" s="1041"/>
      <c r="V56" s="1041"/>
      <c r="W56" s="1041"/>
      <c r="X56" s="1041"/>
      <c r="Y56" s="1041"/>
      <c r="Z56" s="1041"/>
      <c r="AA56" s="1041"/>
      <c r="AB56" s="1042"/>
    </row>
    <row r="57" spans="1:28">
      <c r="A57" s="1083"/>
      <c r="K57" s="1084" t="s">
        <v>225</v>
      </c>
      <c r="L57" s="1085"/>
      <c r="M57" s="1085"/>
      <c r="N57" s="1085"/>
      <c r="O57" s="1085"/>
      <c r="P57" s="1085"/>
      <c r="Q57" s="1085"/>
      <c r="R57" s="1086"/>
      <c r="AB57" s="1044"/>
    </row>
    <row r="58" spans="1:28">
      <c r="A58" s="1083"/>
      <c r="K58" s="1087" t="s">
        <v>226</v>
      </c>
      <c r="L58" s="1088"/>
      <c r="M58" s="1088"/>
      <c r="N58" s="1088"/>
      <c r="O58" s="1088"/>
      <c r="P58" s="1088"/>
      <c r="Q58" s="1088"/>
      <c r="R58" s="1089"/>
      <c r="AB58" s="1044"/>
    </row>
    <row r="59" spans="1:28">
      <c r="A59" s="1083"/>
      <c r="K59" s="1090"/>
      <c r="L59" s="1091"/>
      <c r="M59" s="1091"/>
      <c r="N59" s="1091"/>
      <c r="O59" s="1091"/>
      <c r="P59" s="1091"/>
      <c r="Q59" s="1091"/>
      <c r="R59" s="1092"/>
      <c r="AB59" s="1044"/>
    </row>
    <row r="60" ht="15.75" spans="1:28">
      <c r="A60" s="1083"/>
      <c r="K60" s="1093">
        <f>ROUNDUP(Y54,2)</f>
        <v>4</v>
      </c>
      <c r="L60" s="1094"/>
      <c r="M60" s="1094"/>
      <c r="N60" s="1094"/>
      <c r="O60" s="1094"/>
      <c r="P60" s="1094"/>
      <c r="Q60" s="1094"/>
      <c r="R60" s="1095"/>
      <c r="AB60" s="1044"/>
    </row>
    <row r="61" ht="15.75" spans="1:28">
      <c r="A61" s="1096"/>
      <c r="B61" s="389"/>
      <c r="C61" s="389"/>
      <c r="D61" s="389"/>
      <c r="E61" s="389"/>
      <c r="F61" s="389"/>
      <c r="G61" s="389"/>
      <c r="H61" s="389"/>
      <c r="I61" s="1097"/>
      <c r="J61" s="1097"/>
      <c r="K61" s="1097"/>
      <c r="L61" s="1097"/>
      <c r="M61" s="1097"/>
      <c r="N61" s="1097"/>
      <c r="O61" s="1097"/>
      <c r="P61" s="1097"/>
      <c r="Q61" s="389"/>
      <c r="R61" s="389"/>
      <c r="S61" s="389"/>
      <c r="T61" s="389"/>
      <c r="U61" s="389"/>
      <c r="V61" s="389"/>
      <c r="W61" s="389"/>
      <c r="X61" s="389"/>
      <c r="Y61" s="389"/>
      <c r="Z61" s="389"/>
      <c r="AA61" s="389"/>
      <c r="AB61" s="1098"/>
    </row>
    <row r="62" spans="1:28">
      <c r="A62" s="1040" t="s">
        <v>227</v>
      </c>
      <c r="B62" s="1041"/>
      <c r="C62" s="1041"/>
      <c r="D62" s="1041"/>
      <c r="E62" s="1041"/>
      <c r="F62" s="1041"/>
      <c r="G62" s="1041"/>
      <c r="H62" s="1041"/>
      <c r="I62" s="1041"/>
      <c r="J62" s="1041"/>
      <c r="K62" s="1041"/>
      <c r="L62" s="1041"/>
      <c r="M62" s="1041"/>
      <c r="N62" s="1041"/>
      <c r="O62" s="1041"/>
      <c r="P62" s="1041"/>
      <c r="Q62" s="1041"/>
      <c r="R62" s="1041"/>
      <c r="S62" s="1041"/>
      <c r="T62" s="1041"/>
      <c r="U62" s="1041"/>
      <c r="V62" s="1041"/>
      <c r="W62" s="1041"/>
      <c r="X62" s="1041"/>
      <c r="Y62" s="1041"/>
      <c r="Z62" s="1041"/>
      <c r="AA62" s="1041"/>
      <c r="AB62" s="1042"/>
    </row>
    <row r="63" spans="1:28">
      <c r="A63" s="1043"/>
      <c r="AB63" s="1044"/>
    </row>
    <row r="64" spans="1:28">
      <c r="A64" s="1045" t="s">
        <v>228</v>
      </c>
      <c r="B64" s="1046"/>
      <c r="C64" s="1046"/>
      <c r="D64" s="1046"/>
      <c r="E64" s="1046"/>
      <c r="F64" s="1046"/>
      <c r="G64" s="1046"/>
      <c r="H64" s="1046"/>
      <c r="I64" s="1046"/>
      <c r="J64" s="1046"/>
      <c r="K64" s="1046"/>
      <c r="L64" s="1046"/>
      <c r="M64" s="1046"/>
      <c r="N64" s="1046"/>
      <c r="O64" s="1046"/>
      <c r="P64" s="1046"/>
      <c r="Q64" s="1046"/>
      <c r="R64" s="1046"/>
      <c r="S64" s="1046"/>
      <c r="T64" s="1046"/>
      <c r="U64" s="1046"/>
      <c r="V64" s="1046"/>
      <c r="W64" s="1046"/>
      <c r="X64" s="1046"/>
      <c r="Y64" s="1046"/>
      <c r="Z64" s="1046"/>
      <c r="AA64" s="1046"/>
      <c r="AB64" s="1047"/>
    </row>
    <row r="65" ht="14.4" customHeight="1" spans="1:28">
      <c r="A65" s="1048" t="s">
        <v>222</v>
      </c>
      <c r="B65" s="1049"/>
      <c r="C65" s="1049"/>
      <c r="D65" s="1050"/>
      <c r="E65" s="1051" t="s">
        <v>198</v>
      </c>
      <c r="F65" s="1049"/>
      <c r="G65" s="1049"/>
      <c r="H65" s="1050"/>
      <c r="I65" s="1051"/>
      <c r="J65" s="1049"/>
      <c r="K65" s="1049"/>
      <c r="L65" s="1050"/>
      <c r="M65" s="1051"/>
      <c r="N65" s="1049"/>
      <c r="O65" s="1049"/>
      <c r="P65" s="1050"/>
      <c r="Q65" s="1051"/>
      <c r="R65" s="1049"/>
      <c r="S65" s="1049"/>
      <c r="T65" s="1050"/>
      <c r="U65" s="1052"/>
      <c r="V65" s="1053"/>
      <c r="W65" s="1053"/>
      <c r="X65" s="1054"/>
      <c r="Y65" s="1055" t="s">
        <v>229</v>
      </c>
      <c r="Z65" s="1056"/>
      <c r="AA65" s="1056"/>
      <c r="AB65" s="1057"/>
    </row>
    <row r="66" ht="14.4" customHeight="1" spans="1:28">
      <c r="A66" s="1058"/>
      <c r="B66" s="1059"/>
      <c r="C66" s="1059"/>
      <c r="D66" s="1060"/>
      <c r="E66" s="1061"/>
      <c r="F66" s="1059"/>
      <c r="G66" s="1059"/>
      <c r="H66" s="1060"/>
      <c r="I66" s="1061"/>
      <c r="J66" s="1059"/>
      <c r="K66" s="1059"/>
      <c r="L66" s="1060"/>
      <c r="M66" s="1061"/>
      <c r="N66" s="1059"/>
      <c r="O66" s="1059"/>
      <c r="P66" s="1060"/>
      <c r="Q66" s="1061"/>
      <c r="R66" s="1059"/>
      <c r="S66" s="1059"/>
      <c r="T66" s="1060"/>
      <c r="U66" s="1062"/>
      <c r="V66" s="1063"/>
      <c r="W66" s="1063"/>
      <c r="X66" s="1064"/>
      <c r="Y66" s="1065"/>
      <c r="Z66" s="1066"/>
      <c r="AA66" s="1066"/>
      <c r="AB66" s="1067"/>
    </row>
    <row r="67" ht="15.75" spans="1:28">
      <c r="A67" s="1068">
        <f>Orçamento!AO$11/30</f>
        <v>4</v>
      </c>
      <c r="B67" s="1069"/>
      <c r="C67" s="1069"/>
      <c r="D67" s="1069"/>
      <c r="E67" s="1069">
        <v>1</v>
      </c>
      <c r="F67" s="1069"/>
      <c r="G67" s="1069"/>
      <c r="H67" s="1069"/>
      <c r="I67" s="1070"/>
      <c r="J67" s="1071"/>
      <c r="K67" s="1071"/>
      <c r="L67" s="1072"/>
      <c r="M67" s="1073"/>
      <c r="N67" s="1073"/>
      <c r="O67" s="1073"/>
      <c r="P67" s="1073"/>
      <c r="Q67" s="1073"/>
      <c r="R67" s="1073"/>
      <c r="S67" s="1073"/>
      <c r="T67" s="1073"/>
      <c r="U67" s="1074"/>
      <c r="V67" s="1075"/>
      <c r="W67" s="1075"/>
      <c r="X67" s="1076"/>
      <c r="Y67" s="1077">
        <f>A67*E67</f>
        <v>4</v>
      </c>
      <c r="Z67" s="1077"/>
      <c r="AA67" s="1077"/>
      <c r="AB67" s="1078"/>
    </row>
    <row r="68" ht="15.75" spans="1:28">
      <c r="A68" s="1079" t="s">
        <v>230</v>
      </c>
      <c r="B68" s="1080"/>
      <c r="C68" s="1080"/>
      <c r="D68" s="1080"/>
      <c r="E68" s="1080"/>
      <c r="F68" s="1080"/>
      <c r="G68" s="1080"/>
      <c r="H68" s="1080"/>
      <c r="I68" s="1080"/>
      <c r="J68" s="1080"/>
      <c r="K68" s="1080"/>
      <c r="L68" s="1080"/>
      <c r="M68" s="1080"/>
      <c r="N68" s="1080"/>
      <c r="O68" s="1080"/>
      <c r="P68" s="1080"/>
      <c r="Q68" s="1080"/>
      <c r="R68" s="1080"/>
      <c r="S68" s="1080"/>
      <c r="T68" s="1080"/>
      <c r="U68" s="1080"/>
      <c r="V68" s="1080"/>
      <c r="W68" s="1080"/>
      <c r="X68" s="1080"/>
      <c r="Y68" s="1080"/>
      <c r="Z68" s="1080"/>
      <c r="AA68" s="1080"/>
      <c r="AB68" s="1081"/>
    </row>
    <row r="69" ht="15.75" spans="1:28">
      <c r="A69" s="1082"/>
      <c r="B69" s="1041"/>
      <c r="C69" s="1041"/>
      <c r="D69" s="1041"/>
      <c r="E69" s="1041"/>
      <c r="F69" s="1041"/>
      <c r="G69" s="1041"/>
      <c r="H69" s="1041"/>
      <c r="I69" s="1041"/>
      <c r="J69" s="1041"/>
      <c r="K69" s="1041"/>
      <c r="L69" s="1041"/>
      <c r="M69" s="1041"/>
      <c r="N69" s="1041"/>
      <c r="O69" s="1041"/>
      <c r="P69" s="1041"/>
      <c r="Q69" s="1041"/>
      <c r="R69" s="1041"/>
      <c r="S69" s="1041"/>
      <c r="T69" s="1041"/>
      <c r="U69" s="1041"/>
      <c r="V69" s="1041"/>
      <c r="W69" s="1041"/>
      <c r="X69" s="1041"/>
      <c r="Y69" s="1041"/>
      <c r="Z69" s="1041"/>
      <c r="AA69" s="1041"/>
      <c r="AB69" s="1042"/>
    </row>
    <row r="70" spans="1:28">
      <c r="A70" s="1083"/>
      <c r="K70" s="1084" t="s">
        <v>231</v>
      </c>
      <c r="L70" s="1085"/>
      <c r="M70" s="1085"/>
      <c r="N70" s="1085"/>
      <c r="O70" s="1085"/>
      <c r="P70" s="1085"/>
      <c r="Q70" s="1085"/>
      <c r="R70" s="1086"/>
      <c r="AB70" s="1044"/>
    </row>
    <row r="71" spans="1:28">
      <c r="A71" s="1083"/>
      <c r="K71" s="1087" t="s">
        <v>232</v>
      </c>
      <c r="L71" s="1088"/>
      <c r="M71" s="1088"/>
      <c r="N71" s="1088"/>
      <c r="O71" s="1088"/>
      <c r="P71" s="1088"/>
      <c r="Q71" s="1088"/>
      <c r="R71" s="1089"/>
      <c r="AB71" s="1044"/>
    </row>
    <row r="72" spans="1:28">
      <c r="A72" s="1083"/>
      <c r="K72" s="1090"/>
      <c r="L72" s="1091"/>
      <c r="M72" s="1091"/>
      <c r="N72" s="1091"/>
      <c r="O72" s="1091"/>
      <c r="P72" s="1091"/>
      <c r="Q72" s="1091"/>
      <c r="R72" s="1092"/>
      <c r="AB72" s="1044"/>
    </row>
    <row r="73" ht="15.75" spans="1:28">
      <c r="A73" s="1083"/>
      <c r="K73" s="1093">
        <f>ROUNDUP(Y67,2)</f>
        <v>4</v>
      </c>
      <c r="L73" s="1094"/>
      <c r="M73" s="1094"/>
      <c r="N73" s="1094"/>
      <c r="O73" s="1094"/>
      <c r="P73" s="1094"/>
      <c r="Q73" s="1094"/>
      <c r="R73" s="1095"/>
      <c r="AB73" s="1044"/>
    </row>
    <row r="74" ht="15.75" spans="1:28">
      <c r="A74" s="1096"/>
      <c r="B74" s="389"/>
      <c r="C74" s="389"/>
      <c r="D74" s="389"/>
      <c r="E74" s="389"/>
      <c r="F74" s="389"/>
      <c r="G74" s="389"/>
      <c r="H74" s="389"/>
      <c r="I74" s="1097"/>
      <c r="J74" s="1097"/>
      <c r="K74" s="1097"/>
      <c r="L74" s="1097"/>
      <c r="M74" s="1097"/>
      <c r="N74" s="1097"/>
      <c r="O74" s="1097"/>
      <c r="P74" s="1097"/>
      <c r="Q74" s="389"/>
      <c r="R74" s="389"/>
      <c r="S74" s="389"/>
      <c r="T74" s="389"/>
      <c r="U74" s="389"/>
      <c r="V74" s="389"/>
      <c r="W74" s="389"/>
      <c r="X74" s="389"/>
      <c r="Y74" s="389"/>
      <c r="Z74" s="389"/>
      <c r="AA74" s="389"/>
      <c r="AB74" s="1098"/>
    </row>
    <row r="75" s="437" customFormat="1" spans="1:28">
      <c r="A75" s="1040" t="s">
        <v>233</v>
      </c>
      <c r="B75" s="1114"/>
      <c r="C75" s="1114"/>
      <c r="D75" s="1114"/>
      <c r="E75" s="1114"/>
      <c r="F75" s="1114"/>
      <c r="G75" s="1114"/>
      <c r="H75" s="1114"/>
      <c r="I75" s="1114"/>
      <c r="J75" s="1114"/>
      <c r="K75" s="1114"/>
      <c r="L75" s="1114"/>
      <c r="M75" s="1114"/>
      <c r="N75" s="1114"/>
      <c r="O75" s="1114"/>
      <c r="P75" s="1114"/>
      <c r="Q75" s="1114"/>
      <c r="R75" s="1114"/>
      <c r="S75" s="1114"/>
      <c r="T75" s="1114"/>
      <c r="U75" s="1114"/>
      <c r="V75" s="1114"/>
      <c r="W75" s="1114"/>
      <c r="X75" s="1114"/>
      <c r="Y75" s="1114"/>
      <c r="Z75" s="1114"/>
      <c r="AA75" s="1114"/>
      <c r="AB75" s="1115"/>
    </row>
    <row r="76" spans="1:28">
      <c r="A76" s="1083"/>
      <c r="AB76" s="1044"/>
    </row>
    <row r="77" spans="1:28">
      <c r="A77" s="1083"/>
      <c r="AB77" s="1044"/>
    </row>
    <row r="78" spans="1:28">
      <c r="A78" s="1083"/>
      <c r="AB78" s="1044"/>
    </row>
    <row r="79" spans="1:28">
      <c r="A79" s="1083"/>
      <c r="AB79" s="1044"/>
    </row>
    <row r="80" spans="1:28">
      <c r="A80" s="1083"/>
      <c r="AB80" s="1044"/>
    </row>
    <row r="81" spans="1:28">
      <c r="A81" s="1083"/>
      <c r="AB81" s="1044"/>
    </row>
    <row r="82" spans="1:28">
      <c r="A82" s="1083"/>
      <c r="AB82" s="1044"/>
    </row>
    <row r="83" spans="1:28">
      <c r="A83" s="1083"/>
      <c r="AB83" s="1044"/>
    </row>
    <row r="84" spans="1:28">
      <c r="A84" s="1083"/>
      <c r="AB84" s="1044"/>
    </row>
    <row r="85" spans="1:28">
      <c r="A85" s="1083"/>
      <c r="AB85" s="1044"/>
    </row>
    <row r="86" spans="1:28">
      <c r="A86" s="1083"/>
      <c r="AB86" s="1044"/>
    </row>
    <row r="87" spans="1:28">
      <c r="A87" s="1083"/>
      <c r="AB87" s="1044"/>
    </row>
    <row r="88" spans="1:28">
      <c r="A88" s="1083"/>
      <c r="AB88" s="1044"/>
    </row>
    <row r="89" spans="1:28">
      <c r="A89" s="1083"/>
      <c r="AB89" s="1044"/>
    </row>
    <row r="90" spans="1:28">
      <c r="A90" s="1083"/>
      <c r="AB90" s="1044"/>
    </row>
    <row r="91" spans="1:28">
      <c r="A91" s="1083"/>
      <c r="AB91" s="1044"/>
    </row>
    <row r="92" spans="1:28">
      <c r="A92" s="1083"/>
      <c r="AB92" s="1044"/>
    </row>
    <row r="93" spans="1:28">
      <c r="A93" s="1083"/>
      <c r="AB93" s="1044"/>
    </row>
    <row r="94" spans="1:28">
      <c r="A94" s="1083"/>
      <c r="AB94" s="1044"/>
    </row>
    <row r="95" spans="1:28">
      <c r="A95" s="1083"/>
      <c r="AB95" s="1044"/>
    </row>
    <row r="96" spans="1:28">
      <c r="A96" s="1083"/>
      <c r="AB96" s="1044"/>
    </row>
    <row r="97" spans="1:28">
      <c r="A97" s="1083"/>
      <c r="AB97" s="1044"/>
    </row>
    <row r="98" spans="1:28">
      <c r="A98" s="1045" t="s">
        <v>234</v>
      </c>
      <c r="B98" s="1046"/>
      <c r="C98" s="1046"/>
      <c r="D98" s="1046"/>
      <c r="E98" s="1046"/>
      <c r="F98" s="1046"/>
      <c r="G98" s="1046"/>
      <c r="H98" s="1046"/>
      <c r="I98" s="1046"/>
      <c r="J98" s="1046"/>
      <c r="K98" s="1046"/>
      <c r="L98" s="1046"/>
      <c r="M98" s="1046"/>
      <c r="N98" s="1046"/>
      <c r="O98" s="1046"/>
      <c r="P98" s="1046"/>
      <c r="Q98" s="1046"/>
      <c r="R98" s="1046"/>
      <c r="S98" s="1046"/>
      <c r="T98" s="1046"/>
      <c r="U98" s="1046"/>
      <c r="V98" s="1046"/>
      <c r="W98" s="1046"/>
      <c r="X98" s="1046"/>
      <c r="Y98" s="1046"/>
      <c r="Z98" s="1046"/>
      <c r="AA98" s="1046"/>
      <c r="AB98" s="1047"/>
    </row>
    <row r="99" customHeight="1" spans="1:28">
      <c r="A99" s="1101" t="s">
        <v>205</v>
      </c>
      <c r="B99" s="1102"/>
      <c r="C99" s="1102"/>
      <c r="D99" s="1103"/>
      <c r="E99" s="1104" t="s">
        <v>206</v>
      </c>
      <c r="F99" s="1102"/>
      <c r="G99" s="1102"/>
      <c r="H99" s="1103"/>
      <c r="I99" s="1104" t="s">
        <v>235</v>
      </c>
      <c r="J99" s="1102"/>
      <c r="K99" s="1102"/>
      <c r="L99" s="1103"/>
      <c r="M99" s="1104" t="s">
        <v>236</v>
      </c>
      <c r="N99" s="1102"/>
      <c r="O99" s="1102"/>
      <c r="P99" s="1103"/>
      <c r="Q99" s="1104" t="s">
        <v>237</v>
      </c>
      <c r="R99" s="1102"/>
      <c r="S99" s="1102"/>
      <c r="T99" s="1103"/>
      <c r="U99" s="1104" t="s">
        <v>238</v>
      </c>
      <c r="V99" s="1102"/>
      <c r="W99" s="1102"/>
      <c r="X99" s="1103"/>
      <c r="Y99" s="1116" t="s">
        <v>239</v>
      </c>
      <c r="Z99" s="1117"/>
      <c r="AA99" s="1117"/>
      <c r="AB99" s="1118"/>
    </row>
    <row r="100" customHeight="1" spans="1:28">
      <c r="A100" s="1058" t="s">
        <v>240</v>
      </c>
      <c r="B100" s="1059"/>
      <c r="C100" s="1059"/>
      <c r="D100" s="1060"/>
      <c r="E100" s="1061" t="s">
        <v>241</v>
      </c>
      <c r="F100" s="1059"/>
      <c r="G100" s="1059"/>
      <c r="H100" s="1060"/>
      <c r="I100" s="1061" t="s">
        <v>240</v>
      </c>
      <c r="J100" s="1059"/>
      <c r="K100" s="1059"/>
      <c r="L100" s="1060"/>
      <c r="M100" s="1061" t="s">
        <v>242</v>
      </c>
      <c r="N100" s="1059"/>
      <c r="O100" s="1059"/>
      <c r="P100" s="1060"/>
      <c r="Q100" s="1061" t="s">
        <v>240</v>
      </c>
      <c r="R100" s="1059"/>
      <c r="S100" s="1059"/>
      <c r="T100" s="1060"/>
      <c r="U100" s="1061" t="s">
        <v>243</v>
      </c>
      <c r="V100" s="1059"/>
      <c r="W100" s="1059"/>
      <c r="X100" s="1060"/>
      <c r="Y100" s="1119"/>
      <c r="Z100" s="1120"/>
      <c r="AA100" s="1120"/>
      <c r="AB100" s="1121"/>
    </row>
    <row r="101" ht="15.75" spans="1:28">
      <c r="A101" s="1122">
        <v>1</v>
      </c>
      <c r="B101" s="1073"/>
      <c r="C101" s="1073"/>
      <c r="D101" s="1073"/>
      <c r="E101" s="1073">
        <v>0.4</v>
      </c>
      <c r="F101" s="1073"/>
      <c r="G101" s="1073"/>
      <c r="H101" s="1073"/>
      <c r="I101" s="1073">
        <v>1</v>
      </c>
      <c r="J101" s="1073"/>
      <c r="K101" s="1073"/>
      <c r="L101" s="1073"/>
      <c r="M101" s="1073">
        <v>4</v>
      </c>
      <c r="N101" s="1073"/>
      <c r="O101" s="1073"/>
      <c r="P101" s="1073"/>
      <c r="Q101" s="1123">
        <f>(A101+I101)/2</f>
        <v>1</v>
      </c>
      <c r="R101" s="1123"/>
      <c r="S101" s="1123"/>
      <c r="T101" s="1123"/>
      <c r="U101" s="1073">
        <v>1.5</v>
      </c>
      <c r="V101" s="1073"/>
      <c r="W101" s="1073"/>
      <c r="X101" s="1073"/>
      <c r="Y101" s="1123">
        <f>($A101+$E101+$I101)*($M101+$Q101)*$U101</f>
        <v>18</v>
      </c>
      <c r="Z101" s="1123"/>
      <c r="AA101" s="1123"/>
      <c r="AB101" s="1124"/>
    </row>
    <row r="102" ht="17.25" spans="1:28">
      <c r="A102" s="1079" t="s">
        <v>244</v>
      </c>
      <c r="B102" s="1080"/>
      <c r="C102" s="1080"/>
      <c r="D102" s="1080"/>
      <c r="E102" s="1080"/>
      <c r="F102" s="1080"/>
      <c r="G102" s="1080"/>
      <c r="H102" s="1080"/>
      <c r="I102" s="1080"/>
      <c r="J102" s="1080"/>
      <c r="K102" s="1080"/>
      <c r="L102" s="1080"/>
      <c r="M102" s="1080"/>
      <c r="N102" s="1080"/>
      <c r="O102" s="1080"/>
      <c r="P102" s="1080"/>
      <c r="Q102" s="1080"/>
      <c r="R102" s="1080"/>
      <c r="S102" s="1080"/>
      <c r="T102" s="1080"/>
      <c r="U102" s="1080"/>
      <c r="V102" s="1080"/>
      <c r="W102" s="1080"/>
      <c r="X102" s="1080"/>
      <c r="Y102" s="1080"/>
      <c r="Z102" s="1080"/>
      <c r="AA102" s="1080"/>
      <c r="AB102" s="1081"/>
    </row>
    <row r="103" spans="1:28">
      <c r="A103" s="1125"/>
      <c r="B103" s="1126"/>
      <c r="C103" s="1126"/>
      <c r="D103" s="1126"/>
      <c r="E103" s="1126"/>
      <c r="F103" s="1126"/>
      <c r="G103" s="1126"/>
      <c r="H103" s="1126"/>
      <c r="I103" s="1126"/>
      <c r="J103" s="1126"/>
      <c r="K103" s="1126"/>
      <c r="L103" s="1126"/>
      <c r="M103" s="1126"/>
      <c r="N103" s="1126"/>
      <c r="O103" s="1126"/>
      <c r="P103" s="1126"/>
      <c r="Q103" s="1126"/>
      <c r="R103" s="1126"/>
      <c r="S103" s="1126"/>
      <c r="T103" s="1126"/>
      <c r="U103" s="1126"/>
      <c r="V103" s="1126"/>
      <c r="W103" s="1126"/>
      <c r="X103" s="1126"/>
      <c r="Y103" s="1126"/>
      <c r="Z103" s="1126"/>
      <c r="AA103" s="1126"/>
      <c r="AB103" s="1127"/>
    </row>
    <row r="104" spans="1:28">
      <c r="A104" s="1045" t="s">
        <v>245</v>
      </c>
      <c r="B104" s="1046"/>
      <c r="C104" s="1046"/>
      <c r="D104" s="1046"/>
      <c r="E104" s="1046"/>
      <c r="F104" s="1046"/>
      <c r="G104" s="1046"/>
      <c r="H104" s="1046"/>
      <c r="I104" s="1046"/>
      <c r="J104" s="1046"/>
      <c r="K104" s="1046"/>
      <c r="L104" s="1046"/>
      <c r="M104" s="1046"/>
      <c r="N104" s="1046"/>
      <c r="O104" s="1046"/>
      <c r="P104" s="1046"/>
      <c r="Q104" s="1046"/>
      <c r="R104" s="1046"/>
      <c r="S104" s="1046"/>
      <c r="T104" s="1046"/>
      <c r="U104" s="1046"/>
      <c r="V104" s="1046"/>
      <c r="W104" s="1046"/>
      <c r="X104" s="1046"/>
      <c r="Y104" s="1046"/>
      <c r="Z104" s="1046"/>
      <c r="AA104" s="1046"/>
      <c r="AB104" s="1047"/>
    </row>
    <row r="105" customHeight="1" spans="1:28">
      <c r="A105" s="1101" t="s">
        <v>238</v>
      </c>
      <c r="B105" s="1102"/>
      <c r="C105" s="1102"/>
      <c r="D105" s="1103"/>
      <c r="E105" s="1104" t="s">
        <v>246</v>
      </c>
      <c r="F105" s="1102"/>
      <c r="G105" s="1102"/>
      <c r="H105" s="1103"/>
      <c r="I105" s="1104" t="s">
        <v>247</v>
      </c>
      <c r="J105" s="1102"/>
      <c r="K105" s="1102"/>
      <c r="L105" s="1103"/>
      <c r="M105" s="1104" t="s">
        <v>248</v>
      </c>
      <c r="N105" s="1102"/>
      <c r="O105" s="1102"/>
      <c r="P105" s="1103"/>
      <c r="Q105" s="1104" t="s">
        <v>249</v>
      </c>
      <c r="R105" s="1102"/>
      <c r="S105" s="1102"/>
      <c r="T105" s="1103"/>
      <c r="U105" s="1104" t="s">
        <v>238</v>
      </c>
      <c r="V105" s="1102"/>
      <c r="W105" s="1102"/>
      <c r="X105" s="1103"/>
      <c r="Y105" s="1116" t="s">
        <v>239</v>
      </c>
      <c r="Z105" s="1117"/>
      <c r="AA105" s="1117"/>
      <c r="AB105" s="1118"/>
    </row>
    <row r="106" customHeight="1" spans="1:28">
      <c r="A106" s="1058" t="s">
        <v>240</v>
      </c>
      <c r="B106" s="1059"/>
      <c r="C106" s="1059"/>
      <c r="D106" s="1060"/>
      <c r="E106" s="1061" t="s">
        <v>241</v>
      </c>
      <c r="F106" s="1059"/>
      <c r="G106" s="1059"/>
      <c r="H106" s="1060"/>
      <c r="I106" s="1061" t="s">
        <v>240</v>
      </c>
      <c r="J106" s="1059"/>
      <c r="K106" s="1059"/>
      <c r="L106" s="1060"/>
      <c r="M106" s="1061" t="s">
        <v>242</v>
      </c>
      <c r="N106" s="1059"/>
      <c r="O106" s="1059"/>
      <c r="P106" s="1060"/>
      <c r="Q106" s="1061" t="s">
        <v>240</v>
      </c>
      <c r="R106" s="1059"/>
      <c r="S106" s="1059"/>
      <c r="T106" s="1060"/>
      <c r="U106" s="1061" t="s">
        <v>243</v>
      </c>
      <c r="V106" s="1059"/>
      <c r="W106" s="1059"/>
      <c r="X106" s="1060"/>
      <c r="Y106" s="1119"/>
      <c r="Z106" s="1120"/>
      <c r="AA106" s="1120"/>
      <c r="AB106" s="1121"/>
    </row>
    <row r="107" ht="15.75" spans="1:28">
      <c r="A107" s="1122">
        <v>1</v>
      </c>
      <c r="B107" s="1073"/>
      <c r="C107" s="1073"/>
      <c r="D107" s="1073"/>
      <c r="E107" s="1073">
        <v>0.4</v>
      </c>
      <c r="F107" s="1073"/>
      <c r="G107" s="1073"/>
      <c r="H107" s="1073"/>
      <c r="I107" s="1073">
        <v>1</v>
      </c>
      <c r="J107" s="1073"/>
      <c r="K107" s="1073"/>
      <c r="L107" s="1073"/>
      <c r="M107" s="1073">
        <v>4</v>
      </c>
      <c r="N107" s="1073"/>
      <c r="O107" s="1073"/>
      <c r="P107" s="1073"/>
      <c r="Q107" s="1123">
        <f>(A107+I107)/2</f>
        <v>1</v>
      </c>
      <c r="R107" s="1123"/>
      <c r="S107" s="1123"/>
      <c r="T107" s="1123"/>
      <c r="U107" s="1073">
        <v>1.5</v>
      </c>
      <c r="V107" s="1073"/>
      <c r="W107" s="1073"/>
      <c r="X107" s="1073"/>
      <c r="Y107" s="1123">
        <f>($A107+$E107+$I107)*($M107+$Q107)*$U107</f>
        <v>18</v>
      </c>
      <c r="Z107" s="1123"/>
      <c r="AA107" s="1123"/>
      <c r="AB107" s="1124"/>
    </row>
    <row r="108" ht="17.25" spans="1:28">
      <c r="A108" s="1079" t="s">
        <v>250</v>
      </c>
      <c r="B108" s="1080"/>
      <c r="C108" s="1080"/>
      <c r="D108" s="1080"/>
      <c r="E108" s="1080"/>
      <c r="F108" s="1080"/>
      <c r="G108" s="1080"/>
      <c r="H108" s="1080"/>
      <c r="I108" s="1080"/>
      <c r="J108" s="1080"/>
      <c r="K108" s="1080"/>
      <c r="L108" s="1080"/>
      <c r="M108" s="1080"/>
      <c r="N108" s="1080"/>
      <c r="O108" s="1080"/>
      <c r="P108" s="1080"/>
      <c r="Q108" s="1080"/>
      <c r="R108" s="1080"/>
      <c r="S108" s="1080"/>
      <c r="T108" s="1080"/>
      <c r="U108" s="1080"/>
      <c r="V108" s="1080"/>
      <c r="W108" s="1080"/>
      <c r="X108" s="1080"/>
      <c r="Y108" s="1080"/>
      <c r="Z108" s="1080"/>
      <c r="AA108" s="1080"/>
      <c r="AB108" s="1081"/>
    </row>
    <row r="109" spans="1:28">
      <c r="A109" s="1125"/>
      <c r="B109" s="1126"/>
      <c r="C109" s="1126"/>
      <c r="D109" s="1126"/>
      <c r="E109" s="1126"/>
      <c r="F109" s="1126"/>
      <c r="G109" s="1126"/>
      <c r="H109" s="1126"/>
      <c r="I109" s="1126"/>
      <c r="J109" s="1126"/>
      <c r="K109" s="1126"/>
      <c r="L109" s="1126"/>
      <c r="M109" s="1126"/>
      <c r="N109" s="1126"/>
      <c r="O109" s="1126"/>
      <c r="P109" s="1126"/>
      <c r="Q109" s="1126"/>
      <c r="R109" s="1126"/>
      <c r="S109" s="1126"/>
      <c r="T109" s="1126"/>
      <c r="U109" s="1126"/>
      <c r="V109" s="1126"/>
      <c r="W109" s="1126"/>
      <c r="X109" s="1126"/>
      <c r="Y109" s="1126"/>
      <c r="Z109" s="1126"/>
      <c r="AA109" s="1126"/>
      <c r="AB109" s="1127"/>
    </row>
    <row r="110" spans="1:28">
      <c r="A110" s="1099" t="s">
        <v>251</v>
      </c>
      <c r="B110" s="424"/>
      <c r="C110" s="424"/>
      <c r="D110" s="424"/>
      <c r="E110" s="424"/>
      <c r="F110" s="424"/>
      <c r="G110" s="424"/>
      <c r="H110" s="424"/>
      <c r="I110" s="424"/>
      <c r="J110" s="424"/>
      <c r="K110" s="424"/>
      <c r="L110" s="424"/>
      <c r="M110" s="424"/>
      <c r="N110" s="424"/>
      <c r="O110" s="424"/>
      <c r="P110" s="424"/>
      <c r="Q110" s="424"/>
      <c r="R110" s="424"/>
      <c r="S110" s="424"/>
      <c r="T110" s="424"/>
      <c r="U110" s="424"/>
      <c r="V110" s="424"/>
      <c r="W110" s="424"/>
      <c r="X110" s="424"/>
      <c r="Y110" s="424"/>
      <c r="Z110" s="424"/>
      <c r="AA110" s="424"/>
      <c r="AB110" s="1100"/>
    </row>
    <row r="111" customHeight="1" spans="1:28">
      <c r="A111" s="1101" t="s">
        <v>252</v>
      </c>
      <c r="B111" s="1102"/>
      <c r="C111" s="1102"/>
      <c r="D111" s="1103"/>
      <c r="E111" s="1104" t="s">
        <v>253</v>
      </c>
      <c r="F111" s="1102"/>
      <c r="G111" s="1102"/>
      <c r="H111" s="1103"/>
      <c r="I111" s="1104" t="s">
        <v>254</v>
      </c>
      <c r="J111" s="1102"/>
      <c r="K111" s="1102"/>
      <c r="L111" s="1103"/>
      <c r="M111" s="1104" t="s">
        <v>255</v>
      </c>
      <c r="N111" s="1102"/>
      <c r="O111" s="1102"/>
      <c r="P111" s="1103"/>
      <c r="Q111" s="1104" t="s">
        <v>238</v>
      </c>
      <c r="R111" s="1102"/>
      <c r="S111" s="1102"/>
      <c r="T111" s="1103"/>
      <c r="U111" s="1116"/>
      <c r="V111" s="1117"/>
      <c r="W111" s="1117"/>
      <c r="X111" s="1118"/>
      <c r="Y111" s="1116" t="s">
        <v>239</v>
      </c>
      <c r="Z111" s="1117"/>
      <c r="AA111" s="1117"/>
      <c r="AB111" s="1118"/>
    </row>
    <row r="112" customHeight="1" spans="1:28">
      <c r="A112" s="1058" t="s">
        <v>240</v>
      </c>
      <c r="B112" s="1059"/>
      <c r="C112" s="1059"/>
      <c r="D112" s="1060"/>
      <c r="E112" s="1061" t="s">
        <v>256</v>
      </c>
      <c r="F112" s="1059"/>
      <c r="G112" s="1059"/>
      <c r="H112" s="1060"/>
      <c r="I112" s="1061" t="s">
        <v>240</v>
      </c>
      <c r="J112" s="1059"/>
      <c r="K112" s="1059"/>
      <c r="L112" s="1060"/>
      <c r="M112" s="1061" t="s">
        <v>257</v>
      </c>
      <c r="N112" s="1059"/>
      <c r="O112" s="1059"/>
      <c r="P112" s="1060"/>
      <c r="Q112" s="1061" t="s">
        <v>243</v>
      </c>
      <c r="R112" s="1059"/>
      <c r="S112" s="1059"/>
      <c r="T112" s="1060"/>
      <c r="U112" s="1119"/>
      <c r="V112" s="1120"/>
      <c r="W112" s="1120"/>
      <c r="X112" s="1121"/>
      <c r="Y112" s="1119"/>
      <c r="Z112" s="1120"/>
      <c r="AA112" s="1120"/>
      <c r="AB112" s="1121"/>
    </row>
    <row r="113" ht="15.75" spans="1:28">
      <c r="A113" s="1109">
        <v>1</v>
      </c>
      <c r="B113" s="1110"/>
      <c r="C113" s="1110"/>
      <c r="D113" s="1110"/>
      <c r="E113" s="1110">
        <v>0.4</v>
      </c>
      <c r="F113" s="1110"/>
      <c r="G113" s="1110"/>
      <c r="H113" s="1110"/>
      <c r="I113" s="1110">
        <v>1</v>
      </c>
      <c r="J113" s="1110"/>
      <c r="K113" s="1110"/>
      <c r="L113" s="1110"/>
      <c r="M113" s="1110">
        <v>6</v>
      </c>
      <c r="N113" s="1110"/>
      <c r="O113" s="1110"/>
      <c r="P113" s="1110"/>
      <c r="Q113" s="1110">
        <v>1.5</v>
      </c>
      <c r="R113" s="1110"/>
      <c r="S113" s="1110"/>
      <c r="T113" s="1110"/>
      <c r="U113" s="1077"/>
      <c r="V113" s="1077"/>
      <c r="W113" s="1077"/>
      <c r="X113" s="1078"/>
      <c r="Y113" s="1077">
        <f>($A113+$E113+$I113)*($M113)*$Q113</f>
        <v>21.6</v>
      </c>
      <c r="Z113" s="1077"/>
      <c r="AA113" s="1077"/>
      <c r="AB113" s="1078"/>
    </row>
    <row r="114" ht="17.25" spans="1:28">
      <c r="A114" s="1079" t="s">
        <v>258</v>
      </c>
      <c r="B114" s="1080"/>
      <c r="C114" s="1080"/>
      <c r="D114" s="1080"/>
      <c r="E114" s="1080"/>
      <c r="F114" s="1080"/>
      <c r="G114" s="1080"/>
      <c r="H114" s="1080"/>
      <c r="I114" s="1080"/>
      <c r="J114" s="1080"/>
      <c r="K114" s="1080"/>
      <c r="L114" s="1080"/>
      <c r="M114" s="1080"/>
      <c r="N114" s="1080"/>
      <c r="O114" s="1080"/>
      <c r="P114" s="1080"/>
      <c r="Q114" s="1080"/>
      <c r="R114" s="1080"/>
      <c r="S114" s="1080"/>
      <c r="T114" s="1080"/>
      <c r="U114" s="1080"/>
      <c r="V114" s="1080"/>
      <c r="W114" s="1080"/>
      <c r="X114" s="1080"/>
      <c r="Y114" s="1080"/>
      <c r="Z114" s="1080"/>
      <c r="AA114" s="1080"/>
      <c r="AB114" s="1081"/>
    </row>
    <row r="115" ht="15.75" spans="1:28">
      <c r="A115" s="1083"/>
      <c r="AB115" s="1044"/>
    </row>
    <row r="116" spans="1:28">
      <c r="A116" s="1083"/>
      <c r="K116" s="1084" t="s">
        <v>259</v>
      </c>
      <c r="L116" s="1085"/>
      <c r="M116" s="1085"/>
      <c r="N116" s="1085"/>
      <c r="O116" s="1085"/>
      <c r="P116" s="1085"/>
      <c r="Q116" s="1085"/>
      <c r="R116" s="1086"/>
      <c r="AB116" s="1044"/>
    </row>
    <row r="117" spans="1:28">
      <c r="A117" s="1083"/>
      <c r="K117" s="1087" t="s">
        <v>260</v>
      </c>
      <c r="L117" s="1088"/>
      <c r="M117" s="1088"/>
      <c r="N117" s="1088"/>
      <c r="O117" s="1088"/>
      <c r="P117" s="1088"/>
      <c r="Q117" s="1088"/>
      <c r="R117" s="1089"/>
      <c r="AB117" s="1044"/>
    </row>
    <row r="118" spans="1:28">
      <c r="A118" s="1083"/>
      <c r="K118" s="1090"/>
      <c r="L118" s="1091"/>
      <c r="M118" s="1091"/>
      <c r="N118" s="1091"/>
      <c r="O118" s="1091"/>
      <c r="P118" s="1091"/>
      <c r="Q118" s="1091"/>
      <c r="R118" s="1092"/>
      <c r="AB118" s="1044"/>
    </row>
    <row r="119" ht="15.75" spans="1:28">
      <c r="A119" s="1083"/>
      <c r="K119" s="1093">
        <f>ROUNDUP(($Y101+$Y107+$Y113),2)</f>
        <v>57.6</v>
      </c>
      <c r="L119" s="1094"/>
      <c r="M119" s="1094"/>
      <c r="N119" s="1094"/>
      <c r="O119" s="1094"/>
      <c r="P119" s="1094"/>
      <c r="Q119" s="1094"/>
      <c r="R119" s="1095"/>
      <c r="AB119" s="1044"/>
    </row>
    <row r="120" ht="15.75" spans="1:28">
      <c r="A120" s="1096"/>
      <c r="B120" s="389"/>
      <c r="C120" s="389"/>
      <c r="D120" s="389"/>
      <c r="E120" s="389"/>
      <c r="F120" s="389"/>
      <c r="G120" s="389"/>
      <c r="H120" s="389"/>
      <c r="I120" s="1128"/>
      <c r="J120" s="1128"/>
      <c r="K120" s="1128"/>
      <c r="L120" s="1128"/>
      <c r="M120" s="1128"/>
      <c r="N120" s="1128"/>
      <c r="O120" s="1128"/>
      <c r="P120" s="1128"/>
      <c r="Q120" s="389"/>
      <c r="R120" s="389"/>
      <c r="S120" s="389"/>
      <c r="T120" s="389"/>
      <c r="U120" s="389"/>
      <c r="V120" s="389"/>
      <c r="W120" s="389"/>
      <c r="X120" s="389"/>
      <c r="Y120" s="389"/>
      <c r="Z120" s="389"/>
      <c r="AA120" s="389"/>
      <c r="AB120" s="1098"/>
    </row>
    <row r="121" s="437" customFormat="1" spans="1:28">
      <c r="A121" s="1040" t="s">
        <v>261</v>
      </c>
      <c r="B121" s="1114"/>
      <c r="C121" s="1114"/>
      <c r="D121" s="1114"/>
      <c r="E121" s="1114"/>
      <c r="F121" s="1114"/>
      <c r="G121" s="1114"/>
      <c r="H121" s="1114"/>
      <c r="I121" s="1129"/>
      <c r="J121" s="1129"/>
      <c r="K121" s="1129"/>
      <c r="L121" s="1129"/>
      <c r="M121" s="1129"/>
      <c r="N121" s="1129"/>
      <c r="O121" s="1129"/>
      <c r="P121" s="1129"/>
      <c r="Q121" s="1114"/>
      <c r="R121" s="1114"/>
      <c r="S121" s="1114"/>
      <c r="T121" s="1114"/>
      <c r="U121" s="1114"/>
      <c r="V121" s="1114"/>
      <c r="W121" s="1114"/>
      <c r="X121" s="1114"/>
      <c r="Y121" s="1114"/>
      <c r="Z121" s="1114"/>
      <c r="AA121" s="1114"/>
      <c r="AB121" s="1115"/>
    </row>
    <row r="122" spans="1:28">
      <c r="A122" s="1083"/>
      <c r="I122" s="1130"/>
      <c r="J122" s="1130"/>
      <c r="K122" s="1130"/>
      <c r="L122" s="1130"/>
      <c r="M122" s="1130"/>
      <c r="N122" s="1130"/>
      <c r="O122" s="1130"/>
      <c r="P122" s="1130"/>
      <c r="AB122" s="1044"/>
    </row>
    <row r="123" spans="1:28">
      <c r="A123" s="1083"/>
      <c r="I123" s="1130"/>
      <c r="J123" s="1130"/>
      <c r="K123" s="1130"/>
      <c r="L123" s="1130"/>
      <c r="M123" s="1130"/>
      <c r="N123" s="1130"/>
      <c r="O123" s="1130"/>
      <c r="P123" s="1130"/>
      <c r="AB123" s="1044"/>
    </row>
    <row r="124" spans="1:28">
      <c r="A124" s="1083"/>
      <c r="I124" s="1130"/>
      <c r="J124" s="1130"/>
      <c r="K124" s="1130"/>
      <c r="L124" s="1130"/>
      <c r="M124" s="1130"/>
      <c r="N124" s="1130"/>
      <c r="O124" s="1130"/>
      <c r="P124" s="1130"/>
      <c r="AB124" s="1044"/>
    </row>
    <row r="125" spans="1:28">
      <c r="A125" s="1083"/>
      <c r="I125" s="1130"/>
      <c r="J125" s="1130"/>
      <c r="K125" s="1130"/>
      <c r="L125" s="1130"/>
      <c r="M125" s="1130"/>
      <c r="N125" s="1130"/>
      <c r="O125" s="1130"/>
      <c r="P125" s="1130"/>
      <c r="AB125" s="1044"/>
    </row>
    <row r="126" spans="1:28">
      <c r="A126" s="1083"/>
      <c r="I126" s="1130"/>
      <c r="J126" s="1130"/>
      <c r="K126" s="1130"/>
      <c r="L126" s="1130"/>
      <c r="M126" s="1130"/>
      <c r="N126" s="1130"/>
      <c r="O126" s="1130"/>
      <c r="P126" s="1130"/>
      <c r="AB126" s="1044"/>
    </row>
    <row r="127" spans="1:28">
      <c r="A127" s="1083"/>
      <c r="I127" s="1130"/>
      <c r="J127" s="1130"/>
      <c r="K127" s="1130"/>
      <c r="L127" s="1130"/>
      <c r="M127" s="1130"/>
      <c r="N127" s="1130"/>
      <c r="O127" s="1130"/>
      <c r="P127" s="1130"/>
      <c r="AB127" s="1044"/>
    </row>
    <row r="128" spans="1:28">
      <c r="A128" s="1083"/>
      <c r="I128" s="1130"/>
      <c r="J128" s="1130"/>
      <c r="K128" s="1130"/>
      <c r="L128" s="1130"/>
      <c r="M128" s="1130"/>
      <c r="N128" s="1130"/>
      <c r="O128" s="1130"/>
      <c r="P128" s="1130"/>
      <c r="AB128" s="1044"/>
    </row>
    <row r="129" spans="1:28">
      <c r="A129" s="1083"/>
      <c r="I129" s="1130"/>
      <c r="J129" s="1130"/>
      <c r="K129" s="1130"/>
      <c r="L129" s="1130"/>
      <c r="M129" s="1130"/>
      <c r="N129" s="1130"/>
      <c r="O129" s="1130"/>
      <c r="P129" s="1130"/>
      <c r="AB129" s="1044"/>
    </row>
    <row r="130" spans="1:28">
      <c r="A130" s="1083"/>
      <c r="I130" s="1130"/>
      <c r="J130" s="1130"/>
      <c r="K130" s="1130"/>
      <c r="L130" s="1130"/>
      <c r="M130" s="1130"/>
      <c r="N130" s="1130"/>
      <c r="O130" s="1130"/>
      <c r="P130" s="1130"/>
      <c r="AB130" s="1044"/>
    </row>
    <row r="131" spans="1:28">
      <c r="A131" s="1083"/>
      <c r="I131" s="1130"/>
      <c r="J131" s="1130"/>
      <c r="K131" s="1130"/>
      <c r="L131" s="1130"/>
      <c r="M131" s="1130"/>
      <c r="N131" s="1130"/>
      <c r="O131" s="1130"/>
      <c r="P131" s="1130"/>
      <c r="AB131" s="1044"/>
    </row>
    <row r="132" spans="1:28">
      <c r="A132" s="1083"/>
      <c r="I132" s="1130"/>
      <c r="J132" s="1130"/>
      <c r="K132" s="1130"/>
      <c r="L132" s="1130"/>
      <c r="M132" s="1130"/>
      <c r="N132" s="1130"/>
      <c r="O132" s="1130"/>
      <c r="P132" s="1130"/>
      <c r="AB132" s="1044"/>
    </row>
    <row r="133" spans="1:28">
      <c r="A133" s="1083"/>
      <c r="I133" s="1130"/>
      <c r="J133" s="1130"/>
      <c r="K133" s="1130"/>
      <c r="L133" s="1130"/>
      <c r="M133" s="1130"/>
      <c r="N133" s="1130"/>
      <c r="O133" s="1130"/>
      <c r="P133" s="1130"/>
      <c r="AB133" s="1044"/>
    </row>
    <row r="134" spans="1:28">
      <c r="A134" s="1083"/>
      <c r="I134" s="1130"/>
      <c r="J134" s="1130"/>
      <c r="K134" s="1130"/>
      <c r="L134" s="1130"/>
      <c r="M134" s="1130"/>
      <c r="N134" s="1130"/>
      <c r="O134" s="1130"/>
      <c r="P134" s="1130"/>
      <c r="AB134" s="1044"/>
    </row>
    <row r="135" spans="1:28">
      <c r="A135" s="1083"/>
      <c r="I135" s="1130"/>
      <c r="J135" s="1130"/>
      <c r="K135" s="1130"/>
      <c r="L135" s="1130"/>
      <c r="M135" s="1130"/>
      <c r="N135" s="1130"/>
      <c r="O135" s="1130"/>
      <c r="P135" s="1130"/>
      <c r="AB135" s="1044"/>
    </row>
    <row r="136" spans="1:28">
      <c r="A136" s="1083"/>
      <c r="I136" s="1130"/>
      <c r="J136" s="1130"/>
      <c r="K136" s="1130"/>
      <c r="L136" s="1130"/>
      <c r="M136" s="1130"/>
      <c r="N136" s="1130"/>
      <c r="O136" s="1130"/>
      <c r="P136" s="1130"/>
      <c r="AB136" s="1044"/>
    </row>
    <row r="137" spans="1:28">
      <c r="A137" s="1083"/>
      <c r="I137" s="1130"/>
      <c r="J137" s="1130"/>
      <c r="K137" s="1130"/>
      <c r="L137" s="1130"/>
      <c r="M137" s="1130"/>
      <c r="N137" s="1130"/>
      <c r="O137" s="1130"/>
      <c r="P137" s="1130"/>
      <c r="AB137" s="1044"/>
    </row>
    <row r="138" spans="1:28">
      <c r="A138" s="1083"/>
      <c r="I138" s="1130"/>
      <c r="J138" s="1130"/>
      <c r="K138" s="1130"/>
      <c r="L138" s="1130"/>
      <c r="M138" s="1130"/>
      <c r="N138" s="1130"/>
      <c r="O138" s="1130"/>
      <c r="P138" s="1130"/>
      <c r="AB138" s="1044"/>
    </row>
    <row r="139" spans="1:28">
      <c r="A139" s="1083"/>
      <c r="I139" s="1130"/>
      <c r="J139" s="1130"/>
      <c r="K139" s="1130"/>
      <c r="L139" s="1130"/>
      <c r="M139" s="1130"/>
      <c r="N139" s="1130"/>
      <c r="O139" s="1130"/>
      <c r="P139" s="1130"/>
      <c r="AB139" s="1044"/>
    </row>
    <row r="140" spans="1:28">
      <c r="A140" s="1083"/>
      <c r="I140" s="1130"/>
      <c r="J140" s="1130"/>
      <c r="K140" s="1130"/>
      <c r="L140" s="1130"/>
      <c r="M140" s="1130"/>
      <c r="N140" s="1130"/>
      <c r="O140" s="1130"/>
      <c r="P140" s="1130"/>
      <c r="AB140" s="1044"/>
    </row>
    <row r="141" spans="1:28">
      <c r="A141" s="1083"/>
      <c r="I141" s="1130"/>
      <c r="J141" s="1130"/>
      <c r="K141" s="1130"/>
      <c r="L141" s="1130"/>
      <c r="M141" s="1130"/>
      <c r="N141" s="1130"/>
      <c r="O141" s="1130"/>
      <c r="P141" s="1130"/>
      <c r="AB141" s="1044"/>
    </row>
    <row r="142" spans="1:28">
      <c r="A142" s="1083"/>
      <c r="I142" s="1130"/>
      <c r="J142" s="1130"/>
      <c r="K142" s="1130"/>
      <c r="L142" s="1130"/>
      <c r="M142" s="1130"/>
      <c r="N142" s="1130"/>
      <c r="O142" s="1130"/>
      <c r="P142" s="1130"/>
      <c r="AB142" s="1044"/>
    </row>
    <row r="143" spans="1:28">
      <c r="A143" s="1083"/>
      <c r="I143" s="1130"/>
      <c r="J143" s="1130"/>
      <c r="K143" s="1130"/>
      <c r="L143" s="1130"/>
      <c r="M143" s="1130"/>
      <c r="N143" s="1130"/>
      <c r="O143" s="1130"/>
      <c r="P143" s="1130"/>
      <c r="AB143" s="1044"/>
    </row>
    <row r="144" spans="1:28">
      <c r="A144" s="1083"/>
      <c r="I144" s="1130"/>
      <c r="J144" s="1130"/>
      <c r="K144" s="1130"/>
      <c r="L144" s="1130"/>
      <c r="M144" s="1130"/>
      <c r="N144" s="1130"/>
      <c r="O144" s="1130"/>
      <c r="P144" s="1130"/>
      <c r="AB144" s="1044"/>
    </row>
    <row r="145" spans="1:28">
      <c r="A145" s="1083"/>
      <c r="I145" s="1130"/>
      <c r="J145" s="1130"/>
      <c r="K145" s="1130"/>
      <c r="L145" s="1130"/>
      <c r="M145" s="1130"/>
      <c r="N145" s="1130"/>
      <c r="O145" s="1130"/>
      <c r="P145" s="1130"/>
      <c r="AB145" s="1044"/>
    </row>
    <row r="146" spans="1:28">
      <c r="A146" s="1083"/>
      <c r="I146" s="1130"/>
      <c r="J146" s="1130"/>
      <c r="K146" s="1130"/>
      <c r="L146" s="1130"/>
      <c r="M146" s="1130"/>
      <c r="N146" s="1130"/>
      <c r="O146" s="1130"/>
      <c r="P146" s="1130"/>
      <c r="AB146" s="1044"/>
    </row>
    <row r="147" spans="1:28">
      <c r="A147" s="1083"/>
      <c r="I147" s="1130"/>
      <c r="J147" s="1130"/>
      <c r="K147" s="1130"/>
      <c r="L147" s="1130"/>
      <c r="M147" s="1130"/>
      <c r="N147" s="1130"/>
      <c r="O147" s="1130"/>
      <c r="P147" s="1130"/>
      <c r="AB147" s="1044"/>
    </row>
    <row r="148" spans="1:28">
      <c r="A148" s="1083"/>
      <c r="I148" s="1130"/>
      <c r="J148" s="1130"/>
      <c r="K148" s="1130"/>
      <c r="L148" s="1130"/>
      <c r="M148" s="1130"/>
      <c r="N148" s="1130"/>
      <c r="O148" s="1130"/>
      <c r="P148" s="1130"/>
      <c r="AB148" s="1044"/>
    </row>
    <row r="149" spans="1:28">
      <c r="A149" s="1045" t="s">
        <v>234</v>
      </c>
      <c r="B149" s="1046"/>
      <c r="C149" s="1046"/>
      <c r="D149" s="1046"/>
      <c r="E149" s="1046"/>
      <c r="F149" s="1046"/>
      <c r="G149" s="1046"/>
      <c r="H149" s="1046"/>
      <c r="I149" s="1046"/>
      <c r="J149" s="1046"/>
      <c r="K149" s="1046"/>
      <c r="L149" s="1046"/>
      <c r="M149" s="1046"/>
      <c r="N149" s="1046"/>
      <c r="O149" s="1046"/>
      <c r="P149" s="1046"/>
      <c r="Q149" s="1046"/>
      <c r="R149" s="1046"/>
      <c r="S149" s="1046"/>
      <c r="T149" s="1046"/>
      <c r="U149" s="1046"/>
      <c r="V149" s="1046"/>
      <c r="W149" s="1046"/>
      <c r="X149" s="1046"/>
      <c r="Y149" s="1046"/>
      <c r="Z149" s="1046"/>
      <c r="AA149" s="1046"/>
      <c r="AB149" s="1047"/>
    </row>
    <row r="150" spans="1:28">
      <c r="A150" s="1101" t="s">
        <v>205</v>
      </c>
      <c r="B150" s="1102"/>
      <c r="C150" s="1102"/>
      <c r="D150" s="1103"/>
      <c r="E150" s="1104" t="s">
        <v>206</v>
      </c>
      <c r="F150" s="1102"/>
      <c r="G150" s="1102"/>
      <c r="H150" s="1103"/>
      <c r="I150" s="1104" t="s">
        <v>235</v>
      </c>
      <c r="J150" s="1102"/>
      <c r="K150" s="1102"/>
      <c r="L150" s="1103"/>
      <c r="M150" s="1104" t="s">
        <v>236</v>
      </c>
      <c r="N150" s="1102"/>
      <c r="O150" s="1102"/>
      <c r="P150" s="1103"/>
      <c r="Q150" s="1104" t="s">
        <v>237</v>
      </c>
      <c r="R150" s="1102"/>
      <c r="S150" s="1102"/>
      <c r="T150" s="1103"/>
      <c r="U150" s="1104" t="s">
        <v>238</v>
      </c>
      <c r="V150" s="1102"/>
      <c r="W150" s="1102"/>
      <c r="X150" s="1103"/>
      <c r="Y150" s="1116" t="s">
        <v>239</v>
      </c>
      <c r="Z150" s="1117"/>
      <c r="AA150" s="1117"/>
      <c r="AB150" s="1118"/>
    </row>
    <row r="151" spans="1:28">
      <c r="A151" s="1058" t="s">
        <v>240</v>
      </c>
      <c r="B151" s="1059"/>
      <c r="C151" s="1059"/>
      <c r="D151" s="1060"/>
      <c r="E151" s="1061" t="s">
        <v>241</v>
      </c>
      <c r="F151" s="1059"/>
      <c r="G151" s="1059"/>
      <c r="H151" s="1060"/>
      <c r="I151" s="1061" t="s">
        <v>240</v>
      </c>
      <c r="J151" s="1059"/>
      <c r="K151" s="1059"/>
      <c r="L151" s="1060"/>
      <c r="M151" s="1061" t="s">
        <v>242</v>
      </c>
      <c r="N151" s="1059"/>
      <c r="O151" s="1059"/>
      <c r="P151" s="1060"/>
      <c r="Q151" s="1061" t="s">
        <v>240</v>
      </c>
      <c r="R151" s="1059"/>
      <c r="S151" s="1059"/>
      <c r="T151" s="1060"/>
      <c r="U151" s="1061" t="s">
        <v>243</v>
      </c>
      <c r="V151" s="1059"/>
      <c r="W151" s="1059"/>
      <c r="X151" s="1060"/>
      <c r="Y151" s="1119"/>
      <c r="Z151" s="1120"/>
      <c r="AA151" s="1120"/>
      <c r="AB151" s="1121"/>
    </row>
    <row r="152" ht="15.75" spans="1:28">
      <c r="A152" s="1122">
        <v>1.95</v>
      </c>
      <c r="B152" s="1073"/>
      <c r="C152" s="1073"/>
      <c r="D152" s="1073"/>
      <c r="E152" s="1073">
        <v>0.4</v>
      </c>
      <c r="F152" s="1073"/>
      <c r="G152" s="1073"/>
      <c r="H152" s="1073"/>
      <c r="I152" s="1073">
        <v>1.9</v>
      </c>
      <c r="J152" s="1073"/>
      <c r="K152" s="1073"/>
      <c r="L152" s="1073"/>
      <c r="M152" s="1073">
        <v>4</v>
      </c>
      <c r="N152" s="1073"/>
      <c r="O152" s="1073"/>
      <c r="P152" s="1073"/>
      <c r="Q152" s="1123">
        <f>(A152+I152)/2</f>
        <v>1.925</v>
      </c>
      <c r="R152" s="1123"/>
      <c r="S152" s="1123"/>
      <c r="T152" s="1123"/>
      <c r="U152" s="1073">
        <v>1.2</v>
      </c>
      <c r="V152" s="1073"/>
      <c r="W152" s="1073"/>
      <c r="X152" s="1073"/>
      <c r="Y152" s="1123">
        <f>($A152+$E152+$I152)*($M152+$Q152)*$U152</f>
        <v>30.2175</v>
      </c>
      <c r="Z152" s="1123"/>
      <c r="AA152" s="1123"/>
      <c r="AB152" s="1124"/>
    </row>
    <row r="153" ht="17.25" spans="1:28">
      <c r="A153" s="1079" t="s">
        <v>262</v>
      </c>
      <c r="B153" s="1080"/>
      <c r="C153" s="1080"/>
      <c r="D153" s="1080"/>
      <c r="E153" s="1080"/>
      <c r="F153" s="1080"/>
      <c r="G153" s="1080"/>
      <c r="H153" s="1080"/>
      <c r="I153" s="1080"/>
      <c r="J153" s="1080"/>
      <c r="K153" s="1080"/>
      <c r="L153" s="1080"/>
      <c r="M153" s="1080"/>
      <c r="N153" s="1080"/>
      <c r="O153" s="1080"/>
      <c r="P153" s="1080"/>
      <c r="Q153" s="1080"/>
      <c r="R153" s="1080"/>
      <c r="S153" s="1080"/>
      <c r="T153" s="1080"/>
      <c r="U153" s="1080"/>
      <c r="V153" s="1080"/>
      <c r="W153" s="1080"/>
      <c r="X153" s="1080"/>
      <c r="Y153" s="1080"/>
      <c r="Z153" s="1080"/>
      <c r="AA153" s="1080"/>
      <c r="AB153" s="1081"/>
    </row>
    <row r="154" spans="1:28">
      <c r="A154" s="1083"/>
      <c r="AB154" s="1044"/>
    </row>
    <row r="155" spans="1:28">
      <c r="A155" s="1045" t="s">
        <v>245</v>
      </c>
      <c r="B155" s="1046"/>
      <c r="C155" s="1046"/>
      <c r="D155" s="1046"/>
      <c r="E155" s="1046"/>
      <c r="F155" s="1046"/>
      <c r="G155" s="1046"/>
      <c r="H155" s="1046"/>
      <c r="I155" s="1046"/>
      <c r="J155" s="1046"/>
      <c r="K155" s="1046"/>
      <c r="L155" s="1046"/>
      <c r="M155" s="1046"/>
      <c r="N155" s="1046"/>
      <c r="O155" s="1046"/>
      <c r="P155" s="1046"/>
      <c r="Q155" s="1046"/>
      <c r="R155" s="1046"/>
      <c r="S155" s="1046"/>
      <c r="T155" s="1046"/>
      <c r="U155" s="1046"/>
      <c r="V155" s="1046"/>
      <c r="W155" s="1046"/>
      <c r="X155" s="1046"/>
      <c r="Y155" s="1046"/>
      <c r="Z155" s="1046"/>
      <c r="AA155" s="1046"/>
      <c r="AB155" s="1047"/>
    </row>
    <row r="156" spans="1:28">
      <c r="A156" s="1101" t="s">
        <v>238</v>
      </c>
      <c r="B156" s="1102"/>
      <c r="C156" s="1102"/>
      <c r="D156" s="1103"/>
      <c r="E156" s="1104" t="s">
        <v>246</v>
      </c>
      <c r="F156" s="1102"/>
      <c r="G156" s="1102"/>
      <c r="H156" s="1103"/>
      <c r="I156" s="1104" t="s">
        <v>247</v>
      </c>
      <c r="J156" s="1102"/>
      <c r="K156" s="1102"/>
      <c r="L156" s="1103"/>
      <c r="M156" s="1104" t="s">
        <v>248</v>
      </c>
      <c r="N156" s="1102"/>
      <c r="O156" s="1102"/>
      <c r="P156" s="1103"/>
      <c r="Q156" s="1104" t="s">
        <v>249</v>
      </c>
      <c r="R156" s="1102"/>
      <c r="S156" s="1102"/>
      <c r="T156" s="1103"/>
      <c r="U156" s="1104" t="s">
        <v>238</v>
      </c>
      <c r="V156" s="1102"/>
      <c r="W156" s="1102"/>
      <c r="X156" s="1103"/>
      <c r="Y156" s="1116" t="s">
        <v>239</v>
      </c>
      <c r="Z156" s="1117"/>
      <c r="AA156" s="1117"/>
      <c r="AB156" s="1118"/>
    </row>
    <row r="157" spans="1:28">
      <c r="A157" s="1058" t="s">
        <v>240</v>
      </c>
      <c r="B157" s="1059"/>
      <c r="C157" s="1059"/>
      <c r="D157" s="1060"/>
      <c r="E157" s="1061" t="s">
        <v>241</v>
      </c>
      <c r="F157" s="1059"/>
      <c r="G157" s="1059"/>
      <c r="H157" s="1060"/>
      <c r="I157" s="1061" t="s">
        <v>240</v>
      </c>
      <c r="J157" s="1059"/>
      <c r="K157" s="1059"/>
      <c r="L157" s="1060"/>
      <c r="M157" s="1061" t="s">
        <v>242</v>
      </c>
      <c r="N157" s="1059"/>
      <c r="O157" s="1059"/>
      <c r="P157" s="1060"/>
      <c r="Q157" s="1061" t="s">
        <v>240</v>
      </c>
      <c r="R157" s="1059"/>
      <c r="S157" s="1059"/>
      <c r="T157" s="1060"/>
      <c r="U157" s="1061" t="s">
        <v>243</v>
      </c>
      <c r="V157" s="1059"/>
      <c r="W157" s="1059"/>
      <c r="X157" s="1060"/>
      <c r="Y157" s="1119"/>
      <c r="Z157" s="1120"/>
      <c r="AA157" s="1120"/>
      <c r="AB157" s="1121"/>
    </row>
    <row r="158" ht="15.75" spans="1:28">
      <c r="A158" s="1122">
        <v>1.9</v>
      </c>
      <c r="B158" s="1073"/>
      <c r="C158" s="1073"/>
      <c r="D158" s="1073"/>
      <c r="E158" s="1073">
        <v>0.4</v>
      </c>
      <c r="F158" s="1073"/>
      <c r="G158" s="1073"/>
      <c r="H158" s="1073"/>
      <c r="I158" s="1073">
        <v>1.95</v>
      </c>
      <c r="J158" s="1073"/>
      <c r="K158" s="1073"/>
      <c r="L158" s="1073"/>
      <c r="M158" s="1073">
        <v>4</v>
      </c>
      <c r="N158" s="1073"/>
      <c r="O158" s="1073"/>
      <c r="P158" s="1073"/>
      <c r="Q158" s="1123">
        <f>(A158+I158)/2</f>
        <v>1.925</v>
      </c>
      <c r="R158" s="1123"/>
      <c r="S158" s="1123"/>
      <c r="T158" s="1123"/>
      <c r="U158" s="1073">
        <v>1.2</v>
      </c>
      <c r="V158" s="1073"/>
      <c r="W158" s="1073"/>
      <c r="X158" s="1073"/>
      <c r="Y158" s="1123">
        <f>($A158+$E158+$I158)*($M158+$Q158)*$U158</f>
        <v>30.2175</v>
      </c>
      <c r="Z158" s="1123"/>
      <c r="AA158" s="1123"/>
      <c r="AB158" s="1124"/>
    </row>
    <row r="159" ht="17.25" spans="1:28">
      <c r="A159" s="1079" t="s">
        <v>263</v>
      </c>
      <c r="B159" s="1080"/>
      <c r="C159" s="1080"/>
      <c r="D159" s="1080"/>
      <c r="E159" s="1080"/>
      <c r="F159" s="1080"/>
      <c r="G159" s="1080"/>
      <c r="H159" s="1080"/>
      <c r="I159" s="1080"/>
      <c r="J159" s="1080"/>
      <c r="K159" s="1080"/>
      <c r="L159" s="1080"/>
      <c r="M159" s="1080"/>
      <c r="N159" s="1080"/>
      <c r="O159" s="1080"/>
      <c r="P159" s="1080"/>
      <c r="Q159" s="1080"/>
      <c r="R159" s="1080"/>
      <c r="S159" s="1080"/>
      <c r="T159" s="1080"/>
      <c r="U159" s="1080"/>
      <c r="V159" s="1080"/>
      <c r="W159" s="1080"/>
      <c r="X159" s="1080"/>
      <c r="Y159" s="1080"/>
      <c r="Z159" s="1080"/>
      <c r="AA159" s="1080"/>
      <c r="AB159" s="1081"/>
    </row>
    <row r="160" spans="1:28">
      <c r="A160" s="1082"/>
      <c r="B160" s="1041"/>
      <c r="C160" s="1041"/>
      <c r="D160" s="1041"/>
      <c r="E160" s="1041"/>
      <c r="F160" s="1041"/>
      <c r="G160" s="1041"/>
      <c r="H160" s="1041"/>
      <c r="I160" s="1041"/>
      <c r="J160" s="1041"/>
      <c r="K160" s="1041"/>
      <c r="L160" s="1041"/>
      <c r="M160" s="1041"/>
      <c r="N160" s="1041"/>
      <c r="O160" s="1041"/>
      <c r="P160" s="1041"/>
      <c r="Q160" s="1041"/>
      <c r="R160" s="1041"/>
      <c r="S160" s="1041"/>
      <c r="T160" s="1041"/>
      <c r="U160" s="1041"/>
      <c r="V160" s="1041"/>
      <c r="W160" s="1041"/>
      <c r="X160" s="1041"/>
      <c r="Y160" s="1041"/>
      <c r="Z160" s="1041"/>
      <c r="AA160" s="1041"/>
      <c r="AB160" s="1042"/>
    </row>
    <row r="161" spans="1:28">
      <c r="A161" s="1099" t="s">
        <v>251</v>
      </c>
      <c r="B161" s="424"/>
      <c r="C161" s="424"/>
      <c r="D161" s="424"/>
      <c r="E161" s="424"/>
      <c r="F161" s="424"/>
      <c r="G161" s="424"/>
      <c r="H161" s="424"/>
      <c r="I161" s="424"/>
      <c r="J161" s="424"/>
      <c r="K161" s="424"/>
      <c r="L161" s="424"/>
      <c r="M161" s="424"/>
      <c r="N161" s="424"/>
      <c r="O161" s="424"/>
      <c r="P161" s="424"/>
      <c r="Q161" s="424"/>
      <c r="R161" s="424"/>
      <c r="S161" s="424"/>
      <c r="T161" s="424"/>
      <c r="U161" s="424"/>
      <c r="V161" s="424"/>
      <c r="W161" s="424"/>
      <c r="X161" s="424"/>
      <c r="Y161" s="424"/>
      <c r="Z161" s="424"/>
      <c r="AA161" s="424"/>
      <c r="AB161" s="1100"/>
    </row>
    <row r="162" spans="1:28">
      <c r="A162" s="1101" t="s">
        <v>252</v>
      </c>
      <c r="B162" s="1102"/>
      <c r="C162" s="1102"/>
      <c r="D162" s="1103"/>
      <c r="E162" s="1104" t="s">
        <v>253</v>
      </c>
      <c r="F162" s="1102"/>
      <c r="G162" s="1102"/>
      <c r="H162" s="1103"/>
      <c r="I162" s="1104" t="s">
        <v>254</v>
      </c>
      <c r="J162" s="1102"/>
      <c r="K162" s="1102"/>
      <c r="L162" s="1103"/>
      <c r="M162" s="1104" t="s">
        <v>255</v>
      </c>
      <c r="N162" s="1102"/>
      <c r="O162" s="1102"/>
      <c r="P162" s="1103"/>
      <c r="Q162" s="1104" t="s">
        <v>238</v>
      </c>
      <c r="R162" s="1102"/>
      <c r="S162" s="1102"/>
      <c r="T162" s="1103"/>
      <c r="U162" s="1116"/>
      <c r="V162" s="1117"/>
      <c r="W162" s="1117"/>
      <c r="X162" s="1131"/>
      <c r="Y162" s="1116" t="s">
        <v>239</v>
      </c>
      <c r="Z162" s="1117"/>
      <c r="AA162" s="1117"/>
      <c r="AB162" s="1118"/>
    </row>
    <row r="163" spans="1:28">
      <c r="A163" s="1058" t="s">
        <v>240</v>
      </c>
      <c r="B163" s="1059"/>
      <c r="C163" s="1059"/>
      <c r="D163" s="1060"/>
      <c r="E163" s="1061" t="s">
        <v>256</v>
      </c>
      <c r="F163" s="1059"/>
      <c r="G163" s="1059"/>
      <c r="H163" s="1060"/>
      <c r="I163" s="1061" t="s">
        <v>240</v>
      </c>
      <c r="J163" s="1059"/>
      <c r="K163" s="1059"/>
      <c r="L163" s="1060"/>
      <c r="M163" s="1061" t="s">
        <v>257</v>
      </c>
      <c r="N163" s="1059"/>
      <c r="O163" s="1059"/>
      <c r="P163" s="1060"/>
      <c r="Q163" s="1061" t="s">
        <v>243</v>
      </c>
      <c r="R163" s="1059"/>
      <c r="S163" s="1059"/>
      <c r="T163" s="1060"/>
      <c r="U163" s="1119"/>
      <c r="V163" s="1120"/>
      <c r="W163" s="1120"/>
      <c r="X163" s="1132"/>
      <c r="Y163" s="1119"/>
      <c r="Z163" s="1120"/>
      <c r="AA163" s="1120"/>
      <c r="AB163" s="1121"/>
    </row>
    <row r="164" ht="15.75" spans="1:28">
      <c r="A164" s="1133">
        <v>1.9</v>
      </c>
      <c r="B164" s="1134"/>
      <c r="C164" s="1134"/>
      <c r="D164" s="1134"/>
      <c r="E164" s="1134">
        <v>0.4</v>
      </c>
      <c r="F164" s="1134"/>
      <c r="G164" s="1134"/>
      <c r="H164" s="1134"/>
      <c r="I164" s="1134">
        <v>1.95</v>
      </c>
      <c r="J164" s="1134"/>
      <c r="K164" s="1134"/>
      <c r="L164" s="1134"/>
      <c r="M164" s="1134">
        <v>6</v>
      </c>
      <c r="N164" s="1134"/>
      <c r="O164" s="1134"/>
      <c r="P164" s="1134"/>
      <c r="Q164" s="1134">
        <v>1.2</v>
      </c>
      <c r="R164" s="1134"/>
      <c r="S164" s="1134"/>
      <c r="T164" s="1134"/>
      <c r="U164" s="1135"/>
      <c r="V164" s="1135"/>
      <c r="W164" s="1135"/>
      <c r="X164" s="1135"/>
      <c r="Y164" s="1135">
        <f>($A164+$E164+$I164)*($M164)*$Q164</f>
        <v>30.6</v>
      </c>
      <c r="Z164" s="1135"/>
      <c r="AA164" s="1135"/>
      <c r="AB164" s="1136"/>
    </row>
    <row r="165" ht="17.25" spans="1:28">
      <c r="A165" s="1079" t="s">
        <v>264</v>
      </c>
      <c r="B165" s="1080"/>
      <c r="C165" s="1080"/>
      <c r="D165" s="1080"/>
      <c r="E165" s="1080"/>
      <c r="F165" s="1080"/>
      <c r="G165" s="1080"/>
      <c r="H165" s="1080"/>
      <c r="I165" s="1080"/>
      <c r="J165" s="1080"/>
      <c r="K165" s="1080"/>
      <c r="L165" s="1080"/>
      <c r="M165" s="1080"/>
      <c r="N165" s="1080"/>
      <c r="O165" s="1080"/>
      <c r="P165" s="1080"/>
      <c r="Q165" s="1080"/>
      <c r="R165" s="1080"/>
      <c r="S165" s="1080"/>
      <c r="T165" s="1080"/>
      <c r="U165" s="1080"/>
      <c r="V165" s="1080"/>
      <c r="W165" s="1080"/>
      <c r="X165" s="1080"/>
      <c r="Y165" s="1080"/>
      <c r="Z165" s="1080"/>
      <c r="AA165" s="1080"/>
      <c r="AB165" s="1081"/>
    </row>
    <row r="166" ht="15.75" spans="1:28">
      <c r="A166" s="1083"/>
      <c r="AB166" s="1044"/>
    </row>
    <row r="167" spans="1:28">
      <c r="A167" s="1083"/>
      <c r="K167" s="1084" t="s">
        <v>265</v>
      </c>
      <c r="L167" s="1085"/>
      <c r="M167" s="1085"/>
      <c r="N167" s="1085"/>
      <c r="O167" s="1085"/>
      <c r="P167" s="1085"/>
      <c r="Q167" s="1085"/>
      <c r="R167" s="1086"/>
      <c r="AB167" s="1044"/>
    </row>
    <row r="168" spans="1:28">
      <c r="A168" s="1083"/>
      <c r="K168" s="1087" t="s">
        <v>266</v>
      </c>
      <c r="L168" s="1088"/>
      <c r="M168" s="1088"/>
      <c r="N168" s="1088"/>
      <c r="O168" s="1088"/>
      <c r="P168" s="1088"/>
      <c r="Q168" s="1088"/>
      <c r="R168" s="1089"/>
      <c r="AB168" s="1044"/>
    </row>
    <row r="169" spans="1:28">
      <c r="A169" s="1083"/>
      <c r="K169" s="1090"/>
      <c r="L169" s="1091"/>
      <c r="M169" s="1091"/>
      <c r="N169" s="1091"/>
      <c r="O169" s="1091"/>
      <c r="P169" s="1091"/>
      <c r="Q169" s="1091"/>
      <c r="R169" s="1092"/>
      <c r="AB169" s="1044"/>
    </row>
    <row r="170" ht="15.75" spans="1:28">
      <c r="A170" s="1083"/>
      <c r="K170" s="1093">
        <f>ROUNDUP(($Y152+$Y158+$Y164),2)</f>
        <v>91.04</v>
      </c>
      <c r="L170" s="1094"/>
      <c r="M170" s="1094"/>
      <c r="N170" s="1094"/>
      <c r="O170" s="1094"/>
      <c r="P170" s="1094"/>
      <c r="Q170" s="1094"/>
      <c r="R170" s="1095"/>
      <c r="AB170" s="1044"/>
    </row>
    <row r="171" ht="15.75" spans="1:28">
      <c r="A171" s="1096"/>
      <c r="B171" s="389"/>
      <c r="C171" s="389"/>
      <c r="D171" s="389"/>
      <c r="E171" s="389"/>
      <c r="F171" s="389"/>
      <c r="G171" s="389"/>
      <c r="H171" s="389"/>
      <c r="I171" s="1097"/>
      <c r="J171" s="1097"/>
      <c r="K171" s="1097"/>
      <c r="L171" s="1097"/>
      <c r="M171" s="1097"/>
      <c r="N171" s="1097"/>
      <c r="O171" s="1097"/>
      <c r="P171" s="1097"/>
      <c r="Q171" s="389"/>
      <c r="R171" s="389"/>
      <c r="S171" s="389"/>
      <c r="T171" s="389"/>
      <c r="U171" s="389"/>
      <c r="V171" s="389"/>
      <c r="W171" s="389"/>
      <c r="X171" s="389"/>
      <c r="Y171" s="389"/>
      <c r="Z171" s="389"/>
      <c r="AA171" s="389"/>
      <c r="AB171" s="1098"/>
    </row>
    <row r="172" s="437" customFormat="1" spans="1:28">
      <c r="A172" s="1040" t="s">
        <v>267</v>
      </c>
      <c r="B172" s="1114"/>
      <c r="C172" s="1114"/>
      <c r="D172" s="1114"/>
      <c r="E172" s="1114"/>
      <c r="F172" s="1114"/>
      <c r="G172" s="1114"/>
      <c r="H172" s="1114"/>
      <c r="I172" s="1129"/>
      <c r="J172" s="1129"/>
      <c r="K172" s="1129"/>
      <c r="L172" s="1129"/>
      <c r="M172" s="1129"/>
      <c r="N172" s="1129"/>
      <c r="O172" s="1129"/>
      <c r="P172" s="1129"/>
      <c r="Q172" s="1114"/>
      <c r="R172" s="1114"/>
      <c r="S172" s="1114"/>
      <c r="T172" s="1114"/>
      <c r="U172" s="1114"/>
      <c r="V172" s="1114"/>
      <c r="W172" s="1114"/>
      <c r="X172" s="1114"/>
      <c r="Y172" s="1114"/>
      <c r="Z172" s="1114"/>
      <c r="AA172" s="1114"/>
      <c r="AB172" s="1115"/>
    </row>
    <row r="173" spans="1:28">
      <c r="A173" s="1083"/>
      <c r="I173" s="1130"/>
      <c r="J173" s="1130"/>
      <c r="K173" s="1130"/>
      <c r="L173" s="1130"/>
      <c r="M173" s="1130"/>
      <c r="N173" s="1130"/>
      <c r="O173" s="1130"/>
      <c r="P173" s="1130"/>
      <c r="AB173" s="1044"/>
    </row>
    <row r="174" spans="1:28">
      <c r="A174" s="1083"/>
      <c r="I174" s="1130"/>
      <c r="J174" s="1130"/>
      <c r="K174" s="1130"/>
      <c r="L174" s="1130"/>
      <c r="M174" s="1130"/>
      <c r="N174" s="1130"/>
      <c r="O174" s="1130"/>
      <c r="P174" s="1130"/>
      <c r="AB174" s="1044"/>
    </row>
    <row r="175" spans="1:28">
      <c r="A175" s="1083"/>
      <c r="I175" s="1130"/>
      <c r="J175" s="1130"/>
      <c r="K175" s="1130"/>
      <c r="L175" s="1130"/>
      <c r="M175" s="1130"/>
      <c r="N175" s="1130"/>
      <c r="O175" s="1130"/>
      <c r="P175" s="1130"/>
      <c r="AB175" s="1044"/>
    </row>
    <row r="176" spans="1:28">
      <c r="A176" s="1083"/>
      <c r="I176" s="1130"/>
      <c r="J176" s="1130"/>
      <c r="K176" s="1130"/>
      <c r="L176" s="1130"/>
      <c r="M176" s="1130"/>
      <c r="N176" s="1130"/>
      <c r="O176" s="1130"/>
      <c r="P176" s="1130"/>
      <c r="AB176" s="1044"/>
    </row>
    <row r="177" spans="1:28">
      <c r="A177" s="1083"/>
      <c r="I177" s="1130"/>
      <c r="J177" s="1130"/>
      <c r="K177" s="1130"/>
      <c r="L177" s="1130"/>
      <c r="M177" s="1130"/>
      <c r="N177" s="1130"/>
      <c r="O177" s="1130"/>
      <c r="P177" s="1130"/>
      <c r="AB177" s="1044"/>
    </row>
    <row r="178" spans="1:28">
      <c r="A178" s="1083"/>
      <c r="I178" s="1130"/>
      <c r="J178" s="1130"/>
      <c r="K178" s="1130"/>
      <c r="L178" s="1130"/>
      <c r="M178" s="1130"/>
      <c r="N178" s="1130"/>
      <c r="O178" s="1130"/>
      <c r="P178" s="1130"/>
      <c r="AB178" s="1044"/>
    </row>
    <row r="179" spans="1:28">
      <c r="A179" s="1083"/>
      <c r="I179" s="1130"/>
      <c r="J179" s="1130"/>
      <c r="K179" s="1130"/>
      <c r="L179" s="1130"/>
      <c r="M179" s="1130"/>
      <c r="N179" s="1130"/>
      <c r="O179" s="1130"/>
      <c r="P179" s="1130"/>
      <c r="AB179" s="1044"/>
    </row>
    <row r="180" spans="1:28">
      <c r="A180" s="1083"/>
      <c r="I180" s="1130"/>
      <c r="J180" s="1130"/>
      <c r="K180" s="1130"/>
      <c r="L180" s="1130"/>
      <c r="M180" s="1130"/>
      <c r="N180" s="1130"/>
      <c r="O180" s="1130"/>
      <c r="P180" s="1130"/>
      <c r="AB180" s="1044"/>
    </row>
    <row r="181" spans="1:28">
      <c r="A181" s="1083"/>
      <c r="I181" s="1130"/>
      <c r="J181" s="1130"/>
      <c r="K181" s="1130"/>
      <c r="L181" s="1130"/>
      <c r="M181" s="1130"/>
      <c r="N181" s="1130"/>
      <c r="O181" s="1130"/>
      <c r="P181" s="1130"/>
      <c r="AB181" s="1044"/>
    </row>
    <row r="182" spans="1:28">
      <c r="A182" s="1083"/>
      <c r="I182" s="1130"/>
      <c r="J182" s="1130"/>
      <c r="K182" s="1130"/>
      <c r="L182" s="1130"/>
      <c r="M182" s="1130"/>
      <c r="N182" s="1130"/>
      <c r="O182" s="1130"/>
      <c r="P182" s="1130"/>
      <c r="AB182" s="1044"/>
    </row>
    <row r="183" spans="1:28">
      <c r="A183" s="1083"/>
      <c r="I183" s="1130"/>
      <c r="J183" s="1130"/>
      <c r="K183" s="1130"/>
      <c r="L183" s="1130"/>
      <c r="M183" s="1130"/>
      <c r="N183" s="1130"/>
      <c r="O183" s="1130"/>
      <c r="P183" s="1130"/>
      <c r="AB183" s="1044"/>
    </row>
    <row r="184" spans="1:28">
      <c r="A184" s="1083"/>
      <c r="I184" s="1130"/>
      <c r="J184" s="1130"/>
      <c r="K184" s="1130"/>
      <c r="L184" s="1130"/>
      <c r="M184" s="1130"/>
      <c r="N184" s="1130"/>
      <c r="O184" s="1130"/>
      <c r="P184" s="1130"/>
      <c r="AB184" s="1044"/>
    </row>
    <row r="185" spans="1:28">
      <c r="A185" s="1083"/>
      <c r="I185" s="1130"/>
      <c r="J185" s="1130"/>
      <c r="K185" s="1130"/>
      <c r="L185" s="1130"/>
      <c r="M185" s="1130"/>
      <c r="N185" s="1130"/>
      <c r="O185" s="1130"/>
      <c r="P185" s="1130"/>
      <c r="AB185" s="1044"/>
    </row>
    <row r="186" spans="1:28">
      <c r="A186" s="1083"/>
      <c r="I186" s="1130"/>
      <c r="J186" s="1130"/>
      <c r="K186" s="1130"/>
      <c r="L186" s="1130"/>
      <c r="M186" s="1130"/>
      <c r="N186" s="1130"/>
      <c r="O186" s="1130"/>
      <c r="P186" s="1130"/>
      <c r="AB186" s="1044"/>
    </row>
    <row r="187" spans="1:28">
      <c r="A187" s="1083"/>
      <c r="I187" s="1130"/>
      <c r="J187" s="1130"/>
      <c r="K187" s="1130"/>
      <c r="L187" s="1130"/>
      <c r="M187" s="1130"/>
      <c r="N187" s="1130"/>
      <c r="O187" s="1130"/>
      <c r="P187" s="1130"/>
      <c r="AB187" s="1044"/>
    </row>
    <row r="188" spans="1:28">
      <c r="A188" s="1083"/>
      <c r="I188" s="1130"/>
      <c r="J188" s="1130"/>
      <c r="K188" s="1130"/>
      <c r="L188" s="1130"/>
      <c r="M188" s="1130"/>
      <c r="N188" s="1130"/>
      <c r="O188" s="1130"/>
      <c r="P188" s="1130"/>
      <c r="AB188" s="1044"/>
    </row>
    <row r="189" spans="1:28">
      <c r="A189" s="1083"/>
      <c r="I189" s="1130"/>
      <c r="J189" s="1130"/>
      <c r="K189" s="1130"/>
      <c r="L189" s="1130"/>
      <c r="M189" s="1130"/>
      <c r="N189" s="1130"/>
      <c r="O189" s="1130"/>
      <c r="P189" s="1130"/>
      <c r="AB189" s="1044"/>
    </row>
    <row r="190" spans="1:28">
      <c r="A190" s="1083"/>
      <c r="I190" s="1130"/>
      <c r="J190" s="1130"/>
      <c r="K190" s="1130"/>
      <c r="L190" s="1130"/>
      <c r="M190" s="1130"/>
      <c r="N190" s="1130"/>
      <c r="O190" s="1130"/>
      <c r="P190" s="1130"/>
      <c r="AB190" s="1044"/>
    </row>
    <row r="191" spans="1:28">
      <c r="A191" s="1083"/>
      <c r="I191" s="1130"/>
      <c r="J191" s="1130"/>
      <c r="K191" s="1130"/>
      <c r="L191" s="1130"/>
      <c r="M191" s="1130"/>
      <c r="N191" s="1130"/>
      <c r="O191" s="1130"/>
      <c r="P191" s="1130"/>
      <c r="AB191" s="1044"/>
    </row>
    <row r="192" spans="1:28">
      <c r="A192" s="1083"/>
      <c r="I192" s="1130"/>
      <c r="J192" s="1130"/>
      <c r="K192" s="1130"/>
      <c r="L192" s="1130"/>
      <c r="M192" s="1130"/>
      <c r="N192" s="1130"/>
      <c r="O192" s="1130"/>
      <c r="P192" s="1130"/>
      <c r="AB192" s="1044"/>
    </row>
    <row r="193" spans="1:28">
      <c r="A193" s="1083"/>
      <c r="I193" s="1130"/>
      <c r="J193" s="1130"/>
      <c r="K193" s="1130"/>
      <c r="L193" s="1130"/>
      <c r="M193" s="1130"/>
      <c r="N193" s="1130"/>
      <c r="O193" s="1130"/>
      <c r="P193" s="1130"/>
      <c r="AB193" s="1044"/>
    </row>
    <row r="194" spans="1:28">
      <c r="A194" s="1045" t="s">
        <v>268</v>
      </c>
      <c r="B194" s="1046"/>
      <c r="C194" s="1046"/>
      <c r="D194" s="1046"/>
      <c r="E194" s="1046"/>
      <c r="F194" s="1046"/>
      <c r="G194" s="1046"/>
      <c r="H194" s="1046"/>
      <c r="I194" s="1046"/>
      <c r="J194" s="1046"/>
      <c r="K194" s="1046"/>
      <c r="L194" s="1046"/>
      <c r="M194" s="1046"/>
      <c r="N194" s="1046"/>
      <c r="O194" s="1046"/>
      <c r="P194" s="1046"/>
      <c r="Q194" s="1046"/>
      <c r="R194" s="1046"/>
      <c r="S194" s="1046"/>
      <c r="T194" s="1046"/>
      <c r="U194" s="1046"/>
      <c r="V194" s="1046"/>
      <c r="W194" s="1046"/>
      <c r="X194" s="1046"/>
      <c r="Y194" s="1046"/>
      <c r="Z194" s="1046"/>
      <c r="AA194" s="1046"/>
      <c r="AB194" s="1047"/>
    </row>
    <row r="195" ht="14.4" customHeight="1" spans="1:28">
      <c r="A195" s="1048" t="s">
        <v>269</v>
      </c>
      <c r="B195" s="1049"/>
      <c r="C195" s="1049"/>
      <c r="D195" s="1050"/>
      <c r="E195" s="1051" t="s">
        <v>270</v>
      </c>
      <c r="F195" s="1049"/>
      <c r="G195" s="1049"/>
      <c r="H195" s="1050"/>
      <c r="I195" s="1104" t="s">
        <v>271</v>
      </c>
      <c r="J195" s="1102"/>
      <c r="K195" s="1102"/>
      <c r="L195" s="1103"/>
      <c r="M195" s="1104" t="s">
        <v>272</v>
      </c>
      <c r="N195" s="1102"/>
      <c r="O195" s="1102"/>
      <c r="P195" s="1103"/>
      <c r="Q195" s="1104" t="s">
        <v>273</v>
      </c>
      <c r="R195" s="1102"/>
      <c r="S195" s="1102"/>
      <c r="T195" s="1103"/>
      <c r="U195" s="1104" t="s">
        <v>274</v>
      </c>
      <c r="V195" s="1102"/>
      <c r="W195" s="1102"/>
      <c r="X195" s="1103"/>
      <c r="Y195" s="1104" t="s">
        <v>274</v>
      </c>
      <c r="Z195" s="1102"/>
      <c r="AA195" s="1102"/>
      <c r="AB195" s="1106"/>
    </row>
    <row r="196" spans="1:28">
      <c r="A196" s="1058"/>
      <c r="B196" s="1059"/>
      <c r="C196" s="1059"/>
      <c r="D196" s="1060"/>
      <c r="E196" s="1061"/>
      <c r="F196" s="1059"/>
      <c r="G196" s="1059"/>
      <c r="H196" s="1060"/>
      <c r="I196" s="1061" t="s">
        <v>275</v>
      </c>
      <c r="J196" s="1059"/>
      <c r="K196" s="1059"/>
      <c r="L196" s="1060"/>
      <c r="M196" s="1061" t="s">
        <v>276</v>
      </c>
      <c r="N196" s="1059"/>
      <c r="O196" s="1059"/>
      <c r="P196" s="1060"/>
      <c r="Q196" s="1061" t="s">
        <v>277</v>
      </c>
      <c r="R196" s="1059"/>
      <c r="S196" s="1059"/>
      <c r="T196" s="1060"/>
      <c r="U196" s="1061" t="s">
        <v>277</v>
      </c>
      <c r="V196" s="1059"/>
      <c r="W196" s="1059"/>
      <c r="X196" s="1060"/>
      <c r="Y196" s="1061" t="s">
        <v>278</v>
      </c>
      <c r="Z196" s="1059"/>
      <c r="AA196" s="1059"/>
      <c r="AB196" s="1108"/>
    </row>
    <row r="197" ht="15.75" spans="1:28">
      <c r="A197" s="1133" t="s">
        <v>279</v>
      </c>
      <c r="B197" s="1134"/>
      <c r="C197" s="1134"/>
      <c r="D197" s="1134"/>
      <c r="E197" s="1137">
        <v>3</v>
      </c>
      <c r="F197" s="1137"/>
      <c r="G197" s="1137"/>
      <c r="H197" s="1137"/>
      <c r="I197" s="1138">
        <v>20</v>
      </c>
      <c r="J197" s="1138"/>
      <c r="K197" s="1138"/>
      <c r="L197" s="1138"/>
      <c r="M197" s="1138">
        <v>330</v>
      </c>
      <c r="N197" s="1138"/>
      <c r="O197" s="1138"/>
      <c r="P197" s="1138"/>
      <c r="Q197" s="1138">
        <v>10</v>
      </c>
      <c r="R197" s="1138"/>
      <c r="S197" s="1138"/>
      <c r="T197" s="1138"/>
      <c r="U197" s="1138">
        <f>M197*Q197</f>
        <v>3300</v>
      </c>
      <c r="V197" s="1138"/>
      <c r="W197" s="1138"/>
      <c r="X197" s="1138"/>
      <c r="Y197" s="1138">
        <f>U197/100</f>
        <v>33</v>
      </c>
      <c r="Z197" s="1138"/>
      <c r="AA197" s="1138"/>
      <c r="AB197" s="1139"/>
    </row>
    <row r="198" ht="15.75" spans="1:28">
      <c r="A198" s="1083"/>
      <c r="AB198" s="1044"/>
    </row>
    <row r="199" spans="1:28">
      <c r="A199" s="1083"/>
      <c r="K199" s="1084" t="s">
        <v>280</v>
      </c>
      <c r="L199" s="1085"/>
      <c r="M199" s="1085"/>
      <c r="N199" s="1085"/>
      <c r="O199" s="1085"/>
      <c r="P199" s="1085"/>
      <c r="Q199" s="1085"/>
      <c r="R199" s="1086"/>
      <c r="AB199" s="1044"/>
    </row>
    <row r="200" spans="1:28">
      <c r="A200" s="1083"/>
      <c r="K200" s="1087" t="s">
        <v>281</v>
      </c>
      <c r="L200" s="1088"/>
      <c r="M200" s="1088"/>
      <c r="N200" s="1088"/>
      <c r="O200" s="1088"/>
      <c r="P200" s="1088"/>
      <c r="Q200" s="1088"/>
      <c r="R200" s="1089"/>
      <c r="AB200" s="1044"/>
    </row>
    <row r="201" spans="1:28">
      <c r="A201" s="1083"/>
      <c r="K201" s="1090"/>
      <c r="L201" s="1091"/>
      <c r="M201" s="1091"/>
      <c r="N201" s="1091"/>
      <c r="O201" s="1091"/>
      <c r="P201" s="1091"/>
      <c r="Q201" s="1091"/>
      <c r="R201" s="1092"/>
      <c r="AB201" s="1044"/>
    </row>
    <row r="202" ht="15.75" spans="1:28">
      <c r="A202" s="1083"/>
      <c r="K202" s="1093">
        <f>ROUNDUP(Y197*2.466,1)</f>
        <v>81.4</v>
      </c>
      <c r="L202" s="1094"/>
      <c r="M202" s="1094"/>
      <c r="N202" s="1094"/>
      <c r="O202" s="1094"/>
      <c r="P202" s="1094"/>
      <c r="Q202" s="1094"/>
      <c r="R202" s="1095"/>
      <c r="AB202" s="1044"/>
    </row>
    <row r="203" ht="15.75" spans="1:28">
      <c r="A203" s="1096"/>
      <c r="B203" s="389"/>
      <c r="C203" s="389"/>
      <c r="D203" s="389"/>
      <c r="E203" s="389"/>
      <c r="F203" s="389"/>
      <c r="G203" s="389"/>
      <c r="H203" s="389"/>
      <c r="I203" s="1097"/>
      <c r="J203" s="1097"/>
      <c r="K203" s="1097"/>
      <c r="L203" s="1097"/>
      <c r="M203" s="1097"/>
      <c r="N203" s="1097"/>
      <c r="O203" s="1097"/>
      <c r="P203" s="1097"/>
      <c r="Q203" s="389"/>
      <c r="R203" s="389"/>
      <c r="S203" s="389"/>
      <c r="T203" s="389"/>
      <c r="U203" s="389"/>
      <c r="V203" s="389"/>
      <c r="W203" s="389"/>
      <c r="X203" s="389"/>
      <c r="Y203" s="389"/>
      <c r="Z203" s="389"/>
      <c r="AA203" s="389"/>
      <c r="AB203" s="1098"/>
    </row>
    <row r="204" s="437" customFormat="1" spans="1:28">
      <c r="A204" s="1043" t="s">
        <v>282</v>
      </c>
      <c r="I204" s="1140"/>
      <c r="J204" s="1140"/>
      <c r="K204" s="1140"/>
      <c r="L204" s="1140"/>
      <c r="M204" s="1140"/>
      <c r="N204" s="1140"/>
      <c r="O204" s="1140"/>
      <c r="P204" s="1140"/>
      <c r="AB204" s="1141"/>
    </row>
    <row r="205" spans="1:28">
      <c r="A205" s="1083"/>
      <c r="I205" s="1130"/>
      <c r="J205" s="1130"/>
      <c r="K205" s="1130"/>
      <c r="L205" s="1130"/>
      <c r="M205" s="1130"/>
      <c r="N205" s="1130"/>
      <c r="O205" s="1130"/>
      <c r="P205" s="1130"/>
      <c r="AB205" s="1044"/>
    </row>
    <row r="206" spans="1:28">
      <c r="A206" s="1045" t="s">
        <v>268</v>
      </c>
      <c r="B206" s="1046"/>
      <c r="C206" s="1046"/>
      <c r="D206" s="1046"/>
      <c r="E206" s="1046"/>
      <c r="F206" s="1046"/>
      <c r="G206" s="1046"/>
      <c r="H206" s="1046"/>
      <c r="I206" s="1046"/>
      <c r="J206" s="1046"/>
      <c r="K206" s="1046"/>
      <c r="L206" s="1046"/>
      <c r="M206" s="1046"/>
      <c r="N206" s="1046"/>
      <c r="O206" s="1046"/>
      <c r="P206" s="1046"/>
      <c r="Q206" s="1046"/>
      <c r="R206" s="1046"/>
      <c r="S206" s="1046"/>
      <c r="T206" s="1046"/>
      <c r="U206" s="1046"/>
      <c r="V206" s="1046"/>
      <c r="W206" s="1046"/>
      <c r="X206" s="1046"/>
      <c r="Y206" s="1046"/>
      <c r="Z206" s="1046"/>
      <c r="AA206" s="1046"/>
      <c r="AB206" s="1047"/>
    </row>
    <row r="207" ht="14.4" customHeight="1" spans="1:28">
      <c r="A207" s="1083"/>
      <c r="I207" s="1104" t="s">
        <v>272</v>
      </c>
      <c r="J207" s="1102"/>
      <c r="K207" s="1102"/>
      <c r="L207" s="1103"/>
      <c r="M207" s="1104" t="s">
        <v>273</v>
      </c>
      <c r="N207" s="1102"/>
      <c r="O207" s="1102"/>
      <c r="P207" s="1103"/>
      <c r="Q207" s="1104" t="s">
        <v>274</v>
      </c>
      <c r="R207" s="1102"/>
      <c r="S207" s="1102"/>
      <c r="T207" s="1103"/>
      <c r="AB207" s="1044"/>
    </row>
    <row r="208" ht="14.4" customHeight="1" spans="1:28">
      <c r="A208" s="1083"/>
      <c r="I208" s="1061" t="s">
        <v>276</v>
      </c>
      <c r="J208" s="1059"/>
      <c r="K208" s="1059"/>
      <c r="L208" s="1060"/>
      <c r="M208" s="1061" t="s">
        <v>277</v>
      </c>
      <c r="N208" s="1059"/>
      <c r="O208" s="1059"/>
      <c r="P208" s="1060"/>
      <c r="Q208" s="1061" t="s">
        <v>277</v>
      </c>
      <c r="R208" s="1059"/>
      <c r="S208" s="1059"/>
      <c r="T208" s="1060"/>
      <c r="AB208" s="1044"/>
    </row>
    <row r="209" ht="15.75" spans="1:28">
      <c r="A209" s="1083"/>
      <c r="I209" s="1138">
        <v>15</v>
      </c>
      <c r="J209" s="1138"/>
      <c r="K209" s="1138"/>
      <c r="L209" s="1138"/>
      <c r="M209" s="1138">
        <v>800</v>
      </c>
      <c r="N209" s="1138"/>
      <c r="O209" s="1138"/>
      <c r="P209" s="1138"/>
      <c r="Q209" s="1142">
        <f>I209*M209</f>
        <v>12000</v>
      </c>
      <c r="R209" s="1142"/>
      <c r="S209" s="1142"/>
      <c r="T209" s="1142"/>
      <c r="AB209" s="1044"/>
    </row>
    <row r="210" ht="15.75" spans="1:28">
      <c r="A210" s="1083"/>
      <c r="AB210" s="1044"/>
    </row>
    <row r="211" spans="1:28">
      <c r="A211" s="1083"/>
      <c r="K211" s="1084" t="s">
        <v>283</v>
      </c>
      <c r="L211" s="1085"/>
      <c r="M211" s="1085"/>
      <c r="N211" s="1085"/>
      <c r="O211" s="1085"/>
      <c r="P211" s="1085"/>
      <c r="Q211" s="1085"/>
      <c r="R211" s="1086"/>
      <c r="AB211" s="1044"/>
    </row>
    <row r="212" spans="1:28">
      <c r="A212" s="1083"/>
      <c r="K212" s="1087" t="s">
        <v>284</v>
      </c>
      <c r="L212" s="1088"/>
      <c r="M212" s="1088"/>
      <c r="N212" s="1088"/>
      <c r="O212" s="1088"/>
      <c r="P212" s="1088"/>
      <c r="Q212" s="1088"/>
      <c r="R212" s="1089"/>
      <c r="AB212" s="1044"/>
    </row>
    <row r="213" spans="1:28">
      <c r="A213" s="1083"/>
      <c r="K213" s="1090"/>
      <c r="L213" s="1091"/>
      <c r="M213" s="1091"/>
      <c r="N213" s="1091"/>
      <c r="O213" s="1091"/>
      <c r="P213" s="1091"/>
      <c r="Q213" s="1091"/>
      <c r="R213" s="1092"/>
      <c r="AB213" s="1044"/>
    </row>
    <row r="214" ht="15.75" spans="1:28">
      <c r="A214" s="1083"/>
      <c r="K214" s="1093">
        <f>Q209/100</f>
        <v>120</v>
      </c>
      <c r="L214" s="1094"/>
      <c r="M214" s="1094"/>
      <c r="N214" s="1094"/>
      <c r="O214" s="1094"/>
      <c r="P214" s="1094"/>
      <c r="Q214" s="1094"/>
      <c r="R214" s="1095"/>
      <c r="AB214" s="1044"/>
    </row>
    <row r="215" ht="15.75" spans="1:28">
      <c r="A215" s="1096"/>
      <c r="B215" s="389"/>
      <c r="C215" s="389"/>
      <c r="D215" s="389"/>
      <c r="E215" s="389"/>
      <c r="F215" s="389"/>
      <c r="G215" s="389"/>
      <c r="H215" s="389"/>
      <c r="I215" s="1097"/>
      <c r="J215" s="1097"/>
      <c r="K215" s="1097"/>
      <c r="L215" s="1097"/>
      <c r="M215" s="1097"/>
      <c r="N215" s="1097"/>
      <c r="O215" s="1097"/>
      <c r="P215" s="1097"/>
      <c r="Q215" s="389"/>
      <c r="R215" s="389"/>
      <c r="S215" s="389"/>
      <c r="T215" s="389"/>
      <c r="U215" s="389"/>
      <c r="V215" s="389"/>
      <c r="W215" s="389"/>
      <c r="X215" s="389"/>
      <c r="Y215" s="389"/>
      <c r="Z215" s="389"/>
      <c r="AA215" s="389"/>
      <c r="AB215" s="1098"/>
    </row>
    <row r="216" s="437" customFormat="1" spans="1:28">
      <c r="A216" s="1043" t="s">
        <v>285</v>
      </c>
      <c r="I216" s="1140"/>
      <c r="J216" s="1140"/>
      <c r="K216" s="1140"/>
      <c r="L216" s="1140"/>
      <c r="M216" s="1140"/>
      <c r="N216" s="1140"/>
      <c r="O216" s="1140"/>
      <c r="P216" s="1140"/>
      <c r="AB216" s="1141"/>
    </row>
    <row r="217" spans="1:28">
      <c r="A217" s="1083"/>
      <c r="I217" s="1130"/>
      <c r="J217" s="1130"/>
      <c r="K217" s="1130"/>
      <c r="L217" s="1130"/>
      <c r="M217" s="1130"/>
      <c r="N217" s="1130"/>
      <c r="O217" s="1130"/>
      <c r="P217" s="1130"/>
      <c r="AB217" s="1044"/>
    </row>
    <row r="218" spans="1:28">
      <c r="A218" s="1045" t="s">
        <v>268</v>
      </c>
      <c r="B218" s="1046"/>
      <c r="C218" s="1046"/>
      <c r="D218" s="1046"/>
      <c r="E218" s="1046"/>
      <c r="F218" s="1046"/>
      <c r="G218" s="1046"/>
      <c r="H218" s="1046"/>
      <c r="I218" s="1046"/>
      <c r="J218" s="1046"/>
      <c r="K218" s="1046"/>
      <c r="L218" s="1046"/>
      <c r="M218" s="1046"/>
      <c r="N218" s="1046"/>
      <c r="O218" s="1046"/>
      <c r="P218" s="1046"/>
      <c r="Q218" s="1046"/>
      <c r="R218" s="1046"/>
      <c r="S218" s="1046"/>
      <c r="T218" s="1046"/>
      <c r="U218" s="1046"/>
      <c r="V218" s="1046"/>
      <c r="W218" s="1046"/>
      <c r="X218" s="1046"/>
      <c r="Y218" s="1046"/>
      <c r="Z218" s="1046"/>
      <c r="AA218" s="1046"/>
      <c r="AB218" s="1047"/>
    </row>
    <row r="219" ht="14.4" customHeight="1" spans="1:28">
      <c r="A219" s="1083"/>
      <c r="I219" s="1104" t="s">
        <v>286</v>
      </c>
      <c r="J219" s="1102"/>
      <c r="K219" s="1102"/>
      <c r="L219" s="1103"/>
      <c r="M219" s="1104" t="s">
        <v>287</v>
      </c>
      <c r="N219" s="1102"/>
      <c r="O219" s="1102"/>
      <c r="P219" s="1103"/>
      <c r="Q219" s="1104" t="s">
        <v>288</v>
      </c>
      <c r="R219" s="1102"/>
      <c r="S219" s="1102"/>
      <c r="T219" s="1103"/>
      <c r="AB219" s="1044"/>
    </row>
    <row r="220" ht="14.4" customHeight="1" spans="1:28">
      <c r="A220" s="1083"/>
      <c r="I220" s="1061" t="s">
        <v>289</v>
      </c>
      <c r="J220" s="1059"/>
      <c r="K220" s="1059"/>
      <c r="L220" s="1060"/>
      <c r="M220" s="1061" t="s">
        <v>290</v>
      </c>
      <c r="N220" s="1059"/>
      <c r="O220" s="1059"/>
      <c r="P220" s="1060"/>
      <c r="Q220" s="1061" t="s">
        <v>291</v>
      </c>
      <c r="R220" s="1059"/>
      <c r="S220" s="1059"/>
      <c r="T220" s="1060"/>
      <c r="AB220" s="1044"/>
    </row>
    <row r="221" ht="15.75" spans="1:28">
      <c r="A221" s="1083"/>
      <c r="I221" s="1138">
        <f>Orçamento!AH29</f>
        <v>57.6</v>
      </c>
      <c r="J221" s="1138"/>
      <c r="K221" s="1138"/>
      <c r="L221" s="1138"/>
      <c r="M221" s="1138">
        <v>1</v>
      </c>
      <c r="N221" s="1138"/>
      <c r="O221" s="1138"/>
      <c r="P221" s="1138"/>
      <c r="Q221" s="1138">
        <f>I221/M221</f>
        <v>57.6</v>
      </c>
      <c r="R221" s="1138"/>
      <c r="S221" s="1138"/>
      <c r="T221" s="1138"/>
      <c r="AB221" s="1044"/>
    </row>
    <row r="222" ht="15.75" spans="1:28">
      <c r="A222" s="1083"/>
      <c r="AB222" s="1044"/>
    </row>
    <row r="223" spans="1:28">
      <c r="A223" s="1083"/>
      <c r="K223" s="1084" t="s">
        <v>292</v>
      </c>
      <c r="L223" s="1085"/>
      <c r="M223" s="1085"/>
      <c r="N223" s="1085"/>
      <c r="O223" s="1085"/>
      <c r="P223" s="1085"/>
      <c r="Q223" s="1085"/>
      <c r="R223" s="1086"/>
      <c r="AB223" s="1044"/>
    </row>
    <row r="224" spans="1:28">
      <c r="A224" s="1083"/>
      <c r="K224" s="1087" t="s">
        <v>293</v>
      </c>
      <c r="L224" s="1088"/>
      <c r="M224" s="1088"/>
      <c r="N224" s="1088"/>
      <c r="O224" s="1088"/>
      <c r="P224" s="1088"/>
      <c r="Q224" s="1088"/>
      <c r="R224" s="1089"/>
      <c r="AB224" s="1044"/>
    </row>
    <row r="225" spans="1:28">
      <c r="A225" s="1083"/>
      <c r="K225" s="1090"/>
      <c r="L225" s="1091"/>
      <c r="M225" s="1091"/>
      <c r="N225" s="1091"/>
      <c r="O225" s="1091"/>
      <c r="P225" s="1091"/>
      <c r="Q225" s="1091"/>
      <c r="R225" s="1092"/>
      <c r="AB225" s="1044"/>
    </row>
    <row r="226" ht="15.75" spans="1:28">
      <c r="A226" s="1083"/>
      <c r="K226" s="1093">
        <f>ROUNDUP(Q221,-1)</f>
        <v>60</v>
      </c>
      <c r="L226" s="1094"/>
      <c r="M226" s="1094"/>
      <c r="N226" s="1094"/>
      <c r="O226" s="1094"/>
      <c r="P226" s="1094"/>
      <c r="Q226" s="1094"/>
      <c r="R226" s="1095"/>
      <c r="AB226" s="1044"/>
    </row>
    <row r="227" ht="15.75" spans="1:28">
      <c r="A227" s="1096"/>
      <c r="B227" s="389"/>
      <c r="C227" s="389"/>
      <c r="D227" s="389"/>
      <c r="E227" s="389"/>
      <c r="F227" s="389"/>
      <c r="G227" s="389"/>
      <c r="H227" s="389"/>
      <c r="I227" s="1097"/>
      <c r="J227" s="1097"/>
      <c r="K227" s="1097"/>
      <c r="L227" s="1097"/>
      <c r="M227" s="1097"/>
      <c r="N227" s="1097"/>
      <c r="O227" s="1097"/>
      <c r="P227" s="1097"/>
      <c r="Q227" s="389"/>
      <c r="R227" s="389"/>
      <c r="S227" s="389"/>
      <c r="T227" s="389"/>
      <c r="U227" s="389"/>
      <c r="V227" s="389"/>
      <c r="W227" s="389"/>
      <c r="X227" s="389"/>
      <c r="Y227" s="389"/>
      <c r="Z227" s="389"/>
      <c r="AA227" s="389"/>
      <c r="AB227" s="1098"/>
    </row>
    <row r="228" s="437" customFormat="1" spans="1:28">
      <c r="A228" s="1040" t="s">
        <v>294</v>
      </c>
      <c r="B228" s="1114"/>
      <c r="C228" s="1114"/>
      <c r="D228" s="1114"/>
      <c r="E228" s="1114"/>
      <c r="F228" s="1114"/>
      <c r="G228" s="1114"/>
      <c r="H228" s="1114"/>
      <c r="I228" s="1114"/>
      <c r="J228" s="1114"/>
      <c r="K228" s="1114"/>
      <c r="L228" s="1114"/>
      <c r="M228" s="1114"/>
      <c r="N228" s="1114"/>
      <c r="O228" s="1114"/>
      <c r="P228" s="1114"/>
      <c r="Q228" s="1114"/>
      <c r="R228" s="1114"/>
      <c r="S228" s="1114"/>
      <c r="T228" s="1114"/>
      <c r="U228" s="1114"/>
      <c r="V228" s="1114"/>
      <c r="W228" s="1114"/>
      <c r="X228" s="1114"/>
      <c r="Y228" s="1114"/>
      <c r="Z228" s="1114"/>
      <c r="AA228" s="1114"/>
      <c r="AB228" s="1115"/>
    </row>
    <row r="229" spans="1:28">
      <c r="A229" s="1083"/>
      <c r="AB229" s="1044"/>
    </row>
    <row r="230" spans="1:28">
      <c r="A230" s="1083"/>
      <c r="AB230" s="1044"/>
    </row>
    <row r="231" spans="1:28">
      <c r="A231" s="1083"/>
      <c r="AB231" s="1044"/>
    </row>
    <row r="232" spans="1:28">
      <c r="A232" s="1083"/>
      <c r="AB232" s="1044"/>
    </row>
    <row r="233" spans="1:28">
      <c r="A233" s="1083"/>
      <c r="AB233" s="1044"/>
    </row>
    <row r="234" spans="1:28">
      <c r="A234" s="1083"/>
      <c r="AB234" s="1044"/>
    </row>
    <row r="235" spans="1:28">
      <c r="A235" s="1083"/>
      <c r="AB235" s="1044"/>
    </row>
    <row r="236" spans="1:28">
      <c r="A236" s="1083"/>
      <c r="AB236" s="1044"/>
    </row>
    <row r="237" spans="1:28">
      <c r="A237" s="1083"/>
      <c r="AB237" s="1044"/>
    </row>
    <row r="238" spans="1:28">
      <c r="A238" s="1083"/>
      <c r="AB238" s="1044"/>
    </row>
    <row r="239" spans="1:28">
      <c r="A239" s="1083"/>
      <c r="AB239" s="1044"/>
    </row>
    <row r="240" spans="1:28">
      <c r="A240" s="1083"/>
      <c r="AB240" s="1044"/>
    </row>
    <row r="241" spans="1:28">
      <c r="A241" s="1083"/>
      <c r="AB241" s="1044"/>
    </row>
    <row r="242" spans="1:28">
      <c r="A242" s="1083"/>
      <c r="AB242" s="1044"/>
    </row>
    <row r="243" spans="1:28">
      <c r="A243" s="1083"/>
      <c r="AB243" s="1044"/>
    </row>
    <row r="244" spans="1:28">
      <c r="A244" s="1083"/>
      <c r="AB244" s="1044"/>
    </row>
    <row r="245" spans="1:28">
      <c r="A245" s="1083"/>
      <c r="AB245" s="1044"/>
    </row>
    <row r="246" spans="1:28">
      <c r="A246" s="1083"/>
      <c r="AB246" s="1044"/>
    </row>
    <row r="247" spans="1:28">
      <c r="A247" s="1083"/>
      <c r="AB247" s="1044"/>
    </row>
    <row r="248" spans="1:28">
      <c r="A248" s="1083"/>
      <c r="AB248" s="1044"/>
    </row>
    <row r="249" spans="1:28">
      <c r="A249" s="1083"/>
      <c r="AB249" s="1044"/>
    </row>
    <row r="250" spans="1:28">
      <c r="A250" s="1083"/>
      <c r="AB250" s="1044"/>
    </row>
    <row r="251" spans="1:28">
      <c r="A251" s="1083"/>
      <c r="AB251" s="1044"/>
    </row>
    <row r="252" spans="1:28">
      <c r="A252" s="1083"/>
      <c r="AB252" s="1044"/>
    </row>
    <row r="253" spans="1:28">
      <c r="A253" s="1083"/>
      <c r="AB253" s="1044"/>
    </row>
    <row r="254" spans="1:28">
      <c r="A254" s="1045" t="s">
        <v>295</v>
      </c>
      <c r="B254" s="1046"/>
      <c r="C254" s="1046"/>
      <c r="D254" s="1046"/>
      <c r="E254" s="1046"/>
      <c r="F254" s="1046"/>
      <c r="G254" s="1046"/>
      <c r="H254" s="1046"/>
      <c r="I254" s="1046"/>
      <c r="J254" s="1046"/>
      <c r="K254" s="1046"/>
      <c r="L254" s="1046"/>
      <c r="M254" s="1046"/>
      <c r="N254" s="1046"/>
      <c r="O254" s="1046"/>
      <c r="P254" s="1046"/>
      <c r="Q254" s="1046"/>
      <c r="R254" s="1046"/>
      <c r="S254" s="1046"/>
      <c r="T254" s="1046"/>
      <c r="U254" s="1046"/>
      <c r="V254" s="1046"/>
      <c r="W254" s="1046"/>
      <c r="X254" s="1046"/>
      <c r="Y254" s="1046"/>
      <c r="Z254" s="1046"/>
      <c r="AA254" s="1046"/>
      <c r="AB254" s="1047"/>
    </row>
    <row r="255" customHeight="1" spans="1:28">
      <c r="A255" s="1101" t="s">
        <v>205</v>
      </c>
      <c r="B255" s="1102"/>
      <c r="C255" s="1102"/>
      <c r="D255" s="1103"/>
      <c r="E255" s="1104" t="s">
        <v>206</v>
      </c>
      <c r="F255" s="1102"/>
      <c r="G255" s="1102"/>
      <c r="H255" s="1103"/>
      <c r="I255" s="1104" t="s">
        <v>235</v>
      </c>
      <c r="J255" s="1102"/>
      <c r="K255" s="1102"/>
      <c r="L255" s="1103"/>
      <c r="M255" s="1104" t="s">
        <v>236</v>
      </c>
      <c r="N255" s="1102"/>
      <c r="O255" s="1102"/>
      <c r="P255" s="1103"/>
      <c r="Q255" s="1104" t="s">
        <v>237</v>
      </c>
      <c r="R255" s="1102"/>
      <c r="S255" s="1102"/>
      <c r="T255" s="1103"/>
      <c r="U255" s="1104" t="s">
        <v>238</v>
      </c>
      <c r="V255" s="1102"/>
      <c r="W255" s="1102"/>
      <c r="X255" s="1103"/>
      <c r="Y255" s="1116" t="s">
        <v>239</v>
      </c>
      <c r="Z255" s="1117"/>
      <c r="AA255" s="1117"/>
      <c r="AB255" s="1118"/>
    </row>
    <row r="256" customHeight="1" spans="1:28">
      <c r="A256" s="1058" t="s">
        <v>240</v>
      </c>
      <c r="B256" s="1059"/>
      <c r="C256" s="1059"/>
      <c r="D256" s="1060"/>
      <c r="E256" s="1061" t="s">
        <v>241</v>
      </c>
      <c r="F256" s="1059"/>
      <c r="G256" s="1059"/>
      <c r="H256" s="1060"/>
      <c r="I256" s="1061" t="s">
        <v>240</v>
      </c>
      <c r="J256" s="1059"/>
      <c r="K256" s="1059"/>
      <c r="L256" s="1060"/>
      <c r="M256" s="1061" t="s">
        <v>242</v>
      </c>
      <c r="N256" s="1059"/>
      <c r="O256" s="1059"/>
      <c r="P256" s="1060"/>
      <c r="Q256" s="1061" t="s">
        <v>240</v>
      </c>
      <c r="R256" s="1059"/>
      <c r="S256" s="1059"/>
      <c r="T256" s="1060"/>
      <c r="U256" s="1061" t="s">
        <v>243</v>
      </c>
      <c r="V256" s="1059"/>
      <c r="W256" s="1059"/>
      <c r="X256" s="1060"/>
      <c r="Y256" s="1119"/>
      <c r="Z256" s="1120"/>
      <c r="AA256" s="1120"/>
      <c r="AB256" s="1121"/>
    </row>
    <row r="257" ht="15.75" spans="1:28">
      <c r="A257" s="1122">
        <v>1</v>
      </c>
      <c r="B257" s="1073"/>
      <c r="C257" s="1073"/>
      <c r="D257" s="1073"/>
      <c r="E257" s="1073">
        <v>0.4</v>
      </c>
      <c r="F257" s="1073"/>
      <c r="G257" s="1073"/>
      <c r="H257" s="1073"/>
      <c r="I257" s="1073">
        <v>1</v>
      </c>
      <c r="J257" s="1073"/>
      <c r="K257" s="1073"/>
      <c r="L257" s="1073"/>
      <c r="M257" s="1073">
        <v>4</v>
      </c>
      <c r="N257" s="1073"/>
      <c r="O257" s="1073"/>
      <c r="P257" s="1073"/>
      <c r="Q257" s="1123">
        <f>(A257+I257)/2</f>
        <v>1</v>
      </c>
      <c r="R257" s="1123"/>
      <c r="S257" s="1123"/>
      <c r="T257" s="1123"/>
      <c r="U257" s="1073">
        <v>1.5</v>
      </c>
      <c r="V257" s="1073"/>
      <c r="W257" s="1073"/>
      <c r="X257" s="1073"/>
      <c r="Y257" s="1123">
        <f>($A257+$E257+$I257)*($M257+$Q257)*$U257</f>
        <v>18</v>
      </c>
      <c r="Z257" s="1123"/>
      <c r="AA257" s="1123"/>
      <c r="AB257" s="1124"/>
    </row>
    <row r="258" ht="17.25" spans="1:28">
      <c r="A258" s="1079" t="s">
        <v>244</v>
      </c>
      <c r="B258" s="1080"/>
      <c r="C258" s="1080"/>
      <c r="D258" s="1080"/>
      <c r="E258" s="1080"/>
      <c r="F258" s="1080"/>
      <c r="G258" s="1080"/>
      <c r="H258" s="1080"/>
      <c r="I258" s="1080"/>
      <c r="J258" s="1080"/>
      <c r="K258" s="1080"/>
      <c r="L258" s="1080"/>
      <c r="M258" s="1080"/>
      <c r="N258" s="1080"/>
      <c r="O258" s="1080"/>
      <c r="P258" s="1080"/>
      <c r="Q258" s="1080"/>
      <c r="R258" s="1080"/>
      <c r="S258" s="1080"/>
      <c r="T258" s="1080"/>
      <c r="U258" s="1080"/>
      <c r="V258" s="1080"/>
      <c r="W258" s="1080"/>
      <c r="X258" s="1080"/>
      <c r="Y258" s="1080"/>
      <c r="Z258" s="1080"/>
      <c r="AA258" s="1080"/>
      <c r="AB258" s="1081"/>
    </row>
    <row r="259" spans="1:28">
      <c r="A259" s="1083"/>
      <c r="AB259" s="1044"/>
    </row>
    <row r="260" spans="1:28">
      <c r="A260" s="1045" t="s">
        <v>296</v>
      </c>
      <c r="B260" s="1046"/>
      <c r="C260" s="1046"/>
      <c r="D260" s="1046"/>
      <c r="E260" s="1046"/>
      <c r="F260" s="1046"/>
      <c r="G260" s="1046"/>
      <c r="H260" s="1046"/>
      <c r="I260" s="1046"/>
      <c r="J260" s="1046"/>
      <c r="K260" s="1046"/>
      <c r="L260" s="1046"/>
      <c r="M260" s="1046"/>
      <c r="N260" s="1046"/>
      <c r="O260" s="1046"/>
      <c r="P260" s="1046"/>
      <c r="Q260" s="1046"/>
      <c r="R260" s="1046"/>
      <c r="S260" s="1046"/>
      <c r="T260" s="1046"/>
      <c r="U260" s="1046"/>
      <c r="V260" s="1046"/>
      <c r="W260" s="1046"/>
      <c r="X260" s="1046"/>
      <c r="Y260" s="1046"/>
      <c r="Z260" s="1046"/>
      <c r="AA260" s="1046"/>
      <c r="AB260" s="1047"/>
    </row>
    <row r="261" customHeight="1" spans="1:28">
      <c r="A261" s="1101" t="s">
        <v>238</v>
      </c>
      <c r="B261" s="1102"/>
      <c r="C261" s="1102"/>
      <c r="D261" s="1103"/>
      <c r="E261" s="1104" t="s">
        <v>246</v>
      </c>
      <c r="F261" s="1102"/>
      <c r="G261" s="1102"/>
      <c r="H261" s="1103"/>
      <c r="I261" s="1104" t="s">
        <v>247</v>
      </c>
      <c r="J261" s="1102"/>
      <c r="K261" s="1102"/>
      <c r="L261" s="1103"/>
      <c r="M261" s="1104" t="s">
        <v>248</v>
      </c>
      <c r="N261" s="1102"/>
      <c r="O261" s="1102"/>
      <c r="P261" s="1103"/>
      <c r="Q261" s="1104" t="s">
        <v>249</v>
      </c>
      <c r="R261" s="1102"/>
      <c r="S261" s="1102"/>
      <c r="T261" s="1103"/>
      <c r="U261" s="1104" t="s">
        <v>238</v>
      </c>
      <c r="V261" s="1102"/>
      <c r="W261" s="1102"/>
      <c r="X261" s="1103"/>
      <c r="Y261" s="1116" t="s">
        <v>239</v>
      </c>
      <c r="Z261" s="1117"/>
      <c r="AA261" s="1117"/>
      <c r="AB261" s="1118"/>
    </row>
    <row r="262" customHeight="1" spans="1:28">
      <c r="A262" s="1058" t="s">
        <v>240</v>
      </c>
      <c r="B262" s="1059"/>
      <c r="C262" s="1059"/>
      <c r="D262" s="1060"/>
      <c r="E262" s="1061" t="s">
        <v>241</v>
      </c>
      <c r="F262" s="1059"/>
      <c r="G262" s="1059"/>
      <c r="H262" s="1060"/>
      <c r="I262" s="1061" t="s">
        <v>240</v>
      </c>
      <c r="J262" s="1059"/>
      <c r="K262" s="1059"/>
      <c r="L262" s="1060"/>
      <c r="M262" s="1061" t="s">
        <v>242</v>
      </c>
      <c r="N262" s="1059"/>
      <c r="O262" s="1059"/>
      <c r="P262" s="1060"/>
      <c r="Q262" s="1061" t="s">
        <v>240</v>
      </c>
      <c r="R262" s="1059"/>
      <c r="S262" s="1059"/>
      <c r="T262" s="1060"/>
      <c r="U262" s="1061" t="s">
        <v>243</v>
      </c>
      <c r="V262" s="1059"/>
      <c r="W262" s="1059"/>
      <c r="X262" s="1060"/>
      <c r="Y262" s="1119"/>
      <c r="Z262" s="1120"/>
      <c r="AA262" s="1120"/>
      <c r="AB262" s="1121"/>
    </row>
    <row r="263" ht="15.75" spans="1:28">
      <c r="A263" s="1122">
        <v>1</v>
      </c>
      <c r="B263" s="1073"/>
      <c r="C263" s="1073"/>
      <c r="D263" s="1073"/>
      <c r="E263" s="1073">
        <v>0.4</v>
      </c>
      <c r="F263" s="1073"/>
      <c r="G263" s="1073"/>
      <c r="H263" s="1073"/>
      <c r="I263" s="1073">
        <v>1</v>
      </c>
      <c r="J263" s="1073"/>
      <c r="K263" s="1073"/>
      <c r="L263" s="1073"/>
      <c r="M263" s="1073">
        <v>4</v>
      </c>
      <c r="N263" s="1073"/>
      <c r="O263" s="1073"/>
      <c r="P263" s="1073"/>
      <c r="Q263" s="1123">
        <f>(A263+I263)/2</f>
        <v>1</v>
      </c>
      <c r="R263" s="1123"/>
      <c r="S263" s="1123"/>
      <c r="T263" s="1123"/>
      <c r="U263" s="1073">
        <v>1.5</v>
      </c>
      <c r="V263" s="1073"/>
      <c r="W263" s="1073"/>
      <c r="X263" s="1073"/>
      <c r="Y263" s="1123">
        <f>($A263+$E263+$I263)*($M263+$Q263)*$U263</f>
        <v>18</v>
      </c>
      <c r="Z263" s="1123"/>
      <c r="AA263" s="1123"/>
      <c r="AB263" s="1124"/>
    </row>
    <row r="264" ht="17.25" spans="1:28">
      <c r="A264" s="1079" t="s">
        <v>250</v>
      </c>
      <c r="B264" s="1080"/>
      <c r="C264" s="1080"/>
      <c r="D264" s="1080"/>
      <c r="E264" s="1080"/>
      <c r="F264" s="1080"/>
      <c r="G264" s="1080"/>
      <c r="H264" s="1080"/>
      <c r="I264" s="1080"/>
      <c r="J264" s="1080"/>
      <c r="K264" s="1080"/>
      <c r="L264" s="1080"/>
      <c r="M264" s="1080"/>
      <c r="N264" s="1080"/>
      <c r="O264" s="1080"/>
      <c r="P264" s="1080"/>
      <c r="Q264" s="1080"/>
      <c r="R264" s="1080"/>
      <c r="S264" s="1080"/>
      <c r="T264" s="1080"/>
      <c r="U264" s="1080"/>
      <c r="V264" s="1080"/>
      <c r="W264" s="1080"/>
      <c r="X264" s="1080"/>
      <c r="Y264" s="1080"/>
      <c r="Z264" s="1080"/>
      <c r="AA264" s="1080"/>
      <c r="AB264" s="1081"/>
    </row>
    <row r="265" spans="1:28">
      <c r="A265" s="1083"/>
      <c r="AB265" s="1044"/>
    </row>
    <row r="266" spans="1:28">
      <c r="A266" s="1099" t="s">
        <v>297</v>
      </c>
      <c r="B266" s="424"/>
      <c r="C266" s="424"/>
      <c r="D266" s="424"/>
      <c r="E266" s="424"/>
      <c r="F266" s="424"/>
      <c r="G266" s="424"/>
      <c r="H266" s="424"/>
      <c r="I266" s="424"/>
      <c r="J266" s="424"/>
      <c r="K266" s="424"/>
      <c r="L266" s="424"/>
      <c r="M266" s="424"/>
      <c r="N266" s="424"/>
      <c r="O266" s="424"/>
      <c r="P266" s="424"/>
      <c r="Q266" s="424"/>
      <c r="R266" s="424"/>
      <c r="S266" s="424"/>
      <c r="T266" s="424"/>
      <c r="U266" s="424"/>
      <c r="V266" s="424"/>
      <c r="W266" s="424"/>
      <c r="X266" s="424"/>
      <c r="Y266" s="424"/>
      <c r="Z266" s="424"/>
      <c r="AA266" s="424"/>
      <c r="AB266" s="1100"/>
    </row>
    <row r="267" customHeight="1" spans="1:28">
      <c r="A267" s="1101" t="s">
        <v>252</v>
      </c>
      <c r="B267" s="1102"/>
      <c r="C267" s="1102"/>
      <c r="D267" s="1103"/>
      <c r="E267" s="1104" t="s">
        <v>253</v>
      </c>
      <c r="F267" s="1102"/>
      <c r="G267" s="1102"/>
      <c r="H267" s="1103"/>
      <c r="I267" s="1104" t="s">
        <v>254</v>
      </c>
      <c r="J267" s="1102"/>
      <c r="K267" s="1102"/>
      <c r="L267" s="1103"/>
      <c r="M267" s="1104" t="s">
        <v>255</v>
      </c>
      <c r="N267" s="1102"/>
      <c r="O267" s="1102"/>
      <c r="P267" s="1103"/>
      <c r="Q267" s="1104" t="s">
        <v>238</v>
      </c>
      <c r="R267" s="1102"/>
      <c r="S267" s="1102"/>
      <c r="T267" s="1103"/>
      <c r="U267" s="1116"/>
      <c r="V267" s="1117"/>
      <c r="W267" s="1117"/>
      <c r="X267" s="1131"/>
      <c r="Y267" s="1116" t="s">
        <v>239</v>
      </c>
      <c r="Z267" s="1117"/>
      <c r="AA267" s="1117"/>
      <c r="AB267" s="1118"/>
    </row>
    <row r="268" customHeight="1" spans="1:28">
      <c r="A268" s="1058" t="s">
        <v>240</v>
      </c>
      <c r="B268" s="1059"/>
      <c r="C268" s="1059"/>
      <c r="D268" s="1060"/>
      <c r="E268" s="1061" t="s">
        <v>256</v>
      </c>
      <c r="F268" s="1059"/>
      <c r="G268" s="1059"/>
      <c r="H268" s="1060"/>
      <c r="I268" s="1061" t="s">
        <v>240</v>
      </c>
      <c r="J268" s="1059"/>
      <c r="K268" s="1059"/>
      <c r="L268" s="1060"/>
      <c r="M268" s="1061" t="s">
        <v>257</v>
      </c>
      <c r="N268" s="1059"/>
      <c r="O268" s="1059"/>
      <c r="P268" s="1060"/>
      <c r="Q268" s="1061" t="s">
        <v>243</v>
      </c>
      <c r="R268" s="1059"/>
      <c r="S268" s="1059"/>
      <c r="T268" s="1060"/>
      <c r="U268" s="1119"/>
      <c r="V268" s="1120"/>
      <c r="W268" s="1120"/>
      <c r="X268" s="1132"/>
      <c r="Y268" s="1119"/>
      <c r="Z268" s="1120"/>
      <c r="AA268" s="1120"/>
      <c r="AB268" s="1121"/>
    </row>
    <row r="269" ht="15.75" spans="1:28">
      <c r="A269" s="1109">
        <v>1</v>
      </c>
      <c r="B269" s="1110"/>
      <c r="C269" s="1110"/>
      <c r="D269" s="1110"/>
      <c r="E269" s="1110">
        <v>0.4</v>
      </c>
      <c r="F269" s="1110"/>
      <c r="G269" s="1110"/>
      <c r="H269" s="1110"/>
      <c r="I269" s="1110">
        <v>1</v>
      </c>
      <c r="J269" s="1110"/>
      <c r="K269" s="1110"/>
      <c r="L269" s="1110"/>
      <c r="M269" s="1110">
        <v>6</v>
      </c>
      <c r="N269" s="1110"/>
      <c r="O269" s="1110"/>
      <c r="P269" s="1110"/>
      <c r="Q269" s="1110">
        <v>1.5</v>
      </c>
      <c r="R269" s="1110"/>
      <c r="S269" s="1110"/>
      <c r="T269" s="1110"/>
      <c r="U269" s="1077"/>
      <c r="V269" s="1077"/>
      <c r="W269" s="1077"/>
      <c r="X269" s="1077"/>
      <c r="Y269" s="1077">
        <f>($A269+$E269+$I269)*($M269)*$Q269</f>
        <v>21.6</v>
      </c>
      <c r="Z269" s="1077"/>
      <c r="AA269" s="1077"/>
      <c r="AB269" s="1078"/>
    </row>
    <row r="270" ht="17.25" spans="1:28">
      <c r="A270" s="1079" t="s">
        <v>298</v>
      </c>
      <c r="B270" s="1080"/>
      <c r="C270" s="1080"/>
      <c r="D270" s="1080"/>
      <c r="E270" s="1080"/>
      <c r="F270" s="1080"/>
      <c r="G270" s="1080"/>
      <c r="H270" s="1080"/>
      <c r="I270" s="1080"/>
      <c r="J270" s="1080"/>
      <c r="K270" s="1080"/>
      <c r="L270" s="1080"/>
      <c r="M270" s="1080"/>
      <c r="N270" s="1080"/>
      <c r="O270" s="1080"/>
      <c r="P270" s="1080"/>
      <c r="Q270" s="1080"/>
      <c r="R270" s="1080"/>
      <c r="S270" s="1080"/>
      <c r="T270" s="1080"/>
      <c r="U270" s="1080"/>
      <c r="V270" s="1080"/>
      <c r="W270" s="1080"/>
      <c r="X270" s="1080"/>
      <c r="Y270" s="1080"/>
      <c r="Z270" s="1080"/>
      <c r="AA270" s="1080"/>
      <c r="AB270" s="1081"/>
    </row>
    <row r="271" ht="15.75" spans="1:28">
      <c r="A271" s="1083"/>
      <c r="AB271" s="1044"/>
    </row>
    <row r="272" spans="1:28">
      <c r="A272" s="1083"/>
      <c r="K272" s="1084" t="s">
        <v>299</v>
      </c>
      <c r="L272" s="1085"/>
      <c r="M272" s="1085"/>
      <c r="N272" s="1085"/>
      <c r="O272" s="1085"/>
      <c r="P272" s="1085"/>
      <c r="Q272" s="1085"/>
      <c r="R272" s="1086"/>
      <c r="AB272" s="1044"/>
    </row>
    <row r="273" spans="1:28">
      <c r="A273" s="1083"/>
      <c r="K273" s="1087" t="s">
        <v>260</v>
      </c>
      <c r="L273" s="1088"/>
      <c r="M273" s="1088"/>
      <c r="N273" s="1088"/>
      <c r="O273" s="1088"/>
      <c r="P273" s="1088"/>
      <c r="Q273" s="1088"/>
      <c r="R273" s="1089"/>
      <c r="AB273" s="1044"/>
    </row>
    <row r="274" spans="1:28">
      <c r="A274" s="1083"/>
      <c r="K274" s="1090"/>
      <c r="L274" s="1091"/>
      <c r="M274" s="1091"/>
      <c r="N274" s="1091"/>
      <c r="O274" s="1091"/>
      <c r="P274" s="1091"/>
      <c r="Q274" s="1091"/>
      <c r="R274" s="1092"/>
      <c r="AB274" s="1044"/>
    </row>
    <row r="275" ht="15.75" spans="1:28">
      <c r="A275" s="1083"/>
      <c r="K275" s="1093">
        <f>ROUNDUP(($Y257+$Y263+$Y269),2)</f>
        <v>57.6</v>
      </c>
      <c r="L275" s="1094"/>
      <c r="M275" s="1094"/>
      <c r="N275" s="1094"/>
      <c r="O275" s="1094"/>
      <c r="P275" s="1094"/>
      <c r="Q275" s="1094"/>
      <c r="R275" s="1095"/>
      <c r="AB275" s="1044"/>
    </row>
    <row r="276" ht="15.75" spans="1:28">
      <c r="A276" s="1096"/>
      <c r="B276" s="389"/>
      <c r="C276" s="389"/>
      <c r="D276" s="389"/>
      <c r="E276" s="389"/>
      <c r="F276" s="389"/>
      <c r="G276" s="389"/>
      <c r="H276" s="389"/>
      <c r="I276" s="1097"/>
      <c r="J276" s="1097"/>
      <c r="K276" s="1097"/>
      <c r="L276" s="1097"/>
      <c r="M276" s="1097"/>
      <c r="N276" s="1097"/>
      <c r="O276" s="1097"/>
      <c r="P276" s="1097"/>
      <c r="Q276" s="389"/>
      <c r="R276" s="389"/>
      <c r="S276" s="389"/>
      <c r="T276" s="389"/>
      <c r="U276" s="389"/>
      <c r="V276" s="389"/>
      <c r="W276" s="389"/>
      <c r="X276" s="389"/>
      <c r="Y276" s="389"/>
      <c r="Z276" s="389"/>
      <c r="AA276" s="389"/>
      <c r="AB276" s="1098"/>
    </row>
    <row r="277" s="437" customFormat="1" spans="1:28">
      <c r="A277" s="1040" t="s">
        <v>300</v>
      </c>
      <c r="B277" s="1114"/>
      <c r="C277" s="1114"/>
      <c r="D277" s="1114"/>
      <c r="E277" s="1114"/>
      <c r="F277" s="1114"/>
      <c r="G277" s="1114"/>
      <c r="H277" s="1114"/>
      <c r="I277" s="1129"/>
      <c r="J277" s="1129"/>
      <c r="K277" s="1129"/>
      <c r="L277" s="1129"/>
      <c r="M277" s="1129"/>
      <c r="N277" s="1129"/>
      <c r="O277" s="1129"/>
      <c r="P277" s="1129"/>
      <c r="Q277" s="1114"/>
      <c r="R277" s="1114"/>
      <c r="S277" s="1114"/>
      <c r="T277" s="1114"/>
      <c r="U277" s="1114"/>
      <c r="V277" s="1114"/>
      <c r="W277" s="1114"/>
      <c r="X277" s="1114"/>
      <c r="Y277" s="1114"/>
      <c r="Z277" s="1114"/>
      <c r="AA277" s="1114"/>
      <c r="AB277" s="1115"/>
    </row>
    <row r="278" s="437" customFormat="1" spans="1:28">
      <c r="A278" s="1043"/>
      <c r="I278" s="1140"/>
      <c r="J278" s="1140"/>
      <c r="K278" s="1140"/>
      <c r="L278" s="1140"/>
      <c r="M278" s="1140"/>
      <c r="N278" s="1140"/>
      <c r="O278" s="1140"/>
      <c r="P278" s="1140"/>
      <c r="AB278" s="1141"/>
    </row>
    <row r="279" spans="1:28">
      <c r="A279" s="1083"/>
      <c r="I279" s="1130"/>
      <c r="J279" s="1130"/>
      <c r="K279" s="1130"/>
      <c r="L279" s="1130"/>
      <c r="M279" s="1130"/>
      <c r="N279" s="1130"/>
      <c r="O279" s="1130"/>
      <c r="P279" s="1130"/>
      <c r="AB279" s="1044"/>
    </row>
    <row r="280" spans="1:28">
      <c r="A280" s="1083"/>
      <c r="I280" s="1130"/>
      <c r="J280" s="1130"/>
      <c r="K280" s="1130"/>
      <c r="L280" s="1130"/>
      <c r="M280" s="1130"/>
      <c r="N280" s="1130"/>
      <c r="O280" s="1130"/>
      <c r="P280" s="1130"/>
      <c r="AB280" s="1044"/>
    </row>
    <row r="281" spans="1:28">
      <c r="A281" s="1083"/>
      <c r="I281" s="1130"/>
      <c r="J281" s="1130"/>
      <c r="K281" s="1130"/>
      <c r="L281" s="1130"/>
      <c r="M281" s="1130"/>
      <c r="N281" s="1130"/>
      <c r="O281" s="1130"/>
      <c r="P281" s="1130"/>
      <c r="AB281" s="1044"/>
    </row>
    <row r="282" spans="1:28">
      <c r="A282" s="1083"/>
      <c r="I282" s="1130"/>
      <c r="J282" s="1130"/>
      <c r="K282" s="1130"/>
      <c r="L282" s="1130"/>
      <c r="M282" s="1130"/>
      <c r="N282" s="1130"/>
      <c r="O282" s="1130"/>
      <c r="P282" s="1130"/>
      <c r="AB282" s="1044"/>
    </row>
    <row r="283" spans="1:28">
      <c r="A283" s="1083"/>
      <c r="I283" s="1130"/>
      <c r="J283" s="1130"/>
      <c r="K283" s="1130"/>
      <c r="L283" s="1130"/>
      <c r="M283" s="1130"/>
      <c r="N283" s="1130"/>
      <c r="O283" s="1130"/>
      <c r="P283" s="1130"/>
      <c r="AB283" s="1044"/>
    </row>
    <row r="284" spans="1:28">
      <c r="A284" s="1083"/>
      <c r="I284" s="1130"/>
      <c r="J284" s="1130"/>
      <c r="K284" s="1130"/>
      <c r="L284" s="1130"/>
      <c r="M284" s="1130"/>
      <c r="N284" s="1130"/>
      <c r="O284" s="1130"/>
      <c r="P284" s="1130"/>
      <c r="AB284" s="1044"/>
    </row>
    <row r="285" spans="1:28">
      <c r="A285" s="1083"/>
      <c r="I285" s="1130"/>
      <c r="J285" s="1130"/>
      <c r="K285" s="1130"/>
      <c r="L285" s="1130"/>
      <c r="M285" s="1130"/>
      <c r="N285" s="1130"/>
      <c r="O285" s="1130"/>
      <c r="P285" s="1130"/>
      <c r="AB285" s="1044"/>
    </row>
    <row r="286" spans="1:28">
      <c r="A286" s="1083"/>
      <c r="I286" s="1130"/>
      <c r="J286" s="1130"/>
      <c r="K286" s="1130"/>
      <c r="L286" s="1130"/>
      <c r="M286" s="1130"/>
      <c r="N286" s="1130"/>
      <c r="O286" s="1130"/>
      <c r="P286" s="1130"/>
      <c r="AB286" s="1044"/>
    </row>
    <row r="287" spans="1:28">
      <c r="A287" s="1083"/>
      <c r="I287" s="1130"/>
      <c r="J287" s="1130"/>
      <c r="K287" s="1130"/>
      <c r="L287" s="1130"/>
      <c r="M287" s="1130"/>
      <c r="N287" s="1130"/>
      <c r="O287" s="1130"/>
      <c r="P287" s="1130"/>
      <c r="AB287" s="1044"/>
    </row>
    <row r="288" spans="1:28">
      <c r="A288" s="1083"/>
      <c r="I288" s="1130"/>
      <c r="J288" s="1130"/>
      <c r="K288" s="1130"/>
      <c r="L288" s="1130"/>
      <c r="M288" s="1130"/>
      <c r="N288" s="1130"/>
      <c r="O288" s="1130"/>
      <c r="P288" s="1130"/>
      <c r="AB288" s="1044"/>
    </row>
    <row r="289" spans="1:28">
      <c r="A289" s="1083"/>
      <c r="I289" s="1130"/>
      <c r="J289" s="1130"/>
      <c r="K289" s="1130"/>
      <c r="L289" s="1130"/>
      <c r="M289" s="1130"/>
      <c r="N289" s="1130"/>
      <c r="O289" s="1130"/>
      <c r="P289" s="1130"/>
      <c r="AB289" s="1044"/>
    </row>
    <row r="290" spans="1:28">
      <c r="A290" s="1083"/>
      <c r="I290" s="1130"/>
      <c r="J290" s="1130"/>
      <c r="K290" s="1130"/>
      <c r="L290" s="1130"/>
      <c r="M290" s="1130"/>
      <c r="N290" s="1130"/>
      <c r="O290" s="1130"/>
      <c r="P290" s="1130"/>
      <c r="AB290" s="1044"/>
    </row>
    <row r="291" spans="1:28">
      <c r="A291" s="1083"/>
      <c r="I291" s="1130"/>
      <c r="J291" s="1130"/>
      <c r="K291" s="1130"/>
      <c r="L291" s="1130"/>
      <c r="M291" s="1130"/>
      <c r="N291" s="1130"/>
      <c r="O291" s="1130"/>
      <c r="P291" s="1130"/>
      <c r="AB291" s="1044"/>
    </row>
    <row r="292" spans="1:28">
      <c r="A292" s="1083"/>
      <c r="I292" s="1130"/>
      <c r="J292" s="1130"/>
      <c r="K292" s="1130"/>
      <c r="L292" s="1130"/>
      <c r="M292" s="1130"/>
      <c r="N292" s="1130"/>
      <c r="O292" s="1130"/>
      <c r="P292" s="1130"/>
      <c r="AB292" s="1044"/>
    </row>
    <row r="293" spans="1:28">
      <c r="A293" s="1083"/>
      <c r="I293" s="1130"/>
      <c r="J293" s="1130"/>
      <c r="K293" s="1130"/>
      <c r="L293" s="1130"/>
      <c r="M293" s="1130"/>
      <c r="N293" s="1130"/>
      <c r="O293" s="1130"/>
      <c r="P293" s="1130"/>
      <c r="AB293" s="1044"/>
    </row>
    <row r="294" spans="1:28">
      <c r="A294" s="1083"/>
      <c r="I294" s="1130"/>
      <c r="J294" s="1130"/>
      <c r="K294" s="1130"/>
      <c r="L294" s="1130"/>
      <c r="M294" s="1130"/>
      <c r="N294" s="1130"/>
      <c r="O294" s="1130"/>
      <c r="P294" s="1130"/>
      <c r="AB294" s="1044"/>
    </row>
    <row r="295" spans="1:28">
      <c r="A295" s="1083"/>
      <c r="I295" s="1130"/>
      <c r="J295" s="1130"/>
      <c r="K295" s="1130"/>
      <c r="L295" s="1130"/>
      <c r="M295" s="1130"/>
      <c r="N295" s="1130"/>
      <c r="O295" s="1130"/>
      <c r="P295" s="1130"/>
      <c r="AB295" s="1044"/>
    </row>
    <row r="296" spans="1:28">
      <c r="A296" s="1083"/>
      <c r="I296" s="1130"/>
      <c r="J296" s="1130"/>
      <c r="K296" s="1130"/>
      <c r="L296" s="1130"/>
      <c r="M296" s="1130"/>
      <c r="N296" s="1130"/>
      <c r="O296" s="1130"/>
      <c r="P296" s="1130"/>
      <c r="AB296" s="1044"/>
    </row>
    <row r="297" spans="1:28">
      <c r="A297" s="1083"/>
      <c r="I297" s="1130"/>
      <c r="J297" s="1130"/>
      <c r="K297" s="1130"/>
      <c r="L297" s="1130"/>
      <c r="M297" s="1130"/>
      <c r="N297" s="1130"/>
      <c r="O297" s="1130"/>
      <c r="P297" s="1130"/>
      <c r="AB297" s="1044"/>
    </row>
    <row r="298" spans="1:28">
      <c r="A298" s="1083"/>
      <c r="I298" s="1130"/>
      <c r="J298" s="1130"/>
      <c r="K298" s="1130"/>
      <c r="L298" s="1130"/>
      <c r="M298" s="1130"/>
      <c r="N298" s="1130"/>
      <c r="O298" s="1130"/>
      <c r="P298" s="1130"/>
      <c r="AB298" s="1044"/>
    </row>
    <row r="299" spans="1:28">
      <c r="A299" s="1083"/>
      <c r="I299" s="1130"/>
      <c r="J299" s="1130"/>
      <c r="K299" s="1130"/>
      <c r="L299" s="1130"/>
      <c r="M299" s="1130"/>
      <c r="N299" s="1130"/>
      <c r="O299" s="1130"/>
      <c r="P299" s="1130"/>
      <c r="AB299" s="1044"/>
    </row>
    <row r="300" spans="1:28">
      <c r="A300" s="1083"/>
      <c r="I300" s="1130"/>
      <c r="J300" s="1130"/>
      <c r="K300" s="1130"/>
      <c r="L300" s="1130"/>
      <c r="M300" s="1130"/>
      <c r="N300" s="1130"/>
      <c r="O300" s="1130"/>
      <c r="P300" s="1130"/>
      <c r="AB300" s="1044"/>
    </row>
    <row r="301" spans="1:28">
      <c r="A301" s="1083"/>
      <c r="I301" s="1130"/>
      <c r="J301" s="1130"/>
      <c r="K301" s="1130"/>
      <c r="L301" s="1130"/>
      <c r="M301" s="1130"/>
      <c r="N301" s="1130"/>
      <c r="O301" s="1130"/>
      <c r="P301" s="1130"/>
      <c r="AB301" s="1044"/>
    </row>
    <row r="302" spans="1:28">
      <c r="A302" s="1083"/>
      <c r="I302" s="1130"/>
      <c r="J302" s="1130"/>
      <c r="K302" s="1130"/>
      <c r="L302" s="1130"/>
      <c r="M302" s="1130"/>
      <c r="N302" s="1130"/>
      <c r="O302" s="1130"/>
      <c r="P302" s="1130"/>
      <c r="AB302" s="1044"/>
    </row>
    <row r="303" spans="1:28">
      <c r="A303" s="1083"/>
      <c r="I303" s="1130"/>
      <c r="J303" s="1130"/>
      <c r="K303" s="1130"/>
      <c r="L303" s="1130"/>
      <c r="M303" s="1130"/>
      <c r="N303" s="1130"/>
      <c r="O303" s="1130"/>
      <c r="P303" s="1130"/>
      <c r="AB303" s="1044"/>
    </row>
    <row r="304" spans="1:28">
      <c r="A304" s="1083"/>
      <c r="I304" s="1130"/>
      <c r="J304" s="1130"/>
      <c r="K304" s="1130"/>
      <c r="L304" s="1130"/>
      <c r="M304" s="1130"/>
      <c r="N304" s="1130"/>
      <c r="O304" s="1130"/>
      <c r="P304" s="1130"/>
      <c r="AB304" s="1044"/>
    </row>
    <row r="305" spans="1:28">
      <c r="A305" s="1045" t="s">
        <v>295</v>
      </c>
      <c r="B305" s="1046"/>
      <c r="C305" s="1046"/>
      <c r="D305" s="1046"/>
      <c r="E305" s="1046"/>
      <c r="F305" s="1046"/>
      <c r="G305" s="1046"/>
      <c r="H305" s="1046"/>
      <c r="I305" s="1046"/>
      <c r="J305" s="1046"/>
      <c r="K305" s="1046"/>
      <c r="L305" s="1046"/>
      <c r="M305" s="1046"/>
      <c r="N305" s="1046"/>
      <c r="O305" s="1046"/>
      <c r="P305" s="1046"/>
      <c r="Q305" s="1046"/>
      <c r="R305" s="1046"/>
      <c r="S305" s="1046"/>
      <c r="T305" s="1046"/>
      <c r="U305" s="1046"/>
      <c r="V305" s="1046"/>
      <c r="W305" s="1046"/>
      <c r="X305" s="1046"/>
      <c r="Y305" s="1046"/>
      <c r="Z305" s="1046"/>
      <c r="AA305" s="1046"/>
      <c r="AB305" s="1047"/>
    </row>
    <row r="306" spans="1:28">
      <c r="A306" s="1101" t="s">
        <v>205</v>
      </c>
      <c r="B306" s="1102"/>
      <c r="C306" s="1102"/>
      <c r="D306" s="1103"/>
      <c r="E306" s="1104" t="s">
        <v>206</v>
      </c>
      <c r="F306" s="1102"/>
      <c r="G306" s="1102"/>
      <c r="H306" s="1103"/>
      <c r="I306" s="1104" t="s">
        <v>235</v>
      </c>
      <c r="J306" s="1102"/>
      <c r="K306" s="1102"/>
      <c r="L306" s="1103"/>
      <c r="M306" s="1104" t="s">
        <v>236</v>
      </c>
      <c r="N306" s="1102"/>
      <c r="O306" s="1102"/>
      <c r="P306" s="1103"/>
      <c r="Q306" s="1104" t="s">
        <v>237</v>
      </c>
      <c r="R306" s="1102"/>
      <c r="S306" s="1102"/>
      <c r="T306" s="1103"/>
      <c r="U306" s="1104" t="s">
        <v>238</v>
      </c>
      <c r="V306" s="1102"/>
      <c r="W306" s="1102"/>
      <c r="X306" s="1103"/>
      <c r="Y306" s="1116" t="s">
        <v>239</v>
      </c>
      <c r="Z306" s="1117"/>
      <c r="AA306" s="1117"/>
      <c r="AB306" s="1118"/>
    </row>
    <row r="307" spans="1:28">
      <c r="A307" s="1058" t="s">
        <v>240</v>
      </c>
      <c r="B307" s="1059"/>
      <c r="C307" s="1059"/>
      <c r="D307" s="1060"/>
      <c r="E307" s="1061" t="s">
        <v>241</v>
      </c>
      <c r="F307" s="1059"/>
      <c r="G307" s="1059"/>
      <c r="H307" s="1060"/>
      <c r="I307" s="1061" t="s">
        <v>240</v>
      </c>
      <c r="J307" s="1059"/>
      <c r="K307" s="1059"/>
      <c r="L307" s="1060"/>
      <c r="M307" s="1061" t="s">
        <v>242</v>
      </c>
      <c r="N307" s="1059"/>
      <c r="O307" s="1059"/>
      <c r="P307" s="1060"/>
      <c r="Q307" s="1061" t="s">
        <v>240</v>
      </c>
      <c r="R307" s="1059"/>
      <c r="S307" s="1059"/>
      <c r="T307" s="1060"/>
      <c r="U307" s="1061" t="s">
        <v>243</v>
      </c>
      <c r="V307" s="1059"/>
      <c r="W307" s="1059"/>
      <c r="X307" s="1060"/>
      <c r="Y307" s="1119"/>
      <c r="Z307" s="1120"/>
      <c r="AA307" s="1120"/>
      <c r="AB307" s="1121"/>
    </row>
    <row r="308" ht="15.75" spans="1:28">
      <c r="A308" s="1122">
        <v>1.95</v>
      </c>
      <c r="B308" s="1073"/>
      <c r="C308" s="1073"/>
      <c r="D308" s="1073"/>
      <c r="E308" s="1073">
        <v>0.4</v>
      </c>
      <c r="F308" s="1073"/>
      <c r="G308" s="1073"/>
      <c r="H308" s="1073"/>
      <c r="I308" s="1073">
        <v>1.95</v>
      </c>
      <c r="J308" s="1073"/>
      <c r="K308" s="1073"/>
      <c r="L308" s="1073"/>
      <c r="M308" s="1073">
        <v>4</v>
      </c>
      <c r="N308" s="1073"/>
      <c r="O308" s="1073"/>
      <c r="P308" s="1073"/>
      <c r="Q308" s="1123">
        <f>(A308+I308)/2</f>
        <v>1.95</v>
      </c>
      <c r="R308" s="1123"/>
      <c r="S308" s="1123"/>
      <c r="T308" s="1123"/>
      <c r="U308" s="1073">
        <v>1.35</v>
      </c>
      <c r="V308" s="1073"/>
      <c r="W308" s="1073"/>
      <c r="X308" s="1073"/>
      <c r="Y308" s="1123">
        <f>($A308+$E308+$I308)*($M308+$Q308)*$U308</f>
        <v>34.53975</v>
      </c>
      <c r="Z308" s="1123"/>
      <c r="AA308" s="1123"/>
      <c r="AB308" s="1124"/>
    </row>
    <row r="309" ht="17.25" spans="1:28">
      <c r="A309" s="1079" t="s">
        <v>301</v>
      </c>
      <c r="B309" s="1080"/>
      <c r="C309" s="1080"/>
      <c r="D309" s="1080"/>
      <c r="E309" s="1080"/>
      <c r="F309" s="1080"/>
      <c r="G309" s="1080"/>
      <c r="H309" s="1080"/>
      <c r="I309" s="1080"/>
      <c r="J309" s="1080"/>
      <c r="K309" s="1080"/>
      <c r="L309" s="1080"/>
      <c r="M309" s="1080"/>
      <c r="N309" s="1080"/>
      <c r="O309" s="1080"/>
      <c r="P309" s="1080"/>
      <c r="Q309" s="1080"/>
      <c r="R309" s="1080"/>
      <c r="S309" s="1080"/>
      <c r="T309" s="1080"/>
      <c r="U309" s="1080"/>
      <c r="V309" s="1080"/>
      <c r="W309" s="1080"/>
      <c r="X309" s="1080"/>
      <c r="Y309" s="1080"/>
      <c r="Z309" s="1080"/>
      <c r="AA309" s="1080"/>
      <c r="AB309" s="1081"/>
    </row>
    <row r="310" spans="1:28">
      <c r="A310" s="1083"/>
      <c r="AB310" s="1044"/>
    </row>
    <row r="311" spans="1:28">
      <c r="A311" s="1045" t="s">
        <v>296</v>
      </c>
      <c r="B311" s="1046"/>
      <c r="C311" s="1046"/>
      <c r="D311" s="1046"/>
      <c r="E311" s="1046"/>
      <c r="F311" s="1046"/>
      <c r="G311" s="1046"/>
      <c r="H311" s="1046"/>
      <c r="I311" s="1046"/>
      <c r="J311" s="1046"/>
      <c r="K311" s="1046"/>
      <c r="L311" s="1046"/>
      <c r="M311" s="1046"/>
      <c r="N311" s="1046"/>
      <c r="O311" s="1046"/>
      <c r="P311" s="1046"/>
      <c r="Q311" s="1046"/>
      <c r="R311" s="1046"/>
      <c r="S311" s="1046"/>
      <c r="T311" s="1046"/>
      <c r="U311" s="1046"/>
      <c r="V311" s="1046"/>
      <c r="W311" s="1046"/>
      <c r="X311" s="1046"/>
      <c r="Y311" s="1046"/>
      <c r="Z311" s="1046"/>
      <c r="AA311" s="1046"/>
      <c r="AB311" s="1047"/>
    </row>
    <row r="312" spans="1:28">
      <c r="A312" s="1101" t="s">
        <v>238</v>
      </c>
      <c r="B312" s="1102"/>
      <c r="C312" s="1102"/>
      <c r="D312" s="1103"/>
      <c r="E312" s="1104" t="s">
        <v>246</v>
      </c>
      <c r="F312" s="1102"/>
      <c r="G312" s="1102"/>
      <c r="H312" s="1103"/>
      <c r="I312" s="1104" t="s">
        <v>247</v>
      </c>
      <c r="J312" s="1102"/>
      <c r="K312" s="1102"/>
      <c r="L312" s="1103"/>
      <c r="M312" s="1104" t="s">
        <v>248</v>
      </c>
      <c r="N312" s="1102"/>
      <c r="O312" s="1102"/>
      <c r="P312" s="1103"/>
      <c r="Q312" s="1104" t="s">
        <v>249</v>
      </c>
      <c r="R312" s="1102"/>
      <c r="S312" s="1102"/>
      <c r="T312" s="1103"/>
      <c r="U312" s="1104" t="s">
        <v>238</v>
      </c>
      <c r="V312" s="1102"/>
      <c r="W312" s="1102"/>
      <c r="X312" s="1103"/>
      <c r="Y312" s="1116" t="s">
        <v>239</v>
      </c>
      <c r="Z312" s="1117"/>
      <c r="AA312" s="1117"/>
      <c r="AB312" s="1118"/>
    </row>
    <row r="313" spans="1:28">
      <c r="A313" s="1058" t="s">
        <v>240</v>
      </c>
      <c r="B313" s="1059"/>
      <c r="C313" s="1059"/>
      <c r="D313" s="1060"/>
      <c r="E313" s="1061" t="s">
        <v>241</v>
      </c>
      <c r="F313" s="1059"/>
      <c r="G313" s="1059"/>
      <c r="H313" s="1060"/>
      <c r="I313" s="1061" t="s">
        <v>240</v>
      </c>
      <c r="J313" s="1059"/>
      <c r="K313" s="1059"/>
      <c r="L313" s="1060"/>
      <c r="M313" s="1061" t="s">
        <v>242</v>
      </c>
      <c r="N313" s="1059"/>
      <c r="O313" s="1059"/>
      <c r="P313" s="1060"/>
      <c r="Q313" s="1061" t="s">
        <v>240</v>
      </c>
      <c r="R313" s="1059"/>
      <c r="S313" s="1059"/>
      <c r="T313" s="1060"/>
      <c r="U313" s="1061" t="s">
        <v>243</v>
      </c>
      <c r="V313" s="1059"/>
      <c r="W313" s="1059"/>
      <c r="X313" s="1060"/>
      <c r="Y313" s="1119"/>
      <c r="Z313" s="1120"/>
      <c r="AA313" s="1120"/>
      <c r="AB313" s="1121"/>
    </row>
    <row r="314" ht="15.75" spans="1:28">
      <c r="A314" s="1122">
        <v>1.95</v>
      </c>
      <c r="B314" s="1073"/>
      <c r="C314" s="1073"/>
      <c r="D314" s="1073"/>
      <c r="E314" s="1073">
        <v>0.4</v>
      </c>
      <c r="F314" s="1073"/>
      <c r="G314" s="1073"/>
      <c r="H314" s="1073"/>
      <c r="I314" s="1073">
        <v>1.95</v>
      </c>
      <c r="J314" s="1073"/>
      <c r="K314" s="1073"/>
      <c r="L314" s="1073"/>
      <c r="M314" s="1073">
        <v>4</v>
      </c>
      <c r="N314" s="1073"/>
      <c r="O314" s="1073"/>
      <c r="P314" s="1073"/>
      <c r="Q314" s="1123">
        <f>(A314+I314)/2</f>
        <v>1.95</v>
      </c>
      <c r="R314" s="1123"/>
      <c r="S314" s="1123"/>
      <c r="T314" s="1123"/>
      <c r="U314" s="1073">
        <v>1.35</v>
      </c>
      <c r="V314" s="1073"/>
      <c r="W314" s="1073"/>
      <c r="X314" s="1073"/>
      <c r="Y314" s="1123">
        <f>($A314+$E314+$I314)*($M314+$Q314)*$U314</f>
        <v>34.53975</v>
      </c>
      <c r="Z314" s="1123"/>
      <c r="AA314" s="1123"/>
      <c r="AB314" s="1124"/>
    </row>
    <row r="315" ht="17.25" spans="1:28">
      <c r="A315" s="1079" t="s">
        <v>302</v>
      </c>
      <c r="B315" s="1080"/>
      <c r="C315" s="1080"/>
      <c r="D315" s="1080"/>
      <c r="E315" s="1080"/>
      <c r="F315" s="1080"/>
      <c r="G315" s="1080"/>
      <c r="H315" s="1080"/>
      <c r="I315" s="1080"/>
      <c r="J315" s="1080"/>
      <c r="K315" s="1080"/>
      <c r="L315" s="1080"/>
      <c r="M315" s="1080"/>
      <c r="N315" s="1080"/>
      <c r="O315" s="1080"/>
      <c r="P315" s="1080"/>
      <c r="Q315" s="1080"/>
      <c r="R315" s="1080"/>
      <c r="S315" s="1080"/>
      <c r="T315" s="1080"/>
      <c r="U315" s="1080"/>
      <c r="V315" s="1080"/>
      <c r="W315" s="1080"/>
      <c r="X315" s="1080"/>
      <c r="Y315" s="1080"/>
      <c r="Z315" s="1080"/>
      <c r="AA315" s="1080"/>
      <c r="AB315" s="1081"/>
    </row>
    <row r="316" spans="1:28">
      <c r="A316" s="1083"/>
      <c r="AB316" s="1044"/>
    </row>
    <row r="317" spans="1:28">
      <c r="A317" s="1099" t="s">
        <v>297</v>
      </c>
      <c r="B317" s="424"/>
      <c r="C317" s="424"/>
      <c r="D317" s="424"/>
      <c r="E317" s="424"/>
      <c r="F317" s="424"/>
      <c r="G317" s="424"/>
      <c r="H317" s="424"/>
      <c r="I317" s="424"/>
      <c r="J317" s="424"/>
      <c r="K317" s="424"/>
      <c r="L317" s="424"/>
      <c r="M317" s="424"/>
      <c r="N317" s="424"/>
      <c r="O317" s="424"/>
      <c r="P317" s="424"/>
      <c r="Q317" s="424"/>
      <c r="R317" s="424"/>
      <c r="S317" s="424"/>
      <c r="T317" s="424"/>
      <c r="U317" s="424"/>
      <c r="V317" s="424"/>
      <c r="W317" s="424"/>
      <c r="X317" s="424"/>
      <c r="Y317" s="424"/>
      <c r="Z317" s="424"/>
      <c r="AA317" s="424"/>
      <c r="AB317" s="1100"/>
    </row>
    <row r="318" spans="1:28">
      <c r="A318" s="1101" t="s">
        <v>252</v>
      </c>
      <c r="B318" s="1102"/>
      <c r="C318" s="1102"/>
      <c r="D318" s="1103"/>
      <c r="E318" s="1104" t="s">
        <v>253</v>
      </c>
      <c r="F318" s="1102"/>
      <c r="G318" s="1102"/>
      <c r="H318" s="1103"/>
      <c r="I318" s="1104" t="s">
        <v>254</v>
      </c>
      <c r="J318" s="1102"/>
      <c r="K318" s="1102"/>
      <c r="L318" s="1103"/>
      <c r="M318" s="1104" t="s">
        <v>255</v>
      </c>
      <c r="N318" s="1102"/>
      <c r="O318" s="1102"/>
      <c r="P318" s="1103"/>
      <c r="Q318" s="1104" t="s">
        <v>238</v>
      </c>
      <c r="R318" s="1102"/>
      <c r="S318" s="1102"/>
      <c r="T318" s="1103"/>
      <c r="U318" s="1116"/>
      <c r="V318" s="1117"/>
      <c r="W318" s="1117"/>
      <c r="X318" s="1131"/>
      <c r="Y318" s="1116" t="s">
        <v>239</v>
      </c>
      <c r="Z318" s="1117"/>
      <c r="AA318" s="1117"/>
      <c r="AB318" s="1118"/>
    </row>
    <row r="319" spans="1:28">
      <c r="A319" s="1058" t="s">
        <v>240</v>
      </c>
      <c r="B319" s="1059"/>
      <c r="C319" s="1059"/>
      <c r="D319" s="1060"/>
      <c r="E319" s="1061" t="s">
        <v>256</v>
      </c>
      <c r="F319" s="1059"/>
      <c r="G319" s="1059"/>
      <c r="H319" s="1060"/>
      <c r="I319" s="1061" t="s">
        <v>240</v>
      </c>
      <c r="J319" s="1059"/>
      <c r="K319" s="1059"/>
      <c r="L319" s="1060"/>
      <c r="M319" s="1061" t="s">
        <v>257</v>
      </c>
      <c r="N319" s="1059"/>
      <c r="O319" s="1059"/>
      <c r="P319" s="1060"/>
      <c r="Q319" s="1061" t="s">
        <v>243</v>
      </c>
      <c r="R319" s="1059"/>
      <c r="S319" s="1059"/>
      <c r="T319" s="1060"/>
      <c r="U319" s="1119"/>
      <c r="V319" s="1120"/>
      <c r="W319" s="1120"/>
      <c r="X319" s="1132"/>
      <c r="Y319" s="1119"/>
      <c r="Z319" s="1120"/>
      <c r="AA319" s="1120"/>
      <c r="AB319" s="1121"/>
    </row>
    <row r="320" ht="15.75" spans="1:28">
      <c r="A320" s="1109">
        <v>1.95</v>
      </c>
      <c r="B320" s="1110"/>
      <c r="C320" s="1110"/>
      <c r="D320" s="1110"/>
      <c r="E320" s="1110">
        <v>0.4</v>
      </c>
      <c r="F320" s="1110"/>
      <c r="G320" s="1110"/>
      <c r="H320" s="1110"/>
      <c r="I320" s="1110">
        <v>1.95</v>
      </c>
      <c r="J320" s="1110"/>
      <c r="K320" s="1110"/>
      <c r="L320" s="1110"/>
      <c r="M320" s="1110">
        <v>6</v>
      </c>
      <c r="N320" s="1110"/>
      <c r="O320" s="1110"/>
      <c r="P320" s="1110"/>
      <c r="Q320" s="1110">
        <v>1.35</v>
      </c>
      <c r="R320" s="1110"/>
      <c r="S320" s="1110"/>
      <c r="T320" s="1110"/>
      <c r="U320" s="1077"/>
      <c r="V320" s="1077"/>
      <c r="W320" s="1077"/>
      <c r="X320" s="1077"/>
      <c r="Y320" s="1077">
        <f>($A320+$E320+$I320)*($M320)*$Q320</f>
        <v>34.83</v>
      </c>
      <c r="Z320" s="1077"/>
      <c r="AA320" s="1077"/>
      <c r="AB320" s="1078"/>
    </row>
    <row r="321" ht="17.25" spans="1:28">
      <c r="A321" s="1079" t="s">
        <v>303</v>
      </c>
      <c r="B321" s="1080"/>
      <c r="C321" s="1080"/>
      <c r="D321" s="1080"/>
      <c r="E321" s="1080"/>
      <c r="F321" s="1080"/>
      <c r="G321" s="1080"/>
      <c r="H321" s="1080"/>
      <c r="I321" s="1080"/>
      <c r="J321" s="1080"/>
      <c r="K321" s="1080"/>
      <c r="L321" s="1080"/>
      <c r="M321" s="1080"/>
      <c r="N321" s="1080"/>
      <c r="O321" s="1080"/>
      <c r="P321" s="1080"/>
      <c r="Q321" s="1080"/>
      <c r="R321" s="1080"/>
      <c r="S321" s="1080"/>
      <c r="T321" s="1080"/>
      <c r="U321" s="1080"/>
      <c r="V321" s="1080"/>
      <c r="W321" s="1080"/>
      <c r="X321" s="1080"/>
      <c r="Y321" s="1080"/>
      <c r="Z321" s="1080"/>
      <c r="AA321" s="1080"/>
      <c r="AB321" s="1081"/>
    </row>
    <row r="322" spans="1:28">
      <c r="A322" s="1083"/>
      <c r="AB322" s="1044"/>
    </row>
    <row r="323" spans="1:28">
      <c r="A323" s="1083"/>
      <c r="K323" s="1143" t="s">
        <v>304</v>
      </c>
      <c r="L323" s="1143"/>
      <c r="M323" s="1143"/>
      <c r="N323" s="1143"/>
      <c r="O323" s="1143"/>
      <c r="P323" s="1143"/>
      <c r="Q323" s="1143"/>
      <c r="R323" s="1143"/>
      <c r="AB323" s="1044"/>
    </row>
    <row r="324" spans="1:28">
      <c r="A324" s="1083"/>
      <c r="K324" s="1144" t="s">
        <v>266</v>
      </c>
      <c r="L324" s="1088"/>
      <c r="M324" s="1088"/>
      <c r="N324" s="1088"/>
      <c r="O324" s="1088"/>
      <c r="P324" s="1088"/>
      <c r="Q324" s="1088"/>
      <c r="R324" s="1145"/>
      <c r="AB324" s="1044"/>
    </row>
    <row r="325" spans="1:28">
      <c r="A325" s="1083"/>
      <c r="K325" s="1146"/>
      <c r="L325" s="1091"/>
      <c r="M325" s="1091"/>
      <c r="N325" s="1091"/>
      <c r="O325" s="1091"/>
      <c r="P325" s="1091"/>
      <c r="Q325" s="1091"/>
      <c r="R325" s="1147"/>
      <c r="AB325" s="1044"/>
    </row>
    <row r="326" spans="1:28">
      <c r="A326" s="1083"/>
      <c r="K326" s="1148">
        <f>ROUNDUP(($Y308+$Y314+$Y320),2)</f>
        <v>103.91</v>
      </c>
      <c r="L326" s="1149"/>
      <c r="M326" s="1149"/>
      <c r="N326" s="1149"/>
      <c r="O326" s="1149"/>
      <c r="P326" s="1149"/>
      <c r="Q326" s="1149"/>
      <c r="R326" s="1150"/>
      <c r="AB326" s="1044"/>
    </row>
    <row r="327" ht="15.75" spans="1:28">
      <c r="A327" s="1096"/>
      <c r="B327" s="389"/>
      <c r="C327" s="389"/>
      <c r="D327" s="389"/>
      <c r="E327" s="389"/>
      <c r="F327" s="389"/>
      <c r="G327" s="389"/>
      <c r="H327" s="389"/>
      <c r="I327" s="389"/>
      <c r="J327" s="389"/>
      <c r="K327" s="389"/>
      <c r="L327" s="389"/>
      <c r="M327" s="389"/>
      <c r="N327" s="389"/>
      <c r="O327" s="389"/>
      <c r="P327" s="389"/>
      <c r="Q327" s="389"/>
      <c r="R327" s="389"/>
      <c r="S327" s="389"/>
      <c r="T327" s="389"/>
      <c r="U327" s="389"/>
      <c r="V327" s="389"/>
      <c r="W327" s="389"/>
      <c r="X327" s="389"/>
      <c r="Y327" s="389"/>
      <c r="Z327" s="389"/>
      <c r="AA327" s="389"/>
      <c r="AB327" s="1098"/>
    </row>
    <row r="328" s="437" customFormat="1" spans="1:28">
      <c r="A328" s="1040" t="s">
        <v>305</v>
      </c>
      <c r="B328" s="1114"/>
      <c r="C328" s="1114"/>
      <c r="D328" s="1114"/>
      <c r="E328" s="1114"/>
      <c r="F328" s="1114"/>
      <c r="G328" s="1114"/>
      <c r="H328" s="1114"/>
      <c r="I328" s="1129"/>
      <c r="J328" s="1129"/>
      <c r="K328" s="1129"/>
      <c r="L328" s="1129"/>
      <c r="M328" s="1129"/>
      <c r="N328" s="1129"/>
      <c r="O328" s="1129"/>
      <c r="P328" s="1129"/>
      <c r="Q328" s="1114"/>
      <c r="R328" s="1114"/>
      <c r="S328" s="1114"/>
      <c r="T328" s="1114"/>
      <c r="U328" s="1114"/>
      <c r="V328" s="1114"/>
      <c r="W328" s="1114"/>
      <c r="X328" s="1114"/>
      <c r="Y328" s="1114"/>
      <c r="Z328" s="1114"/>
      <c r="AA328" s="1114"/>
      <c r="AB328" s="1115"/>
    </row>
    <row r="329" spans="1:28">
      <c r="A329" s="1083"/>
      <c r="I329" s="1130"/>
      <c r="J329" s="1130"/>
      <c r="K329" s="1130"/>
      <c r="L329" s="1130"/>
      <c r="M329" s="1130"/>
      <c r="N329" s="1130"/>
      <c r="O329" s="1130"/>
      <c r="P329" s="1130"/>
      <c r="AB329" s="1044"/>
    </row>
    <row r="330" spans="1:28">
      <c r="A330" s="1083"/>
      <c r="I330" s="1130"/>
      <c r="J330" s="1130"/>
      <c r="K330" s="1130"/>
      <c r="L330" s="1130"/>
      <c r="M330" s="1130"/>
      <c r="N330" s="1130"/>
      <c r="O330" s="1130"/>
      <c r="P330" s="1130"/>
      <c r="AB330" s="1044"/>
    </row>
    <row r="331" spans="1:28">
      <c r="A331" s="1083"/>
      <c r="I331" s="1130"/>
      <c r="J331" s="1130"/>
      <c r="K331" s="1130"/>
      <c r="L331" s="1130"/>
      <c r="M331" s="1130"/>
      <c r="N331" s="1130"/>
      <c r="O331" s="1130"/>
      <c r="P331" s="1130"/>
      <c r="AB331" s="1044"/>
    </row>
    <row r="332" spans="1:28">
      <c r="A332" s="1083"/>
      <c r="I332" s="1130"/>
      <c r="J332" s="1130"/>
      <c r="K332" s="1130"/>
      <c r="L332" s="1130"/>
      <c r="M332" s="1130"/>
      <c r="N332" s="1130"/>
      <c r="O332" s="1130"/>
      <c r="P332" s="1130"/>
      <c r="AB332" s="1044"/>
    </row>
    <row r="333" spans="1:28">
      <c r="A333" s="1083"/>
      <c r="I333" s="1130"/>
      <c r="J333" s="1130"/>
      <c r="K333" s="1130"/>
      <c r="L333" s="1130"/>
      <c r="M333" s="1130"/>
      <c r="N333" s="1130"/>
      <c r="O333" s="1130"/>
      <c r="P333" s="1130"/>
      <c r="AB333" s="1044"/>
    </row>
    <row r="334" spans="1:28">
      <c r="A334" s="1083"/>
      <c r="I334" s="1130"/>
      <c r="J334" s="1130"/>
      <c r="K334" s="1130"/>
      <c r="L334" s="1130"/>
      <c r="M334" s="1130"/>
      <c r="N334" s="1130"/>
      <c r="O334" s="1130"/>
      <c r="P334" s="1130"/>
      <c r="AB334" s="1044"/>
    </row>
    <row r="335" spans="1:28">
      <c r="A335" s="1083"/>
      <c r="I335" s="1130"/>
      <c r="J335" s="1130"/>
      <c r="K335" s="1130"/>
      <c r="L335" s="1130"/>
      <c r="M335" s="1130"/>
      <c r="N335" s="1130"/>
      <c r="O335" s="1130"/>
      <c r="P335" s="1130"/>
      <c r="AB335" s="1044"/>
    </row>
    <row r="336" spans="1:28">
      <c r="A336" s="1083"/>
      <c r="I336" s="1130"/>
      <c r="J336" s="1130"/>
      <c r="K336" s="1130"/>
      <c r="L336" s="1130"/>
      <c r="M336" s="1130"/>
      <c r="N336" s="1130"/>
      <c r="O336" s="1130"/>
      <c r="P336" s="1130"/>
      <c r="AB336" s="1044"/>
    </row>
    <row r="337" spans="1:28">
      <c r="A337" s="1083"/>
      <c r="I337" s="1130"/>
      <c r="J337" s="1130"/>
      <c r="K337" s="1130"/>
      <c r="L337" s="1130"/>
      <c r="M337" s="1130"/>
      <c r="N337" s="1130"/>
      <c r="O337" s="1130"/>
      <c r="P337" s="1130"/>
      <c r="AB337" s="1044"/>
    </row>
    <row r="338" spans="1:28">
      <c r="A338" s="1083"/>
      <c r="I338" s="1130"/>
      <c r="J338" s="1130"/>
      <c r="K338" s="1130"/>
      <c r="L338" s="1130"/>
      <c r="M338" s="1130"/>
      <c r="N338" s="1130"/>
      <c r="O338" s="1130"/>
      <c r="P338" s="1130"/>
      <c r="AB338" s="1044"/>
    </row>
    <row r="339" spans="1:28">
      <c r="A339" s="1083"/>
      <c r="I339" s="1130"/>
      <c r="J339" s="1130"/>
      <c r="K339" s="1130"/>
      <c r="L339" s="1130"/>
      <c r="M339" s="1130"/>
      <c r="N339" s="1130"/>
      <c r="O339" s="1130"/>
      <c r="P339" s="1130"/>
      <c r="AB339" s="1044"/>
    </row>
    <row r="340" spans="1:28">
      <c r="A340" s="1083"/>
      <c r="I340" s="1130"/>
      <c r="J340" s="1130"/>
      <c r="K340" s="1130"/>
      <c r="L340" s="1130"/>
      <c r="M340" s="1130"/>
      <c r="N340" s="1130"/>
      <c r="O340" s="1130"/>
      <c r="P340" s="1130"/>
      <c r="AB340" s="1044"/>
    </row>
    <row r="341" spans="1:28">
      <c r="A341" s="1083"/>
      <c r="I341" s="1130"/>
      <c r="J341" s="1130"/>
      <c r="K341" s="1130"/>
      <c r="L341" s="1130"/>
      <c r="M341" s="1130"/>
      <c r="N341" s="1130"/>
      <c r="O341" s="1130"/>
      <c r="P341" s="1130"/>
      <c r="AB341" s="1044"/>
    </row>
    <row r="342" spans="1:28">
      <c r="A342" s="1083"/>
      <c r="I342" s="1130"/>
      <c r="J342" s="1130"/>
      <c r="K342" s="1130"/>
      <c r="L342" s="1130"/>
      <c r="M342" s="1130"/>
      <c r="N342" s="1130"/>
      <c r="O342" s="1130"/>
      <c r="P342" s="1130"/>
      <c r="AB342" s="1044"/>
    </row>
    <row r="343" spans="1:28">
      <c r="A343" s="1083"/>
      <c r="I343" s="1130"/>
      <c r="J343" s="1130"/>
      <c r="K343" s="1130"/>
      <c r="L343" s="1130"/>
      <c r="M343" s="1130"/>
      <c r="N343" s="1130"/>
      <c r="O343" s="1130"/>
      <c r="P343" s="1130"/>
      <c r="AB343" s="1044"/>
    </row>
    <row r="344" spans="1:28">
      <c r="A344" s="1083"/>
      <c r="I344" s="1130"/>
      <c r="J344" s="1130"/>
      <c r="K344" s="1130"/>
      <c r="L344" s="1130"/>
      <c r="M344" s="1130"/>
      <c r="N344" s="1130"/>
      <c r="O344" s="1130"/>
      <c r="P344" s="1130"/>
      <c r="AB344" s="1044"/>
    </row>
    <row r="345" spans="1:28">
      <c r="A345" s="1083"/>
      <c r="I345" s="1130"/>
      <c r="J345" s="1130"/>
      <c r="K345" s="1130"/>
      <c r="L345" s="1130"/>
      <c r="M345" s="1130"/>
      <c r="N345" s="1130"/>
      <c r="O345" s="1130"/>
      <c r="P345" s="1130"/>
      <c r="AB345" s="1044"/>
    </row>
    <row r="346" spans="1:28">
      <c r="A346" s="1083"/>
      <c r="I346" s="1130"/>
      <c r="J346" s="1130"/>
      <c r="K346" s="1130"/>
      <c r="L346" s="1130"/>
      <c r="M346" s="1130"/>
      <c r="N346" s="1130"/>
      <c r="O346" s="1130"/>
      <c r="P346" s="1130"/>
      <c r="AB346" s="1044"/>
    </row>
    <row r="347" spans="1:28">
      <c r="A347" s="1083"/>
      <c r="I347" s="1130"/>
      <c r="J347" s="1130"/>
      <c r="K347" s="1130"/>
      <c r="L347" s="1130"/>
      <c r="M347" s="1130"/>
      <c r="N347" s="1130"/>
      <c r="O347" s="1130"/>
      <c r="P347" s="1130"/>
      <c r="AB347" s="1044"/>
    </row>
    <row r="348" spans="1:28">
      <c r="A348" s="1083"/>
      <c r="I348" s="1130"/>
      <c r="J348" s="1130"/>
      <c r="K348" s="1130"/>
      <c r="L348" s="1130"/>
      <c r="M348" s="1130"/>
      <c r="N348" s="1130"/>
      <c r="O348" s="1130"/>
      <c r="P348" s="1130"/>
      <c r="AB348" s="1044"/>
    </row>
    <row r="349" spans="1:28">
      <c r="A349" s="1083"/>
      <c r="I349" s="1130"/>
      <c r="J349" s="1130"/>
      <c r="K349" s="1130"/>
      <c r="L349" s="1130"/>
      <c r="M349" s="1130"/>
      <c r="N349" s="1130"/>
      <c r="O349" s="1130"/>
      <c r="P349" s="1130"/>
      <c r="AB349" s="1044"/>
    </row>
    <row r="350" spans="1:28">
      <c r="A350" s="1045" t="s">
        <v>306</v>
      </c>
      <c r="B350" s="1046"/>
      <c r="C350" s="1046"/>
      <c r="D350" s="1046"/>
      <c r="E350" s="1046"/>
      <c r="F350" s="1046"/>
      <c r="G350" s="1046"/>
      <c r="H350" s="1046"/>
      <c r="I350" s="1046"/>
      <c r="J350" s="1046"/>
      <c r="K350" s="1046"/>
      <c r="L350" s="1046"/>
      <c r="M350" s="1046"/>
      <c r="N350" s="1046"/>
      <c r="O350" s="1046"/>
      <c r="P350" s="1046"/>
      <c r="Q350" s="1046"/>
      <c r="R350" s="1046"/>
      <c r="S350" s="1046"/>
      <c r="T350" s="1046"/>
      <c r="U350" s="1046"/>
      <c r="V350" s="1046"/>
      <c r="W350" s="1046"/>
      <c r="X350" s="1046"/>
      <c r="Y350" s="1046"/>
      <c r="Z350" s="1046"/>
      <c r="AA350" s="1046"/>
      <c r="AB350" s="1047"/>
    </row>
    <row r="351" ht="14.4" customHeight="1" spans="1:28">
      <c r="A351" s="1048" t="s">
        <v>269</v>
      </c>
      <c r="B351" s="1049"/>
      <c r="C351" s="1049"/>
      <c r="D351" s="1050"/>
      <c r="E351" s="1051" t="s">
        <v>270</v>
      </c>
      <c r="F351" s="1049"/>
      <c r="G351" s="1049"/>
      <c r="H351" s="1050"/>
      <c r="I351" s="1104" t="s">
        <v>271</v>
      </c>
      <c r="J351" s="1102"/>
      <c r="K351" s="1102"/>
      <c r="L351" s="1103"/>
      <c r="M351" s="1104" t="s">
        <v>272</v>
      </c>
      <c r="N351" s="1102"/>
      <c r="O351" s="1102"/>
      <c r="P351" s="1103"/>
      <c r="Q351" s="1104" t="s">
        <v>273</v>
      </c>
      <c r="R351" s="1102"/>
      <c r="S351" s="1102"/>
      <c r="T351" s="1103"/>
      <c r="U351" s="1104" t="s">
        <v>274</v>
      </c>
      <c r="V351" s="1102"/>
      <c r="W351" s="1102"/>
      <c r="X351" s="1103"/>
      <c r="Y351" s="1104" t="s">
        <v>274</v>
      </c>
      <c r="Z351" s="1102"/>
      <c r="AA351" s="1102"/>
      <c r="AB351" s="1106"/>
    </row>
    <row r="352" spans="1:28">
      <c r="A352" s="1058"/>
      <c r="B352" s="1059"/>
      <c r="C352" s="1059"/>
      <c r="D352" s="1060"/>
      <c r="E352" s="1061"/>
      <c r="F352" s="1059"/>
      <c r="G352" s="1059"/>
      <c r="H352" s="1060"/>
      <c r="I352" s="1061" t="s">
        <v>275</v>
      </c>
      <c r="J352" s="1059"/>
      <c r="K352" s="1059"/>
      <c r="L352" s="1060"/>
      <c r="M352" s="1061" t="s">
        <v>276</v>
      </c>
      <c r="N352" s="1059"/>
      <c r="O352" s="1059"/>
      <c r="P352" s="1060"/>
      <c r="Q352" s="1061" t="s">
        <v>277</v>
      </c>
      <c r="R352" s="1059"/>
      <c r="S352" s="1059"/>
      <c r="T352" s="1060"/>
      <c r="U352" s="1061" t="s">
        <v>277</v>
      </c>
      <c r="V352" s="1059"/>
      <c r="W352" s="1059"/>
      <c r="X352" s="1060"/>
      <c r="Y352" s="1061" t="s">
        <v>278</v>
      </c>
      <c r="Z352" s="1059"/>
      <c r="AA352" s="1059"/>
      <c r="AB352" s="1108"/>
    </row>
    <row r="353" ht="15.75" spans="1:28">
      <c r="A353" s="1133" t="s">
        <v>279</v>
      </c>
      <c r="B353" s="1134"/>
      <c r="C353" s="1134"/>
      <c r="D353" s="1134"/>
      <c r="E353" s="1137">
        <v>3</v>
      </c>
      <c r="F353" s="1137"/>
      <c r="G353" s="1137"/>
      <c r="H353" s="1137"/>
      <c r="I353" s="1138">
        <v>20</v>
      </c>
      <c r="J353" s="1138"/>
      <c r="K353" s="1138"/>
      <c r="L353" s="1138"/>
      <c r="M353" s="1138">
        <v>330</v>
      </c>
      <c r="N353" s="1138"/>
      <c r="O353" s="1138"/>
      <c r="P353" s="1138"/>
      <c r="Q353" s="1138">
        <v>10</v>
      </c>
      <c r="R353" s="1138"/>
      <c r="S353" s="1138"/>
      <c r="T353" s="1138"/>
      <c r="U353" s="1138">
        <f>M353*Q353</f>
        <v>3300</v>
      </c>
      <c r="V353" s="1138"/>
      <c r="W353" s="1138"/>
      <c r="X353" s="1138"/>
      <c r="Y353" s="1138">
        <f>U353/100</f>
        <v>33</v>
      </c>
      <c r="Z353" s="1138"/>
      <c r="AA353" s="1138"/>
      <c r="AB353" s="1139"/>
    </row>
    <row r="354" ht="15.75" spans="1:28">
      <c r="A354" s="1083"/>
      <c r="AB354" s="1044"/>
    </row>
    <row r="355" spans="1:28">
      <c r="A355" s="1083"/>
      <c r="K355" s="1084" t="s">
        <v>307</v>
      </c>
      <c r="L355" s="1085"/>
      <c r="M355" s="1085"/>
      <c r="N355" s="1085"/>
      <c r="O355" s="1085"/>
      <c r="P355" s="1085"/>
      <c r="Q355" s="1085"/>
      <c r="R355" s="1086"/>
      <c r="AB355" s="1044"/>
    </row>
    <row r="356" spans="1:28">
      <c r="A356" s="1083"/>
      <c r="K356" s="1087" t="s">
        <v>281</v>
      </c>
      <c r="L356" s="1088"/>
      <c r="M356" s="1088"/>
      <c r="N356" s="1088"/>
      <c r="O356" s="1088"/>
      <c r="P356" s="1088"/>
      <c r="Q356" s="1088"/>
      <c r="R356" s="1089"/>
      <c r="AB356" s="1044"/>
    </row>
    <row r="357" spans="1:28">
      <c r="A357" s="1083"/>
      <c r="K357" s="1090"/>
      <c r="L357" s="1091"/>
      <c r="M357" s="1091"/>
      <c r="N357" s="1091"/>
      <c r="O357" s="1091"/>
      <c r="P357" s="1091"/>
      <c r="Q357" s="1091"/>
      <c r="R357" s="1092"/>
      <c r="AB357" s="1044"/>
    </row>
    <row r="358" ht="15.75" spans="1:28">
      <c r="A358" s="1083"/>
      <c r="K358" s="1093">
        <f>ROUNDUP(Y353*2.466,1)</f>
        <v>81.4</v>
      </c>
      <c r="L358" s="1094"/>
      <c r="M358" s="1094"/>
      <c r="N358" s="1094"/>
      <c r="O358" s="1094"/>
      <c r="P358" s="1094"/>
      <c r="Q358" s="1094"/>
      <c r="R358" s="1095"/>
      <c r="AB358" s="1044"/>
    </row>
    <row r="359" ht="15.75" spans="1:28">
      <c r="A359" s="1096"/>
      <c r="B359" s="389"/>
      <c r="C359" s="389"/>
      <c r="D359" s="389"/>
      <c r="E359" s="389"/>
      <c r="F359" s="389"/>
      <c r="G359" s="389"/>
      <c r="H359" s="389"/>
      <c r="I359" s="1097"/>
      <c r="J359" s="1097"/>
      <c r="K359" s="1097"/>
      <c r="L359" s="1097"/>
      <c r="M359" s="1097"/>
      <c r="N359" s="1097"/>
      <c r="O359" s="1097"/>
      <c r="P359" s="1097"/>
      <c r="Q359" s="389"/>
      <c r="R359" s="389"/>
      <c r="S359" s="389"/>
      <c r="T359" s="389"/>
      <c r="U359" s="389"/>
      <c r="V359" s="389"/>
      <c r="W359" s="389"/>
      <c r="X359" s="389"/>
      <c r="Y359" s="389"/>
      <c r="Z359" s="389"/>
      <c r="AA359" s="389"/>
      <c r="AB359" s="1098"/>
    </row>
    <row r="360" s="437" customFormat="1" spans="1:28">
      <c r="A360" s="1043" t="s">
        <v>308</v>
      </c>
      <c r="I360" s="1140"/>
      <c r="J360" s="1140"/>
      <c r="K360" s="1140"/>
      <c r="L360" s="1140"/>
      <c r="M360" s="1140"/>
      <c r="N360" s="1140"/>
      <c r="O360" s="1140"/>
      <c r="P360" s="1140"/>
      <c r="AB360" s="1141"/>
    </row>
    <row r="361" spans="1:28">
      <c r="A361" s="1083"/>
      <c r="I361" s="1130"/>
      <c r="J361" s="1130"/>
      <c r="K361" s="1130"/>
      <c r="L361" s="1130"/>
      <c r="M361" s="1130"/>
      <c r="N361" s="1130"/>
      <c r="O361" s="1130"/>
      <c r="P361" s="1130"/>
      <c r="AB361" s="1044"/>
    </row>
    <row r="362" spans="1:28">
      <c r="A362" s="1045" t="s">
        <v>306</v>
      </c>
      <c r="B362" s="1046"/>
      <c r="C362" s="1046"/>
      <c r="D362" s="1046"/>
      <c r="E362" s="1046"/>
      <c r="F362" s="1046"/>
      <c r="G362" s="1046"/>
      <c r="H362" s="1046"/>
      <c r="I362" s="1046"/>
      <c r="J362" s="1046"/>
      <c r="K362" s="1046"/>
      <c r="L362" s="1046"/>
      <c r="M362" s="1046"/>
      <c r="N362" s="1046"/>
      <c r="O362" s="1046"/>
      <c r="P362" s="1046"/>
      <c r="Q362" s="1046"/>
      <c r="R362" s="1046"/>
      <c r="S362" s="1046"/>
      <c r="T362" s="1046"/>
      <c r="U362" s="1046"/>
      <c r="V362" s="1046"/>
      <c r="W362" s="1046"/>
      <c r="X362" s="1046"/>
      <c r="Y362" s="1046"/>
      <c r="Z362" s="1046"/>
      <c r="AA362" s="1046"/>
      <c r="AB362" s="1047"/>
    </row>
    <row r="363" ht="14.4" customHeight="1" spans="1:28">
      <c r="A363" s="1083"/>
      <c r="I363" s="1104" t="s">
        <v>272</v>
      </c>
      <c r="J363" s="1102"/>
      <c r="K363" s="1102"/>
      <c r="L363" s="1103"/>
      <c r="M363" s="1104" t="s">
        <v>273</v>
      </c>
      <c r="N363" s="1102"/>
      <c r="O363" s="1102"/>
      <c r="P363" s="1103"/>
      <c r="Q363" s="1104" t="s">
        <v>274</v>
      </c>
      <c r="R363" s="1102"/>
      <c r="S363" s="1102"/>
      <c r="T363" s="1103"/>
      <c r="AB363" s="1044"/>
    </row>
    <row r="364" ht="14.4" customHeight="1" spans="1:28">
      <c r="A364" s="1083"/>
      <c r="I364" s="1061" t="s">
        <v>276</v>
      </c>
      <c r="J364" s="1059"/>
      <c r="K364" s="1059"/>
      <c r="L364" s="1060"/>
      <c r="M364" s="1061" t="s">
        <v>277</v>
      </c>
      <c r="N364" s="1059"/>
      <c r="O364" s="1059"/>
      <c r="P364" s="1060"/>
      <c r="Q364" s="1061" t="s">
        <v>277</v>
      </c>
      <c r="R364" s="1059"/>
      <c r="S364" s="1059"/>
      <c r="T364" s="1060"/>
      <c r="AB364" s="1044"/>
    </row>
    <row r="365" ht="15.75" spans="1:28">
      <c r="A365" s="1083"/>
      <c r="I365" s="1138">
        <v>15</v>
      </c>
      <c r="J365" s="1138"/>
      <c r="K365" s="1138"/>
      <c r="L365" s="1138"/>
      <c r="M365" s="1138">
        <v>800</v>
      </c>
      <c r="N365" s="1138"/>
      <c r="O365" s="1138"/>
      <c r="P365" s="1138"/>
      <c r="Q365" s="1138">
        <f>I365*M365</f>
        <v>12000</v>
      </c>
      <c r="R365" s="1138"/>
      <c r="S365" s="1138"/>
      <c r="T365" s="1138"/>
      <c r="AB365" s="1044"/>
    </row>
    <row r="366" ht="15.75" spans="1:28">
      <c r="A366" s="1083"/>
      <c r="AB366" s="1044"/>
    </row>
    <row r="367" spans="1:28">
      <c r="A367" s="1083"/>
      <c r="K367" s="1084" t="s">
        <v>309</v>
      </c>
      <c r="L367" s="1085"/>
      <c r="M367" s="1085"/>
      <c r="N367" s="1085"/>
      <c r="O367" s="1085"/>
      <c r="P367" s="1085"/>
      <c r="Q367" s="1085"/>
      <c r="R367" s="1086"/>
      <c r="AB367" s="1044"/>
    </row>
    <row r="368" spans="1:28">
      <c r="A368" s="1083"/>
      <c r="K368" s="1087" t="s">
        <v>284</v>
      </c>
      <c r="L368" s="1088"/>
      <c r="M368" s="1088"/>
      <c r="N368" s="1088"/>
      <c r="O368" s="1088"/>
      <c r="P368" s="1088"/>
      <c r="Q368" s="1088"/>
      <c r="R368" s="1089"/>
      <c r="AB368" s="1044"/>
    </row>
    <row r="369" spans="1:28">
      <c r="A369" s="1083"/>
      <c r="K369" s="1090"/>
      <c r="L369" s="1091"/>
      <c r="M369" s="1091"/>
      <c r="N369" s="1091"/>
      <c r="O369" s="1091"/>
      <c r="P369" s="1091"/>
      <c r="Q369" s="1091"/>
      <c r="R369" s="1092"/>
      <c r="AB369" s="1044"/>
    </row>
    <row r="370" ht="15.75" spans="1:28">
      <c r="A370" s="1083"/>
      <c r="K370" s="1093">
        <f>Q365/100</f>
        <v>120</v>
      </c>
      <c r="L370" s="1094"/>
      <c r="M370" s="1094"/>
      <c r="N370" s="1094"/>
      <c r="O370" s="1094"/>
      <c r="P370" s="1094"/>
      <c r="Q370" s="1094"/>
      <c r="R370" s="1095"/>
      <c r="AB370" s="1044"/>
    </row>
    <row r="371" ht="15.75" spans="1:28">
      <c r="A371" s="1096"/>
      <c r="B371" s="389"/>
      <c r="C371" s="389"/>
      <c r="D371" s="389"/>
      <c r="E371" s="389"/>
      <c r="F371" s="389"/>
      <c r="G371" s="389"/>
      <c r="H371" s="389"/>
      <c r="I371" s="1097"/>
      <c r="J371" s="1097"/>
      <c r="K371" s="1097"/>
      <c r="L371" s="1097"/>
      <c r="M371" s="1097"/>
      <c r="N371" s="1097"/>
      <c r="O371" s="1097"/>
      <c r="P371" s="1097"/>
      <c r="Q371" s="389"/>
      <c r="R371" s="389"/>
      <c r="S371" s="389"/>
      <c r="T371" s="389"/>
      <c r="U371" s="389"/>
      <c r="V371" s="389"/>
      <c r="W371" s="389"/>
      <c r="X371" s="389"/>
      <c r="Y371" s="389"/>
      <c r="Z371" s="389"/>
      <c r="AA371" s="389"/>
      <c r="AB371" s="1098"/>
    </row>
    <row r="372" s="437" customFormat="1" spans="1:28">
      <c r="A372" s="1043" t="s">
        <v>310</v>
      </c>
      <c r="I372" s="1140"/>
      <c r="J372" s="1140"/>
      <c r="K372" s="1140"/>
      <c r="L372" s="1140"/>
      <c r="M372" s="1140"/>
      <c r="N372" s="1140"/>
      <c r="O372" s="1140"/>
      <c r="P372" s="1140"/>
      <c r="AB372" s="1141"/>
    </row>
    <row r="373" spans="1:28">
      <c r="A373" s="1083"/>
      <c r="I373" s="1130"/>
      <c r="J373" s="1130"/>
      <c r="K373" s="1130"/>
      <c r="L373" s="1130"/>
      <c r="M373" s="1130"/>
      <c r="N373" s="1130"/>
      <c r="O373" s="1130"/>
      <c r="P373" s="1130"/>
      <c r="AB373" s="1044"/>
    </row>
    <row r="374" spans="1:28">
      <c r="A374" s="1045" t="s">
        <v>268</v>
      </c>
      <c r="B374" s="1046"/>
      <c r="C374" s="1046"/>
      <c r="D374" s="1046"/>
      <c r="E374" s="1046"/>
      <c r="F374" s="1046"/>
      <c r="G374" s="1046"/>
      <c r="H374" s="1046"/>
      <c r="I374" s="1046"/>
      <c r="J374" s="1046"/>
      <c r="K374" s="1046"/>
      <c r="L374" s="1046"/>
      <c r="M374" s="1046"/>
      <c r="N374" s="1046"/>
      <c r="O374" s="1046"/>
      <c r="P374" s="1046"/>
      <c r="Q374" s="1046"/>
      <c r="R374" s="1046"/>
      <c r="S374" s="1046"/>
      <c r="T374" s="1046"/>
      <c r="U374" s="1046"/>
      <c r="V374" s="1046"/>
      <c r="W374" s="1046"/>
      <c r="X374" s="1046"/>
      <c r="Y374" s="1046"/>
      <c r="Z374" s="1046"/>
      <c r="AA374" s="1046"/>
      <c r="AB374" s="1047"/>
    </row>
    <row r="375" ht="14.4" customHeight="1" spans="1:28">
      <c r="A375" s="1083"/>
      <c r="I375" s="1104" t="s">
        <v>286</v>
      </c>
      <c r="J375" s="1102"/>
      <c r="K375" s="1102"/>
      <c r="L375" s="1103"/>
      <c r="M375" s="1104" t="s">
        <v>287</v>
      </c>
      <c r="N375" s="1102"/>
      <c r="O375" s="1102"/>
      <c r="P375" s="1103"/>
      <c r="Q375" s="1104" t="s">
        <v>288</v>
      </c>
      <c r="R375" s="1102"/>
      <c r="S375" s="1102"/>
      <c r="T375" s="1103"/>
      <c r="AB375" s="1044"/>
    </row>
    <row r="376" ht="14.4" customHeight="1" spans="1:28">
      <c r="A376" s="1083"/>
      <c r="I376" s="1061" t="s">
        <v>289</v>
      </c>
      <c r="J376" s="1059"/>
      <c r="K376" s="1059"/>
      <c r="L376" s="1060"/>
      <c r="M376" s="1061" t="s">
        <v>290</v>
      </c>
      <c r="N376" s="1059"/>
      <c r="O376" s="1059"/>
      <c r="P376" s="1060"/>
      <c r="Q376" s="1061" t="s">
        <v>291</v>
      </c>
      <c r="R376" s="1059"/>
      <c r="S376" s="1059"/>
      <c r="T376" s="1060"/>
      <c r="AB376" s="1044"/>
    </row>
    <row r="377" ht="15.75" spans="1:28">
      <c r="A377" s="1083"/>
      <c r="I377" s="1138">
        <f>Orçamento!AH29</f>
        <v>57.6</v>
      </c>
      <c r="J377" s="1138"/>
      <c r="K377" s="1138"/>
      <c r="L377" s="1138"/>
      <c r="M377" s="1138">
        <v>1</v>
      </c>
      <c r="N377" s="1138"/>
      <c r="O377" s="1138"/>
      <c r="P377" s="1138"/>
      <c r="Q377" s="1138">
        <f>I377/M377</f>
        <v>57.6</v>
      </c>
      <c r="R377" s="1138"/>
      <c r="S377" s="1138"/>
      <c r="T377" s="1138"/>
      <c r="AB377" s="1044"/>
    </row>
    <row r="378" ht="15.75" spans="1:28">
      <c r="A378" s="1083"/>
      <c r="AB378" s="1044"/>
    </row>
    <row r="379" spans="1:28">
      <c r="A379" s="1083"/>
      <c r="K379" s="1084" t="s">
        <v>311</v>
      </c>
      <c r="L379" s="1085"/>
      <c r="M379" s="1085"/>
      <c r="N379" s="1085"/>
      <c r="O379" s="1085"/>
      <c r="P379" s="1085"/>
      <c r="Q379" s="1085"/>
      <c r="R379" s="1086"/>
      <c r="AB379" s="1044"/>
    </row>
    <row r="380" spans="1:28">
      <c r="A380" s="1083"/>
      <c r="K380" s="1087" t="s">
        <v>293</v>
      </c>
      <c r="L380" s="1088"/>
      <c r="M380" s="1088"/>
      <c r="N380" s="1088"/>
      <c r="O380" s="1088"/>
      <c r="P380" s="1088"/>
      <c r="Q380" s="1088"/>
      <c r="R380" s="1089"/>
      <c r="AB380" s="1044"/>
    </row>
    <row r="381" spans="1:28">
      <c r="A381" s="1083"/>
      <c r="K381" s="1090"/>
      <c r="L381" s="1091"/>
      <c r="M381" s="1091"/>
      <c r="N381" s="1091"/>
      <c r="O381" s="1091"/>
      <c r="P381" s="1091"/>
      <c r="Q381" s="1091"/>
      <c r="R381" s="1092"/>
      <c r="AB381" s="1044"/>
    </row>
    <row r="382" ht="15.75" spans="1:28">
      <c r="A382" s="1083"/>
      <c r="K382" s="1093">
        <f>ROUNDUP(Q377,-1)</f>
        <v>60</v>
      </c>
      <c r="L382" s="1094"/>
      <c r="M382" s="1094"/>
      <c r="N382" s="1094"/>
      <c r="O382" s="1094"/>
      <c r="P382" s="1094"/>
      <c r="Q382" s="1094"/>
      <c r="R382" s="1095"/>
      <c r="AB382" s="1044"/>
    </row>
    <row r="383" ht="15.75" spans="1:28">
      <c r="A383" s="1096"/>
      <c r="B383" s="389"/>
      <c r="C383" s="389"/>
      <c r="D383" s="389"/>
      <c r="E383" s="389"/>
      <c r="F383" s="389"/>
      <c r="G383" s="389"/>
      <c r="H383" s="389"/>
      <c r="I383" s="1097"/>
      <c r="J383" s="1097"/>
      <c r="K383" s="1097"/>
      <c r="L383" s="1097"/>
      <c r="M383" s="1097"/>
      <c r="N383" s="1097"/>
      <c r="O383" s="1097"/>
      <c r="P383" s="1097"/>
      <c r="Q383" s="389"/>
      <c r="R383" s="389"/>
      <c r="S383" s="389"/>
      <c r="T383" s="389"/>
      <c r="U383" s="389"/>
      <c r="V383" s="389"/>
      <c r="W383" s="389"/>
      <c r="X383" s="389"/>
      <c r="Y383" s="389"/>
      <c r="Z383" s="389"/>
      <c r="AA383" s="389"/>
      <c r="AB383" s="1098"/>
    </row>
    <row r="384" spans="1:28">
      <c r="A384" s="1040" t="s">
        <v>312</v>
      </c>
      <c r="B384" s="1041"/>
      <c r="C384" s="1041"/>
      <c r="D384" s="1041"/>
      <c r="E384" s="1041"/>
      <c r="F384" s="1041"/>
      <c r="G384" s="1041"/>
      <c r="H384" s="1041"/>
      <c r="I384" s="1041"/>
      <c r="J384" s="1041"/>
      <c r="K384" s="1041"/>
      <c r="L384" s="1041"/>
      <c r="M384" s="1041"/>
      <c r="N384" s="1041"/>
      <c r="O384" s="1041"/>
      <c r="P384" s="1041"/>
      <c r="Q384" s="1041"/>
      <c r="R384" s="1041"/>
      <c r="S384" s="1041"/>
      <c r="T384" s="1041"/>
      <c r="U384" s="1041"/>
      <c r="V384" s="1041"/>
      <c r="W384" s="1041"/>
      <c r="X384" s="1041"/>
      <c r="Y384" s="1041"/>
      <c r="Z384" s="1041"/>
      <c r="AA384" s="1041"/>
      <c r="AB384" s="1042"/>
    </row>
    <row r="385" spans="1:28">
      <c r="A385" s="1083"/>
      <c r="AB385" s="1044"/>
    </row>
    <row r="386" spans="1:28">
      <c r="A386" s="1083"/>
      <c r="AB386" s="1044"/>
    </row>
    <row r="387" spans="1:28">
      <c r="A387" s="1083"/>
      <c r="AB387" s="1044"/>
    </row>
    <row r="388" spans="1:28">
      <c r="A388" s="1083"/>
      <c r="AB388" s="1044"/>
    </row>
    <row r="389" spans="1:28">
      <c r="A389" s="1083"/>
      <c r="AB389" s="1044"/>
    </row>
    <row r="390" spans="1:28">
      <c r="A390" s="1083"/>
      <c r="AB390" s="1044"/>
    </row>
    <row r="391" spans="1:28">
      <c r="A391" s="1083"/>
      <c r="AB391" s="1044"/>
    </row>
    <row r="392" spans="1:28">
      <c r="A392" s="1083"/>
      <c r="AB392" s="1044"/>
    </row>
    <row r="393" spans="1:28">
      <c r="A393" s="1083"/>
      <c r="AB393" s="1044"/>
    </row>
    <row r="394" spans="1:28">
      <c r="A394" s="1083"/>
      <c r="AB394" s="1044"/>
    </row>
    <row r="395" spans="1:28">
      <c r="A395" s="1083"/>
      <c r="AB395" s="1044"/>
    </row>
    <row r="396" spans="1:28">
      <c r="A396" s="1083"/>
      <c r="AB396" s="1044"/>
    </row>
    <row r="397" spans="1:28">
      <c r="A397" s="1083"/>
      <c r="AB397" s="1044"/>
    </row>
    <row r="398" spans="1:28">
      <c r="A398" s="1083"/>
      <c r="AB398" s="1044"/>
    </row>
    <row r="399" spans="1:28">
      <c r="A399" s="1083"/>
      <c r="AB399" s="1044"/>
    </row>
    <row r="400" spans="1:28">
      <c r="A400" s="1083"/>
      <c r="AB400" s="1044"/>
    </row>
    <row r="401" spans="1:28">
      <c r="A401" s="1099" t="s">
        <v>313</v>
      </c>
      <c r="B401" s="424"/>
      <c r="C401" s="424"/>
      <c r="D401" s="424"/>
      <c r="E401" s="424"/>
      <c r="F401" s="424"/>
      <c r="G401" s="424"/>
      <c r="H401" s="424"/>
      <c r="I401" s="424"/>
      <c r="J401" s="424"/>
      <c r="K401" s="424"/>
      <c r="L401" s="424"/>
      <c r="M401" s="424"/>
      <c r="N401" s="424"/>
      <c r="O401" s="424"/>
      <c r="P401" s="424"/>
      <c r="Q401" s="424"/>
      <c r="R401" s="424"/>
      <c r="S401" s="424"/>
      <c r="T401" s="424"/>
      <c r="U401" s="424"/>
      <c r="V401" s="424"/>
      <c r="W401" s="424"/>
      <c r="X401" s="424"/>
      <c r="Y401" s="424"/>
      <c r="Z401" s="424"/>
      <c r="AA401" s="424"/>
      <c r="AB401" s="1100"/>
    </row>
    <row r="402" spans="1:28">
      <c r="A402" s="1101" t="s">
        <v>205</v>
      </c>
      <c r="B402" s="1102"/>
      <c r="C402" s="1102"/>
      <c r="D402" s="1103"/>
      <c r="E402" s="1104" t="s">
        <v>206</v>
      </c>
      <c r="F402" s="1102"/>
      <c r="G402" s="1102"/>
      <c r="H402" s="1103"/>
      <c r="I402" s="1104" t="s">
        <v>235</v>
      </c>
      <c r="J402" s="1102"/>
      <c r="K402" s="1102"/>
      <c r="L402" s="1103"/>
      <c r="M402" s="1052"/>
      <c r="N402" s="1053"/>
      <c r="O402" s="1053"/>
      <c r="P402" s="1054"/>
      <c r="Q402" s="1052"/>
      <c r="R402" s="1053"/>
      <c r="S402" s="1053"/>
      <c r="T402" s="1054"/>
      <c r="U402" s="1052"/>
      <c r="V402" s="1053"/>
      <c r="W402" s="1053"/>
      <c r="X402" s="1054"/>
      <c r="Y402" s="1104" t="s">
        <v>314</v>
      </c>
      <c r="Z402" s="1102"/>
      <c r="AA402" s="1102"/>
      <c r="AB402" s="1106"/>
    </row>
    <row r="403" spans="1:28">
      <c r="A403" s="1058" t="s">
        <v>209</v>
      </c>
      <c r="B403" s="1059"/>
      <c r="C403" s="1059"/>
      <c r="D403" s="1060"/>
      <c r="E403" s="1061" t="s">
        <v>315</v>
      </c>
      <c r="F403" s="1059"/>
      <c r="G403" s="1059"/>
      <c r="H403" s="1060"/>
      <c r="I403" s="1061" t="s">
        <v>210</v>
      </c>
      <c r="J403" s="1059"/>
      <c r="K403" s="1059"/>
      <c r="L403" s="1060"/>
      <c r="M403" s="1062"/>
      <c r="N403" s="1063"/>
      <c r="O403" s="1063"/>
      <c r="P403" s="1064"/>
      <c r="Q403" s="1062"/>
      <c r="R403" s="1063"/>
      <c r="S403" s="1063"/>
      <c r="T403" s="1064"/>
      <c r="U403" s="1062"/>
      <c r="V403" s="1063"/>
      <c r="W403" s="1063"/>
      <c r="X403" s="1064"/>
      <c r="Y403" s="1061"/>
      <c r="Z403" s="1059"/>
      <c r="AA403" s="1059"/>
      <c r="AB403" s="1108"/>
    </row>
    <row r="404" ht="15.75" spans="1:28">
      <c r="A404" s="1109">
        <v>4</v>
      </c>
      <c r="B404" s="1110"/>
      <c r="C404" s="1110"/>
      <c r="D404" s="1110"/>
      <c r="E404" s="1110">
        <v>0.4</v>
      </c>
      <c r="F404" s="1110"/>
      <c r="G404" s="1110"/>
      <c r="H404" s="1110"/>
      <c r="I404" s="1110">
        <v>6.24</v>
      </c>
      <c r="J404" s="1110"/>
      <c r="K404" s="1110"/>
      <c r="L404" s="1110"/>
      <c r="M404" s="1074"/>
      <c r="N404" s="1075"/>
      <c r="O404" s="1075"/>
      <c r="P404" s="1076"/>
      <c r="Q404" s="1074"/>
      <c r="R404" s="1075"/>
      <c r="S404" s="1075"/>
      <c r="T404" s="1076"/>
      <c r="U404" s="1074"/>
      <c r="V404" s="1075"/>
      <c r="W404" s="1075"/>
      <c r="X404" s="1076"/>
      <c r="Y404" s="1077">
        <f>$A404*$E404*$I404</f>
        <v>9.984</v>
      </c>
      <c r="Z404" s="1077"/>
      <c r="AA404" s="1077"/>
      <c r="AB404" s="1078"/>
    </row>
    <row r="405" ht="17.25" spans="1:28">
      <c r="A405" s="1079" t="s">
        <v>316</v>
      </c>
      <c r="B405" s="1080"/>
      <c r="C405" s="1080"/>
      <c r="D405" s="1080"/>
      <c r="E405" s="1080"/>
      <c r="F405" s="1080"/>
      <c r="G405" s="1080"/>
      <c r="H405" s="1080"/>
      <c r="I405" s="1080"/>
      <c r="J405" s="1080"/>
      <c r="K405" s="1080"/>
      <c r="L405" s="1080"/>
      <c r="M405" s="1080"/>
      <c r="N405" s="1080"/>
      <c r="O405" s="1080"/>
      <c r="P405" s="1080"/>
      <c r="Q405" s="1080"/>
      <c r="R405" s="1080"/>
      <c r="S405" s="1080"/>
      <c r="T405" s="1080"/>
      <c r="U405" s="1080"/>
      <c r="V405" s="1080"/>
      <c r="W405" s="1080"/>
      <c r="X405" s="1080"/>
      <c r="Y405" s="1080"/>
      <c r="Z405" s="1080"/>
      <c r="AA405" s="1080"/>
      <c r="AB405" s="1081"/>
    </row>
    <row r="406" spans="1:28">
      <c r="A406" s="1083"/>
      <c r="AB406" s="1044"/>
    </row>
    <row r="407" spans="1:28">
      <c r="A407" s="1099" t="s">
        <v>317</v>
      </c>
      <c r="B407" s="424"/>
      <c r="C407" s="424"/>
      <c r="D407" s="424"/>
      <c r="E407" s="424"/>
      <c r="F407" s="424"/>
      <c r="G407" s="424"/>
      <c r="H407" s="424"/>
      <c r="I407" s="424"/>
      <c r="J407" s="424"/>
      <c r="K407" s="424"/>
      <c r="L407" s="424"/>
      <c r="M407" s="424"/>
      <c r="N407" s="424"/>
      <c r="O407" s="424"/>
      <c r="P407" s="424"/>
      <c r="Q407" s="424"/>
      <c r="R407" s="424"/>
      <c r="S407" s="424"/>
      <c r="T407" s="424"/>
      <c r="U407" s="424"/>
      <c r="V407" s="424"/>
      <c r="W407" s="424"/>
      <c r="X407" s="424"/>
      <c r="Y407" s="424"/>
      <c r="Z407" s="424"/>
      <c r="AA407" s="424"/>
      <c r="AB407" s="1100"/>
    </row>
    <row r="408" spans="1:28">
      <c r="A408" s="1101" t="s">
        <v>249</v>
      </c>
      <c r="B408" s="1102"/>
      <c r="C408" s="1102"/>
      <c r="D408" s="1103"/>
      <c r="E408" s="1104" t="s">
        <v>252</v>
      </c>
      <c r="F408" s="1102"/>
      <c r="G408" s="1102"/>
      <c r="H408" s="1103"/>
      <c r="I408" s="1104" t="s">
        <v>253</v>
      </c>
      <c r="J408" s="1102"/>
      <c r="K408" s="1102"/>
      <c r="L408" s="1103"/>
      <c r="M408" s="1104"/>
      <c r="N408" s="1102"/>
      <c r="O408" s="1102"/>
      <c r="P408" s="1103"/>
      <c r="Q408" s="1104"/>
      <c r="R408" s="1102"/>
      <c r="S408" s="1102"/>
      <c r="T408" s="1103"/>
      <c r="U408" s="1104"/>
      <c r="V408" s="1102"/>
      <c r="W408" s="1102"/>
      <c r="X408" s="1103"/>
      <c r="Y408" s="1104" t="s">
        <v>314</v>
      </c>
      <c r="Z408" s="1102"/>
      <c r="AA408" s="1102"/>
      <c r="AB408" s="1106"/>
    </row>
    <row r="409" spans="1:28">
      <c r="A409" s="1058" t="s">
        <v>209</v>
      </c>
      <c r="B409" s="1059"/>
      <c r="C409" s="1059"/>
      <c r="D409" s="1060"/>
      <c r="E409" s="1061" t="s">
        <v>315</v>
      </c>
      <c r="F409" s="1059"/>
      <c r="G409" s="1059"/>
      <c r="H409" s="1060"/>
      <c r="I409" s="1061" t="s">
        <v>210</v>
      </c>
      <c r="J409" s="1059"/>
      <c r="K409" s="1059"/>
      <c r="L409" s="1060"/>
      <c r="M409" s="1061"/>
      <c r="N409" s="1059"/>
      <c r="O409" s="1059"/>
      <c r="P409" s="1060"/>
      <c r="Q409" s="1061"/>
      <c r="R409" s="1059"/>
      <c r="S409" s="1059"/>
      <c r="T409" s="1060"/>
      <c r="U409" s="1061"/>
      <c r="V409" s="1059"/>
      <c r="W409" s="1059"/>
      <c r="X409" s="1060"/>
      <c r="Y409" s="1061"/>
      <c r="Z409" s="1059"/>
      <c r="AA409" s="1059"/>
      <c r="AB409" s="1108"/>
    </row>
    <row r="410" ht="15.75" spans="1:28">
      <c r="A410" s="1109">
        <v>4</v>
      </c>
      <c r="B410" s="1110"/>
      <c r="C410" s="1110"/>
      <c r="D410" s="1110"/>
      <c r="E410" s="1110">
        <v>0.4</v>
      </c>
      <c r="F410" s="1110"/>
      <c r="G410" s="1110"/>
      <c r="H410" s="1110"/>
      <c r="I410" s="1110">
        <v>6.24</v>
      </c>
      <c r="J410" s="1110"/>
      <c r="K410" s="1110"/>
      <c r="L410" s="1110"/>
      <c r="M410" s="1151"/>
      <c r="N410" s="1152"/>
      <c r="O410" s="1152"/>
      <c r="P410" s="1153"/>
      <c r="Q410" s="1151"/>
      <c r="R410" s="1152"/>
      <c r="S410" s="1152"/>
      <c r="T410" s="1153"/>
      <c r="U410" s="1151"/>
      <c r="V410" s="1152"/>
      <c r="W410" s="1152"/>
      <c r="X410" s="1153"/>
      <c r="Y410" s="1077">
        <f>$A410*$E410*$I410</f>
        <v>9.984</v>
      </c>
      <c r="Z410" s="1077"/>
      <c r="AA410" s="1077"/>
      <c r="AB410" s="1078"/>
    </row>
    <row r="411" ht="17.25" spans="1:28">
      <c r="A411" s="1079" t="s">
        <v>318</v>
      </c>
      <c r="B411" s="1080"/>
      <c r="C411" s="1080"/>
      <c r="D411" s="1080"/>
      <c r="E411" s="1080"/>
      <c r="F411" s="1080"/>
      <c r="G411" s="1080"/>
      <c r="H411" s="1080"/>
      <c r="I411" s="1080"/>
      <c r="J411" s="1080"/>
      <c r="K411" s="1080"/>
      <c r="L411" s="1080"/>
      <c r="M411" s="1080"/>
      <c r="N411" s="1080"/>
      <c r="O411" s="1080"/>
      <c r="P411" s="1080"/>
      <c r="Q411" s="1080"/>
      <c r="R411" s="1080"/>
      <c r="S411" s="1080"/>
      <c r="T411" s="1080"/>
      <c r="U411" s="1080"/>
      <c r="V411" s="1080"/>
      <c r="W411" s="1080"/>
      <c r="X411" s="1080"/>
      <c r="Y411" s="1080"/>
      <c r="Z411" s="1080"/>
      <c r="AA411" s="1080"/>
      <c r="AB411" s="1081"/>
    </row>
    <row r="412" spans="1:28">
      <c r="A412" s="1083"/>
      <c r="AB412" s="1044"/>
    </row>
    <row r="413" spans="1:28">
      <c r="A413" s="1099" t="s">
        <v>319</v>
      </c>
      <c r="B413" s="424"/>
      <c r="C413" s="424"/>
      <c r="D413" s="424"/>
      <c r="E413" s="424"/>
      <c r="F413" s="424"/>
      <c r="G413" s="424"/>
      <c r="H413" s="424"/>
      <c r="I413" s="424"/>
      <c r="J413" s="424"/>
      <c r="K413" s="424"/>
      <c r="L413" s="424"/>
      <c r="M413" s="424"/>
      <c r="N413" s="424"/>
      <c r="O413" s="424"/>
      <c r="P413" s="424"/>
      <c r="Q413" s="424"/>
      <c r="R413" s="424"/>
      <c r="S413" s="424"/>
      <c r="T413" s="424"/>
      <c r="U413" s="424"/>
      <c r="V413" s="424"/>
      <c r="W413" s="424"/>
      <c r="X413" s="424"/>
      <c r="Y413" s="424"/>
      <c r="Z413" s="424"/>
      <c r="AA413" s="424"/>
      <c r="AB413" s="1100"/>
    </row>
    <row r="414" customHeight="1" spans="1:28">
      <c r="A414" s="1101" t="s">
        <v>236</v>
      </c>
      <c r="B414" s="1102"/>
      <c r="C414" s="1102"/>
      <c r="D414" s="1103"/>
      <c r="E414" s="1104" t="s">
        <v>237</v>
      </c>
      <c r="F414" s="1102"/>
      <c r="G414" s="1102"/>
      <c r="H414" s="1103"/>
      <c r="I414" s="1104" t="s">
        <v>246</v>
      </c>
      <c r="J414" s="1102"/>
      <c r="K414" s="1102"/>
      <c r="L414" s="1103"/>
      <c r="M414" s="1104"/>
      <c r="N414" s="1102"/>
      <c r="O414" s="1102"/>
      <c r="P414" s="1103"/>
      <c r="Q414" s="1104"/>
      <c r="R414" s="1102"/>
      <c r="S414" s="1102"/>
      <c r="T414" s="1103"/>
      <c r="U414" s="1104"/>
      <c r="V414" s="1102"/>
      <c r="W414" s="1102"/>
      <c r="X414" s="1103"/>
      <c r="Y414" s="1104" t="s">
        <v>314</v>
      </c>
      <c r="Z414" s="1102"/>
      <c r="AA414" s="1102"/>
      <c r="AB414" s="1106"/>
    </row>
    <row r="415" customHeight="1" spans="1:28">
      <c r="A415" s="1058" t="s">
        <v>209</v>
      </c>
      <c r="B415" s="1059"/>
      <c r="C415" s="1059"/>
      <c r="D415" s="1060"/>
      <c r="E415" s="1061" t="s">
        <v>315</v>
      </c>
      <c r="F415" s="1059"/>
      <c r="G415" s="1059"/>
      <c r="H415" s="1060"/>
      <c r="I415" s="1061" t="s">
        <v>210</v>
      </c>
      <c r="J415" s="1059"/>
      <c r="K415" s="1059"/>
      <c r="L415" s="1060"/>
      <c r="M415" s="1061"/>
      <c r="N415" s="1059"/>
      <c r="O415" s="1059"/>
      <c r="P415" s="1060"/>
      <c r="Q415" s="1061"/>
      <c r="R415" s="1059"/>
      <c r="S415" s="1059"/>
      <c r="T415" s="1060"/>
      <c r="U415" s="1061"/>
      <c r="V415" s="1059"/>
      <c r="W415" s="1059"/>
      <c r="X415" s="1060"/>
      <c r="Y415" s="1061"/>
      <c r="Z415" s="1059"/>
      <c r="AA415" s="1059"/>
      <c r="AB415" s="1108"/>
    </row>
    <row r="416" ht="15.75" spans="1:28">
      <c r="A416" s="1109">
        <v>6</v>
      </c>
      <c r="B416" s="1110"/>
      <c r="C416" s="1110"/>
      <c r="D416" s="1110"/>
      <c r="E416" s="1110">
        <v>0.4</v>
      </c>
      <c r="F416" s="1110"/>
      <c r="G416" s="1110"/>
      <c r="H416" s="1110"/>
      <c r="I416" s="1110">
        <v>5</v>
      </c>
      <c r="J416" s="1110"/>
      <c r="K416" s="1110"/>
      <c r="L416" s="1110"/>
      <c r="M416" s="1151"/>
      <c r="N416" s="1152"/>
      <c r="O416" s="1152"/>
      <c r="P416" s="1153"/>
      <c r="Q416" s="1151"/>
      <c r="R416" s="1152"/>
      <c r="S416" s="1152"/>
      <c r="T416" s="1153"/>
      <c r="U416" s="1151"/>
      <c r="V416" s="1152"/>
      <c r="W416" s="1152"/>
      <c r="X416" s="1153"/>
      <c r="Y416" s="1077">
        <f>$A416*$E416*$I416</f>
        <v>12</v>
      </c>
      <c r="Z416" s="1077"/>
      <c r="AA416" s="1077"/>
      <c r="AB416" s="1078"/>
    </row>
    <row r="417" ht="17.25" spans="1:28">
      <c r="A417" s="1079" t="s">
        <v>320</v>
      </c>
      <c r="B417" s="1080"/>
      <c r="C417" s="1080"/>
      <c r="D417" s="1080"/>
      <c r="E417" s="1080"/>
      <c r="F417" s="1080"/>
      <c r="G417" s="1080"/>
      <c r="H417" s="1080"/>
      <c r="I417" s="1080"/>
      <c r="J417" s="1080"/>
      <c r="K417" s="1080"/>
      <c r="L417" s="1080"/>
      <c r="M417" s="1080"/>
      <c r="N417" s="1080"/>
      <c r="O417" s="1080"/>
      <c r="P417" s="1080"/>
      <c r="Q417" s="1080"/>
      <c r="R417" s="1080"/>
      <c r="S417" s="1080"/>
      <c r="T417" s="1080"/>
      <c r="U417" s="1080"/>
      <c r="V417" s="1080"/>
      <c r="W417" s="1080"/>
      <c r="X417" s="1080"/>
      <c r="Y417" s="1080"/>
      <c r="Z417" s="1080"/>
      <c r="AA417" s="1080"/>
      <c r="AB417" s="1081"/>
    </row>
    <row r="418" spans="1:28">
      <c r="A418" s="1154"/>
      <c r="B418" s="1130"/>
      <c r="C418" s="1130"/>
      <c r="D418" s="1130"/>
      <c r="E418" s="1130"/>
      <c r="F418" s="1130"/>
      <c r="G418" s="1130"/>
      <c r="H418" s="1130"/>
      <c r="I418" s="1130"/>
      <c r="J418" s="1130"/>
      <c r="K418" s="1130"/>
      <c r="L418" s="1130"/>
      <c r="M418" s="1155"/>
      <c r="N418" s="1155"/>
      <c r="O418" s="1155"/>
      <c r="P418" s="1155"/>
      <c r="Q418" s="1155"/>
      <c r="R418" s="1155"/>
      <c r="S418" s="1155"/>
      <c r="T418" s="1155"/>
      <c r="AB418" s="1044"/>
    </row>
    <row r="419" spans="1:28">
      <c r="A419" s="1099" t="s">
        <v>321</v>
      </c>
      <c r="B419" s="424"/>
      <c r="C419" s="424"/>
      <c r="D419" s="424"/>
      <c r="E419" s="424"/>
      <c r="F419" s="424"/>
      <c r="G419" s="424"/>
      <c r="H419" s="424"/>
      <c r="I419" s="424"/>
      <c r="J419" s="424"/>
      <c r="K419" s="424"/>
      <c r="L419" s="424"/>
      <c r="M419" s="424"/>
      <c r="N419" s="424"/>
      <c r="O419" s="424"/>
      <c r="P419" s="424"/>
      <c r="Q419" s="424"/>
      <c r="R419" s="424"/>
      <c r="S419" s="424"/>
      <c r="T419" s="424"/>
      <c r="U419" s="424"/>
      <c r="V419" s="424"/>
      <c r="W419" s="424"/>
      <c r="X419" s="424"/>
      <c r="Y419" s="424"/>
      <c r="Z419" s="424"/>
      <c r="AA419" s="424"/>
      <c r="AB419" s="1100"/>
    </row>
    <row r="420" customHeight="1" spans="1:28">
      <c r="A420" s="1101" t="s">
        <v>236</v>
      </c>
      <c r="B420" s="1102"/>
      <c r="C420" s="1102"/>
      <c r="D420" s="1103"/>
      <c r="E420" s="1104" t="s">
        <v>238</v>
      </c>
      <c r="F420" s="1102"/>
      <c r="G420" s="1102"/>
      <c r="H420" s="1103"/>
      <c r="I420" s="1104" t="s">
        <v>247</v>
      </c>
      <c r="J420" s="1102"/>
      <c r="K420" s="1102"/>
      <c r="L420" s="1103"/>
      <c r="M420" s="1104" t="s">
        <v>248</v>
      </c>
      <c r="N420" s="1102"/>
      <c r="O420" s="1102"/>
      <c r="P420" s="1103"/>
      <c r="Q420" s="1104"/>
      <c r="R420" s="1102"/>
      <c r="S420" s="1102"/>
      <c r="T420" s="1103"/>
      <c r="U420" s="1104"/>
      <c r="V420" s="1102"/>
      <c r="W420" s="1102"/>
      <c r="X420" s="1103"/>
      <c r="Y420" s="1104" t="s">
        <v>314</v>
      </c>
      <c r="Z420" s="1102"/>
      <c r="AA420" s="1102"/>
      <c r="AB420" s="1106"/>
    </row>
    <row r="421" spans="1:28">
      <c r="A421" s="1058" t="s">
        <v>209</v>
      </c>
      <c r="B421" s="1059"/>
      <c r="C421" s="1059"/>
      <c r="D421" s="1060"/>
      <c r="E421" s="1061" t="s">
        <v>315</v>
      </c>
      <c r="F421" s="1059"/>
      <c r="G421" s="1059"/>
      <c r="H421" s="1060"/>
      <c r="I421" s="1061" t="s">
        <v>210</v>
      </c>
      <c r="J421" s="1059"/>
      <c r="K421" s="1059"/>
      <c r="L421" s="1060"/>
      <c r="M421" s="1061" t="s">
        <v>210</v>
      </c>
      <c r="N421" s="1059"/>
      <c r="O421" s="1059"/>
      <c r="P421" s="1060"/>
      <c r="Q421" s="1061"/>
      <c r="R421" s="1059"/>
      <c r="S421" s="1059"/>
      <c r="T421" s="1060"/>
      <c r="U421" s="1061"/>
      <c r="V421" s="1059"/>
      <c r="W421" s="1059"/>
      <c r="X421" s="1060"/>
      <c r="Y421" s="1061"/>
      <c r="Z421" s="1059"/>
      <c r="AA421" s="1059"/>
      <c r="AB421" s="1108"/>
    </row>
    <row r="422" ht="15.75" spans="1:28">
      <c r="A422" s="1109">
        <v>6</v>
      </c>
      <c r="B422" s="1110"/>
      <c r="C422" s="1110"/>
      <c r="D422" s="1110"/>
      <c r="E422" s="1110">
        <v>0.5</v>
      </c>
      <c r="F422" s="1110"/>
      <c r="G422" s="1110"/>
      <c r="H422" s="1110"/>
      <c r="I422" s="1110">
        <v>0.5</v>
      </c>
      <c r="J422" s="1110"/>
      <c r="K422" s="1110"/>
      <c r="L422" s="1110"/>
      <c r="M422" s="1110">
        <v>0.3</v>
      </c>
      <c r="N422" s="1110"/>
      <c r="O422" s="1110"/>
      <c r="P422" s="1110"/>
      <c r="Q422" s="1151"/>
      <c r="R422" s="1152"/>
      <c r="S422" s="1152"/>
      <c r="T422" s="1153"/>
      <c r="U422" s="1151"/>
      <c r="V422" s="1152"/>
      <c r="W422" s="1152"/>
      <c r="X422" s="1153"/>
      <c r="Y422" s="1077">
        <f>(($E422*$I422/2)+($E422*$M422))*$A422</f>
        <v>1.65</v>
      </c>
      <c r="Z422" s="1077"/>
      <c r="AA422" s="1077"/>
      <c r="AB422" s="1078"/>
    </row>
    <row r="423" ht="17.25" spans="1:28">
      <c r="A423" s="1079" t="s">
        <v>322</v>
      </c>
      <c r="B423" s="1080"/>
      <c r="C423" s="1080"/>
      <c r="D423" s="1080"/>
      <c r="E423" s="1080"/>
      <c r="F423" s="1080"/>
      <c r="G423" s="1080"/>
      <c r="H423" s="1080"/>
      <c r="I423" s="1080"/>
      <c r="J423" s="1080"/>
      <c r="K423" s="1080"/>
      <c r="L423" s="1080"/>
      <c r="M423" s="1080"/>
      <c r="N423" s="1080"/>
      <c r="O423" s="1080"/>
      <c r="P423" s="1080"/>
      <c r="Q423" s="1080"/>
      <c r="R423" s="1080"/>
      <c r="S423" s="1080"/>
      <c r="T423" s="1080"/>
      <c r="U423" s="1080"/>
      <c r="V423" s="1080"/>
      <c r="W423" s="1080"/>
      <c r="X423" s="1080"/>
      <c r="Y423" s="1080"/>
      <c r="Z423" s="1080"/>
      <c r="AA423" s="1080"/>
      <c r="AB423" s="1081"/>
    </row>
    <row r="424" ht="15.75" spans="1:28">
      <c r="A424" s="1083"/>
      <c r="AB424" s="1044"/>
    </row>
    <row r="425" spans="1:28">
      <c r="A425" s="1083"/>
      <c r="K425" s="1084" t="s">
        <v>323</v>
      </c>
      <c r="L425" s="1085"/>
      <c r="M425" s="1085"/>
      <c r="N425" s="1085"/>
      <c r="O425" s="1085"/>
      <c r="P425" s="1085"/>
      <c r="Q425" s="1085"/>
      <c r="R425" s="1086"/>
      <c r="AB425" s="1044"/>
    </row>
    <row r="426" spans="1:28">
      <c r="A426" s="1083"/>
      <c r="K426" s="1087" t="s">
        <v>324</v>
      </c>
      <c r="L426" s="1088"/>
      <c r="M426" s="1088"/>
      <c r="N426" s="1088"/>
      <c r="O426" s="1088"/>
      <c r="P426" s="1088"/>
      <c r="Q426" s="1088"/>
      <c r="R426" s="1089"/>
      <c r="AB426" s="1044"/>
    </row>
    <row r="427" spans="1:28">
      <c r="A427" s="1083"/>
      <c r="K427" s="1090"/>
      <c r="L427" s="1091"/>
      <c r="M427" s="1091"/>
      <c r="N427" s="1091"/>
      <c r="O427" s="1091"/>
      <c r="P427" s="1091"/>
      <c r="Q427" s="1091"/>
      <c r="R427" s="1092"/>
      <c r="AB427" s="1044"/>
    </row>
    <row r="428" ht="15.75" spans="1:28">
      <c r="A428" s="1083"/>
      <c r="K428" s="1093">
        <f>ROUNDUP(Y404+Y410+Y416+Y422,2)</f>
        <v>33.62</v>
      </c>
      <c r="L428" s="1094"/>
      <c r="M428" s="1094"/>
      <c r="N428" s="1094"/>
      <c r="O428" s="1094"/>
      <c r="P428" s="1094"/>
      <c r="Q428" s="1094"/>
      <c r="R428" s="1095"/>
      <c r="AB428" s="1044"/>
    </row>
    <row r="429" ht="15.75" spans="1:28">
      <c r="A429" s="1096"/>
      <c r="B429" s="389"/>
      <c r="C429" s="389"/>
      <c r="D429" s="389"/>
      <c r="E429" s="389"/>
      <c r="F429" s="389"/>
      <c r="G429" s="389"/>
      <c r="H429" s="389"/>
      <c r="I429" s="1097"/>
      <c r="J429" s="1097"/>
      <c r="K429" s="1097"/>
      <c r="L429" s="1097"/>
      <c r="M429" s="1097"/>
      <c r="N429" s="1097"/>
      <c r="O429" s="1097"/>
      <c r="P429" s="1097"/>
      <c r="Q429" s="389"/>
      <c r="R429" s="389"/>
      <c r="S429" s="389"/>
      <c r="T429" s="389"/>
      <c r="U429" s="389"/>
      <c r="V429" s="389"/>
      <c r="W429" s="389"/>
      <c r="X429" s="389"/>
      <c r="Y429" s="389"/>
      <c r="Z429" s="389"/>
      <c r="AA429" s="389"/>
      <c r="AB429" s="1098"/>
    </row>
    <row r="430" spans="1:28">
      <c r="A430" s="1040" t="s">
        <v>325</v>
      </c>
      <c r="B430" s="1041"/>
      <c r="C430" s="1041"/>
      <c r="D430" s="1041"/>
      <c r="E430" s="1041"/>
      <c r="F430" s="1041"/>
      <c r="G430" s="1041"/>
      <c r="H430" s="1041"/>
      <c r="I430" s="1041"/>
      <c r="J430" s="1041"/>
      <c r="K430" s="1041"/>
      <c r="L430" s="1041"/>
      <c r="M430" s="1041"/>
      <c r="N430" s="1041"/>
      <c r="O430" s="1041"/>
      <c r="P430" s="1041"/>
      <c r="Q430" s="1041"/>
      <c r="R430" s="1041"/>
      <c r="S430" s="1041"/>
      <c r="T430" s="1041"/>
      <c r="U430" s="1041"/>
      <c r="V430" s="1041"/>
      <c r="W430" s="1041"/>
      <c r="X430" s="1041"/>
      <c r="Y430" s="1041"/>
      <c r="Z430" s="1041"/>
      <c r="AA430" s="1041"/>
      <c r="AB430" s="1042"/>
    </row>
    <row r="431" customHeight="1" spans="1:28">
      <c r="A431" s="1083"/>
      <c r="AB431" s="1044"/>
    </row>
    <row r="432" spans="1:28">
      <c r="A432" s="1083"/>
      <c r="AB432" s="1044"/>
    </row>
    <row r="433" spans="1:28">
      <c r="A433" s="1083"/>
      <c r="AB433" s="1044"/>
    </row>
    <row r="434" spans="1:28">
      <c r="A434" s="1083"/>
      <c r="AB434" s="1044"/>
    </row>
    <row r="435" spans="1:28">
      <c r="A435" s="1083"/>
      <c r="AB435" s="1044"/>
    </row>
    <row r="436" spans="1:28">
      <c r="A436" s="1083"/>
      <c r="AB436" s="1044"/>
    </row>
    <row r="437" spans="1:28">
      <c r="A437" s="1083"/>
      <c r="AB437" s="1044"/>
    </row>
    <row r="438" spans="1:28">
      <c r="A438" s="1083"/>
      <c r="AB438" s="1044"/>
    </row>
    <row r="439" spans="1:28">
      <c r="A439" s="1083"/>
      <c r="AB439" s="1044"/>
    </row>
    <row r="440" spans="1:28">
      <c r="A440" s="1083"/>
      <c r="AB440" s="1044"/>
    </row>
    <row r="441" spans="1:28">
      <c r="A441" s="1083"/>
      <c r="AB441" s="1044"/>
    </row>
    <row r="442" spans="1:28">
      <c r="A442" s="1083"/>
      <c r="AB442" s="1044"/>
    </row>
    <row r="443" spans="1:28">
      <c r="A443" s="1083"/>
      <c r="AB443" s="1044"/>
    </row>
    <row r="444" spans="1:28">
      <c r="A444" s="1083"/>
      <c r="AB444" s="1044"/>
    </row>
    <row r="445" spans="1:28">
      <c r="A445" s="1083"/>
      <c r="AB445" s="1044"/>
    </row>
    <row r="446" spans="1:28">
      <c r="A446" s="1083"/>
      <c r="AB446" s="1044"/>
    </row>
    <row r="447" spans="1:28">
      <c r="A447" s="1099" t="s">
        <v>313</v>
      </c>
      <c r="B447" s="424"/>
      <c r="C447" s="424"/>
      <c r="D447" s="424"/>
      <c r="E447" s="424"/>
      <c r="F447" s="424"/>
      <c r="G447" s="424"/>
      <c r="H447" s="424"/>
      <c r="I447" s="424"/>
      <c r="J447" s="424"/>
      <c r="K447" s="424"/>
      <c r="L447" s="424"/>
      <c r="M447" s="424"/>
      <c r="N447" s="424"/>
      <c r="O447" s="424"/>
      <c r="P447" s="424"/>
      <c r="Q447" s="424"/>
      <c r="R447" s="424"/>
      <c r="S447" s="424"/>
      <c r="T447" s="424"/>
      <c r="U447" s="424"/>
      <c r="V447" s="424"/>
      <c r="W447" s="424"/>
      <c r="X447" s="424"/>
      <c r="Y447" s="424"/>
      <c r="Z447" s="424"/>
      <c r="AA447" s="424"/>
      <c r="AB447" s="1100"/>
    </row>
    <row r="448" spans="1:28">
      <c r="A448" s="1101" t="s">
        <v>205</v>
      </c>
      <c r="B448" s="1102"/>
      <c r="C448" s="1102"/>
      <c r="D448" s="1103"/>
      <c r="E448" s="1104" t="s">
        <v>206</v>
      </c>
      <c r="F448" s="1102"/>
      <c r="G448" s="1102"/>
      <c r="H448" s="1103"/>
      <c r="I448" s="1104"/>
      <c r="J448" s="1102"/>
      <c r="K448" s="1102"/>
      <c r="L448" s="1103"/>
      <c r="M448" s="1104"/>
      <c r="N448" s="1102"/>
      <c r="O448" s="1102"/>
      <c r="P448" s="1103"/>
      <c r="Q448" s="1104"/>
      <c r="R448" s="1102"/>
      <c r="S448" s="1102"/>
      <c r="T448" s="1103"/>
      <c r="U448" s="1104"/>
      <c r="V448" s="1102"/>
      <c r="W448" s="1102"/>
      <c r="X448" s="1103"/>
      <c r="Y448" s="1055" t="s">
        <v>326</v>
      </c>
      <c r="Z448" s="1056"/>
      <c r="AA448" s="1056"/>
      <c r="AB448" s="1057"/>
    </row>
    <row r="449" spans="1:28">
      <c r="A449" s="1058" t="s">
        <v>209</v>
      </c>
      <c r="B449" s="1059"/>
      <c r="C449" s="1059"/>
      <c r="D449" s="1060"/>
      <c r="E449" s="1061" t="s">
        <v>315</v>
      </c>
      <c r="F449" s="1059"/>
      <c r="G449" s="1059"/>
      <c r="H449" s="1060"/>
      <c r="I449" s="1061"/>
      <c r="J449" s="1059"/>
      <c r="K449" s="1059"/>
      <c r="L449" s="1060"/>
      <c r="M449" s="1061"/>
      <c r="N449" s="1059"/>
      <c r="O449" s="1059"/>
      <c r="P449" s="1060"/>
      <c r="Q449" s="1061"/>
      <c r="R449" s="1059"/>
      <c r="S449" s="1059"/>
      <c r="T449" s="1060"/>
      <c r="U449" s="1061"/>
      <c r="V449" s="1059"/>
      <c r="W449" s="1059"/>
      <c r="X449" s="1060"/>
      <c r="Y449" s="1065"/>
      <c r="Z449" s="1066"/>
      <c r="AA449" s="1066"/>
      <c r="AB449" s="1067"/>
    </row>
    <row r="450" ht="15.75" spans="1:28">
      <c r="A450" s="1109">
        <v>4</v>
      </c>
      <c r="B450" s="1110"/>
      <c r="C450" s="1110"/>
      <c r="D450" s="1110"/>
      <c r="E450" s="1110">
        <v>0.4</v>
      </c>
      <c r="F450" s="1110"/>
      <c r="G450" s="1110"/>
      <c r="H450" s="1110"/>
      <c r="I450" s="1110"/>
      <c r="J450" s="1110"/>
      <c r="K450" s="1110"/>
      <c r="L450" s="1110"/>
      <c r="M450" s="1077"/>
      <c r="N450" s="1077"/>
      <c r="O450" s="1077"/>
      <c r="P450" s="1077"/>
      <c r="Q450" s="1151"/>
      <c r="R450" s="1152"/>
      <c r="S450" s="1152"/>
      <c r="T450" s="1153"/>
      <c r="U450" s="1151"/>
      <c r="V450" s="1152"/>
      <c r="W450" s="1152"/>
      <c r="X450" s="1153"/>
      <c r="Y450" s="1077">
        <f>(E450+0.2)*A450*0.05</f>
        <v>0.12</v>
      </c>
      <c r="Z450" s="1077"/>
      <c r="AA450" s="1077"/>
      <c r="AB450" s="1078"/>
    </row>
    <row r="451" ht="17.25" spans="1:28">
      <c r="A451" s="1079" t="s">
        <v>327</v>
      </c>
      <c r="B451" s="1080"/>
      <c r="C451" s="1080"/>
      <c r="D451" s="1080"/>
      <c r="E451" s="1080"/>
      <c r="F451" s="1080"/>
      <c r="G451" s="1080"/>
      <c r="H451" s="1080"/>
      <c r="I451" s="1080"/>
      <c r="J451" s="1080"/>
      <c r="K451" s="1080"/>
      <c r="L451" s="1080"/>
      <c r="M451" s="1080"/>
      <c r="N451" s="1080"/>
      <c r="O451" s="1080"/>
      <c r="P451" s="1080"/>
      <c r="Q451" s="1080"/>
      <c r="R451" s="1080"/>
      <c r="S451" s="1080"/>
      <c r="T451" s="1080"/>
      <c r="U451" s="1080"/>
      <c r="V451" s="1080"/>
      <c r="W451" s="1080"/>
      <c r="X451" s="1080"/>
      <c r="Y451" s="1080"/>
      <c r="Z451" s="1080"/>
      <c r="AA451" s="1080"/>
      <c r="AB451" s="1081"/>
    </row>
    <row r="452" spans="1:28">
      <c r="A452" s="1083"/>
      <c r="AB452" s="1044"/>
    </row>
    <row r="453" spans="1:28">
      <c r="A453" s="1099" t="s">
        <v>317</v>
      </c>
      <c r="B453" s="424"/>
      <c r="C453" s="424"/>
      <c r="D453" s="424"/>
      <c r="E453" s="424"/>
      <c r="F453" s="424"/>
      <c r="G453" s="424"/>
      <c r="H453" s="424"/>
      <c r="I453" s="424"/>
      <c r="J453" s="424"/>
      <c r="K453" s="424"/>
      <c r="L453" s="424"/>
      <c r="M453" s="424"/>
      <c r="N453" s="424"/>
      <c r="O453" s="424"/>
      <c r="P453" s="424"/>
      <c r="Q453" s="424"/>
      <c r="R453" s="424"/>
      <c r="S453" s="424"/>
      <c r="T453" s="424"/>
      <c r="U453" s="424"/>
      <c r="V453" s="424"/>
      <c r="W453" s="424"/>
      <c r="X453" s="424"/>
      <c r="Y453" s="424"/>
      <c r="Z453" s="424"/>
      <c r="AA453" s="424"/>
      <c r="AB453" s="1100"/>
    </row>
    <row r="454" spans="1:28">
      <c r="A454" s="1101" t="s">
        <v>249</v>
      </c>
      <c r="B454" s="1102"/>
      <c r="C454" s="1102"/>
      <c r="D454" s="1103"/>
      <c r="E454" s="1104" t="s">
        <v>252</v>
      </c>
      <c r="F454" s="1102"/>
      <c r="G454" s="1102"/>
      <c r="H454" s="1103"/>
      <c r="I454" s="1104"/>
      <c r="J454" s="1102"/>
      <c r="K454" s="1102"/>
      <c r="L454" s="1103"/>
      <c r="M454" s="1104"/>
      <c r="N454" s="1102"/>
      <c r="O454" s="1102"/>
      <c r="P454" s="1103"/>
      <c r="Q454" s="1104"/>
      <c r="R454" s="1102"/>
      <c r="S454" s="1102"/>
      <c r="T454" s="1103"/>
      <c r="U454" s="1104"/>
      <c r="V454" s="1102"/>
      <c r="W454" s="1102"/>
      <c r="X454" s="1103"/>
      <c r="Y454" s="1055" t="s">
        <v>326</v>
      </c>
      <c r="Z454" s="1056"/>
      <c r="AA454" s="1056"/>
      <c r="AB454" s="1057"/>
    </row>
    <row r="455" spans="1:28">
      <c r="A455" s="1058" t="s">
        <v>209</v>
      </c>
      <c r="B455" s="1059"/>
      <c r="C455" s="1059"/>
      <c r="D455" s="1060"/>
      <c r="E455" s="1061" t="s">
        <v>315</v>
      </c>
      <c r="F455" s="1059"/>
      <c r="G455" s="1059"/>
      <c r="H455" s="1060"/>
      <c r="I455" s="1061"/>
      <c r="J455" s="1059"/>
      <c r="K455" s="1059"/>
      <c r="L455" s="1060"/>
      <c r="M455" s="1061"/>
      <c r="N455" s="1059"/>
      <c r="O455" s="1059"/>
      <c r="P455" s="1060"/>
      <c r="Q455" s="1061"/>
      <c r="R455" s="1059"/>
      <c r="S455" s="1059"/>
      <c r="T455" s="1060"/>
      <c r="U455" s="1061"/>
      <c r="V455" s="1059"/>
      <c r="W455" s="1059"/>
      <c r="X455" s="1060"/>
      <c r="Y455" s="1065"/>
      <c r="Z455" s="1066"/>
      <c r="AA455" s="1066"/>
      <c r="AB455" s="1067"/>
    </row>
    <row r="456" ht="15.75" spans="1:28">
      <c r="A456" s="1109">
        <v>4</v>
      </c>
      <c r="B456" s="1110"/>
      <c r="C456" s="1110"/>
      <c r="D456" s="1110"/>
      <c r="E456" s="1110">
        <v>0.4</v>
      </c>
      <c r="F456" s="1110"/>
      <c r="G456" s="1110"/>
      <c r="H456" s="1110"/>
      <c r="I456" s="1110"/>
      <c r="J456" s="1110"/>
      <c r="K456" s="1110"/>
      <c r="L456" s="1110"/>
      <c r="M456" s="1077"/>
      <c r="N456" s="1077"/>
      <c r="O456" s="1077"/>
      <c r="P456" s="1077"/>
      <c r="Q456" s="1151"/>
      <c r="R456" s="1152"/>
      <c r="S456" s="1152"/>
      <c r="T456" s="1153"/>
      <c r="U456" s="1151"/>
      <c r="V456" s="1152"/>
      <c r="W456" s="1152"/>
      <c r="X456" s="1153"/>
      <c r="Y456" s="1077">
        <f>(E456+0.2)*A456*0.05</f>
        <v>0.12</v>
      </c>
      <c r="Z456" s="1077"/>
      <c r="AA456" s="1077"/>
      <c r="AB456" s="1078"/>
    </row>
    <row r="457" ht="17.25" spans="1:28">
      <c r="A457" s="1079" t="s">
        <v>328</v>
      </c>
      <c r="B457" s="1080"/>
      <c r="C457" s="1080"/>
      <c r="D457" s="1080"/>
      <c r="E457" s="1080"/>
      <c r="F457" s="1080"/>
      <c r="G457" s="1080"/>
      <c r="H457" s="1080"/>
      <c r="I457" s="1080"/>
      <c r="J457" s="1080"/>
      <c r="K457" s="1080"/>
      <c r="L457" s="1080"/>
      <c r="M457" s="1080"/>
      <c r="N457" s="1080"/>
      <c r="O457" s="1080"/>
      <c r="P457" s="1080"/>
      <c r="Q457" s="1080"/>
      <c r="R457" s="1080"/>
      <c r="S457" s="1080"/>
      <c r="T457" s="1080"/>
      <c r="U457" s="1080"/>
      <c r="V457" s="1080"/>
      <c r="W457" s="1080"/>
      <c r="X457" s="1080"/>
      <c r="Y457" s="1080"/>
      <c r="Z457" s="1080"/>
      <c r="AA457" s="1080"/>
      <c r="AB457" s="1081"/>
    </row>
    <row r="458" spans="1:28">
      <c r="A458" s="1083"/>
      <c r="AB458" s="1044"/>
    </row>
    <row r="459" spans="1:28">
      <c r="A459" s="1099" t="s">
        <v>319</v>
      </c>
      <c r="B459" s="424"/>
      <c r="C459" s="424"/>
      <c r="D459" s="424"/>
      <c r="E459" s="424"/>
      <c r="F459" s="424"/>
      <c r="G459" s="424"/>
      <c r="H459" s="424"/>
      <c r="I459" s="424"/>
      <c r="J459" s="424"/>
      <c r="K459" s="424"/>
      <c r="L459" s="424"/>
      <c r="M459" s="424"/>
      <c r="N459" s="424"/>
      <c r="O459" s="424"/>
      <c r="P459" s="424"/>
      <c r="Q459" s="424"/>
      <c r="R459" s="424"/>
      <c r="S459" s="424"/>
      <c r="T459" s="424"/>
      <c r="U459" s="424"/>
      <c r="V459" s="424"/>
      <c r="W459" s="424"/>
      <c r="X459" s="424"/>
      <c r="Y459" s="424"/>
      <c r="Z459" s="424"/>
      <c r="AA459" s="424"/>
      <c r="AB459" s="1100"/>
    </row>
    <row r="460" customHeight="1" spans="1:28">
      <c r="A460" s="1101" t="s">
        <v>236</v>
      </c>
      <c r="B460" s="1102"/>
      <c r="C460" s="1102"/>
      <c r="D460" s="1103"/>
      <c r="E460" s="1104" t="s">
        <v>237</v>
      </c>
      <c r="F460" s="1102"/>
      <c r="G460" s="1102"/>
      <c r="H460" s="1103"/>
      <c r="I460" s="1104"/>
      <c r="J460" s="1102"/>
      <c r="K460" s="1102"/>
      <c r="L460" s="1103"/>
      <c r="M460" s="1104"/>
      <c r="N460" s="1102"/>
      <c r="O460" s="1102"/>
      <c r="P460" s="1103"/>
      <c r="Q460" s="1104"/>
      <c r="R460" s="1102"/>
      <c r="S460" s="1102"/>
      <c r="T460" s="1103"/>
      <c r="U460" s="1104"/>
      <c r="V460" s="1102"/>
      <c r="W460" s="1102"/>
      <c r="X460" s="1103"/>
      <c r="Y460" s="1055" t="s">
        <v>326</v>
      </c>
      <c r="Z460" s="1056"/>
      <c r="AA460" s="1056"/>
      <c r="AB460" s="1057"/>
    </row>
    <row r="461" customHeight="1" spans="1:28">
      <c r="A461" s="1058" t="s">
        <v>209</v>
      </c>
      <c r="B461" s="1059"/>
      <c r="C461" s="1059"/>
      <c r="D461" s="1060"/>
      <c r="E461" s="1061" t="s">
        <v>315</v>
      </c>
      <c r="F461" s="1059"/>
      <c r="G461" s="1059"/>
      <c r="H461" s="1060"/>
      <c r="I461" s="1061"/>
      <c r="J461" s="1059"/>
      <c r="K461" s="1059"/>
      <c r="L461" s="1060"/>
      <c r="M461" s="1061"/>
      <c r="N461" s="1059"/>
      <c r="O461" s="1059"/>
      <c r="P461" s="1060"/>
      <c r="Q461" s="1061"/>
      <c r="R461" s="1059"/>
      <c r="S461" s="1059"/>
      <c r="T461" s="1060"/>
      <c r="U461" s="1061"/>
      <c r="V461" s="1059"/>
      <c r="W461" s="1059"/>
      <c r="X461" s="1060"/>
      <c r="Y461" s="1065"/>
      <c r="Z461" s="1066"/>
      <c r="AA461" s="1066"/>
      <c r="AB461" s="1067"/>
    </row>
    <row r="462" ht="15.75" spans="1:28">
      <c r="A462" s="1109">
        <v>6</v>
      </c>
      <c r="B462" s="1110"/>
      <c r="C462" s="1110"/>
      <c r="D462" s="1110"/>
      <c r="E462" s="1110">
        <v>0.4</v>
      </c>
      <c r="F462" s="1110"/>
      <c r="G462" s="1110"/>
      <c r="H462" s="1110"/>
      <c r="I462" s="1110"/>
      <c r="J462" s="1110"/>
      <c r="K462" s="1110"/>
      <c r="L462" s="1110"/>
      <c r="M462" s="1077"/>
      <c r="N462" s="1077"/>
      <c r="O462" s="1077"/>
      <c r="P462" s="1077"/>
      <c r="Q462" s="1151"/>
      <c r="R462" s="1152"/>
      <c r="S462" s="1152"/>
      <c r="T462" s="1153"/>
      <c r="U462" s="1151"/>
      <c r="V462" s="1152"/>
      <c r="W462" s="1152"/>
      <c r="X462" s="1153"/>
      <c r="Y462" s="1077">
        <f>(E462+0.2)*A462*0.05</f>
        <v>0.18</v>
      </c>
      <c r="Z462" s="1077"/>
      <c r="AA462" s="1077"/>
      <c r="AB462" s="1078"/>
    </row>
    <row r="463" ht="17.25" spans="1:28">
      <c r="A463" s="1079" t="s">
        <v>329</v>
      </c>
      <c r="B463" s="1080"/>
      <c r="C463" s="1080"/>
      <c r="D463" s="1080"/>
      <c r="E463" s="1080"/>
      <c r="F463" s="1080"/>
      <c r="G463" s="1080"/>
      <c r="H463" s="1080"/>
      <c r="I463" s="1080"/>
      <c r="J463" s="1080"/>
      <c r="K463" s="1080"/>
      <c r="L463" s="1080"/>
      <c r="M463" s="1080"/>
      <c r="N463" s="1080"/>
      <c r="O463" s="1080"/>
      <c r="P463" s="1080"/>
      <c r="Q463" s="1080"/>
      <c r="R463" s="1080"/>
      <c r="S463" s="1080"/>
      <c r="T463" s="1080"/>
      <c r="U463" s="1080"/>
      <c r="V463" s="1080"/>
      <c r="W463" s="1080"/>
      <c r="X463" s="1080"/>
      <c r="Y463" s="1080"/>
      <c r="Z463" s="1080"/>
      <c r="AA463" s="1080"/>
      <c r="AB463" s="1081"/>
    </row>
    <row r="464" ht="15.75" spans="1:28">
      <c r="A464" s="1083"/>
      <c r="AB464" s="1044"/>
    </row>
    <row r="465" spans="1:28">
      <c r="A465" s="1083"/>
      <c r="K465" s="1084" t="s">
        <v>330</v>
      </c>
      <c r="L465" s="1085"/>
      <c r="M465" s="1085"/>
      <c r="N465" s="1085"/>
      <c r="O465" s="1085"/>
      <c r="P465" s="1085"/>
      <c r="Q465" s="1085"/>
      <c r="R465" s="1086"/>
      <c r="AB465" s="1044"/>
    </row>
    <row r="466" spans="1:28">
      <c r="A466" s="1083"/>
      <c r="K466" s="1087" t="s">
        <v>331</v>
      </c>
      <c r="L466" s="1088"/>
      <c r="M466" s="1088"/>
      <c r="N466" s="1088"/>
      <c r="O466" s="1088"/>
      <c r="P466" s="1088"/>
      <c r="Q466" s="1088"/>
      <c r="R466" s="1089"/>
      <c r="AB466" s="1044"/>
    </row>
    <row r="467" spans="1:28">
      <c r="A467" s="1083"/>
      <c r="K467" s="1090"/>
      <c r="L467" s="1091"/>
      <c r="M467" s="1091"/>
      <c r="N467" s="1091"/>
      <c r="O467" s="1091"/>
      <c r="P467" s="1091"/>
      <c r="Q467" s="1091"/>
      <c r="R467" s="1092"/>
      <c r="AB467" s="1044"/>
    </row>
    <row r="468" ht="15.75" spans="1:28">
      <c r="A468" s="1083"/>
      <c r="K468" s="1093">
        <f>ROUNDUP(Y450+Y456+Y462,2)</f>
        <v>0.42</v>
      </c>
      <c r="L468" s="1094"/>
      <c r="M468" s="1094"/>
      <c r="N468" s="1094"/>
      <c r="O468" s="1094"/>
      <c r="P468" s="1094"/>
      <c r="Q468" s="1094"/>
      <c r="R468" s="1095"/>
      <c r="AB468" s="1044"/>
    </row>
    <row r="469" ht="15.75" spans="1:28">
      <c r="A469" s="1096"/>
      <c r="B469" s="389"/>
      <c r="C469" s="389"/>
      <c r="D469" s="389"/>
      <c r="E469" s="389"/>
      <c r="F469" s="389"/>
      <c r="G469" s="389"/>
      <c r="H469" s="389"/>
      <c r="I469" s="1097"/>
      <c r="J469" s="1097"/>
      <c r="K469" s="1097"/>
      <c r="L469" s="1097"/>
      <c r="M469" s="1097"/>
      <c r="N469" s="1097"/>
      <c r="O469" s="1097"/>
      <c r="P469" s="1097"/>
      <c r="Q469" s="389"/>
      <c r="R469" s="389"/>
      <c r="S469" s="389"/>
      <c r="T469" s="389"/>
      <c r="U469" s="389"/>
      <c r="V469" s="389"/>
      <c r="W469" s="389"/>
      <c r="X469" s="389"/>
      <c r="Y469" s="389"/>
      <c r="Z469" s="389"/>
      <c r="AA469" s="389"/>
      <c r="AB469" s="1098"/>
    </row>
    <row r="470" spans="1:28">
      <c r="A470" s="1040" t="s">
        <v>332</v>
      </c>
      <c r="B470" s="1041"/>
      <c r="C470" s="1041"/>
      <c r="D470" s="1041"/>
      <c r="E470" s="1041"/>
      <c r="F470" s="1041"/>
      <c r="G470" s="1041"/>
      <c r="H470" s="1041"/>
      <c r="I470" s="1041"/>
      <c r="J470" s="1041"/>
      <c r="K470" s="1041"/>
      <c r="L470" s="1041"/>
      <c r="M470" s="1041"/>
      <c r="N470" s="1041"/>
      <c r="O470" s="1041"/>
      <c r="P470" s="1041"/>
      <c r="Q470" s="1041"/>
      <c r="R470" s="1041"/>
      <c r="S470" s="1041"/>
      <c r="T470" s="1041"/>
      <c r="U470" s="1041"/>
      <c r="V470" s="1041"/>
      <c r="W470" s="1041"/>
      <c r="X470" s="1041"/>
      <c r="Y470" s="1041"/>
      <c r="Z470" s="1041"/>
      <c r="AA470" s="1041"/>
      <c r="AB470" s="1042"/>
    </row>
    <row r="471" customHeight="1" spans="1:28">
      <c r="A471" s="1083"/>
      <c r="AB471" s="1044"/>
    </row>
    <row r="472" spans="1:28">
      <c r="A472" s="1083"/>
      <c r="AB472" s="1044"/>
    </row>
    <row r="473" spans="1:28">
      <c r="A473" s="1083"/>
      <c r="AB473" s="1044"/>
    </row>
    <row r="474" spans="1:28">
      <c r="A474" s="1083"/>
      <c r="AB474" s="1044"/>
    </row>
    <row r="475" spans="1:28">
      <c r="A475" s="1083"/>
      <c r="AB475" s="1044"/>
    </row>
    <row r="476" spans="1:28">
      <c r="A476" s="1083"/>
      <c r="AB476" s="1044"/>
    </row>
    <row r="477" spans="1:28">
      <c r="A477" s="1083"/>
      <c r="AB477" s="1044"/>
    </row>
    <row r="478" spans="1:28">
      <c r="A478" s="1083"/>
      <c r="AB478" s="1044"/>
    </row>
    <row r="479" spans="1:28">
      <c r="A479" s="1083"/>
      <c r="AB479" s="1044"/>
    </row>
    <row r="480" spans="1:28">
      <c r="A480" s="1083"/>
      <c r="AB480" s="1044"/>
    </row>
    <row r="481" spans="1:28">
      <c r="A481" s="1083"/>
      <c r="AB481" s="1044"/>
    </row>
    <row r="482" spans="1:28">
      <c r="A482" s="1083"/>
      <c r="AB482" s="1044"/>
    </row>
    <row r="483" spans="1:28">
      <c r="A483" s="1083"/>
      <c r="AB483" s="1044"/>
    </row>
    <row r="484" spans="1:28">
      <c r="A484" s="1083"/>
      <c r="AB484" s="1044"/>
    </row>
    <row r="485" spans="1:28">
      <c r="A485" s="1083"/>
      <c r="AB485" s="1044"/>
    </row>
    <row r="486" spans="1:28">
      <c r="A486" s="1083"/>
      <c r="AB486" s="1044"/>
    </row>
    <row r="487" spans="1:28">
      <c r="A487" s="1099" t="s">
        <v>313</v>
      </c>
      <c r="B487" s="424"/>
      <c r="C487" s="424"/>
      <c r="D487" s="424"/>
      <c r="E487" s="424"/>
      <c r="F487" s="424"/>
      <c r="G487" s="424"/>
      <c r="H487" s="424"/>
      <c r="I487" s="424"/>
      <c r="J487" s="424"/>
      <c r="K487" s="424"/>
      <c r="L487" s="424"/>
      <c r="M487" s="424"/>
      <c r="N487" s="424"/>
      <c r="O487" s="424"/>
      <c r="P487" s="424"/>
      <c r="Q487" s="424"/>
      <c r="R487" s="424"/>
      <c r="S487" s="424"/>
      <c r="T487" s="424"/>
      <c r="U487" s="424"/>
      <c r="V487" s="424"/>
      <c r="W487" s="424"/>
      <c r="X487" s="424"/>
      <c r="Y487" s="424"/>
      <c r="Z487" s="424"/>
      <c r="AA487" s="424"/>
      <c r="AB487" s="1100"/>
    </row>
    <row r="488" spans="1:28">
      <c r="A488" s="1101" t="s">
        <v>205</v>
      </c>
      <c r="B488" s="1102"/>
      <c r="C488" s="1102"/>
      <c r="D488" s="1103"/>
      <c r="E488" s="1104" t="s">
        <v>206</v>
      </c>
      <c r="F488" s="1102"/>
      <c r="G488" s="1102"/>
      <c r="H488" s="1103"/>
      <c r="I488" s="1104" t="s">
        <v>235</v>
      </c>
      <c r="J488" s="1102"/>
      <c r="K488" s="1102"/>
      <c r="L488" s="1103"/>
      <c r="M488" s="1104"/>
      <c r="N488" s="1102"/>
      <c r="O488" s="1102"/>
      <c r="P488" s="1103"/>
      <c r="Q488" s="1104"/>
      <c r="R488" s="1102"/>
      <c r="S488" s="1102"/>
      <c r="T488" s="1103"/>
      <c r="U488" s="1055"/>
      <c r="V488" s="1056"/>
      <c r="W488" s="1056"/>
      <c r="X488" s="1105"/>
      <c r="Y488" s="1104" t="s">
        <v>333</v>
      </c>
      <c r="Z488" s="1102"/>
      <c r="AA488" s="1102"/>
      <c r="AB488" s="1106"/>
    </row>
    <row r="489" spans="1:28">
      <c r="A489" s="1058" t="s">
        <v>209</v>
      </c>
      <c r="B489" s="1059"/>
      <c r="C489" s="1059"/>
      <c r="D489" s="1060"/>
      <c r="E489" s="1061" t="s">
        <v>315</v>
      </c>
      <c r="F489" s="1059"/>
      <c r="G489" s="1059"/>
      <c r="H489" s="1060"/>
      <c r="I489" s="1061" t="s">
        <v>210</v>
      </c>
      <c r="J489" s="1059"/>
      <c r="K489" s="1059"/>
      <c r="L489" s="1060"/>
      <c r="M489" s="1061"/>
      <c r="N489" s="1059"/>
      <c r="O489" s="1059"/>
      <c r="P489" s="1060"/>
      <c r="Q489" s="1061"/>
      <c r="R489" s="1059"/>
      <c r="S489" s="1059"/>
      <c r="T489" s="1060"/>
      <c r="U489" s="1065"/>
      <c r="V489" s="1066"/>
      <c r="W489" s="1066"/>
      <c r="X489" s="1107"/>
      <c r="Y489" s="1061"/>
      <c r="Z489" s="1059"/>
      <c r="AA489" s="1059"/>
      <c r="AB489" s="1108"/>
    </row>
    <row r="490" ht="15.75" spans="1:28">
      <c r="A490" s="1109">
        <v>4</v>
      </c>
      <c r="B490" s="1110"/>
      <c r="C490" s="1110"/>
      <c r="D490" s="1110"/>
      <c r="E490" s="1110">
        <v>0.4</v>
      </c>
      <c r="F490" s="1110"/>
      <c r="G490" s="1110"/>
      <c r="H490" s="1110"/>
      <c r="I490" s="1110">
        <v>6.24</v>
      </c>
      <c r="J490" s="1110"/>
      <c r="K490" s="1110"/>
      <c r="L490" s="1110"/>
      <c r="M490" s="1077"/>
      <c r="N490" s="1077"/>
      <c r="O490" s="1077"/>
      <c r="P490" s="1077"/>
      <c r="Q490" s="1077"/>
      <c r="R490" s="1077"/>
      <c r="S490" s="1077"/>
      <c r="T490" s="1077"/>
      <c r="U490" s="1077"/>
      <c r="V490" s="1077"/>
      <c r="W490" s="1077"/>
      <c r="X490" s="1077"/>
      <c r="Y490" s="1111">
        <f>($A490+$E490+$A490)*$I490</f>
        <v>52.416</v>
      </c>
      <c r="Z490" s="1112"/>
      <c r="AA490" s="1112"/>
      <c r="AB490" s="1113"/>
    </row>
    <row r="491" ht="15.75" spans="1:28">
      <c r="A491" s="1079" t="s">
        <v>334</v>
      </c>
      <c r="B491" s="1080"/>
      <c r="C491" s="1080"/>
      <c r="D491" s="1080"/>
      <c r="E491" s="1080"/>
      <c r="F491" s="1080"/>
      <c r="G491" s="1080"/>
      <c r="H491" s="1080"/>
      <c r="I491" s="1080"/>
      <c r="J491" s="1080"/>
      <c r="K491" s="1080"/>
      <c r="L491" s="1080"/>
      <c r="M491" s="1080"/>
      <c r="N491" s="1080"/>
      <c r="O491" s="1080"/>
      <c r="P491" s="1080"/>
      <c r="Q491" s="1080"/>
      <c r="R491" s="1080"/>
      <c r="S491" s="1080"/>
      <c r="T491" s="1080"/>
      <c r="U491" s="1080"/>
      <c r="V491" s="1080"/>
      <c r="W491" s="1080"/>
      <c r="X491" s="1080"/>
      <c r="Y491" s="1080"/>
      <c r="Z491" s="1080"/>
      <c r="AA491" s="1080"/>
      <c r="AB491" s="1081"/>
    </row>
    <row r="492" spans="1:28">
      <c r="A492" s="1083"/>
      <c r="AB492" s="1044"/>
    </row>
    <row r="493" spans="1:28">
      <c r="A493" s="1099" t="s">
        <v>317</v>
      </c>
      <c r="B493" s="424"/>
      <c r="C493" s="424"/>
      <c r="D493" s="424"/>
      <c r="E493" s="424"/>
      <c r="F493" s="424"/>
      <c r="G493" s="424"/>
      <c r="H493" s="424"/>
      <c r="I493" s="424"/>
      <c r="J493" s="424"/>
      <c r="K493" s="424"/>
      <c r="L493" s="424"/>
      <c r="M493" s="424"/>
      <c r="N493" s="424"/>
      <c r="O493" s="424"/>
      <c r="P493" s="424"/>
      <c r="Q493" s="424"/>
      <c r="R493" s="424"/>
      <c r="S493" s="424"/>
      <c r="T493" s="424"/>
      <c r="U493" s="424"/>
      <c r="V493" s="424"/>
      <c r="W493" s="424"/>
      <c r="X493" s="424"/>
      <c r="Y493" s="424"/>
      <c r="Z493" s="424"/>
      <c r="AA493" s="424"/>
      <c r="AB493" s="1100"/>
    </row>
    <row r="494" spans="1:28">
      <c r="A494" s="1101" t="s">
        <v>249</v>
      </c>
      <c r="B494" s="1102"/>
      <c r="C494" s="1102"/>
      <c r="D494" s="1103"/>
      <c r="E494" s="1104" t="s">
        <v>252</v>
      </c>
      <c r="F494" s="1102"/>
      <c r="G494" s="1102"/>
      <c r="H494" s="1103"/>
      <c r="I494" s="1104" t="s">
        <v>253</v>
      </c>
      <c r="J494" s="1102"/>
      <c r="K494" s="1102"/>
      <c r="L494" s="1103"/>
      <c r="M494" s="1104"/>
      <c r="N494" s="1102"/>
      <c r="O494" s="1102"/>
      <c r="P494" s="1103"/>
      <c r="Q494" s="1104"/>
      <c r="R494" s="1102"/>
      <c r="S494" s="1102"/>
      <c r="T494" s="1103"/>
      <c r="U494" s="1055"/>
      <c r="V494" s="1056"/>
      <c r="W494" s="1056"/>
      <c r="X494" s="1105"/>
      <c r="Y494" s="1104" t="s">
        <v>333</v>
      </c>
      <c r="Z494" s="1102"/>
      <c r="AA494" s="1102"/>
      <c r="AB494" s="1106"/>
    </row>
    <row r="495" spans="1:28">
      <c r="A495" s="1058" t="s">
        <v>209</v>
      </c>
      <c r="B495" s="1059"/>
      <c r="C495" s="1059"/>
      <c r="D495" s="1060"/>
      <c r="E495" s="1061" t="s">
        <v>315</v>
      </c>
      <c r="F495" s="1059"/>
      <c r="G495" s="1059"/>
      <c r="H495" s="1060"/>
      <c r="I495" s="1061" t="s">
        <v>210</v>
      </c>
      <c r="J495" s="1059"/>
      <c r="K495" s="1059"/>
      <c r="L495" s="1060"/>
      <c r="M495" s="1061"/>
      <c r="N495" s="1059"/>
      <c r="O495" s="1059"/>
      <c r="P495" s="1060"/>
      <c r="Q495" s="1061"/>
      <c r="R495" s="1059"/>
      <c r="S495" s="1059"/>
      <c r="T495" s="1060"/>
      <c r="U495" s="1065"/>
      <c r="V495" s="1066"/>
      <c r="W495" s="1066"/>
      <c r="X495" s="1107"/>
      <c r="Y495" s="1061"/>
      <c r="Z495" s="1059"/>
      <c r="AA495" s="1059"/>
      <c r="AB495" s="1108"/>
    </row>
    <row r="496" ht="15.75" spans="1:28">
      <c r="A496" s="1109">
        <v>4</v>
      </c>
      <c r="B496" s="1110"/>
      <c r="C496" s="1110"/>
      <c r="D496" s="1110"/>
      <c r="E496" s="1110">
        <v>0.4</v>
      </c>
      <c r="F496" s="1110"/>
      <c r="G496" s="1110"/>
      <c r="H496" s="1110"/>
      <c r="I496" s="1110">
        <v>6.24</v>
      </c>
      <c r="J496" s="1110"/>
      <c r="K496" s="1110"/>
      <c r="L496" s="1110"/>
      <c r="M496" s="1077"/>
      <c r="N496" s="1077"/>
      <c r="O496" s="1077"/>
      <c r="P496" s="1077"/>
      <c r="Q496" s="1077"/>
      <c r="R496" s="1077"/>
      <c r="S496" s="1077"/>
      <c r="T496" s="1077"/>
      <c r="U496" s="1077"/>
      <c r="V496" s="1077"/>
      <c r="W496" s="1077"/>
      <c r="X496" s="1077"/>
      <c r="Y496" s="1111">
        <f>($A496+$E496+$A496)*$I496</f>
        <v>52.416</v>
      </c>
      <c r="Z496" s="1112"/>
      <c r="AA496" s="1112"/>
      <c r="AB496" s="1113"/>
    </row>
    <row r="497" ht="15.75" spans="1:28">
      <c r="A497" s="1079" t="s">
        <v>335</v>
      </c>
      <c r="B497" s="1080"/>
      <c r="C497" s="1080"/>
      <c r="D497" s="1080"/>
      <c r="E497" s="1080"/>
      <c r="F497" s="1080"/>
      <c r="G497" s="1080"/>
      <c r="H497" s="1080"/>
      <c r="I497" s="1080"/>
      <c r="J497" s="1080"/>
      <c r="K497" s="1080"/>
      <c r="L497" s="1080"/>
      <c r="M497" s="1080"/>
      <c r="N497" s="1080"/>
      <c r="O497" s="1080"/>
      <c r="P497" s="1080"/>
      <c r="Q497" s="1080"/>
      <c r="R497" s="1080"/>
      <c r="S497" s="1080"/>
      <c r="T497" s="1080"/>
      <c r="U497" s="1080"/>
      <c r="V497" s="1080"/>
      <c r="W497" s="1080"/>
      <c r="X497" s="1080"/>
      <c r="Y497" s="1080"/>
      <c r="Z497" s="1080"/>
      <c r="AA497" s="1080"/>
      <c r="AB497" s="1081"/>
    </row>
    <row r="498" spans="1:28">
      <c r="A498" s="1083"/>
      <c r="AB498" s="1044"/>
    </row>
    <row r="499" spans="1:28">
      <c r="A499" s="1099" t="s">
        <v>319</v>
      </c>
      <c r="B499" s="424"/>
      <c r="C499" s="424"/>
      <c r="D499" s="424"/>
      <c r="E499" s="424"/>
      <c r="F499" s="424"/>
      <c r="G499" s="424"/>
      <c r="H499" s="424"/>
      <c r="I499" s="424"/>
      <c r="J499" s="424"/>
      <c r="K499" s="424"/>
      <c r="L499" s="424"/>
      <c r="M499" s="424"/>
      <c r="N499" s="424"/>
      <c r="O499" s="424"/>
      <c r="P499" s="424"/>
      <c r="Q499" s="424"/>
      <c r="R499" s="424"/>
      <c r="S499" s="424"/>
      <c r="T499" s="424"/>
      <c r="U499" s="424"/>
      <c r="V499" s="424"/>
      <c r="W499" s="424"/>
      <c r="X499" s="424"/>
      <c r="Y499" s="424"/>
      <c r="Z499" s="424"/>
      <c r="AA499" s="424"/>
      <c r="AB499" s="1100"/>
    </row>
    <row r="500" customHeight="1" spans="1:28">
      <c r="A500" s="1101" t="s">
        <v>236</v>
      </c>
      <c r="B500" s="1102"/>
      <c r="C500" s="1102"/>
      <c r="D500" s="1103"/>
      <c r="E500" s="1104" t="s">
        <v>237</v>
      </c>
      <c r="F500" s="1102"/>
      <c r="G500" s="1102"/>
      <c r="H500" s="1103"/>
      <c r="I500" s="1104" t="s">
        <v>246</v>
      </c>
      <c r="J500" s="1102"/>
      <c r="K500" s="1102"/>
      <c r="L500" s="1103"/>
      <c r="M500" s="1104"/>
      <c r="N500" s="1102"/>
      <c r="O500" s="1102"/>
      <c r="P500" s="1103"/>
      <c r="Q500" s="1104"/>
      <c r="R500" s="1102"/>
      <c r="S500" s="1102"/>
      <c r="T500" s="1103"/>
      <c r="U500" s="1055"/>
      <c r="V500" s="1056"/>
      <c r="W500" s="1056"/>
      <c r="X500" s="1105"/>
      <c r="Y500" s="1104" t="s">
        <v>333</v>
      </c>
      <c r="Z500" s="1102"/>
      <c r="AA500" s="1102"/>
      <c r="AB500" s="1106"/>
    </row>
    <row r="501" customHeight="1" spans="1:28">
      <c r="A501" s="1058" t="s">
        <v>209</v>
      </c>
      <c r="B501" s="1059"/>
      <c r="C501" s="1059"/>
      <c r="D501" s="1060"/>
      <c r="E501" s="1061" t="s">
        <v>315</v>
      </c>
      <c r="F501" s="1059"/>
      <c r="G501" s="1059"/>
      <c r="H501" s="1060"/>
      <c r="I501" s="1061" t="s">
        <v>210</v>
      </c>
      <c r="J501" s="1059"/>
      <c r="K501" s="1059"/>
      <c r="L501" s="1060"/>
      <c r="M501" s="1061"/>
      <c r="N501" s="1059"/>
      <c r="O501" s="1059"/>
      <c r="P501" s="1060"/>
      <c r="Q501" s="1061"/>
      <c r="R501" s="1059"/>
      <c r="S501" s="1059"/>
      <c r="T501" s="1060"/>
      <c r="U501" s="1065"/>
      <c r="V501" s="1066"/>
      <c r="W501" s="1066"/>
      <c r="X501" s="1107"/>
      <c r="Y501" s="1061"/>
      <c r="Z501" s="1059"/>
      <c r="AA501" s="1059"/>
      <c r="AB501" s="1108"/>
    </row>
    <row r="502" ht="15.75" spans="1:28">
      <c r="A502" s="1109">
        <v>6</v>
      </c>
      <c r="B502" s="1110"/>
      <c r="C502" s="1110"/>
      <c r="D502" s="1110"/>
      <c r="E502" s="1110">
        <v>0.4</v>
      </c>
      <c r="F502" s="1110"/>
      <c r="G502" s="1110"/>
      <c r="H502" s="1110"/>
      <c r="I502" s="1110">
        <v>5</v>
      </c>
      <c r="J502" s="1110"/>
      <c r="K502" s="1110"/>
      <c r="L502" s="1110"/>
      <c r="M502" s="1077"/>
      <c r="N502" s="1077"/>
      <c r="O502" s="1077"/>
      <c r="P502" s="1077"/>
      <c r="Q502" s="1077"/>
      <c r="R502" s="1077"/>
      <c r="S502" s="1077"/>
      <c r="T502" s="1077"/>
      <c r="U502" s="1077"/>
      <c r="V502" s="1077"/>
      <c r="W502" s="1077"/>
      <c r="X502" s="1077"/>
      <c r="Y502" s="1151">
        <f>(A502*I502)+(A502*(I502-I508-M508))</f>
        <v>55.2</v>
      </c>
      <c r="Z502" s="1152"/>
      <c r="AA502" s="1152"/>
      <c r="AB502" s="1156"/>
    </row>
    <row r="503" ht="15.75" spans="1:28">
      <c r="A503" s="1079" t="s">
        <v>336</v>
      </c>
      <c r="B503" s="1080"/>
      <c r="C503" s="1080"/>
      <c r="D503" s="1080"/>
      <c r="E503" s="1080"/>
      <c r="F503" s="1080"/>
      <c r="G503" s="1080"/>
      <c r="H503" s="1080"/>
      <c r="I503" s="1080"/>
      <c r="J503" s="1080"/>
      <c r="K503" s="1080"/>
      <c r="L503" s="1080"/>
      <c r="M503" s="1080"/>
      <c r="N503" s="1080"/>
      <c r="O503" s="1080"/>
      <c r="P503" s="1080"/>
      <c r="Q503" s="1080"/>
      <c r="R503" s="1080"/>
      <c r="S503" s="1080"/>
      <c r="T503" s="1080"/>
      <c r="U503" s="1080"/>
      <c r="V503" s="1080"/>
      <c r="W503" s="1080"/>
      <c r="X503" s="1080"/>
      <c r="Y503" s="1080"/>
      <c r="Z503" s="1080"/>
      <c r="AA503" s="1080"/>
      <c r="AB503" s="1081"/>
    </row>
    <row r="504" spans="1:28">
      <c r="A504" s="1154"/>
      <c r="B504" s="1130"/>
      <c r="C504" s="1130"/>
      <c r="D504" s="1130"/>
      <c r="E504" s="1130"/>
      <c r="F504" s="1130"/>
      <c r="G504" s="1130"/>
      <c r="H504" s="1130"/>
      <c r="I504" s="1130"/>
      <c r="J504" s="1130"/>
      <c r="K504" s="1130"/>
      <c r="L504" s="1130"/>
      <c r="M504" s="1155"/>
      <c r="N504" s="1155"/>
      <c r="O504" s="1155"/>
      <c r="P504" s="1155"/>
      <c r="Q504" s="1155"/>
      <c r="R504" s="1155"/>
      <c r="S504" s="1155"/>
      <c r="T504" s="1155"/>
      <c r="AB504" s="1044"/>
    </row>
    <row r="505" spans="1:28">
      <c r="A505" s="1099" t="s">
        <v>321</v>
      </c>
      <c r="B505" s="424"/>
      <c r="C505" s="424"/>
      <c r="D505" s="424"/>
      <c r="E505" s="424"/>
      <c r="F505" s="424"/>
      <c r="G505" s="424"/>
      <c r="H505" s="424"/>
      <c r="I505" s="424"/>
      <c r="J505" s="424"/>
      <c r="K505" s="424"/>
      <c r="L505" s="424"/>
      <c r="M505" s="424"/>
      <c r="N505" s="424"/>
      <c r="O505" s="424"/>
      <c r="P505" s="424"/>
      <c r="Q505" s="424"/>
      <c r="R505" s="424"/>
      <c r="S505" s="424"/>
      <c r="T505" s="424"/>
      <c r="U505" s="424"/>
      <c r="V505" s="424"/>
      <c r="W505" s="424"/>
      <c r="X505" s="424"/>
      <c r="Y505" s="424"/>
      <c r="Z505" s="424"/>
      <c r="AA505" s="424"/>
      <c r="AB505" s="1100"/>
    </row>
    <row r="506" customHeight="1" spans="1:28">
      <c r="A506" s="1101" t="s">
        <v>236</v>
      </c>
      <c r="B506" s="1102"/>
      <c r="C506" s="1102"/>
      <c r="D506" s="1103"/>
      <c r="E506" s="1104" t="s">
        <v>238</v>
      </c>
      <c r="F506" s="1102"/>
      <c r="G506" s="1102"/>
      <c r="H506" s="1103"/>
      <c r="I506" s="1104" t="s">
        <v>247</v>
      </c>
      <c r="J506" s="1102"/>
      <c r="K506" s="1102"/>
      <c r="L506" s="1103"/>
      <c r="M506" s="1104" t="s">
        <v>248</v>
      </c>
      <c r="N506" s="1102"/>
      <c r="O506" s="1102"/>
      <c r="P506" s="1103"/>
      <c r="Q506" s="1104"/>
      <c r="R506" s="1102"/>
      <c r="S506" s="1102"/>
      <c r="T506" s="1103"/>
      <c r="U506" s="1104"/>
      <c r="V506" s="1102"/>
      <c r="W506" s="1102"/>
      <c r="X506" s="1103"/>
      <c r="Y506" s="1104" t="s">
        <v>333</v>
      </c>
      <c r="Z506" s="1102"/>
      <c r="AA506" s="1102"/>
      <c r="AB506" s="1106"/>
    </row>
    <row r="507" spans="1:28">
      <c r="A507" s="1058" t="s">
        <v>209</v>
      </c>
      <c r="B507" s="1059"/>
      <c r="C507" s="1059"/>
      <c r="D507" s="1060"/>
      <c r="E507" s="1061" t="s">
        <v>315</v>
      </c>
      <c r="F507" s="1059"/>
      <c r="G507" s="1059"/>
      <c r="H507" s="1060"/>
      <c r="I507" s="1061" t="s">
        <v>210</v>
      </c>
      <c r="J507" s="1059"/>
      <c r="K507" s="1059"/>
      <c r="L507" s="1060"/>
      <c r="M507" s="1061" t="s">
        <v>210</v>
      </c>
      <c r="N507" s="1059"/>
      <c r="O507" s="1059"/>
      <c r="P507" s="1060"/>
      <c r="Q507" s="1061"/>
      <c r="R507" s="1059"/>
      <c r="S507" s="1059"/>
      <c r="T507" s="1060"/>
      <c r="U507" s="1061"/>
      <c r="V507" s="1059"/>
      <c r="W507" s="1059"/>
      <c r="X507" s="1060"/>
      <c r="Y507" s="1061"/>
      <c r="Z507" s="1059"/>
      <c r="AA507" s="1059"/>
      <c r="AB507" s="1108"/>
    </row>
    <row r="508" ht="15.75" spans="1:28">
      <c r="A508" s="1109">
        <v>6</v>
      </c>
      <c r="B508" s="1110"/>
      <c r="C508" s="1110"/>
      <c r="D508" s="1110"/>
      <c r="E508" s="1110">
        <v>0.5</v>
      </c>
      <c r="F508" s="1110"/>
      <c r="G508" s="1110"/>
      <c r="H508" s="1110"/>
      <c r="I508" s="1110">
        <v>0.5</v>
      </c>
      <c r="J508" s="1110"/>
      <c r="K508" s="1110"/>
      <c r="L508" s="1110"/>
      <c r="M508" s="1110">
        <v>0.3</v>
      </c>
      <c r="N508" s="1110"/>
      <c r="O508" s="1110"/>
      <c r="P508" s="1110"/>
      <c r="Q508" s="1077"/>
      <c r="R508" s="1077"/>
      <c r="S508" s="1077"/>
      <c r="T508" s="1077"/>
      <c r="U508" s="1077"/>
      <c r="V508" s="1077"/>
      <c r="W508" s="1077"/>
      <c r="X508" s="1077"/>
      <c r="Y508" s="1151">
        <f>(((($E508*$I508/2)+($E508*$M508))*2)+((((($E508^2)+($I508^2))^0.5)+$M508)*$A508))</f>
        <v>6.59264068711928</v>
      </c>
      <c r="Z508" s="1152"/>
      <c r="AA508" s="1152"/>
      <c r="AB508" s="1156"/>
    </row>
    <row r="509" ht="15.75" spans="1:28">
      <c r="A509" s="1157" t="s">
        <v>337</v>
      </c>
      <c r="B509" s="1158"/>
      <c r="C509" s="1158"/>
      <c r="D509" s="1158"/>
      <c r="E509" s="1158"/>
      <c r="F509" s="1158"/>
      <c r="G509" s="1158"/>
      <c r="H509" s="1158"/>
      <c r="I509" s="1158"/>
      <c r="J509" s="1158"/>
      <c r="K509" s="1158"/>
      <c r="L509" s="1158"/>
      <c r="M509" s="1158"/>
      <c r="N509" s="1158"/>
      <c r="O509" s="1158"/>
      <c r="P509" s="1158"/>
      <c r="Q509" s="1158"/>
      <c r="R509" s="1158"/>
      <c r="S509" s="1158"/>
      <c r="T509" s="1158"/>
      <c r="U509" s="1158"/>
      <c r="V509" s="1158"/>
      <c r="W509" s="1158"/>
      <c r="X509" s="1158"/>
      <c r="Y509" s="1158"/>
      <c r="Z509" s="1158"/>
      <c r="AA509" s="1158"/>
      <c r="AB509" s="1159"/>
    </row>
    <row r="510" ht="15.75" spans="1:28">
      <c r="A510" s="1083"/>
      <c r="AB510" s="1044"/>
    </row>
    <row r="511" spans="1:28">
      <c r="A511" s="1083"/>
      <c r="K511" s="1084" t="s">
        <v>338</v>
      </c>
      <c r="L511" s="1085"/>
      <c r="M511" s="1085"/>
      <c r="N511" s="1085"/>
      <c r="O511" s="1085"/>
      <c r="P511" s="1085"/>
      <c r="Q511" s="1085"/>
      <c r="R511" s="1086"/>
      <c r="AB511" s="1044"/>
    </row>
    <row r="512" spans="1:28">
      <c r="A512" s="1083"/>
      <c r="K512" s="1087" t="s">
        <v>339</v>
      </c>
      <c r="L512" s="1088"/>
      <c r="M512" s="1088"/>
      <c r="N512" s="1088"/>
      <c r="O512" s="1088"/>
      <c r="P512" s="1088"/>
      <c r="Q512" s="1088"/>
      <c r="R512" s="1089"/>
      <c r="AB512" s="1044"/>
    </row>
    <row r="513" spans="1:28">
      <c r="A513" s="1083"/>
      <c r="K513" s="1090"/>
      <c r="L513" s="1091"/>
      <c r="M513" s="1091"/>
      <c r="N513" s="1091"/>
      <c r="O513" s="1091"/>
      <c r="P513" s="1091"/>
      <c r="Q513" s="1091"/>
      <c r="R513" s="1092"/>
      <c r="AB513" s="1044"/>
    </row>
    <row r="514" ht="15.75" spans="1:28">
      <c r="A514" s="1083"/>
      <c r="K514" s="1093">
        <f>ROUND(Y490+Y496+Y502+Y508,2)</f>
        <v>166.62</v>
      </c>
      <c r="L514" s="1094"/>
      <c r="M514" s="1094"/>
      <c r="N514" s="1094"/>
      <c r="O514" s="1094"/>
      <c r="P514" s="1094"/>
      <c r="Q514" s="1094"/>
      <c r="R514" s="1095"/>
      <c r="AB514" s="1044"/>
    </row>
    <row r="515" ht="15.75" spans="1:28">
      <c r="A515" s="1096"/>
      <c r="B515" s="389"/>
      <c r="C515" s="389"/>
      <c r="D515" s="389"/>
      <c r="E515" s="389"/>
      <c r="F515" s="389"/>
      <c r="G515" s="389"/>
      <c r="H515" s="389"/>
      <c r="I515" s="1097"/>
      <c r="J515" s="1097"/>
      <c r="K515" s="1097"/>
      <c r="L515" s="1097"/>
      <c r="M515" s="1097"/>
      <c r="N515" s="1097"/>
      <c r="O515" s="1097"/>
      <c r="P515" s="1097"/>
      <c r="Q515" s="389"/>
      <c r="R515" s="389"/>
      <c r="S515" s="389"/>
      <c r="T515" s="389"/>
      <c r="U515" s="389"/>
      <c r="V515" s="389"/>
      <c r="W515" s="389"/>
      <c r="X515" s="389"/>
      <c r="Y515" s="389"/>
      <c r="Z515" s="389"/>
      <c r="AA515" s="389"/>
      <c r="AB515" s="1098"/>
    </row>
    <row r="516" s="437" customFormat="1" spans="1:28">
      <c r="A516" s="1040" t="s">
        <v>340</v>
      </c>
      <c r="B516" s="1114"/>
      <c r="C516" s="1114"/>
      <c r="D516" s="1114"/>
      <c r="E516" s="1114"/>
      <c r="F516" s="1114"/>
      <c r="G516" s="1114"/>
      <c r="H516" s="1114"/>
      <c r="I516" s="1129"/>
      <c r="J516" s="1129"/>
      <c r="K516" s="1129"/>
      <c r="L516" s="1129"/>
      <c r="M516" s="1129"/>
      <c r="N516" s="1129"/>
      <c r="O516" s="1129"/>
      <c r="P516" s="1129"/>
      <c r="Q516" s="1114"/>
      <c r="R516" s="1114"/>
      <c r="S516" s="1114"/>
      <c r="T516" s="1114"/>
      <c r="U516" s="1114"/>
      <c r="V516" s="1114"/>
      <c r="W516" s="1114"/>
      <c r="X516" s="1114"/>
      <c r="Y516" s="1114"/>
      <c r="Z516" s="1114"/>
      <c r="AA516" s="1114"/>
      <c r="AB516" s="1115"/>
    </row>
    <row r="517" spans="1:28">
      <c r="A517" s="1083"/>
      <c r="I517" s="1130"/>
      <c r="J517" s="1130"/>
      <c r="K517" s="1130"/>
      <c r="L517" s="1130"/>
      <c r="M517" s="1130"/>
      <c r="N517" s="1130"/>
      <c r="O517" s="1130"/>
      <c r="P517" s="1130"/>
      <c r="AB517" s="1044"/>
    </row>
    <row r="518" spans="1:28">
      <c r="A518" s="1083"/>
      <c r="I518" s="1130"/>
      <c r="J518" s="1130"/>
      <c r="K518" s="1130"/>
      <c r="L518" s="1130"/>
      <c r="M518" s="1130"/>
      <c r="N518" s="1130"/>
      <c r="O518" s="1130"/>
      <c r="P518" s="1130"/>
      <c r="AB518" s="1044"/>
    </row>
    <row r="519" spans="1:28">
      <c r="A519" s="1083"/>
      <c r="I519" s="1130"/>
      <c r="J519" s="1130"/>
      <c r="K519" s="1130"/>
      <c r="L519" s="1130"/>
      <c r="M519" s="1130"/>
      <c r="N519" s="1130"/>
      <c r="O519" s="1130"/>
      <c r="P519" s="1130"/>
      <c r="AB519" s="1044"/>
    </row>
    <row r="520" spans="1:28">
      <c r="A520" s="1083"/>
      <c r="I520" s="1130"/>
      <c r="J520" s="1130"/>
      <c r="K520" s="1130"/>
      <c r="L520" s="1130"/>
      <c r="M520" s="1130"/>
      <c r="N520" s="1130"/>
      <c r="O520" s="1130"/>
      <c r="P520" s="1130"/>
      <c r="AB520" s="1044"/>
    </row>
    <row r="521" spans="1:28">
      <c r="A521" s="1083"/>
      <c r="I521" s="1130"/>
      <c r="J521" s="1130"/>
      <c r="K521" s="1130"/>
      <c r="L521" s="1130"/>
      <c r="M521" s="1130"/>
      <c r="N521" s="1130"/>
      <c r="O521" s="1130"/>
      <c r="P521" s="1130"/>
      <c r="AB521" s="1044"/>
    </row>
    <row r="522" spans="1:28">
      <c r="A522" s="1083"/>
      <c r="I522" s="1130"/>
      <c r="J522" s="1130"/>
      <c r="K522" s="1130"/>
      <c r="L522" s="1130"/>
      <c r="M522" s="1130"/>
      <c r="N522" s="1130"/>
      <c r="O522" s="1130"/>
      <c r="P522" s="1130"/>
      <c r="AB522" s="1044"/>
    </row>
    <row r="523" spans="1:28">
      <c r="A523" s="1083"/>
      <c r="I523" s="1130"/>
      <c r="J523" s="1130"/>
      <c r="K523" s="1130"/>
      <c r="L523" s="1130"/>
      <c r="M523" s="1130"/>
      <c r="N523" s="1130"/>
      <c r="O523" s="1130"/>
      <c r="P523" s="1130"/>
      <c r="AB523" s="1044"/>
    </row>
    <row r="524" spans="1:28">
      <c r="A524" s="1083"/>
      <c r="I524" s="1130"/>
      <c r="J524" s="1130"/>
      <c r="K524" s="1130"/>
      <c r="L524" s="1130"/>
      <c r="M524" s="1130"/>
      <c r="N524" s="1130"/>
      <c r="O524" s="1130"/>
      <c r="P524" s="1130"/>
      <c r="AB524" s="1044"/>
    </row>
    <row r="525" spans="1:28">
      <c r="A525" s="1083"/>
      <c r="I525" s="1130"/>
      <c r="J525" s="1130"/>
      <c r="K525" s="1130"/>
      <c r="L525" s="1130"/>
      <c r="M525" s="1130"/>
      <c r="N525" s="1130"/>
      <c r="O525" s="1130"/>
      <c r="P525" s="1130"/>
      <c r="AB525" s="1044"/>
    </row>
    <row r="526" spans="1:28">
      <c r="A526" s="1083"/>
      <c r="I526" s="1130"/>
      <c r="J526" s="1130"/>
      <c r="K526" s="1130"/>
      <c r="L526" s="1130"/>
      <c r="M526" s="1130"/>
      <c r="N526" s="1130"/>
      <c r="O526" s="1130"/>
      <c r="P526" s="1130"/>
      <c r="AB526" s="1044"/>
    </row>
    <row r="527" spans="1:28">
      <c r="A527" s="1083"/>
      <c r="I527" s="1130"/>
      <c r="J527" s="1130"/>
      <c r="K527" s="1130"/>
      <c r="L527" s="1130"/>
      <c r="M527" s="1130"/>
      <c r="N527" s="1130"/>
      <c r="O527" s="1130"/>
      <c r="P527" s="1130"/>
      <c r="AB527" s="1044"/>
    </row>
    <row r="528" spans="1:28">
      <c r="A528" s="1083"/>
      <c r="I528" s="1130"/>
      <c r="J528" s="1130"/>
      <c r="K528" s="1130"/>
      <c r="L528" s="1130"/>
      <c r="M528" s="1130"/>
      <c r="N528" s="1130"/>
      <c r="O528" s="1130"/>
      <c r="P528" s="1130"/>
      <c r="AB528" s="1044"/>
    </row>
    <row r="529" spans="1:28">
      <c r="A529" s="1083"/>
      <c r="I529" s="1130"/>
      <c r="J529" s="1130"/>
      <c r="K529" s="1130"/>
      <c r="L529" s="1130"/>
      <c r="M529" s="1130"/>
      <c r="N529" s="1130"/>
      <c r="O529" s="1130"/>
      <c r="P529" s="1130"/>
      <c r="AB529" s="1044"/>
    </row>
    <row r="530" spans="1:28">
      <c r="A530" s="1083"/>
      <c r="I530" s="1130"/>
      <c r="J530" s="1130"/>
      <c r="K530" s="1130"/>
      <c r="L530" s="1130"/>
      <c r="M530" s="1130"/>
      <c r="N530" s="1130"/>
      <c r="O530" s="1130"/>
      <c r="P530" s="1130"/>
      <c r="AB530" s="1044"/>
    </row>
    <row r="531" spans="1:28">
      <c r="A531" s="1083"/>
      <c r="I531" s="1130"/>
      <c r="J531" s="1130"/>
      <c r="K531" s="1130"/>
      <c r="L531" s="1130"/>
      <c r="M531" s="1130"/>
      <c r="N531" s="1130"/>
      <c r="O531" s="1130"/>
      <c r="P531" s="1130"/>
      <c r="AB531" s="1044"/>
    </row>
    <row r="532" spans="1:28">
      <c r="A532" s="1083"/>
      <c r="I532" s="1130"/>
      <c r="J532" s="1130"/>
      <c r="K532" s="1130"/>
      <c r="L532" s="1130"/>
      <c r="M532" s="1130"/>
      <c r="N532" s="1130"/>
      <c r="O532" s="1130"/>
      <c r="P532" s="1130"/>
      <c r="AB532" s="1044"/>
    </row>
    <row r="533" spans="1:28">
      <c r="A533" s="1083"/>
      <c r="I533" s="1130"/>
      <c r="J533" s="1130"/>
      <c r="K533" s="1130"/>
      <c r="L533" s="1130"/>
      <c r="M533" s="1130"/>
      <c r="N533" s="1130"/>
      <c r="O533" s="1130"/>
      <c r="P533" s="1130"/>
      <c r="AB533" s="1044"/>
    </row>
    <row r="534" spans="1:28">
      <c r="A534" s="1083"/>
      <c r="I534" s="1130"/>
      <c r="J534" s="1130"/>
      <c r="K534" s="1130"/>
      <c r="L534" s="1130"/>
      <c r="M534" s="1130"/>
      <c r="N534" s="1130"/>
      <c r="O534" s="1130"/>
      <c r="P534" s="1130"/>
      <c r="AB534" s="1044"/>
    </row>
    <row r="535" spans="1:28">
      <c r="A535" s="1083"/>
      <c r="I535" s="1130"/>
      <c r="J535" s="1130"/>
      <c r="K535" s="1130"/>
      <c r="L535" s="1130"/>
      <c r="M535" s="1130"/>
      <c r="N535" s="1130"/>
      <c r="O535" s="1130"/>
      <c r="P535" s="1130"/>
      <c r="AB535" s="1044"/>
    </row>
    <row r="536" spans="1:28">
      <c r="A536" s="1083"/>
      <c r="I536" s="1130"/>
      <c r="J536" s="1130"/>
      <c r="K536" s="1130"/>
      <c r="L536" s="1130"/>
      <c r="M536" s="1130"/>
      <c r="N536" s="1130"/>
      <c r="O536" s="1130"/>
      <c r="P536" s="1130"/>
      <c r="AB536" s="1044"/>
    </row>
    <row r="537" spans="1:28">
      <c r="A537" s="1083"/>
      <c r="I537" s="1130"/>
      <c r="J537" s="1130"/>
      <c r="K537" s="1130"/>
      <c r="L537" s="1130"/>
      <c r="M537" s="1130"/>
      <c r="N537" s="1130"/>
      <c r="O537" s="1130"/>
      <c r="P537" s="1130"/>
      <c r="AB537" s="1044"/>
    </row>
    <row r="538" spans="1:28">
      <c r="A538" s="1083"/>
      <c r="I538" s="1130"/>
      <c r="J538" s="1130"/>
      <c r="K538" s="1130"/>
      <c r="L538" s="1130"/>
      <c r="M538" s="1130"/>
      <c r="N538" s="1130"/>
      <c r="O538" s="1130"/>
      <c r="P538" s="1130"/>
      <c r="AB538" s="1044"/>
    </row>
    <row r="539" spans="1:28">
      <c r="A539" s="1083"/>
      <c r="I539" s="1130"/>
      <c r="J539" s="1130"/>
      <c r="K539" s="1130"/>
      <c r="L539" s="1130"/>
      <c r="M539" s="1130"/>
      <c r="N539" s="1130"/>
      <c r="O539" s="1130"/>
      <c r="P539" s="1130"/>
      <c r="AB539" s="1044"/>
    </row>
    <row r="540" spans="1:28">
      <c r="A540" s="1083"/>
      <c r="I540" s="1130"/>
      <c r="J540" s="1130"/>
      <c r="K540" s="1130"/>
      <c r="L540" s="1130"/>
      <c r="M540" s="1130"/>
      <c r="N540" s="1130"/>
      <c r="O540" s="1130"/>
      <c r="P540" s="1130"/>
      <c r="AB540" s="1044"/>
    </row>
    <row r="541" spans="1:28">
      <c r="A541" s="1083"/>
      <c r="I541" s="1130"/>
      <c r="J541" s="1130"/>
      <c r="K541" s="1130"/>
      <c r="L541" s="1130"/>
      <c r="M541" s="1130"/>
      <c r="N541" s="1130"/>
      <c r="O541" s="1130"/>
      <c r="P541" s="1130"/>
      <c r="AB541" s="1044"/>
    </row>
    <row r="542" spans="1:28">
      <c r="A542" s="1083"/>
      <c r="I542" s="1130"/>
      <c r="J542" s="1130"/>
      <c r="K542" s="1130"/>
      <c r="L542" s="1130"/>
      <c r="M542" s="1130"/>
      <c r="N542" s="1130"/>
      <c r="O542" s="1130"/>
      <c r="P542" s="1130"/>
      <c r="AB542" s="1044"/>
    </row>
    <row r="543" spans="1:28">
      <c r="A543" s="1083"/>
      <c r="I543" s="1130"/>
      <c r="J543" s="1130"/>
      <c r="K543" s="1130"/>
      <c r="L543" s="1130"/>
      <c r="M543" s="1130"/>
      <c r="N543" s="1130"/>
      <c r="O543" s="1130"/>
      <c r="P543" s="1130"/>
      <c r="AB543" s="1044"/>
    </row>
    <row r="544" spans="1:28">
      <c r="A544" s="1083"/>
      <c r="I544" s="1130"/>
      <c r="J544" s="1130"/>
      <c r="K544" s="1130"/>
      <c r="L544" s="1130"/>
      <c r="M544" s="1130"/>
      <c r="N544" s="1130"/>
      <c r="O544" s="1130"/>
      <c r="P544" s="1130"/>
      <c r="AB544" s="1044"/>
    </row>
    <row r="545" spans="1:28">
      <c r="A545" s="1083"/>
      <c r="I545" s="1130"/>
      <c r="J545" s="1130"/>
      <c r="K545" s="1130"/>
      <c r="L545" s="1130"/>
      <c r="M545" s="1130"/>
      <c r="N545" s="1130"/>
      <c r="O545" s="1130"/>
      <c r="P545" s="1130"/>
      <c r="AB545" s="1044"/>
    </row>
    <row r="546" spans="1:28">
      <c r="A546" s="1083"/>
      <c r="I546" s="1130"/>
      <c r="J546" s="1130"/>
      <c r="K546" s="1130"/>
      <c r="L546" s="1130"/>
      <c r="M546" s="1130"/>
      <c r="N546" s="1130"/>
      <c r="O546" s="1130"/>
      <c r="P546" s="1130"/>
      <c r="AB546" s="1044"/>
    </row>
    <row r="547" spans="1:28">
      <c r="A547" s="1083"/>
      <c r="I547" s="1130"/>
      <c r="J547" s="1130"/>
      <c r="K547" s="1130"/>
      <c r="L547" s="1130"/>
      <c r="M547" s="1130"/>
      <c r="N547" s="1130"/>
      <c r="O547" s="1130"/>
      <c r="P547" s="1130"/>
      <c r="AB547" s="1044"/>
    </row>
    <row r="548" spans="1:28">
      <c r="A548" s="1083"/>
      <c r="I548" s="1130"/>
      <c r="J548" s="1130"/>
      <c r="K548" s="1130"/>
      <c r="L548" s="1130"/>
      <c r="M548" s="1130"/>
      <c r="N548" s="1130"/>
      <c r="O548" s="1130"/>
      <c r="P548" s="1130"/>
      <c r="AB548" s="1044"/>
    </row>
    <row r="549" spans="1:28">
      <c r="A549" s="1083"/>
      <c r="I549" s="1130"/>
      <c r="J549" s="1130"/>
      <c r="K549" s="1130"/>
      <c r="L549" s="1130"/>
      <c r="M549" s="1130"/>
      <c r="N549" s="1130"/>
      <c r="O549" s="1130"/>
      <c r="P549" s="1130"/>
      <c r="AB549" s="1044"/>
    </row>
    <row r="550" spans="1:28">
      <c r="A550" s="1083"/>
      <c r="I550" s="1130"/>
      <c r="J550" s="1130"/>
      <c r="K550" s="1130"/>
      <c r="L550" s="1130"/>
      <c r="M550" s="1130"/>
      <c r="N550" s="1130"/>
      <c r="O550" s="1130"/>
      <c r="P550" s="1130"/>
      <c r="AB550" s="1044"/>
    </row>
    <row r="551" spans="1:28">
      <c r="A551" s="1083"/>
      <c r="I551" s="1130"/>
      <c r="J551" s="1130"/>
      <c r="K551" s="1130"/>
      <c r="L551" s="1130"/>
      <c r="M551" s="1130"/>
      <c r="N551" s="1130"/>
      <c r="O551" s="1130"/>
      <c r="P551" s="1130"/>
      <c r="AB551" s="1044"/>
    </row>
    <row r="552" spans="1:28">
      <c r="A552" s="1083"/>
      <c r="I552" s="1130"/>
      <c r="J552" s="1130"/>
      <c r="K552" s="1130"/>
      <c r="L552" s="1130"/>
      <c r="M552" s="1130"/>
      <c r="N552" s="1130"/>
      <c r="O552" s="1130"/>
      <c r="P552" s="1130"/>
      <c r="AB552" s="1044"/>
    </row>
    <row r="553" spans="1:28">
      <c r="A553" s="1083"/>
      <c r="I553" s="1130"/>
      <c r="J553" s="1130"/>
      <c r="K553" s="1130"/>
      <c r="L553" s="1130"/>
      <c r="M553" s="1130"/>
      <c r="N553" s="1130"/>
      <c r="O553" s="1130"/>
      <c r="P553" s="1130"/>
      <c r="AB553" s="1044"/>
    </row>
    <row r="554" spans="1:28">
      <c r="A554" s="1083"/>
      <c r="I554" s="1130"/>
      <c r="J554" s="1130"/>
      <c r="K554" s="1130"/>
      <c r="L554" s="1130"/>
      <c r="M554" s="1130"/>
      <c r="N554" s="1130"/>
      <c r="O554" s="1130"/>
      <c r="P554" s="1130"/>
      <c r="AB554" s="1044"/>
    </row>
    <row r="555" spans="1:28">
      <c r="A555" s="1083"/>
      <c r="I555" s="1130"/>
      <c r="J555" s="1130"/>
      <c r="K555" s="1130"/>
      <c r="L555" s="1130"/>
      <c r="M555" s="1130"/>
      <c r="N555" s="1130"/>
      <c r="O555" s="1130"/>
      <c r="P555" s="1130"/>
      <c r="AB555" s="1044"/>
    </row>
    <row r="556" spans="1:28">
      <c r="A556" s="1083"/>
      <c r="I556" s="1130"/>
      <c r="J556" s="1130"/>
      <c r="K556" s="1130"/>
      <c r="L556" s="1130"/>
      <c r="M556" s="1130"/>
      <c r="N556" s="1130"/>
      <c r="O556" s="1130"/>
      <c r="P556" s="1130"/>
      <c r="AB556" s="1044"/>
    </row>
    <row r="557" spans="1:28">
      <c r="A557" s="1083"/>
      <c r="I557" s="1130"/>
      <c r="J557" s="1130"/>
      <c r="K557" s="1130"/>
      <c r="L557" s="1130"/>
      <c r="M557" s="1130"/>
      <c r="N557" s="1130"/>
      <c r="O557" s="1130"/>
      <c r="P557" s="1130"/>
      <c r="AB557" s="1044"/>
    </row>
    <row r="558" spans="1:28">
      <c r="A558" s="1083"/>
      <c r="I558" s="1130"/>
      <c r="J558" s="1130"/>
      <c r="K558" s="1130"/>
      <c r="L558" s="1130"/>
      <c r="M558" s="1130"/>
      <c r="N558" s="1130"/>
      <c r="O558" s="1130"/>
      <c r="P558" s="1130"/>
      <c r="AB558" s="1044"/>
    </row>
    <row r="559" spans="1:28">
      <c r="A559" s="1083"/>
      <c r="I559" s="1130"/>
      <c r="J559" s="1130"/>
      <c r="K559" s="1130"/>
      <c r="L559" s="1130"/>
      <c r="M559" s="1130"/>
      <c r="N559" s="1130"/>
      <c r="O559" s="1130"/>
      <c r="P559" s="1130"/>
      <c r="AB559" s="1044"/>
    </row>
    <row r="560" spans="1:28">
      <c r="A560" s="1083"/>
      <c r="I560" s="1130"/>
      <c r="J560" s="1130"/>
      <c r="K560" s="1130"/>
      <c r="L560" s="1130"/>
      <c r="M560" s="1130"/>
      <c r="N560" s="1130"/>
      <c r="O560" s="1130"/>
      <c r="P560" s="1130"/>
      <c r="AB560" s="1044"/>
    </row>
    <row r="561" spans="1:28">
      <c r="A561" s="1083"/>
      <c r="I561" s="1130"/>
      <c r="J561" s="1130"/>
      <c r="K561" s="1130"/>
      <c r="L561" s="1130"/>
      <c r="M561" s="1130"/>
      <c r="N561" s="1130"/>
      <c r="O561" s="1130"/>
      <c r="P561" s="1130"/>
      <c r="AB561" s="1044"/>
    </row>
    <row r="562" spans="1:28">
      <c r="A562" s="1083"/>
      <c r="I562" s="1130"/>
      <c r="J562" s="1130"/>
      <c r="K562" s="1130"/>
      <c r="L562" s="1130"/>
      <c r="M562" s="1130"/>
      <c r="N562" s="1130"/>
      <c r="O562" s="1130"/>
      <c r="P562" s="1130"/>
      <c r="AB562" s="1044"/>
    </row>
    <row r="563" spans="1:28">
      <c r="A563" s="1083"/>
      <c r="I563" s="1130"/>
      <c r="J563" s="1130"/>
      <c r="K563" s="1130"/>
      <c r="L563" s="1130"/>
      <c r="M563" s="1130"/>
      <c r="N563" s="1130"/>
      <c r="O563" s="1130"/>
      <c r="P563" s="1130"/>
      <c r="AB563" s="1044"/>
    </row>
    <row r="564" spans="1:28">
      <c r="A564" s="1083"/>
      <c r="I564" s="1130"/>
      <c r="J564" s="1130"/>
      <c r="K564" s="1130"/>
      <c r="L564" s="1130"/>
      <c r="M564" s="1130"/>
      <c r="N564" s="1130"/>
      <c r="O564" s="1130"/>
      <c r="P564" s="1130"/>
      <c r="AB564" s="1044"/>
    </row>
    <row r="565" spans="1:28">
      <c r="A565" s="1083"/>
      <c r="I565" s="1130"/>
      <c r="J565" s="1130"/>
      <c r="K565" s="1130"/>
      <c r="L565" s="1130"/>
      <c r="M565" s="1130"/>
      <c r="N565" s="1130"/>
      <c r="O565" s="1130"/>
      <c r="P565" s="1130"/>
      <c r="AB565" s="1044"/>
    </row>
    <row r="566" spans="1:28">
      <c r="A566" s="1083"/>
      <c r="I566" s="1130"/>
      <c r="J566" s="1130"/>
      <c r="K566" s="1130"/>
      <c r="L566" s="1130"/>
      <c r="M566" s="1130"/>
      <c r="N566" s="1130"/>
      <c r="O566" s="1130"/>
      <c r="P566" s="1130"/>
      <c r="AB566" s="1044"/>
    </row>
    <row r="567" spans="1:28">
      <c r="A567" s="1083"/>
      <c r="I567" s="1130"/>
      <c r="J567" s="1130"/>
      <c r="K567" s="1130"/>
      <c r="L567" s="1130"/>
      <c r="M567" s="1130"/>
      <c r="N567" s="1130"/>
      <c r="O567" s="1130"/>
      <c r="P567" s="1130"/>
      <c r="AB567" s="1044"/>
    </row>
    <row r="568" spans="1:28">
      <c r="A568" s="1083"/>
      <c r="I568" s="1130"/>
      <c r="J568" s="1130"/>
      <c r="K568" s="1130"/>
      <c r="L568" s="1130"/>
      <c r="M568" s="1130"/>
      <c r="N568" s="1130"/>
      <c r="O568" s="1130"/>
      <c r="P568" s="1130"/>
      <c r="AB568" s="1044"/>
    </row>
    <row r="569" spans="1:28">
      <c r="A569" s="1083"/>
      <c r="I569" s="1130"/>
      <c r="J569" s="1130"/>
      <c r="K569" s="1130"/>
      <c r="L569" s="1130"/>
      <c r="M569" s="1130"/>
      <c r="N569" s="1130"/>
      <c r="O569" s="1130"/>
      <c r="P569" s="1130"/>
      <c r="AB569" s="1044"/>
    </row>
    <row r="570" spans="1:28">
      <c r="A570" s="1083"/>
      <c r="I570" s="1130"/>
      <c r="J570" s="1130"/>
      <c r="K570" s="1130"/>
      <c r="L570" s="1130"/>
      <c r="M570" s="1130"/>
      <c r="N570" s="1130"/>
      <c r="O570" s="1130"/>
      <c r="P570" s="1130"/>
      <c r="AB570" s="1044"/>
    </row>
    <row r="571" spans="1:28">
      <c r="A571" s="1083"/>
      <c r="I571" s="1130"/>
      <c r="J571" s="1130"/>
      <c r="K571" s="1130"/>
      <c r="L571" s="1130"/>
      <c r="M571" s="1130"/>
      <c r="N571" s="1130"/>
      <c r="O571" s="1130"/>
      <c r="P571" s="1130"/>
      <c r="AB571" s="1044"/>
    </row>
    <row r="572" spans="1:28">
      <c r="A572" s="1083"/>
      <c r="I572" s="1130"/>
      <c r="J572" s="1130"/>
      <c r="K572" s="1130"/>
      <c r="L572" s="1130"/>
      <c r="M572" s="1130"/>
      <c r="N572" s="1130"/>
      <c r="O572" s="1130"/>
      <c r="P572" s="1130"/>
      <c r="AB572" s="1044"/>
    </row>
    <row r="573" spans="1:28">
      <c r="A573" s="1083"/>
      <c r="I573" s="1130"/>
      <c r="J573" s="1130"/>
      <c r="K573" s="1130"/>
      <c r="L573" s="1130"/>
      <c r="M573" s="1130"/>
      <c r="N573" s="1130"/>
      <c r="O573" s="1130"/>
      <c r="P573" s="1130"/>
      <c r="AB573" s="1044"/>
    </row>
    <row r="574" spans="1:28">
      <c r="A574" s="1083"/>
      <c r="I574" s="1130"/>
      <c r="J574" s="1130"/>
      <c r="K574" s="1130"/>
      <c r="L574" s="1130"/>
      <c r="M574" s="1130"/>
      <c r="N574" s="1130"/>
      <c r="O574" s="1130"/>
      <c r="P574" s="1130"/>
      <c r="AB574" s="1044"/>
    </row>
    <row r="575" spans="1:28">
      <c r="A575" s="1083"/>
      <c r="I575" s="1130"/>
      <c r="J575" s="1130"/>
      <c r="K575" s="1130"/>
      <c r="L575" s="1130"/>
      <c r="M575" s="1130"/>
      <c r="N575" s="1130"/>
      <c r="O575" s="1130"/>
      <c r="P575" s="1130"/>
      <c r="AB575" s="1044"/>
    </row>
    <row r="576" spans="1:28">
      <c r="A576" s="1083"/>
      <c r="I576" s="1130"/>
      <c r="J576" s="1130"/>
      <c r="K576" s="1130"/>
      <c r="L576" s="1130"/>
      <c r="M576" s="1130"/>
      <c r="N576" s="1130"/>
      <c r="O576" s="1130"/>
      <c r="P576" s="1130"/>
      <c r="AB576" s="1044"/>
    </row>
    <row r="577" spans="1:28">
      <c r="A577" s="1083"/>
      <c r="I577" s="1130"/>
      <c r="J577" s="1130"/>
      <c r="K577" s="1130"/>
      <c r="L577" s="1130"/>
      <c r="M577" s="1130"/>
      <c r="N577" s="1130"/>
      <c r="O577" s="1130"/>
      <c r="P577" s="1130"/>
      <c r="AB577" s="1044"/>
    </row>
    <row r="578" spans="1:28">
      <c r="A578" s="1083"/>
      <c r="I578" s="1130"/>
      <c r="J578" s="1130"/>
      <c r="K578" s="1130"/>
      <c r="L578" s="1130"/>
      <c r="M578" s="1130"/>
      <c r="N578" s="1130"/>
      <c r="O578" s="1130"/>
      <c r="P578" s="1130"/>
      <c r="AB578" s="1044"/>
    </row>
    <row r="579" spans="1:28">
      <c r="A579" s="1083"/>
      <c r="I579" s="1130"/>
      <c r="J579" s="1130"/>
      <c r="K579" s="1130"/>
      <c r="L579" s="1130"/>
      <c r="M579" s="1130"/>
      <c r="N579" s="1130"/>
      <c r="O579" s="1130"/>
      <c r="P579" s="1130"/>
      <c r="AB579" s="1044"/>
    </row>
    <row r="580" spans="1:28">
      <c r="A580" s="1083"/>
      <c r="I580" s="1130"/>
      <c r="J580" s="1130"/>
      <c r="K580" s="1130"/>
      <c r="L580" s="1130"/>
      <c r="M580" s="1130"/>
      <c r="N580" s="1130"/>
      <c r="O580" s="1130"/>
      <c r="P580" s="1130"/>
      <c r="AB580" s="1044"/>
    </row>
    <row r="581" spans="1:28">
      <c r="A581" s="1083"/>
      <c r="I581" s="1130"/>
      <c r="J581" s="1130"/>
      <c r="K581" s="1130"/>
      <c r="L581" s="1130"/>
      <c r="M581" s="1130"/>
      <c r="N581" s="1130"/>
      <c r="O581" s="1130"/>
      <c r="P581" s="1130"/>
      <c r="AB581" s="1044"/>
    </row>
    <row r="582" spans="1:28">
      <c r="A582" s="1083"/>
      <c r="I582" s="1130"/>
      <c r="J582" s="1130"/>
      <c r="K582" s="1130"/>
      <c r="L582" s="1130"/>
      <c r="M582" s="1130"/>
      <c r="N582" s="1130"/>
      <c r="O582" s="1130"/>
      <c r="P582" s="1130"/>
      <c r="AB582" s="1044"/>
    </row>
    <row r="583" spans="1:28">
      <c r="A583" s="1083"/>
      <c r="I583" s="1130"/>
      <c r="J583" s="1130"/>
      <c r="K583" s="1130"/>
      <c r="L583" s="1130"/>
      <c r="M583" s="1130"/>
      <c r="N583" s="1130"/>
      <c r="O583" s="1130"/>
      <c r="P583" s="1130"/>
      <c r="AB583" s="1044"/>
    </row>
    <row r="584" spans="1:28">
      <c r="A584" s="1083"/>
      <c r="I584" s="1130"/>
      <c r="J584" s="1130"/>
      <c r="K584" s="1130"/>
      <c r="L584" s="1130"/>
      <c r="M584" s="1130"/>
      <c r="N584" s="1130"/>
      <c r="O584" s="1130"/>
      <c r="P584" s="1130"/>
      <c r="AB584" s="1044"/>
    </row>
    <row r="585" spans="1:28">
      <c r="A585" s="1083"/>
      <c r="I585" s="1130"/>
      <c r="J585" s="1130"/>
      <c r="K585" s="1130"/>
      <c r="L585" s="1130"/>
      <c r="M585" s="1130"/>
      <c r="N585" s="1130"/>
      <c r="O585" s="1130"/>
      <c r="P585" s="1130"/>
      <c r="AB585" s="1044"/>
    </row>
    <row r="586" spans="1:28">
      <c r="A586" s="1083"/>
      <c r="I586" s="1130"/>
      <c r="J586" s="1130"/>
      <c r="K586" s="1130"/>
      <c r="L586" s="1130"/>
      <c r="M586" s="1130"/>
      <c r="N586" s="1130"/>
      <c r="O586" s="1130"/>
      <c r="P586" s="1130"/>
      <c r="AB586" s="1044"/>
    </row>
    <row r="587" spans="1:28">
      <c r="A587" s="1083"/>
      <c r="I587" s="1130"/>
      <c r="J587" s="1130"/>
      <c r="K587" s="1130"/>
      <c r="L587" s="1130"/>
      <c r="M587" s="1130"/>
      <c r="N587" s="1130"/>
      <c r="O587" s="1130"/>
      <c r="P587" s="1130"/>
      <c r="AB587" s="1044"/>
    </row>
    <row r="588" spans="1:28">
      <c r="A588" s="1083"/>
      <c r="I588" s="1130"/>
      <c r="J588" s="1130"/>
      <c r="K588" s="1130"/>
      <c r="L588" s="1130"/>
      <c r="M588" s="1130"/>
      <c r="N588" s="1130"/>
      <c r="O588" s="1130"/>
      <c r="P588" s="1130"/>
      <c r="AB588" s="1044"/>
    </row>
    <row r="589" spans="1:28">
      <c r="A589" s="1083"/>
      <c r="I589" s="1130"/>
      <c r="J589" s="1130"/>
      <c r="K589" s="1130"/>
      <c r="L589" s="1130"/>
      <c r="M589" s="1130"/>
      <c r="N589" s="1130"/>
      <c r="O589" s="1130"/>
      <c r="P589" s="1130"/>
      <c r="AB589" s="1044"/>
    </row>
    <row r="590" spans="1:28">
      <c r="A590" s="1083"/>
      <c r="I590" s="1130"/>
      <c r="J590" s="1130"/>
      <c r="K590" s="1130"/>
      <c r="L590" s="1130"/>
      <c r="M590" s="1130"/>
      <c r="N590" s="1130"/>
      <c r="O590" s="1130"/>
      <c r="P590" s="1130"/>
      <c r="AB590" s="1044"/>
    </row>
    <row r="591" spans="1:28">
      <c r="A591" s="1083"/>
      <c r="I591" s="1130"/>
      <c r="J591" s="1130"/>
      <c r="K591" s="1130"/>
      <c r="L591" s="1130"/>
      <c r="M591" s="1130"/>
      <c r="N591" s="1130"/>
      <c r="O591" s="1130"/>
      <c r="P591" s="1130"/>
      <c r="AB591" s="1044"/>
    </row>
    <row r="592" spans="1:28">
      <c r="A592" s="1083"/>
      <c r="I592" s="1130"/>
      <c r="J592" s="1130"/>
      <c r="K592" s="1130"/>
      <c r="L592" s="1130"/>
      <c r="M592" s="1130"/>
      <c r="N592" s="1130"/>
      <c r="O592" s="1130"/>
      <c r="P592" s="1130"/>
      <c r="AB592" s="1044"/>
    </row>
    <row r="593" spans="1:31">
      <c r="A593" s="1083"/>
      <c r="I593" s="1130"/>
      <c r="J593" s="1130"/>
      <c r="K593" s="1130"/>
      <c r="L593" s="1130"/>
      <c r="M593" s="1130"/>
      <c r="N593" s="1130"/>
      <c r="O593" s="1130"/>
      <c r="P593" s="1130"/>
      <c r="AB593" s="1044"/>
    </row>
    <row r="594" spans="1:31">
      <c r="A594" s="1083"/>
      <c r="I594" s="1130"/>
      <c r="J594" s="1130"/>
      <c r="K594" s="1130"/>
      <c r="L594" s="1130"/>
      <c r="M594" s="1130"/>
      <c r="N594" s="1130"/>
      <c r="O594" s="1130"/>
      <c r="P594" s="1130"/>
      <c r="AB594" s="1044"/>
    </row>
    <row r="595" spans="1:31">
      <c r="A595" s="1083"/>
      <c r="I595" s="1130"/>
      <c r="J595" s="1130"/>
      <c r="K595" s="1130"/>
      <c r="L595" s="1130"/>
      <c r="M595" s="1130"/>
      <c r="N595" s="1130"/>
      <c r="O595" s="1130"/>
      <c r="P595" s="1130"/>
      <c r="AB595" s="1044"/>
    </row>
    <row r="596" spans="1:31">
      <c r="A596" s="1045" t="s">
        <v>341</v>
      </c>
      <c r="B596" s="1046"/>
      <c r="C596" s="1046"/>
      <c r="D596" s="1046"/>
      <c r="E596" s="1046"/>
      <c r="F596" s="1046"/>
      <c r="G596" s="1046"/>
      <c r="H596" s="1046"/>
      <c r="I596" s="1046"/>
      <c r="J596" s="1046"/>
      <c r="K596" s="1046"/>
      <c r="L596" s="1046"/>
      <c r="M596" s="1046"/>
      <c r="N596" s="1046"/>
      <c r="O596" s="1046"/>
      <c r="P596" s="1046"/>
      <c r="Q596" s="1046"/>
      <c r="R596" s="1046"/>
      <c r="S596" s="1046"/>
      <c r="T596" s="1046"/>
      <c r="U596" s="1046"/>
      <c r="V596" s="1046"/>
      <c r="W596" s="1046"/>
      <c r="X596" s="1046"/>
      <c r="Y596" s="1046"/>
      <c r="Z596" s="1046"/>
      <c r="AA596" s="1046"/>
      <c r="AB596" s="1047"/>
    </row>
    <row r="597" ht="14.4" customHeight="1" spans="1:31">
      <c r="A597" s="1048" t="s">
        <v>269</v>
      </c>
      <c r="B597" s="1049"/>
      <c r="C597" s="1049"/>
      <c r="D597" s="1050"/>
      <c r="E597" s="1051" t="s">
        <v>270</v>
      </c>
      <c r="F597" s="1049"/>
      <c r="G597" s="1049"/>
      <c r="H597" s="1050"/>
      <c r="I597" s="1104" t="s">
        <v>271</v>
      </c>
      <c r="J597" s="1102"/>
      <c r="K597" s="1102"/>
      <c r="L597" s="1103"/>
      <c r="M597" s="1104" t="s">
        <v>272</v>
      </c>
      <c r="N597" s="1102"/>
      <c r="O597" s="1102"/>
      <c r="P597" s="1103"/>
      <c r="Q597" s="1104" t="s">
        <v>273</v>
      </c>
      <c r="R597" s="1102"/>
      <c r="S597" s="1102"/>
      <c r="T597" s="1103"/>
      <c r="U597" s="1104" t="s">
        <v>274</v>
      </c>
      <c r="V597" s="1102"/>
      <c r="W597" s="1102"/>
      <c r="X597" s="1103"/>
      <c r="Y597" s="1104" t="s">
        <v>274</v>
      </c>
      <c r="Z597" s="1102"/>
      <c r="AA597" s="1102"/>
      <c r="AB597" s="1106"/>
    </row>
    <row r="598" spans="1:31">
      <c r="A598" s="1058"/>
      <c r="B598" s="1059"/>
      <c r="C598" s="1059"/>
      <c r="D598" s="1060"/>
      <c r="E598" s="1061"/>
      <c r="F598" s="1059"/>
      <c r="G598" s="1059"/>
      <c r="H598" s="1060"/>
      <c r="I598" s="1061" t="s">
        <v>275</v>
      </c>
      <c r="J598" s="1059"/>
      <c r="K598" s="1059"/>
      <c r="L598" s="1060"/>
      <c r="M598" s="1061" t="s">
        <v>276</v>
      </c>
      <c r="N598" s="1059"/>
      <c r="O598" s="1059"/>
      <c r="P598" s="1060"/>
      <c r="Q598" s="1061" t="s">
        <v>277</v>
      </c>
      <c r="R598" s="1059"/>
      <c r="S598" s="1059"/>
      <c r="T598" s="1060"/>
      <c r="U598" s="1061" t="s">
        <v>277</v>
      </c>
      <c r="V598" s="1059"/>
      <c r="W598" s="1059"/>
      <c r="X598" s="1060"/>
      <c r="Y598" s="1061" t="s">
        <v>278</v>
      </c>
      <c r="Z598" s="1059"/>
      <c r="AA598" s="1059"/>
      <c r="AB598" s="1108"/>
    </row>
    <row r="599" spans="1:31">
      <c r="A599" s="1122" t="s">
        <v>279</v>
      </c>
      <c r="B599" s="1073"/>
      <c r="C599" s="1073"/>
      <c r="D599" s="1073"/>
      <c r="E599" s="1069">
        <v>1</v>
      </c>
      <c r="F599" s="1069"/>
      <c r="G599" s="1069"/>
      <c r="H599" s="1069"/>
      <c r="I599" s="1160">
        <v>10</v>
      </c>
      <c r="J599" s="1160"/>
      <c r="K599" s="1160"/>
      <c r="L599" s="1160"/>
      <c r="M599" s="1160">
        <v>2</v>
      </c>
      <c r="N599" s="1160"/>
      <c r="O599" s="1160"/>
      <c r="P599" s="1160"/>
      <c r="Q599" s="1160">
        <v>590</v>
      </c>
      <c r="R599" s="1160"/>
      <c r="S599" s="1160"/>
      <c r="T599" s="1160"/>
      <c r="U599" s="1161">
        <f t="shared" ref="U599:U603" si="0">M599*Q599</f>
        <v>1180</v>
      </c>
      <c r="V599" s="1161"/>
      <c r="W599" s="1161"/>
      <c r="X599" s="1161"/>
      <c r="Y599" s="1162">
        <f>U599/100</f>
        <v>11.8</v>
      </c>
      <c r="Z599" s="1162"/>
      <c r="AA599" s="1162"/>
      <c r="AB599" s="1163"/>
      <c r="AE599" s="1164"/>
    </row>
    <row r="600" spans="1:31">
      <c r="A600" s="1122" t="s">
        <v>279</v>
      </c>
      <c r="B600" s="1073"/>
      <c r="C600" s="1073"/>
      <c r="D600" s="1073"/>
      <c r="E600" s="1069">
        <v>2</v>
      </c>
      <c r="F600" s="1069"/>
      <c r="G600" s="1069"/>
      <c r="H600" s="1069"/>
      <c r="I600" s="1160">
        <v>12.5</v>
      </c>
      <c r="J600" s="1160"/>
      <c r="K600" s="1160"/>
      <c r="L600" s="1160"/>
      <c r="M600" s="1160">
        <v>41</v>
      </c>
      <c r="N600" s="1160"/>
      <c r="O600" s="1160"/>
      <c r="P600" s="1160"/>
      <c r="Q600" s="1160">
        <v>303</v>
      </c>
      <c r="R600" s="1160"/>
      <c r="S600" s="1160"/>
      <c r="T600" s="1160"/>
      <c r="U600" s="1161">
        <f t="shared" si="0"/>
        <v>12423</v>
      </c>
      <c r="V600" s="1161"/>
      <c r="W600" s="1161"/>
      <c r="X600" s="1161"/>
      <c r="Y600" s="1162">
        <f t="shared" ref="Y600:Y608" si="1">U600/100</f>
        <v>124.23</v>
      </c>
      <c r="Z600" s="1162"/>
      <c r="AA600" s="1162"/>
      <c r="AB600" s="1163"/>
      <c r="AE600" s="1164"/>
    </row>
    <row r="601" spans="1:31">
      <c r="A601" s="1122" t="s">
        <v>279</v>
      </c>
      <c r="B601" s="1073"/>
      <c r="C601" s="1073"/>
      <c r="D601" s="1073"/>
      <c r="E601" s="1069">
        <v>4</v>
      </c>
      <c r="F601" s="1069"/>
      <c r="G601" s="1069"/>
      <c r="H601" s="1069"/>
      <c r="I601" s="1160">
        <v>12.5</v>
      </c>
      <c r="J601" s="1160"/>
      <c r="K601" s="1160"/>
      <c r="L601" s="1160"/>
      <c r="M601" s="1160">
        <v>14</v>
      </c>
      <c r="N601" s="1160"/>
      <c r="O601" s="1160"/>
      <c r="P601" s="1160"/>
      <c r="Q601" s="1160">
        <v>454</v>
      </c>
      <c r="R601" s="1160"/>
      <c r="S601" s="1160"/>
      <c r="T601" s="1160"/>
      <c r="U601" s="1161">
        <f t="shared" si="0"/>
        <v>6356</v>
      </c>
      <c r="V601" s="1161"/>
      <c r="W601" s="1161"/>
      <c r="X601" s="1161"/>
      <c r="Y601" s="1162">
        <f t="shared" si="1"/>
        <v>63.56</v>
      </c>
      <c r="Z601" s="1162"/>
      <c r="AA601" s="1162"/>
      <c r="AB601" s="1163"/>
      <c r="AE601" s="1165"/>
    </row>
    <row r="602" spans="1:31">
      <c r="A602" s="1122" t="s">
        <v>279</v>
      </c>
      <c r="B602" s="1073"/>
      <c r="C602" s="1073"/>
      <c r="D602" s="1073"/>
      <c r="E602" s="1069">
        <v>5</v>
      </c>
      <c r="F602" s="1069"/>
      <c r="G602" s="1069"/>
      <c r="H602" s="1069"/>
      <c r="I602" s="1160">
        <v>12.5</v>
      </c>
      <c r="J602" s="1160"/>
      <c r="K602" s="1160"/>
      <c r="L602" s="1160"/>
      <c r="M602" s="1160">
        <v>14</v>
      </c>
      <c r="N602" s="1160"/>
      <c r="O602" s="1160"/>
      <c r="P602" s="1160"/>
      <c r="Q602" s="1160">
        <v>421</v>
      </c>
      <c r="R602" s="1160"/>
      <c r="S602" s="1160"/>
      <c r="T602" s="1160"/>
      <c r="U602" s="1161">
        <f t="shared" si="0"/>
        <v>5894</v>
      </c>
      <c r="V602" s="1161"/>
      <c r="W602" s="1161"/>
      <c r="X602" s="1161"/>
      <c r="Y602" s="1166">
        <f t="shared" si="1"/>
        <v>58.94</v>
      </c>
      <c r="Z602" s="1167"/>
      <c r="AA602" s="1167"/>
      <c r="AB602" s="1168"/>
      <c r="AE602" s="1165"/>
    </row>
    <row r="603" spans="1:31">
      <c r="A603" s="1122" t="s">
        <v>279</v>
      </c>
      <c r="B603" s="1073"/>
      <c r="C603" s="1073"/>
      <c r="D603" s="1073"/>
      <c r="E603" s="1069">
        <v>6</v>
      </c>
      <c r="F603" s="1069"/>
      <c r="G603" s="1069"/>
      <c r="H603" s="1069"/>
      <c r="I603" s="1160">
        <v>12.5</v>
      </c>
      <c r="J603" s="1160"/>
      <c r="K603" s="1160"/>
      <c r="L603" s="1160"/>
      <c r="M603" s="1160">
        <v>52</v>
      </c>
      <c r="N603" s="1160"/>
      <c r="O603" s="1160"/>
      <c r="P603" s="1160"/>
      <c r="Q603" s="1160">
        <v>522</v>
      </c>
      <c r="R603" s="1160"/>
      <c r="S603" s="1160"/>
      <c r="T603" s="1160"/>
      <c r="U603" s="1161">
        <f t="shared" si="0"/>
        <v>27144</v>
      </c>
      <c r="V603" s="1161"/>
      <c r="W603" s="1161"/>
      <c r="X603" s="1161"/>
      <c r="Y603" s="1166">
        <f t="shared" si="1"/>
        <v>271.44</v>
      </c>
      <c r="Z603" s="1167"/>
      <c r="AA603" s="1167"/>
      <c r="AB603" s="1168"/>
      <c r="AE603" s="1165"/>
    </row>
    <row r="604" spans="1:31">
      <c r="A604" s="1122" t="s">
        <v>279</v>
      </c>
      <c r="B604" s="1073"/>
      <c r="C604" s="1073"/>
      <c r="D604" s="1073"/>
      <c r="E604" s="1069">
        <v>7</v>
      </c>
      <c r="F604" s="1069"/>
      <c r="G604" s="1069"/>
      <c r="H604" s="1069"/>
      <c r="I604" s="1160">
        <v>12.5</v>
      </c>
      <c r="J604" s="1160"/>
      <c r="K604" s="1160"/>
      <c r="L604" s="1160"/>
      <c r="M604" s="1160">
        <v>52</v>
      </c>
      <c r="N604" s="1160"/>
      <c r="O604" s="1160"/>
      <c r="P604" s="1160"/>
      <c r="Q604" s="1160">
        <v>499</v>
      </c>
      <c r="R604" s="1160"/>
      <c r="S604" s="1160"/>
      <c r="T604" s="1160"/>
      <c r="U604" s="1161">
        <f t="shared" ref="U604:U608" si="2">M604*Q604</f>
        <v>25948</v>
      </c>
      <c r="V604" s="1161"/>
      <c r="W604" s="1161"/>
      <c r="X604" s="1161"/>
      <c r="Y604" s="1166">
        <f t="shared" si="1"/>
        <v>259.48</v>
      </c>
      <c r="Z604" s="1167"/>
      <c r="AA604" s="1167"/>
      <c r="AB604" s="1168"/>
      <c r="AE604" s="1165"/>
    </row>
    <row r="605" spans="1:31">
      <c r="A605" s="1122" t="s">
        <v>279</v>
      </c>
      <c r="B605" s="1073"/>
      <c r="C605" s="1073"/>
      <c r="D605" s="1073"/>
      <c r="E605" s="1069">
        <v>8</v>
      </c>
      <c r="F605" s="1069"/>
      <c r="G605" s="1069"/>
      <c r="H605" s="1069"/>
      <c r="I605" s="1160">
        <v>12.5</v>
      </c>
      <c r="J605" s="1160"/>
      <c r="K605" s="1160"/>
      <c r="L605" s="1160"/>
      <c r="M605" s="1160">
        <v>26</v>
      </c>
      <c r="N605" s="1160"/>
      <c r="O605" s="1160"/>
      <c r="P605" s="1160"/>
      <c r="Q605" s="1160">
        <v>794</v>
      </c>
      <c r="R605" s="1160"/>
      <c r="S605" s="1160"/>
      <c r="T605" s="1160"/>
      <c r="U605" s="1161">
        <f t="shared" si="2"/>
        <v>20644</v>
      </c>
      <c r="V605" s="1161"/>
      <c r="W605" s="1161"/>
      <c r="X605" s="1161"/>
      <c r="Y605" s="1166">
        <f t="shared" si="1"/>
        <v>206.44</v>
      </c>
      <c r="Z605" s="1167"/>
      <c r="AA605" s="1167"/>
      <c r="AB605" s="1168"/>
      <c r="AE605" s="1165"/>
    </row>
    <row r="606" spans="1:31">
      <c r="A606" s="1122" t="s">
        <v>279</v>
      </c>
      <c r="B606" s="1073"/>
      <c r="C606" s="1073"/>
      <c r="D606" s="1073"/>
      <c r="E606" s="1069">
        <v>9</v>
      </c>
      <c r="F606" s="1069"/>
      <c r="G606" s="1069"/>
      <c r="H606" s="1069"/>
      <c r="I606" s="1160">
        <v>12.5</v>
      </c>
      <c r="J606" s="1160"/>
      <c r="K606" s="1160"/>
      <c r="L606" s="1160"/>
      <c r="M606" s="1160">
        <v>26</v>
      </c>
      <c r="N606" s="1160"/>
      <c r="O606" s="1160"/>
      <c r="P606" s="1160"/>
      <c r="Q606" s="1160">
        <v>742</v>
      </c>
      <c r="R606" s="1160"/>
      <c r="S606" s="1160"/>
      <c r="T606" s="1160"/>
      <c r="U606" s="1161">
        <f t="shared" si="2"/>
        <v>19292</v>
      </c>
      <c r="V606" s="1161"/>
      <c r="W606" s="1161"/>
      <c r="X606" s="1161"/>
      <c r="Y606" s="1166">
        <f t="shared" si="1"/>
        <v>192.92</v>
      </c>
      <c r="Z606" s="1167"/>
      <c r="AA606" s="1167"/>
      <c r="AB606" s="1168"/>
      <c r="AE606" s="1165"/>
    </row>
    <row r="607" spans="1:31">
      <c r="A607" s="1122" t="s">
        <v>279</v>
      </c>
      <c r="B607" s="1073"/>
      <c r="C607" s="1073"/>
      <c r="D607" s="1073"/>
      <c r="E607" s="1069">
        <v>10</v>
      </c>
      <c r="F607" s="1069"/>
      <c r="G607" s="1069"/>
      <c r="H607" s="1069"/>
      <c r="I607" s="1160">
        <v>20</v>
      </c>
      <c r="J607" s="1160"/>
      <c r="K607" s="1160"/>
      <c r="L607" s="1160"/>
      <c r="M607" s="1160">
        <v>84</v>
      </c>
      <c r="N607" s="1160"/>
      <c r="O607" s="1160"/>
      <c r="P607" s="1160"/>
      <c r="Q607" s="1160">
        <v>674</v>
      </c>
      <c r="R607" s="1160"/>
      <c r="S607" s="1160"/>
      <c r="T607" s="1160"/>
      <c r="U607" s="1161">
        <f t="shared" si="2"/>
        <v>56616</v>
      </c>
      <c r="V607" s="1161"/>
      <c r="W607" s="1161"/>
      <c r="X607" s="1161"/>
      <c r="Y607" s="1166">
        <f t="shared" si="1"/>
        <v>566.16</v>
      </c>
      <c r="Z607" s="1167"/>
      <c r="AA607" s="1167"/>
      <c r="AB607" s="1168"/>
      <c r="AE607" s="1164"/>
    </row>
    <row r="608" ht="15.75" spans="1:31">
      <c r="A608" s="1133" t="s">
        <v>279</v>
      </c>
      <c r="B608" s="1134"/>
      <c r="C608" s="1134"/>
      <c r="D608" s="1134"/>
      <c r="E608" s="1137">
        <v>11</v>
      </c>
      <c r="F608" s="1137"/>
      <c r="G608" s="1137"/>
      <c r="H608" s="1137"/>
      <c r="I608" s="1138">
        <v>20</v>
      </c>
      <c r="J608" s="1138"/>
      <c r="K608" s="1138"/>
      <c r="L608" s="1138"/>
      <c r="M608" s="1138">
        <v>62</v>
      </c>
      <c r="N608" s="1138"/>
      <c r="O608" s="1138"/>
      <c r="P608" s="1138"/>
      <c r="Q608" s="1138">
        <v>550</v>
      </c>
      <c r="R608" s="1138"/>
      <c r="S608" s="1138"/>
      <c r="T608" s="1138"/>
      <c r="U608" s="1142">
        <f t="shared" si="2"/>
        <v>34100</v>
      </c>
      <c r="V608" s="1142"/>
      <c r="W608" s="1142"/>
      <c r="X608" s="1142"/>
      <c r="Y608" s="1169">
        <f t="shared" si="1"/>
        <v>341</v>
      </c>
      <c r="Z608" s="1169"/>
      <c r="AA608" s="1169"/>
      <c r="AB608" s="1170"/>
      <c r="AE608" s="1164"/>
    </row>
    <row r="609" ht="15.75" spans="1:33">
      <c r="A609" s="1083"/>
      <c r="AB609" s="1044"/>
    </row>
    <row r="610" spans="1:33">
      <c r="A610" s="1083"/>
      <c r="K610" s="1084" t="s">
        <v>342</v>
      </c>
      <c r="L610" s="1085"/>
      <c r="M610" s="1085"/>
      <c r="N610" s="1085"/>
      <c r="O610" s="1085"/>
      <c r="P610" s="1085"/>
      <c r="Q610" s="1085"/>
      <c r="R610" s="1086"/>
      <c r="AB610" s="1044"/>
    </row>
    <row r="611" spans="1:33">
      <c r="A611" s="1083"/>
      <c r="K611" s="1087" t="s">
        <v>281</v>
      </c>
      <c r="L611" s="1088"/>
      <c r="M611" s="1088"/>
      <c r="N611" s="1088"/>
      <c r="O611" s="1088"/>
      <c r="P611" s="1088"/>
      <c r="Q611" s="1088"/>
      <c r="R611" s="1089"/>
      <c r="AB611" s="1044"/>
    </row>
    <row r="612" spans="1:33">
      <c r="A612" s="1083"/>
      <c r="K612" s="1090"/>
      <c r="L612" s="1091"/>
      <c r="M612" s="1091"/>
      <c r="N612" s="1091"/>
      <c r="O612" s="1091"/>
      <c r="P612" s="1091"/>
      <c r="Q612" s="1091"/>
      <c r="R612" s="1092"/>
      <c r="AB612" s="1044"/>
    </row>
    <row r="613" ht="15.75" spans="1:33">
      <c r="A613" s="1083"/>
      <c r="K613" s="1171">
        <f>ROUNDUP(ROUNDUP((((Y599)*((PI()*((I599^2)/4))*7849.25))+((Y600+Y601+Y602+Y603+Y604+Y605+Y606)*((PI()*((I600^2)/4))*7849.25))+((Y608+Y607)*(PI()*((I607^2)/4))*7849.25))/1000000,2)/0.05,0)*0.05</f>
        <v>3378.05</v>
      </c>
      <c r="L613" s="1172"/>
      <c r="M613" s="1172"/>
      <c r="N613" s="1172"/>
      <c r="O613" s="1172"/>
      <c r="P613" s="1172"/>
      <c r="Q613" s="1172"/>
      <c r="R613" s="1173"/>
      <c r="AB613" s="1044"/>
    </row>
    <row r="614" ht="15.75" spans="1:33">
      <c r="A614" s="1096"/>
      <c r="B614" s="389"/>
      <c r="C614" s="389"/>
      <c r="D614" s="389"/>
      <c r="E614" s="389"/>
      <c r="F614" s="389"/>
      <c r="G614" s="389"/>
      <c r="H614" s="389"/>
      <c r="I614" s="1097"/>
      <c r="J614" s="1097"/>
      <c r="K614" s="1097"/>
      <c r="L614" s="1097"/>
      <c r="M614" s="1097"/>
      <c r="N614" s="1097"/>
      <c r="O614" s="1097"/>
      <c r="P614" s="1097"/>
      <c r="Q614" s="389"/>
      <c r="R614" s="389"/>
      <c r="S614" s="389"/>
      <c r="T614" s="389"/>
      <c r="U614" s="389"/>
      <c r="V614" s="389"/>
      <c r="W614" s="389"/>
      <c r="X614" s="389"/>
      <c r="Y614" s="389"/>
      <c r="Z614" s="389"/>
      <c r="AA614" s="389"/>
      <c r="AB614" s="1098"/>
    </row>
    <row r="615" s="437" customFormat="1" spans="1:33">
      <c r="A615" s="1040" t="s">
        <v>343</v>
      </c>
      <c r="B615" s="1114"/>
      <c r="C615" s="1114"/>
      <c r="D615" s="1114"/>
      <c r="E615" s="1114"/>
      <c r="F615" s="1114"/>
      <c r="G615" s="1114"/>
      <c r="H615" s="1114"/>
      <c r="I615" s="1114"/>
      <c r="J615" s="1114"/>
      <c r="K615" s="1114"/>
      <c r="L615" s="1114"/>
      <c r="M615" s="1114"/>
      <c r="N615" s="1114"/>
      <c r="O615" s="1114"/>
      <c r="P615" s="1114"/>
      <c r="Q615" s="1114"/>
      <c r="R615" s="1114"/>
      <c r="S615" s="1114"/>
      <c r="T615" s="1114"/>
      <c r="U615" s="1114"/>
      <c r="V615" s="1114"/>
      <c r="W615" s="1114"/>
      <c r="X615" s="1114"/>
      <c r="Y615" s="1114"/>
      <c r="Z615" s="1114"/>
      <c r="AA615" s="1114"/>
      <c r="AB615" s="1115"/>
      <c r="AG615" s="1174"/>
    </row>
    <row r="616" spans="1:33">
      <c r="A616" s="1083"/>
      <c r="AB616" s="1044"/>
      <c r="AG616" s="1175"/>
    </row>
    <row r="617" spans="1:33">
      <c r="A617" s="1083"/>
      <c r="AB617" s="1044"/>
      <c r="AG617" s="1175"/>
    </row>
    <row r="618" spans="1:33">
      <c r="A618" s="1083"/>
      <c r="AB618" s="1044"/>
      <c r="AG618" s="1175"/>
    </row>
    <row r="619" spans="1:33">
      <c r="A619" s="1083"/>
      <c r="AB619" s="1044"/>
      <c r="AG619" s="1175"/>
    </row>
    <row r="620" spans="1:33">
      <c r="A620" s="1083"/>
      <c r="AB620" s="1044"/>
      <c r="AG620" s="1175"/>
    </row>
    <row r="621" spans="1:33">
      <c r="A621" s="1083"/>
      <c r="AB621" s="1044"/>
      <c r="AG621" s="1175"/>
    </row>
    <row r="622" spans="1:33">
      <c r="A622" s="1083"/>
      <c r="AB622" s="1044"/>
      <c r="AG622" s="1175"/>
    </row>
    <row r="623" spans="1:33">
      <c r="A623" s="1083"/>
      <c r="AB623" s="1044"/>
      <c r="AG623" s="1175"/>
    </row>
    <row r="624" spans="1:33">
      <c r="A624" s="1083"/>
      <c r="AB624" s="1044"/>
      <c r="AG624" s="1175"/>
    </row>
    <row r="625" spans="1:33">
      <c r="A625" s="1083"/>
      <c r="AB625" s="1044"/>
      <c r="AG625" s="1175"/>
    </row>
    <row r="626" spans="1:33">
      <c r="A626" s="1083"/>
      <c r="AB626" s="1044"/>
      <c r="AG626" s="1175"/>
    </row>
    <row r="627" spans="1:33">
      <c r="A627" s="1083"/>
      <c r="AB627" s="1044"/>
      <c r="AG627" s="1175"/>
    </row>
    <row r="628" spans="1:33">
      <c r="A628" s="1083"/>
      <c r="AB628" s="1044"/>
      <c r="AG628" s="1175"/>
    </row>
    <row r="629" spans="1:33">
      <c r="A629" s="1083"/>
      <c r="AB629" s="1044"/>
      <c r="AG629" s="1175"/>
    </row>
    <row r="630" spans="1:33">
      <c r="A630" s="1083"/>
      <c r="AB630" s="1044"/>
      <c r="AG630" s="1175"/>
    </row>
    <row r="631" spans="1:33">
      <c r="A631" s="1083"/>
      <c r="AB631" s="1044"/>
      <c r="AG631" s="1175"/>
    </row>
    <row r="632" spans="1:33">
      <c r="A632" s="1083"/>
      <c r="AB632" s="1044"/>
      <c r="AG632" s="1175"/>
    </row>
    <row r="633" spans="1:33">
      <c r="A633" s="1083"/>
      <c r="AB633" s="1044"/>
      <c r="AG633" s="1175"/>
    </row>
    <row r="634" spans="1:33">
      <c r="A634" s="1083"/>
      <c r="AB634" s="1044"/>
      <c r="AG634" s="1175"/>
    </row>
    <row r="635" spans="1:33">
      <c r="A635" s="1083"/>
      <c r="AB635" s="1044"/>
      <c r="AG635" s="1175"/>
    </row>
    <row r="636" spans="1:33">
      <c r="A636" s="1083"/>
      <c r="AB636" s="1044"/>
      <c r="AG636" s="1175"/>
    </row>
    <row r="637" spans="1:33">
      <c r="A637" s="1083"/>
      <c r="AB637" s="1044"/>
      <c r="AG637" s="1175"/>
    </row>
    <row r="638" spans="1:33">
      <c r="A638" s="1083"/>
      <c r="AB638" s="1044"/>
      <c r="AG638" s="1175"/>
    </row>
    <row r="639" spans="1:33">
      <c r="A639" s="1083"/>
      <c r="AB639" s="1044"/>
      <c r="AG639" s="1175"/>
    </row>
    <row r="640" spans="1:33">
      <c r="A640" s="1083"/>
      <c r="AB640" s="1044"/>
      <c r="AG640" s="1175"/>
    </row>
    <row r="641" spans="1:33">
      <c r="A641" s="1083"/>
      <c r="AB641" s="1044"/>
      <c r="AG641" s="1175"/>
    </row>
    <row r="642" spans="1:33">
      <c r="A642" s="1083"/>
      <c r="AB642" s="1044"/>
      <c r="AG642" s="1175"/>
    </row>
    <row r="643" spans="1:33">
      <c r="A643" s="1083"/>
      <c r="AB643" s="1044"/>
      <c r="AG643" s="1175"/>
    </row>
    <row r="644" spans="1:33">
      <c r="A644" s="1099" t="s">
        <v>344</v>
      </c>
      <c r="B644" s="424"/>
      <c r="C644" s="424"/>
      <c r="D644" s="424"/>
      <c r="E644" s="424"/>
      <c r="F644" s="424"/>
      <c r="G644" s="424"/>
      <c r="H644" s="424"/>
      <c r="I644" s="424"/>
      <c r="J644" s="424"/>
      <c r="K644" s="424"/>
      <c r="L644" s="424"/>
      <c r="M644" s="424"/>
      <c r="N644" s="424"/>
      <c r="O644" s="424"/>
      <c r="P644" s="424"/>
      <c r="Q644" s="424"/>
      <c r="R644" s="424"/>
      <c r="S644" s="424"/>
      <c r="T644" s="424"/>
      <c r="U644" s="424"/>
      <c r="V644" s="424"/>
      <c r="W644" s="424"/>
      <c r="X644" s="424"/>
      <c r="Y644" s="424"/>
      <c r="Z644" s="424"/>
      <c r="AA644" s="424"/>
      <c r="AB644" s="1100"/>
      <c r="AG644" s="1175"/>
    </row>
    <row r="645" spans="1:33">
      <c r="A645" s="1048" t="s">
        <v>205</v>
      </c>
      <c r="B645" s="1049"/>
      <c r="C645" s="1049"/>
      <c r="D645" s="1050"/>
      <c r="E645" s="1104" t="s">
        <v>206</v>
      </c>
      <c r="F645" s="1102"/>
      <c r="G645" s="1102"/>
      <c r="H645" s="1103"/>
      <c r="I645" s="1104" t="s">
        <v>235</v>
      </c>
      <c r="J645" s="1102"/>
      <c r="K645" s="1102"/>
      <c r="L645" s="1103"/>
      <c r="M645" s="1104" t="s">
        <v>236</v>
      </c>
      <c r="N645" s="1102"/>
      <c r="O645" s="1102"/>
      <c r="P645" s="1103"/>
      <c r="Q645" s="1104" t="s">
        <v>237</v>
      </c>
      <c r="R645" s="1102"/>
      <c r="S645" s="1102"/>
      <c r="T645" s="1103"/>
      <c r="U645" s="1104" t="s">
        <v>345</v>
      </c>
      <c r="V645" s="1102"/>
      <c r="W645" s="1102"/>
      <c r="X645" s="1103"/>
      <c r="Y645" s="1055" t="s">
        <v>346</v>
      </c>
      <c r="Z645" s="1056"/>
      <c r="AA645" s="1056"/>
      <c r="AB645" s="1057"/>
      <c r="AG645" s="1175"/>
    </row>
    <row r="646" ht="14.4" customHeight="1" spans="1:33">
      <c r="A646" s="1176" t="s">
        <v>347</v>
      </c>
      <c r="B646" s="1120"/>
      <c r="C646" s="1120"/>
      <c r="D646" s="1132"/>
      <c r="E646" s="1061" t="s">
        <v>241</v>
      </c>
      <c r="F646" s="1059"/>
      <c r="G646" s="1059"/>
      <c r="H646" s="1060"/>
      <c r="I646" s="1119" t="s">
        <v>347</v>
      </c>
      <c r="J646" s="1120"/>
      <c r="K646" s="1120"/>
      <c r="L646" s="1132"/>
      <c r="M646" s="1061" t="s">
        <v>242</v>
      </c>
      <c r="N646" s="1059"/>
      <c r="O646" s="1059"/>
      <c r="P646" s="1060"/>
      <c r="Q646" s="1119" t="s">
        <v>347</v>
      </c>
      <c r="R646" s="1120"/>
      <c r="S646" s="1120"/>
      <c r="T646" s="1132"/>
      <c r="U646" s="1061" t="s">
        <v>348</v>
      </c>
      <c r="V646" s="1059"/>
      <c r="W646" s="1059"/>
      <c r="X646" s="1060"/>
      <c r="Y646" s="1065"/>
      <c r="Z646" s="1066"/>
      <c r="AA646" s="1066"/>
      <c r="AB646" s="1067"/>
      <c r="AG646" s="1175"/>
    </row>
    <row r="647" ht="15.75" spans="1:33">
      <c r="A647" s="1177">
        <v>1.2</v>
      </c>
      <c r="B647" s="1178"/>
      <c r="C647" s="1178"/>
      <c r="D647" s="1179"/>
      <c r="E647" s="1073">
        <v>0.4</v>
      </c>
      <c r="F647" s="1073"/>
      <c r="G647" s="1073"/>
      <c r="H647" s="1073"/>
      <c r="I647" s="1073">
        <v>1.2</v>
      </c>
      <c r="J647" s="1073"/>
      <c r="K647" s="1073"/>
      <c r="L647" s="1073"/>
      <c r="M647" s="1073">
        <v>4</v>
      </c>
      <c r="N647" s="1073"/>
      <c r="O647" s="1073"/>
      <c r="P647" s="1073"/>
      <c r="Q647" s="1073">
        <v>1.2</v>
      </c>
      <c r="R647" s="1073"/>
      <c r="S647" s="1073"/>
      <c r="T647" s="1073"/>
      <c r="U647" s="1073">
        <v>4.5</v>
      </c>
      <c r="V647" s="1073"/>
      <c r="W647" s="1073"/>
      <c r="X647" s="1073"/>
      <c r="Y647" s="1123">
        <f>($A647+$E647+$I647)*($M647+$Q647)*$U647</f>
        <v>65.52</v>
      </c>
      <c r="Z647" s="1123"/>
      <c r="AA647" s="1123"/>
      <c r="AB647" s="1124"/>
      <c r="AG647" s="1175"/>
    </row>
    <row r="648" ht="17.25" spans="1:33">
      <c r="A648" s="1079" t="s">
        <v>349</v>
      </c>
      <c r="B648" s="1080"/>
      <c r="C648" s="1080"/>
      <c r="D648" s="1080"/>
      <c r="E648" s="1080"/>
      <c r="F648" s="1080"/>
      <c r="G648" s="1080"/>
      <c r="H648" s="1080"/>
      <c r="I648" s="1080"/>
      <c r="J648" s="1080"/>
      <c r="K648" s="1080"/>
      <c r="L648" s="1080"/>
      <c r="M648" s="1080"/>
      <c r="N648" s="1080"/>
      <c r="O648" s="1080"/>
      <c r="P648" s="1080"/>
      <c r="Q648" s="1080"/>
      <c r="R648" s="1080"/>
      <c r="S648" s="1080"/>
      <c r="T648" s="1080"/>
      <c r="U648" s="1080"/>
      <c r="V648" s="1080"/>
      <c r="W648" s="1080"/>
      <c r="X648" s="1080"/>
      <c r="Y648" s="1080"/>
      <c r="Z648" s="1080"/>
      <c r="AA648" s="1080"/>
      <c r="AB648" s="1081"/>
      <c r="AG648" s="1175"/>
    </row>
    <row r="649" spans="1:33">
      <c r="A649" s="1083"/>
      <c r="AB649" s="1044"/>
      <c r="AG649" s="1175"/>
    </row>
    <row r="650" spans="1:33">
      <c r="A650" s="1099" t="s">
        <v>350</v>
      </c>
      <c r="B650" s="424"/>
      <c r="C650" s="424"/>
      <c r="D650" s="424"/>
      <c r="E650" s="424"/>
      <c r="F650" s="424"/>
      <c r="G650" s="424"/>
      <c r="H650" s="424"/>
      <c r="I650" s="424"/>
      <c r="J650" s="424"/>
      <c r="K650" s="424"/>
      <c r="L650" s="424"/>
      <c r="M650" s="424"/>
      <c r="N650" s="424"/>
      <c r="O650" s="424"/>
      <c r="P650" s="424"/>
      <c r="Q650" s="424"/>
      <c r="R650" s="424"/>
      <c r="S650" s="424"/>
      <c r="T650" s="424"/>
      <c r="U650" s="424"/>
      <c r="V650" s="424"/>
      <c r="W650" s="424"/>
      <c r="X650" s="424"/>
      <c r="Y650" s="424"/>
      <c r="Z650" s="424"/>
      <c r="AA650" s="424"/>
      <c r="AB650" s="1100"/>
      <c r="AG650" s="1175"/>
    </row>
    <row r="651" ht="14.4" customHeight="1" spans="1:33">
      <c r="A651" s="1048" t="s">
        <v>238</v>
      </c>
      <c r="B651" s="1049"/>
      <c r="C651" s="1049"/>
      <c r="D651" s="1050"/>
      <c r="E651" s="1104" t="s">
        <v>246</v>
      </c>
      <c r="F651" s="1102"/>
      <c r="G651" s="1102"/>
      <c r="H651" s="1103"/>
      <c r="I651" s="1104" t="s">
        <v>247</v>
      </c>
      <c r="J651" s="1102"/>
      <c r="K651" s="1102"/>
      <c r="L651" s="1103"/>
      <c r="M651" s="1104" t="s">
        <v>248</v>
      </c>
      <c r="N651" s="1102"/>
      <c r="O651" s="1102"/>
      <c r="P651" s="1103"/>
      <c r="Q651" s="1104" t="s">
        <v>249</v>
      </c>
      <c r="R651" s="1102"/>
      <c r="S651" s="1102"/>
      <c r="T651" s="1103"/>
      <c r="U651" s="1104" t="s">
        <v>345</v>
      </c>
      <c r="V651" s="1102"/>
      <c r="W651" s="1102"/>
      <c r="X651" s="1103"/>
      <c r="Y651" s="1055" t="s">
        <v>346</v>
      </c>
      <c r="Z651" s="1056"/>
      <c r="AA651" s="1056"/>
      <c r="AB651" s="1057"/>
      <c r="AG651" s="1175"/>
    </row>
    <row r="652" ht="14.4" customHeight="1" spans="1:33">
      <c r="A652" s="1176" t="s">
        <v>347</v>
      </c>
      <c r="B652" s="1120"/>
      <c r="C652" s="1120"/>
      <c r="D652" s="1132"/>
      <c r="E652" s="1061" t="s">
        <v>241</v>
      </c>
      <c r="F652" s="1059"/>
      <c r="G652" s="1059"/>
      <c r="H652" s="1060"/>
      <c r="I652" s="1119" t="s">
        <v>347</v>
      </c>
      <c r="J652" s="1120"/>
      <c r="K652" s="1120"/>
      <c r="L652" s="1132"/>
      <c r="M652" s="1061" t="s">
        <v>242</v>
      </c>
      <c r="N652" s="1059"/>
      <c r="O652" s="1059"/>
      <c r="P652" s="1060"/>
      <c r="Q652" s="1119" t="s">
        <v>347</v>
      </c>
      <c r="R652" s="1120"/>
      <c r="S652" s="1120"/>
      <c r="T652" s="1132"/>
      <c r="U652" s="1061" t="s">
        <v>348</v>
      </c>
      <c r="V652" s="1059"/>
      <c r="W652" s="1059"/>
      <c r="X652" s="1060"/>
      <c r="Y652" s="1065"/>
      <c r="Z652" s="1066"/>
      <c r="AA652" s="1066"/>
      <c r="AB652" s="1067"/>
      <c r="AG652" s="1175"/>
    </row>
    <row r="653" ht="15.75" spans="1:33">
      <c r="A653" s="1177">
        <v>1.2</v>
      </c>
      <c r="B653" s="1178"/>
      <c r="C653" s="1178"/>
      <c r="D653" s="1179"/>
      <c r="E653" s="1073">
        <v>0.4</v>
      </c>
      <c r="F653" s="1073"/>
      <c r="G653" s="1073"/>
      <c r="H653" s="1073"/>
      <c r="I653" s="1073">
        <v>1.2</v>
      </c>
      <c r="J653" s="1073"/>
      <c r="K653" s="1073"/>
      <c r="L653" s="1073"/>
      <c r="M653" s="1073">
        <v>4</v>
      </c>
      <c r="N653" s="1073"/>
      <c r="O653" s="1073"/>
      <c r="P653" s="1073"/>
      <c r="Q653" s="1073">
        <v>1.2</v>
      </c>
      <c r="R653" s="1073"/>
      <c r="S653" s="1073"/>
      <c r="T653" s="1073"/>
      <c r="U653" s="1073">
        <v>4.5</v>
      </c>
      <c r="V653" s="1073"/>
      <c r="W653" s="1073"/>
      <c r="X653" s="1073"/>
      <c r="Y653" s="1123">
        <f>($A653+$E653+$I653)*($M653+$Q653)*$U653</f>
        <v>65.52</v>
      </c>
      <c r="Z653" s="1123"/>
      <c r="AA653" s="1123"/>
      <c r="AB653" s="1124"/>
      <c r="AG653" s="1175"/>
    </row>
    <row r="654" ht="17.25" spans="1:33">
      <c r="A654" s="1079" t="s">
        <v>351</v>
      </c>
      <c r="B654" s="1080"/>
      <c r="C654" s="1080"/>
      <c r="D654" s="1080"/>
      <c r="E654" s="1080"/>
      <c r="F654" s="1080"/>
      <c r="G654" s="1080"/>
      <c r="H654" s="1080"/>
      <c r="I654" s="1080"/>
      <c r="J654" s="1080"/>
      <c r="K654" s="1080"/>
      <c r="L654" s="1080"/>
      <c r="M654" s="1080"/>
      <c r="N654" s="1080"/>
      <c r="O654" s="1080"/>
      <c r="P654" s="1080"/>
      <c r="Q654" s="1080"/>
      <c r="R654" s="1080"/>
      <c r="S654" s="1080"/>
      <c r="T654" s="1080"/>
      <c r="U654" s="1080"/>
      <c r="V654" s="1080"/>
      <c r="W654" s="1080"/>
      <c r="X654" s="1080"/>
      <c r="Y654" s="1080"/>
      <c r="Z654" s="1080"/>
      <c r="AA654" s="1080"/>
      <c r="AB654" s="1081"/>
      <c r="AG654" s="1175"/>
    </row>
    <row r="655" spans="1:33">
      <c r="A655" s="1083"/>
      <c r="AB655" s="1044"/>
      <c r="AG655" s="1175"/>
    </row>
    <row r="656" spans="1:33">
      <c r="A656" s="1099" t="s">
        <v>352</v>
      </c>
      <c r="B656" s="424"/>
      <c r="C656" s="424"/>
      <c r="D656" s="424"/>
      <c r="E656" s="424"/>
      <c r="F656" s="424"/>
      <c r="G656" s="424"/>
      <c r="H656" s="424"/>
      <c r="I656" s="424"/>
      <c r="J656" s="424"/>
      <c r="K656" s="424"/>
      <c r="L656" s="424"/>
      <c r="M656" s="424"/>
      <c r="N656" s="424"/>
      <c r="O656" s="424"/>
      <c r="P656" s="424"/>
      <c r="Q656" s="424"/>
      <c r="R656" s="424"/>
      <c r="S656" s="424"/>
      <c r="T656" s="424"/>
      <c r="U656" s="424"/>
      <c r="V656" s="424"/>
      <c r="W656" s="424"/>
      <c r="X656" s="424"/>
      <c r="Y656" s="424"/>
      <c r="Z656" s="424"/>
      <c r="AA656" s="424"/>
      <c r="AB656" s="1100"/>
      <c r="AG656" s="1175"/>
    </row>
    <row r="657" ht="14.4" customHeight="1" spans="1:33">
      <c r="A657" s="1101" t="s">
        <v>252</v>
      </c>
      <c r="B657" s="1102"/>
      <c r="C657" s="1102"/>
      <c r="D657" s="1103"/>
      <c r="E657" s="1104" t="s">
        <v>253</v>
      </c>
      <c r="F657" s="1102"/>
      <c r="G657" s="1102"/>
      <c r="H657" s="1103"/>
      <c r="I657" s="1104" t="s">
        <v>254</v>
      </c>
      <c r="J657" s="1102"/>
      <c r="K657" s="1102"/>
      <c r="L657" s="1103"/>
      <c r="M657" s="1104" t="s">
        <v>255</v>
      </c>
      <c r="N657" s="1102"/>
      <c r="O657" s="1102"/>
      <c r="P657" s="1103"/>
      <c r="Q657" s="1104" t="s">
        <v>353</v>
      </c>
      <c r="R657" s="1102"/>
      <c r="S657" s="1102"/>
      <c r="T657" s="1103"/>
      <c r="U657" s="1180"/>
      <c r="V657" s="1181"/>
      <c r="W657" s="1181"/>
      <c r="X657" s="1182"/>
      <c r="Y657" s="1056" t="s">
        <v>346</v>
      </c>
      <c r="Z657" s="1056"/>
      <c r="AA657" s="1056"/>
      <c r="AB657" s="1057"/>
      <c r="AG657" s="1175"/>
    </row>
    <row r="658" ht="14.4" customHeight="1" spans="1:33">
      <c r="A658" s="1176" t="s">
        <v>347</v>
      </c>
      <c r="B658" s="1120"/>
      <c r="C658" s="1120"/>
      <c r="D658" s="1132"/>
      <c r="E658" s="1061" t="s">
        <v>256</v>
      </c>
      <c r="F658" s="1059"/>
      <c r="G658" s="1059"/>
      <c r="H658" s="1060"/>
      <c r="I658" s="1119" t="s">
        <v>347</v>
      </c>
      <c r="J658" s="1120"/>
      <c r="K658" s="1120"/>
      <c r="L658" s="1132"/>
      <c r="M658" s="1061" t="s">
        <v>257</v>
      </c>
      <c r="N658" s="1059"/>
      <c r="O658" s="1059"/>
      <c r="P658" s="1060"/>
      <c r="Q658" s="1061" t="s">
        <v>348</v>
      </c>
      <c r="R658" s="1059"/>
      <c r="S658" s="1059"/>
      <c r="T658" s="1060"/>
      <c r="U658" s="1065"/>
      <c r="V658" s="1066"/>
      <c r="W658" s="1066"/>
      <c r="X658" s="1107"/>
      <c r="Y658" s="1066"/>
      <c r="Z658" s="1066"/>
      <c r="AA658" s="1066"/>
      <c r="AB658" s="1067"/>
      <c r="AG658" s="1175"/>
    </row>
    <row r="659" ht="15.75" spans="1:33">
      <c r="A659" s="1183">
        <v>1.2</v>
      </c>
      <c r="B659" s="1184"/>
      <c r="C659" s="1184"/>
      <c r="D659" s="1185"/>
      <c r="E659" s="1110">
        <v>0.4</v>
      </c>
      <c r="F659" s="1110"/>
      <c r="G659" s="1110"/>
      <c r="H659" s="1110"/>
      <c r="I659" s="1110">
        <v>1.2</v>
      </c>
      <c r="J659" s="1110"/>
      <c r="K659" s="1110"/>
      <c r="L659" s="1110"/>
      <c r="M659" s="1110">
        <v>6</v>
      </c>
      <c r="N659" s="1110"/>
      <c r="O659" s="1110"/>
      <c r="P659" s="1110"/>
      <c r="Q659" s="1110">
        <v>3.5</v>
      </c>
      <c r="R659" s="1110"/>
      <c r="S659" s="1110"/>
      <c r="T659" s="1110"/>
      <c r="U659" s="1077"/>
      <c r="V659" s="1077"/>
      <c r="W659" s="1077"/>
      <c r="X659" s="1077"/>
      <c r="Y659" s="1077">
        <f>($A659+$E659+$I659)*($M659)*$Q659</f>
        <v>58.8</v>
      </c>
      <c r="Z659" s="1077"/>
      <c r="AA659" s="1077"/>
      <c r="AB659" s="1078"/>
      <c r="AG659" s="1175"/>
    </row>
    <row r="660" ht="17.25" spans="1:33">
      <c r="A660" s="1079" t="s">
        <v>354</v>
      </c>
      <c r="B660" s="1080"/>
      <c r="C660" s="1080"/>
      <c r="D660" s="1080"/>
      <c r="E660" s="1080"/>
      <c r="F660" s="1080"/>
      <c r="G660" s="1080"/>
      <c r="H660" s="1080"/>
      <c r="I660" s="1080"/>
      <c r="J660" s="1080"/>
      <c r="K660" s="1080"/>
      <c r="L660" s="1080"/>
      <c r="M660" s="1080"/>
      <c r="N660" s="1080"/>
      <c r="O660" s="1080"/>
      <c r="P660" s="1080"/>
      <c r="Q660" s="1080"/>
      <c r="R660" s="1080"/>
      <c r="S660" s="1080"/>
      <c r="T660" s="1080"/>
      <c r="U660" s="1080"/>
      <c r="V660" s="1080"/>
      <c r="W660" s="1080"/>
      <c r="X660" s="1080"/>
      <c r="Y660" s="1080"/>
      <c r="Z660" s="1080"/>
      <c r="AA660" s="1080"/>
      <c r="AB660" s="1081"/>
      <c r="AG660" s="1175"/>
    </row>
    <row r="661" ht="15.75" spans="1:33">
      <c r="A661" s="1083"/>
      <c r="AB661" s="1044"/>
      <c r="AG661" s="1175"/>
    </row>
    <row r="662" spans="1:33">
      <c r="A662" s="1083"/>
      <c r="K662" s="1084" t="s">
        <v>355</v>
      </c>
      <c r="L662" s="1085"/>
      <c r="M662" s="1085"/>
      <c r="N662" s="1085"/>
      <c r="O662" s="1085"/>
      <c r="P662" s="1085"/>
      <c r="Q662" s="1085"/>
      <c r="R662" s="1085"/>
      <c r="S662" s="1086"/>
      <c r="AB662" s="1044"/>
    </row>
    <row r="663" ht="14.4" customHeight="1" spans="1:33">
      <c r="A663" s="1083"/>
      <c r="K663" s="1087" t="s">
        <v>356</v>
      </c>
      <c r="L663" s="1088"/>
      <c r="M663" s="1088"/>
      <c r="N663" s="1088"/>
      <c r="O663" s="1088"/>
      <c r="P663" s="1088"/>
      <c r="Q663" s="1088"/>
      <c r="R663" s="1088"/>
      <c r="S663" s="1089"/>
      <c r="AB663" s="1044"/>
    </row>
    <row r="664" spans="1:33">
      <c r="A664" s="1083"/>
      <c r="K664" s="1090"/>
      <c r="L664" s="1091"/>
      <c r="M664" s="1091"/>
      <c r="N664" s="1091"/>
      <c r="O664" s="1091"/>
      <c r="P664" s="1091"/>
      <c r="Q664" s="1091"/>
      <c r="R664" s="1091"/>
      <c r="S664" s="1092"/>
      <c r="AB664" s="1044"/>
    </row>
    <row r="665" ht="15.75" spans="1:33">
      <c r="A665" s="1083"/>
      <c r="K665" s="1186">
        <f>ROUNDUP(($Y$647+$Y$653+$Y$659),2)</f>
        <v>189.84</v>
      </c>
      <c r="L665" s="1187"/>
      <c r="M665" s="1187"/>
      <c r="N665" s="1187"/>
      <c r="O665" s="1187"/>
      <c r="P665" s="1187"/>
      <c r="Q665" s="1187"/>
      <c r="R665" s="1187"/>
      <c r="S665" s="1188"/>
      <c r="AB665" s="1044"/>
    </row>
    <row r="666" ht="15.75" spans="1:33">
      <c r="A666" s="1189"/>
      <c r="B666" s="1097"/>
      <c r="C666" s="1097"/>
      <c r="D666" s="1097"/>
      <c r="E666" s="1097"/>
      <c r="F666" s="1097"/>
      <c r="G666" s="1097"/>
      <c r="H666" s="1097"/>
      <c r="I666" s="1097"/>
      <c r="J666" s="1097"/>
      <c r="K666" s="1097"/>
      <c r="L666" s="1097"/>
      <c r="M666" s="1128"/>
      <c r="N666" s="1128"/>
      <c r="O666" s="1128"/>
      <c r="P666" s="1128"/>
      <c r="Q666" s="1128"/>
      <c r="R666" s="1128"/>
      <c r="S666" s="1128"/>
      <c r="T666" s="1128"/>
      <c r="U666" s="389"/>
      <c r="V666" s="389"/>
      <c r="W666" s="389"/>
      <c r="X666" s="389"/>
      <c r="Y666" s="389"/>
      <c r="Z666" s="389"/>
      <c r="AA666" s="389"/>
      <c r="AB666" s="1098"/>
    </row>
    <row r="667" s="437" customFormat="1" spans="1:33">
      <c r="A667" s="1040" t="s">
        <v>357</v>
      </c>
      <c r="B667" s="1114"/>
      <c r="C667" s="1114"/>
      <c r="D667" s="1114"/>
      <c r="E667" s="1114"/>
      <c r="F667" s="1114"/>
      <c r="G667" s="1114"/>
      <c r="H667" s="1114"/>
      <c r="I667" s="1114"/>
      <c r="J667" s="1114"/>
      <c r="K667" s="1114"/>
      <c r="L667" s="1114"/>
      <c r="M667" s="1114"/>
      <c r="N667" s="1114"/>
      <c r="O667" s="1114"/>
      <c r="P667" s="1114"/>
      <c r="Q667" s="1114"/>
      <c r="R667" s="1114"/>
      <c r="S667" s="1114"/>
      <c r="T667" s="1114"/>
      <c r="U667" s="1114"/>
      <c r="V667" s="1114"/>
      <c r="W667" s="1114"/>
      <c r="X667" s="1114"/>
      <c r="Y667" s="1114"/>
      <c r="Z667" s="1114"/>
      <c r="AA667" s="1114"/>
      <c r="AB667" s="1115"/>
      <c r="AG667" s="1174"/>
    </row>
    <row r="668" spans="1:33">
      <c r="A668" s="1190"/>
      <c r="AB668" s="1044"/>
      <c r="AG668" s="1175"/>
    </row>
    <row r="669" spans="1:33">
      <c r="A669" s="1190"/>
      <c r="AB669" s="1044"/>
      <c r="AG669" s="1175"/>
    </row>
    <row r="670" spans="1:33">
      <c r="A670" s="1190"/>
      <c r="AB670" s="1044"/>
      <c r="AG670" s="1175"/>
    </row>
    <row r="671" spans="1:33">
      <c r="A671" s="1190"/>
      <c r="AB671" s="1044"/>
      <c r="AG671" s="1175"/>
    </row>
    <row r="672" spans="1:33">
      <c r="A672" s="1190"/>
      <c r="AB672" s="1044"/>
      <c r="AG672" s="1175"/>
    </row>
    <row r="673" spans="1:33">
      <c r="A673" s="1190"/>
      <c r="AB673" s="1044"/>
      <c r="AG673" s="1175"/>
    </row>
    <row r="674" spans="1:33">
      <c r="A674" s="1190"/>
      <c r="AB674" s="1044"/>
      <c r="AG674" s="1175"/>
    </row>
    <row r="675" spans="1:33">
      <c r="A675" s="1190"/>
      <c r="AB675" s="1044"/>
      <c r="AG675" s="1175"/>
    </row>
    <row r="676" spans="1:33">
      <c r="A676" s="1190"/>
      <c r="AB676" s="1044"/>
      <c r="AG676" s="1175"/>
    </row>
    <row r="677" spans="1:33">
      <c r="A677" s="1190"/>
      <c r="AB677" s="1044"/>
      <c r="AG677" s="1175"/>
    </row>
    <row r="678" spans="1:33">
      <c r="A678" s="1190"/>
      <c r="AB678" s="1044"/>
      <c r="AG678" s="1175"/>
    </row>
    <row r="679" spans="1:33">
      <c r="A679" s="1190"/>
      <c r="AB679" s="1044"/>
      <c r="AG679" s="1175"/>
    </row>
    <row r="680" spans="1:33">
      <c r="A680" s="1190"/>
      <c r="AB680" s="1044"/>
      <c r="AG680" s="1175"/>
    </row>
    <row r="681" spans="1:33">
      <c r="A681" s="1190"/>
      <c r="AB681" s="1044"/>
      <c r="AG681" s="1175"/>
    </row>
    <row r="682" spans="1:33">
      <c r="A682" s="1190"/>
      <c r="AB682" s="1044"/>
      <c r="AG682" s="1175"/>
    </row>
    <row r="683" spans="1:33">
      <c r="A683" s="1190"/>
      <c r="AB683" s="1044"/>
      <c r="AG683" s="1175"/>
    </row>
    <row r="684" spans="1:33">
      <c r="A684" s="1190"/>
      <c r="AB684" s="1044"/>
      <c r="AG684" s="1175"/>
    </row>
    <row r="685" spans="1:33">
      <c r="A685" s="1190"/>
      <c r="AB685" s="1044"/>
      <c r="AG685" s="1175"/>
    </row>
    <row r="686" spans="1:33">
      <c r="A686" s="1190"/>
      <c r="AB686" s="1044"/>
      <c r="AG686" s="1175"/>
    </row>
    <row r="687" spans="1:33">
      <c r="A687" s="1190"/>
      <c r="AB687" s="1044"/>
      <c r="AG687" s="1175"/>
    </row>
    <row r="688" spans="1:33">
      <c r="A688" s="1190"/>
      <c r="AB688" s="1044"/>
      <c r="AG688" s="1175"/>
    </row>
    <row r="689" spans="1:33">
      <c r="A689" s="1190"/>
      <c r="AB689" s="1044"/>
      <c r="AG689" s="1175"/>
    </row>
    <row r="690" spans="1:33">
      <c r="A690" s="1190"/>
      <c r="AB690" s="1044"/>
      <c r="AG690" s="1175"/>
    </row>
    <row r="691" spans="1:33">
      <c r="A691" s="1190"/>
      <c r="AB691" s="1044"/>
      <c r="AG691" s="1175"/>
    </row>
    <row r="692" spans="1:33">
      <c r="A692" s="1190"/>
      <c r="AB692" s="1044"/>
      <c r="AG692" s="1175"/>
    </row>
    <row r="693" spans="1:33">
      <c r="A693" s="1190"/>
      <c r="AB693" s="1044"/>
      <c r="AG693" s="1175"/>
    </row>
    <row r="694" spans="1:33">
      <c r="A694" s="1045" t="s">
        <v>358</v>
      </c>
      <c r="B694" s="1046"/>
      <c r="C694" s="1046"/>
      <c r="D694" s="1046"/>
      <c r="E694" s="1046"/>
      <c r="F694" s="1046"/>
      <c r="G694" s="1046"/>
      <c r="H694" s="1046"/>
      <c r="I694" s="1046"/>
      <c r="J694" s="1046"/>
      <c r="K694" s="1046"/>
      <c r="L694" s="1046"/>
      <c r="M694" s="1046"/>
      <c r="N694" s="1046"/>
      <c r="O694" s="1046"/>
      <c r="P694" s="1046"/>
      <c r="Q694" s="1046"/>
      <c r="R694" s="1046"/>
      <c r="S694" s="1046"/>
      <c r="T694" s="1046"/>
      <c r="U694" s="1046"/>
      <c r="V694" s="1046"/>
      <c r="W694" s="1046"/>
      <c r="X694" s="1046"/>
      <c r="Y694" s="1046"/>
      <c r="Z694" s="1046"/>
      <c r="AA694" s="1046"/>
      <c r="AB694" s="1047"/>
      <c r="AG694" s="1175"/>
    </row>
    <row r="695" spans="1:33">
      <c r="A695" s="1101" t="s">
        <v>205</v>
      </c>
      <c r="B695" s="1102"/>
      <c r="C695" s="1102"/>
      <c r="D695" s="1103"/>
      <c r="E695" s="1104" t="s">
        <v>206</v>
      </c>
      <c r="F695" s="1102"/>
      <c r="G695" s="1102"/>
      <c r="H695" s="1103"/>
      <c r="I695" s="1104" t="s">
        <v>235</v>
      </c>
      <c r="J695" s="1102"/>
      <c r="K695" s="1102"/>
      <c r="L695" s="1103"/>
      <c r="M695" s="1104" t="s">
        <v>236</v>
      </c>
      <c r="N695" s="1102"/>
      <c r="O695" s="1102"/>
      <c r="P695" s="1103"/>
      <c r="Q695" s="1104" t="s">
        <v>253</v>
      </c>
      <c r="R695" s="1102"/>
      <c r="S695" s="1102"/>
      <c r="T695" s="1103"/>
      <c r="U695" s="1104" t="s">
        <v>254</v>
      </c>
      <c r="V695" s="1102"/>
      <c r="W695" s="1102"/>
      <c r="X695" s="1103"/>
      <c r="Y695" s="1191" t="s">
        <v>359</v>
      </c>
      <c r="Z695" s="1191"/>
      <c r="AA695" s="1191"/>
      <c r="AB695" s="1192"/>
      <c r="AG695" s="1175"/>
    </row>
    <row r="696" spans="1:33">
      <c r="A696" s="1058" t="s">
        <v>360</v>
      </c>
      <c r="B696" s="1059"/>
      <c r="C696" s="1059"/>
      <c r="D696" s="1060"/>
      <c r="E696" s="1061" t="s">
        <v>241</v>
      </c>
      <c r="F696" s="1059"/>
      <c r="G696" s="1059"/>
      <c r="H696" s="1060"/>
      <c r="I696" s="1061" t="s">
        <v>242</v>
      </c>
      <c r="J696" s="1059"/>
      <c r="K696" s="1059"/>
      <c r="L696" s="1060"/>
      <c r="M696" s="1061" t="s">
        <v>360</v>
      </c>
      <c r="N696" s="1059"/>
      <c r="O696" s="1059"/>
      <c r="P696" s="1060"/>
      <c r="Q696" s="1061" t="s">
        <v>361</v>
      </c>
      <c r="R696" s="1059"/>
      <c r="S696" s="1059"/>
      <c r="T696" s="1060"/>
      <c r="U696" s="1061" t="s">
        <v>362</v>
      </c>
      <c r="V696" s="1059"/>
      <c r="W696" s="1059"/>
      <c r="X696" s="1060"/>
      <c r="Y696" s="1191"/>
      <c r="Z696" s="1191"/>
      <c r="AA696" s="1191"/>
      <c r="AB696" s="1192"/>
      <c r="AG696" s="1175"/>
    </row>
    <row r="697" spans="1:33">
      <c r="A697" s="1122">
        <v>1.2</v>
      </c>
      <c r="B697" s="1073"/>
      <c r="C697" s="1073"/>
      <c r="D697" s="1073"/>
      <c r="E697" s="1073">
        <v>0.4</v>
      </c>
      <c r="F697" s="1073"/>
      <c r="G697" s="1073"/>
      <c r="H697" s="1073"/>
      <c r="I697" s="1073">
        <v>4</v>
      </c>
      <c r="J697" s="1073"/>
      <c r="K697" s="1073"/>
      <c r="L697" s="1073"/>
      <c r="M697" s="1073">
        <v>1.2</v>
      </c>
      <c r="N697" s="1073"/>
      <c r="O697" s="1073"/>
      <c r="P697" s="1073"/>
      <c r="Q697" s="1073">
        <v>2.3</v>
      </c>
      <c r="R697" s="1073"/>
      <c r="S697" s="1073"/>
      <c r="T697" s="1073"/>
      <c r="U697" s="1073">
        <v>0.45</v>
      </c>
      <c r="V697" s="1073"/>
      <c r="W697" s="1073"/>
      <c r="X697" s="1073"/>
      <c r="Y697" s="1073">
        <f>ROUNDUP((((($A697+$E697)*$M697)*$Q697)+((($A697+$E697)*$M697*$U697)/2)+($A697*$I697*$Q697)+(($A697*$I697*$U697)/2)),2)</f>
        <v>16.97</v>
      </c>
      <c r="Z697" s="1073"/>
      <c r="AA697" s="1073"/>
      <c r="AB697" s="1193"/>
      <c r="AG697" s="1175"/>
    </row>
    <row r="698" ht="15.75" spans="1:33">
      <c r="A698" s="1083"/>
      <c r="AB698" s="1044"/>
      <c r="AG698" s="1175"/>
    </row>
    <row r="699" ht="17.25" spans="1:33">
      <c r="A699" s="1079" t="s">
        <v>363</v>
      </c>
      <c r="B699" s="1080"/>
      <c r="C699" s="1080"/>
      <c r="D699" s="1080"/>
      <c r="E699" s="1080"/>
      <c r="F699" s="1080"/>
      <c r="G699" s="1080"/>
      <c r="H699" s="1080"/>
      <c r="I699" s="1080"/>
      <c r="J699" s="1080"/>
      <c r="K699" s="1080"/>
      <c r="L699" s="1080"/>
      <c r="M699" s="1080"/>
      <c r="N699" s="1080"/>
      <c r="O699" s="1080"/>
      <c r="P699" s="1080"/>
      <c r="Q699" s="1080"/>
      <c r="R699" s="1080"/>
      <c r="S699" s="1080"/>
      <c r="T699" s="1080"/>
      <c r="U699" s="1080"/>
      <c r="V699" s="1080"/>
      <c r="W699" s="1080"/>
      <c r="X699" s="1080"/>
      <c r="Y699" s="1080"/>
      <c r="Z699" s="1080"/>
      <c r="AA699" s="1080"/>
      <c r="AB699" s="1081"/>
      <c r="AC699" s="1175"/>
    </row>
    <row r="700" spans="1:33">
      <c r="A700" s="1083"/>
      <c r="AB700" s="1044"/>
      <c r="AG700" s="1175"/>
    </row>
    <row r="701" spans="1:33">
      <c r="A701" s="1045" t="s">
        <v>364</v>
      </c>
      <c r="B701" s="1046"/>
      <c r="C701" s="1046"/>
      <c r="D701" s="1046"/>
      <c r="E701" s="1046"/>
      <c r="F701" s="1046"/>
      <c r="G701" s="1046"/>
      <c r="H701" s="1046"/>
      <c r="I701" s="1046"/>
      <c r="J701" s="1046"/>
      <c r="K701" s="1046"/>
      <c r="L701" s="1046"/>
      <c r="M701" s="1046"/>
      <c r="N701" s="1046"/>
      <c r="O701" s="1046"/>
      <c r="P701" s="1046"/>
      <c r="Q701" s="1046"/>
      <c r="R701" s="1046"/>
      <c r="S701" s="1046"/>
      <c r="T701" s="1046"/>
      <c r="U701" s="1046"/>
      <c r="V701" s="1046"/>
      <c r="W701" s="1046"/>
      <c r="X701" s="1046"/>
      <c r="Y701" s="1046"/>
      <c r="Z701" s="1046"/>
      <c r="AA701" s="1046"/>
      <c r="AB701" s="1047"/>
      <c r="AG701" s="1175"/>
    </row>
    <row r="702" spans="1:33">
      <c r="A702" s="1101" t="s">
        <v>237</v>
      </c>
      <c r="B702" s="1102"/>
      <c r="C702" s="1102"/>
      <c r="D702" s="1103"/>
      <c r="E702" s="1104" t="s">
        <v>238</v>
      </c>
      <c r="F702" s="1102"/>
      <c r="G702" s="1102"/>
      <c r="H702" s="1103"/>
      <c r="I702" s="1104" t="s">
        <v>246</v>
      </c>
      <c r="J702" s="1102"/>
      <c r="K702" s="1102"/>
      <c r="L702" s="1103"/>
      <c r="M702" s="1104" t="s">
        <v>247</v>
      </c>
      <c r="N702" s="1102"/>
      <c r="O702" s="1102"/>
      <c r="P702" s="1103"/>
      <c r="Q702" s="1104" t="s">
        <v>253</v>
      </c>
      <c r="R702" s="1102"/>
      <c r="S702" s="1102"/>
      <c r="T702" s="1103"/>
      <c r="U702" s="1104" t="s">
        <v>254</v>
      </c>
      <c r="V702" s="1102"/>
      <c r="W702" s="1102"/>
      <c r="X702" s="1103"/>
      <c r="Y702" s="1191" t="s">
        <v>359</v>
      </c>
      <c r="Z702" s="1191"/>
      <c r="AA702" s="1191"/>
      <c r="AB702" s="1192"/>
      <c r="AG702" s="1175"/>
    </row>
    <row r="703" spans="1:33">
      <c r="A703" s="1058" t="s">
        <v>360</v>
      </c>
      <c r="B703" s="1059"/>
      <c r="C703" s="1059"/>
      <c r="D703" s="1060"/>
      <c r="E703" s="1061" t="s">
        <v>241</v>
      </c>
      <c r="F703" s="1059"/>
      <c r="G703" s="1059"/>
      <c r="H703" s="1060"/>
      <c r="I703" s="1061" t="s">
        <v>242</v>
      </c>
      <c r="J703" s="1059"/>
      <c r="K703" s="1059"/>
      <c r="L703" s="1060"/>
      <c r="M703" s="1061" t="s">
        <v>360</v>
      </c>
      <c r="N703" s="1059"/>
      <c r="O703" s="1059"/>
      <c r="P703" s="1060"/>
      <c r="Q703" s="1061" t="s">
        <v>361</v>
      </c>
      <c r="R703" s="1059"/>
      <c r="S703" s="1059"/>
      <c r="T703" s="1060"/>
      <c r="U703" s="1061" t="s">
        <v>362</v>
      </c>
      <c r="V703" s="1059"/>
      <c r="W703" s="1059"/>
      <c r="X703" s="1060"/>
      <c r="Y703" s="1191"/>
      <c r="Z703" s="1191"/>
      <c r="AA703" s="1191"/>
      <c r="AB703" s="1192"/>
      <c r="AG703" s="1175"/>
    </row>
    <row r="704" spans="1:33">
      <c r="A704" s="1122">
        <v>1.2</v>
      </c>
      <c r="B704" s="1073"/>
      <c r="C704" s="1073"/>
      <c r="D704" s="1073"/>
      <c r="E704" s="1073">
        <v>0.4</v>
      </c>
      <c r="F704" s="1073"/>
      <c r="G704" s="1073"/>
      <c r="H704" s="1073"/>
      <c r="I704" s="1073">
        <v>4</v>
      </c>
      <c r="J704" s="1073"/>
      <c r="K704" s="1073"/>
      <c r="L704" s="1073"/>
      <c r="M704" s="1073">
        <v>1.2</v>
      </c>
      <c r="N704" s="1073"/>
      <c r="O704" s="1073"/>
      <c r="P704" s="1073"/>
      <c r="Q704" s="1073">
        <v>2.3</v>
      </c>
      <c r="R704" s="1073"/>
      <c r="S704" s="1073"/>
      <c r="T704" s="1073"/>
      <c r="U704" s="1073">
        <v>0.45</v>
      </c>
      <c r="V704" s="1073"/>
      <c r="W704" s="1073"/>
      <c r="X704" s="1073"/>
      <c r="Y704" s="1073">
        <f>ROUNDUP((((($A704+$E704)*$M704)*$Q704)+((($A704+$E704)*$M704*$U704)/2)+($A704*$I704*$Q704)+(($A704*$I704*$U704)/2)),2)</f>
        <v>16.97</v>
      </c>
      <c r="Z704" s="1073"/>
      <c r="AA704" s="1073"/>
      <c r="AB704" s="1193"/>
      <c r="AG704" s="1175"/>
    </row>
    <row r="705" ht="15.75" spans="1:33">
      <c r="A705" s="1083"/>
      <c r="AB705" s="1044"/>
      <c r="AG705" s="1175"/>
    </row>
    <row r="706" ht="17.25" spans="1:33">
      <c r="A706" s="1079" t="s">
        <v>365</v>
      </c>
      <c r="B706" s="1080"/>
      <c r="C706" s="1080"/>
      <c r="D706" s="1080"/>
      <c r="E706" s="1080"/>
      <c r="F706" s="1080"/>
      <c r="G706" s="1080"/>
      <c r="H706" s="1080"/>
      <c r="I706" s="1080"/>
      <c r="J706" s="1080"/>
      <c r="K706" s="1080"/>
      <c r="L706" s="1080"/>
      <c r="M706" s="1080"/>
      <c r="N706" s="1080"/>
      <c r="O706" s="1080"/>
      <c r="P706" s="1080"/>
      <c r="Q706" s="1080"/>
      <c r="R706" s="1080"/>
      <c r="S706" s="1080"/>
      <c r="T706" s="1080"/>
      <c r="U706" s="1080"/>
      <c r="V706" s="1080"/>
      <c r="W706" s="1080"/>
      <c r="X706" s="1080"/>
      <c r="Y706" s="1080"/>
      <c r="Z706" s="1080"/>
      <c r="AA706" s="1080"/>
      <c r="AB706" s="1081"/>
      <c r="AC706" s="1175"/>
    </row>
    <row r="707" spans="1:33">
      <c r="A707" s="1083"/>
      <c r="E707" s="1130"/>
      <c r="F707" s="1130"/>
      <c r="G707" s="1130"/>
      <c r="H707" s="1130"/>
      <c r="I707" s="1130"/>
      <c r="J707" s="1130"/>
      <c r="K707" s="1130"/>
      <c r="L707" s="1130"/>
      <c r="AB707" s="1044"/>
      <c r="AG707" s="1175"/>
    </row>
    <row r="708" spans="1:33">
      <c r="A708" s="1099" t="s">
        <v>366</v>
      </c>
      <c r="B708" s="424"/>
      <c r="C708" s="424"/>
      <c r="D708" s="424"/>
      <c r="E708" s="424"/>
      <c r="F708" s="424"/>
      <c r="G708" s="424"/>
      <c r="H708" s="424"/>
      <c r="I708" s="424"/>
      <c r="J708" s="424"/>
      <c r="K708" s="424"/>
      <c r="L708" s="424"/>
      <c r="M708" s="424"/>
      <c r="N708" s="424"/>
      <c r="O708" s="424"/>
      <c r="P708" s="424"/>
      <c r="Q708" s="424"/>
      <c r="R708" s="424"/>
      <c r="S708" s="424"/>
      <c r="T708" s="424"/>
      <c r="U708" s="424"/>
      <c r="V708" s="424"/>
      <c r="W708" s="424"/>
      <c r="X708" s="424"/>
      <c r="Y708" s="424"/>
      <c r="Z708" s="424"/>
      <c r="AA708" s="424"/>
      <c r="AB708" s="1100"/>
      <c r="AG708" s="1175"/>
    </row>
    <row r="709" spans="1:33">
      <c r="A709" s="1101" t="s">
        <v>249</v>
      </c>
      <c r="B709" s="1102"/>
      <c r="C709" s="1102"/>
      <c r="D709" s="1103"/>
      <c r="E709" s="1104" t="s">
        <v>248</v>
      </c>
      <c r="F709" s="1102"/>
      <c r="G709" s="1102"/>
      <c r="H709" s="1103"/>
      <c r="I709" s="1104" t="s">
        <v>252</v>
      </c>
      <c r="J709" s="1102"/>
      <c r="K709" s="1102"/>
      <c r="L709" s="1103"/>
      <c r="M709" s="1104" t="s">
        <v>253</v>
      </c>
      <c r="N709" s="1102"/>
      <c r="O709" s="1102"/>
      <c r="P709" s="1103"/>
      <c r="Q709" s="1104" t="s">
        <v>254</v>
      </c>
      <c r="R709" s="1102"/>
      <c r="S709" s="1102"/>
      <c r="T709" s="1103"/>
      <c r="U709" s="1194"/>
      <c r="V709" s="1194"/>
      <c r="W709" s="1194"/>
      <c r="X709" s="1194"/>
      <c r="Y709" s="1194" t="s">
        <v>359</v>
      </c>
      <c r="Z709" s="1194"/>
      <c r="AA709" s="1194"/>
      <c r="AB709" s="1195"/>
      <c r="AG709" s="1175"/>
    </row>
    <row r="710" spans="1:33">
      <c r="A710" s="1058" t="s">
        <v>360</v>
      </c>
      <c r="B710" s="1059"/>
      <c r="C710" s="1059"/>
      <c r="D710" s="1060"/>
      <c r="E710" s="1061" t="s">
        <v>241</v>
      </c>
      <c r="F710" s="1059"/>
      <c r="G710" s="1059"/>
      <c r="H710" s="1060"/>
      <c r="I710" s="1061" t="s">
        <v>257</v>
      </c>
      <c r="J710" s="1059"/>
      <c r="K710" s="1059"/>
      <c r="L710" s="1060"/>
      <c r="M710" s="1061" t="s">
        <v>361</v>
      </c>
      <c r="N710" s="1059"/>
      <c r="O710" s="1059"/>
      <c r="P710" s="1060"/>
      <c r="Q710" s="1061" t="s">
        <v>362</v>
      </c>
      <c r="R710" s="1059"/>
      <c r="S710" s="1059"/>
      <c r="T710" s="1060"/>
      <c r="U710" s="1191"/>
      <c r="V710" s="1191"/>
      <c r="W710" s="1191"/>
      <c r="X710" s="1191"/>
      <c r="Y710" s="1191"/>
      <c r="Z710" s="1191"/>
      <c r="AA710" s="1191"/>
      <c r="AB710" s="1192"/>
      <c r="AG710" s="1175"/>
    </row>
    <row r="711" spans="1:33">
      <c r="A711" s="1122">
        <v>1.2</v>
      </c>
      <c r="B711" s="1073"/>
      <c r="C711" s="1073"/>
      <c r="D711" s="1073"/>
      <c r="E711" s="1073">
        <v>0.4</v>
      </c>
      <c r="F711" s="1073"/>
      <c r="G711" s="1073"/>
      <c r="H711" s="1073"/>
      <c r="I711" s="1073">
        <v>6</v>
      </c>
      <c r="J711" s="1073"/>
      <c r="K711" s="1073"/>
      <c r="L711" s="1073"/>
      <c r="M711" s="1073">
        <v>2.3</v>
      </c>
      <c r="N711" s="1073"/>
      <c r="O711" s="1073"/>
      <c r="P711" s="1073"/>
      <c r="Q711" s="1073">
        <v>0.45</v>
      </c>
      <c r="R711" s="1073"/>
      <c r="S711" s="1073"/>
      <c r="T711" s="1073"/>
      <c r="U711" s="1073"/>
      <c r="V711" s="1073"/>
      <c r="W711" s="1073"/>
      <c r="X711" s="1073"/>
      <c r="Y711" s="1073">
        <f>ROUNDUP(((($A711*$M711)*$I711)+((($A711*$Q711)/2)*$I711)),2)</f>
        <v>18.18</v>
      </c>
      <c r="Z711" s="1073"/>
      <c r="AA711" s="1073"/>
      <c r="AB711" s="1193"/>
      <c r="AG711" s="1175"/>
    </row>
    <row r="712" ht="15.75" spans="1:33">
      <c r="A712" s="1083"/>
      <c r="AB712" s="1044"/>
      <c r="AG712" s="1175"/>
    </row>
    <row r="713" ht="17.25" spans="1:33">
      <c r="A713" s="1079" t="s">
        <v>367</v>
      </c>
      <c r="B713" s="1080"/>
      <c r="C713" s="1080"/>
      <c r="D713" s="1080"/>
      <c r="E713" s="1080"/>
      <c r="F713" s="1080"/>
      <c r="G713" s="1080"/>
      <c r="H713" s="1080"/>
      <c r="I713" s="1080"/>
      <c r="J713" s="1080"/>
      <c r="K713" s="1080"/>
      <c r="L713" s="1080"/>
      <c r="M713" s="1080"/>
      <c r="N713" s="1080"/>
      <c r="O713" s="1080"/>
      <c r="P713" s="1080"/>
      <c r="Q713" s="1080"/>
      <c r="R713" s="1080"/>
      <c r="S713" s="1080"/>
      <c r="T713" s="1080"/>
      <c r="U713" s="1080"/>
      <c r="V713" s="1080"/>
      <c r="W713" s="1080"/>
      <c r="X713" s="1080"/>
      <c r="Y713" s="1080"/>
      <c r="Z713" s="1080"/>
      <c r="AA713" s="1080"/>
      <c r="AB713" s="1081"/>
      <c r="AC713" s="1175"/>
    </row>
    <row r="714" ht="15.75" spans="1:33">
      <c r="A714" s="1154"/>
      <c r="B714" s="1130"/>
      <c r="C714" s="1130"/>
      <c r="D714" s="1130"/>
      <c r="E714" s="1130"/>
      <c r="F714" s="1130"/>
      <c r="G714" s="1130"/>
      <c r="H714" s="1130"/>
      <c r="I714" s="1130"/>
      <c r="J714" s="1130"/>
      <c r="K714" s="1130"/>
      <c r="L714" s="1130"/>
      <c r="M714" s="1155"/>
      <c r="N714" s="1155"/>
      <c r="O714" s="1155"/>
      <c r="P714" s="1155"/>
      <c r="Q714" s="1155"/>
      <c r="R714" s="1155"/>
      <c r="S714" s="1155"/>
      <c r="T714" s="1155"/>
      <c r="AB714" s="1044"/>
    </row>
    <row r="715" spans="1:33">
      <c r="A715" s="1154"/>
      <c r="B715" s="1130"/>
      <c r="C715" s="1130"/>
      <c r="D715" s="1130"/>
      <c r="E715" s="1130"/>
      <c r="F715" s="1130"/>
      <c r="G715" s="1130"/>
      <c r="H715" s="1130"/>
      <c r="K715" s="1084" t="s">
        <v>368</v>
      </c>
      <c r="L715" s="1085"/>
      <c r="M715" s="1085"/>
      <c r="N715" s="1085"/>
      <c r="O715" s="1085"/>
      <c r="P715" s="1085"/>
      <c r="Q715" s="1085"/>
      <c r="R715" s="1085"/>
      <c r="S715" s="1086"/>
      <c r="T715" s="1155"/>
      <c r="AB715" s="1044"/>
    </row>
    <row r="716" spans="1:33">
      <c r="A716" s="1154"/>
      <c r="B716" s="1130"/>
      <c r="C716" s="1130"/>
      <c r="D716" s="1130"/>
      <c r="E716" s="1130"/>
      <c r="F716" s="1130"/>
      <c r="G716" s="1130"/>
      <c r="H716" s="1130"/>
      <c r="K716" s="1087" t="s">
        <v>369</v>
      </c>
      <c r="L716" s="1088"/>
      <c r="M716" s="1088"/>
      <c r="N716" s="1088"/>
      <c r="O716" s="1088"/>
      <c r="P716" s="1088"/>
      <c r="Q716" s="1088"/>
      <c r="R716" s="1088"/>
      <c r="S716" s="1089"/>
      <c r="T716" s="1155"/>
      <c r="AB716" s="1044"/>
    </row>
    <row r="717" spans="1:33">
      <c r="A717" s="1154"/>
      <c r="B717" s="1130"/>
      <c r="C717" s="1130"/>
      <c r="D717" s="1130"/>
      <c r="E717" s="1130"/>
      <c r="F717" s="1130"/>
      <c r="G717" s="1130"/>
      <c r="H717" s="1130"/>
      <c r="K717" s="1090"/>
      <c r="L717" s="1091"/>
      <c r="M717" s="1091"/>
      <c r="N717" s="1091"/>
      <c r="O717" s="1091"/>
      <c r="P717" s="1091"/>
      <c r="Q717" s="1091"/>
      <c r="R717" s="1091"/>
      <c r="S717" s="1092"/>
      <c r="T717" s="1155"/>
      <c r="AB717" s="1044"/>
    </row>
    <row r="718" ht="15.75" spans="1:33">
      <c r="A718" s="1154"/>
      <c r="B718" s="1130"/>
      <c r="C718" s="1130"/>
      <c r="D718" s="1130"/>
      <c r="E718" s="1130"/>
      <c r="F718" s="1130"/>
      <c r="G718" s="1130"/>
      <c r="H718" s="1130"/>
      <c r="K718" s="1186">
        <f>ROUNDUP((Y697+Y704+Y711),2)</f>
        <v>52.12</v>
      </c>
      <c r="L718" s="1187"/>
      <c r="M718" s="1187"/>
      <c r="N718" s="1187"/>
      <c r="O718" s="1187"/>
      <c r="P718" s="1187"/>
      <c r="Q718" s="1187"/>
      <c r="R718" s="1187"/>
      <c r="S718" s="1188"/>
      <c r="T718" s="1155"/>
      <c r="AB718" s="1044"/>
    </row>
    <row r="719" ht="15.75" spans="1:33">
      <c r="A719" s="1189"/>
      <c r="B719" s="1097"/>
      <c r="C719" s="1097"/>
      <c r="D719" s="1097"/>
      <c r="E719" s="1097"/>
      <c r="F719" s="1097"/>
      <c r="G719" s="1097"/>
      <c r="H719" s="1097"/>
      <c r="I719" s="1097"/>
      <c r="J719" s="1097"/>
      <c r="K719" s="1097"/>
      <c r="L719" s="1097"/>
      <c r="M719" s="1128"/>
      <c r="N719" s="1128"/>
      <c r="O719" s="1128"/>
      <c r="P719" s="1128"/>
      <c r="Q719" s="1128"/>
      <c r="R719" s="1128"/>
      <c r="S719" s="1128"/>
      <c r="T719" s="1128"/>
      <c r="U719" s="389"/>
      <c r="V719" s="389"/>
      <c r="W719" s="389"/>
      <c r="X719" s="389"/>
      <c r="Y719" s="389"/>
      <c r="Z719" s="389"/>
      <c r="AA719" s="389"/>
      <c r="AB719" s="1098"/>
    </row>
    <row r="720" spans="1:33">
      <c r="A720" s="1040" t="s">
        <v>370</v>
      </c>
      <c r="B720" s="1041"/>
      <c r="C720" s="1041"/>
      <c r="D720" s="1041"/>
      <c r="E720" s="1041"/>
      <c r="F720" s="1041"/>
      <c r="G720" s="1041"/>
      <c r="H720" s="1041"/>
      <c r="I720" s="1041"/>
      <c r="J720" s="1041"/>
      <c r="K720" s="1041"/>
      <c r="L720" s="1041"/>
      <c r="M720" s="1041"/>
      <c r="N720" s="1041"/>
      <c r="O720" s="1041"/>
      <c r="P720" s="1041"/>
      <c r="Q720" s="1041"/>
      <c r="R720" s="1041"/>
      <c r="S720" s="1041"/>
      <c r="T720" s="1041"/>
      <c r="U720" s="1041"/>
      <c r="V720" s="1041"/>
      <c r="W720" s="1041"/>
      <c r="X720" s="1041"/>
      <c r="Y720" s="1041"/>
      <c r="Z720" s="1041"/>
      <c r="AA720" s="1041"/>
      <c r="AB720" s="1042"/>
      <c r="AG720" s="1175"/>
    </row>
    <row r="721" spans="1:33">
      <c r="A721" s="1190"/>
      <c r="AB721" s="1044"/>
      <c r="AG721" s="1175"/>
    </row>
    <row r="722" spans="1:33">
      <c r="A722" s="1190"/>
      <c r="AB722" s="1044"/>
      <c r="AG722" s="1175"/>
    </row>
    <row r="723" spans="1:33">
      <c r="A723" s="1190"/>
      <c r="AB723" s="1044"/>
      <c r="AG723" s="1175"/>
    </row>
    <row r="724" spans="1:33">
      <c r="A724" s="1190"/>
      <c r="AB724" s="1044"/>
      <c r="AG724" s="1175"/>
    </row>
    <row r="725" spans="1:33">
      <c r="A725" s="1190"/>
      <c r="AB725" s="1044"/>
      <c r="AG725" s="1175"/>
    </row>
    <row r="726" spans="1:33">
      <c r="A726" s="1190"/>
      <c r="AB726" s="1044"/>
      <c r="AG726" s="1175"/>
    </row>
    <row r="727" spans="1:33">
      <c r="A727" s="1190"/>
      <c r="AB727" s="1044"/>
      <c r="AG727" s="1175"/>
    </row>
    <row r="728" spans="1:33">
      <c r="A728" s="1190"/>
      <c r="AB728" s="1044"/>
      <c r="AG728" s="1175"/>
    </row>
    <row r="729" spans="1:33">
      <c r="A729" s="1190"/>
      <c r="AB729" s="1044"/>
      <c r="AG729" s="1175"/>
    </row>
    <row r="730" spans="1:33">
      <c r="A730" s="1190"/>
      <c r="AB730" s="1044"/>
      <c r="AG730" s="1175"/>
    </row>
    <row r="731" spans="1:33">
      <c r="A731" s="1190"/>
      <c r="AB731" s="1044"/>
      <c r="AG731" s="1175"/>
    </row>
    <row r="732" spans="1:33">
      <c r="A732" s="1190"/>
      <c r="AB732" s="1044"/>
      <c r="AG732" s="1175"/>
    </row>
    <row r="733" spans="1:33">
      <c r="A733" s="1190"/>
      <c r="AB733" s="1044"/>
      <c r="AG733" s="1175"/>
    </row>
    <row r="734" spans="1:33">
      <c r="A734" s="1190"/>
      <c r="AB734" s="1044"/>
      <c r="AG734" s="1175"/>
    </row>
    <row r="735" spans="1:33">
      <c r="A735" s="1190"/>
      <c r="AB735" s="1044"/>
      <c r="AG735" s="1175"/>
    </row>
    <row r="736" spans="1:33">
      <c r="A736" s="1190"/>
      <c r="AB736" s="1044"/>
      <c r="AG736" s="1175"/>
    </row>
    <row r="737" spans="1:33">
      <c r="A737" s="1190"/>
      <c r="AB737" s="1044"/>
      <c r="AG737" s="1175"/>
    </row>
    <row r="738" spans="1:33">
      <c r="A738" s="1190"/>
      <c r="AB738" s="1044"/>
      <c r="AG738" s="1175"/>
    </row>
    <row r="739" spans="1:33">
      <c r="A739" s="1190"/>
      <c r="AB739" s="1044"/>
      <c r="AG739" s="1175"/>
    </row>
    <row r="740" spans="1:33">
      <c r="A740" s="1190"/>
      <c r="AB740" s="1044"/>
      <c r="AG740" s="1175"/>
    </row>
    <row r="741" spans="1:33">
      <c r="A741" s="1190"/>
      <c r="AB741" s="1044"/>
      <c r="AG741" s="1175"/>
    </row>
    <row r="742" spans="1:33">
      <c r="A742" s="1190"/>
      <c r="AB742" s="1044"/>
      <c r="AG742" s="1175"/>
    </row>
    <row r="743" spans="1:33">
      <c r="A743" s="1190"/>
      <c r="AB743" s="1044"/>
      <c r="AG743" s="1175"/>
    </row>
    <row r="744" spans="1:33">
      <c r="A744" s="1190"/>
      <c r="AB744" s="1044"/>
      <c r="AG744" s="1175"/>
    </row>
    <row r="745" spans="1:33">
      <c r="A745" s="1190"/>
      <c r="AB745" s="1044"/>
      <c r="AG745" s="1175"/>
    </row>
    <row r="746" spans="1:33">
      <c r="A746" s="1190"/>
      <c r="AB746" s="1044"/>
      <c r="AG746" s="1175"/>
    </row>
    <row r="747" spans="1:33">
      <c r="A747" s="1045" t="s">
        <v>371</v>
      </c>
      <c r="B747" s="1046"/>
      <c r="C747" s="1046"/>
      <c r="D747" s="1046"/>
      <c r="E747" s="1046"/>
      <c r="F747" s="1046"/>
      <c r="G747" s="1046"/>
      <c r="H747" s="1046"/>
      <c r="I747" s="1046"/>
      <c r="J747" s="1046"/>
      <c r="K747" s="1046"/>
      <c r="L747" s="1046"/>
      <c r="M747" s="1046"/>
      <c r="N747" s="1046"/>
      <c r="O747" s="1046"/>
      <c r="P747" s="1046"/>
      <c r="Q747" s="1046"/>
      <c r="R747" s="1046"/>
      <c r="S747" s="1046"/>
      <c r="T747" s="1046"/>
      <c r="U747" s="1046"/>
      <c r="V747" s="1046"/>
      <c r="W747" s="1046"/>
      <c r="X747" s="1046"/>
      <c r="Y747" s="1046"/>
      <c r="Z747" s="1046"/>
      <c r="AA747" s="1046"/>
      <c r="AB747" s="1047"/>
      <c r="AG747" s="1175"/>
    </row>
    <row r="748" ht="16.2" customHeight="1" spans="1:33">
      <c r="A748" s="1101" t="s">
        <v>205</v>
      </c>
      <c r="B748" s="1102"/>
      <c r="C748" s="1102"/>
      <c r="D748" s="1103"/>
      <c r="E748" s="1104" t="s">
        <v>235</v>
      </c>
      <c r="F748" s="1102"/>
      <c r="G748" s="1102"/>
      <c r="H748" s="1103"/>
      <c r="I748" s="1104" t="s">
        <v>236</v>
      </c>
      <c r="J748" s="1102"/>
      <c r="K748" s="1102"/>
      <c r="L748" s="1103"/>
      <c r="M748" s="1104" t="s">
        <v>254</v>
      </c>
      <c r="N748" s="1102"/>
      <c r="O748" s="1102"/>
      <c r="P748" s="1103"/>
      <c r="Q748" s="1104" t="s">
        <v>255</v>
      </c>
      <c r="R748" s="1102"/>
      <c r="S748" s="1102"/>
      <c r="T748" s="1103"/>
      <c r="U748" s="1196"/>
      <c r="V748" s="1196"/>
      <c r="W748" s="1196"/>
      <c r="X748" s="1196"/>
      <c r="Y748" s="1196" t="s">
        <v>372</v>
      </c>
      <c r="Z748" s="1196"/>
      <c r="AA748" s="1196"/>
      <c r="AB748" s="1197"/>
      <c r="AG748" s="1175"/>
    </row>
    <row r="749" ht="16.2" customHeight="1" spans="1:33">
      <c r="A749" s="1058" t="s">
        <v>360</v>
      </c>
      <c r="B749" s="1059"/>
      <c r="C749" s="1059"/>
      <c r="D749" s="1060"/>
      <c r="E749" s="1061" t="s">
        <v>242</v>
      </c>
      <c r="F749" s="1059"/>
      <c r="G749" s="1059"/>
      <c r="H749" s="1060"/>
      <c r="I749" s="1061" t="s">
        <v>360</v>
      </c>
      <c r="J749" s="1059"/>
      <c r="K749" s="1059"/>
      <c r="L749" s="1060"/>
      <c r="M749" s="1061" t="s">
        <v>362</v>
      </c>
      <c r="N749" s="1059"/>
      <c r="O749" s="1059"/>
      <c r="P749" s="1060"/>
      <c r="Q749" s="1065" t="s">
        <v>373</v>
      </c>
      <c r="R749" s="1066"/>
      <c r="S749" s="1066"/>
      <c r="T749" s="1107"/>
      <c r="U749" s="1196"/>
      <c r="V749" s="1196"/>
      <c r="W749" s="1196"/>
      <c r="X749" s="1196"/>
      <c r="Y749" s="1196"/>
      <c r="Z749" s="1196"/>
      <c r="AA749" s="1196"/>
      <c r="AB749" s="1197"/>
      <c r="AG749" s="1175"/>
    </row>
    <row r="750" spans="1:33">
      <c r="A750" s="1122">
        <v>1.2</v>
      </c>
      <c r="B750" s="1073"/>
      <c r="C750" s="1073"/>
      <c r="D750" s="1073"/>
      <c r="E750" s="1073">
        <v>4</v>
      </c>
      <c r="F750" s="1073"/>
      <c r="G750" s="1073"/>
      <c r="H750" s="1073"/>
      <c r="I750" s="1073">
        <v>1.2</v>
      </c>
      <c r="J750" s="1073"/>
      <c r="K750" s="1073"/>
      <c r="L750" s="1073"/>
      <c r="M750" s="1073">
        <v>0.45</v>
      </c>
      <c r="N750" s="1073"/>
      <c r="O750" s="1073"/>
      <c r="P750" s="1073"/>
      <c r="Q750" s="1073">
        <v>0.15</v>
      </c>
      <c r="R750" s="1073"/>
      <c r="S750" s="1073"/>
      <c r="T750" s="1073"/>
      <c r="U750" s="1073"/>
      <c r="V750" s="1073"/>
      <c r="W750" s="1073"/>
      <c r="X750" s="1073"/>
      <c r="Y750" s="1073">
        <f>ROUNDUP(((((($A750^2)+($M750^2))^0.5)*$Q750)*($E750+$I750)),2)</f>
        <v>1</v>
      </c>
      <c r="Z750" s="1073"/>
      <c r="AA750" s="1073"/>
      <c r="AB750" s="1193"/>
      <c r="AG750" s="1175"/>
    </row>
    <row r="751" customHeight="1" spans="1:33">
      <c r="A751" s="1083"/>
      <c r="AB751" s="1044"/>
      <c r="AG751" s="1175"/>
    </row>
    <row r="752" ht="17.25" spans="1:33">
      <c r="A752" s="1079" t="s">
        <v>374</v>
      </c>
      <c r="B752" s="1080"/>
      <c r="C752" s="1080"/>
      <c r="D752" s="1080"/>
      <c r="E752" s="1080"/>
      <c r="F752" s="1080"/>
      <c r="G752" s="1080"/>
      <c r="H752" s="1080"/>
      <c r="I752" s="1080"/>
      <c r="J752" s="1080"/>
      <c r="K752" s="1080"/>
      <c r="L752" s="1080"/>
      <c r="M752" s="1080"/>
      <c r="N752" s="1080"/>
      <c r="O752" s="1080"/>
      <c r="P752" s="1080"/>
      <c r="Q752" s="1080"/>
      <c r="R752" s="1080"/>
      <c r="S752" s="1080"/>
      <c r="T752" s="1080"/>
      <c r="U752" s="1080"/>
      <c r="V752" s="1080"/>
      <c r="W752" s="1080"/>
      <c r="X752" s="1080"/>
      <c r="Y752" s="1080"/>
      <c r="Z752" s="1080"/>
      <c r="AA752" s="1080"/>
      <c r="AB752" s="1081"/>
      <c r="AC752" s="1175"/>
      <c r="AG752" s="1175"/>
    </row>
    <row r="753" spans="1:33">
      <c r="A753" s="1083"/>
      <c r="AB753" s="1044"/>
      <c r="AG753" s="1175"/>
    </row>
    <row r="754" spans="1:33">
      <c r="A754" s="1045" t="s">
        <v>375</v>
      </c>
      <c r="B754" s="1046"/>
      <c r="C754" s="1046"/>
      <c r="D754" s="1046"/>
      <c r="E754" s="1046"/>
      <c r="F754" s="1046"/>
      <c r="G754" s="1046"/>
      <c r="H754" s="1046"/>
      <c r="I754" s="1046"/>
      <c r="J754" s="1046"/>
      <c r="K754" s="1046"/>
      <c r="L754" s="1046"/>
      <c r="M754" s="1046"/>
      <c r="N754" s="1046"/>
      <c r="O754" s="1046"/>
      <c r="P754" s="1046"/>
      <c r="Q754" s="1046"/>
      <c r="R754" s="1046"/>
      <c r="S754" s="1046"/>
      <c r="T754" s="1046"/>
      <c r="U754" s="1046"/>
      <c r="V754" s="1046"/>
      <c r="W754" s="1046"/>
      <c r="X754" s="1046"/>
      <c r="Y754" s="1046"/>
      <c r="Z754" s="1046"/>
      <c r="AA754" s="1046"/>
      <c r="AB754" s="1047"/>
      <c r="AG754" s="1175"/>
    </row>
    <row r="755" ht="14.4" customHeight="1" spans="1:33">
      <c r="A755" s="1101" t="s">
        <v>237</v>
      </c>
      <c r="B755" s="1102"/>
      <c r="C755" s="1102"/>
      <c r="D755" s="1103"/>
      <c r="E755" s="1104" t="s">
        <v>238</v>
      </c>
      <c r="F755" s="1102"/>
      <c r="G755" s="1102"/>
      <c r="H755" s="1103"/>
      <c r="I755" s="1104" t="s">
        <v>247</v>
      </c>
      <c r="J755" s="1102"/>
      <c r="K755" s="1102"/>
      <c r="L755" s="1103"/>
      <c r="M755" s="1104" t="s">
        <v>254</v>
      </c>
      <c r="N755" s="1102"/>
      <c r="O755" s="1102"/>
      <c r="P755" s="1103"/>
      <c r="Q755" s="1104" t="s">
        <v>255</v>
      </c>
      <c r="R755" s="1102"/>
      <c r="S755" s="1102"/>
      <c r="T755" s="1103"/>
      <c r="U755" s="1196"/>
      <c r="V755" s="1196"/>
      <c r="W755" s="1196"/>
      <c r="X755" s="1196"/>
      <c r="Y755" s="1196" t="s">
        <v>372</v>
      </c>
      <c r="Z755" s="1196"/>
      <c r="AA755" s="1196"/>
      <c r="AB755" s="1197"/>
      <c r="AG755" s="1175"/>
    </row>
    <row r="756" ht="14.4" customHeight="1" spans="1:33">
      <c r="A756" s="1058" t="s">
        <v>360</v>
      </c>
      <c r="B756" s="1059"/>
      <c r="C756" s="1059"/>
      <c r="D756" s="1060"/>
      <c r="E756" s="1061" t="s">
        <v>242</v>
      </c>
      <c r="F756" s="1059"/>
      <c r="G756" s="1059"/>
      <c r="H756" s="1060"/>
      <c r="I756" s="1061" t="s">
        <v>360</v>
      </c>
      <c r="J756" s="1059"/>
      <c r="K756" s="1059"/>
      <c r="L756" s="1060"/>
      <c r="M756" s="1061" t="s">
        <v>362</v>
      </c>
      <c r="N756" s="1059"/>
      <c r="O756" s="1059"/>
      <c r="P756" s="1060"/>
      <c r="Q756" s="1065" t="s">
        <v>373</v>
      </c>
      <c r="R756" s="1066"/>
      <c r="S756" s="1066"/>
      <c r="T756" s="1107"/>
      <c r="U756" s="1196"/>
      <c r="V756" s="1196"/>
      <c r="W756" s="1196"/>
      <c r="X756" s="1196"/>
      <c r="Y756" s="1196"/>
      <c r="Z756" s="1196"/>
      <c r="AA756" s="1196"/>
      <c r="AB756" s="1197"/>
      <c r="AG756" s="1175"/>
    </row>
    <row r="757" spans="1:33">
      <c r="A757" s="1122">
        <v>1.2</v>
      </c>
      <c r="B757" s="1073"/>
      <c r="C757" s="1073"/>
      <c r="D757" s="1073"/>
      <c r="E757" s="1073">
        <v>4</v>
      </c>
      <c r="F757" s="1073"/>
      <c r="G757" s="1073"/>
      <c r="H757" s="1073"/>
      <c r="I757" s="1073">
        <v>1.2</v>
      </c>
      <c r="J757" s="1073"/>
      <c r="K757" s="1073"/>
      <c r="L757" s="1073"/>
      <c r="M757" s="1073">
        <v>0.45</v>
      </c>
      <c r="N757" s="1073"/>
      <c r="O757" s="1073"/>
      <c r="P757" s="1073"/>
      <c r="Q757" s="1073">
        <v>0.15</v>
      </c>
      <c r="R757" s="1073"/>
      <c r="S757" s="1073"/>
      <c r="T757" s="1073"/>
      <c r="U757" s="1073"/>
      <c r="V757" s="1073"/>
      <c r="W757" s="1073"/>
      <c r="X757" s="1073"/>
      <c r="Y757" s="1073">
        <f>ROUNDUP(((((($A757^2)+($M757^2))^0.5)*$Q757)*($E757+$I757)),2)</f>
        <v>1</v>
      </c>
      <c r="Z757" s="1073"/>
      <c r="AA757" s="1073"/>
      <c r="AB757" s="1193"/>
      <c r="AG757" s="1175"/>
    </row>
    <row r="758" ht="15.75" spans="1:33">
      <c r="A758" s="1083"/>
      <c r="AB758" s="1044"/>
      <c r="AG758" s="1175"/>
    </row>
    <row r="759" ht="17.25" spans="1:33">
      <c r="A759" s="1079" t="s">
        <v>376</v>
      </c>
      <c r="B759" s="1080"/>
      <c r="C759" s="1080"/>
      <c r="D759" s="1080"/>
      <c r="E759" s="1080"/>
      <c r="F759" s="1080"/>
      <c r="G759" s="1080"/>
      <c r="H759" s="1080"/>
      <c r="I759" s="1080"/>
      <c r="J759" s="1080"/>
      <c r="K759" s="1080"/>
      <c r="L759" s="1080"/>
      <c r="M759" s="1080"/>
      <c r="N759" s="1080"/>
      <c r="O759" s="1080"/>
      <c r="P759" s="1080"/>
      <c r="Q759" s="1080"/>
      <c r="R759" s="1080"/>
      <c r="S759" s="1080"/>
      <c r="T759" s="1080"/>
      <c r="U759" s="1080"/>
      <c r="V759" s="1080"/>
      <c r="W759" s="1080"/>
      <c r="X759" s="1080"/>
      <c r="Y759" s="1080"/>
      <c r="Z759" s="1080"/>
      <c r="AA759" s="1080"/>
      <c r="AB759" s="1081"/>
      <c r="AC759" s="1175"/>
      <c r="AG759" s="1175"/>
    </row>
    <row r="760" spans="1:33">
      <c r="A760" s="1083"/>
      <c r="E760" s="1130"/>
      <c r="F760" s="1130"/>
      <c r="G760" s="1130"/>
      <c r="H760" s="1130"/>
      <c r="I760" s="1130"/>
      <c r="J760" s="1130"/>
      <c r="K760" s="1130"/>
      <c r="L760" s="1130"/>
      <c r="AB760" s="1044"/>
      <c r="AG760" s="1175"/>
    </row>
    <row r="761" spans="1:33">
      <c r="A761" s="1099" t="s">
        <v>377</v>
      </c>
      <c r="B761" s="424"/>
      <c r="C761" s="424"/>
      <c r="D761" s="424"/>
      <c r="E761" s="424"/>
      <c r="F761" s="424"/>
      <c r="G761" s="424"/>
      <c r="H761" s="424"/>
      <c r="I761" s="424"/>
      <c r="J761" s="424"/>
      <c r="K761" s="424"/>
      <c r="L761" s="424"/>
      <c r="M761" s="424"/>
      <c r="N761" s="424"/>
      <c r="O761" s="424"/>
      <c r="P761" s="424"/>
      <c r="Q761" s="424"/>
      <c r="R761" s="424"/>
      <c r="S761" s="424"/>
      <c r="T761" s="424"/>
      <c r="U761" s="424"/>
      <c r="V761" s="424"/>
      <c r="W761" s="424"/>
      <c r="X761" s="1198"/>
      <c r="AB761" s="1044"/>
      <c r="AG761" s="1175"/>
    </row>
    <row r="762" ht="14.4" customHeight="1" spans="1:33">
      <c r="A762" s="1101" t="s">
        <v>249</v>
      </c>
      <c r="B762" s="1102"/>
      <c r="C762" s="1102"/>
      <c r="D762" s="1103"/>
      <c r="E762" s="1104" t="s">
        <v>252</v>
      </c>
      <c r="F762" s="1102"/>
      <c r="G762" s="1102"/>
      <c r="H762" s="1103"/>
      <c r="I762" s="1051" t="s">
        <v>254</v>
      </c>
      <c r="J762" s="1049"/>
      <c r="K762" s="1049"/>
      <c r="L762" s="1050"/>
      <c r="M762" s="1104" t="s">
        <v>255</v>
      </c>
      <c r="N762" s="1102"/>
      <c r="O762" s="1102"/>
      <c r="P762" s="1103"/>
      <c r="Q762" s="1196"/>
      <c r="R762" s="1196"/>
      <c r="S762" s="1196"/>
      <c r="T762" s="1196"/>
      <c r="U762" s="1196"/>
      <c r="V762" s="1196"/>
      <c r="W762" s="1196"/>
      <c r="X762" s="1196"/>
      <c r="Y762" s="1196" t="s">
        <v>372</v>
      </c>
      <c r="Z762" s="1196"/>
      <c r="AA762" s="1196"/>
      <c r="AB762" s="1197"/>
      <c r="AG762" s="1175"/>
    </row>
    <row r="763" ht="14.4" customHeight="1" spans="1:33">
      <c r="A763" s="1058" t="s">
        <v>360</v>
      </c>
      <c r="B763" s="1059"/>
      <c r="C763" s="1059"/>
      <c r="D763" s="1060"/>
      <c r="E763" s="1061" t="s">
        <v>257</v>
      </c>
      <c r="F763" s="1059"/>
      <c r="G763" s="1059"/>
      <c r="H763" s="1060"/>
      <c r="I763" s="1061" t="s">
        <v>362</v>
      </c>
      <c r="J763" s="1059"/>
      <c r="K763" s="1059"/>
      <c r="L763" s="1060"/>
      <c r="M763" s="1065" t="s">
        <v>373</v>
      </c>
      <c r="N763" s="1066"/>
      <c r="O763" s="1066"/>
      <c r="P763" s="1107"/>
      <c r="Q763" s="1196"/>
      <c r="R763" s="1196"/>
      <c r="S763" s="1196"/>
      <c r="T763" s="1196"/>
      <c r="U763" s="1196"/>
      <c r="V763" s="1196"/>
      <c r="W763" s="1196"/>
      <c r="X763" s="1196"/>
      <c r="Y763" s="1196"/>
      <c r="Z763" s="1196"/>
      <c r="AA763" s="1196"/>
      <c r="AB763" s="1197"/>
      <c r="AG763" s="1175"/>
    </row>
    <row r="764" spans="1:33">
      <c r="A764" s="1122">
        <v>1.2</v>
      </c>
      <c r="B764" s="1073"/>
      <c r="C764" s="1073"/>
      <c r="D764" s="1073"/>
      <c r="E764" s="1073">
        <v>6</v>
      </c>
      <c r="F764" s="1073"/>
      <c r="G764" s="1073"/>
      <c r="H764" s="1073"/>
      <c r="I764" s="1199">
        <v>0.45</v>
      </c>
      <c r="J764" s="1178"/>
      <c r="K764" s="1178"/>
      <c r="L764" s="1179"/>
      <c r="M764" s="1073">
        <v>0.15</v>
      </c>
      <c r="N764" s="1073"/>
      <c r="O764" s="1073"/>
      <c r="P764" s="1073"/>
      <c r="Q764" s="1073"/>
      <c r="R764" s="1073"/>
      <c r="S764" s="1073"/>
      <c r="T764" s="1073"/>
      <c r="U764" s="1073"/>
      <c r="V764" s="1073"/>
      <c r="W764" s="1073"/>
      <c r="X764" s="1073"/>
      <c r="Y764" s="1073">
        <f>ROUNDUP(((((($A764^2)+($I764^2))^0.5)*$M764)*$E764),2)</f>
        <v>1.16</v>
      </c>
      <c r="Z764" s="1073"/>
      <c r="AA764" s="1073"/>
      <c r="AB764" s="1193"/>
      <c r="AG764" s="1175"/>
    </row>
    <row r="765" ht="15.75" spans="1:33">
      <c r="A765" s="1083"/>
      <c r="AB765" s="1044"/>
      <c r="AG765" s="1175"/>
    </row>
    <row r="766" ht="17.25" spans="1:33">
      <c r="A766" s="1079" t="s">
        <v>378</v>
      </c>
      <c r="B766" s="1080"/>
      <c r="C766" s="1080"/>
      <c r="D766" s="1080"/>
      <c r="E766" s="1080"/>
      <c r="F766" s="1080"/>
      <c r="G766" s="1080"/>
      <c r="H766" s="1080"/>
      <c r="I766" s="1080"/>
      <c r="J766" s="1080"/>
      <c r="K766" s="1080"/>
      <c r="L766" s="1080"/>
      <c r="M766" s="1080"/>
      <c r="N766" s="1080"/>
      <c r="O766" s="1080"/>
      <c r="P766" s="1080"/>
      <c r="Q766" s="1080"/>
      <c r="R766" s="1080"/>
      <c r="S766" s="1080"/>
      <c r="T766" s="1080"/>
      <c r="U766" s="1080"/>
      <c r="V766" s="1080"/>
      <c r="W766" s="1080"/>
      <c r="X766" s="1080"/>
      <c r="Y766" s="1080"/>
      <c r="Z766" s="1080"/>
      <c r="AA766" s="1080"/>
      <c r="AB766" s="1081"/>
      <c r="AC766" s="1175"/>
      <c r="AG766" s="1175"/>
    </row>
    <row r="767" ht="15.75" spans="1:33">
      <c r="A767" s="1083"/>
      <c r="AB767" s="1044"/>
      <c r="AG767" s="1175"/>
    </row>
    <row r="768" spans="1:33">
      <c r="A768" s="1154"/>
      <c r="B768" s="1130"/>
      <c r="C768" s="1130"/>
      <c r="D768" s="1130"/>
      <c r="E768" s="1130"/>
      <c r="F768" s="1130"/>
      <c r="G768" s="1130"/>
      <c r="H768" s="1130"/>
      <c r="K768" s="1084" t="s">
        <v>379</v>
      </c>
      <c r="L768" s="1085"/>
      <c r="M768" s="1085"/>
      <c r="N768" s="1085"/>
      <c r="O768" s="1085"/>
      <c r="P768" s="1085"/>
      <c r="Q768" s="1085"/>
      <c r="R768" s="1085"/>
      <c r="S768" s="1086"/>
      <c r="T768" s="1155"/>
      <c r="AB768" s="1044"/>
    </row>
    <row r="769" spans="1:28">
      <c r="A769" s="1154"/>
      <c r="B769" s="1130"/>
      <c r="C769" s="1130"/>
      <c r="D769" s="1130"/>
      <c r="E769" s="1130"/>
      <c r="F769" s="1130"/>
      <c r="G769" s="1130"/>
      <c r="H769" s="1130"/>
      <c r="K769" s="1087" t="s">
        <v>380</v>
      </c>
      <c r="L769" s="1088"/>
      <c r="M769" s="1088"/>
      <c r="N769" s="1088"/>
      <c r="O769" s="1088"/>
      <c r="P769" s="1088"/>
      <c r="Q769" s="1088"/>
      <c r="R769" s="1088"/>
      <c r="S769" s="1089"/>
      <c r="T769" s="1155"/>
      <c r="AB769" s="1044"/>
    </row>
    <row r="770" spans="1:28">
      <c r="A770" s="1154"/>
      <c r="B770" s="1130"/>
      <c r="C770" s="1130"/>
      <c r="D770" s="1130"/>
      <c r="E770" s="1130"/>
      <c r="F770" s="1130"/>
      <c r="G770" s="1130"/>
      <c r="H770" s="1130"/>
      <c r="K770" s="1090"/>
      <c r="L770" s="1091"/>
      <c r="M770" s="1091"/>
      <c r="N770" s="1091"/>
      <c r="O770" s="1091"/>
      <c r="P770" s="1091"/>
      <c r="Q770" s="1091"/>
      <c r="R770" s="1091"/>
      <c r="S770" s="1092"/>
      <c r="T770" s="1155"/>
      <c r="AB770" s="1044"/>
    </row>
    <row r="771" ht="15.75" spans="1:28">
      <c r="A771" s="1154"/>
      <c r="B771" s="1130"/>
      <c r="C771" s="1130"/>
      <c r="D771" s="1130"/>
      <c r="E771" s="1130"/>
      <c r="F771" s="1130"/>
      <c r="G771" s="1130"/>
      <c r="H771" s="1130"/>
      <c r="K771" s="1186">
        <f>ROUNDUP((Y750+Y757+Y764),2)</f>
        <v>3.16</v>
      </c>
      <c r="L771" s="1187"/>
      <c r="M771" s="1187"/>
      <c r="N771" s="1187"/>
      <c r="O771" s="1187"/>
      <c r="P771" s="1187"/>
      <c r="Q771" s="1187"/>
      <c r="R771" s="1187"/>
      <c r="S771" s="1188"/>
      <c r="T771" s="1155"/>
      <c r="AB771" s="1044"/>
    </row>
    <row r="772" ht="15.75" spans="1:28">
      <c r="A772" s="1189"/>
      <c r="B772" s="1097"/>
      <c r="C772" s="1097"/>
      <c r="D772" s="1097"/>
      <c r="E772" s="1097"/>
      <c r="F772" s="1097"/>
      <c r="G772" s="1097"/>
      <c r="H772" s="1097"/>
      <c r="I772" s="1097"/>
      <c r="J772" s="1097"/>
      <c r="K772" s="1097"/>
      <c r="L772" s="1097"/>
      <c r="M772" s="1128"/>
      <c r="N772" s="1128"/>
      <c r="O772" s="1128"/>
      <c r="P772" s="1128"/>
      <c r="Q772" s="1128"/>
      <c r="R772" s="1128"/>
      <c r="S772" s="1128"/>
      <c r="T772" s="1128"/>
      <c r="U772" s="389"/>
      <c r="V772" s="389"/>
      <c r="W772" s="389"/>
      <c r="X772" s="389"/>
      <c r="Y772" s="389"/>
      <c r="Z772" s="389"/>
      <c r="AA772" s="389"/>
      <c r="AB772" s="1098"/>
    </row>
    <row r="773" spans="1:28">
      <c r="A773" s="1040" t="s">
        <v>381</v>
      </c>
      <c r="B773" s="1041"/>
      <c r="C773" s="1041"/>
      <c r="D773" s="1041"/>
      <c r="E773" s="1041"/>
      <c r="F773" s="1041"/>
      <c r="G773" s="1041"/>
      <c r="H773" s="1041"/>
      <c r="I773" s="1041"/>
      <c r="J773" s="1041"/>
      <c r="K773" s="1041"/>
      <c r="L773" s="1041"/>
      <c r="M773" s="1041"/>
      <c r="N773" s="1041"/>
      <c r="O773" s="1041"/>
      <c r="P773" s="1041"/>
      <c r="Q773" s="1041"/>
      <c r="R773" s="1041"/>
      <c r="S773" s="1041"/>
      <c r="T773" s="1041"/>
      <c r="U773" s="1041"/>
      <c r="V773" s="1041"/>
      <c r="W773" s="1041"/>
      <c r="X773" s="1041"/>
      <c r="Y773" s="1041"/>
      <c r="Z773" s="1041"/>
      <c r="AA773" s="1041"/>
      <c r="AB773" s="1042"/>
    </row>
    <row r="774" spans="1:28">
      <c r="A774" s="1083"/>
      <c r="AB774" s="1044"/>
    </row>
    <row r="775" spans="1:28">
      <c r="A775" s="1083"/>
      <c r="AB775" s="1044"/>
    </row>
    <row r="776" spans="1:28">
      <c r="A776" s="1083"/>
      <c r="AB776" s="1044"/>
    </row>
    <row r="777" spans="1:28">
      <c r="A777" s="1083"/>
      <c r="AB777" s="1044"/>
    </row>
    <row r="778" spans="1:28">
      <c r="A778" s="1083"/>
      <c r="AB778" s="1044"/>
    </row>
    <row r="779" spans="1:28">
      <c r="A779" s="1083"/>
      <c r="AB779" s="1044"/>
    </row>
    <row r="780" spans="1:28">
      <c r="A780" s="1083"/>
      <c r="AB780" s="1044"/>
    </row>
    <row r="781" spans="1:28">
      <c r="A781" s="1083"/>
      <c r="AB781" s="1044"/>
    </row>
    <row r="782" spans="1:28">
      <c r="A782" s="1083"/>
      <c r="AB782" s="1044"/>
    </row>
    <row r="783" spans="1:28">
      <c r="A783" s="1083"/>
      <c r="AB783" s="1044"/>
    </row>
    <row r="784" spans="1:28">
      <c r="A784" s="1083"/>
      <c r="AB784" s="1044"/>
    </row>
    <row r="785" spans="1:28">
      <c r="A785" s="1083"/>
      <c r="AB785" s="1044"/>
    </row>
    <row r="786" spans="1:28">
      <c r="A786" s="1083"/>
      <c r="AB786" s="1044"/>
    </row>
    <row r="787" spans="1:28">
      <c r="A787" s="1083"/>
      <c r="AB787" s="1044"/>
    </row>
    <row r="788" spans="1:28">
      <c r="A788" s="1083"/>
      <c r="AB788" s="1044"/>
    </row>
    <row r="789" spans="1:28">
      <c r="A789" s="1083"/>
      <c r="AB789" s="1044"/>
    </row>
    <row r="790" spans="1:28">
      <c r="A790" s="1099" t="s">
        <v>313</v>
      </c>
      <c r="B790" s="424"/>
      <c r="C790" s="424"/>
      <c r="D790" s="424"/>
      <c r="E790" s="424"/>
      <c r="F790" s="424"/>
      <c r="G790" s="424"/>
      <c r="H790" s="424"/>
      <c r="I790" s="424"/>
      <c r="J790" s="424"/>
      <c r="K790" s="424"/>
      <c r="L790" s="424"/>
      <c r="M790" s="424"/>
      <c r="N790" s="424"/>
      <c r="O790" s="424"/>
      <c r="P790" s="424"/>
      <c r="Q790" s="424"/>
      <c r="R790" s="424"/>
      <c r="S790" s="424"/>
      <c r="T790" s="424"/>
      <c r="U790" s="424"/>
      <c r="V790" s="424"/>
      <c r="W790" s="424"/>
      <c r="X790" s="424"/>
      <c r="Y790" s="424"/>
      <c r="Z790" s="424"/>
      <c r="AA790" s="424"/>
      <c r="AB790" s="1100"/>
    </row>
    <row r="791" spans="1:28">
      <c r="A791" s="1101" t="s">
        <v>205</v>
      </c>
      <c r="B791" s="1102"/>
      <c r="C791" s="1102"/>
      <c r="D791" s="1103"/>
      <c r="E791" s="1104" t="s">
        <v>206</v>
      </c>
      <c r="F791" s="1102"/>
      <c r="G791" s="1102"/>
      <c r="H791" s="1103"/>
      <c r="I791" s="1104" t="s">
        <v>235</v>
      </c>
      <c r="J791" s="1102"/>
      <c r="K791" s="1102"/>
      <c r="L791" s="1103"/>
      <c r="M791" s="1052"/>
      <c r="N791" s="1053"/>
      <c r="O791" s="1053"/>
      <c r="P791" s="1054"/>
      <c r="Q791" s="1052"/>
      <c r="R791" s="1053"/>
      <c r="S791" s="1053"/>
      <c r="T791" s="1054"/>
      <c r="U791" s="1200"/>
      <c r="V791" s="1201"/>
      <c r="W791" s="1201"/>
      <c r="X791" s="1202"/>
      <c r="Y791" s="1055" t="s">
        <v>382</v>
      </c>
      <c r="Z791" s="1056"/>
      <c r="AA791" s="1056"/>
      <c r="AB791" s="1057"/>
    </row>
    <row r="792" spans="1:28">
      <c r="A792" s="1058" t="s">
        <v>209</v>
      </c>
      <c r="B792" s="1059"/>
      <c r="C792" s="1059"/>
      <c r="D792" s="1060"/>
      <c r="E792" s="1061" t="s">
        <v>315</v>
      </c>
      <c r="F792" s="1059"/>
      <c r="G792" s="1059"/>
      <c r="H792" s="1060"/>
      <c r="I792" s="1061" t="s">
        <v>210</v>
      </c>
      <c r="J792" s="1059"/>
      <c r="K792" s="1059"/>
      <c r="L792" s="1060"/>
      <c r="M792" s="1062"/>
      <c r="N792" s="1063"/>
      <c r="O792" s="1063"/>
      <c r="P792" s="1064"/>
      <c r="Q792" s="1062"/>
      <c r="R792" s="1063"/>
      <c r="S792" s="1063"/>
      <c r="T792" s="1064"/>
      <c r="U792" s="1203"/>
      <c r="V792" s="1204"/>
      <c r="W792" s="1204"/>
      <c r="X792" s="1205"/>
      <c r="Y792" s="1065"/>
      <c r="Z792" s="1066"/>
      <c r="AA792" s="1066"/>
      <c r="AB792" s="1067"/>
    </row>
    <row r="793" ht="15.75" spans="1:28">
      <c r="A793" s="1109">
        <v>4</v>
      </c>
      <c r="B793" s="1110"/>
      <c r="C793" s="1110"/>
      <c r="D793" s="1110"/>
      <c r="E793" s="1110">
        <v>0.4</v>
      </c>
      <c r="F793" s="1110"/>
      <c r="G793" s="1110"/>
      <c r="H793" s="1110"/>
      <c r="I793" s="1110">
        <v>6.24</v>
      </c>
      <c r="J793" s="1110"/>
      <c r="K793" s="1110"/>
      <c r="L793" s="1110"/>
      <c r="M793" s="1074"/>
      <c r="N793" s="1075"/>
      <c r="O793" s="1075"/>
      <c r="P793" s="1076"/>
      <c r="Q793" s="1074"/>
      <c r="R793" s="1075"/>
      <c r="S793" s="1075"/>
      <c r="T793" s="1076"/>
      <c r="U793" s="1206"/>
      <c r="V793" s="1206"/>
      <c r="W793" s="1206"/>
      <c r="X793" s="1206"/>
      <c r="Y793" s="1077">
        <f>$A$404*$E$404*$I$404</f>
        <v>9.984</v>
      </c>
      <c r="Z793" s="1077"/>
      <c r="AA793" s="1077"/>
      <c r="AB793" s="1078"/>
    </row>
    <row r="794" ht="17.25" spans="1:28">
      <c r="A794" s="1079" t="s">
        <v>316</v>
      </c>
      <c r="B794" s="1080"/>
      <c r="C794" s="1080"/>
      <c r="D794" s="1080"/>
      <c r="E794" s="1080"/>
      <c r="F794" s="1080"/>
      <c r="G794" s="1080"/>
      <c r="H794" s="1080"/>
      <c r="I794" s="1080"/>
      <c r="J794" s="1080"/>
      <c r="K794" s="1080"/>
      <c r="L794" s="1080"/>
      <c r="M794" s="1080"/>
      <c r="N794" s="1080"/>
      <c r="O794" s="1080"/>
      <c r="P794" s="1080"/>
      <c r="Q794" s="1080"/>
      <c r="R794" s="1080"/>
      <c r="S794" s="1080"/>
      <c r="T794" s="1080"/>
      <c r="U794" s="1080"/>
      <c r="V794" s="1080"/>
      <c r="W794" s="1080"/>
      <c r="X794" s="1080"/>
      <c r="Y794" s="1080"/>
      <c r="Z794" s="1080"/>
      <c r="AA794" s="1080"/>
      <c r="AB794" s="1081"/>
    </row>
    <row r="795" spans="1:28">
      <c r="A795" s="1083"/>
      <c r="AB795" s="1044"/>
    </row>
    <row r="796" spans="1:28">
      <c r="A796" s="1099" t="s">
        <v>317</v>
      </c>
      <c r="B796" s="424"/>
      <c r="C796" s="424"/>
      <c r="D796" s="424"/>
      <c r="E796" s="424"/>
      <c r="F796" s="424"/>
      <c r="G796" s="424"/>
      <c r="H796" s="424"/>
      <c r="I796" s="424"/>
      <c r="J796" s="424"/>
      <c r="K796" s="424"/>
      <c r="L796" s="424"/>
      <c r="M796" s="424"/>
      <c r="N796" s="424"/>
      <c r="O796" s="424"/>
      <c r="P796" s="424"/>
      <c r="Q796" s="424"/>
      <c r="R796" s="424"/>
      <c r="S796" s="424"/>
      <c r="T796" s="424"/>
      <c r="U796" s="424"/>
      <c r="V796" s="424"/>
      <c r="W796" s="424"/>
      <c r="X796" s="424"/>
      <c r="Y796" s="424"/>
      <c r="Z796" s="424"/>
      <c r="AA796" s="424"/>
      <c r="AB796" s="1100"/>
    </row>
    <row r="797" ht="14.4" customHeight="1" spans="1:28">
      <c r="A797" s="1101" t="s">
        <v>249</v>
      </c>
      <c r="B797" s="1102"/>
      <c r="C797" s="1102"/>
      <c r="D797" s="1103"/>
      <c r="E797" s="1104" t="s">
        <v>252</v>
      </c>
      <c r="F797" s="1102"/>
      <c r="G797" s="1102"/>
      <c r="H797" s="1103"/>
      <c r="I797" s="1104" t="s">
        <v>253</v>
      </c>
      <c r="J797" s="1102"/>
      <c r="K797" s="1102"/>
      <c r="L797" s="1103"/>
      <c r="M797" s="1052"/>
      <c r="N797" s="1053"/>
      <c r="O797" s="1053"/>
      <c r="P797" s="1054"/>
      <c r="Q797" s="1104"/>
      <c r="R797" s="1102"/>
      <c r="S797" s="1102"/>
      <c r="T797" s="1103"/>
      <c r="U797" s="1055"/>
      <c r="V797" s="1056"/>
      <c r="W797" s="1056"/>
      <c r="X797" s="1105"/>
      <c r="Y797" s="1055" t="s">
        <v>382</v>
      </c>
      <c r="Z797" s="1056"/>
      <c r="AA797" s="1056"/>
      <c r="AB797" s="1057"/>
    </row>
    <row r="798" spans="1:28">
      <c r="A798" s="1058" t="s">
        <v>209</v>
      </c>
      <c r="B798" s="1059"/>
      <c r="C798" s="1059"/>
      <c r="D798" s="1060"/>
      <c r="E798" s="1061" t="s">
        <v>315</v>
      </c>
      <c r="F798" s="1059"/>
      <c r="G798" s="1059"/>
      <c r="H798" s="1060"/>
      <c r="I798" s="1061" t="s">
        <v>210</v>
      </c>
      <c r="J798" s="1059"/>
      <c r="K798" s="1059"/>
      <c r="L798" s="1060"/>
      <c r="M798" s="1062"/>
      <c r="N798" s="1063"/>
      <c r="O798" s="1063"/>
      <c r="P798" s="1064"/>
      <c r="Q798" s="1061"/>
      <c r="R798" s="1059"/>
      <c r="S798" s="1059"/>
      <c r="T798" s="1060"/>
      <c r="U798" s="1065"/>
      <c r="V798" s="1066"/>
      <c r="W798" s="1066"/>
      <c r="X798" s="1107"/>
      <c r="Y798" s="1065"/>
      <c r="Z798" s="1066"/>
      <c r="AA798" s="1066"/>
      <c r="AB798" s="1067"/>
    </row>
    <row r="799" ht="15.75" spans="1:28">
      <c r="A799" s="1109">
        <v>4</v>
      </c>
      <c r="B799" s="1110"/>
      <c r="C799" s="1110"/>
      <c r="D799" s="1110"/>
      <c r="E799" s="1110">
        <v>0.4</v>
      </c>
      <c r="F799" s="1110"/>
      <c r="G799" s="1110"/>
      <c r="H799" s="1110"/>
      <c r="I799" s="1110">
        <v>6.24</v>
      </c>
      <c r="J799" s="1110"/>
      <c r="K799" s="1110"/>
      <c r="L799" s="1110"/>
      <c r="M799" s="1074"/>
      <c r="N799" s="1075"/>
      <c r="O799" s="1075"/>
      <c r="P799" s="1076"/>
      <c r="Q799" s="1151"/>
      <c r="R799" s="1152"/>
      <c r="S799" s="1152"/>
      <c r="T799" s="1153"/>
      <c r="U799" s="1077"/>
      <c r="V799" s="1077"/>
      <c r="W799" s="1077"/>
      <c r="X799" s="1077"/>
      <c r="Y799" s="1077">
        <f>$A$410*$E$410*$I$410</f>
        <v>9.984</v>
      </c>
      <c r="Z799" s="1077"/>
      <c r="AA799" s="1077"/>
      <c r="AB799" s="1078"/>
    </row>
    <row r="800" ht="17.25" spans="1:28">
      <c r="A800" s="1079" t="s">
        <v>318</v>
      </c>
      <c r="B800" s="1080"/>
      <c r="C800" s="1080"/>
      <c r="D800" s="1080"/>
      <c r="E800" s="1080"/>
      <c r="F800" s="1080"/>
      <c r="G800" s="1080"/>
      <c r="H800" s="1080"/>
      <c r="I800" s="1080"/>
      <c r="J800" s="1080"/>
      <c r="K800" s="1080"/>
      <c r="L800" s="1080"/>
      <c r="M800" s="1080"/>
      <c r="N800" s="1080"/>
      <c r="O800" s="1080"/>
      <c r="P800" s="1080"/>
      <c r="Q800" s="1080"/>
      <c r="R800" s="1080"/>
      <c r="S800" s="1080"/>
      <c r="T800" s="1080"/>
      <c r="U800" s="1080"/>
      <c r="V800" s="1080"/>
      <c r="W800" s="1080"/>
      <c r="X800" s="1080"/>
      <c r="Y800" s="1080"/>
      <c r="Z800" s="1080"/>
      <c r="AA800" s="1080"/>
      <c r="AB800" s="1081"/>
    </row>
    <row r="801" spans="1:28">
      <c r="A801" s="1083"/>
      <c r="AB801" s="1044"/>
    </row>
    <row r="802" spans="1:28">
      <c r="A802" s="1099" t="s">
        <v>319</v>
      </c>
      <c r="B802" s="424"/>
      <c r="C802" s="424"/>
      <c r="D802" s="424"/>
      <c r="E802" s="424"/>
      <c r="F802" s="424"/>
      <c r="G802" s="424"/>
      <c r="H802" s="424"/>
      <c r="I802" s="424"/>
      <c r="J802" s="424"/>
      <c r="K802" s="424"/>
      <c r="L802" s="424"/>
      <c r="M802" s="424"/>
      <c r="N802" s="424"/>
      <c r="O802" s="424"/>
      <c r="P802" s="424"/>
      <c r="Q802" s="424"/>
      <c r="R802" s="424"/>
      <c r="S802" s="424"/>
      <c r="T802" s="424"/>
      <c r="U802" s="424"/>
      <c r="V802" s="424"/>
      <c r="W802" s="424"/>
      <c r="X802" s="424"/>
      <c r="Y802" s="424"/>
      <c r="Z802" s="424"/>
      <c r="AA802" s="424"/>
      <c r="AB802" s="1100"/>
    </row>
    <row r="803" customHeight="1" spans="1:28">
      <c r="A803" s="1101" t="s">
        <v>236</v>
      </c>
      <c r="B803" s="1102"/>
      <c r="C803" s="1102"/>
      <c r="D803" s="1103"/>
      <c r="E803" s="1104" t="s">
        <v>237</v>
      </c>
      <c r="F803" s="1102"/>
      <c r="G803" s="1102"/>
      <c r="H803" s="1103"/>
      <c r="I803" s="1104" t="s">
        <v>246</v>
      </c>
      <c r="J803" s="1102"/>
      <c r="K803" s="1102"/>
      <c r="L803" s="1103"/>
      <c r="M803" s="1052"/>
      <c r="N803" s="1053"/>
      <c r="O803" s="1053"/>
      <c r="P803" s="1054"/>
      <c r="Q803" s="1104"/>
      <c r="R803" s="1102"/>
      <c r="S803" s="1102"/>
      <c r="T803" s="1103"/>
      <c r="U803" s="1055"/>
      <c r="V803" s="1056"/>
      <c r="W803" s="1056"/>
      <c r="X803" s="1105"/>
      <c r="Y803" s="1055" t="s">
        <v>382</v>
      </c>
      <c r="Z803" s="1056"/>
      <c r="AA803" s="1056"/>
      <c r="AB803" s="1057"/>
    </row>
    <row r="804" customHeight="1" spans="1:28">
      <c r="A804" s="1058" t="s">
        <v>209</v>
      </c>
      <c r="B804" s="1059"/>
      <c r="C804" s="1059"/>
      <c r="D804" s="1060"/>
      <c r="E804" s="1061" t="s">
        <v>315</v>
      </c>
      <c r="F804" s="1059"/>
      <c r="G804" s="1059"/>
      <c r="H804" s="1060"/>
      <c r="I804" s="1061" t="s">
        <v>210</v>
      </c>
      <c r="J804" s="1059"/>
      <c r="K804" s="1059"/>
      <c r="L804" s="1060"/>
      <c r="M804" s="1062"/>
      <c r="N804" s="1063"/>
      <c r="O804" s="1063"/>
      <c r="P804" s="1064"/>
      <c r="Q804" s="1061"/>
      <c r="R804" s="1059"/>
      <c r="S804" s="1059"/>
      <c r="T804" s="1060"/>
      <c r="U804" s="1065"/>
      <c r="V804" s="1066"/>
      <c r="W804" s="1066"/>
      <c r="X804" s="1107"/>
      <c r="Y804" s="1065"/>
      <c r="Z804" s="1066"/>
      <c r="AA804" s="1066"/>
      <c r="AB804" s="1067"/>
    </row>
    <row r="805" ht="15.75" spans="1:28">
      <c r="A805" s="1109">
        <v>6</v>
      </c>
      <c r="B805" s="1110"/>
      <c r="C805" s="1110"/>
      <c r="D805" s="1110"/>
      <c r="E805" s="1110">
        <v>0.4</v>
      </c>
      <c r="F805" s="1110"/>
      <c r="G805" s="1110"/>
      <c r="H805" s="1110"/>
      <c r="I805" s="1110">
        <v>5</v>
      </c>
      <c r="J805" s="1110"/>
      <c r="K805" s="1110"/>
      <c r="L805" s="1110"/>
      <c r="M805" s="1074"/>
      <c r="N805" s="1075"/>
      <c r="O805" s="1075"/>
      <c r="P805" s="1076"/>
      <c r="Q805" s="1151"/>
      <c r="R805" s="1152"/>
      <c r="S805" s="1152"/>
      <c r="T805" s="1153"/>
      <c r="U805" s="1077"/>
      <c r="V805" s="1077"/>
      <c r="W805" s="1077"/>
      <c r="X805" s="1077"/>
      <c r="Y805" s="1077">
        <f>$A$416*$E$416*$I$416</f>
        <v>12</v>
      </c>
      <c r="Z805" s="1077"/>
      <c r="AA805" s="1077"/>
      <c r="AB805" s="1078"/>
    </row>
    <row r="806" ht="17.25" spans="1:28">
      <c r="A806" s="1079" t="s">
        <v>320</v>
      </c>
      <c r="B806" s="1080"/>
      <c r="C806" s="1080"/>
      <c r="D806" s="1080"/>
      <c r="E806" s="1080"/>
      <c r="F806" s="1080"/>
      <c r="G806" s="1080"/>
      <c r="H806" s="1080"/>
      <c r="I806" s="1080"/>
      <c r="J806" s="1080"/>
      <c r="K806" s="1080"/>
      <c r="L806" s="1080"/>
      <c r="M806" s="1080"/>
      <c r="N806" s="1080"/>
      <c r="O806" s="1080"/>
      <c r="P806" s="1080"/>
      <c r="Q806" s="1080"/>
      <c r="R806" s="1080"/>
      <c r="S806" s="1080"/>
      <c r="T806" s="1080"/>
      <c r="U806" s="1080"/>
      <c r="V806" s="1080"/>
      <c r="W806" s="1080"/>
      <c r="X806" s="1080"/>
      <c r="Y806" s="1080"/>
      <c r="Z806" s="1080"/>
      <c r="AA806" s="1080"/>
      <c r="AB806" s="1081"/>
    </row>
    <row r="807" spans="1:28">
      <c r="A807" s="1154"/>
      <c r="B807" s="1130"/>
      <c r="C807" s="1130"/>
      <c r="D807" s="1130"/>
      <c r="E807" s="1130"/>
      <c r="F807" s="1130"/>
      <c r="G807" s="1130"/>
      <c r="H807" s="1130"/>
      <c r="I807" s="1130"/>
      <c r="J807" s="1130"/>
      <c r="K807" s="1130"/>
      <c r="L807" s="1130"/>
      <c r="M807" s="1155"/>
      <c r="N807" s="1155"/>
      <c r="O807" s="1155"/>
      <c r="P807" s="1155"/>
      <c r="Q807" s="1155"/>
      <c r="R807" s="1155"/>
      <c r="S807" s="1155"/>
      <c r="T807" s="1155"/>
      <c r="AB807" s="1044"/>
    </row>
    <row r="808" spans="1:28">
      <c r="A808" s="1099" t="s">
        <v>321</v>
      </c>
      <c r="B808" s="424"/>
      <c r="C808" s="424"/>
      <c r="D808" s="424"/>
      <c r="E808" s="424"/>
      <c r="F808" s="424"/>
      <c r="G808" s="424"/>
      <c r="H808" s="424"/>
      <c r="I808" s="424"/>
      <c r="J808" s="424"/>
      <c r="K808" s="424"/>
      <c r="L808" s="424"/>
      <c r="M808" s="424"/>
      <c r="N808" s="424"/>
      <c r="O808" s="424"/>
      <c r="P808" s="424"/>
      <c r="Q808" s="424"/>
      <c r="R808" s="424"/>
      <c r="S808" s="424"/>
      <c r="T808" s="424"/>
      <c r="U808" s="424"/>
      <c r="V808" s="424"/>
      <c r="W808" s="424"/>
      <c r="X808" s="424"/>
      <c r="Y808" s="424"/>
      <c r="Z808" s="424"/>
      <c r="AA808" s="424"/>
      <c r="AB808" s="1100"/>
    </row>
    <row r="809" customHeight="1" spans="1:28">
      <c r="A809" s="1101" t="s">
        <v>236</v>
      </c>
      <c r="B809" s="1102"/>
      <c r="C809" s="1102"/>
      <c r="D809" s="1103"/>
      <c r="E809" s="1104" t="s">
        <v>238</v>
      </c>
      <c r="F809" s="1102"/>
      <c r="G809" s="1102"/>
      <c r="H809" s="1103"/>
      <c r="I809" s="1104" t="s">
        <v>247</v>
      </c>
      <c r="J809" s="1102"/>
      <c r="K809" s="1102"/>
      <c r="L809" s="1103"/>
      <c r="M809" s="1104" t="s">
        <v>248</v>
      </c>
      <c r="N809" s="1102"/>
      <c r="O809" s="1102"/>
      <c r="P809" s="1103"/>
      <c r="Q809" s="1052"/>
      <c r="R809" s="1053"/>
      <c r="S809" s="1053"/>
      <c r="T809" s="1054"/>
      <c r="U809" s="1104"/>
      <c r="V809" s="1102"/>
      <c r="W809" s="1102"/>
      <c r="X809" s="1103"/>
      <c r="Y809" s="1055" t="s">
        <v>382</v>
      </c>
      <c r="Z809" s="1056"/>
      <c r="AA809" s="1056"/>
      <c r="AB809" s="1057"/>
    </row>
    <row r="810" spans="1:28">
      <c r="A810" s="1058" t="s">
        <v>209</v>
      </c>
      <c r="B810" s="1059"/>
      <c r="C810" s="1059"/>
      <c r="D810" s="1060"/>
      <c r="E810" s="1061" t="s">
        <v>315</v>
      </c>
      <c r="F810" s="1059"/>
      <c r="G810" s="1059"/>
      <c r="H810" s="1060"/>
      <c r="I810" s="1061" t="s">
        <v>210</v>
      </c>
      <c r="J810" s="1059"/>
      <c r="K810" s="1059"/>
      <c r="L810" s="1060"/>
      <c r="M810" s="1061" t="s">
        <v>210</v>
      </c>
      <c r="N810" s="1059"/>
      <c r="O810" s="1059"/>
      <c r="P810" s="1060"/>
      <c r="Q810" s="1062"/>
      <c r="R810" s="1063"/>
      <c r="S810" s="1063"/>
      <c r="T810" s="1064"/>
      <c r="U810" s="1061"/>
      <c r="V810" s="1059"/>
      <c r="W810" s="1059"/>
      <c r="X810" s="1060"/>
      <c r="Y810" s="1065"/>
      <c r="Z810" s="1066"/>
      <c r="AA810" s="1066"/>
      <c r="AB810" s="1067"/>
    </row>
    <row r="811" ht="15.75" spans="1:28">
      <c r="A811" s="1109">
        <v>6</v>
      </c>
      <c r="B811" s="1110"/>
      <c r="C811" s="1110"/>
      <c r="D811" s="1110"/>
      <c r="E811" s="1110">
        <v>0.5</v>
      </c>
      <c r="F811" s="1110"/>
      <c r="G811" s="1110"/>
      <c r="H811" s="1110"/>
      <c r="I811" s="1110">
        <v>0.5</v>
      </c>
      <c r="J811" s="1110"/>
      <c r="K811" s="1110"/>
      <c r="L811" s="1110"/>
      <c r="M811" s="1110">
        <v>0.3</v>
      </c>
      <c r="N811" s="1110"/>
      <c r="O811" s="1110"/>
      <c r="P811" s="1110"/>
      <c r="Q811" s="1074"/>
      <c r="R811" s="1075"/>
      <c r="S811" s="1075"/>
      <c r="T811" s="1076"/>
      <c r="U811" s="1151"/>
      <c r="V811" s="1152"/>
      <c r="W811" s="1152"/>
      <c r="X811" s="1153"/>
      <c r="Y811" s="1077">
        <f>(($E$422*$I$422/2)+($E$422*$M$422))*$A$422</f>
        <v>1.65</v>
      </c>
      <c r="Z811" s="1077"/>
      <c r="AA811" s="1077"/>
      <c r="AB811" s="1078"/>
    </row>
    <row r="812" ht="17.25" spans="1:28">
      <c r="A812" s="1079" t="s">
        <v>322</v>
      </c>
      <c r="B812" s="1080"/>
      <c r="C812" s="1080"/>
      <c r="D812" s="1080"/>
      <c r="E812" s="1080"/>
      <c r="F812" s="1080"/>
      <c r="G812" s="1080"/>
      <c r="H812" s="1080"/>
      <c r="I812" s="1080"/>
      <c r="J812" s="1080"/>
      <c r="K812" s="1080"/>
      <c r="L812" s="1080"/>
      <c r="M812" s="1080"/>
      <c r="N812" s="1080"/>
      <c r="O812" s="1080"/>
      <c r="P812" s="1080"/>
      <c r="Q812" s="1080"/>
      <c r="R812" s="1080"/>
      <c r="S812" s="1080"/>
      <c r="T812" s="1080"/>
      <c r="U812" s="1080"/>
      <c r="V812" s="1080"/>
      <c r="W812" s="1080"/>
      <c r="X812" s="1080"/>
      <c r="Y812" s="1080"/>
      <c r="Z812" s="1080"/>
      <c r="AA812" s="1080"/>
      <c r="AB812" s="1081"/>
    </row>
    <row r="813" ht="15.75" spans="1:28">
      <c r="A813" s="1083"/>
      <c r="AB813" s="1044"/>
    </row>
    <row r="814" spans="1:28">
      <c r="A814" s="1083"/>
      <c r="K814" s="1084" t="s">
        <v>383</v>
      </c>
      <c r="L814" s="1085"/>
      <c r="M814" s="1085"/>
      <c r="N814" s="1085"/>
      <c r="O814" s="1085"/>
      <c r="P814" s="1085"/>
      <c r="Q814" s="1085"/>
      <c r="R814" s="1086"/>
      <c r="AB814" s="1044"/>
    </row>
    <row r="815" spans="1:28">
      <c r="A815" s="1083"/>
      <c r="K815" s="1087" t="s">
        <v>384</v>
      </c>
      <c r="L815" s="1088"/>
      <c r="M815" s="1088"/>
      <c r="N815" s="1088"/>
      <c r="O815" s="1088"/>
      <c r="P815" s="1088"/>
      <c r="Q815" s="1088"/>
      <c r="R815" s="1089"/>
      <c r="AB815" s="1044"/>
    </row>
    <row r="816" spans="1:28">
      <c r="A816" s="1083"/>
      <c r="K816" s="1090"/>
      <c r="L816" s="1091"/>
      <c r="M816" s="1091"/>
      <c r="N816" s="1091"/>
      <c r="O816" s="1091"/>
      <c r="P816" s="1091"/>
      <c r="Q816" s="1091"/>
      <c r="R816" s="1092"/>
      <c r="AB816" s="1044"/>
    </row>
    <row r="817" ht="15.75" spans="1:28">
      <c r="A817" s="1083"/>
      <c r="K817" s="1093">
        <f>ROUNDUP(Y793+Y799+Y805+Y811,2)</f>
        <v>33.62</v>
      </c>
      <c r="L817" s="1094"/>
      <c r="M817" s="1094"/>
      <c r="N817" s="1094"/>
      <c r="O817" s="1094"/>
      <c r="P817" s="1094"/>
      <c r="Q817" s="1094"/>
      <c r="R817" s="1095"/>
      <c r="AB817" s="1044"/>
    </row>
    <row r="818" ht="15.75" spans="1:28">
      <c r="A818" s="1096"/>
      <c r="B818" s="389"/>
      <c r="C818" s="389"/>
      <c r="D818" s="389"/>
      <c r="E818" s="389"/>
      <c r="F818" s="389"/>
      <c r="G818" s="389"/>
      <c r="H818" s="389"/>
      <c r="I818" s="1097"/>
      <c r="J818" s="1097"/>
      <c r="K818" s="1097"/>
      <c r="L818" s="1097"/>
      <c r="M818" s="1097"/>
      <c r="N818" s="1097"/>
      <c r="O818" s="1097"/>
      <c r="P818" s="1097"/>
      <c r="Q818" s="389"/>
      <c r="R818" s="389"/>
      <c r="S818" s="389"/>
      <c r="T818" s="389"/>
      <c r="U818" s="389"/>
      <c r="V818" s="389"/>
      <c r="W818" s="389"/>
      <c r="X818" s="389"/>
      <c r="Y818" s="389"/>
      <c r="Z818" s="389"/>
      <c r="AA818" s="389"/>
      <c r="AB818" s="1098"/>
    </row>
    <row r="819" spans="1:28">
      <c r="A819" s="1040" t="s">
        <v>385</v>
      </c>
      <c r="B819" s="1041"/>
      <c r="C819" s="1041"/>
      <c r="D819" s="1041"/>
      <c r="E819" s="1041"/>
      <c r="F819" s="1041"/>
      <c r="G819" s="1041"/>
      <c r="H819" s="1041"/>
      <c r="I819" s="1041"/>
      <c r="J819" s="1041"/>
      <c r="K819" s="1041"/>
      <c r="L819" s="1041"/>
      <c r="M819" s="1041"/>
      <c r="N819" s="1041"/>
      <c r="O819" s="1041"/>
      <c r="P819" s="1041"/>
      <c r="Q819" s="1041"/>
      <c r="R819" s="1041"/>
      <c r="S819" s="1041"/>
      <c r="T819" s="1041"/>
      <c r="U819" s="1041"/>
      <c r="V819" s="1041"/>
      <c r="W819" s="1041"/>
      <c r="X819" s="1041"/>
      <c r="Y819" s="1041"/>
      <c r="Z819" s="1041"/>
      <c r="AA819" s="1041"/>
      <c r="AB819" s="1042"/>
    </row>
    <row r="820" spans="1:28">
      <c r="A820" s="1083"/>
      <c r="AB820" s="1044"/>
    </row>
    <row r="821" spans="1:28">
      <c r="A821" s="1083"/>
      <c r="AB821" s="1044"/>
    </row>
    <row r="822" spans="1:28">
      <c r="A822" s="1083"/>
      <c r="AB822" s="1044"/>
    </row>
    <row r="823" spans="1:28">
      <c r="A823" s="1083"/>
      <c r="AB823" s="1044"/>
    </row>
    <row r="824" spans="1:28">
      <c r="A824" s="1083"/>
      <c r="AB824" s="1044"/>
    </row>
    <row r="825" spans="1:28">
      <c r="A825" s="1083"/>
      <c r="AB825" s="1044"/>
    </row>
    <row r="826" spans="1:28">
      <c r="A826" s="1083"/>
      <c r="AB826" s="1044"/>
    </row>
    <row r="827" spans="1:28">
      <c r="A827" s="1083"/>
      <c r="AB827" s="1044"/>
    </row>
    <row r="828" spans="1:28">
      <c r="A828" s="1083"/>
      <c r="AB828" s="1044"/>
    </row>
    <row r="829" spans="1:28">
      <c r="A829" s="1083"/>
      <c r="AB829" s="1044"/>
    </row>
    <row r="830" spans="1:28">
      <c r="A830" s="1083"/>
      <c r="AB830" s="1044"/>
    </row>
    <row r="831" spans="1:28">
      <c r="A831" s="1083"/>
      <c r="AB831" s="1044"/>
    </row>
    <row r="832" spans="1:28">
      <c r="A832" s="1083"/>
      <c r="AB832" s="1044"/>
    </row>
    <row r="833" spans="1:28">
      <c r="A833" s="1083"/>
      <c r="AB833" s="1044"/>
    </row>
    <row r="834" spans="1:28">
      <c r="A834" s="1083"/>
      <c r="AB834" s="1044"/>
    </row>
    <row r="835" spans="1:28">
      <c r="A835" s="1083"/>
      <c r="AB835" s="1044"/>
    </row>
    <row r="836" spans="1:28">
      <c r="A836" s="1099" t="s">
        <v>386</v>
      </c>
      <c r="B836" s="424"/>
      <c r="C836" s="424"/>
      <c r="D836" s="424"/>
      <c r="E836" s="424"/>
      <c r="F836" s="424"/>
      <c r="G836" s="424"/>
      <c r="H836" s="424"/>
      <c r="I836" s="424"/>
      <c r="J836" s="424"/>
      <c r="K836" s="424"/>
      <c r="L836" s="424"/>
      <c r="M836" s="424"/>
      <c r="N836" s="424"/>
      <c r="O836" s="424"/>
      <c r="P836" s="424"/>
      <c r="Q836" s="424"/>
      <c r="R836" s="424"/>
      <c r="S836" s="424"/>
      <c r="T836" s="424"/>
      <c r="U836" s="424"/>
      <c r="V836" s="424"/>
      <c r="W836" s="424"/>
      <c r="X836" s="424"/>
      <c r="Y836" s="424"/>
      <c r="Z836" s="424"/>
      <c r="AA836" s="424"/>
      <c r="AB836" s="1100"/>
    </row>
    <row r="837" spans="1:28">
      <c r="A837" s="1101" t="s">
        <v>205</v>
      </c>
      <c r="B837" s="1102"/>
      <c r="C837" s="1102"/>
      <c r="D837" s="1103"/>
      <c r="E837" s="1104" t="s">
        <v>206</v>
      </c>
      <c r="F837" s="1102"/>
      <c r="G837" s="1102"/>
      <c r="H837" s="1103"/>
      <c r="I837" s="1104" t="s">
        <v>235</v>
      </c>
      <c r="J837" s="1102"/>
      <c r="K837" s="1102"/>
      <c r="L837" s="1103"/>
      <c r="M837" s="1052"/>
      <c r="N837" s="1053"/>
      <c r="O837" s="1053"/>
      <c r="P837" s="1054"/>
      <c r="Q837" s="1052"/>
      <c r="R837" s="1053"/>
      <c r="S837" s="1053"/>
      <c r="T837" s="1054"/>
      <c r="U837" s="1052"/>
      <c r="V837" s="1053"/>
      <c r="W837" s="1053"/>
      <c r="X837" s="1054"/>
      <c r="Y837" s="1104" t="s">
        <v>314</v>
      </c>
      <c r="Z837" s="1102"/>
      <c r="AA837" s="1102"/>
      <c r="AB837" s="1106"/>
    </row>
    <row r="838" spans="1:28">
      <c r="A838" s="1058" t="s">
        <v>209</v>
      </c>
      <c r="B838" s="1059"/>
      <c r="C838" s="1059"/>
      <c r="D838" s="1060"/>
      <c r="E838" s="1061" t="s">
        <v>315</v>
      </c>
      <c r="F838" s="1059"/>
      <c r="G838" s="1059"/>
      <c r="H838" s="1060"/>
      <c r="I838" s="1061" t="s">
        <v>210</v>
      </c>
      <c r="J838" s="1059"/>
      <c r="K838" s="1059"/>
      <c r="L838" s="1060"/>
      <c r="M838" s="1062"/>
      <c r="N838" s="1063"/>
      <c r="O838" s="1063"/>
      <c r="P838" s="1064"/>
      <c r="Q838" s="1062"/>
      <c r="R838" s="1063"/>
      <c r="S838" s="1063"/>
      <c r="T838" s="1064"/>
      <c r="U838" s="1062"/>
      <c r="V838" s="1063"/>
      <c r="W838" s="1063"/>
      <c r="X838" s="1064"/>
      <c r="Y838" s="1061"/>
      <c r="Z838" s="1059"/>
      <c r="AA838" s="1059"/>
      <c r="AB838" s="1108"/>
    </row>
    <row r="839" ht="15.75" spans="1:28">
      <c r="A839" s="1109">
        <v>4</v>
      </c>
      <c r="B839" s="1110"/>
      <c r="C839" s="1110"/>
      <c r="D839" s="1110"/>
      <c r="E839" s="1110">
        <v>0.4</v>
      </c>
      <c r="F839" s="1110"/>
      <c r="G839" s="1110"/>
      <c r="H839" s="1110"/>
      <c r="I839" s="1110">
        <v>6.24</v>
      </c>
      <c r="J839" s="1110"/>
      <c r="K839" s="1110"/>
      <c r="L839" s="1110"/>
      <c r="M839" s="1074"/>
      <c r="N839" s="1075"/>
      <c r="O839" s="1075"/>
      <c r="P839" s="1076"/>
      <c r="Q839" s="1074"/>
      <c r="R839" s="1075"/>
      <c r="S839" s="1075"/>
      <c r="T839" s="1076"/>
      <c r="U839" s="1074"/>
      <c r="V839" s="1075"/>
      <c r="W839" s="1075"/>
      <c r="X839" s="1076"/>
      <c r="Y839" s="1077">
        <f>$A839*$E839*$I839</f>
        <v>9.984</v>
      </c>
      <c r="Z839" s="1077"/>
      <c r="AA839" s="1077"/>
      <c r="AB839" s="1078"/>
    </row>
    <row r="840" ht="17.25" spans="1:28">
      <c r="A840" s="1079" t="s">
        <v>316</v>
      </c>
      <c r="B840" s="1080"/>
      <c r="C840" s="1080"/>
      <c r="D840" s="1080"/>
      <c r="E840" s="1080"/>
      <c r="F840" s="1080"/>
      <c r="G840" s="1080"/>
      <c r="H840" s="1080"/>
      <c r="I840" s="1080"/>
      <c r="J840" s="1080"/>
      <c r="K840" s="1080"/>
      <c r="L840" s="1080"/>
      <c r="M840" s="1080"/>
      <c r="N840" s="1080"/>
      <c r="O840" s="1080"/>
      <c r="P840" s="1080"/>
      <c r="Q840" s="1080"/>
      <c r="R840" s="1080"/>
      <c r="S840" s="1080"/>
      <c r="T840" s="1080"/>
      <c r="U840" s="1080"/>
      <c r="V840" s="1080"/>
      <c r="W840" s="1080"/>
      <c r="X840" s="1080"/>
      <c r="Y840" s="1080"/>
      <c r="Z840" s="1080"/>
      <c r="AA840" s="1080"/>
      <c r="AB840" s="1081"/>
    </row>
    <row r="841" spans="1:28">
      <c r="A841" s="1083"/>
      <c r="AB841" s="1044"/>
    </row>
    <row r="842" spans="1:28">
      <c r="A842" s="1099" t="s">
        <v>387</v>
      </c>
      <c r="B842" s="424"/>
      <c r="C842" s="424"/>
      <c r="D842" s="424"/>
      <c r="E842" s="424"/>
      <c r="F842" s="424"/>
      <c r="G842" s="424"/>
      <c r="H842" s="424"/>
      <c r="I842" s="424"/>
      <c r="J842" s="424"/>
      <c r="K842" s="424"/>
      <c r="L842" s="424"/>
      <c r="M842" s="424"/>
      <c r="N842" s="424"/>
      <c r="O842" s="424"/>
      <c r="P842" s="424"/>
      <c r="Q842" s="424"/>
      <c r="R842" s="424"/>
      <c r="S842" s="424"/>
      <c r="T842" s="424"/>
      <c r="U842" s="424"/>
      <c r="V842" s="424"/>
      <c r="W842" s="424"/>
      <c r="X842" s="424"/>
      <c r="Y842" s="424"/>
      <c r="Z842" s="424"/>
      <c r="AA842" s="424"/>
      <c r="AB842" s="1100"/>
    </row>
    <row r="843" spans="1:28">
      <c r="A843" s="1101" t="s">
        <v>249</v>
      </c>
      <c r="B843" s="1102"/>
      <c r="C843" s="1102"/>
      <c r="D843" s="1103"/>
      <c r="E843" s="1104" t="s">
        <v>252</v>
      </c>
      <c r="F843" s="1102"/>
      <c r="G843" s="1102"/>
      <c r="H843" s="1103"/>
      <c r="I843" s="1104" t="s">
        <v>253</v>
      </c>
      <c r="J843" s="1102"/>
      <c r="K843" s="1102"/>
      <c r="L843" s="1103"/>
      <c r="M843" s="1104"/>
      <c r="N843" s="1102"/>
      <c r="O843" s="1102"/>
      <c r="P843" s="1103"/>
      <c r="Q843" s="1104"/>
      <c r="R843" s="1102"/>
      <c r="S843" s="1102"/>
      <c r="T843" s="1103"/>
      <c r="U843" s="1104"/>
      <c r="V843" s="1102"/>
      <c r="W843" s="1102"/>
      <c r="X843" s="1103"/>
      <c r="Y843" s="1104" t="s">
        <v>314</v>
      </c>
      <c r="Z843" s="1102"/>
      <c r="AA843" s="1102"/>
      <c r="AB843" s="1106"/>
    </row>
    <row r="844" spans="1:28">
      <c r="A844" s="1058" t="s">
        <v>209</v>
      </c>
      <c r="B844" s="1059"/>
      <c r="C844" s="1059"/>
      <c r="D844" s="1060"/>
      <c r="E844" s="1061" t="s">
        <v>315</v>
      </c>
      <c r="F844" s="1059"/>
      <c r="G844" s="1059"/>
      <c r="H844" s="1060"/>
      <c r="I844" s="1061" t="s">
        <v>210</v>
      </c>
      <c r="J844" s="1059"/>
      <c r="K844" s="1059"/>
      <c r="L844" s="1060"/>
      <c r="M844" s="1061"/>
      <c r="N844" s="1059"/>
      <c r="O844" s="1059"/>
      <c r="P844" s="1060"/>
      <c r="Q844" s="1061"/>
      <c r="R844" s="1059"/>
      <c r="S844" s="1059"/>
      <c r="T844" s="1060"/>
      <c r="U844" s="1061"/>
      <c r="V844" s="1059"/>
      <c r="W844" s="1059"/>
      <c r="X844" s="1060"/>
      <c r="Y844" s="1061"/>
      <c r="Z844" s="1059"/>
      <c r="AA844" s="1059"/>
      <c r="AB844" s="1108"/>
    </row>
    <row r="845" ht="15.75" spans="1:28">
      <c r="A845" s="1109">
        <v>4</v>
      </c>
      <c r="B845" s="1110"/>
      <c r="C845" s="1110"/>
      <c r="D845" s="1110"/>
      <c r="E845" s="1110">
        <v>0.4</v>
      </c>
      <c r="F845" s="1110"/>
      <c r="G845" s="1110"/>
      <c r="H845" s="1110"/>
      <c r="I845" s="1110">
        <v>6.24</v>
      </c>
      <c r="J845" s="1110"/>
      <c r="K845" s="1110"/>
      <c r="L845" s="1110"/>
      <c r="M845" s="1151"/>
      <c r="N845" s="1152"/>
      <c r="O845" s="1152"/>
      <c r="P845" s="1153"/>
      <c r="Q845" s="1151"/>
      <c r="R845" s="1152"/>
      <c r="S845" s="1152"/>
      <c r="T845" s="1153"/>
      <c r="U845" s="1151"/>
      <c r="V845" s="1152"/>
      <c r="W845" s="1152"/>
      <c r="X845" s="1153"/>
      <c r="Y845" s="1077">
        <f>$A845*$E845*$I845</f>
        <v>9.984</v>
      </c>
      <c r="Z845" s="1077"/>
      <c r="AA845" s="1077"/>
      <c r="AB845" s="1078"/>
    </row>
    <row r="846" ht="17.25" spans="1:28">
      <c r="A846" s="1079" t="s">
        <v>318</v>
      </c>
      <c r="B846" s="1080"/>
      <c r="C846" s="1080"/>
      <c r="D846" s="1080"/>
      <c r="E846" s="1080"/>
      <c r="F846" s="1080"/>
      <c r="G846" s="1080"/>
      <c r="H846" s="1080"/>
      <c r="I846" s="1080"/>
      <c r="J846" s="1080"/>
      <c r="K846" s="1080"/>
      <c r="L846" s="1080"/>
      <c r="M846" s="1080"/>
      <c r="N846" s="1080"/>
      <c r="O846" s="1080"/>
      <c r="P846" s="1080"/>
      <c r="Q846" s="1080"/>
      <c r="R846" s="1080"/>
      <c r="S846" s="1080"/>
      <c r="T846" s="1080"/>
      <c r="U846" s="1080"/>
      <c r="V846" s="1080"/>
      <c r="W846" s="1080"/>
      <c r="X846" s="1080"/>
      <c r="Y846" s="1080"/>
      <c r="Z846" s="1080"/>
      <c r="AA846" s="1080"/>
      <c r="AB846" s="1081"/>
    </row>
    <row r="847" spans="1:28">
      <c r="A847" s="1083"/>
      <c r="AB847" s="1044"/>
    </row>
    <row r="848" spans="1:28">
      <c r="A848" s="1099" t="s">
        <v>388</v>
      </c>
      <c r="B848" s="424"/>
      <c r="C848" s="424"/>
      <c r="D848" s="424"/>
      <c r="E848" s="424"/>
      <c r="F848" s="424"/>
      <c r="G848" s="424"/>
      <c r="H848" s="424"/>
      <c r="I848" s="424"/>
      <c r="J848" s="424"/>
      <c r="K848" s="424"/>
      <c r="L848" s="424"/>
      <c r="M848" s="424"/>
      <c r="N848" s="424"/>
      <c r="O848" s="424"/>
      <c r="P848" s="424"/>
      <c r="Q848" s="424"/>
      <c r="R848" s="424"/>
      <c r="S848" s="424"/>
      <c r="T848" s="424"/>
      <c r="U848" s="424"/>
      <c r="V848" s="424"/>
      <c r="W848" s="424"/>
      <c r="X848" s="424"/>
      <c r="Y848" s="424"/>
      <c r="Z848" s="424"/>
      <c r="AA848" s="424"/>
      <c r="AB848" s="1100"/>
    </row>
    <row r="849" customHeight="1" spans="1:28">
      <c r="A849" s="1101" t="s">
        <v>236</v>
      </c>
      <c r="B849" s="1102"/>
      <c r="C849" s="1102"/>
      <c r="D849" s="1103"/>
      <c r="E849" s="1104" t="s">
        <v>237</v>
      </c>
      <c r="F849" s="1102"/>
      <c r="G849" s="1102"/>
      <c r="H849" s="1103"/>
      <c r="I849" s="1104" t="s">
        <v>246</v>
      </c>
      <c r="J849" s="1102"/>
      <c r="K849" s="1102"/>
      <c r="L849" s="1103"/>
      <c r="M849" s="1104"/>
      <c r="N849" s="1102"/>
      <c r="O849" s="1102"/>
      <c r="P849" s="1103"/>
      <c r="Q849" s="1104"/>
      <c r="R849" s="1102"/>
      <c r="S849" s="1102"/>
      <c r="T849" s="1103"/>
      <c r="U849" s="1104"/>
      <c r="V849" s="1102"/>
      <c r="W849" s="1102"/>
      <c r="X849" s="1103"/>
      <c r="Y849" s="1104" t="s">
        <v>314</v>
      </c>
      <c r="Z849" s="1102"/>
      <c r="AA849" s="1102"/>
      <c r="AB849" s="1106"/>
    </row>
    <row r="850" customHeight="1" spans="1:28">
      <c r="A850" s="1058" t="s">
        <v>209</v>
      </c>
      <c r="B850" s="1059"/>
      <c r="C850" s="1059"/>
      <c r="D850" s="1060"/>
      <c r="E850" s="1061" t="s">
        <v>315</v>
      </c>
      <c r="F850" s="1059"/>
      <c r="G850" s="1059"/>
      <c r="H850" s="1060"/>
      <c r="I850" s="1061" t="s">
        <v>210</v>
      </c>
      <c r="J850" s="1059"/>
      <c r="K850" s="1059"/>
      <c r="L850" s="1060"/>
      <c r="M850" s="1061"/>
      <c r="N850" s="1059"/>
      <c r="O850" s="1059"/>
      <c r="P850" s="1060"/>
      <c r="Q850" s="1061"/>
      <c r="R850" s="1059"/>
      <c r="S850" s="1059"/>
      <c r="T850" s="1060"/>
      <c r="U850" s="1061"/>
      <c r="V850" s="1059"/>
      <c r="W850" s="1059"/>
      <c r="X850" s="1060"/>
      <c r="Y850" s="1061"/>
      <c r="Z850" s="1059"/>
      <c r="AA850" s="1059"/>
      <c r="AB850" s="1108"/>
    </row>
    <row r="851" ht="15.75" spans="1:28">
      <c r="A851" s="1109">
        <v>6</v>
      </c>
      <c r="B851" s="1110"/>
      <c r="C851" s="1110"/>
      <c r="D851" s="1110"/>
      <c r="E851" s="1110">
        <v>0.4</v>
      </c>
      <c r="F851" s="1110"/>
      <c r="G851" s="1110"/>
      <c r="H851" s="1110"/>
      <c r="I851" s="1110">
        <v>5</v>
      </c>
      <c r="J851" s="1110"/>
      <c r="K851" s="1110"/>
      <c r="L851" s="1110"/>
      <c r="M851" s="1151"/>
      <c r="N851" s="1152"/>
      <c r="O851" s="1152"/>
      <c r="P851" s="1153"/>
      <c r="Q851" s="1151"/>
      <c r="R851" s="1152"/>
      <c r="S851" s="1152"/>
      <c r="T851" s="1153"/>
      <c r="U851" s="1151"/>
      <c r="V851" s="1152"/>
      <c r="W851" s="1152"/>
      <c r="X851" s="1153"/>
      <c r="Y851" s="1077">
        <f>$A851*$E851*$I851</f>
        <v>12</v>
      </c>
      <c r="Z851" s="1077"/>
      <c r="AA851" s="1077"/>
      <c r="AB851" s="1078"/>
    </row>
    <row r="852" ht="17.25" spans="1:28">
      <c r="A852" s="1079" t="s">
        <v>320</v>
      </c>
      <c r="B852" s="1080"/>
      <c r="C852" s="1080"/>
      <c r="D852" s="1080"/>
      <c r="E852" s="1080"/>
      <c r="F852" s="1080"/>
      <c r="G852" s="1080"/>
      <c r="H852" s="1080"/>
      <c r="I852" s="1080"/>
      <c r="J852" s="1080"/>
      <c r="K852" s="1080"/>
      <c r="L852" s="1080"/>
      <c r="M852" s="1080"/>
      <c r="N852" s="1080"/>
      <c r="O852" s="1080"/>
      <c r="P852" s="1080"/>
      <c r="Q852" s="1080"/>
      <c r="R852" s="1080"/>
      <c r="S852" s="1080"/>
      <c r="T852" s="1080"/>
      <c r="U852" s="1080"/>
      <c r="V852" s="1080"/>
      <c r="W852" s="1080"/>
      <c r="X852" s="1080"/>
      <c r="Y852" s="1080"/>
      <c r="Z852" s="1080"/>
      <c r="AA852" s="1080"/>
      <c r="AB852" s="1081"/>
    </row>
    <row r="853" spans="1:28">
      <c r="A853" s="1154"/>
      <c r="B853" s="1130"/>
      <c r="C853" s="1130"/>
      <c r="D853" s="1130"/>
      <c r="E853" s="1130"/>
      <c r="F853" s="1130"/>
      <c r="G853" s="1130"/>
      <c r="H853" s="1130"/>
      <c r="I853" s="1130"/>
      <c r="J853" s="1130"/>
      <c r="K853" s="1130"/>
      <c r="L853" s="1130"/>
      <c r="M853" s="1155"/>
      <c r="N853" s="1155"/>
      <c r="O853" s="1155"/>
      <c r="P853" s="1155"/>
      <c r="Q853" s="1155"/>
      <c r="R853" s="1155"/>
      <c r="S853" s="1155"/>
      <c r="T853" s="1155"/>
      <c r="AB853" s="1044"/>
    </row>
    <row r="854" spans="1:28">
      <c r="A854" s="1099" t="s">
        <v>389</v>
      </c>
      <c r="B854" s="424"/>
      <c r="C854" s="424"/>
      <c r="D854" s="424"/>
      <c r="E854" s="424"/>
      <c r="F854" s="424"/>
      <c r="G854" s="424"/>
      <c r="H854" s="424"/>
      <c r="I854" s="424"/>
      <c r="J854" s="424"/>
      <c r="K854" s="424"/>
      <c r="L854" s="424"/>
      <c r="M854" s="424"/>
      <c r="N854" s="424"/>
      <c r="O854" s="424"/>
      <c r="P854" s="424"/>
      <c r="Q854" s="424"/>
      <c r="R854" s="424"/>
      <c r="S854" s="424"/>
      <c r="T854" s="424"/>
      <c r="U854" s="424"/>
      <c r="V854" s="424"/>
      <c r="W854" s="424"/>
      <c r="X854" s="424"/>
      <c r="Y854" s="424"/>
      <c r="Z854" s="424"/>
      <c r="AA854" s="424"/>
      <c r="AB854" s="1100"/>
    </row>
    <row r="855" customHeight="1" spans="1:28">
      <c r="A855" s="1101" t="s">
        <v>236</v>
      </c>
      <c r="B855" s="1102"/>
      <c r="C855" s="1102"/>
      <c r="D855" s="1103"/>
      <c r="E855" s="1104" t="s">
        <v>238</v>
      </c>
      <c r="F855" s="1102"/>
      <c r="G855" s="1102"/>
      <c r="H855" s="1103"/>
      <c r="I855" s="1104" t="s">
        <v>247</v>
      </c>
      <c r="J855" s="1102"/>
      <c r="K855" s="1102"/>
      <c r="L855" s="1103"/>
      <c r="M855" s="1104" t="s">
        <v>248</v>
      </c>
      <c r="N855" s="1102"/>
      <c r="O855" s="1102"/>
      <c r="P855" s="1103"/>
      <c r="Q855" s="1104"/>
      <c r="R855" s="1102"/>
      <c r="S855" s="1102"/>
      <c r="T855" s="1103"/>
      <c r="U855" s="1104"/>
      <c r="V855" s="1102"/>
      <c r="W855" s="1102"/>
      <c r="X855" s="1103"/>
      <c r="Y855" s="1104" t="s">
        <v>314</v>
      </c>
      <c r="Z855" s="1102"/>
      <c r="AA855" s="1102"/>
      <c r="AB855" s="1106"/>
    </row>
    <row r="856" spans="1:28">
      <c r="A856" s="1058" t="s">
        <v>209</v>
      </c>
      <c r="B856" s="1059"/>
      <c r="C856" s="1059"/>
      <c r="D856" s="1060"/>
      <c r="E856" s="1061" t="s">
        <v>315</v>
      </c>
      <c r="F856" s="1059"/>
      <c r="G856" s="1059"/>
      <c r="H856" s="1060"/>
      <c r="I856" s="1061" t="s">
        <v>210</v>
      </c>
      <c r="J856" s="1059"/>
      <c r="K856" s="1059"/>
      <c r="L856" s="1060"/>
      <c r="M856" s="1061" t="s">
        <v>210</v>
      </c>
      <c r="N856" s="1059"/>
      <c r="O856" s="1059"/>
      <c r="P856" s="1060"/>
      <c r="Q856" s="1061"/>
      <c r="R856" s="1059"/>
      <c r="S856" s="1059"/>
      <c r="T856" s="1060"/>
      <c r="U856" s="1061"/>
      <c r="V856" s="1059"/>
      <c r="W856" s="1059"/>
      <c r="X856" s="1060"/>
      <c r="Y856" s="1061"/>
      <c r="Z856" s="1059"/>
      <c r="AA856" s="1059"/>
      <c r="AB856" s="1108"/>
    </row>
    <row r="857" ht="15.75" spans="1:28">
      <c r="A857" s="1109">
        <v>6</v>
      </c>
      <c r="B857" s="1110"/>
      <c r="C857" s="1110"/>
      <c r="D857" s="1110"/>
      <c r="E857" s="1110">
        <v>0.5</v>
      </c>
      <c r="F857" s="1110"/>
      <c r="G857" s="1110"/>
      <c r="H857" s="1110"/>
      <c r="I857" s="1110">
        <v>0.5</v>
      </c>
      <c r="J857" s="1110"/>
      <c r="K857" s="1110"/>
      <c r="L857" s="1110"/>
      <c r="M857" s="1110">
        <v>0.3</v>
      </c>
      <c r="N857" s="1110"/>
      <c r="O857" s="1110"/>
      <c r="P857" s="1110"/>
      <c r="Q857" s="1151"/>
      <c r="R857" s="1152"/>
      <c r="S857" s="1152"/>
      <c r="T857" s="1153"/>
      <c r="U857" s="1151"/>
      <c r="V857" s="1152"/>
      <c r="W857" s="1152"/>
      <c r="X857" s="1153"/>
      <c r="Y857" s="1077">
        <f>(($E857*$I857/2)+($E857*$M857))*$A857</f>
        <v>1.65</v>
      </c>
      <c r="Z857" s="1077"/>
      <c r="AA857" s="1077"/>
      <c r="AB857" s="1078"/>
    </row>
    <row r="858" ht="17.25" spans="1:28">
      <c r="A858" s="1079" t="s">
        <v>322</v>
      </c>
      <c r="B858" s="1080"/>
      <c r="C858" s="1080"/>
      <c r="D858" s="1080"/>
      <c r="E858" s="1080"/>
      <c r="F858" s="1080"/>
      <c r="G858" s="1080"/>
      <c r="H858" s="1080"/>
      <c r="I858" s="1080"/>
      <c r="J858" s="1080"/>
      <c r="K858" s="1080"/>
      <c r="L858" s="1080"/>
      <c r="M858" s="1080"/>
      <c r="N858" s="1080"/>
      <c r="O858" s="1080"/>
      <c r="P858" s="1080"/>
      <c r="Q858" s="1080"/>
      <c r="R858" s="1080"/>
      <c r="S858" s="1080"/>
      <c r="T858" s="1080"/>
      <c r="U858" s="1080"/>
      <c r="V858" s="1080"/>
      <c r="W858" s="1080"/>
      <c r="X858" s="1080"/>
      <c r="Y858" s="1080"/>
      <c r="Z858" s="1080"/>
      <c r="AA858" s="1080"/>
      <c r="AB858" s="1081"/>
    </row>
    <row r="859" ht="15.75" spans="1:28">
      <c r="A859" s="1083"/>
      <c r="AB859" s="1044"/>
    </row>
    <row r="860" spans="1:28">
      <c r="A860" s="1083"/>
      <c r="K860" s="1084" t="s">
        <v>390</v>
      </c>
      <c r="L860" s="1085"/>
      <c r="M860" s="1085"/>
      <c r="N860" s="1085"/>
      <c r="O860" s="1085"/>
      <c r="P860" s="1085"/>
      <c r="Q860" s="1085"/>
      <c r="R860" s="1086"/>
      <c r="AB860" s="1044"/>
    </row>
    <row r="861" spans="1:28">
      <c r="A861" s="1083"/>
      <c r="K861" s="1087" t="s">
        <v>324</v>
      </c>
      <c r="L861" s="1088"/>
      <c r="M861" s="1088"/>
      <c r="N861" s="1088"/>
      <c r="O861" s="1088"/>
      <c r="P861" s="1088"/>
      <c r="Q861" s="1088"/>
      <c r="R861" s="1089"/>
      <c r="AB861" s="1044"/>
    </row>
    <row r="862" spans="1:28">
      <c r="A862" s="1083"/>
      <c r="K862" s="1090"/>
      <c r="L862" s="1091"/>
      <c r="M862" s="1091"/>
      <c r="N862" s="1091"/>
      <c r="O862" s="1091"/>
      <c r="P862" s="1091"/>
      <c r="Q862" s="1091"/>
      <c r="R862" s="1092"/>
      <c r="AB862" s="1044"/>
    </row>
    <row r="863" ht="15.75" spans="1:28">
      <c r="A863" s="1083"/>
      <c r="K863" s="1093">
        <f>ROUNDUP(Y839+Y845+Y851+Y857,2)</f>
        <v>33.62</v>
      </c>
      <c r="L863" s="1094"/>
      <c r="M863" s="1094"/>
      <c r="N863" s="1094"/>
      <c r="O863" s="1094"/>
      <c r="P863" s="1094"/>
      <c r="Q863" s="1094"/>
      <c r="R863" s="1095"/>
      <c r="AB863" s="1044"/>
    </row>
    <row r="864" ht="15.75" spans="1:28">
      <c r="A864" s="1096"/>
      <c r="B864" s="389"/>
      <c r="C864" s="389"/>
      <c r="D864" s="389"/>
      <c r="E864" s="389"/>
      <c r="F864" s="389"/>
      <c r="G864" s="389"/>
      <c r="H864" s="389"/>
      <c r="I864" s="1097"/>
      <c r="J864" s="1097"/>
      <c r="K864" s="1097"/>
      <c r="L864" s="1097"/>
      <c r="M864" s="1097"/>
      <c r="N864" s="1097"/>
      <c r="O864" s="1097"/>
      <c r="P864" s="1097"/>
      <c r="Q864" s="389"/>
      <c r="R864" s="389"/>
      <c r="S864" s="389"/>
      <c r="T864" s="389"/>
      <c r="U864" s="389"/>
      <c r="V864" s="389"/>
      <c r="W864" s="389"/>
      <c r="X864" s="389"/>
      <c r="Y864" s="389"/>
      <c r="Z864" s="389"/>
      <c r="AA864" s="389"/>
      <c r="AB864" s="1098"/>
    </row>
    <row r="865" spans="1:28">
      <c r="A865" s="1040" t="s">
        <v>391</v>
      </c>
      <c r="B865" s="1041"/>
      <c r="C865" s="1041"/>
      <c r="D865" s="1041"/>
      <c r="E865" s="1041"/>
      <c r="F865" s="1041"/>
      <c r="G865" s="1041"/>
      <c r="H865" s="1041"/>
      <c r="I865" s="1041"/>
      <c r="J865" s="1041"/>
      <c r="K865" s="1041"/>
      <c r="L865" s="1041"/>
      <c r="M865" s="1041"/>
      <c r="N865" s="1041"/>
      <c r="O865" s="1041"/>
      <c r="P865" s="1041"/>
      <c r="Q865" s="1041"/>
      <c r="R865" s="1041"/>
      <c r="S865" s="1041"/>
      <c r="T865" s="1041"/>
      <c r="U865" s="1041"/>
      <c r="V865" s="1041"/>
      <c r="W865" s="1041"/>
      <c r="X865" s="1041"/>
      <c r="Y865" s="1041"/>
      <c r="Z865" s="1041"/>
      <c r="AA865" s="1041"/>
      <c r="AB865" s="1042"/>
    </row>
    <row r="866" customHeight="1" spans="1:28">
      <c r="A866" s="1083"/>
      <c r="AB866" s="1044"/>
    </row>
    <row r="867" spans="1:28">
      <c r="A867" s="1083"/>
      <c r="AB867" s="1044"/>
    </row>
    <row r="868" spans="1:28">
      <c r="A868" s="1083"/>
      <c r="AB868" s="1044"/>
    </row>
    <row r="869" spans="1:28">
      <c r="A869" s="1083"/>
      <c r="AB869" s="1044"/>
    </row>
    <row r="870" spans="1:28">
      <c r="A870" s="1083"/>
      <c r="AB870" s="1044"/>
    </row>
    <row r="871" spans="1:28">
      <c r="A871" s="1083"/>
      <c r="AB871" s="1044"/>
    </row>
    <row r="872" spans="1:28">
      <c r="A872" s="1083"/>
      <c r="AB872" s="1044"/>
    </row>
    <row r="873" spans="1:28">
      <c r="A873" s="1083"/>
      <c r="AB873" s="1044"/>
    </row>
    <row r="874" spans="1:28">
      <c r="A874" s="1083"/>
      <c r="AB874" s="1044"/>
    </row>
    <row r="875" spans="1:28">
      <c r="A875" s="1083"/>
      <c r="AB875" s="1044"/>
    </row>
    <row r="876" spans="1:28">
      <c r="A876" s="1083"/>
      <c r="AB876" s="1044"/>
    </row>
    <row r="877" spans="1:28">
      <c r="A877" s="1083"/>
      <c r="AB877" s="1044"/>
    </row>
    <row r="878" spans="1:28">
      <c r="A878" s="1083"/>
      <c r="AB878" s="1044"/>
    </row>
    <row r="879" spans="1:28">
      <c r="A879" s="1083"/>
      <c r="AB879" s="1044"/>
    </row>
    <row r="880" spans="1:28">
      <c r="A880" s="1083"/>
      <c r="AB880" s="1044"/>
    </row>
    <row r="881" spans="1:28">
      <c r="A881" s="1083"/>
      <c r="AB881" s="1044"/>
    </row>
    <row r="882" spans="1:28">
      <c r="A882" s="1099" t="s">
        <v>386</v>
      </c>
      <c r="B882" s="424"/>
      <c r="C882" s="424"/>
      <c r="D882" s="424"/>
      <c r="E882" s="424"/>
      <c r="F882" s="424"/>
      <c r="G882" s="424"/>
      <c r="H882" s="424"/>
      <c r="I882" s="424"/>
      <c r="J882" s="424"/>
      <c r="K882" s="424"/>
      <c r="L882" s="424"/>
      <c r="M882" s="424"/>
      <c r="N882" s="424"/>
      <c r="O882" s="424"/>
      <c r="P882" s="424"/>
      <c r="Q882" s="424"/>
      <c r="R882" s="424"/>
      <c r="S882" s="424"/>
      <c r="T882" s="424"/>
      <c r="U882" s="424"/>
      <c r="V882" s="424"/>
      <c r="W882" s="424"/>
      <c r="X882" s="424"/>
      <c r="Y882" s="424"/>
      <c r="Z882" s="424"/>
      <c r="AA882" s="424"/>
      <c r="AB882" s="1100"/>
    </row>
    <row r="883" spans="1:28">
      <c r="A883" s="1101" t="s">
        <v>205</v>
      </c>
      <c r="B883" s="1102"/>
      <c r="C883" s="1102"/>
      <c r="D883" s="1103"/>
      <c r="E883" s="1104" t="s">
        <v>206</v>
      </c>
      <c r="F883" s="1102"/>
      <c r="G883" s="1102"/>
      <c r="H883" s="1103"/>
      <c r="I883" s="1104"/>
      <c r="J883" s="1102"/>
      <c r="K883" s="1102"/>
      <c r="L883" s="1103"/>
      <c r="M883" s="1104"/>
      <c r="N883" s="1102"/>
      <c r="O883" s="1102"/>
      <c r="P883" s="1103"/>
      <c r="Q883" s="1104"/>
      <c r="R883" s="1102"/>
      <c r="S883" s="1102"/>
      <c r="T883" s="1103"/>
      <c r="U883" s="1104"/>
      <c r="V883" s="1102"/>
      <c r="W883" s="1102"/>
      <c r="X883" s="1103"/>
      <c r="Y883" s="1055" t="s">
        <v>326</v>
      </c>
      <c r="Z883" s="1056"/>
      <c r="AA883" s="1056"/>
      <c r="AB883" s="1057"/>
    </row>
    <row r="884" spans="1:28">
      <c r="A884" s="1058" t="s">
        <v>209</v>
      </c>
      <c r="B884" s="1059"/>
      <c r="C884" s="1059"/>
      <c r="D884" s="1060"/>
      <c r="E884" s="1061" t="s">
        <v>315</v>
      </c>
      <c r="F884" s="1059"/>
      <c r="G884" s="1059"/>
      <c r="H884" s="1060"/>
      <c r="I884" s="1061"/>
      <c r="J884" s="1059"/>
      <c r="K884" s="1059"/>
      <c r="L884" s="1060"/>
      <c r="M884" s="1061"/>
      <c r="N884" s="1059"/>
      <c r="O884" s="1059"/>
      <c r="P884" s="1060"/>
      <c r="Q884" s="1061"/>
      <c r="R884" s="1059"/>
      <c r="S884" s="1059"/>
      <c r="T884" s="1060"/>
      <c r="U884" s="1061"/>
      <c r="V884" s="1059"/>
      <c r="W884" s="1059"/>
      <c r="X884" s="1060"/>
      <c r="Y884" s="1065"/>
      <c r="Z884" s="1066"/>
      <c r="AA884" s="1066"/>
      <c r="AB884" s="1067"/>
    </row>
    <row r="885" ht="15.75" spans="1:28">
      <c r="A885" s="1109">
        <v>4</v>
      </c>
      <c r="B885" s="1110"/>
      <c r="C885" s="1110"/>
      <c r="D885" s="1110"/>
      <c r="E885" s="1110">
        <v>0.4</v>
      </c>
      <c r="F885" s="1110"/>
      <c r="G885" s="1110"/>
      <c r="H885" s="1110"/>
      <c r="I885" s="1110"/>
      <c r="J885" s="1110"/>
      <c r="K885" s="1110"/>
      <c r="L885" s="1110"/>
      <c r="M885" s="1077"/>
      <c r="N885" s="1077"/>
      <c r="O885" s="1077"/>
      <c r="P885" s="1077"/>
      <c r="Q885" s="1151"/>
      <c r="R885" s="1152"/>
      <c r="S885" s="1152"/>
      <c r="T885" s="1153"/>
      <c r="U885" s="1151"/>
      <c r="V885" s="1152"/>
      <c r="W885" s="1152"/>
      <c r="X885" s="1153"/>
      <c r="Y885" s="1077">
        <f>(E885+0.2)*A885*0.05</f>
        <v>0.12</v>
      </c>
      <c r="Z885" s="1077"/>
      <c r="AA885" s="1077"/>
      <c r="AB885" s="1078"/>
    </row>
    <row r="886" ht="17.25" spans="1:28">
      <c r="A886" s="1079" t="s">
        <v>327</v>
      </c>
      <c r="B886" s="1080"/>
      <c r="C886" s="1080"/>
      <c r="D886" s="1080"/>
      <c r="E886" s="1080"/>
      <c r="F886" s="1080"/>
      <c r="G886" s="1080"/>
      <c r="H886" s="1080"/>
      <c r="I886" s="1080"/>
      <c r="J886" s="1080"/>
      <c r="K886" s="1080"/>
      <c r="L886" s="1080"/>
      <c r="M886" s="1080"/>
      <c r="N886" s="1080"/>
      <c r="O886" s="1080"/>
      <c r="P886" s="1080"/>
      <c r="Q886" s="1080"/>
      <c r="R886" s="1080"/>
      <c r="S886" s="1080"/>
      <c r="T886" s="1080"/>
      <c r="U886" s="1080"/>
      <c r="V886" s="1080"/>
      <c r="W886" s="1080"/>
      <c r="X886" s="1080"/>
      <c r="Y886" s="1080"/>
      <c r="Z886" s="1080"/>
      <c r="AA886" s="1080"/>
      <c r="AB886" s="1081"/>
    </row>
    <row r="887" spans="1:28">
      <c r="A887" s="1083"/>
      <c r="AB887" s="1044"/>
    </row>
    <row r="888" spans="1:28">
      <c r="A888" s="1099" t="s">
        <v>387</v>
      </c>
      <c r="B888" s="424"/>
      <c r="C888" s="424"/>
      <c r="D888" s="424"/>
      <c r="E888" s="424"/>
      <c r="F888" s="424"/>
      <c r="G888" s="424"/>
      <c r="H888" s="424"/>
      <c r="I888" s="424"/>
      <c r="J888" s="424"/>
      <c r="K888" s="424"/>
      <c r="L888" s="424"/>
      <c r="M888" s="424"/>
      <c r="N888" s="424"/>
      <c r="O888" s="424"/>
      <c r="P888" s="424"/>
      <c r="Q888" s="424"/>
      <c r="R888" s="424"/>
      <c r="S888" s="424"/>
      <c r="T888" s="424"/>
      <c r="U888" s="424"/>
      <c r="V888" s="424"/>
      <c r="W888" s="424"/>
      <c r="X888" s="424"/>
      <c r="Y888" s="424"/>
      <c r="Z888" s="424"/>
      <c r="AA888" s="424"/>
      <c r="AB888" s="1100"/>
    </row>
    <row r="889" spans="1:28">
      <c r="A889" s="1101" t="s">
        <v>249</v>
      </c>
      <c r="B889" s="1102"/>
      <c r="C889" s="1102"/>
      <c r="D889" s="1103"/>
      <c r="E889" s="1104" t="s">
        <v>252</v>
      </c>
      <c r="F889" s="1102"/>
      <c r="G889" s="1102"/>
      <c r="H889" s="1103"/>
      <c r="I889" s="1104"/>
      <c r="J889" s="1102"/>
      <c r="K889" s="1102"/>
      <c r="L889" s="1103"/>
      <c r="M889" s="1104"/>
      <c r="N889" s="1102"/>
      <c r="O889" s="1102"/>
      <c r="P889" s="1103"/>
      <c r="Q889" s="1104"/>
      <c r="R889" s="1102"/>
      <c r="S889" s="1102"/>
      <c r="T889" s="1103"/>
      <c r="U889" s="1104"/>
      <c r="V889" s="1102"/>
      <c r="W889" s="1102"/>
      <c r="X889" s="1103"/>
      <c r="Y889" s="1055" t="s">
        <v>326</v>
      </c>
      <c r="Z889" s="1056"/>
      <c r="AA889" s="1056"/>
      <c r="AB889" s="1057"/>
    </row>
    <row r="890" spans="1:28">
      <c r="A890" s="1058" t="s">
        <v>209</v>
      </c>
      <c r="B890" s="1059"/>
      <c r="C890" s="1059"/>
      <c r="D890" s="1060"/>
      <c r="E890" s="1061" t="s">
        <v>315</v>
      </c>
      <c r="F890" s="1059"/>
      <c r="G890" s="1059"/>
      <c r="H890" s="1060"/>
      <c r="I890" s="1061"/>
      <c r="J890" s="1059"/>
      <c r="K890" s="1059"/>
      <c r="L890" s="1060"/>
      <c r="M890" s="1061"/>
      <c r="N890" s="1059"/>
      <c r="O890" s="1059"/>
      <c r="P890" s="1060"/>
      <c r="Q890" s="1061"/>
      <c r="R890" s="1059"/>
      <c r="S890" s="1059"/>
      <c r="T890" s="1060"/>
      <c r="U890" s="1061"/>
      <c r="V890" s="1059"/>
      <c r="W890" s="1059"/>
      <c r="X890" s="1060"/>
      <c r="Y890" s="1065"/>
      <c r="Z890" s="1066"/>
      <c r="AA890" s="1066"/>
      <c r="AB890" s="1067"/>
    </row>
    <row r="891" ht="15.75" spans="1:28">
      <c r="A891" s="1109">
        <v>4</v>
      </c>
      <c r="B891" s="1110"/>
      <c r="C891" s="1110"/>
      <c r="D891" s="1110"/>
      <c r="E891" s="1110">
        <v>0.4</v>
      </c>
      <c r="F891" s="1110"/>
      <c r="G891" s="1110"/>
      <c r="H891" s="1110"/>
      <c r="I891" s="1110"/>
      <c r="J891" s="1110"/>
      <c r="K891" s="1110"/>
      <c r="L891" s="1110"/>
      <c r="M891" s="1077"/>
      <c r="N891" s="1077"/>
      <c r="O891" s="1077"/>
      <c r="P891" s="1077"/>
      <c r="Q891" s="1151"/>
      <c r="R891" s="1152"/>
      <c r="S891" s="1152"/>
      <c r="T891" s="1153"/>
      <c r="U891" s="1151"/>
      <c r="V891" s="1152"/>
      <c r="W891" s="1152"/>
      <c r="X891" s="1153"/>
      <c r="Y891" s="1077">
        <f>(E891+0.2)*A891*0.05</f>
        <v>0.12</v>
      </c>
      <c r="Z891" s="1077"/>
      <c r="AA891" s="1077"/>
      <c r="AB891" s="1078"/>
    </row>
    <row r="892" ht="17.25" spans="1:28">
      <c r="A892" s="1079" t="s">
        <v>328</v>
      </c>
      <c r="B892" s="1080"/>
      <c r="C892" s="1080"/>
      <c r="D892" s="1080"/>
      <c r="E892" s="1080"/>
      <c r="F892" s="1080"/>
      <c r="G892" s="1080"/>
      <c r="H892" s="1080"/>
      <c r="I892" s="1080"/>
      <c r="J892" s="1080"/>
      <c r="K892" s="1080"/>
      <c r="L892" s="1080"/>
      <c r="M892" s="1080"/>
      <c r="N892" s="1080"/>
      <c r="O892" s="1080"/>
      <c r="P892" s="1080"/>
      <c r="Q892" s="1080"/>
      <c r="R892" s="1080"/>
      <c r="S892" s="1080"/>
      <c r="T892" s="1080"/>
      <c r="U892" s="1080"/>
      <c r="V892" s="1080"/>
      <c r="W892" s="1080"/>
      <c r="X892" s="1080"/>
      <c r="Y892" s="1080"/>
      <c r="Z892" s="1080"/>
      <c r="AA892" s="1080"/>
      <c r="AB892" s="1081"/>
    </row>
    <row r="893" spans="1:28">
      <c r="A893" s="1083"/>
      <c r="AB893" s="1044"/>
    </row>
    <row r="894" spans="1:28">
      <c r="A894" s="1099" t="s">
        <v>388</v>
      </c>
      <c r="B894" s="424"/>
      <c r="C894" s="424"/>
      <c r="D894" s="424"/>
      <c r="E894" s="424"/>
      <c r="F894" s="424"/>
      <c r="G894" s="424"/>
      <c r="H894" s="424"/>
      <c r="I894" s="424"/>
      <c r="J894" s="424"/>
      <c r="K894" s="424"/>
      <c r="L894" s="424"/>
      <c r="M894" s="424"/>
      <c r="N894" s="424"/>
      <c r="O894" s="424"/>
      <c r="P894" s="424"/>
      <c r="Q894" s="424"/>
      <c r="R894" s="424"/>
      <c r="S894" s="424"/>
      <c r="T894" s="424"/>
      <c r="U894" s="424"/>
      <c r="V894" s="424"/>
      <c r="W894" s="424"/>
      <c r="X894" s="424"/>
      <c r="Y894" s="424"/>
      <c r="Z894" s="424"/>
      <c r="AA894" s="424"/>
      <c r="AB894" s="1100"/>
    </row>
    <row r="895" customHeight="1" spans="1:28">
      <c r="A895" s="1101" t="s">
        <v>236</v>
      </c>
      <c r="B895" s="1102"/>
      <c r="C895" s="1102"/>
      <c r="D895" s="1103"/>
      <c r="E895" s="1104" t="s">
        <v>237</v>
      </c>
      <c r="F895" s="1102"/>
      <c r="G895" s="1102"/>
      <c r="H895" s="1103"/>
      <c r="I895" s="1104"/>
      <c r="J895" s="1102"/>
      <c r="K895" s="1102"/>
      <c r="L895" s="1103"/>
      <c r="M895" s="1104"/>
      <c r="N895" s="1102"/>
      <c r="O895" s="1102"/>
      <c r="P895" s="1103"/>
      <c r="Q895" s="1104"/>
      <c r="R895" s="1102"/>
      <c r="S895" s="1102"/>
      <c r="T895" s="1103"/>
      <c r="U895" s="1104"/>
      <c r="V895" s="1102"/>
      <c r="W895" s="1102"/>
      <c r="X895" s="1103"/>
      <c r="Y895" s="1055" t="s">
        <v>326</v>
      </c>
      <c r="Z895" s="1056"/>
      <c r="AA895" s="1056"/>
      <c r="AB895" s="1057"/>
    </row>
    <row r="896" customHeight="1" spans="1:28">
      <c r="A896" s="1058" t="s">
        <v>209</v>
      </c>
      <c r="B896" s="1059"/>
      <c r="C896" s="1059"/>
      <c r="D896" s="1060"/>
      <c r="E896" s="1061" t="s">
        <v>315</v>
      </c>
      <c r="F896" s="1059"/>
      <c r="G896" s="1059"/>
      <c r="H896" s="1060"/>
      <c r="I896" s="1061"/>
      <c r="J896" s="1059"/>
      <c r="K896" s="1059"/>
      <c r="L896" s="1060"/>
      <c r="M896" s="1061"/>
      <c r="N896" s="1059"/>
      <c r="O896" s="1059"/>
      <c r="P896" s="1060"/>
      <c r="Q896" s="1061"/>
      <c r="R896" s="1059"/>
      <c r="S896" s="1059"/>
      <c r="T896" s="1060"/>
      <c r="U896" s="1061"/>
      <c r="V896" s="1059"/>
      <c r="W896" s="1059"/>
      <c r="X896" s="1060"/>
      <c r="Y896" s="1065"/>
      <c r="Z896" s="1066"/>
      <c r="AA896" s="1066"/>
      <c r="AB896" s="1067"/>
    </row>
    <row r="897" ht="15.75" spans="1:28">
      <c r="A897" s="1109">
        <v>6</v>
      </c>
      <c r="B897" s="1110"/>
      <c r="C897" s="1110"/>
      <c r="D897" s="1110"/>
      <c r="E897" s="1110">
        <v>0.4</v>
      </c>
      <c r="F897" s="1110"/>
      <c r="G897" s="1110"/>
      <c r="H897" s="1110"/>
      <c r="I897" s="1110"/>
      <c r="J897" s="1110"/>
      <c r="K897" s="1110"/>
      <c r="L897" s="1110"/>
      <c r="M897" s="1077"/>
      <c r="N897" s="1077"/>
      <c r="O897" s="1077"/>
      <c r="P897" s="1077"/>
      <c r="Q897" s="1151"/>
      <c r="R897" s="1152"/>
      <c r="S897" s="1152"/>
      <c r="T897" s="1153"/>
      <c r="U897" s="1151"/>
      <c r="V897" s="1152"/>
      <c r="W897" s="1152"/>
      <c r="X897" s="1153"/>
      <c r="Y897" s="1077">
        <f>(E897+0.2)*A897*0.05</f>
        <v>0.18</v>
      </c>
      <c r="Z897" s="1077"/>
      <c r="AA897" s="1077"/>
      <c r="AB897" s="1078"/>
    </row>
    <row r="898" ht="17.25" spans="1:28">
      <c r="A898" s="1079" t="s">
        <v>329</v>
      </c>
      <c r="B898" s="1080"/>
      <c r="C898" s="1080"/>
      <c r="D898" s="1080"/>
      <c r="E898" s="1080"/>
      <c r="F898" s="1080"/>
      <c r="G898" s="1080"/>
      <c r="H898" s="1080"/>
      <c r="I898" s="1080"/>
      <c r="J898" s="1080"/>
      <c r="K898" s="1080"/>
      <c r="L898" s="1080"/>
      <c r="M898" s="1080"/>
      <c r="N898" s="1080"/>
      <c r="O898" s="1080"/>
      <c r="P898" s="1080"/>
      <c r="Q898" s="1080"/>
      <c r="R898" s="1080"/>
      <c r="S898" s="1080"/>
      <c r="T898" s="1080"/>
      <c r="U898" s="1080"/>
      <c r="V898" s="1080"/>
      <c r="W898" s="1080"/>
      <c r="X898" s="1080"/>
      <c r="Y898" s="1080"/>
      <c r="Z898" s="1080"/>
      <c r="AA898" s="1080"/>
      <c r="AB898" s="1081"/>
    </row>
    <row r="899" ht="15.75" spans="1:28">
      <c r="A899" s="1083"/>
      <c r="AB899" s="1044"/>
    </row>
    <row r="900" spans="1:28">
      <c r="A900" s="1083"/>
      <c r="K900" s="1084" t="s">
        <v>392</v>
      </c>
      <c r="L900" s="1085"/>
      <c r="M900" s="1085"/>
      <c r="N900" s="1085"/>
      <c r="O900" s="1085"/>
      <c r="P900" s="1085"/>
      <c r="Q900" s="1085"/>
      <c r="R900" s="1086"/>
      <c r="AB900" s="1044"/>
    </row>
    <row r="901" spans="1:28">
      <c r="A901" s="1083"/>
      <c r="K901" s="1087" t="s">
        <v>331</v>
      </c>
      <c r="L901" s="1088"/>
      <c r="M901" s="1088"/>
      <c r="N901" s="1088"/>
      <c r="O901" s="1088"/>
      <c r="P901" s="1088"/>
      <c r="Q901" s="1088"/>
      <c r="R901" s="1089"/>
      <c r="AB901" s="1044"/>
    </row>
    <row r="902" spans="1:28">
      <c r="A902" s="1083"/>
      <c r="K902" s="1090"/>
      <c r="L902" s="1091"/>
      <c r="M902" s="1091"/>
      <c r="N902" s="1091"/>
      <c r="O902" s="1091"/>
      <c r="P902" s="1091"/>
      <c r="Q902" s="1091"/>
      <c r="R902" s="1092"/>
      <c r="AB902" s="1044"/>
    </row>
    <row r="903" ht="15.75" spans="1:28">
      <c r="A903" s="1083"/>
      <c r="K903" s="1093">
        <f>ROUNDUP(Y885+Y891+Y897,2)</f>
        <v>0.42</v>
      </c>
      <c r="L903" s="1094"/>
      <c r="M903" s="1094"/>
      <c r="N903" s="1094"/>
      <c r="O903" s="1094"/>
      <c r="P903" s="1094"/>
      <c r="Q903" s="1094"/>
      <c r="R903" s="1095"/>
      <c r="AB903" s="1044"/>
    </row>
    <row r="904" ht="15.75" spans="1:28">
      <c r="A904" s="1096"/>
      <c r="B904" s="389"/>
      <c r="C904" s="389"/>
      <c r="D904" s="389"/>
      <c r="E904" s="389"/>
      <c r="F904" s="389"/>
      <c r="G904" s="389"/>
      <c r="H904" s="389"/>
      <c r="I904" s="1097"/>
      <c r="J904" s="1097"/>
      <c r="K904" s="1097"/>
      <c r="L904" s="1097"/>
      <c r="M904" s="1097"/>
      <c r="N904" s="1097"/>
      <c r="O904" s="1097"/>
      <c r="P904" s="1097"/>
      <c r="Q904" s="389"/>
      <c r="R904" s="389"/>
      <c r="S904" s="389"/>
      <c r="T904" s="389"/>
      <c r="U904" s="389"/>
      <c r="V904" s="389"/>
      <c r="W904" s="389"/>
      <c r="X904" s="389"/>
      <c r="Y904" s="389"/>
      <c r="Z904" s="389"/>
      <c r="AA904" s="389"/>
      <c r="AB904" s="1098"/>
    </row>
    <row r="905" spans="1:28">
      <c r="A905" s="1040" t="s">
        <v>393</v>
      </c>
      <c r="B905" s="1041"/>
      <c r="C905" s="1041"/>
      <c r="D905" s="1041"/>
      <c r="E905" s="1041"/>
      <c r="F905" s="1041"/>
      <c r="G905" s="1041"/>
      <c r="H905" s="1041"/>
      <c r="I905" s="1041"/>
      <c r="J905" s="1041"/>
      <c r="K905" s="1041"/>
      <c r="L905" s="1041"/>
      <c r="M905" s="1041"/>
      <c r="N905" s="1041"/>
      <c r="O905" s="1041"/>
      <c r="P905" s="1041"/>
      <c r="Q905" s="1041"/>
      <c r="R905" s="1041"/>
      <c r="S905" s="1041"/>
      <c r="T905" s="1041"/>
      <c r="U905" s="1041"/>
      <c r="V905" s="1041"/>
      <c r="W905" s="1041"/>
      <c r="X905" s="1041"/>
      <c r="Y905" s="1041"/>
      <c r="Z905" s="1041"/>
      <c r="AA905" s="1041"/>
      <c r="AB905" s="1042"/>
    </row>
    <row r="906" customHeight="1" spans="1:28">
      <c r="A906" s="1083"/>
      <c r="AB906" s="1044"/>
    </row>
    <row r="907" spans="1:28">
      <c r="A907" s="1083"/>
      <c r="AB907" s="1044"/>
    </row>
    <row r="908" spans="1:28">
      <c r="A908" s="1083"/>
      <c r="AB908" s="1044"/>
    </row>
    <row r="909" spans="1:28">
      <c r="A909" s="1083"/>
      <c r="AB909" s="1044"/>
    </row>
    <row r="910" spans="1:28">
      <c r="A910" s="1083"/>
      <c r="AB910" s="1044"/>
    </row>
    <row r="911" spans="1:28">
      <c r="A911" s="1083"/>
      <c r="AB911" s="1044"/>
    </row>
    <row r="912" spans="1:28">
      <c r="A912" s="1083"/>
      <c r="AB912" s="1044"/>
    </row>
    <row r="913" spans="1:28">
      <c r="A913" s="1083"/>
      <c r="AB913" s="1044"/>
    </row>
    <row r="914" spans="1:28">
      <c r="A914" s="1083"/>
      <c r="AB914" s="1044"/>
    </row>
    <row r="915" spans="1:28">
      <c r="A915" s="1083"/>
      <c r="AB915" s="1044"/>
    </row>
    <row r="916" spans="1:28">
      <c r="A916" s="1083"/>
      <c r="AB916" s="1044"/>
    </row>
    <row r="917" spans="1:28">
      <c r="A917" s="1083"/>
      <c r="AB917" s="1044"/>
    </row>
    <row r="918" spans="1:28">
      <c r="A918" s="1083"/>
      <c r="AB918" s="1044"/>
    </row>
    <row r="919" spans="1:28">
      <c r="A919" s="1083"/>
      <c r="AB919" s="1044"/>
    </row>
    <row r="920" spans="1:28">
      <c r="A920" s="1083"/>
      <c r="AB920" s="1044"/>
    </row>
    <row r="921" spans="1:28">
      <c r="A921" s="1083"/>
      <c r="AB921" s="1044"/>
    </row>
    <row r="922" spans="1:28">
      <c r="A922" s="1099" t="s">
        <v>386</v>
      </c>
      <c r="B922" s="424"/>
      <c r="C922" s="424"/>
      <c r="D922" s="424"/>
      <c r="E922" s="424"/>
      <c r="F922" s="424"/>
      <c r="G922" s="424"/>
      <c r="H922" s="424"/>
      <c r="I922" s="424"/>
      <c r="J922" s="424"/>
      <c r="K922" s="424"/>
      <c r="L922" s="424"/>
      <c r="M922" s="424"/>
      <c r="N922" s="424"/>
      <c r="O922" s="424"/>
      <c r="P922" s="424"/>
      <c r="Q922" s="424"/>
      <c r="R922" s="424"/>
      <c r="S922" s="424"/>
      <c r="T922" s="424"/>
      <c r="U922" s="424"/>
      <c r="V922" s="424"/>
      <c r="W922" s="424"/>
      <c r="X922" s="424"/>
      <c r="Y922" s="424"/>
      <c r="Z922" s="424"/>
      <c r="AA922" s="424"/>
      <c r="AB922" s="1100"/>
    </row>
    <row r="923" spans="1:28">
      <c r="A923" s="1101" t="s">
        <v>205</v>
      </c>
      <c r="B923" s="1102"/>
      <c r="C923" s="1102"/>
      <c r="D923" s="1103"/>
      <c r="E923" s="1104" t="s">
        <v>206</v>
      </c>
      <c r="F923" s="1102"/>
      <c r="G923" s="1102"/>
      <c r="H923" s="1103"/>
      <c r="I923" s="1104" t="s">
        <v>235</v>
      </c>
      <c r="J923" s="1102"/>
      <c r="K923" s="1102"/>
      <c r="L923" s="1103"/>
      <c r="M923" s="1104"/>
      <c r="N923" s="1102"/>
      <c r="O923" s="1102"/>
      <c r="P923" s="1103"/>
      <c r="Q923" s="1104"/>
      <c r="R923" s="1102"/>
      <c r="S923" s="1102"/>
      <c r="T923" s="1103"/>
      <c r="U923" s="1055"/>
      <c r="V923" s="1056"/>
      <c r="W923" s="1056"/>
      <c r="X923" s="1105"/>
      <c r="Y923" s="1104" t="s">
        <v>333</v>
      </c>
      <c r="Z923" s="1102"/>
      <c r="AA923" s="1102"/>
      <c r="AB923" s="1106"/>
    </row>
    <row r="924" spans="1:28">
      <c r="A924" s="1058" t="s">
        <v>209</v>
      </c>
      <c r="B924" s="1059"/>
      <c r="C924" s="1059"/>
      <c r="D924" s="1060"/>
      <c r="E924" s="1061" t="s">
        <v>315</v>
      </c>
      <c r="F924" s="1059"/>
      <c r="G924" s="1059"/>
      <c r="H924" s="1060"/>
      <c r="I924" s="1061" t="s">
        <v>210</v>
      </c>
      <c r="J924" s="1059"/>
      <c r="K924" s="1059"/>
      <c r="L924" s="1060"/>
      <c r="M924" s="1061"/>
      <c r="N924" s="1059"/>
      <c r="O924" s="1059"/>
      <c r="P924" s="1060"/>
      <c r="Q924" s="1061"/>
      <c r="R924" s="1059"/>
      <c r="S924" s="1059"/>
      <c r="T924" s="1060"/>
      <c r="U924" s="1065"/>
      <c r="V924" s="1066"/>
      <c r="W924" s="1066"/>
      <c r="X924" s="1107"/>
      <c r="Y924" s="1061"/>
      <c r="Z924" s="1059"/>
      <c r="AA924" s="1059"/>
      <c r="AB924" s="1108"/>
    </row>
    <row r="925" ht="15.75" spans="1:28">
      <c r="A925" s="1109">
        <v>4</v>
      </c>
      <c r="B925" s="1110"/>
      <c r="C925" s="1110"/>
      <c r="D925" s="1110"/>
      <c r="E925" s="1110">
        <v>0.4</v>
      </c>
      <c r="F925" s="1110"/>
      <c r="G925" s="1110"/>
      <c r="H925" s="1110"/>
      <c r="I925" s="1110">
        <v>6.24</v>
      </c>
      <c r="J925" s="1110"/>
      <c r="K925" s="1110"/>
      <c r="L925" s="1110"/>
      <c r="M925" s="1077"/>
      <c r="N925" s="1077"/>
      <c r="O925" s="1077"/>
      <c r="P925" s="1077"/>
      <c r="Q925" s="1077"/>
      <c r="R925" s="1077"/>
      <c r="S925" s="1077"/>
      <c r="T925" s="1077"/>
      <c r="U925" s="1077"/>
      <c r="V925" s="1077"/>
      <c r="W925" s="1077"/>
      <c r="X925" s="1077"/>
      <c r="Y925" s="1111">
        <f>($A925+$E925+$A925)*$I925</f>
        <v>52.416</v>
      </c>
      <c r="Z925" s="1112"/>
      <c r="AA925" s="1112"/>
      <c r="AB925" s="1113"/>
    </row>
    <row r="926" ht="15.75" spans="1:28">
      <c r="A926" s="1079" t="s">
        <v>334</v>
      </c>
      <c r="B926" s="1080"/>
      <c r="C926" s="1080"/>
      <c r="D926" s="1080"/>
      <c r="E926" s="1080"/>
      <c r="F926" s="1080"/>
      <c r="G926" s="1080"/>
      <c r="H926" s="1080"/>
      <c r="I926" s="1080"/>
      <c r="J926" s="1080"/>
      <c r="K926" s="1080"/>
      <c r="L926" s="1080"/>
      <c r="M926" s="1080"/>
      <c r="N926" s="1080"/>
      <c r="O926" s="1080"/>
      <c r="P926" s="1080"/>
      <c r="Q926" s="1080"/>
      <c r="R926" s="1080"/>
      <c r="S926" s="1080"/>
      <c r="T926" s="1080"/>
      <c r="U926" s="1080"/>
      <c r="V926" s="1080"/>
      <c r="W926" s="1080"/>
      <c r="X926" s="1080"/>
      <c r="Y926" s="1080"/>
      <c r="Z926" s="1080"/>
      <c r="AA926" s="1080"/>
      <c r="AB926" s="1081"/>
    </row>
    <row r="927" spans="1:28">
      <c r="A927" s="1083"/>
      <c r="AB927" s="1044"/>
    </row>
    <row r="928" spans="1:28">
      <c r="A928" s="1099" t="s">
        <v>387</v>
      </c>
      <c r="B928" s="424"/>
      <c r="C928" s="424"/>
      <c r="D928" s="424"/>
      <c r="E928" s="424"/>
      <c r="F928" s="424"/>
      <c r="G928" s="424"/>
      <c r="H928" s="424"/>
      <c r="I928" s="424"/>
      <c r="J928" s="424"/>
      <c r="K928" s="424"/>
      <c r="L928" s="424"/>
      <c r="M928" s="424"/>
      <c r="N928" s="424"/>
      <c r="O928" s="424"/>
      <c r="P928" s="424"/>
      <c r="Q928" s="424"/>
      <c r="R928" s="424"/>
      <c r="S928" s="424"/>
      <c r="T928" s="424"/>
      <c r="U928" s="424"/>
      <c r="V928" s="424"/>
      <c r="W928" s="424"/>
      <c r="X928" s="424"/>
      <c r="Y928" s="424"/>
      <c r="Z928" s="424"/>
      <c r="AA928" s="424"/>
      <c r="AB928" s="1100"/>
    </row>
    <row r="929" spans="1:28">
      <c r="A929" s="1101" t="s">
        <v>249</v>
      </c>
      <c r="B929" s="1102"/>
      <c r="C929" s="1102"/>
      <c r="D929" s="1103"/>
      <c r="E929" s="1104" t="s">
        <v>252</v>
      </c>
      <c r="F929" s="1102"/>
      <c r="G929" s="1102"/>
      <c r="H929" s="1103"/>
      <c r="I929" s="1104" t="s">
        <v>253</v>
      </c>
      <c r="J929" s="1102"/>
      <c r="K929" s="1102"/>
      <c r="L929" s="1103"/>
      <c r="M929" s="1104"/>
      <c r="N929" s="1102"/>
      <c r="O929" s="1102"/>
      <c r="P929" s="1103"/>
      <c r="Q929" s="1104"/>
      <c r="R929" s="1102"/>
      <c r="S929" s="1102"/>
      <c r="T929" s="1103"/>
      <c r="U929" s="1055"/>
      <c r="V929" s="1056"/>
      <c r="W929" s="1056"/>
      <c r="X929" s="1105"/>
      <c r="Y929" s="1104" t="s">
        <v>333</v>
      </c>
      <c r="Z929" s="1102"/>
      <c r="AA929" s="1102"/>
      <c r="AB929" s="1106"/>
    </row>
    <row r="930" spans="1:28">
      <c r="A930" s="1058" t="s">
        <v>209</v>
      </c>
      <c r="B930" s="1059"/>
      <c r="C930" s="1059"/>
      <c r="D930" s="1060"/>
      <c r="E930" s="1061" t="s">
        <v>315</v>
      </c>
      <c r="F930" s="1059"/>
      <c r="G930" s="1059"/>
      <c r="H930" s="1060"/>
      <c r="I930" s="1061" t="s">
        <v>210</v>
      </c>
      <c r="J930" s="1059"/>
      <c r="K930" s="1059"/>
      <c r="L930" s="1060"/>
      <c r="M930" s="1061"/>
      <c r="N930" s="1059"/>
      <c r="O930" s="1059"/>
      <c r="P930" s="1060"/>
      <c r="Q930" s="1061"/>
      <c r="R930" s="1059"/>
      <c r="S930" s="1059"/>
      <c r="T930" s="1060"/>
      <c r="U930" s="1065"/>
      <c r="V930" s="1066"/>
      <c r="W930" s="1066"/>
      <c r="X930" s="1107"/>
      <c r="Y930" s="1061"/>
      <c r="Z930" s="1059"/>
      <c r="AA930" s="1059"/>
      <c r="AB930" s="1108"/>
    </row>
    <row r="931" ht="15.75" spans="1:28">
      <c r="A931" s="1109">
        <v>4</v>
      </c>
      <c r="B931" s="1110"/>
      <c r="C931" s="1110"/>
      <c r="D931" s="1110"/>
      <c r="E931" s="1110">
        <v>0.4</v>
      </c>
      <c r="F931" s="1110"/>
      <c r="G931" s="1110"/>
      <c r="H931" s="1110"/>
      <c r="I931" s="1110">
        <v>6.24</v>
      </c>
      <c r="J931" s="1110"/>
      <c r="K931" s="1110"/>
      <c r="L931" s="1110"/>
      <c r="M931" s="1077"/>
      <c r="N931" s="1077"/>
      <c r="O931" s="1077"/>
      <c r="P931" s="1077"/>
      <c r="Q931" s="1077"/>
      <c r="R931" s="1077"/>
      <c r="S931" s="1077"/>
      <c r="T931" s="1077"/>
      <c r="U931" s="1077"/>
      <c r="V931" s="1077"/>
      <c r="W931" s="1077"/>
      <c r="X931" s="1077"/>
      <c r="Y931" s="1111">
        <f>($A931+$E931+$A931)*$I931</f>
        <v>52.416</v>
      </c>
      <c r="Z931" s="1112"/>
      <c r="AA931" s="1112"/>
      <c r="AB931" s="1113"/>
    </row>
    <row r="932" ht="15.75" spans="1:28">
      <c r="A932" s="1079" t="s">
        <v>335</v>
      </c>
      <c r="B932" s="1080"/>
      <c r="C932" s="1080"/>
      <c r="D932" s="1080"/>
      <c r="E932" s="1080"/>
      <c r="F932" s="1080"/>
      <c r="G932" s="1080"/>
      <c r="H932" s="1080"/>
      <c r="I932" s="1080"/>
      <c r="J932" s="1080"/>
      <c r="K932" s="1080"/>
      <c r="L932" s="1080"/>
      <c r="M932" s="1080"/>
      <c r="N932" s="1080"/>
      <c r="O932" s="1080"/>
      <c r="P932" s="1080"/>
      <c r="Q932" s="1080"/>
      <c r="R932" s="1080"/>
      <c r="S932" s="1080"/>
      <c r="T932" s="1080"/>
      <c r="U932" s="1080"/>
      <c r="V932" s="1080"/>
      <c r="W932" s="1080"/>
      <c r="X932" s="1080"/>
      <c r="Y932" s="1080"/>
      <c r="Z932" s="1080"/>
      <c r="AA932" s="1080"/>
      <c r="AB932" s="1081"/>
    </row>
    <row r="933" spans="1:28">
      <c r="A933" s="1083"/>
      <c r="AB933" s="1044"/>
    </row>
    <row r="934" spans="1:28">
      <c r="A934" s="1099" t="s">
        <v>388</v>
      </c>
      <c r="B934" s="424"/>
      <c r="C934" s="424"/>
      <c r="D934" s="424"/>
      <c r="E934" s="424"/>
      <c r="F934" s="424"/>
      <c r="G934" s="424"/>
      <c r="H934" s="424"/>
      <c r="I934" s="424"/>
      <c r="J934" s="424"/>
      <c r="K934" s="424"/>
      <c r="L934" s="424"/>
      <c r="M934" s="424"/>
      <c r="N934" s="424"/>
      <c r="O934" s="424"/>
      <c r="P934" s="424"/>
      <c r="Q934" s="424"/>
      <c r="R934" s="424"/>
      <c r="S934" s="424"/>
      <c r="T934" s="424"/>
      <c r="U934" s="424"/>
      <c r="V934" s="424"/>
      <c r="W934" s="424"/>
      <c r="X934" s="424"/>
      <c r="Y934" s="424"/>
      <c r="Z934" s="424"/>
      <c r="AA934" s="424"/>
      <c r="AB934" s="1100"/>
    </row>
    <row r="935" customHeight="1" spans="1:28">
      <c r="A935" s="1101" t="s">
        <v>236</v>
      </c>
      <c r="B935" s="1102"/>
      <c r="C935" s="1102"/>
      <c r="D935" s="1103"/>
      <c r="E935" s="1104" t="s">
        <v>237</v>
      </c>
      <c r="F935" s="1102"/>
      <c r="G935" s="1102"/>
      <c r="H935" s="1103"/>
      <c r="I935" s="1104" t="s">
        <v>246</v>
      </c>
      <c r="J935" s="1102"/>
      <c r="K935" s="1102"/>
      <c r="L935" s="1103"/>
      <c r="M935" s="1104"/>
      <c r="N935" s="1102"/>
      <c r="O935" s="1102"/>
      <c r="P935" s="1103"/>
      <c r="Q935" s="1104"/>
      <c r="R935" s="1102"/>
      <c r="S935" s="1102"/>
      <c r="T935" s="1103"/>
      <c r="U935" s="1055"/>
      <c r="V935" s="1056"/>
      <c r="W935" s="1056"/>
      <c r="X935" s="1105"/>
      <c r="Y935" s="1104" t="s">
        <v>333</v>
      </c>
      <c r="Z935" s="1102"/>
      <c r="AA935" s="1102"/>
      <c r="AB935" s="1106"/>
    </row>
    <row r="936" customHeight="1" spans="1:28">
      <c r="A936" s="1058" t="s">
        <v>209</v>
      </c>
      <c r="B936" s="1059"/>
      <c r="C936" s="1059"/>
      <c r="D936" s="1060"/>
      <c r="E936" s="1061" t="s">
        <v>315</v>
      </c>
      <c r="F936" s="1059"/>
      <c r="G936" s="1059"/>
      <c r="H936" s="1060"/>
      <c r="I936" s="1061" t="s">
        <v>210</v>
      </c>
      <c r="J936" s="1059"/>
      <c r="K936" s="1059"/>
      <c r="L936" s="1060"/>
      <c r="M936" s="1061"/>
      <c r="N936" s="1059"/>
      <c r="O936" s="1059"/>
      <c r="P936" s="1060"/>
      <c r="Q936" s="1061"/>
      <c r="R936" s="1059"/>
      <c r="S936" s="1059"/>
      <c r="T936" s="1060"/>
      <c r="U936" s="1065"/>
      <c r="V936" s="1066"/>
      <c r="W936" s="1066"/>
      <c r="X936" s="1107"/>
      <c r="Y936" s="1061"/>
      <c r="Z936" s="1059"/>
      <c r="AA936" s="1059"/>
      <c r="AB936" s="1108"/>
    </row>
    <row r="937" ht="15.75" spans="1:28">
      <c r="A937" s="1109">
        <v>6</v>
      </c>
      <c r="B937" s="1110"/>
      <c r="C937" s="1110"/>
      <c r="D937" s="1110"/>
      <c r="E937" s="1110">
        <v>0.4</v>
      </c>
      <c r="F937" s="1110"/>
      <c r="G937" s="1110"/>
      <c r="H937" s="1110"/>
      <c r="I937" s="1110">
        <v>5</v>
      </c>
      <c r="J937" s="1110"/>
      <c r="K937" s="1110"/>
      <c r="L937" s="1110"/>
      <c r="M937" s="1077"/>
      <c r="N937" s="1077"/>
      <c r="O937" s="1077"/>
      <c r="P937" s="1077"/>
      <c r="Q937" s="1077"/>
      <c r="R937" s="1077"/>
      <c r="S937" s="1077"/>
      <c r="T937" s="1077"/>
      <c r="U937" s="1077"/>
      <c r="V937" s="1077"/>
      <c r="W937" s="1077"/>
      <c r="X937" s="1077"/>
      <c r="Y937" s="1151">
        <f>(A937*I937)+(A937*(I937-I943-M943))</f>
        <v>55.2</v>
      </c>
      <c r="Z937" s="1152"/>
      <c r="AA937" s="1152"/>
      <c r="AB937" s="1156"/>
    </row>
    <row r="938" ht="15.75" spans="1:28">
      <c r="A938" s="1079" t="s">
        <v>336</v>
      </c>
      <c r="B938" s="1080"/>
      <c r="C938" s="1080"/>
      <c r="D938" s="1080"/>
      <c r="E938" s="1080"/>
      <c r="F938" s="1080"/>
      <c r="G938" s="1080"/>
      <c r="H938" s="1080"/>
      <c r="I938" s="1080"/>
      <c r="J938" s="1080"/>
      <c r="K938" s="1080"/>
      <c r="L938" s="1080"/>
      <c r="M938" s="1080"/>
      <c r="N938" s="1080"/>
      <c r="O938" s="1080"/>
      <c r="P938" s="1080"/>
      <c r="Q938" s="1080"/>
      <c r="R938" s="1080"/>
      <c r="S938" s="1080"/>
      <c r="T938" s="1080"/>
      <c r="U938" s="1080"/>
      <c r="V938" s="1080"/>
      <c r="W938" s="1080"/>
      <c r="X938" s="1080"/>
      <c r="Y938" s="1080"/>
      <c r="Z938" s="1080"/>
      <c r="AA938" s="1080"/>
      <c r="AB938" s="1081"/>
    </row>
    <row r="939" spans="1:28">
      <c r="A939" s="1154"/>
      <c r="B939" s="1130"/>
      <c r="C939" s="1130"/>
      <c r="D939" s="1130"/>
      <c r="E939" s="1130"/>
      <c r="F939" s="1130"/>
      <c r="G939" s="1130"/>
      <c r="H939" s="1130"/>
      <c r="I939" s="1130"/>
      <c r="J939" s="1130"/>
      <c r="K939" s="1130"/>
      <c r="L939" s="1130"/>
      <c r="M939" s="1155"/>
      <c r="N939" s="1155"/>
      <c r="O939" s="1155"/>
      <c r="P939" s="1155"/>
      <c r="Q939" s="1155"/>
      <c r="R939" s="1155"/>
      <c r="S939" s="1155"/>
      <c r="T939" s="1155"/>
      <c r="AB939" s="1044"/>
    </row>
    <row r="940" spans="1:28">
      <c r="A940" s="1099" t="s">
        <v>389</v>
      </c>
      <c r="B940" s="424"/>
      <c r="C940" s="424"/>
      <c r="D940" s="424"/>
      <c r="E940" s="424"/>
      <c r="F940" s="424"/>
      <c r="G940" s="424"/>
      <c r="H940" s="424"/>
      <c r="I940" s="424"/>
      <c r="J940" s="424"/>
      <c r="K940" s="424"/>
      <c r="L940" s="424"/>
      <c r="M940" s="424"/>
      <c r="N940" s="424"/>
      <c r="O940" s="424"/>
      <c r="P940" s="424"/>
      <c r="Q940" s="424"/>
      <c r="R940" s="424"/>
      <c r="S940" s="424"/>
      <c r="T940" s="424"/>
      <c r="U940" s="424"/>
      <c r="V940" s="424"/>
      <c r="W940" s="424"/>
      <c r="X940" s="424"/>
      <c r="Y940" s="424"/>
      <c r="Z940" s="424"/>
      <c r="AA940" s="424"/>
      <c r="AB940" s="1100"/>
    </row>
    <row r="941" customHeight="1" spans="1:28">
      <c r="A941" s="1101" t="s">
        <v>236</v>
      </c>
      <c r="B941" s="1102"/>
      <c r="C941" s="1102"/>
      <c r="D941" s="1103"/>
      <c r="E941" s="1104" t="s">
        <v>238</v>
      </c>
      <c r="F941" s="1102"/>
      <c r="G941" s="1102"/>
      <c r="H941" s="1103"/>
      <c r="I941" s="1104" t="s">
        <v>247</v>
      </c>
      <c r="J941" s="1102"/>
      <c r="K941" s="1102"/>
      <c r="L941" s="1103"/>
      <c r="M941" s="1104" t="s">
        <v>248</v>
      </c>
      <c r="N941" s="1102"/>
      <c r="O941" s="1102"/>
      <c r="P941" s="1103"/>
      <c r="Q941" s="1104"/>
      <c r="R941" s="1102"/>
      <c r="S941" s="1102"/>
      <c r="T941" s="1103"/>
      <c r="U941" s="1104"/>
      <c r="V941" s="1102"/>
      <c r="W941" s="1102"/>
      <c r="X941" s="1103"/>
      <c r="Y941" s="1104" t="s">
        <v>333</v>
      </c>
      <c r="Z941" s="1102"/>
      <c r="AA941" s="1102"/>
      <c r="AB941" s="1106"/>
    </row>
    <row r="942" spans="1:28">
      <c r="A942" s="1058" t="s">
        <v>209</v>
      </c>
      <c r="B942" s="1059"/>
      <c r="C942" s="1059"/>
      <c r="D942" s="1060"/>
      <c r="E942" s="1061" t="s">
        <v>315</v>
      </c>
      <c r="F942" s="1059"/>
      <c r="G942" s="1059"/>
      <c r="H942" s="1060"/>
      <c r="I942" s="1061" t="s">
        <v>210</v>
      </c>
      <c r="J942" s="1059"/>
      <c r="K942" s="1059"/>
      <c r="L942" s="1060"/>
      <c r="M942" s="1061" t="s">
        <v>210</v>
      </c>
      <c r="N942" s="1059"/>
      <c r="O942" s="1059"/>
      <c r="P942" s="1060"/>
      <c r="Q942" s="1061"/>
      <c r="R942" s="1059"/>
      <c r="S942" s="1059"/>
      <c r="T942" s="1060"/>
      <c r="U942" s="1061"/>
      <c r="V942" s="1059"/>
      <c r="W942" s="1059"/>
      <c r="X942" s="1060"/>
      <c r="Y942" s="1061"/>
      <c r="Z942" s="1059"/>
      <c r="AA942" s="1059"/>
      <c r="AB942" s="1108"/>
    </row>
    <row r="943" ht="15.75" spans="1:28">
      <c r="A943" s="1109">
        <v>6</v>
      </c>
      <c r="B943" s="1110"/>
      <c r="C943" s="1110"/>
      <c r="D943" s="1110"/>
      <c r="E943" s="1110">
        <v>0.5</v>
      </c>
      <c r="F943" s="1110"/>
      <c r="G943" s="1110"/>
      <c r="H943" s="1110"/>
      <c r="I943" s="1110">
        <v>0.5</v>
      </c>
      <c r="J943" s="1110"/>
      <c r="K943" s="1110"/>
      <c r="L943" s="1110"/>
      <c r="M943" s="1110">
        <v>0.3</v>
      </c>
      <c r="N943" s="1110"/>
      <c r="O943" s="1110"/>
      <c r="P943" s="1110"/>
      <c r="Q943" s="1077"/>
      <c r="R943" s="1077"/>
      <c r="S943" s="1077"/>
      <c r="T943" s="1077"/>
      <c r="U943" s="1077"/>
      <c r="V943" s="1077"/>
      <c r="W943" s="1077"/>
      <c r="X943" s="1077"/>
      <c r="Y943" s="1151">
        <f>(((($E943*$I943/2)+($E943*$M943))*2)+((((($E943^2)+($I943^2))^0.5)+$M943)*$A943))</f>
        <v>6.59264068711928</v>
      </c>
      <c r="Z943" s="1152"/>
      <c r="AA943" s="1152"/>
      <c r="AB943" s="1156"/>
    </row>
    <row r="944" ht="15.75" spans="1:28">
      <c r="A944" s="1157" t="s">
        <v>337</v>
      </c>
      <c r="B944" s="1158"/>
      <c r="C944" s="1158"/>
      <c r="D944" s="1158"/>
      <c r="E944" s="1158"/>
      <c r="F944" s="1158"/>
      <c r="G944" s="1158"/>
      <c r="H944" s="1158"/>
      <c r="I944" s="1158"/>
      <c r="J944" s="1158"/>
      <c r="K944" s="1158"/>
      <c r="L944" s="1158"/>
      <c r="M944" s="1158"/>
      <c r="N944" s="1158"/>
      <c r="O944" s="1158"/>
      <c r="P944" s="1158"/>
      <c r="Q944" s="1158"/>
      <c r="R944" s="1158"/>
      <c r="S944" s="1158"/>
      <c r="T944" s="1158"/>
      <c r="U944" s="1158"/>
      <c r="V944" s="1158"/>
      <c r="W944" s="1158"/>
      <c r="X944" s="1158"/>
      <c r="Y944" s="1158"/>
      <c r="Z944" s="1158"/>
      <c r="AA944" s="1158"/>
      <c r="AB944" s="1159"/>
    </row>
    <row r="945" ht="15.75" spans="1:28">
      <c r="A945" s="1083"/>
      <c r="AB945" s="1044"/>
    </row>
    <row r="946" spans="1:28">
      <c r="A946" s="1083"/>
      <c r="K946" s="1084" t="s">
        <v>394</v>
      </c>
      <c r="L946" s="1085"/>
      <c r="M946" s="1085"/>
      <c r="N946" s="1085"/>
      <c r="O946" s="1085"/>
      <c r="P946" s="1085"/>
      <c r="Q946" s="1085"/>
      <c r="R946" s="1086"/>
      <c r="AB946" s="1044"/>
    </row>
    <row r="947" spans="1:28">
      <c r="A947" s="1083"/>
      <c r="K947" s="1087" t="s">
        <v>339</v>
      </c>
      <c r="L947" s="1088"/>
      <c r="M947" s="1088"/>
      <c r="N947" s="1088"/>
      <c r="O947" s="1088"/>
      <c r="P947" s="1088"/>
      <c r="Q947" s="1088"/>
      <c r="R947" s="1089"/>
      <c r="AB947" s="1044"/>
    </row>
    <row r="948" spans="1:28">
      <c r="A948" s="1083"/>
      <c r="K948" s="1090"/>
      <c r="L948" s="1091"/>
      <c r="M948" s="1091"/>
      <c r="N948" s="1091"/>
      <c r="O948" s="1091"/>
      <c r="P948" s="1091"/>
      <c r="Q948" s="1091"/>
      <c r="R948" s="1092"/>
      <c r="AB948" s="1044"/>
    </row>
    <row r="949" ht="15.75" spans="1:28">
      <c r="A949" s="1083"/>
      <c r="K949" s="1093">
        <f>ROUND(Y925+Y931+Y937+Y943,2)</f>
        <v>166.62</v>
      </c>
      <c r="L949" s="1094"/>
      <c r="M949" s="1094"/>
      <c r="N949" s="1094"/>
      <c r="O949" s="1094"/>
      <c r="P949" s="1094"/>
      <c r="Q949" s="1094"/>
      <c r="R949" s="1095"/>
      <c r="AB949" s="1044"/>
    </row>
    <row r="950" ht="15.75" spans="1:28">
      <c r="A950" s="1096"/>
      <c r="B950" s="389"/>
      <c r="C950" s="389"/>
      <c r="D950" s="389"/>
      <c r="E950" s="389"/>
      <c r="F950" s="389"/>
      <c r="G950" s="389"/>
      <c r="H950" s="389"/>
      <c r="I950" s="1097"/>
      <c r="J950" s="1097"/>
      <c r="K950" s="1097"/>
      <c r="L950" s="1097"/>
      <c r="M950" s="1097"/>
      <c r="N950" s="1097"/>
      <c r="O950" s="1097"/>
      <c r="P950" s="1097"/>
      <c r="Q950" s="389"/>
      <c r="R950" s="389"/>
      <c r="S950" s="389"/>
      <c r="T950" s="389"/>
      <c r="U950" s="389"/>
      <c r="V950" s="389"/>
      <c r="W950" s="389"/>
      <c r="X950" s="389"/>
      <c r="Y950" s="389"/>
      <c r="Z950" s="389"/>
      <c r="AA950" s="389"/>
      <c r="AB950" s="1098"/>
    </row>
    <row r="951" s="437" customFormat="1" spans="1:28">
      <c r="A951" s="1040" t="s">
        <v>395</v>
      </c>
      <c r="B951" s="1114"/>
      <c r="C951" s="1114"/>
      <c r="D951" s="1114"/>
      <c r="E951" s="1114"/>
      <c r="F951" s="1114"/>
      <c r="G951" s="1114"/>
      <c r="H951" s="1114"/>
      <c r="I951" s="1129"/>
      <c r="J951" s="1129"/>
      <c r="K951" s="1129"/>
      <c r="L951" s="1129"/>
      <c r="M951" s="1129"/>
      <c r="N951" s="1129"/>
      <c r="O951" s="1129"/>
      <c r="P951" s="1129"/>
      <c r="Q951" s="1114"/>
      <c r="R951" s="1114"/>
      <c r="S951" s="1114"/>
      <c r="T951" s="1114"/>
      <c r="U951" s="1114"/>
      <c r="V951" s="1114"/>
      <c r="W951" s="1114"/>
      <c r="X951" s="1114"/>
      <c r="Y951" s="1114"/>
      <c r="Z951" s="1114"/>
      <c r="AA951" s="1114"/>
      <c r="AB951" s="1115"/>
    </row>
    <row r="952" spans="1:28">
      <c r="A952" s="1083"/>
      <c r="I952" s="1130"/>
      <c r="J952" s="1130"/>
      <c r="K952" s="1130"/>
      <c r="L952" s="1130"/>
      <c r="M952" s="1130"/>
      <c r="N952" s="1130"/>
      <c r="O952" s="1130"/>
      <c r="P952" s="1130"/>
      <c r="AB952" s="1044"/>
    </row>
    <row r="953" spans="1:28">
      <c r="A953" s="1083"/>
      <c r="I953" s="1130"/>
      <c r="J953" s="1130"/>
      <c r="K953" s="1130"/>
      <c r="L953" s="1130"/>
      <c r="M953" s="1130"/>
      <c r="N953" s="1130"/>
      <c r="O953" s="1130"/>
      <c r="P953" s="1130"/>
      <c r="AB953" s="1044"/>
    </row>
    <row r="954" spans="1:28">
      <c r="A954" s="1083"/>
      <c r="I954" s="1130"/>
      <c r="J954" s="1130"/>
      <c r="K954" s="1130"/>
      <c r="L954" s="1130"/>
      <c r="M954" s="1130"/>
      <c r="N954" s="1130"/>
      <c r="O954" s="1130"/>
      <c r="P954" s="1130"/>
      <c r="AB954" s="1044"/>
    </row>
    <row r="955" spans="1:28">
      <c r="A955" s="1083"/>
      <c r="I955" s="1130"/>
      <c r="J955" s="1130"/>
      <c r="K955" s="1130"/>
      <c r="L955" s="1130"/>
      <c r="M955" s="1130"/>
      <c r="N955" s="1130"/>
      <c r="O955" s="1130"/>
      <c r="P955" s="1130"/>
      <c r="AB955" s="1044"/>
    </row>
    <row r="956" spans="1:28">
      <c r="A956" s="1083"/>
      <c r="I956" s="1130"/>
      <c r="J956" s="1130"/>
      <c r="K956" s="1130"/>
      <c r="L956" s="1130"/>
      <c r="M956" s="1130"/>
      <c r="N956" s="1130"/>
      <c r="O956" s="1130"/>
      <c r="P956" s="1130"/>
      <c r="AB956" s="1044"/>
    </row>
    <row r="957" spans="1:28">
      <c r="A957" s="1083"/>
      <c r="I957" s="1130"/>
      <c r="J957" s="1130"/>
      <c r="K957" s="1130"/>
      <c r="L957" s="1130"/>
      <c r="M957" s="1130"/>
      <c r="N957" s="1130"/>
      <c r="O957" s="1130"/>
      <c r="P957" s="1130"/>
      <c r="AB957" s="1044"/>
    </row>
    <row r="958" spans="1:28">
      <c r="A958" s="1083"/>
      <c r="I958" s="1130"/>
      <c r="J958" s="1130"/>
      <c r="K958" s="1130"/>
      <c r="L958" s="1130"/>
      <c r="M958" s="1130"/>
      <c r="N958" s="1130"/>
      <c r="O958" s="1130"/>
      <c r="P958" s="1130"/>
      <c r="AB958" s="1044"/>
    </row>
    <row r="959" spans="1:28">
      <c r="A959" s="1083"/>
      <c r="I959" s="1130"/>
      <c r="J959" s="1130"/>
      <c r="K959" s="1130"/>
      <c r="L959" s="1130"/>
      <c r="M959" s="1130"/>
      <c r="N959" s="1130"/>
      <c r="O959" s="1130"/>
      <c r="P959" s="1130"/>
      <c r="AB959" s="1044"/>
    </row>
    <row r="960" spans="1:28">
      <c r="A960" s="1083"/>
      <c r="I960" s="1130"/>
      <c r="J960" s="1130"/>
      <c r="K960" s="1130"/>
      <c r="L960" s="1130"/>
      <c r="M960" s="1130"/>
      <c r="N960" s="1130"/>
      <c r="O960" s="1130"/>
      <c r="P960" s="1130"/>
      <c r="AB960" s="1044"/>
    </row>
    <row r="961" spans="1:28">
      <c r="A961" s="1083"/>
      <c r="I961" s="1130"/>
      <c r="J961" s="1130"/>
      <c r="K961" s="1130"/>
      <c r="L961" s="1130"/>
      <c r="M961" s="1130"/>
      <c r="N961" s="1130"/>
      <c r="O961" s="1130"/>
      <c r="P961" s="1130"/>
      <c r="AB961" s="1044"/>
    </row>
    <row r="962" spans="1:28">
      <c r="A962" s="1083"/>
      <c r="I962" s="1130"/>
      <c r="J962" s="1130"/>
      <c r="K962" s="1130"/>
      <c r="L962" s="1130"/>
      <c r="M962" s="1130"/>
      <c r="N962" s="1130"/>
      <c r="O962" s="1130"/>
      <c r="P962" s="1130"/>
      <c r="AB962" s="1044"/>
    </row>
    <row r="963" spans="1:28">
      <c r="A963" s="1083"/>
      <c r="I963" s="1130"/>
      <c r="J963" s="1130"/>
      <c r="K963" s="1130"/>
      <c r="L963" s="1130"/>
      <c r="M963" s="1130"/>
      <c r="N963" s="1130"/>
      <c r="O963" s="1130"/>
      <c r="P963" s="1130"/>
      <c r="AB963" s="1044"/>
    </row>
    <row r="964" spans="1:28">
      <c r="A964" s="1083"/>
      <c r="I964" s="1130"/>
      <c r="J964" s="1130"/>
      <c r="K964" s="1130"/>
      <c r="L964" s="1130"/>
      <c r="M964" s="1130"/>
      <c r="N964" s="1130"/>
      <c r="O964" s="1130"/>
      <c r="P964" s="1130"/>
      <c r="AB964" s="1044"/>
    </row>
    <row r="965" spans="1:28">
      <c r="A965" s="1083"/>
      <c r="I965" s="1130"/>
      <c r="J965" s="1130"/>
      <c r="K965" s="1130"/>
      <c r="L965" s="1130"/>
      <c r="M965" s="1130"/>
      <c r="N965" s="1130"/>
      <c r="O965" s="1130"/>
      <c r="P965" s="1130"/>
      <c r="AB965" s="1044"/>
    </row>
    <row r="966" spans="1:28">
      <c r="A966" s="1083"/>
      <c r="I966" s="1130"/>
      <c r="J966" s="1130"/>
      <c r="K966" s="1130"/>
      <c r="L966" s="1130"/>
      <c r="M966" s="1130"/>
      <c r="N966" s="1130"/>
      <c r="O966" s="1130"/>
      <c r="P966" s="1130"/>
      <c r="AB966" s="1044"/>
    </row>
    <row r="967" spans="1:28">
      <c r="A967" s="1083"/>
      <c r="I967" s="1130"/>
      <c r="J967" s="1130"/>
      <c r="K967" s="1130"/>
      <c r="L967" s="1130"/>
      <c r="M967" s="1130"/>
      <c r="N967" s="1130"/>
      <c r="O967" s="1130"/>
      <c r="P967" s="1130"/>
      <c r="AB967" s="1044"/>
    </row>
    <row r="968" spans="1:28">
      <c r="A968" s="1083"/>
      <c r="I968" s="1130"/>
      <c r="J968" s="1130"/>
      <c r="K968" s="1130"/>
      <c r="L968" s="1130"/>
      <c r="M968" s="1130"/>
      <c r="N968" s="1130"/>
      <c r="O968" s="1130"/>
      <c r="P968" s="1130"/>
      <c r="AB968" s="1044"/>
    </row>
    <row r="969" spans="1:28">
      <c r="A969" s="1083"/>
      <c r="I969" s="1130"/>
      <c r="J969" s="1130"/>
      <c r="K969" s="1130"/>
      <c r="L969" s="1130"/>
      <c r="M969" s="1130"/>
      <c r="N969" s="1130"/>
      <c r="O969" s="1130"/>
      <c r="P969" s="1130"/>
      <c r="AB969" s="1044"/>
    </row>
    <row r="970" spans="1:28">
      <c r="A970" s="1083"/>
      <c r="I970" s="1130"/>
      <c r="J970" s="1130"/>
      <c r="K970" s="1130"/>
      <c r="L970" s="1130"/>
      <c r="M970" s="1130"/>
      <c r="N970" s="1130"/>
      <c r="O970" s="1130"/>
      <c r="P970" s="1130"/>
      <c r="AB970" s="1044"/>
    </row>
    <row r="971" spans="1:28">
      <c r="A971" s="1083"/>
      <c r="I971" s="1130"/>
      <c r="J971" s="1130"/>
      <c r="K971" s="1130"/>
      <c r="L971" s="1130"/>
      <c r="M971" s="1130"/>
      <c r="N971" s="1130"/>
      <c r="O971" s="1130"/>
      <c r="P971" s="1130"/>
      <c r="AB971" s="1044"/>
    </row>
    <row r="972" spans="1:28">
      <c r="A972" s="1083"/>
      <c r="I972" s="1130"/>
      <c r="J972" s="1130"/>
      <c r="K972" s="1130"/>
      <c r="L972" s="1130"/>
      <c r="M972" s="1130"/>
      <c r="N972" s="1130"/>
      <c r="O972" s="1130"/>
      <c r="P972" s="1130"/>
      <c r="AB972" s="1044"/>
    </row>
    <row r="973" spans="1:28">
      <c r="A973" s="1083"/>
      <c r="I973" s="1130"/>
      <c r="J973" s="1130"/>
      <c r="K973" s="1130"/>
      <c r="L973" s="1130"/>
      <c r="M973" s="1130"/>
      <c r="N973" s="1130"/>
      <c r="O973" s="1130"/>
      <c r="P973" s="1130"/>
      <c r="AB973" s="1044"/>
    </row>
    <row r="974" spans="1:28">
      <c r="A974" s="1083"/>
      <c r="I974" s="1130"/>
      <c r="J974" s="1130"/>
      <c r="K974" s="1130"/>
      <c r="L974" s="1130"/>
      <c r="M974" s="1130"/>
      <c r="N974" s="1130"/>
      <c r="O974" s="1130"/>
      <c r="P974" s="1130"/>
      <c r="AB974" s="1044"/>
    </row>
    <row r="975" spans="1:28">
      <c r="A975" s="1083"/>
      <c r="I975" s="1130"/>
      <c r="J975" s="1130"/>
      <c r="K975" s="1130"/>
      <c r="L975" s="1130"/>
      <c r="M975" s="1130"/>
      <c r="N975" s="1130"/>
      <c r="O975" s="1130"/>
      <c r="P975" s="1130"/>
      <c r="AB975" s="1044"/>
    </row>
    <row r="976" spans="1:28">
      <c r="A976" s="1083"/>
      <c r="I976" s="1130"/>
      <c r="J976" s="1130"/>
      <c r="K976" s="1130"/>
      <c r="L976" s="1130"/>
      <c r="M976" s="1130"/>
      <c r="N976" s="1130"/>
      <c r="O976" s="1130"/>
      <c r="P976" s="1130"/>
      <c r="AB976" s="1044"/>
    </row>
    <row r="977" spans="1:28">
      <c r="A977" s="1083"/>
      <c r="I977" s="1130"/>
      <c r="J977" s="1130"/>
      <c r="K977" s="1130"/>
      <c r="L977" s="1130"/>
      <c r="M977" s="1130"/>
      <c r="N977" s="1130"/>
      <c r="O977" s="1130"/>
      <c r="P977" s="1130"/>
      <c r="AB977" s="1044"/>
    </row>
    <row r="978" spans="1:28">
      <c r="A978" s="1083"/>
      <c r="I978" s="1130"/>
      <c r="J978" s="1130"/>
      <c r="K978" s="1130"/>
      <c r="L978" s="1130"/>
      <c r="M978" s="1130"/>
      <c r="N978" s="1130"/>
      <c r="O978" s="1130"/>
      <c r="P978" s="1130"/>
      <c r="AB978" s="1044"/>
    </row>
    <row r="979" spans="1:28">
      <c r="A979" s="1083"/>
      <c r="I979" s="1130"/>
      <c r="J979" s="1130"/>
      <c r="K979" s="1130"/>
      <c r="L979" s="1130"/>
      <c r="M979" s="1130"/>
      <c r="N979" s="1130"/>
      <c r="O979" s="1130"/>
      <c r="P979" s="1130"/>
      <c r="AB979" s="1044"/>
    </row>
    <row r="980" spans="1:28">
      <c r="A980" s="1083"/>
      <c r="I980" s="1130"/>
      <c r="J980" s="1130"/>
      <c r="K980" s="1130"/>
      <c r="L980" s="1130"/>
      <c r="M980" s="1130"/>
      <c r="N980" s="1130"/>
      <c r="O980" s="1130"/>
      <c r="P980" s="1130"/>
      <c r="AB980" s="1044"/>
    </row>
    <row r="981" spans="1:28">
      <c r="A981" s="1083"/>
      <c r="I981" s="1130"/>
      <c r="J981" s="1130"/>
      <c r="K981" s="1130"/>
      <c r="L981" s="1130"/>
      <c r="M981" s="1130"/>
      <c r="N981" s="1130"/>
      <c r="O981" s="1130"/>
      <c r="P981" s="1130"/>
      <c r="AB981" s="1044"/>
    </row>
    <row r="982" spans="1:28">
      <c r="A982" s="1083"/>
      <c r="I982" s="1130"/>
      <c r="J982" s="1130"/>
      <c r="K982" s="1130"/>
      <c r="L982" s="1130"/>
      <c r="M982" s="1130"/>
      <c r="N982" s="1130"/>
      <c r="O982" s="1130"/>
      <c r="P982" s="1130"/>
      <c r="AB982" s="1044"/>
    </row>
    <row r="983" spans="1:28">
      <c r="A983" s="1083"/>
      <c r="I983" s="1130"/>
      <c r="J983" s="1130"/>
      <c r="K983" s="1130"/>
      <c r="L983" s="1130"/>
      <c r="M983" s="1130"/>
      <c r="N983" s="1130"/>
      <c r="O983" s="1130"/>
      <c r="P983" s="1130"/>
      <c r="AB983" s="1044"/>
    </row>
    <row r="984" spans="1:28">
      <c r="A984" s="1083"/>
      <c r="I984" s="1130"/>
      <c r="J984" s="1130"/>
      <c r="K984" s="1130"/>
      <c r="L984" s="1130"/>
      <c r="M984" s="1130"/>
      <c r="N984" s="1130"/>
      <c r="O984" s="1130"/>
      <c r="P984" s="1130"/>
      <c r="AB984" s="1044"/>
    </row>
    <row r="985" spans="1:28">
      <c r="A985" s="1083"/>
      <c r="I985" s="1130"/>
      <c r="J985" s="1130"/>
      <c r="K985" s="1130"/>
      <c r="L985" s="1130"/>
      <c r="M985" s="1130"/>
      <c r="N985" s="1130"/>
      <c r="O985" s="1130"/>
      <c r="P985" s="1130"/>
      <c r="AB985" s="1044"/>
    </row>
    <row r="986" spans="1:28">
      <c r="A986" s="1083"/>
      <c r="I986" s="1130"/>
      <c r="J986" s="1130"/>
      <c r="K986" s="1130"/>
      <c r="L986" s="1130"/>
      <c r="M986" s="1130"/>
      <c r="N986" s="1130"/>
      <c r="O986" s="1130"/>
      <c r="P986" s="1130"/>
      <c r="AB986" s="1044"/>
    </row>
    <row r="987" spans="1:28">
      <c r="A987" s="1083"/>
      <c r="I987" s="1130"/>
      <c r="J987" s="1130"/>
      <c r="K987" s="1130"/>
      <c r="L987" s="1130"/>
      <c r="M987" s="1130"/>
      <c r="N987" s="1130"/>
      <c r="O987" s="1130"/>
      <c r="P987" s="1130"/>
      <c r="AB987" s="1044"/>
    </row>
    <row r="988" spans="1:28">
      <c r="A988" s="1083"/>
      <c r="I988" s="1130"/>
      <c r="J988" s="1130"/>
      <c r="K988" s="1130"/>
      <c r="L988" s="1130"/>
      <c r="M988" s="1130"/>
      <c r="N988" s="1130"/>
      <c r="O988" s="1130"/>
      <c r="P988" s="1130"/>
      <c r="AB988" s="1044"/>
    </row>
    <row r="989" spans="1:28">
      <c r="A989" s="1083"/>
      <c r="I989" s="1130"/>
      <c r="J989" s="1130"/>
      <c r="K989" s="1130"/>
      <c r="L989" s="1130"/>
      <c r="M989" s="1130"/>
      <c r="N989" s="1130"/>
      <c r="O989" s="1130"/>
      <c r="P989" s="1130"/>
      <c r="AB989" s="1044"/>
    </row>
    <row r="990" spans="1:28">
      <c r="A990" s="1083"/>
      <c r="I990" s="1130"/>
      <c r="J990" s="1130"/>
      <c r="K990" s="1130"/>
      <c r="L990" s="1130"/>
      <c r="M990" s="1130"/>
      <c r="N990" s="1130"/>
      <c r="O990" s="1130"/>
      <c r="P990" s="1130"/>
      <c r="AB990" s="1044"/>
    </row>
    <row r="991" spans="1:28">
      <c r="A991" s="1083"/>
      <c r="I991" s="1130"/>
      <c r="J991" s="1130"/>
      <c r="K991" s="1130"/>
      <c r="L991" s="1130"/>
      <c r="M991" s="1130"/>
      <c r="N991" s="1130"/>
      <c r="O991" s="1130"/>
      <c r="P991" s="1130"/>
      <c r="AB991" s="1044"/>
    </row>
    <row r="992" spans="1:28">
      <c r="A992" s="1083"/>
      <c r="I992" s="1130"/>
      <c r="J992" s="1130"/>
      <c r="K992" s="1130"/>
      <c r="L992" s="1130"/>
      <c r="M992" s="1130"/>
      <c r="N992" s="1130"/>
      <c r="O992" s="1130"/>
      <c r="P992" s="1130"/>
      <c r="AB992" s="1044"/>
    </row>
    <row r="993" spans="1:28">
      <c r="A993" s="1083"/>
      <c r="I993" s="1130"/>
      <c r="J993" s="1130"/>
      <c r="K993" s="1130"/>
      <c r="L993" s="1130"/>
      <c r="M993" s="1130"/>
      <c r="N993" s="1130"/>
      <c r="O993" s="1130"/>
      <c r="P993" s="1130"/>
      <c r="AB993" s="1044"/>
    </row>
    <row r="994" spans="1:28">
      <c r="A994" s="1083"/>
      <c r="I994" s="1130"/>
      <c r="J994" s="1130"/>
      <c r="K994" s="1130"/>
      <c r="L994" s="1130"/>
      <c r="M994" s="1130"/>
      <c r="N994" s="1130"/>
      <c r="O994" s="1130"/>
      <c r="P994" s="1130"/>
      <c r="AB994" s="1044"/>
    </row>
    <row r="995" spans="1:28">
      <c r="A995" s="1083"/>
      <c r="I995" s="1130"/>
      <c r="J995" s="1130"/>
      <c r="K995" s="1130"/>
      <c r="L995" s="1130"/>
      <c r="M995" s="1130"/>
      <c r="N995" s="1130"/>
      <c r="O995" s="1130"/>
      <c r="P995" s="1130"/>
      <c r="AB995" s="1044"/>
    </row>
    <row r="996" spans="1:28">
      <c r="A996" s="1083"/>
      <c r="I996" s="1130"/>
      <c r="J996" s="1130"/>
      <c r="K996" s="1130"/>
      <c r="L996" s="1130"/>
      <c r="M996" s="1130"/>
      <c r="N996" s="1130"/>
      <c r="O996" s="1130"/>
      <c r="P996" s="1130"/>
      <c r="AB996" s="1044"/>
    </row>
    <row r="997" spans="1:28">
      <c r="A997" s="1083"/>
      <c r="I997" s="1130"/>
      <c r="J997" s="1130"/>
      <c r="K997" s="1130"/>
      <c r="L997" s="1130"/>
      <c r="M997" s="1130"/>
      <c r="N997" s="1130"/>
      <c r="O997" s="1130"/>
      <c r="P997" s="1130"/>
      <c r="AB997" s="1044"/>
    </row>
    <row r="998" spans="1:28">
      <c r="A998" s="1083"/>
      <c r="I998" s="1130"/>
      <c r="J998" s="1130"/>
      <c r="K998" s="1130"/>
      <c r="L998" s="1130"/>
      <c r="M998" s="1130"/>
      <c r="N998" s="1130"/>
      <c r="O998" s="1130"/>
      <c r="P998" s="1130"/>
      <c r="AB998" s="1044"/>
    </row>
    <row r="999" spans="1:28">
      <c r="A999" s="1083"/>
      <c r="I999" s="1130"/>
      <c r="J999" s="1130"/>
      <c r="K999" s="1130"/>
      <c r="L999" s="1130"/>
      <c r="M999" s="1130"/>
      <c r="N999" s="1130"/>
      <c r="O999" s="1130"/>
      <c r="P999" s="1130"/>
      <c r="AB999" s="1044"/>
    </row>
    <row r="1000" spans="1:28">
      <c r="A1000" s="1083"/>
      <c r="I1000" s="1130"/>
      <c r="J1000" s="1130"/>
      <c r="K1000" s="1130"/>
      <c r="L1000" s="1130"/>
      <c r="M1000" s="1130"/>
      <c r="N1000" s="1130"/>
      <c r="O1000" s="1130"/>
      <c r="P1000" s="1130"/>
      <c r="AB1000" s="1044"/>
    </row>
    <row r="1001" spans="1:28">
      <c r="A1001" s="1083"/>
      <c r="I1001" s="1130"/>
      <c r="J1001" s="1130"/>
      <c r="K1001" s="1130"/>
      <c r="L1001" s="1130"/>
      <c r="M1001" s="1130"/>
      <c r="N1001" s="1130"/>
      <c r="O1001" s="1130"/>
      <c r="P1001" s="1130"/>
      <c r="AB1001" s="1044"/>
    </row>
    <row r="1002" spans="1:28">
      <c r="A1002" s="1083"/>
      <c r="I1002" s="1130"/>
      <c r="J1002" s="1130"/>
      <c r="K1002" s="1130"/>
      <c r="L1002" s="1130"/>
      <c r="M1002" s="1130"/>
      <c r="N1002" s="1130"/>
      <c r="O1002" s="1130"/>
      <c r="P1002" s="1130"/>
      <c r="AB1002" s="1044"/>
    </row>
    <row r="1003" spans="1:28">
      <c r="A1003" s="1083"/>
      <c r="I1003" s="1130"/>
      <c r="J1003" s="1130"/>
      <c r="K1003" s="1130"/>
      <c r="L1003" s="1130"/>
      <c r="M1003" s="1130"/>
      <c r="N1003" s="1130"/>
      <c r="O1003" s="1130"/>
      <c r="P1003" s="1130"/>
      <c r="AB1003" s="1044"/>
    </row>
    <row r="1004" spans="1:28">
      <c r="A1004" s="1083"/>
      <c r="I1004" s="1130"/>
      <c r="J1004" s="1130"/>
      <c r="K1004" s="1130"/>
      <c r="L1004" s="1130"/>
      <c r="M1004" s="1130"/>
      <c r="N1004" s="1130"/>
      <c r="O1004" s="1130"/>
      <c r="P1004" s="1130"/>
      <c r="AB1004" s="1044"/>
    </row>
    <row r="1005" spans="1:28">
      <c r="A1005" s="1083"/>
      <c r="I1005" s="1130"/>
      <c r="J1005" s="1130"/>
      <c r="K1005" s="1130"/>
      <c r="L1005" s="1130"/>
      <c r="M1005" s="1130"/>
      <c r="N1005" s="1130"/>
      <c r="O1005" s="1130"/>
      <c r="P1005" s="1130"/>
      <c r="AB1005" s="1044"/>
    </row>
    <row r="1006" spans="1:28">
      <c r="A1006" s="1083"/>
      <c r="I1006" s="1130"/>
      <c r="J1006" s="1130"/>
      <c r="K1006" s="1130"/>
      <c r="L1006" s="1130"/>
      <c r="M1006" s="1130"/>
      <c r="N1006" s="1130"/>
      <c r="O1006" s="1130"/>
      <c r="P1006" s="1130"/>
      <c r="AB1006" s="1044"/>
    </row>
    <row r="1007" spans="1:28">
      <c r="A1007" s="1083"/>
      <c r="I1007" s="1130"/>
      <c r="J1007" s="1130"/>
      <c r="K1007" s="1130"/>
      <c r="L1007" s="1130"/>
      <c r="M1007" s="1130"/>
      <c r="N1007" s="1130"/>
      <c r="O1007" s="1130"/>
      <c r="P1007" s="1130"/>
      <c r="AB1007" s="1044"/>
    </row>
    <row r="1008" spans="1:28">
      <c r="A1008" s="1083"/>
      <c r="I1008" s="1130"/>
      <c r="J1008" s="1130"/>
      <c r="K1008" s="1130"/>
      <c r="L1008" s="1130"/>
      <c r="M1008" s="1130"/>
      <c r="N1008" s="1130"/>
      <c r="O1008" s="1130"/>
      <c r="P1008" s="1130"/>
      <c r="AB1008" s="1044"/>
    </row>
    <row r="1009" spans="1:28">
      <c r="A1009" s="1083"/>
      <c r="I1009" s="1130"/>
      <c r="J1009" s="1130"/>
      <c r="K1009" s="1130"/>
      <c r="L1009" s="1130"/>
      <c r="M1009" s="1130"/>
      <c r="N1009" s="1130"/>
      <c r="O1009" s="1130"/>
      <c r="P1009" s="1130"/>
      <c r="AB1009" s="1044"/>
    </row>
    <row r="1010" spans="1:28">
      <c r="A1010" s="1083"/>
      <c r="I1010" s="1130"/>
      <c r="J1010" s="1130"/>
      <c r="K1010" s="1130"/>
      <c r="L1010" s="1130"/>
      <c r="M1010" s="1130"/>
      <c r="N1010" s="1130"/>
      <c r="O1010" s="1130"/>
      <c r="P1010" s="1130"/>
      <c r="AB1010" s="1044"/>
    </row>
    <row r="1011" spans="1:28">
      <c r="A1011" s="1083"/>
      <c r="I1011" s="1130"/>
      <c r="J1011" s="1130"/>
      <c r="K1011" s="1130"/>
      <c r="L1011" s="1130"/>
      <c r="M1011" s="1130"/>
      <c r="N1011" s="1130"/>
      <c r="O1011" s="1130"/>
      <c r="P1011" s="1130"/>
      <c r="AB1011" s="1044"/>
    </row>
    <row r="1012" spans="1:28">
      <c r="A1012" s="1083"/>
      <c r="I1012" s="1130"/>
      <c r="J1012" s="1130"/>
      <c r="K1012" s="1130"/>
      <c r="L1012" s="1130"/>
      <c r="M1012" s="1130"/>
      <c r="N1012" s="1130"/>
      <c r="O1012" s="1130"/>
      <c r="P1012" s="1130"/>
      <c r="AB1012" s="1044"/>
    </row>
    <row r="1013" spans="1:28">
      <c r="A1013" s="1083"/>
      <c r="I1013" s="1130"/>
      <c r="J1013" s="1130"/>
      <c r="K1013" s="1130"/>
      <c r="L1013" s="1130"/>
      <c r="M1013" s="1130"/>
      <c r="N1013" s="1130"/>
      <c r="O1013" s="1130"/>
      <c r="P1013" s="1130"/>
      <c r="AB1013" s="1044"/>
    </row>
    <row r="1014" spans="1:28">
      <c r="A1014" s="1083"/>
      <c r="I1014" s="1130"/>
      <c r="J1014" s="1130"/>
      <c r="K1014" s="1130"/>
      <c r="L1014" s="1130"/>
      <c r="M1014" s="1130"/>
      <c r="N1014" s="1130"/>
      <c r="O1014" s="1130"/>
      <c r="P1014" s="1130"/>
      <c r="AB1014" s="1044"/>
    </row>
    <row r="1015" spans="1:28">
      <c r="A1015" s="1083"/>
      <c r="I1015" s="1130"/>
      <c r="J1015" s="1130"/>
      <c r="K1015" s="1130"/>
      <c r="L1015" s="1130"/>
      <c r="M1015" s="1130"/>
      <c r="N1015" s="1130"/>
      <c r="O1015" s="1130"/>
      <c r="P1015" s="1130"/>
      <c r="AB1015" s="1044"/>
    </row>
    <row r="1016" spans="1:28">
      <c r="A1016" s="1083"/>
      <c r="I1016" s="1130"/>
      <c r="J1016" s="1130"/>
      <c r="K1016" s="1130"/>
      <c r="L1016" s="1130"/>
      <c r="M1016" s="1130"/>
      <c r="N1016" s="1130"/>
      <c r="O1016" s="1130"/>
      <c r="P1016" s="1130"/>
      <c r="AB1016" s="1044"/>
    </row>
    <row r="1017" spans="1:28">
      <c r="A1017" s="1083"/>
      <c r="I1017" s="1130"/>
      <c r="J1017" s="1130"/>
      <c r="K1017" s="1130"/>
      <c r="L1017" s="1130"/>
      <c r="M1017" s="1130"/>
      <c r="N1017" s="1130"/>
      <c r="O1017" s="1130"/>
      <c r="P1017" s="1130"/>
      <c r="AB1017" s="1044"/>
    </row>
    <row r="1018" spans="1:28">
      <c r="A1018" s="1083"/>
      <c r="I1018" s="1130"/>
      <c r="J1018" s="1130"/>
      <c r="K1018" s="1130"/>
      <c r="L1018" s="1130"/>
      <c r="M1018" s="1130"/>
      <c r="N1018" s="1130"/>
      <c r="O1018" s="1130"/>
      <c r="P1018" s="1130"/>
      <c r="AB1018" s="1044"/>
    </row>
    <row r="1019" spans="1:28">
      <c r="A1019" s="1083"/>
      <c r="I1019" s="1130"/>
      <c r="J1019" s="1130"/>
      <c r="K1019" s="1130"/>
      <c r="L1019" s="1130"/>
      <c r="M1019" s="1130"/>
      <c r="N1019" s="1130"/>
      <c r="O1019" s="1130"/>
      <c r="P1019" s="1130"/>
      <c r="AB1019" s="1044"/>
    </row>
    <row r="1020" spans="1:28">
      <c r="A1020" s="1083"/>
      <c r="I1020" s="1130"/>
      <c r="J1020" s="1130"/>
      <c r="K1020" s="1130"/>
      <c r="L1020" s="1130"/>
      <c r="M1020" s="1130"/>
      <c r="N1020" s="1130"/>
      <c r="O1020" s="1130"/>
      <c r="P1020" s="1130"/>
      <c r="AB1020" s="1044"/>
    </row>
    <row r="1021" spans="1:28">
      <c r="A1021" s="1083"/>
      <c r="I1021" s="1130"/>
      <c r="J1021" s="1130"/>
      <c r="K1021" s="1130"/>
      <c r="L1021" s="1130"/>
      <c r="M1021" s="1130"/>
      <c r="N1021" s="1130"/>
      <c r="O1021" s="1130"/>
      <c r="P1021" s="1130"/>
      <c r="AB1021" s="1044"/>
    </row>
    <row r="1022" spans="1:28">
      <c r="A1022" s="1083"/>
      <c r="I1022" s="1130"/>
      <c r="J1022" s="1130"/>
      <c r="K1022" s="1130"/>
      <c r="L1022" s="1130"/>
      <c r="M1022" s="1130"/>
      <c r="N1022" s="1130"/>
      <c r="O1022" s="1130"/>
      <c r="P1022" s="1130"/>
      <c r="AB1022" s="1044"/>
    </row>
    <row r="1023" spans="1:28">
      <c r="A1023" s="1083"/>
      <c r="I1023" s="1130"/>
      <c r="J1023" s="1130"/>
      <c r="K1023" s="1130"/>
      <c r="L1023" s="1130"/>
      <c r="M1023" s="1130"/>
      <c r="N1023" s="1130"/>
      <c r="O1023" s="1130"/>
      <c r="P1023" s="1130"/>
      <c r="AB1023" s="1044"/>
    </row>
    <row r="1024" spans="1:28">
      <c r="A1024" s="1083"/>
      <c r="I1024" s="1130"/>
      <c r="J1024" s="1130"/>
      <c r="K1024" s="1130"/>
      <c r="L1024" s="1130"/>
      <c r="M1024" s="1130"/>
      <c r="N1024" s="1130"/>
      <c r="O1024" s="1130"/>
      <c r="P1024" s="1130"/>
      <c r="AB1024" s="1044"/>
    </row>
    <row r="1025" spans="1:31">
      <c r="A1025" s="1083"/>
      <c r="I1025" s="1130"/>
      <c r="J1025" s="1130"/>
      <c r="K1025" s="1130"/>
      <c r="L1025" s="1130"/>
      <c r="M1025" s="1130"/>
      <c r="N1025" s="1130"/>
      <c r="O1025" s="1130"/>
      <c r="P1025" s="1130"/>
      <c r="AB1025" s="1044"/>
    </row>
    <row r="1026" spans="1:31">
      <c r="A1026" s="1083"/>
      <c r="I1026" s="1130"/>
      <c r="J1026" s="1130"/>
      <c r="K1026" s="1130"/>
      <c r="L1026" s="1130"/>
      <c r="M1026" s="1130"/>
      <c r="N1026" s="1130"/>
      <c r="O1026" s="1130"/>
      <c r="P1026" s="1130"/>
      <c r="AB1026" s="1044"/>
    </row>
    <row r="1027" spans="1:31">
      <c r="A1027" s="1083"/>
      <c r="I1027" s="1130"/>
      <c r="J1027" s="1130"/>
      <c r="K1027" s="1130"/>
      <c r="L1027" s="1130"/>
      <c r="M1027" s="1130"/>
      <c r="N1027" s="1130"/>
      <c r="O1027" s="1130"/>
      <c r="P1027" s="1130"/>
      <c r="AB1027" s="1044"/>
    </row>
    <row r="1028" spans="1:31">
      <c r="A1028" s="1083"/>
      <c r="I1028" s="1130"/>
      <c r="J1028" s="1130"/>
      <c r="K1028" s="1130"/>
      <c r="L1028" s="1130"/>
      <c r="M1028" s="1130"/>
      <c r="N1028" s="1130"/>
      <c r="O1028" s="1130"/>
      <c r="P1028" s="1130"/>
      <c r="AB1028" s="1044"/>
    </row>
    <row r="1029" spans="1:31">
      <c r="A1029" s="1083"/>
      <c r="I1029" s="1130"/>
      <c r="J1029" s="1130"/>
      <c r="K1029" s="1130"/>
      <c r="L1029" s="1130"/>
      <c r="M1029" s="1130"/>
      <c r="N1029" s="1130"/>
      <c r="O1029" s="1130"/>
      <c r="P1029" s="1130"/>
      <c r="AB1029" s="1044"/>
    </row>
    <row r="1030" spans="1:31">
      <c r="A1030" s="1083"/>
      <c r="I1030" s="1130"/>
      <c r="J1030" s="1130"/>
      <c r="K1030" s="1130"/>
      <c r="L1030" s="1130"/>
      <c r="M1030" s="1130"/>
      <c r="N1030" s="1130"/>
      <c r="O1030" s="1130"/>
      <c r="P1030" s="1130"/>
      <c r="AB1030" s="1044"/>
    </row>
    <row r="1031" spans="1:31">
      <c r="A1031" s="1045" t="s">
        <v>396</v>
      </c>
      <c r="B1031" s="1046"/>
      <c r="C1031" s="1046"/>
      <c r="D1031" s="1046"/>
      <c r="E1031" s="1046"/>
      <c r="F1031" s="1046"/>
      <c r="G1031" s="1046"/>
      <c r="H1031" s="1046"/>
      <c r="I1031" s="1046"/>
      <c r="J1031" s="1046"/>
      <c r="K1031" s="1046"/>
      <c r="L1031" s="1046"/>
      <c r="M1031" s="1046"/>
      <c r="N1031" s="1046"/>
      <c r="O1031" s="1046"/>
      <c r="P1031" s="1046"/>
      <c r="Q1031" s="1046"/>
      <c r="R1031" s="1046"/>
      <c r="S1031" s="1046"/>
      <c r="T1031" s="1046"/>
      <c r="U1031" s="1046"/>
      <c r="V1031" s="1046"/>
      <c r="W1031" s="1046"/>
      <c r="X1031" s="1046"/>
      <c r="Y1031" s="1046"/>
      <c r="Z1031" s="1046"/>
      <c r="AA1031" s="1046"/>
      <c r="AB1031" s="1047"/>
    </row>
    <row r="1032" ht="14.4" customHeight="1" spans="1:31">
      <c r="A1032" s="1048" t="s">
        <v>269</v>
      </c>
      <c r="B1032" s="1049"/>
      <c r="C1032" s="1049"/>
      <c r="D1032" s="1050"/>
      <c r="E1032" s="1051" t="s">
        <v>270</v>
      </c>
      <c r="F1032" s="1049"/>
      <c r="G1032" s="1049"/>
      <c r="H1032" s="1050"/>
      <c r="I1032" s="1104" t="s">
        <v>271</v>
      </c>
      <c r="J1032" s="1102"/>
      <c r="K1032" s="1102"/>
      <c r="L1032" s="1103"/>
      <c r="M1032" s="1104" t="s">
        <v>272</v>
      </c>
      <c r="N1032" s="1102"/>
      <c r="O1032" s="1102"/>
      <c r="P1032" s="1103"/>
      <c r="Q1032" s="1104" t="s">
        <v>273</v>
      </c>
      <c r="R1032" s="1102"/>
      <c r="S1032" s="1102"/>
      <c r="T1032" s="1103"/>
      <c r="U1032" s="1104" t="s">
        <v>274</v>
      </c>
      <c r="V1032" s="1102"/>
      <c r="W1032" s="1102"/>
      <c r="X1032" s="1103"/>
      <c r="Y1032" s="1104" t="s">
        <v>274</v>
      </c>
      <c r="Z1032" s="1102"/>
      <c r="AA1032" s="1102"/>
      <c r="AB1032" s="1106"/>
    </row>
    <row r="1033" spans="1:31">
      <c r="A1033" s="1058"/>
      <c r="B1033" s="1059"/>
      <c r="C1033" s="1059"/>
      <c r="D1033" s="1060"/>
      <c r="E1033" s="1061"/>
      <c r="F1033" s="1059"/>
      <c r="G1033" s="1059"/>
      <c r="H1033" s="1060"/>
      <c r="I1033" s="1061" t="s">
        <v>275</v>
      </c>
      <c r="J1033" s="1059"/>
      <c r="K1033" s="1059"/>
      <c r="L1033" s="1060"/>
      <c r="M1033" s="1061" t="s">
        <v>276</v>
      </c>
      <c r="N1033" s="1059"/>
      <c r="O1033" s="1059"/>
      <c r="P1033" s="1060"/>
      <c r="Q1033" s="1061" t="s">
        <v>277</v>
      </c>
      <c r="R1033" s="1059"/>
      <c r="S1033" s="1059"/>
      <c r="T1033" s="1060"/>
      <c r="U1033" s="1061" t="s">
        <v>277</v>
      </c>
      <c r="V1033" s="1059"/>
      <c r="W1033" s="1059"/>
      <c r="X1033" s="1060"/>
      <c r="Y1033" s="1061" t="s">
        <v>278</v>
      </c>
      <c r="Z1033" s="1059"/>
      <c r="AA1033" s="1059"/>
      <c r="AB1033" s="1108"/>
    </row>
    <row r="1034" spans="1:31">
      <c r="A1034" s="1122" t="s">
        <v>279</v>
      </c>
      <c r="B1034" s="1073"/>
      <c r="C1034" s="1073"/>
      <c r="D1034" s="1073"/>
      <c r="E1034" s="1069">
        <v>1</v>
      </c>
      <c r="F1034" s="1069"/>
      <c r="G1034" s="1069"/>
      <c r="H1034" s="1069"/>
      <c r="I1034" s="1160">
        <v>10</v>
      </c>
      <c r="J1034" s="1160"/>
      <c r="K1034" s="1160"/>
      <c r="L1034" s="1160"/>
      <c r="M1034" s="1160">
        <v>2</v>
      </c>
      <c r="N1034" s="1160"/>
      <c r="O1034" s="1160"/>
      <c r="P1034" s="1160"/>
      <c r="Q1034" s="1160">
        <v>590</v>
      </c>
      <c r="R1034" s="1160"/>
      <c r="S1034" s="1160"/>
      <c r="T1034" s="1160"/>
      <c r="U1034" s="1161">
        <f t="shared" ref="U1034:U1043" si="3">M1034*Q1034</f>
        <v>1180</v>
      </c>
      <c r="V1034" s="1161"/>
      <c r="W1034" s="1161"/>
      <c r="X1034" s="1161"/>
      <c r="Y1034" s="1162">
        <f>U1034/100</f>
        <v>11.8</v>
      </c>
      <c r="Z1034" s="1162"/>
      <c r="AA1034" s="1162"/>
      <c r="AB1034" s="1163"/>
      <c r="AE1034" s="1164"/>
    </row>
    <row r="1035" spans="1:31">
      <c r="A1035" s="1122" t="s">
        <v>279</v>
      </c>
      <c r="B1035" s="1073"/>
      <c r="C1035" s="1073"/>
      <c r="D1035" s="1073"/>
      <c r="E1035" s="1069">
        <v>2</v>
      </c>
      <c r="F1035" s="1069"/>
      <c r="G1035" s="1069"/>
      <c r="H1035" s="1069"/>
      <c r="I1035" s="1160">
        <v>12.5</v>
      </c>
      <c r="J1035" s="1160"/>
      <c r="K1035" s="1160"/>
      <c r="L1035" s="1160"/>
      <c r="M1035" s="1160">
        <v>41</v>
      </c>
      <c r="N1035" s="1160"/>
      <c r="O1035" s="1160"/>
      <c r="P1035" s="1160"/>
      <c r="Q1035" s="1160">
        <v>303</v>
      </c>
      <c r="R1035" s="1160"/>
      <c r="S1035" s="1160"/>
      <c r="T1035" s="1160"/>
      <c r="U1035" s="1161">
        <f t="shared" si="3"/>
        <v>12423</v>
      </c>
      <c r="V1035" s="1161"/>
      <c r="W1035" s="1161"/>
      <c r="X1035" s="1161"/>
      <c r="Y1035" s="1162">
        <f t="shared" ref="Y1035:Y1043" si="4">U1035/100</f>
        <v>124.23</v>
      </c>
      <c r="Z1035" s="1162"/>
      <c r="AA1035" s="1162"/>
      <c r="AB1035" s="1163"/>
      <c r="AE1035" s="1164"/>
    </row>
    <row r="1036" spans="1:31">
      <c r="A1036" s="1122" t="s">
        <v>279</v>
      </c>
      <c r="B1036" s="1073"/>
      <c r="C1036" s="1073"/>
      <c r="D1036" s="1073"/>
      <c r="E1036" s="1069">
        <v>4</v>
      </c>
      <c r="F1036" s="1069"/>
      <c r="G1036" s="1069"/>
      <c r="H1036" s="1069"/>
      <c r="I1036" s="1160">
        <v>12.5</v>
      </c>
      <c r="J1036" s="1160"/>
      <c r="K1036" s="1160"/>
      <c r="L1036" s="1160"/>
      <c r="M1036" s="1160">
        <v>14</v>
      </c>
      <c r="N1036" s="1160"/>
      <c r="O1036" s="1160"/>
      <c r="P1036" s="1160"/>
      <c r="Q1036" s="1160">
        <v>454</v>
      </c>
      <c r="R1036" s="1160"/>
      <c r="S1036" s="1160"/>
      <c r="T1036" s="1160"/>
      <c r="U1036" s="1161">
        <f t="shared" si="3"/>
        <v>6356</v>
      </c>
      <c r="V1036" s="1161"/>
      <c r="W1036" s="1161"/>
      <c r="X1036" s="1161"/>
      <c r="Y1036" s="1162">
        <f t="shared" si="4"/>
        <v>63.56</v>
      </c>
      <c r="Z1036" s="1162"/>
      <c r="AA1036" s="1162"/>
      <c r="AB1036" s="1163"/>
      <c r="AE1036" s="1165"/>
    </row>
    <row r="1037" spans="1:31">
      <c r="A1037" s="1122" t="s">
        <v>279</v>
      </c>
      <c r="B1037" s="1073"/>
      <c r="C1037" s="1073"/>
      <c r="D1037" s="1073"/>
      <c r="E1037" s="1069">
        <v>5</v>
      </c>
      <c r="F1037" s="1069"/>
      <c r="G1037" s="1069"/>
      <c r="H1037" s="1069"/>
      <c r="I1037" s="1160">
        <v>12.5</v>
      </c>
      <c r="J1037" s="1160"/>
      <c r="K1037" s="1160"/>
      <c r="L1037" s="1160"/>
      <c r="M1037" s="1160">
        <v>14</v>
      </c>
      <c r="N1037" s="1160"/>
      <c r="O1037" s="1160"/>
      <c r="P1037" s="1160"/>
      <c r="Q1037" s="1160">
        <v>421</v>
      </c>
      <c r="R1037" s="1160"/>
      <c r="S1037" s="1160"/>
      <c r="T1037" s="1160"/>
      <c r="U1037" s="1161">
        <f t="shared" si="3"/>
        <v>5894</v>
      </c>
      <c r="V1037" s="1161"/>
      <c r="W1037" s="1161"/>
      <c r="X1037" s="1161"/>
      <c r="Y1037" s="1166">
        <f t="shared" si="4"/>
        <v>58.94</v>
      </c>
      <c r="Z1037" s="1167"/>
      <c r="AA1037" s="1167"/>
      <c r="AB1037" s="1168"/>
      <c r="AE1037" s="1165"/>
    </row>
    <row r="1038" spans="1:31">
      <c r="A1038" s="1122" t="s">
        <v>279</v>
      </c>
      <c r="B1038" s="1073"/>
      <c r="C1038" s="1073"/>
      <c r="D1038" s="1073"/>
      <c r="E1038" s="1069">
        <v>6</v>
      </c>
      <c r="F1038" s="1069"/>
      <c r="G1038" s="1069"/>
      <c r="H1038" s="1069"/>
      <c r="I1038" s="1160">
        <v>12.5</v>
      </c>
      <c r="J1038" s="1160"/>
      <c r="K1038" s="1160"/>
      <c r="L1038" s="1160"/>
      <c r="M1038" s="1160">
        <v>52</v>
      </c>
      <c r="N1038" s="1160"/>
      <c r="O1038" s="1160"/>
      <c r="P1038" s="1160"/>
      <c r="Q1038" s="1160">
        <v>522</v>
      </c>
      <c r="R1038" s="1160"/>
      <c r="S1038" s="1160"/>
      <c r="T1038" s="1160"/>
      <c r="U1038" s="1161">
        <f t="shared" si="3"/>
        <v>27144</v>
      </c>
      <c r="V1038" s="1161"/>
      <c r="W1038" s="1161"/>
      <c r="X1038" s="1161"/>
      <c r="Y1038" s="1166">
        <f t="shared" si="4"/>
        <v>271.44</v>
      </c>
      <c r="Z1038" s="1167"/>
      <c r="AA1038" s="1167"/>
      <c r="AB1038" s="1168"/>
      <c r="AE1038" s="1165"/>
    </row>
    <row r="1039" spans="1:31">
      <c r="A1039" s="1122" t="s">
        <v>279</v>
      </c>
      <c r="B1039" s="1073"/>
      <c r="C1039" s="1073"/>
      <c r="D1039" s="1073"/>
      <c r="E1039" s="1069">
        <v>7</v>
      </c>
      <c r="F1039" s="1069"/>
      <c r="G1039" s="1069"/>
      <c r="H1039" s="1069"/>
      <c r="I1039" s="1160">
        <v>12.5</v>
      </c>
      <c r="J1039" s="1160"/>
      <c r="K1039" s="1160"/>
      <c r="L1039" s="1160"/>
      <c r="M1039" s="1160">
        <v>52</v>
      </c>
      <c r="N1039" s="1160"/>
      <c r="O1039" s="1160"/>
      <c r="P1039" s="1160"/>
      <c r="Q1039" s="1160">
        <v>499</v>
      </c>
      <c r="R1039" s="1160"/>
      <c r="S1039" s="1160"/>
      <c r="T1039" s="1160"/>
      <c r="U1039" s="1161">
        <f t="shared" si="3"/>
        <v>25948</v>
      </c>
      <c r="V1039" s="1161"/>
      <c r="W1039" s="1161"/>
      <c r="X1039" s="1161"/>
      <c r="Y1039" s="1166">
        <f t="shared" si="4"/>
        <v>259.48</v>
      </c>
      <c r="Z1039" s="1167"/>
      <c r="AA1039" s="1167"/>
      <c r="AB1039" s="1168"/>
      <c r="AE1039" s="1165"/>
    </row>
    <row r="1040" spans="1:31">
      <c r="A1040" s="1122" t="s">
        <v>279</v>
      </c>
      <c r="B1040" s="1073"/>
      <c r="C1040" s="1073"/>
      <c r="D1040" s="1073"/>
      <c r="E1040" s="1069">
        <v>8</v>
      </c>
      <c r="F1040" s="1069"/>
      <c r="G1040" s="1069"/>
      <c r="H1040" s="1069"/>
      <c r="I1040" s="1160">
        <v>12.5</v>
      </c>
      <c r="J1040" s="1160"/>
      <c r="K1040" s="1160"/>
      <c r="L1040" s="1160"/>
      <c r="M1040" s="1160">
        <v>26</v>
      </c>
      <c r="N1040" s="1160"/>
      <c r="O1040" s="1160"/>
      <c r="P1040" s="1160"/>
      <c r="Q1040" s="1160">
        <v>794</v>
      </c>
      <c r="R1040" s="1160"/>
      <c r="S1040" s="1160"/>
      <c r="T1040" s="1160"/>
      <c r="U1040" s="1161">
        <f t="shared" si="3"/>
        <v>20644</v>
      </c>
      <c r="V1040" s="1161"/>
      <c r="W1040" s="1161"/>
      <c r="X1040" s="1161"/>
      <c r="Y1040" s="1166">
        <f t="shared" si="4"/>
        <v>206.44</v>
      </c>
      <c r="Z1040" s="1167"/>
      <c r="AA1040" s="1167"/>
      <c r="AB1040" s="1168"/>
      <c r="AE1040" s="1165"/>
    </row>
    <row r="1041" spans="1:33">
      <c r="A1041" s="1122" t="s">
        <v>279</v>
      </c>
      <c r="B1041" s="1073"/>
      <c r="C1041" s="1073"/>
      <c r="D1041" s="1073"/>
      <c r="E1041" s="1069">
        <v>9</v>
      </c>
      <c r="F1041" s="1069"/>
      <c r="G1041" s="1069"/>
      <c r="H1041" s="1069"/>
      <c r="I1041" s="1160">
        <v>12.5</v>
      </c>
      <c r="J1041" s="1160"/>
      <c r="K1041" s="1160"/>
      <c r="L1041" s="1160"/>
      <c r="M1041" s="1160">
        <v>26</v>
      </c>
      <c r="N1041" s="1160"/>
      <c r="O1041" s="1160"/>
      <c r="P1041" s="1160"/>
      <c r="Q1041" s="1160">
        <v>742</v>
      </c>
      <c r="R1041" s="1160"/>
      <c r="S1041" s="1160"/>
      <c r="T1041" s="1160"/>
      <c r="U1041" s="1161">
        <f t="shared" si="3"/>
        <v>19292</v>
      </c>
      <c r="V1041" s="1161"/>
      <c r="W1041" s="1161"/>
      <c r="X1041" s="1161"/>
      <c r="Y1041" s="1166">
        <f t="shared" si="4"/>
        <v>192.92</v>
      </c>
      <c r="Z1041" s="1167"/>
      <c r="AA1041" s="1167"/>
      <c r="AB1041" s="1168"/>
      <c r="AE1041" s="1165"/>
    </row>
    <row r="1042" spans="1:33">
      <c r="A1042" s="1122" t="s">
        <v>279</v>
      </c>
      <c r="B1042" s="1073"/>
      <c r="C1042" s="1073"/>
      <c r="D1042" s="1073"/>
      <c r="E1042" s="1069">
        <v>10</v>
      </c>
      <c r="F1042" s="1069"/>
      <c r="G1042" s="1069"/>
      <c r="H1042" s="1069"/>
      <c r="I1042" s="1160">
        <v>20</v>
      </c>
      <c r="J1042" s="1160"/>
      <c r="K1042" s="1160"/>
      <c r="L1042" s="1160"/>
      <c r="M1042" s="1160">
        <v>84</v>
      </c>
      <c r="N1042" s="1160"/>
      <c r="O1042" s="1160"/>
      <c r="P1042" s="1160"/>
      <c r="Q1042" s="1160">
        <v>674</v>
      </c>
      <c r="R1042" s="1160"/>
      <c r="S1042" s="1160"/>
      <c r="T1042" s="1160"/>
      <c r="U1042" s="1161">
        <f t="shared" si="3"/>
        <v>56616</v>
      </c>
      <c r="V1042" s="1161"/>
      <c r="W1042" s="1161"/>
      <c r="X1042" s="1161"/>
      <c r="Y1042" s="1166">
        <f t="shared" si="4"/>
        <v>566.16</v>
      </c>
      <c r="Z1042" s="1167"/>
      <c r="AA1042" s="1167"/>
      <c r="AB1042" s="1168"/>
      <c r="AE1042" s="1164"/>
    </row>
    <row r="1043" ht="15.75" spans="1:33">
      <c r="A1043" s="1133" t="s">
        <v>279</v>
      </c>
      <c r="B1043" s="1134"/>
      <c r="C1043" s="1134"/>
      <c r="D1043" s="1134"/>
      <c r="E1043" s="1137">
        <v>11</v>
      </c>
      <c r="F1043" s="1137"/>
      <c r="G1043" s="1137"/>
      <c r="H1043" s="1137"/>
      <c r="I1043" s="1138">
        <v>20</v>
      </c>
      <c r="J1043" s="1138"/>
      <c r="K1043" s="1138"/>
      <c r="L1043" s="1138"/>
      <c r="M1043" s="1138">
        <v>62</v>
      </c>
      <c r="N1043" s="1138"/>
      <c r="O1043" s="1138"/>
      <c r="P1043" s="1138"/>
      <c r="Q1043" s="1138">
        <v>550</v>
      </c>
      <c r="R1043" s="1138"/>
      <c r="S1043" s="1138"/>
      <c r="T1043" s="1138"/>
      <c r="U1043" s="1142">
        <f t="shared" si="3"/>
        <v>34100</v>
      </c>
      <c r="V1043" s="1142"/>
      <c r="W1043" s="1142"/>
      <c r="X1043" s="1142"/>
      <c r="Y1043" s="1169">
        <f t="shared" si="4"/>
        <v>341</v>
      </c>
      <c r="Z1043" s="1169"/>
      <c r="AA1043" s="1169"/>
      <c r="AB1043" s="1170"/>
      <c r="AE1043" s="1164"/>
    </row>
    <row r="1044" ht="15.75" spans="1:33">
      <c r="A1044" s="1083"/>
      <c r="AB1044" s="1044"/>
    </row>
    <row r="1045" spans="1:33">
      <c r="A1045" s="1083"/>
      <c r="K1045" s="1084" t="s">
        <v>397</v>
      </c>
      <c r="L1045" s="1085"/>
      <c r="M1045" s="1085"/>
      <c r="N1045" s="1085"/>
      <c r="O1045" s="1085"/>
      <c r="P1045" s="1085"/>
      <c r="Q1045" s="1085"/>
      <c r="R1045" s="1086"/>
      <c r="AB1045" s="1044"/>
    </row>
    <row r="1046" spans="1:33">
      <c r="A1046" s="1083"/>
      <c r="K1046" s="1087" t="s">
        <v>281</v>
      </c>
      <c r="L1046" s="1088"/>
      <c r="M1046" s="1088"/>
      <c r="N1046" s="1088"/>
      <c r="O1046" s="1088"/>
      <c r="P1046" s="1088"/>
      <c r="Q1046" s="1088"/>
      <c r="R1046" s="1089"/>
      <c r="AB1046" s="1044"/>
    </row>
    <row r="1047" spans="1:33">
      <c r="A1047" s="1083"/>
      <c r="K1047" s="1090"/>
      <c r="L1047" s="1091"/>
      <c r="M1047" s="1091"/>
      <c r="N1047" s="1091"/>
      <c r="O1047" s="1091"/>
      <c r="P1047" s="1091"/>
      <c r="Q1047" s="1091"/>
      <c r="R1047" s="1092"/>
      <c r="AB1047" s="1044"/>
    </row>
    <row r="1048" ht="15.75" spans="1:33">
      <c r="A1048" s="1083"/>
      <c r="K1048" s="1171">
        <f>ROUNDUP(ROUNDUP((((Y1034)*((PI()*((I1034^2)/4))*7849.25))+((Y1035+Y1036+Y1037+Y1038+Y1039+Y1040+Y1041)*((PI()*((I1035^2)/4))*7849.25))+((Y1043+Y1042)*(PI()*((I1042^2)/4))*7849.25))/1000000,2)/0.05,0)*0.05</f>
        <v>3378.05</v>
      </c>
      <c r="L1048" s="1172"/>
      <c r="M1048" s="1172"/>
      <c r="N1048" s="1172"/>
      <c r="O1048" s="1172"/>
      <c r="P1048" s="1172"/>
      <c r="Q1048" s="1172"/>
      <c r="R1048" s="1173"/>
      <c r="AB1048" s="1044"/>
    </row>
    <row r="1049" ht="15.75" spans="1:33">
      <c r="A1049" s="1096"/>
      <c r="B1049" s="389"/>
      <c r="C1049" s="389"/>
      <c r="D1049" s="389"/>
      <c r="E1049" s="389"/>
      <c r="F1049" s="389"/>
      <c r="G1049" s="389"/>
      <c r="H1049" s="389"/>
      <c r="I1049" s="1097"/>
      <c r="J1049" s="1097"/>
      <c r="K1049" s="1097"/>
      <c r="L1049" s="1097"/>
      <c r="M1049" s="1097"/>
      <c r="N1049" s="1097"/>
      <c r="O1049" s="1097"/>
      <c r="P1049" s="1097"/>
      <c r="Q1049" s="389"/>
      <c r="R1049" s="389"/>
      <c r="S1049" s="389"/>
      <c r="T1049" s="389"/>
      <c r="U1049" s="389"/>
      <c r="V1049" s="389"/>
      <c r="W1049" s="389"/>
      <c r="X1049" s="389"/>
      <c r="Y1049" s="389"/>
      <c r="Z1049" s="389"/>
      <c r="AA1049" s="389"/>
      <c r="AB1049" s="1098"/>
    </row>
    <row r="1050" s="437" customFormat="1" spans="1:33">
      <c r="A1050" s="1040" t="s">
        <v>398</v>
      </c>
      <c r="B1050" s="1114"/>
      <c r="C1050" s="1114"/>
      <c r="D1050" s="1114"/>
      <c r="E1050" s="1114"/>
      <c r="F1050" s="1114"/>
      <c r="G1050" s="1114"/>
      <c r="H1050" s="1114"/>
      <c r="I1050" s="1114"/>
      <c r="J1050" s="1114"/>
      <c r="K1050" s="1114"/>
      <c r="L1050" s="1114"/>
      <c r="M1050" s="1114"/>
      <c r="N1050" s="1114"/>
      <c r="O1050" s="1114"/>
      <c r="P1050" s="1114"/>
      <c r="Q1050" s="1114"/>
      <c r="R1050" s="1114"/>
      <c r="S1050" s="1114"/>
      <c r="T1050" s="1114"/>
      <c r="U1050" s="1114"/>
      <c r="V1050" s="1114"/>
      <c r="W1050" s="1114"/>
      <c r="X1050" s="1114"/>
      <c r="Y1050" s="1114"/>
      <c r="Z1050" s="1114"/>
      <c r="AA1050" s="1114"/>
      <c r="AB1050" s="1115"/>
      <c r="AG1050" s="1174"/>
    </row>
    <row r="1051" spans="1:33">
      <c r="A1051" s="1083"/>
      <c r="AB1051" s="1044"/>
      <c r="AG1051" s="1175"/>
    </row>
    <row r="1052" spans="1:33">
      <c r="A1052" s="1083"/>
      <c r="AB1052" s="1044"/>
      <c r="AG1052" s="1175"/>
    </row>
    <row r="1053" spans="1:33">
      <c r="A1053" s="1083"/>
      <c r="AB1053" s="1044"/>
      <c r="AG1053" s="1175"/>
    </row>
    <row r="1054" spans="1:33">
      <c r="A1054" s="1083"/>
      <c r="AB1054" s="1044"/>
      <c r="AG1054" s="1175"/>
    </row>
    <row r="1055" spans="1:33">
      <c r="A1055" s="1083"/>
      <c r="AB1055" s="1044"/>
      <c r="AG1055" s="1175"/>
    </row>
    <row r="1056" spans="1:33">
      <c r="A1056" s="1083"/>
      <c r="AB1056" s="1044"/>
      <c r="AG1056" s="1175"/>
    </row>
    <row r="1057" spans="1:33">
      <c r="A1057" s="1083"/>
      <c r="AB1057" s="1044"/>
      <c r="AG1057" s="1175"/>
    </row>
    <row r="1058" spans="1:33">
      <c r="A1058" s="1083"/>
      <c r="AB1058" s="1044"/>
      <c r="AG1058" s="1175"/>
    </row>
    <row r="1059" spans="1:33">
      <c r="A1059" s="1083"/>
      <c r="AB1059" s="1044"/>
      <c r="AG1059" s="1175"/>
    </row>
    <row r="1060" spans="1:33">
      <c r="A1060" s="1083"/>
      <c r="AB1060" s="1044"/>
      <c r="AG1060" s="1175"/>
    </row>
    <row r="1061" spans="1:33">
      <c r="A1061" s="1083"/>
      <c r="AB1061" s="1044"/>
      <c r="AG1061" s="1175"/>
    </row>
    <row r="1062" spans="1:33">
      <c r="A1062" s="1083"/>
      <c r="AB1062" s="1044"/>
      <c r="AG1062" s="1175"/>
    </row>
    <row r="1063" spans="1:33">
      <c r="A1063" s="1083"/>
      <c r="AB1063" s="1044"/>
      <c r="AG1063" s="1175"/>
    </row>
    <row r="1064" spans="1:33">
      <c r="A1064" s="1083"/>
      <c r="AB1064" s="1044"/>
      <c r="AG1064" s="1175"/>
    </row>
    <row r="1065" spans="1:33">
      <c r="A1065" s="1083"/>
      <c r="AB1065" s="1044"/>
      <c r="AG1065" s="1175"/>
    </row>
    <row r="1066" spans="1:33">
      <c r="A1066" s="1083"/>
      <c r="AB1066" s="1044"/>
      <c r="AG1066" s="1175"/>
    </row>
    <row r="1067" spans="1:33">
      <c r="A1067" s="1083"/>
      <c r="AB1067" s="1044"/>
      <c r="AG1067" s="1175"/>
    </row>
    <row r="1068" spans="1:33">
      <c r="A1068" s="1083"/>
      <c r="AB1068" s="1044"/>
      <c r="AG1068" s="1175"/>
    </row>
    <row r="1069" spans="1:33">
      <c r="A1069" s="1083"/>
      <c r="AB1069" s="1044"/>
      <c r="AG1069" s="1175"/>
    </row>
    <row r="1070" spans="1:33">
      <c r="A1070" s="1083"/>
      <c r="AB1070" s="1044"/>
      <c r="AG1070" s="1175"/>
    </row>
    <row r="1071" spans="1:33">
      <c r="A1071" s="1083"/>
      <c r="AB1071" s="1044"/>
      <c r="AG1071" s="1175"/>
    </row>
    <row r="1072" spans="1:33">
      <c r="A1072" s="1083"/>
      <c r="AB1072" s="1044"/>
      <c r="AG1072" s="1175"/>
    </row>
    <row r="1073" spans="1:33">
      <c r="A1073" s="1083"/>
      <c r="AB1073" s="1044"/>
      <c r="AG1073" s="1175"/>
    </row>
    <row r="1074" spans="1:33">
      <c r="A1074" s="1083"/>
      <c r="AB1074" s="1044"/>
      <c r="AG1074" s="1175"/>
    </row>
    <row r="1075" spans="1:33">
      <c r="A1075" s="1083"/>
      <c r="AB1075" s="1044"/>
      <c r="AG1075" s="1175"/>
    </row>
    <row r="1076" spans="1:33">
      <c r="A1076" s="1083"/>
      <c r="AB1076" s="1044"/>
      <c r="AG1076" s="1175"/>
    </row>
    <row r="1077" spans="1:33">
      <c r="A1077" s="1083"/>
      <c r="AB1077" s="1044"/>
      <c r="AG1077" s="1175"/>
    </row>
    <row r="1078" spans="1:33">
      <c r="A1078" s="1083"/>
      <c r="AB1078" s="1044"/>
      <c r="AG1078" s="1175"/>
    </row>
    <row r="1079" spans="1:33">
      <c r="A1079" s="1099" t="s">
        <v>399</v>
      </c>
      <c r="B1079" s="424"/>
      <c r="C1079" s="424"/>
      <c r="D1079" s="424"/>
      <c r="E1079" s="424"/>
      <c r="F1079" s="424"/>
      <c r="G1079" s="424"/>
      <c r="H1079" s="424"/>
      <c r="I1079" s="424"/>
      <c r="J1079" s="424"/>
      <c r="K1079" s="424"/>
      <c r="L1079" s="424"/>
      <c r="M1079" s="424"/>
      <c r="N1079" s="424"/>
      <c r="O1079" s="424"/>
      <c r="P1079" s="424"/>
      <c r="Q1079" s="424"/>
      <c r="R1079" s="424"/>
      <c r="S1079" s="424"/>
      <c r="T1079" s="424"/>
      <c r="U1079" s="424"/>
      <c r="V1079" s="424"/>
      <c r="W1079" s="424"/>
      <c r="X1079" s="424"/>
      <c r="Y1079" s="424"/>
      <c r="Z1079" s="424"/>
      <c r="AA1079" s="424"/>
      <c r="AB1079" s="1100"/>
      <c r="AG1079" s="1175"/>
    </row>
    <row r="1080" spans="1:33">
      <c r="A1080" s="1048" t="s">
        <v>205</v>
      </c>
      <c r="B1080" s="1049"/>
      <c r="C1080" s="1049"/>
      <c r="D1080" s="1050"/>
      <c r="E1080" s="1104" t="s">
        <v>206</v>
      </c>
      <c r="F1080" s="1102"/>
      <c r="G1080" s="1102"/>
      <c r="H1080" s="1103"/>
      <c r="I1080" s="1104" t="s">
        <v>235</v>
      </c>
      <c r="J1080" s="1102"/>
      <c r="K1080" s="1102"/>
      <c r="L1080" s="1103"/>
      <c r="M1080" s="1104" t="s">
        <v>236</v>
      </c>
      <c r="N1080" s="1102"/>
      <c r="O1080" s="1102"/>
      <c r="P1080" s="1103"/>
      <c r="Q1080" s="1104" t="s">
        <v>237</v>
      </c>
      <c r="R1080" s="1102"/>
      <c r="S1080" s="1102"/>
      <c r="T1080" s="1103"/>
      <c r="U1080" s="1104" t="s">
        <v>345</v>
      </c>
      <c r="V1080" s="1102"/>
      <c r="W1080" s="1102"/>
      <c r="X1080" s="1103"/>
      <c r="Y1080" s="1055" t="s">
        <v>346</v>
      </c>
      <c r="Z1080" s="1056"/>
      <c r="AA1080" s="1056"/>
      <c r="AB1080" s="1057"/>
      <c r="AG1080" s="1175"/>
    </row>
    <row r="1081" ht="14.4" customHeight="1" spans="1:33">
      <c r="A1081" s="1176" t="s">
        <v>347</v>
      </c>
      <c r="B1081" s="1120"/>
      <c r="C1081" s="1120"/>
      <c r="D1081" s="1132"/>
      <c r="E1081" s="1061" t="s">
        <v>241</v>
      </c>
      <c r="F1081" s="1059"/>
      <c r="G1081" s="1059"/>
      <c r="H1081" s="1060"/>
      <c r="I1081" s="1119" t="s">
        <v>347</v>
      </c>
      <c r="J1081" s="1120"/>
      <c r="K1081" s="1120"/>
      <c r="L1081" s="1132"/>
      <c r="M1081" s="1061" t="s">
        <v>242</v>
      </c>
      <c r="N1081" s="1059"/>
      <c r="O1081" s="1059"/>
      <c r="P1081" s="1060"/>
      <c r="Q1081" s="1119" t="s">
        <v>347</v>
      </c>
      <c r="R1081" s="1120"/>
      <c r="S1081" s="1120"/>
      <c r="T1081" s="1132"/>
      <c r="U1081" s="1061" t="s">
        <v>348</v>
      </c>
      <c r="V1081" s="1059"/>
      <c r="W1081" s="1059"/>
      <c r="X1081" s="1060"/>
      <c r="Y1081" s="1065"/>
      <c r="Z1081" s="1066"/>
      <c r="AA1081" s="1066"/>
      <c r="AB1081" s="1067"/>
      <c r="AG1081" s="1175"/>
    </row>
    <row r="1082" ht="15.75" spans="1:33">
      <c r="A1082" s="1177">
        <v>1.2</v>
      </c>
      <c r="B1082" s="1178"/>
      <c r="C1082" s="1178"/>
      <c r="D1082" s="1179"/>
      <c r="E1082" s="1073">
        <v>0.4</v>
      </c>
      <c r="F1082" s="1073"/>
      <c r="G1082" s="1073"/>
      <c r="H1082" s="1073"/>
      <c r="I1082" s="1073">
        <v>1.2</v>
      </c>
      <c r="J1082" s="1073"/>
      <c r="K1082" s="1073"/>
      <c r="L1082" s="1073"/>
      <c r="M1082" s="1073">
        <v>4</v>
      </c>
      <c r="N1082" s="1073"/>
      <c r="O1082" s="1073"/>
      <c r="P1082" s="1073"/>
      <c r="Q1082" s="1073">
        <v>1.2</v>
      </c>
      <c r="R1082" s="1073"/>
      <c r="S1082" s="1073"/>
      <c r="T1082" s="1073"/>
      <c r="U1082" s="1073">
        <v>4.5</v>
      </c>
      <c r="V1082" s="1073"/>
      <c r="W1082" s="1073"/>
      <c r="X1082" s="1073"/>
      <c r="Y1082" s="1123">
        <f>($A1082+$E1082+$I1082)*($M1082+$Q1082)*$U1082</f>
        <v>65.52</v>
      </c>
      <c r="Z1082" s="1123"/>
      <c r="AA1082" s="1123"/>
      <c r="AB1082" s="1124"/>
      <c r="AG1082" s="1175"/>
    </row>
    <row r="1083" ht="17.25" spans="1:33">
      <c r="A1083" s="1079" t="s">
        <v>349</v>
      </c>
      <c r="B1083" s="1080"/>
      <c r="C1083" s="1080"/>
      <c r="D1083" s="1080"/>
      <c r="E1083" s="1080"/>
      <c r="F1083" s="1080"/>
      <c r="G1083" s="1080"/>
      <c r="H1083" s="1080"/>
      <c r="I1083" s="1080"/>
      <c r="J1083" s="1080"/>
      <c r="K1083" s="1080"/>
      <c r="L1083" s="1080"/>
      <c r="M1083" s="1080"/>
      <c r="N1083" s="1080"/>
      <c r="O1083" s="1080"/>
      <c r="P1083" s="1080"/>
      <c r="Q1083" s="1080"/>
      <c r="R1083" s="1080"/>
      <c r="S1083" s="1080"/>
      <c r="T1083" s="1080"/>
      <c r="U1083" s="1080"/>
      <c r="V1083" s="1080"/>
      <c r="W1083" s="1080"/>
      <c r="X1083" s="1080"/>
      <c r="Y1083" s="1080"/>
      <c r="Z1083" s="1080"/>
      <c r="AA1083" s="1080"/>
      <c r="AB1083" s="1081"/>
      <c r="AG1083" s="1175"/>
    </row>
    <row r="1084" spans="1:33">
      <c r="A1084" s="1083"/>
      <c r="AB1084" s="1044"/>
      <c r="AG1084" s="1175"/>
    </row>
    <row r="1085" spans="1:33">
      <c r="A1085" s="1099" t="s">
        <v>400</v>
      </c>
      <c r="B1085" s="424"/>
      <c r="C1085" s="424"/>
      <c r="D1085" s="424"/>
      <c r="E1085" s="424"/>
      <c r="F1085" s="424"/>
      <c r="G1085" s="424"/>
      <c r="H1085" s="424"/>
      <c r="I1085" s="424"/>
      <c r="J1085" s="424"/>
      <c r="K1085" s="424"/>
      <c r="L1085" s="424"/>
      <c r="M1085" s="424"/>
      <c r="N1085" s="424"/>
      <c r="O1085" s="424"/>
      <c r="P1085" s="424"/>
      <c r="Q1085" s="424"/>
      <c r="R1085" s="424"/>
      <c r="S1085" s="424"/>
      <c r="T1085" s="424"/>
      <c r="U1085" s="424"/>
      <c r="V1085" s="424"/>
      <c r="W1085" s="424"/>
      <c r="X1085" s="424"/>
      <c r="Y1085" s="424"/>
      <c r="Z1085" s="424"/>
      <c r="AA1085" s="424"/>
      <c r="AB1085" s="1100"/>
      <c r="AG1085" s="1175"/>
    </row>
    <row r="1086" ht="14.4" customHeight="1" spans="1:33">
      <c r="A1086" s="1048" t="s">
        <v>238</v>
      </c>
      <c r="B1086" s="1049"/>
      <c r="C1086" s="1049"/>
      <c r="D1086" s="1050"/>
      <c r="E1086" s="1104" t="s">
        <v>246</v>
      </c>
      <c r="F1086" s="1102"/>
      <c r="G1086" s="1102"/>
      <c r="H1086" s="1103"/>
      <c r="I1086" s="1104" t="s">
        <v>247</v>
      </c>
      <c r="J1086" s="1102"/>
      <c r="K1086" s="1102"/>
      <c r="L1086" s="1103"/>
      <c r="M1086" s="1104" t="s">
        <v>248</v>
      </c>
      <c r="N1086" s="1102"/>
      <c r="O1086" s="1102"/>
      <c r="P1086" s="1103"/>
      <c r="Q1086" s="1104" t="s">
        <v>249</v>
      </c>
      <c r="R1086" s="1102"/>
      <c r="S1086" s="1102"/>
      <c r="T1086" s="1103"/>
      <c r="U1086" s="1104" t="s">
        <v>345</v>
      </c>
      <c r="V1086" s="1102"/>
      <c r="W1086" s="1102"/>
      <c r="X1086" s="1103"/>
      <c r="Y1086" s="1055" t="s">
        <v>346</v>
      </c>
      <c r="Z1086" s="1056"/>
      <c r="AA1086" s="1056"/>
      <c r="AB1086" s="1057"/>
      <c r="AG1086" s="1175"/>
    </row>
    <row r="1087" ht="14.4" customHeight="1" spans="1:33">
      <c r="A1087" s="1176" t="s">
        <v>347</v>
      </c>
      <c r="B1087" s="1120"/>
      <c r="C1087" s="1120"/>
      <c r="D1087" s="1132"/>
      <c r="E1087" s="1061" t="s">
        <v>241</v>
      </c>
      <c r="F1087" s="1059"/>
      <c r="G1087" s="1059"/>
      <c r="H1087" s="1060"/>
      <c r="I1087" s="1119" t="s">
        <v>347</v>
      </c>
      <c r="J1087" s="1120"/>
      <c r="K1087" s="1120"/>
      <c r="L1087" s="1132"/>
      <c r="M1087" s="1061" t="s">
        <v>242</v>
      </c>
      <c r="N1087" s="1059"/>
      <c r="O1087" s="1059"/>
      <c r="P1087" s="1060"/>
      <c r="Q1087" s="1119" t="s">
        <v>347</v>
      </c>
      <c r="R1087" s="1120"/>
      <c r="S1087" s="1120"/>
      <c r="T1087" s="1132"/>
      <c r="U1087" s="1061" t="s">
        <v>348</v>
      </c>
      <c r="V1087" s="1059"/>
      <c r="W1087" s="1059"/>
      <c r="X1087" s="1060"/>
      <c r="Y1087" s="1065"/>
      <c r="Z1087" s="1066"/>
      <c r="AA1087" s="1066"/>
      <c r="AB1087" s="1067"/>
      <c r="AG1087" s="1175"/>
    </row>
    <row r="1088" ht="15.75" spans="1:33">
      <c r="A1088" s="1177">
        <v>1.2</v>
      </c>
      <c r="B1088" s="1178"/>
      <c r="C1088" s="1178"/>
      <c r="D1088" s="1179"/>
      <c r="E1088" s="1073">
        <v>0.4</v>
      </c>
      <c r="F1088" s="1073"/>
      <c r="G1088" s="1073"/>
      <c r="H1088" s="1073"/>
      <c r="I1088" s="1073">
        <v>1.2</v>
      </c>
      <c r="J1088" s="1073"/>
      <c r="K1088" s="1073"/>
      <c r="L1088" s="1073"/>
      <c r="M1088" s="1073">
        <v>4</v>
      </c>
      <c r="N1088" s="1073"/>
      <c r="O1088" s="1073"/>
      <c r="P1088" s="1073"/>
      <c r="Q1088" s="1073">
        <v>1.2</v>
      </c>
      <c r="R1088" s="1073"/>
      <c r="S1088" s="1073"/>
      <c r="T1088" s="1073"/>
      <c r="U1088" s="1073">
        <v>4.5</v>
      </c>
      <c r="V1088" s="1073"/>
      <c r="W1088" s="1073"/>
      <c r="X1088" s="1073"/>
      <c r="Y1088" s="1123">
        <f>($A1088+$E1088+$I1088)*($M1088+$Q1088)*$U1088</f>
        <v>65.52</v>
      </c>
      <c r="Z1088" s="1123"/>
      <c r="AA1088" s="1123"/>
      <c r="AB1088" s="1124"/>
      <c r="AG1088" s="1175"/>
    </row>
    <row r="1089" ht="17.25" spans="1:33">
      <c r="A1089" s="1079" t="s">
        <v>351</v>
      </c>
      <c r="B1089" s="1080"/>
      <c r="C1089" s="1080"/>
      <c r="D1089" s="1080"/>
      <c r="E1089" s="1080"/>
      <c r="F1089" s="1080"/>
      <c r="G1089" s="1080"/>
      <c r="H1089" s="1080"/>
      <c r="I1089" s="1080"/>
      <c r="J1089" s="1080"/>
      <c r="K1089" s="1080"/>
      <c r="L1089" s="1080"/>
      <c r="M1089" s="1080"/>
      <c r="N1089" s="1080"/>
      <c r="O1089" s="1080"/>
      <c r="P1089" s="1080"/>
      <c r="Q1089" s="1080"/>
      <c r="R1089" s="1080"/>
      <c r="S1089" s="1080"/>
      <c r="T1089" s="1080"/>
      <c r="U1089" s="1080"/>
      <c r="V1089" s="1080"/>
      <c r="W1089" s="1080"/>
      <c r="X1089" s="1080"/>
      <c r="Y1089" s="1080"/>
      <c r="Z1089" s="1080"/>
      <c r="AA1089" s="1080"/>
      <c r="AB1089" s="1081"/>
      <c r="AG1089" s="1175"/>
    </row>
    <row r="1090" spans="1:33">
      <c r="A1090" s="1083"/>
      <c r="AB1090" s="1044"/>
      <c r="AG1090" s="1175"/>
    </row>
    <row r="1091" spans="1:33">
      <c r="A1091" s="1099" t="s">
        <v>401</v>
      </c>
      <c r="B1091" s="424"/>
      <c r="C1091" s="424"/>
      <c r="D1091" s="424"/>
      <c r="E1091" s="424"/>
      <c r="F1091" s="424"/>
      <c r="G1091" s="424"/>
      <c r="H1091" s="424"/>
      <c r="I1091" s="424"/>
      <c r="J1091" s="424"/>
      <c r="K1091" s="424"/>
      <c r="L1091" s="424"/>
      <c r="M1091" s="424"/>
      <c r="N1091" s="424"/>
      <c r="O1091" s="424"/>
      <c r="P1091" s="424"/>
      <c r="Q1091" s="424"/>
      <c r="R1091" s="424"/>
      <c r="S1091" s="424"/>
      <c r="T1091" s="424"/>
      <c r="U1091" s="424"/>
      <c r="V1091" s="424"/>
      <c r="W1091" s="424"/>
      <c r="X1091" s="424"/>
      <c r="Y1091" s="424"/>
      <c r="Z1091" s="424"/>
      <c r="AA1091" s="424"/>
      <c r="AB1091" s="1100"/>
      <c r="AG1091" s="1175"/>
    </row>
    <row r="1092" ht="14.4" customHeight="1" spans="1:33">
      <c r="A1092" s="1101" t="s">
        <v>252</v>
      </c>
      <c r="B1092" s="1102"/>
      <c r="C1092" s="1102"/>
      <c r="D1092" s="1103"/>
      <c r="E1092" s="1104" t="s">
        <v>253</v>
      </c>
      <c r="F1092" s="1102"/>
      <c r="G1092" s="1102"/>
      <c r="H1092" s="1103"/>
      <c r="I1092" s="1104" t="s">
        <v>254</v>
      </c>
      <c r="J1092" s="1102"/>
      <c r="K1092" s="1102"/>
      <c r="L1092" s="1103"/>
      <c r="M1092" s="1104" t="s">
        <v>255</v>
      </c>
      <c r="N1092" s="1102"/>
      <c r="O1092" s="1102"/>
      <c r="P1092" s="1103"/>
      <c r="Q1092" s="1104" t="s">
        <v>353</v>
      </c>
      <c r="R1092" s="1102"/>
      <c r="S1092" s="1102"/>
      <c r="T1092" s="1103"/>
      <c r="U1092" s="1180"/>
      <c r="V1092" s="1181"/>
      <c r="W1092" s="1181"/>
      <c r="X1092" s="1182"/>
      <c r="Y1092" s="1056" t="s">
        <v>346</v>
      </c>
      <c r="Z1092" s="1056"/>
      <c r="AA1092" s="1056"/>
      <c r="AB1092" s="1057"/>
      <c r="AG1092" s="1175"/>
    </row>
    <row r="1093" ht="14.4" customHeight="1" spans="1:33">
      <c r="A1093" s="1176" t="s">
        <v>347</v>
      </c>
      <c r="B1093" s="1120"/>
      <c r="C1093" s="1120"/>
      <c r="D1093" s="1132"/>
      <c r="E1093" s="1061" t="s">
        <v>256</v>
      </c>
      <c r="F1093" s="1059"/>
      <c r="G1093" s="1059"/>
      <c r="H1093" s="1060"/>
      <c r="I1093" s="1119" t="s">
        <v>347</v>
      </c>
      <c r="J1093" s="1120"/>
      <c r="K1093" s="1120"/>
      <c r="L1093" s="1132"/>
      <c r="M1093" s="1061" t="s">
        <v>257</v>
      </c>
      <c r="N1093" s="1059"/>
      <c r="O1093" s="1059"/>
      <c r="P1093" s="1060"/>
      <c r="Q1093" s="1061" t="s">
        <v>348</v>
      </c>
      <c r="R1093" s="1059"/>
      <c r="S1093" s="1059"/>
      <c r="T1093" s="1060"/>
      <c r="U1093" s="1065"/>
      <c r="V1093" s="1066"/>
      <c r="W1093" s="1066"/>
      <c r="X1093" s="1107"/>
      <c r="Y1093" s="1066"/>
      <c r="Z1093" s="1066"/>
      <c r="AA1093" s="1066"/>
      <c r="AB1093" s="1067"/>
      <c r="AG1093" s="1175"/>
    </row>
    <row r="1094" ht="15.75" spans="1:33">
      <c r="A1094" s="1183">
        <v>1.2</v>
      </c>
      <c r="B1094" s="1184"/>
      <c r="C1094" s="1184"/>
      <c r="D1094" s="1185"/>
      <c r="E1094" s="1110">
        <v>0.4</v>
      </c>
      <c r="F1094" s="1110"/>
      <c r="G1094" s="1110"/>
      <c r="H1094" s="1110"/>
      <c r="I1094" s="1110">
        <v>1.2</v>
      </c>
      <c r="J1094" s="1110"/>
      <c r="K1094" s="1110"/>
      <c r="L1094" s="1110"/>
      <c r="M1094" s="1110">
        <v>6</v>
      </c>
      <c r="N1094" s="1110"/>
      <c r="O1094" s="1110"/>
      <c r="P1094" s="1110"/>
      <c r="Q1094" s="1110">
        <v>3.5</v>
      </c>
      <c r="R1094" s="1110"/>
      <c r="S1094" s="1110"/>
      <c r="T1094" s="1110"/>
      <c r="U1094" s="1077"/>
      <c r="V1094" s="1077"/>
      <c r="W1094" s="1077"/>
      <c r="X1094" s="1077"/>
      <c r="Y1094" s="1077">
        <f>($A1094+$E1094+$I1094)*($M1094)*$Q1094</f>
        <v>58.8</v>
      </c>
      <c r="Z1094" s="1077"/>
      <c r="AA1094" s="1077"/>
      <c r="AB1094" s="1078"/>
      <c r="AG1094" s="1175"/>
    </row>
    <row r="1095" ht="17.25" spans="1:33">
      <c r="A1095" s="1079" t="s">
        <v>354</v>
      </c>
      <c r="B1095" s="1080"/>
      <c r="C1095" s="1080"/>
      <c r="D1095" s="1080"/>
      <c r="E1095" s="1080"/>
      <c r="F1095" s="1080"/>
      <c r="G1095" s="1080"/>
      <c r="H1095" s="1080"/>
      <c r="I1095" s="1080"/>
      <c r="J1095" s="1080"/>
      <c r="K1095" s="1080"/>
      <c r="L1095" s="1080"/>
      <c r="M1095" s="1080"/>
      <c r="N1095" s="1080"/>
      <c r="O1095" s="1080"/>
      <c r="P1095" s="1080"/>
      <c r="Q1095" s="1080"/>
      <c r="R1095" s="1080"/>
      <c r="S1095" s="1080"/>
      <c r="T1095" s="1080"/>
      <c r="U1095" s="1080"/>
      <c r="V1095" s="1080"/>
      <c r="W1095" s="1080"/>
      <c r="X1095" s="1080"/>
      <c r="Y1095" s="1080"/>
      <c r="Z1095" s="1080"/>
      <c r="AA1095" s="1080"/>
      <c r="AB1095" s="1081"/>
      <c r="AG1095" s="1175"/>
    </row>
    <row r="1096" ht="15.75" spans="1:33">
      <c r="A1096" s="1083"/>
      <c r="AB1096" s="1044"/>
      <c r="AG1096" s="1175"/>
    </row>
    <row r="1097" spans="1:33">
      <c r="A1097" s="1083"/>
      <c r="K1097" s="1084" t="s">
        <v>402</v>
      </c>
      <c r="L1097" s="1085"/>
      <c r="M1097" s="1085"/>
      <c r="N1097" s="1085"/>
      <c r="O1097" s="1085"/>
      <c r="P1097" s="1085"/>
      <c r="Q1097" s="1085"/>
      <c r="R1097" s="1085"/>
      <c r="S1097" s="1086"/>
      <c r="AB1097" s="1044"/>
    </row>
    <row r="1098" ht="14.4" customHeight="1" spans="1:33">
      <c r="A1098" s="1083"/>
      <c r="K1098" s="1087" t="s">
        <v>356</v>
      </c>
      <c r="L1098" s="1088"/>
      <c r="M1098" s="1088"/>
      <c r="N1098" s="1088"/>
      <c r="O1098" s="1088"/>
      <c r="P1098" s="1088"/>
      <c r="Q1098" s="1088"/>
      <c r="R1098" s="1088"/>
      <c r="S1098" s="1089"/>
      <c r="AB1098" s="1044"/>
    </row>
    <row r="1099" spans="1:33">
      <c r="A1099" s="1083"/>
      <c r="K1099" s="1090"/>
      <c r="L1099" s="1091"/>
      <c r="M1099" s="1091"/>
      <c r="N1099" s="1091"/>
      <c r="O1099" s="1091"/>
      <c r="P1099" s="1091"/>
      <c r="Q1099" s="1091"/>
      <c r="R1099" s="1091"/>
      <c r="S1099" s="1092"/>
      <c r="AB1099" s="1044"/>
    </row>
    <row r="1100" ht="15.75" spans="1:33">
      <c r="A1100" s="1083"/>
      <c r="K1100" s="1186">
        <f>ROUNDUP(($Y$647+$Y$653+$Y$659),2)</f>
        <v>189.84</v>
      </c>
      <c r="L1100" s="1187"/>
      <c r="M1100" s="1187"/>
      <c r="N1100" s="1187"/>
      <c r="O1100" s="1187"/>
      <c r="P1100" s="1187"/>
      <c r="Q1100" s="1187"/>
      <c r="R1100" s="1187"/>
      <c r="S1100" s="1188"/>
      <c r="AB1100" s="1044"/>
    </row>
    <row r="1101" ht="15.75" spans="1:33">
      <c r="A1101" s="1189"/>
      <c r="B1101" s="1097"/>
      <c r="C1101" s="1097"/>
      <c r="D1101" s="1097"/>
      <c r="E1101" s="1097"/>
      <c r="F1101" s="1097"/>
      <c r="G1101" s="1097"/>
      <c r="H1101" s="1097"/>
      <c r="I1101" s="1097"/>
      <c r="J1101" s="1097"/>
      <c r="K1101" s="1097"/>
      <c r="L1101" s="1097"/>
      <c r="M1101" s="1128"/>
      <c r="N1101" s="1128"/>
      <c r="O1101" s="1128"/>
      <c r="P1101" s="1128"/>
      <c r="Q1101" s="1128"/>
      <c r="R1101" s="1128"/>
      <c r="S1101" s="1128"/>
      <c r="T1101" s="1128"/>
      <c r="U1101" s="389"/>
      <c r="V1101" s="389"/>
      <c r="W1101" s="389"/>
      <c r="X1101" s="389"/>
      <c r="Y1101" s="389"/>
      <c r="Z1101" s="389"/>
      <c r="AA1101" s="389"/>
      <c r="AB1101" s="1098"/>
    </row>
    <row r="1102" s="437" customFormat="1" spans="1:33">
      <c r="A1102" s="1040" t="s">
        <v>403</v>
      </c>
      <c r="B1102" s="1114"/>
      <c r="C1102" s="1114"/>
      <c r="D1102" s="1114"/>
      <c r="E1102" s="1114"/>
      <c r="F1102" s="1114"/>
      <c r="G1102" s="1114"/>
      <c r="H1102" s="1114"/>
      <c r="I1102" s="1114"/>
      <c r="J1102" s="1114"/>
      <c r="K1102" s="1114"/>
      <c r="L1102" s="1114"/>
      <c r="M1102" s="1114"/>
      <c r="N1102" s="1114"/>
      <c r="O1102" s="1114"/>
      <c r="P1102" s="1114"/>
      <c r="Q1102" s="1114"/>
      <c r="R1102" s="1114"/>
      <c r="S1102" s="1114"/>
      <c r="T1102" s="1114"/>
      <c r="U1102" s="1114"/>
      <c r="V1102" s="1114"/>
      <c r="W1102" s="1114"/>
      <c r="X1102" s="1114"/>
      <c r="Y1102" s="1114"/>
      <c r="Z1102" s="1114"/>
      <c r="AA1102" s="1114"/>
      <c r="AB1102" s="1115"/>
      <c r="AG1102" s="1174"/>
    </row>
    <row r="1103" spans="1:33">
      <c r="A1103" s="1190"/>
      <c r="AB1103" s="1044"/>
      <c r="AG1103" s="1175"/>
    </row>
    <row r="1104" spans="1:33">
      <c r="A1104" s="1190"/>
      <c r="AB1104" s="1044"/>
      <c r="AG1104" s="1175"/>
    </row>
    <row r="1105" spans="1:33">
      <c r="A1105" s="1190"/>
      <c r="AB1105" s="1044"/>
      <c r="AG1105" s="1175"/>
    </row>
    <row r="1106" spans="1:33">
      <c r="A1106" s="1190"/>
      <c r="AB1106" s="1044"/>
      <c r="AG1106" s="1175"/>
    </row>
    <row r="1107" spans="1:33">
      <c r="A1107" s="1190"/>
      <c r="AB1107" s="1044"/>
      <c r="AG1107" s="1175"/>
    </row>
    <row r="1108" spans="1:33">
      <c r="A1108" s="1190"/>
      <c r="AB1108" s="1044"/>
      <c r="AG1108" s="1175"/>
    </row>
    <row r="1109" spans="1:33">
      <c r="A1109" s="1190"/>
      <c r="AB1109" s="1044"/>
      <c r="AG1109" s="1175"/>
    </row>
    <row r="1110" spans="1:33">
      <c r="A1110" s="1190"/>
      <c r="AB1110" s="1044"/>
      <c r="AG1110" s="1175"/>
    </row>
    <row r="1111" spans="1:33">
      <c r="A1111" s="1190"/>
      <c r="AB1111" s="1044"/>
      <c r="AG1111" s="1175"/>
    </row>
    <row r="1112" spans="1:33">
      <c r="A1112" s="1190"/>
      <c r="AB1112" s="1044"/>
      <c r="AG1112" s="1175"/>
    </row>
    <row r="1113" spans="1:33">
      <c r="A1113" s="1190"/>
      <c r="AB1113" s="1044"/>
      <c r="AG1113" s="1175"/>
    </row>
    <row r="1114" spans="1:33">
      <c r="A1114" s="1190"/>
      <c r="AB1114" s="1044"/>
      <c r="AG1114" s="1175"/>
    </row>
    <row r="1115" spans="1:33">
      <c r="A1115" s="1190"/>
      <c r="AB1115" s="1044"/>
      <c r="AG1115" s="1175"/>
    </row>
    <row r="1116" spans="1:33">
      <c r="A1116" s="1190"/>
      <c r="AB1116" s="1044"/>
      <c r="AG1116" s="1175"/>
    </row>
    <row r="1117" spans="1:33">
      <c r="A1117" s="1190"/>
      <c r="AB1117" s="1044"/>
      <c r="AG1117" s="1175"/>
    </row>
    <row r="1118" spans="1:33">
      <c r="A1118" s="1190"/>
      <c r="AB1118" s="1044"/>
      <c r="AG1118" s="1175"/>
    </row>
    <row r="1119" spans="1:33">
      <c r="A1119" s="1190"/>
      <c r="AB1119" s="1044"/>
      <c r="AG1119" s="1175"/>
    </row>
    <row r="1120" spans="1:33">
      <c r="A1120" s="1190"/>
      <c r="AB1120" s="1044"/>
      <c r="AG1120" s="1175"/>
    </row>
    <row r="1121" spans="1:33">
      <c r="A1121" s="1190"/>
      <c r="AB1121" s="1044"/>
      <c r="AG1121" s="1175"/>
    </row>
    <row r="1122" spans="1:33">
      <c r="A1122" s="1190"/>
      <c r="AB1122" s="1044"/>
      <c r="AG1122" s="1175"/>
    </row>
    <row r="1123" spans="1:33">
      <c r="A1123" s="1190"/>
      <c r="AB1123" s="1044"/>
      <c r="AG1123" s="1175"/>
    </row>
    <row r="1124" spans="1:33">
      <c r="A1124" s="1190"/>
      <c r="AB1124" s="1044"/>
      <c r="AG1124" s="1175"/>
    </row>
    <row r="1125" spans="1:33">
      <c r="A1125" s="1190"/>
      <c r="AB1125" s="1044"/>
      <c r="AG1125" s="1175"/>
    </row>
    <row r="1126" spans="1:33">
      <c r="A1126" s="1190"/>
      <c r="AB1126" s="1044"/>
      <c r="AG1126" s="1175"/>
    </row>
    <row r="1127" spans="1:33">
      <c r="A1127" s="1190"/>
      <c r="AB1127" s="1044"/>
      <c r="AG1127" s="1175"/>
    </row>
    <row r="1128" spans="1:33">
      <c r="A1128" s="1190"/>
      <c r="AB1128" s="1044"/>
      <c r="AG1128" s="1175"/>
    </row>
    <row r="1129" spans="1:33">
      <c r="A1129" s="1045" t="s">
        <v>404</v>
      </c>
      <c r="B1129" s="1046"/>
      <c r="C1129" s="1046"/>
      <c r="D1129" s="1046"/>
      <c r="E1129" s="1046"/>
      <c r="F1129" s="1046"/>
      <c r="G1129" s="1046"/>
      <c r="H1129" s="1046"/>
      <c r="I1129" s="1046"/>
      <c r="J1129" s="1046"/>
      <c r="K1129" s="1046"/>
      <c r="L1129" s="1046"/>
      <c r="M1129" s="1046"/>
      <c r="N1129" s="1046"/>
      <c r="O1129" s="1046"/>
      <c r="P1129" s="1046"/>
      <c r="Q1129" s="1046"/>
      <c r="R1129" s="1046"/>
      <c r="S1129" s="1046"/>
      <c r="T1129" s="1046"/>
      <c r="U1129" s="1046"/>
      <c r="V1129" s="1046"/>
      <c r="W1129" s="1046"/>
      <c r="X1129" s="1046"/>
      <c r="Y1129" s="1046"/>
      <c r="Z1129" s="1046"/>
      <c r="AA1129" s="1046"/>
      <c r="AB1129" s="1047"/>
      <c r="AG1129" s="1175"/>
    </row>
    <row r="1130" spans="1:33">
      <c r="A1130" s="1101" t="s">
        <v>205</v>
      </c>
      <c r="B1130" s="1102"/>
      <c r="C1130" s="1102"/>
      <c r="D1130" s="1103"/>
      <c r="E1130" s="1104" t="s">
        <v>206</v>
      </c>
      <c r="F1130" s="1102"/>
      <c r="G1130" s="1102"/>
      <c r="H1130" s="1103"/>
      <c r="I1130" s="1104" t="s">
        <v>235</v>
      </c>
      <c r="J1130" s="1102"/>
      <c r="K1130" s="1102"/>
      <c r="L1130" s="1103"/>
      <c r="M1130" s="1104" t="s">
        <v>236</v>
      </c>
      <c r="N1130" s="1102"/>
      <c r="O1130" s="1102"/>
      <c r="P1130" s="1103"/>
      <c r="Q1130" s="1104" t="s">
        <v>253</v>
      </c>
      <c r="R1130" s="1102"/>
      <c r="S1130" s="1102"/>
      <c r="T1130" s="1103"/>
      <c r="U1130" s="1104" t="s">
        <v>254</v>
      </c>
      <c r="V1130" s="1102"/>
      <c r="W1130" s="1102"/>
      <c r="X1130" s="1103"/>
      <c r="Y1130" s="1191" t="s">
        <v>359</v>
      </c>
      <c r="Z1130" s="1191"/>
      <c r="AA1130" s="1191"/>
      <c r="AB1130" s="1192"/>
      <c r="AG1130" s="1175"/>
    </row>
    <row r="1131" spans="1:33">
      <c r="A1131" s="1058" t="s">
        <v>360</v>
      </c>
      <c r="B1131" s="1059"/>
      <c r="C1131" s="1059"/>
      <c r="D1131" s="1060"/>
      <c r="E1131" s="1061" t="s">
        <v>241</v>
      </c>
      <c r="F1131" s="1059"/>
      <c r="G1131" s="1059"/>
      <c r="H1131" s="1060"/>
      <c r="I1131" s="1061" t="s">
        <v>242</v>
      </c>
      <c r="J1131" s="1059"/>
      <c r="K1131" s="1059"/>
      <c r="L1131" s="1060"/>
      <c r="M1131" s="1061" t="s">
        <v>360</v>
      </c>
      <c r="N1131" s="1059"/>
      <c r="O1131" s="1059"/>
      <c r="P1131" s="1060"/>
      <c r="Q1131" s="1061" t="s">
        <v>361</v>
      </c>
      <c r="R1131" s="1059"/>
      <c r="S1131" s="1059"/>
      <c r="T1131" s="1060"/>
      <c r="U1131" s="1061" t="s">
        <v>362</v>
      </c>
      <c r="V1131" s="1059"/>
      <c r="W1131" s="1059"/>
      <c r="X1131" s="1060"/>
      <c r="Y1131" s="1191"/>
      <c r="Z1131" s="1191"/>
      <c r="AA1131" s="1191"/>
      <c r="AB1131" s="1192"/>
      <c r="AG1131" s="1175"/>
    </row>
    <row r="1132" spans="1:33">
      <c r="A1132" s="1122">
        <v>1.25</v>
      </c>
      <c r="B1132" s="1073"/>
      <c r="C1132" s="1073"/>
      <c r="D1132" s="1073"/>
      <c r="E1132" s="1073">
        <v>0.4</v>
      </c>
      <c r="F1132" s="1073"/>
      <c r="G1132" s="1073"/>
      <c r="H1132" s="1073"/>
      <c r="I1132" s="1073">
        <v>4</v>
      </c>
      <c r="J1132" s="1073"/>
      <c r="K1132" s="1073"/>
      <c r="L1132" s="1073"/>
      <c r="M1132" s="1073">
        <v>1.25</v>
      </c>
      <c r="N1132" s="1073"/>
      <c r="O1132" s="1073"/>
      <c r="P1132" s="1073"/>
      <c r="Q1132" s="1073">
        <v>2.4</v>
      </c>
      <c r="R1132" s="1073"/>
      <c r="S1132" s="1073"/>
      <c r="T1132" s="1073"/>
      <c r="U1132" s="1073">
        <v>0.45</v>
      </c>
      <c r="V1132" s="1073"/>
      <c r="W1132" s="1073"/>
      <c r="X1132" s="1073"/>
      <c r="Y1132" s="1073">
        <f>ROUNDUP((((($A1132+$E1132)*$M1132)*$Q1132)+((($A1132+$E1132)*$M1132*$U1132)/2)+($A1132*$I1132*$Q1132)+(($A1132*$I1132*$U1132)/2)),2)</f>
        <v>18.54</v>
      </c>
      <c r="Z1132" s="1073"/>
      <c r="AA1132" s="1073"/>
      <c r="AB1132" s="1193"/>
      <c r="AG1132" s="1175"/>
    </row>
    <row r="1133" ht="15.75" spans="1:33">
      <c r="A1133" s="1083"/>
      <c r="AB1133" s="1044"/>
      <c r="AG1133" s="1175"/>
    </row>
    <row r="1134" ht="17.25" spans="1:33">
      <c r="A1134" s="1079" t="s">
        <v>363</v>
      </c>
      <c r="B1134" s="1080"/>
      <c r="C1134" s="1080"/>
      <c r="D1134" s="1080"/>
      <c r="E1134" s="1080"/>
      <c r="F1134" s="1080"/>
      <c r="G1134" s="1080"/>
      <c r="H1134" s="1080"/>
      <c r="I1134" s="1080"/>
      <c r="J1134" s="1080"/>
      <c r="K1134" s="1080"/>
      <c r="L1134" s="1080"/>
      <c r="M1134" s="1080"/>
      <c r="N1134" s="1080"/>
      <c r="O1134" s="1080"/>
      <c r="P1134" s="1080"/>
      <c r="Q1134" s="1080"/>
      <c r="R1134" s="1080"/>
      <c r="S1134" s="1080"/>
      <c r="T1134" s="1080"/>
      <c r="U1134" s="1080"/>
      <c r="V1134" s="1080"/>
      <c r="W1134" s="1080"/>
      <c r="X1134" s="1080"/>
      <c r="Y1134" s="1080"/>
      <c r="Z1134" s="1080"/>
      <c r="AA1134" s="1080"/>
      <c r="AB1134" s="1081"/>
      <c r="AC1134" s="1175"/>
    </row>
    <row r="1135" spans="1:33">
      <c r="A1135" s="1083"/>
      <c r="AB1135" s="1044"/>
      <c r="AG1135" s="1175"/>
    </row>
    <row r="1136" spans="1:33">
      <c r="A1136" s="1045" t="s">
        <v>405</v>
      </c>
      <c r="B1136" s="1046"/>
      <c r="C1136" s="1046"/>
      <c r="D1136" s="1046"/>
      <c r="E1136" s="1046"/>
      <c r="F1136" s="1046"/>
      <c r="G1136" s="1046"/>
      <c r="H1136" s="1046"/>
      <c r="I1136" s="1046"/>
      <c r="J1136" s="1046"/>
      <c r="K1136" s="1046"/>
      <c r="L1136" s="1046"/>
      <c r="M1136" s="1046"/>
      <c r="N1136" s="1046"/>
      <c r="O1136" s="1046"/>
      <c r="P1136" s="1046"/>
      <c r="Q1136" s="1046"/>
      <c r="R1136" s="1046"/>
      <c r="S1136" s="1046"/>
      <c r="T1136" s="1046"/>
      <c r="U1136" s="1046"/>
      <c r="V1136" s="1046"/>
      <c r="W1136" s="1046"/>
      <c r="X1136" s="1046"/>
      <c r="Y1136" s="1046"/>
      <c r="Z1136" s="1046"/>
      <c r="AA1136" s="1046"/>
      <c r="AB1136" s="1047"/>
      <c r="AG1136" s="1175"/>
    </row>
    <row r="1137" spans="1:33">
      <c r="A1137" s="1101" t="s">
        <v>237</v>
      </c>
      <c r="B1137" s="1102"/>
      <c r="C1137" s="1102"/>
      <c r="D1137" s="1103"/>
      <c r="E1137" s="1104" t="s">
        <v>238</v>
      </c>
      <c r="F1137" s="1102"/>
      <c r="G1137" s="1102"/>
      <c r="H1137" s="1103"/>
      <c r="I1137" s="1104" t="s">
        <v>246</v>
      </c>
      <c r="J1137" s="1102"/>
      <c r="K1137" s="1102"/>
      <c r="L1137" s="1103"/>
      <c r="M1137" s="1104" t="s">
        <v>247</v>
      </c>
      <c r="N1137" s="1102"/>
      <c r="O1137" s="1102"/>
      <c r="P1137" s="1103"/>
      <c r="Q1137" s="1104" t="s">
        <v>253</v>
      </c>
      <c r="R1137" s="1102"/>
      <c r="S1137" s="1102"/>
      <c r="T1137" s="1103"/>
      <c r="U1137" s="1104" t="s">
        <v>254</v>
      </c>
      <c r="V1137" s="1102"/>
      <c r="W1137" s="1102"/>
      <c r="X1137" s="1103"/>
      <c r="Y1137" s="1191" t="s">
        <v>359</v>
      </c>
      <c r="Z1137" s="1191"/>
      <c r="AA1137" s="1191"/>
      <c r="AB1137" s="1192"/>
      <c r="AG1137" s="1175"/>
    </row>
    <row r="1138" spans="1:33">
      <c r="A1138" s="1058" t="s">
        <v>360</v>
      </c>
      <c r="B1138" s="1059"/>
      <c r="C1138" s="1059"/>
      <c r="D1138" s="1060"/>
      <c r="E1138" s="1061" t="s">
        <v>241</v>
      </c>
      <c r="F1138" s="1059"/>
      <c r="G1138" s="1059"/>
      <c r="H1138" s="1060"/>
      <c r="I1138" s="1061" t="s">
        <v>242</v>
      </c>
      <c r="J1138" s="1059"/>
      <c r="K1138" s="1059"/>
      <c r="L1138" s="1060"/>
      <c r="M1138" s="1061" t="s">
        <v>360</v>
      </c>
      <c r="N1138" s="1059"/>
      <c r="O1138" s="1059"/>
      <c r="P1138" s="1060"/>
      <c r="Q1138" s="1061" t="s">
        <v>361</v>
      </c>
      <c r="R1138" s="1059"/>
      <c r="S1138" s="1059"/>
      <c r="T1138" s="1060"/>
      <c r="U1138" s="1061" t="s">
        <v>362</v>
      </c>
      <c r="V1138" s="1059"/>
      <c r="W1138" s="1059"/>
      <c r="X1138" s="1060"/>
      <c r="Y1138" s="1191"/>
      <c r="Z1138" s="1191"/>
      <c r="AA1138" s="1191"/>
      <c r="AB1138" s="1192"/>
      <c r="AG1138" s="1175"/>
    </row>
    <row r="1139" spans="1:33">
      <c r="A1139" s="1122">
        <v>1.25</v>
      </c>
      <c r="B1139" s="1073"/>
      <c r="C1139" s="1073"/>
      <c r="D1139" s="1073"/>
      <c r="E1139" s="1073">
        <v>0.4</v>
      </c>
      <c r="F1139" s="1073"/>
      <c r="G1139" s="1073"/>
      <c r="H1139" s="1073"/>
      <c r="I1139" s="1073">
        <v>4</v>
      </c>
      <c r="J1139" s="1073"/>
      <c r="K1139" s="1073"/>
      <c r="L1139" s="1073"/>
      <c r="M1139" s="1073">
        <v>1.25</v>
      </c>
      <c r="N1139" s="1073"/>
      <c r="O1139" s="1073"/>
      <c r="P1139" s="1073"/>
      <c r="Q1139" s="1073">
        <v>2.4</v>
      </c>
      <c r="R1139" s="1073"/>
      <c r="S1139" s="1073"/>
      <c r="T1139" s="1073"/>
      <c r="U1139" s="1073">
        <v>0.45</v>
      </c>
      <c r="V1139" s="1073"/>
      <c r="W1139" s="1073"/>
      <c r="X1139" s="1073"/>
      <c r="Y1139" s="1073">
        <f>ROUNDUP((((($A1139+$E1139)*$M1139)*$Q1139)+((($A1139+$E1139)*$M1139*$U1139)/2)+($A1139*$I1139*$Q1139)+(($A1139*$I1139*$U1139)/2)),2)</f>
        <v>18.54</v>
      </c>
      <c r="Z1139" s="1073"/>
      <c r="AA1139" s="1073"/>
      <c r="AB1139" s="1193"/>
      <c r="AG1139" s="1175"/>
    </row>
    <row r="1140" ht="15.75" spans="1:33">
      <c r="A1140" s="1083"/>
      <c r="AB1140" s="1044"/>
      <c r="AG1140" s="1175"/>
    </row>
    <row r="1141" ht="17.25" spans="1:33">
      <c r="A1141" s="1079" t="s">
        <v>365</v>
      </c>
      <c r="B1141" s="1080"/>
      <c r="C1141" s="1080"/>
      <c r="D1141" s="1080"/>
      <c r="E1141" s="1080"/>
      <c r="F1141" s="1080"/>
      <c r="G1141" s="1080"/>
      <c r="H1141" s="1080"/>
      <c r="I1141" s="1080"/>
      <c r="J1141" s="1080"/>
      <c r="K1141" s="1080"/>
      <c r="L1141" s="1080"/>
      <c r="M1141" s="1080"/>
      <c r="N1141" s="1080"/>
      <c r="O1141" s="1080"/>
      <c r="P1141" s="1080"/>
      <c r="Q1141" s="1080"/>
      <c r="R1141" s="1080"/>
      <c r="S1141" s="1080"/>
      <c r="T1141" s="1080"/>
      <c r="U1141" s="1080"/>
      <c r="V1141" s="1080"/>
      <c r="W1141" s="1080"/>
      <c r="X1141" s="1080"/>
      <c r="Y1141" s="1080"/>
      <c r="Z1141" s="1080"/>
      <c r="AA1141" s="1080"/>
      <c r="AB1141" s="1081"/>
      <c r="AC1141" s="1175"/>
    </row>
    <row r="1142" spans="1:33">
      <c r="A1142" s="1083"/>
      <c r="E1142" s="1130"/>
      <c r="F1142" s="1130"/>
      <c r="G1142" s="1130"/>
      <c r="H1142" s="1130"/>
      <c r="I1142" s="1130"/>
      <c r="J1142" s="1130"/>
      <c r="K1142" s="1130"/>
      <c r="L1142" s="1130"/>
      <c r="AB1142" s="1044"/>
      <c r="AG1142" s="1175"/>
    </row>
    <row r="1143" spans="1:33">
      <c r="A1143" s="1207" t="s">
        <v>406</v>
      </c>
      <c r="B1143" s="1208"/>
      <c r="C1143" s="1208"/>
      <c r="D1143" s="1208"/>
      <c r="E1143" s="1208"/>
      <c r="F1143" s="1208"/>
      <c r="G1143" s="1208"/>
      <c r="H1143" s="1208"/>
      <c r="I1143" s="1208"/>
      <c r="J1143" s="1208"/>
      <c r="K1143" s="1208"/>
      <c r="L1143" s="1208"/>
      <c r="M1143" s="1208"/>
      <c r="N1143" s="1208"/>
      <c r="O1143" s="1208"/>
      <c r="P1143" s="1208"/>
      <c r="Q1143" s="1208"/>
      <c r="R1143" s="1208"/>
      <c r="S1143" s="1208"/>
      <c r="T1143" s="1208"/>
      <c r="U1143" s="1208"/>
      <c r="V1143" s="1208"/>
      <c r="W1143" s="1208"/>
      <c r="X1143" s="1208"/>
      <c r="Y1143" s="1208"/>
      <c r="Z1143" s="1208"/>
      <c r="AA1143" s="1208"/>
      <c r="AB1143" s="1209"/>
      <c r="AG1143" s="1175"/>
    </row>
    <row r="1144" spans="1:33">
      <c r="A1144" s="1101" t="s">
        <v>249</v>
      </c>
      <c r="B1144" s="1102"/>
      <c r="C1144" s="1102"/>
      <c r="D1144" s="1103"/>
      <c r="E1144" s="1104" t="s">
        <v>248</v>
      </c>
      <c r="F1144" s="1102"/>
      <c r="G1144" s="1102"/>
      <c r="H1144" s="1103"/>
      <c r="I1144" s="1104" t="s">
        <v>252</v>
      </c>
      <c r="J1144" s="1102"/>
      <c r="K1144" s="1102"/>
      <c r="L1144" s="1103"/>
      <c r="M1144" s="1104" t="s">
        <v>253</v>
      </c>
      <c r="N1144" s="1102"/>
      <c r="O1144" s="1102"/>
      <c r="P1144" s="1103"/>
      <c r="Q1144" s="1104" t="s">
        <v>254</v>
      </c>
      <c r="R1144" s="1102"/>
      <c r="S1144" s="1102"/>
      <c r="T1144" s="1103"/>
      <c r="U1144" s="1191"/>
      <c r="V1144" s="1191"/>
      <c r="W1144" s="1191"/>
      <c r="X1144" s="1191"/>
      <c r="Y1144" s="1191" t="s">
        <v>359</v>
      </c>
      <c r="Z1144" s="1191"/>
      <c r="AA1144" s="1191"/>
      <c r="AB1144" s="1192"/>
      <c r="AG1144" s="1175"/>
    </row>
    <row r="1145" spans="1:33">
      <c r="A1145" s="1058" t="s">
        <v>360</v>
      </c>
      <c r="B1145" s="1059"/>
      <c r="C1145" s="1059"/>
      <c r="D1145" s="1060"/>
      <c r="E1145" s="1061" t="s">
        <v>241</v>
      </c>
      <c r="F1145" s="1059"/>
      <c r="G1145" s="1059"/>
      <c r="H1145" s="1060"/>
      <c r="I1145" s="1061" t="s">
        <v>257</v>
      </c>
      <c r="J1145" s="1059"/>
      <c r="K1145" s="1059"/>
      <c r="L1145" s="1060"/>
      <c r="M1145" s="1061" t="s">
        <v>361</v>
      </c>
      <c r="N1145" s="1059"/>
      <c r="O1145" s="1059"/>
      <c r="P1145" s="1060"/>
      <c r="Q1145" s="1061" t="s">
        <v>362</v>
      </c>
      <c r="R1145" s="1059"/>
      <c r="S1145" s="1059"/>
      <c r="T1145" s="1060"/>
      <c r="U1145" s="1191"/>
      <c r="V1145" s="1191"/>
      <c r="W1145" s="1191"/>
      <c r="X1145" s="1191"/>
      <c r="Y1145" s="1191"/>
      <c r="Z1145" s="1191"/>
      <c r="AA1145" s="1191"/>
      <c r="AB1145" s="1192"/>
      <c r="AG1145" s="1175"/>
    </row>
    <row r="1146" spans="1:33">
      <c r="A1146" s="1122">
        <v>1.25</v>
      </c>
      <c r="B1146" s="1073"/>
      <c r="C1146" s="1073"/>
      <c r="D1146" s="1073"/>
      <c r="E1146" s="1073">
        <v>0.4</v>
      </c>
      <c r="F1146" s="1073"/>
      <c r="G1146" s="1073"/>
      <c r="H1146" s="1073"/>
      <c r="I1146" s="1073">
        <v>6</v>
      </c>
      <c r="J1146" s="1073"/>
      <c r="K1146" s="1073"/>
      <c r="L1146" s="1073"/>
      <c r="M1146" s="1073">
        <v>2.4</v>
      </c>
      <c r="N1146" s="1073"/>
      <c r="O1146" s="1073"/>
      <c r="P1146" s="1073"/>
      <c r="Q1146" s="1073">
        <v>0.45</v>
      </c>
      <c r="R1146" s="1073"/>
      <c r="S1146" s="1073"/>
      <c r="T1146" s="1073"/>
      <c r="U1146" s="1073"/>
      <c r="V1146" s="1073"/>
      <c r="W1146" s="1073"/>
      <c r="X1146" s="1073"/>
      <c r="Y1146" s="1073">
        <f>ROUNDUP(((($A1146*$M1146)*$I1146)+((($A1146*$Q1146)/2)*$I1146)),2)</f>
        <v>19.69</v>
      </c>
      <c r="Z1146" s="1073"/>
      <c r="AA1146" s="1073"/>
      <c r="AB1146" s="1193"/>
      <c r="AG1146" s="1175"/>
    </row>
    <row r="1147" ht="15.75" spans="1:33">
      <c r="A1147" s="1083"/>
      <c r="AB1147" s="1044"/>
      <c r="AG1147" s="1175"/>
    </row>
    <row r="1148" ht="17.25" spans="1:33">
      <c r="A1148" s="1079" t="s">
        <v>367</v>
      </c>
      <c r="B1148" s="1080"/>
      <c r="C1148" s="1080"/>
      <c r="D1148" s="1080"/>
      <c r="E1148" s="1080"/>
      <c r="F1148" s="1080"/>
      <c r="G1148" s="1080"/>
      <c r="H1148" s="1080"/>
      <c r="I1148" s="1080"/>
      <c r="J1148" s="1080"/>
      <c r="K1148" s="1080"/>
      <c r="L1148" s="1080"/>
      <c r="M1148" s="1080"/>
      <c r="N1148" s="1080"/>
      <c r="O1148" s="1080"/>
      <c r="P1148" s="1080"/>
      <c r="Q1148" s="1080"/>
      <c r="R1148" s="1080"/>
      <c r="S1148" s="1080"/>
      <c r="T1148" s="1080"/>
      <c r="U1148" s="1080"/>
      <c r="V1148" s="1080"/>
      <c r="W1148" s="1080"/>
      <c r="X1148" s="1080"/>
      <c r="Y1148" s="1080"/>
      <c r="Z1148" s="1080"/>
      <c r="AA1148" s="1080"/>
      <c r="AB1148" s="1081"/>
      <c r="AC1148" s="1175"/>
    </row>
    <row r="1149" ht="15.75" spans="1:33">
      <c r="A1149" s="1154"/>
      <c r="B1149" s="1130"/>
      <c r="C1149" s="1130"/>
      <c r="D1149" s="1130"/>
      <c r="E1149" s="1130"/>
      <c r="F1149" s="1130"/>
      <c r="G1149" s="1130"/>
      <c r="H1149" s="1130"/>
      <c r="I1149" s="1130"/>
      <c r="J1149" s="1130"/>
      <c r="K1149" s="1130"/>
      <c r="L1149" s="1130"/>
      <c r="M1149" s="1155"/>
      <c r="N1149" s="1155"/>
      <c r="O1149" s="1155"/>
      <c r="P1149" s="1155"/>
      <c r="Q1149" s="1155"/>
      <c r="R1149" s="1155"/>
      <c r="S1149" s="1155"/>
      <c r="T1149" s="1155"/>
      <c r="AB1149" s="1044"/>
    </row>
    <row r="1150" spans="1:33">
      <c r="A1150" s="1154"/>
      <c r="B1150" s="1130"/>
      <c r="C1150" s="1130"/>
      <c r="D1150" s="1130"/>
      <c r="E1150" s="1130"/>
      <c r="F1150" s="1130"/>
      <c r="G1150" s="1130"/>
      <c r="H1150" s="1130"/>
      <c r="K1150" s="1084" t="s">
        <v>407</v>
      </c>
      <c r="L1150" s="1085"/>
      <c r="M1150" s="1085"/>
      <c r="N1150" s="1085"/>
      <c r="O1150" s="1085"/>
      <c r="P1150" s="1085"/>
      <c r="Q1150" s="1085"/>
      <c r="R1150" s="1085"/>
      <c r="S1150" s="1086"/>
      <c r="T1150" s="1155"/>
      <c r="AB1150" s="1044"/>
    </row>
    <row r="1151" spans="1:33">
      <c r="A1151" s="1154"/>
      <c r="B1151" s="1130"/>
      <c r="C1151" s="1130"/>
      <c r="D1151" s="1130"/>
      <c r="E1151" s="1130"/>
      <c r="F1151" s="1130"/>
      <c r="G1151" s="1130"/>
      <c r="H1151" s="1130"/>
      <c r="K1151" s="1087" t="s">
        <v>369</v>
      </c>
      <c r="L1151" s="1088"/>
      <c r="M1151" s="1088"/>
      <c r="N1151" s="1088"/>
      <c r="O1151" s="1088"/>
      <c r="P1151" s="1088"/>
      <c r="Q1151" s="1088"/>
      <c r="R1151" s="1088"/>
      <c r="S1151" s="1089"/>
      <c r="T1151" s="1155"/>
      <c r="AB1151" s="1044"/>
    </row>
    <row r="1152" spans="1:33">
      <c r="A1152" s="1154"/>
      <c r="B1152" s="1130"/>
      <c r="C1152" s="1130"/>
      <c r="D1152" s="1130"/>
      <c r="E1152" s="1130"/>
      <c r="F1152" s="1130"/>
      <c r="G1152" s="1130"/>
      <c r="H1152" s="1130"/>
      <c r="K1152" s="1090"/>
      <c r="L1152" s="1091"/>
      <c r="M1152" s="1091"/>
      <c r="N1152" s="1091"/>
      <c r="O1152" s="1091"/>
      <c r="P1152" s="1091"/>
      <c r="Q1152" s="1091"/>
      <c r="R1152" s="1091"/>
      <c r="S1152" s="1092"/>
      <c r="T1152" s="1155"/>
      <c r="AB1152" s="1044"/>
    </row>
    <row r="1153" ht="15.75" spans="1:33">
      <c r="A1153" s="1154"/>
      <c r="B1153" s="1130"/>
      <c r="C1153" s="1130"/>
      <c r="D1153" s="1130"/>
      <c r="E1153" s="1130"/>
      <c r="F1153" s="1130"/>
      <c r="G1153" s="1130"/>
      <c r="H1153" s="1130"/>
      <c r="K1153" s="1186">
        <f>ROUNDUP((Y1132+Y1139+Y1146),2)</f>
        <v>56.77</v>
      </c>
      <c r="L1153" s="1187"/>
      <c r="M1153" s="1187"/>
      <c r="N1153" s="1187"/>
      <c r="O1153" s="1187"/>
      <c r="P1153" s="1187"/>
      <c r="Q1153" s="1187"/>
      <c r="R1153" s="1187"/>
      <c r="S1153" s="1188"/>
      <c r="T1153" s="1155"/>
      <c r="AB1153" s="1044"/>
    </row>
    <row r="1154" ht="15.75" spans="1:33">
      <c r="A1154" s="1189"/>
      <c r="B1154" s="1097"/>
      <c r="C1154" s="1097"/>
      <c r="D1154" s="1097"/>
      <c r="E1154" s="1097"/>
      <c r="F1154" s="1097"/>
      <c r="G1154" s="1097"/>
      <c r="H1154" s="1097"/>
      <c r="I1154" s="1097"/>
      <c r="J1154" s="1097"/>
      <c r="K1154" s="1097"/>
      <c r="L1154" s="1097"/>
      <c r="M1154" s="1128"/>
      <c r="N1154" s="1128"/>
      <c r="O1154" s="1128"/>
      <c r="P1154" s="1128"/>
      <c r="Q1154" s="1128"/>
      <c r="R1154" s="1128"/>
      <c r="S1154" s="1128"/>
      <c r="T1154" s="1128"/>
      <c r="U1154" s="389"/>
      <c r="V1154" s="389"/>
      <c r="W1154" s="389"/>
      <c r="X1154" s="389"/>
      <c r="Y1154" s="389"/>
      <c r="Z1154" s="389"/>
      <c r="AA1154" s="389"/>
      <c r="AB1154" s="1098"/>
    </row>
    <row r="1155" spans="1:33">
      <c r="A1155" s="1040" t="s">
        <v>408</v>
      </c>
      <c r="B1155" s="1041"/>
      <c r="C1155" s="1041"/>
      <c r="D1155" s="1041"/>
      <c r="E1155" s="1041"/>
      <c r="F1155" s="1041"/>
      <c r="G1155" s="1041"/>
      <c r="H1155" s="1041"/>
      <c r="I1155" s="1041"/>
      <c r="J1155" s="1041"/>
      <c r="K1155" s="1041"/>
      <c r="L1155" s="1041"/>
      <c r="M1155" s="1041"/>
      <c r="N1155" s="1041"/>
      <c r="O1155" s="1041"/>
      <c r="P1155" s="1041"/>
      <c r="Q1155" s="1041"/>
      <c r="R1155" s="1041"/>
      <c r="S1155" s="1041"/>
      <c r="T1155" s="1041"/>
      <c r="U1155" s="1041"/>
      <c r="V1155" s="1041"/>
      <c r="W1155" s="1041"/>
      <c r="X1155" s="1041"/>
      <c r="Y1155" s="1041"/>
      <c r="Z1155" s="1041"/>
      <c r="AA1155" s="1041"/>
      <c r="AB1155" s="1042"/>
      <c r="AG1155" s="1175"/>
    </row>
    <row r="1156" spans="1:33">
      <c r="A1156" s="1190"/>
      <c r="AB1156" s="1044"/>
      <c r="AG1156" s="1175"/>
    </row>
    <row r="1157" spans="1:33">
      <c r="A1157" s="1190"/>
      <c r="AB1157" s="1044"/>
      <c r="AG1157" s="1175"/>
    </row>
    <row r="1158" spans="1:33">
      <c r="A1158" s="1190"/>
      <c r="AB1158" s="1044"/>
      <c r="AG1158" s="1175"/>
    </row>
    <row r="1159" spans="1:33">
      <c r="A1159" s="1190"/>
      <c r="AB1159" s="1044"/>
      <c r="AG1159" s="1175"/>
    </row>
    <row r="1160" spans="1:33">
      <c r="A1160" s="1190"/>
      <c r="AB1160" s="1044"/>
      <c r="AG1160" s="1175"/>
    </row>
    <row r="1161" spans="1:33">
      <c r="A1161" s="1190"/>
      <c r="AB1161" s="1044"/>
      <c r="AG1161" s="1175"/>
    </row>
    <row r="1162" spans="1:33">
      <c r="A1162" s="1190"/>
      <c r="AB1162" s="1044"/>
      <c r="AG1162" s="1175"/>
    </row>
    <row r="1163" spans="1:33">
      <c r="A1163" s="1190"/>
      <c r="AB1163" s="1044"/>
      <c r="AG1163" s="1175"/>
    </row>
    <row r="1164" spans="1:33">
      <c r="A1164" s="1190"/>
      <c r="AB1164" s="1044"/>
      <c r="AG1164" s="1175"/>
    </row>
    <row r="1165" spans="1:33">
      <c r="A1165" s="1190"/>
      <c r="AB1165" s="1044"/>
      <c r="AG1165" s="1175"/>
    </row>
    <row r="1166" spans="1:33">
      <c r="A1166" s="1190"/>
      <c r="AB1166" s="1044"/>
      <c r="AG1166" s="1175"/>
    </row>
    <row r="1167" spans="1:33">
      <c r="A1167" s="1190"/>
      <c r="AB1167" s="1044"/>
      <c r="AG1167" s="1175"/>
    </row>
    <row r="1168" spans="1:33">
      <c r="A1168" s="1190"/>
      <c r="AB1168" s="1044"/>
      <c r="AG1168" s="1175"/>
    </row>
    <row r="1169" spans="1:33">
      <c r="A1169" s="1190"/>
      <c r="AB1169" s="1044"/>
      <c r="AG1169" s="1175"/>
    </row>
    <row r="1170" spans="1:33">
      <c r="A1170" s="1190"/>
      <c r="AB1170" s="1044"/>
      <c r="AG1170" s="1175"/>
    </row>
    <row r="1171" spans="1:33">
      <c r="A1171" s="1190"/>
      <c r="AB1171" s="1044"/>
      <c r="AG1171" s="1175"/>
    </row>
    <row r="1172" spans="1:33">
      <c r="A1172" s="1190"/>
      <c r="AB1172" s="1044"/>
      <c r="AG1172" s="1175"/>
    </row>
    <row r="1173" spans="1:33">
      <c r="A1173" s="1190"/>
      <c r="AB1173" s="1044"/>
      <c r="AG1173" s="1175"/>
    </row>
    <row r="1174" spans="1:33">
      <c r="A1174" s="1190"/>
      <c r="AB1174" s="1044"/>
      <c r="AG1174" s="1175"/>
    </row>
    <row r="1175" spans="1:33">
      <c r="A1175" s="1190"/>
      <c r="AB1175" s="1044"/>
      <c r="AG1175" s="1175"/>
    </row>
    <row r="1176" spans="1:33">
      <c r="A1176" s="1190"/>
      <c r="AB1176" s="1044"/>
      <c r="AG1176" s="1175"/>
    </row>
    <row r="1177" spans="1:33">
      <c r="A1177" s="1190"/>
      <c r="AB1177" s="1044"/>
      <c r="AG1177" s="1175"/>
    </row>
    <row r="1178" spans="1:33">
      <c r="A1178" s="1190"/>
      <c r="AB1178" s="1044"/>
      <c r="AG1178" s="1175"/>
    </row>
    <row r="1179" spans="1:33">
      <c r="A1179" s="1190"/>
      <c r="AB1179" s="1044"/>
      <c r="AG1179" s="1175"/>
    </row>
    <row r="1180" spans="1:33">
      <c r="A1180" s="1190"/>
      <c r="AB1180" s="1044"/>
      <c r="AG1180" s="1175"/>
    </row>
    <row r="1181" spans="1:33">
      <c r="A1181" s="1190"/>
      <c r="AB1181" s="1044"/>
      <c r="AG1181" s="1175"/>
    </row>
    <row r="1182" spans="1:33">
      <c r="A1182" s="1045" t="s">
        <v>409</v>
      </c>
      <c r="B1182" s="1046"/>
      <c r="C1182" s="1046"/>
      <c r="D1182" s="1046"/>
      <c r="E1182" s="1046"/>
      <c r="F1182" s="1046"/>
      <c r="G1182" s="1046"/>
      <c r="H1182" s="1046"/>
      <c r="I1182" s="1046"/>
      <c r="J1182" s="1046"/>
      <c r="K1182" s="1046"/>
      <c r="L1182" s="1046"/>
      <c r="M1182" s="1046"/>
      <c r="N1182" s="1046"/>
      <c r="O1182" s="1046"/>
      <c r="P1182" s="1046"/>
      <c r="Q1182" s="1046"/>
      <c r="R1182" s="1046"/>
      <c r="S1182" s="1046"/>
      <c r="T1182" s="1046"/>
      <c r="U1182" s="1046"/>
      <c r="V1182" s="1046"/>
      <c r="W1182" s="1046"/>
      <c r="X1182" s="1046"/>
      <c r="Y1182" s="1046"/>
      <c r="Z1182" s="1046"/>
      <c r="AA1182" s="1046"/>
      <c r="AB1182" s="1047"/>
      <c r="AG1182" s="1175"/>
    </row>
    <row r="1183" ht="16.2" customHeight="1" spans="1:33">
      <c r="A1183" s="1101" t="s">
        <v>205</v>
      </c>
      <c r="B1183" s="1102"/>
      <c r="C1183" s="1102"/>
      <c r="D1183" s="1103"/>
      <c r="E1183" s="1104" t="s">
        <v>235</v>
      </c>
      <c r="F1183" s="1102"/>
      <c r="G1183" s="1102"/>
      <c r="H1183" s="1103"/>
      <c r="I1183" s="1104" t="s">
        <v>236</v>
      </c>
      <c r="J1183" s="1102"/>
      <c r="K1183" s="1102"/>
      <c r="L1183" s="1103"/>
      <c r="M1183" s="1104" t="s">
        <v>254</v>
      </c>
      <c r="N1183" s="1102"/>
      <c r="O1183" s="1102"/>
      <c r="P1183" s="1103"/>
      <c r="Q1183" s="1104" t="s">
        <v>255</v>
      </c>
      <c r="R1183" s="1102"/>
      <c r="S1183" s="1102"/>
      <c r="T1183" s="1103"/>
      <c r="U1183" s="1196"/>
      <c r="V1183" s="1196"/>
      <c r="W1183" s="1196"/>
      <c r="X1183" s="1196"/>
      <c r="Y1183" s="1196" t="s">
        <v>372</v>
      </c>
      <c r="Z1183" s="1196"/>
      <c r="AA1183" s="1196"/>
      <c r="AB1183" s="1197"/>
      <c r="AG1183" s="1175"/>
    </row>
    <row r="1184" ht="16.2" customHeight="1" spans="1:33">
      <c r="A1184" s="1058" t="s">
        <v>360</v>
      </c>
      <c r="B1184" s="1059"/>
      <c r="C1184" s="1059"/>
      <c r="D1184" s="1060"/>
      <c r="E1184" s="1061" t="s">
        <v>242</v>
      </c>
      <c r="F1184" s="1059"/>
      <c r="G1184" s="1059"/>
      <c r="H1184" s="1060"/>
      <c r="I1184" s="1061" t="s">
        <v>360</v>
      </c>
      <c r="J1184" s="1059"/>
      <c r="K1184" s="1059"/>
      <c r="L1184" s="1060"/>
      <c r="M1184" s="1061" t="s">
        <v>362</v>
      </c>
      <c r="N1184" s="1059"/>
      <c r="O1184" s="1059"/>
      <c r="P1184" s="1060"/>
      <c r="Q1184" s="1065" t="s">
        <v>373</v>
      </c>
      <c r="R1184" s="1066"/>
      <c r="S1184" s="1066"/>
      <c r="T1184" s="1107"/>
      <c r="U1184" s="1196"/>
      <c r="V1184" s="1196"/>
      <c r="W1184" s="1196"/>
      <c r="X1184" s="1196"/>
      <c r="Y1184" s="1196"/>
      <c r="Z1184" s="1196"/>
      <c r="AA1184" s="1196"/>
      <c r="AB1184" s="1197"/>
      <c r="AG1184" s="1175"/>
    </row>
    <row r="1185" spans="1:33">
      <c r="A1185" s="1122">
        <v>1.25</v>
      </c>
      <c r="B1185" s="1073"/>
      <c r="C1185" s="1073"/>
      <c r="D1185" s="1073"/>
      <c r="E1185" s="1073">
        <v>4</v>
      </c>
      <c r="F1185" s="1073"/>
      <c r="G1185" s="1073"/>
      <c r="H1185" s="1073"/>
      <c r="I1185" s="1073">
        <v>1.25</v>
      </c>
      <c r="J1185" s="1073"/>
      <c r="K1185" s="1073"/>
      <c r="L1185" s="1073"/>
      <c r="M1185" s="1073">
        <v>0.45</v>
      </c>
      <c r="N1185" s="1073"/>
      <c r="O1185" s="1073"/>
      <c r="P1185" s="1073"/>
      <c r="Q1185" s="1073">
        <v>0.15</v>
      </c>
      <c r="R1185" s="1073"/>
      <c r="S1185" s="1073"/>
      <c r="T1185" s="1073"/>
      <c r="U1185" s="1073"/>
      <c r="V1185" s="1073"/>
      <c r="W1185" s="1073"/>
      <c r="X1185" s="1073"/>
      <c r="Y1185" s="1073">
        <f>ROUNDUP(((((($A1185^2)+($M1185^2))^0.5)*$Q1185)*($E1185+$I1185)),2)</f>
        <v>1.05</v>
      </c>
      <c r="Z1185" s="1073"/>
      <c r="AA1185" s="1073"/>
      <c r="AB1185" s="1193"/>
      <c r="AG1185" s="1175"/>
    </row>
    <row r="1186" customHeight="1" spans="1:33">
      <c r="A1186" s="1083"/>
      <c r="AB1186" s="1044"/>
      <c r="AG1186" s="1175"/>
    </row>
    <row r="1187" ht="17.25" spans="1:33">
      <c r="A1187" s="1079" t="s">
        <v>374</v>
      </c>
      <c r="B1187" s="1080"/>
      <c r="C1187" s="1080"/>
      <c r="D1187" s="1080"/>
      <c r="E1187" s="1080"/>
      <c r="F1187" s="1080"/>
      <c r="G1187" s="1080"/>
      <c r="H1187" s="1080"/>
      <c r="I1187" s="1080"/>
      <c r="J1187" s="1080"/>
      <c r="K1187" s="1080"/>
      <c r="L1187" s="1080"/>
      <c r="M1187" s="1080"/>
      <c r="N1187" s="1080"/>
      <c r="O1187" s="1080"/>
      <c r="P1187" s="1080"/>
      <c r="Q1187" s="1080"/>
      <c r="R1187" s="1080"/>
      <c r="S1187" s="1080"/>
      <c r="T1187" s="1080"/>
      <c r="U1187" s="1080"/>
      <c r="V1187" s="1080"/>
      <c r="W1187" s="1080"/>
      <c r="X1187" s="1080"/>
      <c r="Y1187" s="1080"/>
      <c r="Z1187" s="1080"/>
      <c r="AA1187" s="1080"/>
      <c r="AB1187" s="1081"/>
      <c r="AC1187" s="1175"/>
      <c r="AG1187" s="1175"/>
    </row>
    <row r="1188" spans="1:33">
      <c r="A1188" s="1083"/>
      <c r="AB1188" s="1044"/>
      <c r="AG1188" s="1175"/>
    </row>
    <row r="1189" spans="1:33">
      <c r="A1189" s="1045" t="s">
        <v>410</v>
      </c>
      <c r="B1189" s="1046"/>
      <c r="C1189" s="1046"/>
      <c r="D1189" s="1046"/>
      <c r="E1189" s="1046"/>
      <c r="F1189" s="1046"/>
      <c r="G1189" s="1046"/>
      <c r="H1189" s="1046"/>
      <c r="I1189" s="1046"/>
      <c r="J1189" s="1046"/>
      <c r="K1189" s="1046"/>
      <c r="L1189" s="1046"/>
      <c r="M1189" s="1046"/>
      <c r="N1189" s="1046"/>
      <c r="O1189" s="1046"/>
      <c r="P1189" s="1046"/>
      <c r="Q1189" s="1046"/>
      <c r="R1189" s="1046"/>
      <c r="S1189" s="1046"/>
      <c r="T1189" s="1046"/>
      <c r="U1189" s="1046"/>
      <c r="V1189" s="1046"/>
      <c r="W1189" s="1046"/>
      <c r="X1189" s="1046"/>
      <c r="Y1189" s="1046"/>
      <c r="Z1189" s="1046"/>
      <c r="AA1189" s="1046"/>
      <c r="AB1189" s="1047"/>
      <c r="AG1189" s="1175"/>
    </row>
    <row r="1190" ht="14.4" customHeight="1" spans="1:33">
      <c r="A1190" s="1101" t="s">
        <v>237</v>
      </c>
      <c r="B1190" s="1102"/>
      <c r="C1190" s="1102"/>
      <c r="D1190" s="1103"/>
      <c r="E1190" s="1104" t="s">
        <v>238</v>
      </c>
      <c r="F1190" s="1102"/>
      <c r="G1190" s="1102"/>
      <c r="H1190" s="1103"/>
      <c r="I1190" s="1104" t="s">
        <v>247</v>
      </c>
      <c r="J1190" s="1102"/>
      <c r="K1190" s="1102"/>
      <c r="L1190" s="1103"/>
      <c r="M1190" s="1104" t="s">
        <v>254</v>
      </c>
      <c r="N1190" s="1102"/>
      <c r="O1190" s="1102"/>
      <c r="P1190" s="1103"/>
      <c r="Q1190" s="1104" t="s">
        <v>255</v>
      </c>
      <c r="R1190" s="1102"/>
      <c r="S1190" s="1102"/>
      <c r="T1190" s="1103"/>
      <c r="U1190" s="1196"/>
      <c r="V1190" s="1196"/>
      <c r="W1190" s="1196"/>
      <c r="X1190" s="1196"/>
      <c r="Y1190" s="1196" t="s">
        <v>372</v>
      </c>
      <c r="Z1190" s="1196"/>
      <c r="AA1190" s="1196"/>
      <c r="AB1190" s="1197"/>
      <c r="AG1190" s="1175"/>
    </row>
    <row r="1191" ht="14.4" customHeight="1" spans="1:33">
      <c r="A1191" s="1058" t="s">
        <v>360</v>
      </c>
      <c r="B1191" s="1059"/>
      <c r="C1191" s="1059"/>
      <c r="D1191" s="1060"/>
      <c r="E1191" s="1061" t="s">
        <v>242</v>
      </c>
      <c r="F1191" s="1059"/>
      <c r="G1191" s="1059"/>
      <c r="H1191" s="1060"/>
      <c r="I1191" s="1061" t="s">
        <v>360</v>
      </c>
      <c r="J1191" s="1059"/>
      <c r="K1191" s="1059"/>
      <c r="L1191" s="1060"/>
      <c r="M1191" s="1061" t="s">
        <v>362</v>
      </c>
      <c r="N1191" s="1059"/>
      <c r="O1191" s="1059"/>
      <c r="P1191" s="1060"/>
      <c r="Q1191" s="1065" t="s">
        <v>373</v>
      </c>
      <c r="R1191" s="1066"/>
      <c r="S1191" s="1066"/>
      <c r="T1191" s="1107"/>
      <c r="U1191" s="1196"/>
      <c r="V1191" s="1196"/>
      <c r="W1191" s="1196"/>
      <c r="X1191" s="1196"/>
      <c r="Y1191" s="1196"/>
      <c r="Z1191" s="1196"/>
      <c r="AA1191" s="1196"/>
      <c r="AB1191" s="1197"/>
      <c r="AG1191" s="1175"/>
    </row>
    <row r="1192" spans="1:33">
      <c r="A1192" s="1122">
        <v>1.25</v>
      </c>
      <c r="B1192" s="1073"/>
      <c r="C1192" s="1073"/>
      <c r="D1192" s="1073"/>
      <c r="E1192" s="1073">
        <v>4</v>
      </c>
      <c r="F1192" s="1073"/>
      <c r="G1192" s="1073"/>
      <c r="H1192" s="1073"/>
      <c r="I1192" s="1073">
        <v>1.25</v>
      </c>
      <c r="J1192" s="1073"/>
      <c r="K1192" s="1073"/>
      <c r="L1192" s="1073"/>
      <c r="M1192" s="1073">
        <v>0.45</v>
      </c>
      <c r="N1192" s="1073"/>
      <c r="O1192" s="1073"/>
      <c r="P1192" s="1073"/>
      <c r="Q1192" s="1073">
        <v>0.15</v>
      </c>
      <c r="R1192" s="1073"/>
      <c r="S1192" s="1073"/>
      <c r="T1192" s="1073"/>
      <c r="U1192" s="1073"/>
      <c r="V1192" s="1073"/>
      <c r="W1192" s="1073"/>
      <c r="X1192" s="1073"/>
      <c r="Y1192" s="1073">
        <f>ROUNDUP(((((($A1192^2)+($M1192^2))^0.5)*$Q1192)*($E1192+$I1192)),2)</f>
        <v>1.05</v>
      </c>
      <c r="Z1192" s="1073"/>
      <c r="AA1192" s="1073"/>
      <c r="AB1192" s="1193"/>
      <c r="AG1192" s="1175"/>
    </row>
    <row r="1193" ht="15.75" spans="1:33">
      <c r="A1193" s="1083"/>
      <c r="AB1193" s="1044"/>
      <c r="AG1193" s="1175"/>
    </row>
    <row r="1194" ht="17.25" spans="1:33">
      <c r="A1194" s="1079" t="s">
        <v>376</v>
      </c>
      <c r="B1194" s="1080"/>
      <c r="C1194" s="1080"/>
      <c r="D1194" s="1080"/>
      <c r="E1194" s="1080"/>
      <c r="F1194" s="1080"/>
      <c r="G1194" s="1080"/>
      <c r="H1194" s="1080"/>
      <c r="I1194" s="1080"/>
      <c r="J1194" s="1080"/>
      <c r="K1194" s="1080"/>
      <c r="L1194" s="1080"/>
      <c r="M1194" s="1080"/>
      <c r="N1194" s="1080"/>
      <c r="O1194" s="1080"/>
      <c r="P1194" s="1080"/>
      <c r="Q1194" s="1080"/>
      <c r="R1194" s="1080"/>
      <c r="S1194" s="1080"/>
      <c r="T1194" s="1080"/>
      <c r="U1194" s="1080"/>
      <c r="V1194" s="1080"/>
      <c r="W1194" s="1080"/>
      <c r="X1194" s="1080"/>
      <c r="Y1194" s="1080"/>
      <c r="Z1194" s="1080"/>
      <c r="AA1194" s="1080"/>
      <c r="AB1194" s="1081"/>
      <c r="AC1194" s="1175"/>
      <c r="AG1194" s="1175"/>
    </row>
    <row r="1195" spans="1:33">
      <c r="A1195" s="1083"/>
      <c r="E1195" s="1130"/>
      <c r="F1195" s="1130"/>
      <c r="G1195" s="1130"/>
      <c r="H1195" s="1130"/>
      <c r="I1195" s="1130"/>
      <c r="J1195" s="1130"/>
      <c r="K1195" s="1130"/>
      <c r="L1195" s="1130"/>
      <c r="AB1195" s="1044"/>
      <c r="AG1195" s="1175"/>
    </row>
    <row r="1196" spans="1:33">
      <c r="A1196" s="1099" t="s">
        <v>411</v>
      </c>
      <c r="B1196" s="424"/>
      <c r="C1196" s="424"/>
      <c r="D1196" s="424"/>
      <c r="E1196" s="424"/>
      <c r="F1196" s="424"/>
      <c r="G1196" s="424"/>
      <c r="H1196" s="424"/>
      <c r="I1196" s="424"/>
      <c r="J1196" s="424"/>
      <c r="K1196" s="424"/>
      <c r="L1196" s="424"/>
      <c r="M1196" s="424"/>
      <c r="N1196" s="424"/>
      <c r="O1196" s="424"/>
      <c r="P1196" s="424"/>
      <c r="Q1196" s="424"/>
      <c r="R1196" s="424"/>
      <c r="S1196" s="424"/>
      <c r="T1196" s="424"/>
      <c r="U1196" s="424"/>
      <c r="V1196" s="424"/>
      <c r="W1196" s="424"/>
      <c r="X1196" s="1198"/>
      <c r="AB1196" s="1044"/>
      <c r="AG1196" s="1175"/>
    </row>
    <row r="1197" ht="14.4" customHeight="1" spans="1:33">
      <c r="A1197" s="1101" t="s">
        <v>249</v>
      </c>
      <c r="B1197" s="1102"/>
      <c r="C1197" s="1102"/>
      <c r="D1197" s="1103"/>
      <c r="E1197" s="1104" t="s">
        <v>252</v>
      </c>
      <c r="F1197" s="1102"/>
      <c r="G1197" s="1102"/>
      <c r="H1197" s="1103"/>
      <c r="I1197" s="1051" t="s">
        <v>254</v>
      </c>
      <c r="J1197" s="1049"/>
      <c r="K1197" s="1049"/>
      <c r="L1197" s="1050"/>
      <c r="M1197" s="1104" t="s">
        <v>255</v>
      </c>
      <c r="N1197" s="1102"/>
      <c r="O1197" s="1102"/>
      <c r="P1197" s="1103"/>
      <c r="Q1197" s="1196"/>
      <c r="R1197" s="1196"/>
      <c r="S1197" s="1196"/>
      <c r="T1197" s="1196"/>
      <c r="U1197" s="1196"/>
      <c r="V1197" s="1196"/>
      <c r="W1197" s="1196"/>
      <c r="X1197" s="1196"/>
      <c r="Y1197" s="1196" t="s">
        <v>372</v>
      </c>
      <c r="Z1197" s="1196"/>
      <c r="AA1197" s="1196"/>
      <c r="AB1197" s="1197"/>
      <c r="AG1197" s="1175"/>
    </row>
    <row r="1198" ht="14.4" customHeight="1" spans="1:33">
      <c r="A1198" s="1058" t="s">
        <v>360</v>
      </c>
      <c r="B1198" s="1059"/>
      <c r="C1198" s="1059"/>
      <c r="D1198" s="1060"/>
      <c r="E1198" s="1061" t="s">
        <v>257</v>
      </c>
      <c r="F1198" s="1059"/>
      <c r="G1198" s="1059"/>
      <c r="H1198" s="1060"/>
      <c r="I1198" s="1061" t="s">
        <v>362</v>
      </c>
      <c r="J1198" s="1059"/>
      <c r="K1198" s="1059"/>
      <c r="L1198" s="1060"/>
      <c r="M1198" s="1065" t="s">
        <v>373</v>
      </c>
      <c r="N1198" s="1066"/>
      <c r="O1198" s="1066"/>
      <c r="P1198" s="1107"/>
      <c r="Q1198" s="1196"/>
      <c r="R1198" s="1196"/>
      <c r="S1198" s="1196"/>
      <c r="T1198" s="1196"/>
      <c r="U1198" s="1196"/>
      <c r="V1198" s="1196"/>
      <c r="W1198" s="1196"/>
      <c r="X1198" s="1196"/>
      <c r="Y1198" s="1196"/>
      <c r="Z1198" s="1196"/>
      <c r="AA1198" s="1196"/>
      <c r="AB1198" s="1197"/>
      <c r="AG1198" s="1175"/>
    </row>
    <row r="1199" spans="1:33">
      <c r="A1199" s="1122">
        <v>1.25</v>
      </c>
      <c r="B1199" s="1073"/>
      <c r="C1199" s="1073"/>
      <c r="D1199" s="1073"/>
      <c r="E1199" s="1073">
        <v>6</v>
      </c>
      <c r="F1199" s="1073"/>
      <c r="G1199" s="1073"/>
      <c r="H1199" s="1073"/>
      <c r="I1199" s="1199">
        <v>0.45</v>
      </c>
      <c r="J1199" s="1178"/>
      <c r="K1199" s="1178"/>
      <c r="L1199" s="1179"/>
      <c r="M1199" s="1073">
        <v>0.15</v>
      </c>
      <c r="N1199" s="1073"/>
      <c r="O1199" s="1073"/>
      <c r="P1199" s="1073"/>
      <c r="Q1199" s="1073"/>
      <c r="R1199" s="1073"/>
      <c r="S1199" s="1073"/>
      <c r="T1199" s="1073"/>
      <c r="U1199" s="1073"/>
      <c r="V1199" s="1073"/>
      <c r="W1199" s="1073"/>
      <c r="X1199" s="1073"/>
      <c r="Y1199" s="1073">
        <f>ROUNDUP(((((($A1199^2)+($I1199^2))^0.5)*$M1199)*$E1199),2)</f>
        <v>1.2</v>
      </c>
      <c r="Z1199" s="1073"/>
      <c r="AA1199" s="1073"/>
      <c r="AB1199" s="1193"/>
      <c r="AG1199" s="1175"/>
    </row>
    <row r="1200" ht="15.75" spans="1:33">
      <c r="A1200" s="1083"/>
      <c r="AB1200" s="1044"/>
      <c r="AG1200" s="1175"/>
    </row>
    <row r="1201" ht="17.25" spans="1:33">
      <c r="A1201" s="1079" t="s">
        <v>378</v>
      </c>
      <c r="B1201" s="1080"/>
      <c r="C1201" s="1080"/>
      <c r="D1201" s="1080"/>
      <c r="E1201" s="1080"/>
      <c r="F1201" s="1080"/>
      <c r="G1201" s="1080"/>
      <c r="H1201" s="1080"/>
      <c r="I1201" s="1080"/>
      <c r="J1201" s="1080"/>
      <c r="K1201" s="1080"/>
      <c r="L1201" s="1080"/>
      <c r="M1201" s="1080"/>
      <c r="N1201" s="1080"/>
      <c r="O1201" s="1080"/>
      <c r="P1201" s="1080"/>
      <c r="Q1201" s="1080"/>
      <c r="R1201" s="1080"/>
      <c r="S1201" s="1080"/>
      <c r="T1201" s="1080"/>
      <c r="U1201" s="1080"/>
      <c r="V1201" s="1080"/>
      <c r="W1201" s="1080"/>
      <c r="X1201" s="1080"/>
      <c r="Y1201" s="1080"/>
      <c r="Z1201" s="1080"/>
      <c r="AA1201" s="1080"/>
      <c r="AB1201" s="1081"/>
      <c r="AC1201" s="1175"/>
      <c r="AG1201" s="1175"/>
    </row>
    <row r="1202" ht="15.75" spans="1:33">
      <c r="A1202" s="1083"/>
      <c r="AB1202" s="1044"/>
      <c r="AG1202" s="1175"/>
    </row>
    <row r="1203" spans="1:33">
      <c r="A1203" s="1154"/>
      <c r="B1203" s="1130"/>
      <c r="C1203" s="1130"/>
      <c r="D1203" s="1130"/>
      <c r="E1203" s="1130"/>
      <c r="F1203" s="1130"/>
      <c r="G1203" s="1130"/>
      <c r="H1203" s="1130"/>
      <c r="K1203" s="1084" t="s">
        <v>412</v>
      </c>
      <c r="L1203" s="1085"/>
      <c r="M1203" s="1085"/>
      <c r="N1203" s="1085"/>
      <c r="O1203" s="1085"/>
      <c r="P1203" s="1085"/>
      <c r="Q1203" s="1085"/>
      <c r="R1203" s="1085"/>
      <c r="S1203" s="1086"/>
      <c r="T1203" s="1155"/>
      <c r="AB1203" s="1044"/>
    </row>
    <row r="1204" spans="1:33">
      <c r="A1204" s="1154"/>
      <c r="B1204" s="1130"/>
      <c r="C1204" s="1130"/>
      <c r="D1204" s="1130"/>
      <c r="E1204" s="1130"/>
      <c r="F1204" s="1130"/>
      <c r="G1204" s="1130"/>
      <c r="H1204" s="1130"/>
      <c r="K1204" s="1087" t="s">
        <v>380</v>
      </c>
      <c r="L1204" s="1088"/>
      <c r="M1204" s="1088"/>
      <c r="N1204" s="1088"/>
      <c r="O1204" s="1088"/>
      <c r="P1204" s="1088"/>
      <c r="Q1204" s="1088"/>
      <c r="R1204" s="1088"/>
      <c r="S1204" s="1089"/>
      <c r="T1204" s="1155"/>
      <c r="AB1204" s="1044"/>
    </row>
    <row r="1205" spans="1:33">
      <c r="A1205" s="1154"/>
      <c r="B1205" s="1130"/>
      <c r="C1205" s="1130"/>
      <c r="D1205" s="1130"/>
      <c r="E1205" s="1130"/>
      <c r="F1205" s="1130"/>
      <c r="G1205" s="1130"/>
      <c r="H1205" s="1130"/>
      <c r="K1205" s="1090"/>
      <c r="L1205" s="1091"/>
      <c r="M1205" s="1091"/>
      <c r="N1205" s="1091"/>
      <c r="O1205" s="1091"/>
      <c r="P1205" s="1091"/>
      <c r="Q1205" s="1091"/>
      <c r="R1205" s="1091"/>
      <c r="S1205" s="1092"/>
      <c r="T1205" s="1155"/>
      <c r="AB1205" s="1044"/>
    </row>
    <row r="1206" ht="15.75" spans="1:33">
      <c r="A1206" s="1154"/>
      <c r="B1206" s="1130"/>
      <c r="C1206" s="1130"/>
      <c r="D1206" s="1130"/>
      <c r="E1206" s="1130"/>
      <c r="F1206" s="1130"/>
      <c r="G1206" s="1130"/>
      <c r="H1206" s="1130"/>
      <c r="K1206" s="1186">
        <f>ROUNDUP((Y1185+Y1192+Y1199),2)</f>
        <v>3.3</v>
      </c>
      <c r="L1206" s="1187"/>
      <c r="M1206" s="1187"/>
      <c r="N1206" s="1187"/>
      <c r="O1206" s="1187"/>
      <c r="P1206" s="1187"/>
      <c r="Q1206" s="1187"/>
      <c r="R1206" s="1187"/>
      <c r="S1206" s="1188"/>
      <c r="T1206" s="1155"/>
      <c r="AB1206" s="1044"/>
    </row>
    <row r="1207" ht="15.75" spans="1:33">
      <c r="A1207" s="1189"/>
      <c r="B1207" s="1097"/>
      <c r="C1207" s="1097"/>
      <c r="D1207" s="1097"/>
      <c r="E1207" s="1097"/>
      <c r="F1207" s="1097"/>
      <c r="G1207" s="1097"/>
      <c r="H1207" s="1097"/>
      <c r="I1207" s="1097"/>
      <c r="J1207" s="1097"/>
      <c r="K1207" s="1097"/>
      <c r="L1207" s="1097"/>
      <c r="M1207" s="1128"/>
      <c r="N1207" s="1128"/>
      <c r="O1207" s="1128"/>
      <c r="P1207" s="1128"/>
      <c r="Q1207" s="1128"/>
      <c r="R1207" s="1128"/>
      <c r="S1207" s="1128"/>
      <c r="T1207" s="1128"/>
      <c r="U1207" s="389"/>
      <c r="V1207" s="389"/>
      <c r="W1207" s="389"/>
      <c r="X1207" s="389"/>
      <c r="Y1207" s="389"/>
      <c r="Z1207" s="389"/>
      <c r="AA1207" s="389"/>
      <c r="AB1207" s="1098"/>
    </row>
    <row r="1208" spans="1:33">
      <c r="A1208" s="1040" t="s">
        <v>413</v>
      </c>
      <c r="B1208" s="1041"/>
      <c r="C1208" s="1041"/>
      <c r="D1208" s="1041"/>
      <c r="E1208" s="1041"/>
      <c r="F1208" s="1041"/>
      <c r="G1208" s="1041"/>
      <c r="H1208" s="1041"/>
      <c r="I1208" s="1041"/>
      <c r="J1208" s="1041"/>
      <c r="K1208" s="1041"/>
      <c r="L1208" s="1041"/>
      <c r="M1208" s="1041"/>
      <c r="N1208" s="1041"/>
      <c r="O1208" s="1041"/>
      <c r="P1208" s="1041"/>
      <c r="Q1208" s="1041"/>
      <c r="R1208" s="1041"/>
      <c r="S1208" s="1041"/>
      <c r="T1208" s="1041"/>
      <c r="U1208" s="1041"/>
      <c r="V1208" s="1041"/>
      <c r="W1208" s="1041"/>
      <c r="X1208" s="1041"/>
      <c r="Y1208" s="1041"/>
      <c r="Z1208" s="1041"/>
      <c r="AA1208" s="1041"/>
      <c r="AB1208" s="1042"/>
    </row>
    <row r="1209" spans="1:33">
      <c r="A1209" s="1083"/>
      <c r="AB1209" s="1044"/>
    </row>
    <row r="1210" spans="1:33">
      <c r="A1210" s="1083"/>
      <c r="AB1210" s="1044"/>
    </row>
    <row r="1211" spans="1:33">
      <c r="A1211" s="1083"/>
      <c r="AB1211" s="1044"/>
    </row>
    <row r="1212" spans="1:33">
      <c r="A1212" s="1083"/>
      <c r="AB1212" s="1044"/>
    </row>
    <row r="1213" spans="1:33">
      <c r="A1213" s="1083"/>
      <c r="AB1213" s="1044"/>
    </row>
    <row r="1214" spans="1:33">
      <c r="A1214" s="1083"/>
      <c r="AB1214" s="1044"/>
    </row>
    <row r="1215" spans="1:33">
      <c r="A1215" s="1083"/>
      <c r="AB1215" s="1044"/>
    </row>
    <row r="1216" spans="1:33">
      <c r="A1216" s="1083"/>
      <c r="AB1216" s="1044"/>
    </row>
    <row r="1217" spans="1:28">
      <c r="A1217" s="1083"/>
      <c r="AB1217" s="1044"/>
    </row>
    <row r="1218" spans="1:28">
      <c r="A1218" s="1083"/>
      <c r="AB1218" s="1044"/>
    </row>
    <row r="1219" spans="1:28">
      <c r="A1219" s="1083"/>
      <c r="AB1219" s="1044"/>
    </row>
    <row r="1220" spans="1:28">
      <c r="A1220" s="1083"/>
      <c r="AB1220" s="1044"/>
    </row>
    <row r="1221" spans="1:28">
      <c r="A1221" s="1083"/>
      <c r="AB1221" s="1044"/>
    </row>
    <row r="1222" spans="1:28">
      <c r="A1222" s="1083"/>
      <c r="AB1222" s="1044"/>
    </row>
    <row r="1223" spans="1:28">
      <c r="A1223" s="1083"/>
      <c r="AB1223" s="1044"/>
    </row>
    <row r="1224" spans="1:28">
      <c r="A1224" s="1083"/>
      <c r="AB1224" s="1044"/>
    </row>
    <row r="1225" spans="1:28">
      <c r="A1225" s="1099" t="s">
        <v>386</v>
      </c>
      <c r="B1225" s="424"/>
      <c r="C1225" s="424"/>
      <c r="D1225" s="424"/>
      <c r="E1225" s="424"/>
      <c r="F1225" s="424"/>
      <c r="G1225" s="424"/>
      <c r="H1225" s="424"/>
      <c r="I1225" s="424"/>
      <c r="J1225" s="424"/>
      <c r="K1225" s="424"/>
      <c r="L1225" s="424"/>
      <c r="M1225" s="424"/>
      <c r="N1225" s="424"/>
      <c r="O1225" s="424"/>
      <c r="P1225" s="424"/>
      <c r="Q1225" s="424"/>
      <c r="R1225" s="424"/>
      <c r="S1225" s="424"/>
      <c r="T1225" s="424"/>
      <c r="U1225" s="424"/>
      <c r="V1225" s="424"/>
      <c r="W1225" s="424"/>
      <c r="X1225" s="424"/>
      <c r="Y1225" s="424"/>
      <c r="Z1225" s="424"/>
      <c r="AA1225" s="424"/>
      <c r="AB1225" s="1100"/>
    </row>
    <row r="1226" spans="1:28">
      <c r="A1226" s="1101" t="s">
        <v>205</v>
      </c>
      <c r="B1226" s="1102"/>
      <c r="C1226" s="1102"/>
      <c r="D1226" s="1103"/>
      <c r="E1226" s="1104" t="s">
        <v>206</v>
      </c>
      <c r="F1226" s="1102"/>
      <c r="G1226" s="1102"/>
      <c r="H1226" s="1103"/>
      <c r="I1226" s="1104" t="s">
        <v>235</v>
      </c>
      <c r="J1226" s="1102"/>
      <c r="K1226" s="1102"/>
      <c r="L1226" s="1103"/>
      <c r="M1226" s="1052"/>
      <c r="N1226" s="1053"/>
      <c r="O1226" s="1053"/>
      <c r="P1226" s="1054"/>
      <c r="Q1226" s="1052"/>
      <c r="R1226" s="1053"/>
      <c r="S1226" s="1053"/>
      <c r="T1226" s="1054"/>
      <c r="U1226" s="1200"/>
      <c r="V1226" s="1201"/>
      <c r="W1226" s="1201"/>
      <c r="X1226" s="1202"/>
      <c r="Y1226" s="1055" t="s">
        <v>382</v>
      </c>
      <c r="Z1226" s="1056"/>
      <c r="AA1226" s="1056"/>
      <c r="AB1226" s="1057"/>
    </row>
    <row r="1227" spans="1:28">
      <c r="A1227" s="1058" t="s">
        <v>209</v>
      </c>
      <c r="B1227" s="1059"/>
      <c r="C1227" s="1059"/>
      <c r="D1227" s="1060"/>
      <c r="E1227" s="1061" t="s">
        <v>315</v>
      </c>
      <c r="F1227" s="1059"/>
      <c r="G1227" s="1059"/>
      <c r="H1227" s="1060"/>
      <c r="I1227" s="1061" t="s">
        <v>210</v>
      </c>
      <c r="J1227" s="1059"/>
      <c r="K1227" s="1059"/>
      <c r="L1227" s="1060"/>
      <c r="M1227" s="1062"/>
      <c r="N1227" s="1063"/>
      <c r="O1227" s="1063"/>
      <c r="P1227" s="1064"/>
      <c r="Q1227" s="1062"/>
      <c r="R1227" s="1063"/>
      <c r="S1227" s="1063"/>
      <c r="T1227" s="1064"/>
      <c r="U1227" s="1203"/>
      <c r="V1227" s="1204"/>
      <c r="W1227" s="1204"/>
      <c r="X1227" s="1205"/>
      <c r="Y1227" s="1065"/>
      <c r="Z1227" s="1066"/>
      <c r="AA1227" s="1066"/>
      <c r="AB1227" s="1067"/>
    </row>
    <row r="1228" ht="15.75" spans="1:28">
      <c r="A1228" s="1109">
        <v>4</v>
      </c>
      <c r="B1228" s="1110"/>
      <c r="C1228" s="1110"/>
      <c r="D1228" s="1110"/>
      <c r="E1228" s="1110">
        <v>0.4</v>
      </c>
      <c r="F1228" s="1110"/>
      <c r="G1228" s="1110"/>
      <c r="H1228" s="1110"/>
      <c r="I1228" s="1110">
        <v>6.24</v>
      </c>
      <c r="J1228" s="1110"/>
      <c r="K1228" s="1110"/>
      <c r="L1228" s="1110"/>
      <c r="M1228" s="1074"/>
      <c r="N1228" s="1075"/>
      <c r="O1228" s="1075"/>
      <c r="P1228" s="1076"/>
      <c r="Q1228" s="1074"/>
      <c r="R1228" s="1075"/>
      <c r="S1228" s="1075"/>
      <c r="T1228" s="1076"/>
      <c r="U1228" s="1206"/>
      <c r="V1228" s="1206"/>
      <c r="W1228" s="1206"/>
      <c r="X1228" s="1206"/>
      <c r="Y1228" s="1077">
        <f>$A$404*$E$404*$I$404</f>
        <v>9.984</v>
      </c>
      <c r="Z1228" s="1077"/>
      <c r="AA1228" s="1077"/>
      <c r="AB1228" s="1078"/>
    </row>
    <row r="1229" ht="17.25" spans="1:28">
      <c r="A1229" s="1079" t="s">
        <v>316</v>
      </c>
      <c r="B1229" s="1080"/>
      <c r="C1229" s="1080"/>
      <c r="D1229" s="1080"/>
      <c r="E1229" s="1080"/>
      <c r="F1229" s="1080"/>
      <c r="G1229" s="1080"/>
      <c r="H1229" s="1080"/>
      <c r="I1229" s="1080"/>
      <c r="J1229" s="1080"/>
      <c r="K1229" s="1080"/>
      <c r="L1229" s="1080"/>
      <c r="M1229" s="1080"/>
      <c r="N1229" s="1080"/>
      <c r="O1229" s="1080"/>
      <c r="P1229" s="1080"/>
      <c r="Q1229" s="1080"/>
      <c r="R1229" s="1080"/>
      <c r="S1229" s="1080"/>
      <c r="T1229" s="1080"/>
      <c r="U1229" s="1080"/>
      <c r="V1229" s="1080"/>
      <c r="W1229" s="1080"/>
      <c r="X1229" s="1080"/>
      <c r="Y1229" s="1080"/>
      <c r="Z1229" s="1080"/>
      <c r="AA1229" s="1080"/>
      <c r="AB1229" s="1081"/>
    </row>
    <row r="1230" spans="1:28">
      <c r="A1230" s="1083"/>
      <c r="AB1230" s="1044"/>
    </row>
    <row r="1231" spans="1:28">
      <c r="A1231" s="1099" t="s">
        <v>387</v>
      </c>
      <c r="B1231" s="424"/>
      <c r="C1231" s="424"/>
      <c r="D1231" s="424"/>
      <c r="E1231" s="424"/>
      <c r="F1231" s="424"/>
      <c r="G1231" s="424"/>
      <c r="H1231" s="424"/>
      <c r="I1231" s="424"/>
      <c r="J1231" s="424"/>
      <c r="K1231" s="424"/>
      <c r="L1231" s="424"/>
      <c r="M1231" s="424"/>
      <c r="N1231" s="424"/>
      <c r="O1231" s="424"/>
      <c r="P1231" s="424"/>
      <c r="Q1231" s="424"/>
      <c r="R1231" s="424"/>
      <c r="S1231" s="424"/>
      <c r="T1231" s="424"/>
      <c r="U1231" s="424"/>
      <c r="V1231" s="424"/>
      <c r="W1231" s="424"/>
      <c r="X1231" s="424"/>
      <c r="Y1231" s="424"/>
      <c r="Z1231" s="424"/>
      <c r="AA1231" s="424"/>
      <c r="AB1231" s="1100"/>
    </row>
    <row r="1232" ht="14.4" customHeight="1" spans="1:28">
      <c r="A1232" s="1101" t="s">
        <v>249</v>
      </c>
      <c r="B1232" s="1102"/>
      <c r="C1232" s="1102"/>
      <c r="D1232" s="1103"/>
      <c r="E1232" s="1104" t="s">
        <v>252</v>
      </c>
      <c r="F1232" s="1102"/>
      <c r="G1232" s="1102"/>
      <c r="H1232" s="1103"/>
      <c r="I1232" s="1104" t="s">
        <v>253</v>
      </c>
      <c r="J1232" s="1102"/>
      <c r="K1232" s="1102"/>
      <c r="L1232" s="1103"/>
      <c r="M1232" s="1052"/>
      <c r="N1232" s="1053"/>
      <c r="O1232" s="1053"/>
      <c r="P1232" s="1054"/>
      <c r="Q1232" s="1104"/>
      <c r="R1232" s="1102"/>
      <c r="S1232" s="1102"/>
      <c r="T1232" s="1103"/>
      <c r="U1232" s="1055"/>
      <c r="V1232" s="1056"/>
      <c r="W1232" s="1056"/>
      <c r="X1232" s="1105"/>
      <c r="Y1232" s="1055" t="s">
        <v>382</v>
      </c>
      <c r="Z1232" s="1056"/>
      <c r="AA1232" s="1056"/>
      <c r="AB1232" s="1057"/>
    </row>
    <row r="1233" spans="1:28">
      <c r="A1233" s="1058" t="s">
        <v>209</v>
      </c>
      <c r="B1233" s="1059"/>
      <c r="C1233" s="1059"/>
      <c r="D1233" s="1060"/>
      <c r="E1233" s="1061" t="s">
        <v>315</v>
      </c>
      <c r="F1233" s="1059"/>
      <c r="G1233" s="1059"/>
      <c r="H1233" s="1060"/>
      <c r="I1233" s="1061" t="s">
        <v>210</v>
      </c>
      <c r="J1233" s="1059"/>
      <c r="K1233" s="1059"/>
      <c r="L1233" s="1060"/>
      <c r="M1233" s="1062"/>
      <c r="N1233" s="1063"/>
      <c r="O1233" s="1063"/>
      <c r="P1233" s="1064"/>
      <c r="Q1233" s="1061"/>
      <c r="R1233" s="1059"/>
      <c r="S1233" s="1059"/>
      <c r="T1233" s="1060"/>
      <c r="U1233" s="1065"/>
      <c r="V1233" s="1066"/>
      <c r="W1233" s="1066"/>
      <c r="X1233" s="1107"/>
      <c r="Y1233" s="1065"/>
      <c r="Z1233" s="1066"/>
      <c r="AA1233" s="1066"/>
      <c r="AB1233" s="1067"/>
    </row>
    <row r="1234" ht="15.75" spans="1:28">
      <c r="A1234" s="1109">
        <v>4</v>
      </c>
      <c r="B1234" s="1110"/>
      <c r="C1234" s="1110"/>
      <c r="D1234" s="1110"/>
      <c r="E1234" s="1110">
        <v>0.4</v>
      </c>
      <c r="F1234" s="1110"/>
      <c r="G1234" s="1110"/>
      <c r="H1234" s="1110"/>
      <c r="I1234" s="1110">
        <v>6.24</v>
      </c>
      <c r="J1234" s="1110"/>
      <c r="K1234" s="1110"/>
      <c r="L1234" s="1110"/>
      <c r="M1234" s="1074"/>
      <c r="N1234" s="1075"/>
      <c r="O1234" s="1075"/>
      <c r="P1234" s="1076"/>
      <c r="Q1234" s="1151"/>
      <c r="R1234" s="1152"/>
      <c r="S1234" s="1152"/>
      <c r="T1234" s="1153"/>
      <c r="U1234" s="1077"/>
      <c r="V1234" s="1077"/>
      <c r="W1234" s="1077"/>
      <c r="X1234" s="1077"/>
      <c r="Y1234" s="1077">
        <f>$A$410*$E$410*$I$410</f>
        <v>9.984</v>
      </c>
      <c r="Z1234" s="1077"/>
      <c r="AA1234" s="1077"/>
      <c r="AB1234" s="1078"/>
    </row>
    <row r="1235" ht="17.25" spans="1:28">
      <c r="A1235" s="1079" t="s">
        <v>318</v>
      </c>
      <c r="B1235" s="1080"/>
      <c r="C1235" s="1080"/>
      <c r="D1235" s="1080"/>
      <c r="E1235" s="1080"/>
      <c r="F1235" s="1080"/>
      <c r="G1235" s="1080"/>
      <c r="H1235" s="1080"/>
      <c r="I1235" s="1080"/>
      <c r="J1235" s="1080"/>
      <c r="K1235" s="1080"/>
      <c r="L1235" s="1080"/>
      <c r="M1235" s="1080"/>
      <c r="N1235" s="1080"/>
      <c r="O1235" s="1080"/>
      <c r="P1235" s="1080"/>
      <c r="Q1235" s="1080"/>
      <c r="R1235" s="1080"/>
      <c r="S1235" s="1080"/>
      <c r="T1235" s="1080"/>
      <c r="U1235" s="1080"/>
      <c r="V1235" s="1080"/>
      <c r="W1235" s="1080"/>
      <c r="X1235" s="1080"/>
      <c r="Y1235" s="1080"/>
      <c r="Z1235" s="1080"/>
      <c r="AA1235" s="1080"/>
      <c r="AB1235" s="1081"/>
    </row>
    <row r="1236" spans="1:28">
      <c r="A1236" s="1083"/>
      <c r="AB1236" s="1044"/>
    </row>
    <row r="1237" spans="1:28">
      <c r="A1237" s="1099" t="s">
        <v>388</v>
      </c>
      <c r="B1237" s="424"/>
      <c r="C1237" s="424"/>
      <c r="D1237" s="424"/>
      <c r="E1237" s="424"/>
      <c r="F1237" s="424"/>
      <c r="G1237" s="424"/>
      <c r="H1237" s="424"/>
      <c r="I1237" s="424"/>
      <c r="J1237" s="424"/>
      <c r="K1237" s="424"/>
      <c r="L1237" s="424"/>
      <c r="M1237" s="424"/>
      <c r="N1237" s="424"/>
      <c r="O1237" s="424"/>
      <c r="P1237" s="424"/>
      <c r="Q1237" s="424"/>
      <c r="R1237" s="424"/>
      <c r="S1237" s="424"/>
      <c r="T1237" s="424"/>
      <c r="U1237" s="424"/>
      <c r="V1237" s="424"/>
      <c r="W1237" s="424"/>
      <c r="X1237" s="424"/>
      <c r="Y1237" s="424"/>
      <c r="Z1237" s="424"/>
      <c r="AA1237" s="424"/>
      <c r="AB1237" s="1100"/>
    </row>
    <row r="1238" customHeight="1" spans="1:28">
      <c r="A1238" s="1101" t="s">
        <v>236</v>
      </c>
      <c r="B1238" s="1102"/>
      <c r="C1238" s="1102"/>
      <c r="D1238" s="1103"/>
      <c r="E1238" s="1104" t="s">
        <v>237</v>
      </c>
      <c r="F1238" s="1102"/>
      <c r="G1238" s="1102"/>
      <c r="H1238" s="1103"/>
      <c r="I1238" s="1104" t="s">
        <v>246</v>
      </c>
      <c r="J1238" s="1102"/>
      <c r="K1238" s="1102"/>
      <c r="L1238" s="1103"/>
      <c r="M1238" s="1052"/>
      <c r="N1238" s="1053"/>
      <c r="O1238" s="1053"/>
      <c r="P1238" s="1054"/>
      <c r="Q1238" s="1104"/>
      <c r="R1238" s="1102"/>
      <c r="S1238" s="1102"/>
      <c r="T1238" s="1103"/>
      <c r="U1238" s="1055"/>
      <c r="V1238" s="1056"/>
      <c r="W1238" s="1056"/>
      <c r="X1238" s="1105"/>
      <c r="Y1238" s="1055" t="s">
        <v>382</v>
      </c>
      <c r="Z1238" s="1056"/>
      <c r="AA1238" s="1056"/>
      <c r="AB1238" s="1057"/>
    </row>
    <row r="1239" customHeight="1" spans="1:28">
      <c r="A1239" s="1058" t="s">
        <v>209</v>
      </c>
      <c r="B1239" s="1059"/>
      <c r="C1239" s="1059"/>
      <c r="D1239" s="1060"/>
      <c r="E1239" s="1061" t="s">
        <v>315</v>
      </c>
      <c r="F1239" s="1059"/>
      <c r="G1239" s="1059"/>
      <c r="H1239" s="1060"/>
      <c r="I1239" s="1061" t="s">
        <v>210</v>
      </c>
      <c r="J1239" s="1059"/>
      <c r="K1239" s="1059"/>
      <c r="L1239" s="1060"/>
      <c r="M1239" s="1062"/>
      <c r="N1239" s="1063"/>
      <c r="O1239" s="1063"/>
      <c r="P1239" s="1064"/>
      <c r="Q1239" s="1061"/>
      <c r="R1239" s="1059"/>
      <c r="S1239" s="1059"/>
      <c r="T1239" s="1060"/>
      <c r="U1239" s="1065"/>
      <c r="V1239" s="1066"/>
      <c r="W1239" s="1066"/>
      <c r="X1239" s="1107"/>
      <c r="Y1239" s="1065"/>
      <c r="Z1239" s="1066"/>
      <c r="AA1239" s="1066"/>
      <c r="AB1239" s="1067"/>
    </row>
    <row r="1240" ht="15.75" spans="1:28">
      <c r="A1240" s="1109">
        <v>6</v>
      </c>
      <c r="B1240" s="1110"/>
      <c r="C1240" s="1110"/>
      <c r="D1240" s="1110"/>
      <c r="E1240" s="1110">
        <v>0.4</v>
      </c>
      <c r="F1240" s="1110"/>
      <c r="G1240" s="1110"/>
      <c r="H1240" s="1110"/>
      <c r="I1240" s="1110">
        <v>5</v>
      </c>
      <c r="J1240" s="1110"/>
      <c r="K1240" s="1110"/>
      <c r="L1240" s="1110"/>
      <c r="M1240" s="1074"/>
      <c r="N1240" s="1075"/>
      <c r="O1240" s="1075"/>
      <c r="P1240" s="1076"/>
      <c r="Q1240" s="1151"/>
      <c r="R1240" s="1152"/>
      <c r="S1240" s="1152"/>
      <c r="T1240" s="1153"/>
      <c r="U1240" s="1077"/>
      <c r="V1240" s="1077"/>
      <c r="W1240" s="1077"/>
      <c r="X1240" s="1077"/>
      <c r="Y1240" s="1077">
        <f>$A$416*$E$416*$I$416</f>
        <v>12</v>
      </c>
      <c r="Z1240" s="1077"/>
      <c r="AA1240" s="1077"/>
      <c r="AB1240" s="1078"/>
    </row>
    <row r="1241" ht="17.25" spans="1:28">
      <c r="A1241" s="1079" t="s">
        <v>320</v>
      </c>
      <c r="B1241" s="1080"/>
      <c r="C1241" s="1080"/>
      <c r="D1241" s="1080"/>
      <c r="E1241" s="1080"/>
      <c r="F1241" s="1080"/>
      <c r="G1241" s="1080"/>
      <c r="H1241" s="1080"/>
      <c r="I1241" s="1080"/>
      <c r="J1241" s="1080"/>
      <c r="K1241" s="1080"/>
      <c r="L1241" s="1080"/>
      <c r="M1241" s="1080"/>
      <c r="N1241" s="1080"/>
      <c r="O1241" s="1080"/>
      <c r="P1241" s="1080"/>
      <c r="Q1241" s="1080"/>
      <c r="R1241" s="1080"/>
      <c r="S1241" s="1080"/>
      <c r="T1241" s="1080"/>
      <c r="U1241" s="1080"/>
      <c r="V1241" s="1080"/>
      <c r="W1241" s="1080"/>
      <c r="X1241" s="1080"/>
      <c r="Y1241" s="1080"/>
      <c r="Z1241" s="1080"/>
      <c r="AA1241" s="1080"/>
      <c r="AB1241" s="1081"/>
    </row>
    <row r="1242" spans="1:28">
      <c r="A1242" s="1154"/>
      <c r="B1242" s="1130"/>
      <c r="C1242" s="1130"/>
      <c r="D1242" s="1130"/>
      <c r="E1242" s="1130"/>
      <c r="F1242" s="1130"/>
      <c r="G1242" s="1130"/>
      <c r="H1242" s="1130"/>
      <c r="I1242" s="1130"/>
      <c r="J1242" s="1130"/>
      <c r="K1242" s="1130"/>
      <c r="L1242" s="1130"/>
      <c r="M1242" s="1155"/>
      <c r="N1242" s="1155"/>
      <c r="O1242" s="1155"/>
      <c r="P1242" s="1155"/>
      <c r="Q1242" s="1155"/>
      <c r="R1242" s="1155"/>
      <c r="S1242" s="1155"/>
      <c r="T1242" s="1155"/>
      <c r="AB1242" s="1044"/>
    </row>
    <row r="1243" spans="1:28">
      <c r="A1243" s="1099" t="s">
        <v>389</v>
      </c>
      <c r="B1243" s="424"/>
      <c r="C1243" s="424"/>
      <c r="D1243" s="424"/>
      <c r="E1243" s="424"/>
      <c r="F1243" s="424"/>
      <c r="G1243" s="424"/>
      <c r="H1243" s="424"/>
      <c r="I1243" s="424"/>
      <c r="J1243" s="424"/>
      <c r="K1243" s="424"/>
      <c r="L1243" s="424"/>
      <c r="M1243" s="424"/>
      <c r="N1243" s="424"/>
      <c r="O1243" s="424"/>
      <c r="P1243" s="424"/>
      <c r="Q1243" s="424"/>
      <c r="R1243" s="424"/>
      <c r="S1243" s="424"/>
      <c r="T1243" s="424"/>
      <c r="U1243" s="424"/>
      <c r="V1243" s="424"/>
      <c r="W1243" s="424"/>
      <c r="X1243" s="424"/>
      <c r="Y1243" s="424"/>
      <c r="Z1243" s="424"/>
      <c r="AA1243" s="424"/>
      <c r="AB1243" s="1100"/>
    </row>
    <row r="1244" customHeight="1" spans="1:28">
      <c r="A1244" s="1101" t="s">
        <v>236</v>
      </c>
      <c r="B1244" s="1102"/>
      <c r="C1244" s="1102"/>
      <c r="D1244" s="1103"/>
      <c r="E1244" s="1104" t="s">
        <v>238</v>
      </c>
      <c r="F1244" s="1102"/>
      <c r="G1244" s="1102"/>
      <c r="H1244" s="1103"/>
      <c r="I1244" s="1104" t="s">
        <v>247</v>
      </c>
      <c r="J1244" s="1102"/>
      <c r="K1244" s="1102"/>
      <c r="L1244" s="1103"/>
      <c r="M1244" s="1104" t="s">
        <v>248</v>
      </c>
      <c r="N1244" s="1102"/>
      <c r="O1244" s="1102"/>
      <c r="P1244" s="1103"/>
      <c r="Q1244" s="1052"/>
      <c r="R1244" s="1053"/>
      <c r="S1244" s="1053"/>
      <c r="T1244" s="1054"/>
      <c r="U1244" s="1104"/>
      <c r="V1244" s="1102"/>
      <c r="W1244" s="1102"/>
      <c r="X1244" s="1103"/>
      <c r="Y1244" s="1055" t="s">
        <v>382</v>
      </c>
      <c r="Z1244" s="1056"/>
      <c r="AA1244" s="1056"/>
      <c r="AB1244" s="1057"/>
    </row>
    <row r="1245" spans="1:28">
      <c r="A1245" s="1058" t="s">
        <v>209</v>
      </c>
      <c r="B1245" s="1059"/>
      <c r="C1245" s="1059"/>
      <c r="D1245" s="1060"/>
      <c r="E1245" s="1061" t="s">
        <v>315</v>
      </c>
      <c r="F1245" s="1059"/>
      <c r="G1245" s="1059"/>
      <c r="H1245" s="1060"/>
      <c r="I1245" s="1061" t="s">
        <v>210</v>
      </c>
      <c r="J1245" s="1059"/>
      <c r="K1245" s="1059"/>
      <c r="L1245" s="1060"/>
      <c r="M1245" s="1061" t="s">
        <v>210</v>
      </c>
      <c r="N1245" s="1059"/>
      <c r="O1245" s="1059"/>
      <c r="P1245" s="1060"/>
      <c r="Q1245" s="1062"/>
      <c r="R1245" s="1063"/>
      <c r="S1245" s="1063"/>
      <c r="T1245" s="1064"/>
      <c r="U1245" s="1061"/>
      <c r="V1245" s="1059"/>
      <c r="W1245" s="1059"/>
      <c r="X1245" s="1060"/>
      <c r="Y1245" s="1065"/>
      <c r="Z1245" s="1066"/>
      <c r="AA1245" s="1066"/>
      <c r="AB1245" s="1067"/>
    </row>
    <row r="1246" ht="15.75" spans="1:28">
      <c r="A1246" s="1109">
        <v>6</v>
      </c>
      <c r="B1246" s="1110"/>
      <c r="C1246" s="1110"/>
      <c r="D1246" s="1110"/>
      <c r="E1246" s="1110">
        <v>0.5</v>
      </c>
      <c r="F1246" s="1110"/>
      <c r="G1246" s="1110"/>
      <c r="H1246" s="1110"/>
      <c r="I1246" s="1110">
        <v>0.5</v>
      </c>
      <c r="J1246" s="1110"/>
      <c r="K1246" s="1110"/>
      <c r="L1246" s="1110"/>
      <c r="M1246" s="1110">
        <v>0.3</v>
      </c>
      <c r="N1246" s="1110"/>
      <c r="O1246" s="1110"/>
      <c r="P1246" s="1110"/>
      <c r="Q1246" s="1074"/>
      <c r="R1246" s="1075"/>
      <c r="S1246" s="1075"/>
      <c r="T1246" s="1076"/>
      <c r="U1246" s="1151"/>
      <c r="V1246" s="1152"/>
      <c r="W1246" s="1152"/>
      <c r="X1246" s="1153"/>
      <c r="Y1246" s="1077">
        <f>(($E$422*$I$422/2)+($E$422*$M$422))*$A$422</f>
        <v>1.65</v>
      </c>
      <c r="Z1246" s="1077"/>
      <c r="AA1246" s="1077"/>
      <c r="AB1246" s="1078"/>
    </row>
    <row r="1247" ht="17.25" spans="1:28">
      <c r="A1247" s="1079" t="s">
        <v>322</v>
      </c>
      <c r="B1247" s="1080"/>
      <c r="C1247" s="1080"/>
      <c r="D1247" s="1080"/>
      <c r="E1247" s="1080"/>
      <c r="F1247" s="1080"/>
      <c r="G1247" s="1080"/>
      <c r="H1247" s="1080"/>
      <c r="I1247" s="1080"/>
      <c r="J1247" s="1080"/>
      <c r="K1247" s="1080"/>
      <c r="L1247" s="1080"/>
      <c r="M1247" s="1080"/>
      <c r="N1247" s="1080"/>
      <c r="O1247" s="1080"/>
      <c r="P1247" s="1080"/>
      <c r="Q1247" s="1080"/>
      <c r="R1247" s="1080"/>
      <c r="S1247" s="1080"/>
      <c r="T1247" s="1080"/>
      <c r="U1247" s="1080"/>
      <c r="V1247" s="1080"/>
      <c r="W1247" s="1080"/>
      <c r="X1247" s="1080"/>
      <c r="Y1247" s="1080"/>
      <c r="Z1247" s="1080"/>
      <c r="AA1247" s="1080"/>
      <c r="AB1247" s="1081"/>
    </row>
    <row r="1248" ht="15.75" spans="1:28">
      <c r="A1248" s="1083"/>
      <c r="AB1248" s="1044"/>
    </row>
    <row r="1249" spans="1:28">
      <c r="A1249" s="1083"/>
      <c r="K1249" s="1084" t="s">
        <v>414</v>
      </c>
      <c r="L1249" s="1085"/>
      <c r="M1249" s="1085"/>
      <c r="N1249" s="1085"/>
      <c r="O1249" s="1085"/>
      <c r="P1249" s="1085"/>
      <c r="Q1249" s="1085"/>
      <c r="R1249" s="1086"/>
      <c r="AB1249" s="1044"/>
    </row>
    <row r="1250" spans="1:28">
      <c r="A1250" s="1083"/>
      <c r="K1250" s="1087" t="s">
        <v>384</v>
      </c>
      <c r="L1250" s="1088"/>
      <c r="M1250" s="1088"/>
      <c r="N1250" s="1088"/>
      <c r="O1250" s="1088"/>
      <c r="P1250" s="1088"/>
      <c r="Q1250" s="1088"/>
      <c r="R1250" s="1089"/>
      <c r="AB1250" s="1044"/>
    </row>
    <row r="1251" spans="1:28">
      <c r="A1251" s="1083"/>
      <c r="K1251" s="1090"/>
      <c r="L1251" s="1091"/>
      <c r="M1251" s="1091"/>
      <c r="N1251" s="1091"/>
      <c r="O1251" s="1091"/>
      <c r="P1251" s="1091"/>
      <c r="Q1251" s="1091"/>
      <c r="R1251" s="1092"/>
      <c r="AB1251" s="1044"/>
    </row>
    <row r="1252" ht="15.75" spans="1:28">
      <c r="A1252" s="1083"/>
      <c r="K1252" s="1093">
        <f>ROUNDUP(Y1228+Y1234+Y1240+Y1246,2)</f>
        <v>33.62</v>
      </c>
      <c r="L1252" s="1094"/>
      <c r="M1252" s="1094"/>
      <c r="N1252" s="1094"/>
      <c r="O1252" s="1094"/>
      <c r="P1252" s="1094"/>
      <c r="Q1252" s="1094"/>
      <c r="R1252" s="1095"/>
      <c r="AB1252" s="1044"/>
    </row>
    <row r="1253" ht="15.75" spans="1:28">
      <c r="A1253" s="1096"/>
      <c r="B1253" s="389"/>
      <c r="C1253" s="389"/>
      <c r="D1253" s="389"/>
      <c r="E1253" s="389"/>
      <c r="F1253" s="389"/>
      <c r="G1253" s="389"/>
      <c r="H1253" s="389"/>
      <c r="I1253" s="1097"/>
      <c r="J1253" s="1097"/>
      <c r="K1253" s="1097"/>
      <c r="L1253" s="1097"/>
      <c r="M1253" s="1097"/>
      <c r="N1253" s="1097"/>
      <c r="O1253" s="1097"/>
      <c r="P1253" s="1097"/>
      <c r="Q1253" s="389"/>
      <c r="R1253" s="389"/>
      <c r="S1253" s="389"/>
      <c r="T1253" s="389"/>
      <c r="U1253" s="389"/>
      <c r="V1253" s="389"/>
      <c r="W1253" s="389"/>
      <c r="X1253" s="389"/>
      <c r="Y1253" s="389"/>
      <c r="Z1253" s="389"/>
      <c r="AA1253" s="389"/>
      <c r="AB1253" s="1098"/>
    </row>
    <row r="1254" spans="1:28">
      <c r="A1254" s="1040" t="s">
        <v>415</v>
      </c>
      <c r="B1254" s="1041"/>
      <c r="C1254" s="1041"/>
      <c r="D1254" s="1041"/>
      <c r="E1254" s="1041"/>
      <c r="F1254" s="1041"/>
      <c r="G1254" s="1041"/>
      <c r="H1254" s="1041"/>
      <c r="I1254" s="1041"/>
      <c r="J1254" s="1041"/>
      <c r="K1254" s="1041"/>
      <c r="L1254" s="1041"/>
      <c r="M1254" s="1041"/>
      <c r="N1254" s="1041"/>
      <c r="O1254" s="1041"/>
      <c r="P1254" s="1041"/>
      <c r="Q1254" s="1041"/>
      <c r="R1254" s="1041"/>
      <c r="S1254" s="1041"/>
      <c r="T1254" s="1041"/>
      <c r="U1254" s="1041"/>
      <c r="V1254" s="1041"/>
      <c r="W1254" s="1041"/>
      <c r="X1254" s="1041"/>
      <c r="Y1254" s="1041"/>
      <c r="Z1254" s="1041"/>
      <c r="AA1254" s="1041"/>
      <c r="AB1254" s="1042"/>
    </row>
    <row r="1255" spans="1:28">
      <c r="A1255" s="1083"/>
      <c r="AB1255" s="1044"/>
    </row>
    <row r="1256" spans="1:28">
      <c r="A1256" s="1083"/>
      <c r="AB1256" s="1044"/>
    </row>
    <row r="1257" spans="1:28">
      <c r="A1257" s="1083"/>
      <c r="AB1257" s="1044"/>
    </row>
    <row r="1258" spans="1:28">
      <c r="A1258" s="1083"/>
      <c r="AB1258" s="1044"/>
    </row>
    <row r="1259" spans="1:28">
      <c r="A1259" s="1083"/>
      <c r="AB1259" s="1044"/>
    </row>
    <row r="1260" spans="1:28">
      <c r="A1260" s="1083"/>
      <c r="AB1260" s="1044"/>
    </row>
    <row r="1261" spans="1:28">
      <c r="A1261" s="1083"/>
      <c r="AB1261" s="1044"/>
    </row>
    <row r="1262" spans="1:28">
      <c r="A1262" s="1083"/>
      <c r="AB1262" s="1044"/>
    </row>
    <row r="1263" spans="1:28">
      <c r="A1263" s="1083"/>
      <c r="AB1263" s="1044"/>
    </row>
    <row r="1264" spans="1:28">
      <c r="A1264" s="1083"/>
      <c r="AB1264" s="1044"/>
    </row>
    <row r="1265" spans="1:28">
      <c r="A1265" s="1083"/>
      <c r="AB1265" s="1044"/>
    </row>
    <row r="1266" spans="1:28">
      <c r="A1266" s="1083"/>
      <c r="AB1266" s="1044"/>
    </row>
    <row r="1267" spans="1:28">
      <c r="A1267" s="1083"/>
      <c r="AB1267" s="1044"/>
    </row>
    <row r="1268" spans="1:28">
      <c r="A1268" s="1083"/>
      <c r="AB1268" s="1044"/>
    </row>
    <row r="1269" spans="1:28">
      <c r="A1269" s="1083"/>
      <c r="AB1269" s="1044"/>
    </row>
    <row r="1270" spans="1:28">
      <c r="A1270" s="1083"/>
      <c r="AB1270" s="1044"/>
    </row>
    <row r="1271" spans="1:28">
      <c r="A1271" s="1083"/>
      <c r="AB1271" s="1044"/>
    </row>
    <row r="1272" spans="1:28">
      <c r="A1272" s="1083"/>
      <c r="AB1272" s="1044"/>
    </row>
    <row r="1273" spans="1:28">
      <c r="A1273" s="1083"/>
      <c r="AB1273" s="1044"/>
    </row>
    <row r="1274" spans="1:28">
      <c r="A1274" s="1083"/>
      <c r="AB1274" s="1044"/>
    </row>
    <row r="1275" spans="1:28">
      <c r="A1275" s="1099" t="s">
        <v>116</v>
      </c>
      <c r="B1275" s="424"/>
      <c r="C1275" s="424"/>
      <c r="D1275" s="424"/>
      <c r="E1275" s="424"/>
      <c r="F1275" s="424"/>
      <c r="G1275" s="424"/>
      <c r="H1275" s="424"/>
      <c r="I1275" s="424"/>
      <c r="J1275" s="424"/>
      <c r="K1275" s="424"/>
      <c r="L1275" s="424"/>
      <c r="M1275" s="424"/>
      <c r="N1275" s="424"/>
      <c r="O1275" s="424"/>
      <c r="P1275" s="424"/>
      <c r="Q1275" s="424"/>
      <c r="R1275" s="424"/>
      <c r="S1275" s="424"/>
      <c r="T1275" s="424"/>
      <c r="U1275" s="424"/>
      <c r="V1275" s="424"/>
      <c r="W1275" s="424"/>
      <c r="X1275" s="424"/>
      <c r="Y1275" s="424"/>
      <c r="Z1275" s="424"/>
      <c r="AA1275" s="424"/>
      <c r="AB1275" s="1100"/>
    </row>
    <row r="1276" ht="14.4" customHeight="1" spans="1:28">
      <c r="A1276" s="1051" t="s">
        <v>205</v>
      </c>
      <c r="B1276" s="1049"/>
      <c r="C1276" s="1049"/>
      <c r="D1276" s="1050"/>
      <c r="E1276" s="1051" t="s">
        <v>206</v>
      </c>
      <c r="F1276" s="1049"/>
      <c r="G1276" s="1049"/>
      <c r="H1276" s="1050"/>
      <c r="I1276" s="1051" t="s">
        <v>235</v>
      </c>
      <c r="J1276" s="1049"/>
      <c r="K1276" s="1049"/>
      <c r="L1276" s="1050"/>
      <c r="M1276" s="1051" t="s">
        <v>236</v>
      </c>
      <c r="N1276" s="1049"/>
      <c r="O1276" s="1049"/>
      <c r="P1276" s="1050"/>
      <c r="Q1276" s="1051" t="s">
        <v>416</v>
      </c>
      <c r="R1276" s="1049"/>
      <c r="S1276" s="1049"/>
      <c r="T1276" s="1050"/>
      <c r="U1276" s="1052"/>
      <c r="V1276" s="1053"/>
      <c r="W1276" s="1053"/>
      <c r="X1276" s="1054"/>
      <c r="Y1276" s="1104" t="s">
        <v>314</v>
      </c>
      <c r="Z1276" s="1102"/>
      <c r="AA1276" s="1102"/>
      <c r="AB1276" s="1106"/>
    </row>
    <row r="1277" ht="14.4" customHeight="1" spans="1:28">
      <c r="A1277" s="1061" t="s">
        <v>315</v>
      </c>
      <c r="B1277" s="1059"/>
      <c r="C1277" s="1059"/>
      <c r="D1277" s="1060"/>
      <c r="E1277" s="1061" t="s">
        <v>209</v>
      </c>
      <c r="F1277" s="1059"/>
      <c r="G1277" s="1059"/>
      <c r="H1277" s="1060"/>
      <c r="I1277" s="1061" t="s">
        <v>417</v>
      </c>
      <c r="J1277" s="1059"/>
      <c r="K1277" s="1059"/>
      <c r="L1277" s="1060"/>
      <c r="M1277" s="1061" t="s">
        <v>418</v>
      </c>
      <c r="N1277" s="1059"/>
      <c r="O1277" s="1059"/>
      <c r="P1277" s="1060"/>
      <c r="Q1277" s="1061"/>
      <c r="R1277" s="1059"/>
      <c r="S1277" s="1059"/>
      <c r="T1277" s="1060"/>
      <c r="U1277" s="1062"/>
      <c r="V1277" s="1063"/>
      <c r="W1277" s="1063"/>
      <c r="X1277" s="1064"/>
      <c r="Y1277" s="1061"/>
      <c r="Z1277" s="1059"/>
      <c r="AA1277" s="1059"/>
      <c r="AB1277" s="1108"/>
    </row>
    <row r="1278" ht="15.75" spans="1:28">
      <c r="A1278" s="1073">
        <v>6</v>
      </c>
      <c r="B1278" s="1073"/>
      <c r="C1278" s="1073"/>
      <c r="D1278" s="1073"/>
      <c r="E1278" s="1073">
        <v>4</v>
      </c>
      <c r="F1278" s="1073"/>
      <c r="G1278" s="1073"/>
      <c r="H1278" s="1073"/>
      <c r="I1278" s="1073">
        <v>0.05</v>
      </c>
      <c r="J1278" s="1073"/>
      <c r="K1278" s="1073"/>
      <c r="L1278" s="1073"/>
      <c r="M1278" s="1073">
        <v>0.2</v>
      </c>
      <c r="N1278" s="1073"/>
      <c r="O1278" s="1073"/>
      <c r="P1278" s="1073"/>
      <c r="Q1278" s="1069">
        <v>1</v>
      </c>
      <c r="R1278" s="1069"/>
      <c r="S1278" s="1069"/>
      <c r="T1278" s="1069"/>
      <c r="U1278" s="1074"/>
      <c r="V1278" s="1075"/>
      <c r="W1278" s="1075"/>
      <c r="X1278" s="1076"/>
      <c r="Y1278" s="1077">
        <f>$A1278*$E1278*$M1278*$Q1278</f>
        <v>4.8</v>
      </c>
      <c r="Z1278" s="1077"/>
      <c r="AA1278" s="1077"/>
      <c r="AB1278" s="1078"/>
    </row>
    <row r="1279" ht="17.25" spans="1:28">
      <c r="A1279" s="1079" t="s">
        <v>419</v>
      </c>
      <c r="B1279" s="1080"/>
      <c r="C1279" s="1080"/>
      <c r="D1279" s="1080"/>
      <c r="E1279" s="1080"/>
      <c r="F1279" s="1080"/>
      <c r="G1279" s="1080"/>
      <c r="H1279" s="1080"/>
      <c r="I1279" s="1080"/>
      <c r="J1279" s="1080"/>
      <c r="K1279" s="1080"/>
      <c r="L1279" s="1080"/>
      <c r="M1279" s="1080"/>
      <c r="N1279" s="1080"/>
      <c r="O1279" s="1080"/>
      <c r="P1279" s="1080"/>
      <c r="Q1279" s="1080"/>
      <c r="R1279" s="1080"/>
      <c r="S1279" s="1080"/>
      <c r="T1279" s="1080"/>
      <c r="U1279" s="1080"/>
      <c r="V1279" s="1080"/>
      <c r="W1279" s="1080"/>
      <c r="X1279" s="1080"/>
      <c r="Y1279" s="1080"/>
      <c r="Z1279" s="1080"/>
      <c r="AA1279" s="1080"/>
      <c r="AB1279" s="1081"/>
    </row>
    <row r="1280" ht="15.75" spans="1:28">
      <c r="A1280" s="1083"/>
      <c r="AB1280" s="1044"/>
    </row>
    <row r="1281" spans="1:28">
      <c r="A1281" s="1083"/>
      <c r="K1281" s="1084" t="s">
        <v>420</v>
      </c>
      <c r="L1281" s="1085"/>
      <c r="M1281" s="1085"/>
      <c r="N1281" s="1085"/>
      <c r="O1281" s="1085"/>
      <c r="P1281" s="1085"/>
      <c r="Q1281" s="1085"/>
      <c r="R1281" s="1086"/>
      <c r="AB1281" s="1044"/>
    </row>
    <row r="1282" spans="1:28">
      <c r="A1282" s="1083"/>
      <c r="K1282" s="1087" t="s">
        <v>324</v>
      </c>
      <c r="L1282" s="1088"/>
      <c r="M1282" s="1088"/>
      <c r="N1282" s="1088"/>
      <c r="O1282" s="1088"/>
      <c r="P1282" s="1088"/>
      <c r="Q1282" s="1088"/>
      <c r="R1282" s="1089"/>
      <c r="AB1282" s="1044"/>
    </row>
    <row r="1283" spans="1:28">
      <c r="A1283" s="1083"/>
      <c r="K1283" s="1090"/>
      <c r="L1283" s="1091"/>
      <c r="M1283" s="1091"/>
      <c r="N1283" s="1091"/>
      <c r="O1283" s="1091"/>
      <c r="P1283" s="1091"/>
      <c r="Q1283" s="1091"/>
      <c r="R1283" s="1092"/>
      <c r="AB1283" s="1044"/>
    </row>
    <row r="1284" ht="15.75" spans="1:28">
      <c r="A1284" s="1083"/>
      <c r="K1284" s="1093">
        <f>ROUNDUP(Y1278,2)</f>
        <v>4.8</v>
      </c>
      <c r="L1284" s="1094"/>
      <c r="M1284" s="1094"/>
      <c r="N1284" s="1094"/>
      <c r="O1284" s="1094"/>
      <c r="P1284" s="1094"/>
      <c r="Q1284" s="1094"/>
      <c r="R1284" s="1095"/>
      <c r="AB1284" s="1044"/>
    </row>
    <row r="1285" ht="15.75" spans="1:28">
      <c r="A1285" s="1096"/>
      <c r="B1285" s="389"/>
      <c r="C1285" s="389"/>
      <c r="D1285" s="389"/>
      <c r="E1285" s="389"/>
      <c r="F1285" s="389"/>
      <c r="G1285" s="389"/>
      <c r="H1285" s="389"/>
      <c r="I1285" s="1097"/>
      <c r="J1285" s="1097"/>
      <c r="K1285" s="1097"/>
      <c r="L1285" s="1097"/>
      <c r="M1285" s="1097"/>
      <c r="N1285" s="1097"/>
      <c r="O1285" s="1097"/>
      <c r="P1285" s="1097"/>
      <c r="Q1285" s="389"/>
      <c r="R1285" s="389"/>
      <c r="S1285" s="389"/>
      <c r="T1285" s="389"/>
      <c r="U1285" s="389"/>
      <c r="V1285" s="389"/>
      <c r="W1285" s="389"/>
      <c r="X1285" s="389"/>
      <c r="Y1285" s="389"/>
      <c r="Z1285" s="389"/>
      <c r="AA1285" s="389"/>
      <c r="AB1285" s="1098"/>
    </row>
    <row r="1286" spans="1:28">
      <c r="A1286" s="1040" t="s">
        <v>421</v>
      </c>
      <c r="B1286" s="1041"/>
      <c r="C1286" s="1041"/>
      <c r="D1286" s="1041"/>
      <c r="E1286" s="1041"/>
      <c r="F1286" s="1041"/>
      <c r="G1286" s="1041"/>
      <c r="H1286" s="1041"/>
      <c r="I1286" s="1041"/>
      <c r="J1286" s="1041"/>
      <c r="K1286" s="1041"/>
      <c r="L1286" s="1041"/>
      <c r="M1286" s="1041"/>
      <c r="N1286" s="1041"/>
      <c r="O1286" s="1041"/>
      <c r="P1286" s="1041"/>
      <c r="Q1286" s="1041"/>
      <c r="R1286" s="1041"/>
      <c r="S1286" s="1041"/>
      <c r="T1286" s="1041"/>
      <c r="U1286" s="1041"/>
      <c r="V1286" s="1041"/>
      <c r="W1286" s="1041"/>
      <c r="X1286" s="1041"/>
      <c r="Y1286" s="1041"/>
      <c r="Z1286" s="1041"/>
      <c r="AA1286" s="1041"/>
      <c r="AB1286" s="1042"/>
    </row>
    <row r="1287" spans="1:28">
      <c r="A1287" s="1083"/>
      <c r="AB1287" s="1044"/>
    </row>
    <row r="1288" spans="1:28">
      <c r="A1288" s="1083"/>
      <c r="AB1288" s="1044"/>
    </row>
    <row r="1289" spans="1:28">
      <c r="A1289" s="1083"/>
      <c r="AB1289" s="1044"/>
    </row>
    <row r="1290" spans="1:28">
      <c r="A1290" s="1083"/>
      <c r="AB1290" s="1044"/>
    </row>
    <row r="1291" spans="1:28">
      <c r="A1291" s="1083"/>
      <c r="AB1291" s="1044"/>
    </row>
    <row r="1292" spans="1:28">
      <c r="A1292" s="1083"/>
      <c r="AB1292" s="1044"/>
    </row>
    <row r="1293" spans="1:28">
      <c r="A1293" s="1083"/>
      <c r="AB1293" s="1044"/>
    </row>
    <row r="1294" spans="1:28">
      <c r="A1294" s="1083"/>
      <c r="AB1294" s="1044"/>
    </row>
    <row r="1295" spans="1:28">
      <c r="A1295" s="1083"/>
      <c r="AB1295" s="1044"/>
    </row>
    <row r="1296" spans="1:28">
      <c r="A1296" s="1083"/>
      <c r="AB1296" s="1044"/>
    </row>
    <row r="1297" spans="1:28">
      <c r="A1297" s="1083"/>
      <c r="AB1297" s="1044"/>
    </row>
    <row r="1298" spans="1:28">
      <c r="A1298" s="1083"/>
      <c r="AB1298" s="1044"/>
    </row>
    <row r="1299" spans="1:28">
      <c r="A1299" s="1083"/>
      <c r="AB1299" s="1044"/>
    </row>
    <row r="1300" spans="1:28">
      <c r="A1300" s="1083"/>
      <c r="AB1300" s="1044"/>
    </row>
    <row r="1301" spans="1:28">
      <c r="A1301" s="1083"/>
      <c r="AB1301" s="1044"/>
    </row>
    <row r="1302" spans="1:28">
      <c r="A1302" s="1083"/>
      <c r="AB1302" s="1044"/>
    </row>
    <row r="1303" spans="1:28">
      <c r="A1303" s="1083"/>
      <c r="AB1303" s="1044"/>
    </row>
    <row r="1304" spans="1:28">
      <c r="A1304" s="1083"/>
      <c r="AB1304" s="1044"/>
    </row>
    <row r="1305" spans="1:28">
      <c r="A1305" s="1083"/>
      <c r="AB1305" s="1044"/>
    </row>
    <row r="1306" spans="1:28">
      <c r="A1306" s="1083"/>
      <c r="AB1306" s="1044"/>
    </row>
    <row r="1307" spans="1:28">
      <c r="A1307" s="1099" t="s">
        <v>116</v>
      </c>
      <c r="B1307" s="424"/>
      <c r="C1307" s="424"/>
      <c r="D1307" s="424"/>
      <c r="E1307" s="424"/>
      <c r="F1307" s="424"/>
      <c r="G1307" s="424"/>
      <c r="H1307" s="424"/>
      <c r="I1307" s="424"/>
      <c r="J1307" s="424"/>
      <c r="K1307" s="424"/>
      <c r="L1307" s="424"/>
      <c r="M1307" s="424"/>
      <c r="N1307" s="424"/>
      <c r="O1307" s="424"/>
      <c r="P1307" s="424"/>
      <c r="Q1307" s="424"/>
      <c r="R1307" s="424"/>
      <c r="S1307" s="424"/>
      <c r="T1307" s="424"/>
      <c r="U1307" s="424"/>
      <c r="V1307" s="424"/>
      <c r="W1307" s="424"/>
      <c r="X1307" s="424"/>
      <c r="Y1307" s="424"/>
      <c r="Z1307" s="424"/>
      <c r="AA1307" s="424"/>
      <c r="AB1307" s="1100"/>
    </row>
    <row r="1308" ht="14.4" customHeight="1" spans="1:28">
      <c r="A1308" s="1051" t="s">
        <v>205</v>
      </c>
      <c r="B1308" s="1049"/>
      <c r="C1308" s="1049"/>
      <c r="D1308" s="1050"/>
      <c r="E1308" s="1051" t="s">
        <v>206</v>
      </c>
      <c r="F1308" s="1049"/>
      <c r="G1308" s="1049"/>
      <c r="H1308" s="1050"/>
      <c r="I1308" s="1051" t="s">
        <v>235</v>
      </c>
      <c r="J1308" s="1049"/>
      <c r="K1308" s="1049"/>
      <c r="L1308" s="1050"/>
      <c r="M1308" s="1051" t="s">
        <v>236</v>
      </c>
      <c r="N1308" s="1049"/>
      <c r="O1308" s="1049"/>
      <c r="P1308" s="1050"/>
      <c r="Q1308" s="1051" t="s">
        <v>416</v>
      </c>
      <c r="R1308" s="1049"/>
      <c r="S1308" s="1049"/>
      <c r="T1308" s="1050"/>
      <c r="U1308" s="1052"/>
      <c r="V1308" s="1053"/>
      <c r="W1308" s="1053"/>
      <c r="X1308" s="1054"/>
      <c r="Y1308" s="1104" t="s">
        <v>314</v>
      </c>
      <c r="Z1308" s="1102"/>
      <c r="AA1308" s="1102"/>
      <c r="AB1308" s="1106"/>
    </row>
    <row r="1309" ht="14.4" customHeight="1" spans="1:28">
      <c r="A1309" s="1061" t="s">
        <v>315</v>
      </c>
      <c r="B1309" s="1059"/>
      <c r="C1309" s="1059"/>
      <c r="D1309" s="1060"/>
      <c r="E1309" s="1061" t="s">
        <v>209</v>
      </c>
      <c r="F1309" s="1059"/>
      <c r="G1309" s="1059"/>
      <c r="H1309" s="1060"/>
      <c r="I1309" s="1061" t="s">
        <v>417</v>
      </c>
      <c r="J1309" s="1059"/>
      <c r="K1309" s="1059"/>
      <c r="L1309" s="1060"/>
      <c r="M1309" s="1061" t="s">
        <v>418</v>
      </c>
      <c r="N1309" s="1059"/>
      <c r="O1309" s="1059"/>
      <c r="P1309" s="1060"/>
      <c r="Q1309" s="1061"/>
      <c r="R1309" s="1059"/>
      <c r="S1309" s="1059"/>
      <c r="T1309" s="1060"/>
      <c r="U1309" s="1062"/>
      <c r="V1309" s="1063"/>
      <c r="W1309" s="1063"/>
      <c r="X1309" s="1064"/>
      <c r="Y1309" s="1061"/>
      <c r="Z1309" s="1059"/>
      <c r="AA1309" s="1059"/>
      <c r="AB1309" s="1108"/>
    </row>
    <row r="1310" ht="15.75" spans="1:28">
      <c r="A1310" s="1073">
        <v>6</v>
      </c>
      <c r="B1310" s="1073"/>
      <c r="C1310" s="1073"/>
      <c r="D1310" s="1073"/>
      <c r="E1310" s="1073">
        <v>4</v>
      </c>
      <c r="F1310" s="1073"/>
      <c r="G1310" s="1073"/>
      <c r="H1310" s="1073"/>
      <c r="I1310" s="1073">
        <v>0.05</v>
      </c>
      <c r="J1310" s="1073"/>
      <c r="K1310" s="1073"/>
      <c r="L1310" s="1073"/>
      <c r="M1310" s="1073">
        <v>0.2</v>
      </c>
      <c r="N1310" s="1073"/>
      <c r="O1310" s="1073"/>
      <c r="P1310" s="1073"/>
      <c r="Q1310" s="1069">
        <v>1</v>
      </c>
      <c r="R1310" s="1069"/>
      <c r="S1310" s="1069"/>
      <c r="T1310" s="1069"/>
      <c r="U1310" s="1074"/>
      <c r="V1310" s="1075"/>
      <c r="W1310" s="1075"/>
      <c r="X1310" s="1076"/>
      <c r="Y1310" s="1077">
        <f>$A1310*$E1310*$I1310*$Q1310</f>
        <v>1.2</v>
      </c>
      <c r="Z1310" s="1077"/>
      <c r="AA1310" s="1077"/>
      <c r="AB1310" s="1078"/>
    </row>
    <row r="1311" ht="17.25" spans="1:28">
      <c r="A1311" s="1079" t="s">
        <v>422</v>
      </c>
      <c r="B1311" s="1080"/>
      <c r="C1311" s="1080"/>
      <c r="D1311" s="1080"/>
      <c r="E1311" s="1080"/>
      <c r="F1311" s="1080"/>
      <c r="G1311" s="1080"/>
      <c r="H1311" s="1080"/>
      <c r="I1311" s="1080"/>
      <c r="J1311" s="1080"/>
      <c r="K1311" s="1080"/>
      <c r="L1311" s="1080"/>
      <c r="M1311" s="1080"/>
      <c r="N1311" s="1080"/>
      <c r="O1311" s="1080"/>
      <c r="P1311" s="1080"/>
      <c r="Q1311" s="1080"/>
      <c r="R1311" s="1080"/>
      <c r="S1311" s="1080"/>
      <c r="T1311" s="1080"/>
      <c r="U1311" s="1080"/>
      <c r="V1311" s="1080"/>
      <c r="W1311" s="1080"/>
      <c r="X1311" s="1080"/>
      <c r="Y1311" s="1080"/>
      <c r="Z1311" s="1080"/>
      <c r="AA1311" s="1080"/>
      <c r="AB1311" s="1081"/>
    </row>
    <row r="1312" ht="15.75" spans="1:28">
      <c r="A1312" s="1083"/>
      <c r="AB1312" s="1044"/>
    </row>
    <row r="1313" spans="1:28">
      <c r="A1313" s="1083"/>
      <c r="K1313" s="1084" t="s">
        <v>423</v>
      </c>
      <c r="L1313" s="1085"/>
      <c r="M1313" s="1085"/>
      <c r="N1313" s="1085"/>
      <c r="O1313" s="1085"/>
      <c r="P1313" s="1085"/>
      <c r="Q1313" s="1085"/>
      <c r="R1313" s="1086"/>
      <c r="AB1313" s="1044"/>
    </row>
    <row r="1314" spans="1:28">
      <c r="A1314" s="1083"/>
      <c r="K1314" s="1087" t="s">
        <v>331</v>
      </c>
      <c r="L1314" s="1088"/>
      <c r="M1314" s="1088"/>
      <c r="N1314" s="1088"/>
      <c r="O1314" s="1088"/>
      <c r="P1314" s="1088"/>
      <c r="Q1314" s="1088"/>
      <c r="R1314" s="1089"/>
      <c r="AB1314" s="1044"/>
    </row>
    <row r="1315" spans="1:28">
      <c r="A1315" s="1083"/>
      <c r="K1315" s="1090"/>
      <c r="L1315" s="1091"/>
      <c r="M1315" s="1091"/>
      <c r="N1315" s="1091"/>
      <c r="O1315" s="1091"/>
      <c r="P1315" s="1091"/>
      <c r="Q1315" s="1091"/>
      <c r="R1315" s="1092"/>
      <c r="AB1315" s="1044"/>
    </row>
    <row r="1316" ht="15.75" spans="1:28">
      <c r="A1316" s="1083"/>
      <c r="K1316" s="1093">
        <f>ROUNDUP(Y1310,2)</f>
        <v>1.2</v>
      </c>
      <c r="L1316" s="1094"/>
      <c r="M1316" s="1094"/>
      <c r="N1316" s="1094"/>
      <c r="O1316" s="1094"/>
      <c r="P1316" s="1094"/>
      <c r="Q1316" s="1094"/>
      <c r="R1316" s="1095"/>
      <c r="AB1316" s="1044"/>
    </row>
    <row r="1317" ht="15.75" spans="1:28">
      <c r="A1317" s="1096"/>
      <c r="B1317" s="389"/>
      <c r="C1317" s="389"/>
      <c r="D1317" s="389"/>
      <c r="E1317" s="389"/>
      <c r="F1317" s="389"/>
      <c r="G1317" s="389"/>
      <c r="H1317" s="389"/>
      <c r="I1317" s="1097"/>
      <c r="J1317" s="1097"/>
      <c r="K1317" s="1097"/>
      <c r="L1317" s="1097"/>
      <c r="M1317" s="1097"/>
      <c r="N1317" s="1097"/>
      <c r="O1317" s="1097"/>
      <c r="P1317" s="1097"/>
      <c r="Q1317" s="389"/>
      <c r="R1317" s="389"/>
      <c r="S1317" s="389"/>
      <c r="T1317" s="389"/>
      <c r="U1317" s="389"/>
      <c r="V1317" s="389"/>
      <c r="W1317" s="389"/>
      <c r="X1317" s="389"/>
      <c r="Y1317" s="389"/>
      <c r="Z1317" s="389"/>
      <c r="AA1317" s="389"/>
      <c r="AB1317" s="1098"/>
    </row>
    <row r="1318" spans="1:28">
      <c r="A1318" s="1040" t="s">
        <v>424</v>
      </c>
      <c r="B1318" s="1041"/>
      <c r="C1318" s="1041"/>
      <c r="D1318" s="1041"/>
      <c r="E1318" s="1041"/>
      <c r="F1318" s="1041"/>
      <c r="G1318" s="1041"/>
      <c r="H1318" s="1041"/>
      <c r="I1318" s="1041"/>
      <c r="J1318" s="1041"/>
      <c r="K1318" s="1041"/>
      <c r="L1318" s="1041"/>
      <c r="M1318" s="1041"/>
      <c r="N1318" s="1041"/>
      <c r="O1318" s="1041"/>
      <c r="P1318" s="1041"/>
      <c r="Q1318" s="1041"/>
      <c r="R1318" s="1041"/>
      <c r="S1318" s="1041"/>
      <c r="T1318" s="1041"/>
      <c r="U1318" s="1041"/>
      <c r="V1318" s="1041"/>
      <c r="W1318" s="1041"/>
      <c r="X1318" s="1041"/>
      <c r="Y1318" s="1041"/>
      <c r="Z1318" s="1041"/>
      <c r="AA1318" s="1041"/>
      <c r="AB1318" s="1042"/>
    </row>
    <row r="1319" spans="1:28">
      <c r="A1319" s="1083"/>
      <c r="AB1319" s="1044"/>
    </row>
    <row r="1320" spans="1:28">
      <c r="A1320" s="1083"/>
      <c r="AB1320" s="1044"/>
    </row>
    <row r="1321" spans="1:28">
      <c r="A1321" s="1083"/>
      <c r="AB1321" s="1044"/>
    </row>
    <row r="1322" spans="1:28">
      <c r="A1322" s="1083"/>
      <c r="AB1322" s="1044"/>
    </row>
    <row r="1323" spans="1:28">
      <c r="A1323" s="1083"/>
      <c r="AB1323" s="1044"/>
    </row>
    <row r="1324" spans="1:28">
      <c r="A1324" s="1083"/>
      <c r="AB1324" s="1044"/>
    </row>
    <row r="1325" spans="1:28">
      <c r="A1325" s="1083"/>
      <c r="AB1325" s="1044"/>
    </row>
    <row r="1326" spans="1:28">
      <c r="A1326" s="1083"/>
      <c r="AB1326" s="1044"/>
    </row>
    <row r="1327" spans="1:28">
      <c r="A1327" s="1083"/>
      <c r="AB1327" s="1044"/>
    </row>
    <row r="1328" spans="1:28">
      <c r="A1328" s="1083"/>
      <c r="AB1328" s="1044"/>
    </row>
    <row r="1329" spans="1:28">
      <c r="A1329" s="1083"/>
      <c r="AB1329" s="1044"/>
    </row>
    <row r="1330" spans="1:28">
      <c r="A1330" s="1083"/>
      <c r="AB1330" s="1044"/>
    </row>
    <row r="1331" spans="1:28">
      <c r="A1331" s="1083"/>
      <c r="AB1331" s="1044"/>
    </row>
    <row r="1332" spans="1:28">
      <c r="A1332" s="1083"/>
      <c r="AB1332" s="1044"/>
    </row>
    <row r="1333" spans="1:28">
      <c r="A1333" s="1083"/>
      <c r="AB1333" s="1044"/>
    </row>
    <row r="1334" spans="1:28">
      <c r="A1334" s="1083"/>
      <c r="AB1334" s="1044"/>
    </row>
    <row r="1335" spans="1:28">
      <c r="A1335" s="1083"/>
      <c r="AB1335" s="1044"/>
    </row>
    <row r="1336" spans="1:28">
      <c r="A1336" s="1083"/>
      <c r="AB1336" s="1044"/>
    </row>
    <row r="1337" spans="1:28">
      <c r="A1337" s="1083"/>
      <c r="AB1337" s="1044"/>
    </row>
    <row r="1338" spans="1:28">
      <c r="A1338" s="1083"/>
      <c r="AB1338" s="1044"/>
    </row>
    <row r="1339" spans="1:28">
      <c r="A1339" s="1099" t="s">
        <v>116</v>
      </c>
      <c r="B1339" s="424"/>
      <c r="C1339" s="424"/>
      <c r="D1339" s="424"/>
      <c r="E1339" s="424"/>
      <c r="F1339" s="424"/>
      <c r="G1339" s="424"/>
      <c r="H1339" s="424"/>
      <c r="I1339" s="424"/>
      <c r="J1339" s="424"/>
      <c r="K1339" s="424"/>
      <c r="L1339" s="424"/>
      <c r="M1339" s="424"/>
      <c r="N1339" s="424"/>
      <c r="O1339" s="424"/>
      <c r="P1339" s="424"/>
      <c r="Q1339" s="424"/>
      <c r="R1339" s="424"/>
      <c r="S1339" s="424"/>
      <c r="T1339" s="424"/>
      <c r="U1339" s="424"/>
      <c r="V1339" s="424"/>
      <c r="W1339" s="424"/>
      <c r="X1339" s="424"/>
      <c r="Y1339" s="424"/>
      <c r="Z1339" s="424"/>
      <c r="AA1339" s="424"/>
      <c r="AB1339" s="1100"/>
    </row>
    <row r="1340" ht="14.4" customHeight="1" spans="1:28">
      <c r="A1340" s="1048" t="s">
        <v>205</v>
      </c>
      <c r="B1340" s="1049"/>
      <c r="C1340" s="1049"/>
      <c r="D1340" s="1050"/>
      <c r="E1340" s="1051" t="s">
        <v>206</v>
      </c>
      <c r="F1340" s="1049"/>
      <c r="G1340" s="1049"/>
      <c r="H1340" s="1050"/>
      <c r="I1340" s="1051" t="s">
        <v>235</v>
      </c>
      <c r="J1340" s="1049"/>
      <c r="K1340" s="1049"/>
      <c r="L1340" s="1050"/>
      <c r="M1340" s="1051" t="s">
        <v>236</v>
      </c>
      <c r="N1340" s="1049"/>
      <c r="O1340" s="1049"/>
      <c r="P1340" s="1050"/>
      <c r="Q1340" s="1051" t="s">
        <v>416</v>
      </c>
      <c r="R1340" s="1049"/>
      <c r="S1340" s="1049"/>
      <c r="T1340" s="1050"/>
      <c r="U1340" s="1052"/>
      <c r="V1340" s="1053"/>
      <c r="W1340" s="1053"/>
      <c r="X1340" s="1054"/>
      <c r="Y1340" s="1210" t="s">
        <v>333</v>
      </c>
      <c r="Z1340" s="1210"/>
      <c r="AA1340" s="1210"/>
      <c r="AB1340" s="1211"/>
    </row>
    <row r="1341" ht="14.4" customHeight="1" spans="1:28">
      <c r="A1341" s="1058" t="s">
        <v>315</v>
      </c>
      <c r="B1341" s="1059"/>
      <c r="C1341" s="1059"/>
      <c r="D1341" s="1060"/>
      <c r="E1341" s="1061" t="s">
        <v>209</v>
      </c>
      <c r="F1341" s="1059"/>
      <c r="G1341" s="1059"/>
      <c r="H1341" s="1060"/>
      <c r="I1341" s="1061" t="s">
        <v>417</v>
      </c>
      <c r="J1341" s="1059"/>
      <c r="K1341" s="1059"/>
      <c r="L1341" s="1060"/>
      <c r="M1341" s="1061" t="s">
        <v>418</v>
      </c>
      <c r="N1341" s="1059"/>
      <c r="O1341" s="1059"/>
      <c r="P1341" s="1060"/>
      <c r="Q1341" s="1061"/>
      <c r="R1341" s="1059"/>
      <c r="S1341" s="1059"/>
      <c r="T1341" s="1060"/>
      <c r="U1341" s="1062"/>
      <c r="V1341" s="1063"/>
      <c r="W1341" s="1063"/>
      <c r="X1341" s="1064"/>
      <c r="Y1341" s="1210"/>
      <c r="Z1341" s="1210"/>
      <c r="AA1341" s="1210"/>
      <c r="AB1341" s="1211"/>
    </row>
    <row r="1342" ht="15.75" spans="1:28">
      <c r="A1342" s="1122">
        <v>6</v>
      </c>
      <c r="B1342" s="1073"/>
      <c r="C1342" s="1073"/>
      <c r="D1342" s="1073"/>
      <c r="E1342" s="1073">
        <v>4</v>
      </c>
      <c r="F1342" s="1073"/>
      <c r="G1342" s="1073"/>
      <c r="H1342" s="1073"/>
      <c r="I1342" s="1073">
        <v>0.05</v>
      </c>
      <c r="J1342" s="1073"/>
      <c r="K1342" s="1073"/>
      <c r="L1342" s="1073"/>
      <c r="M1342" s="1073">
        <v>0.2</v>
      </c>
      <c r="N1342" s="1073"/>
      <c r="O1342" s="1073"/>
      <c r="P1342" s="1073"/>
      <c r="Q1342" s="1069">
        <v>1</v>
      </c>
      <c r="R1342" s="1069"/>
      <c r="S1342" s="1069"/>
      <c r="T1342" s="1069"/>
      <c r="U1342" s="1074"/>
      <c r="V1342" s="1075"/>
      <c r="W1342" s="1075"/>
      <c r="X1342" s="1076"/>
      <c r="Y1342" s="1077">
        <f>ROUNDUP(((($A$1342+$E$1342)*2)*$M$1342*$Q$1342),2)</f>
        <v>4</v>
      </c>
      <c r="Z1342" s="1077"/>
      <c r="AA1342" s="1077"/>
      <c r="AB1342" s="1078"/>
    </row>
    <row r="1343" ht="15.75" spans="1:28">
      <c r="A1343" s="1079" t="s">
        <v>425</v>
      </c>
      <c r="B1343" s="1080"/>
      <c r="C1343" s="1080"/>
      <c r="D1343" s="1080"/>
      <c r="E1343" s="1080"/>
      <c r="F1343" s="1080"/>
      <c r="G1343" s="1080"/>
      <c r="H1343" s="1080"/>
      <c r="I1343" s="1080"/>
      <c r="J1343" s="1080"/>
      <c r="K1343" s="1080"/>
      <c r="L1343" s="1080"/>
      <c r="M1343" s="1080"/>
      <c r="N1343" s="1080"/>
      <c r="O1343" s="1080"/>
      <c r="P1343" s="1080"/>
      <c r="Q1343" s="1080"/>
      <c r="R1343" s="1080"/>
      <c r="S1343" s="1080"/>
      <c r="T1343" s="1080"/>
      <c r="U1343" s="1080"/>
      <c r="V1343" s="1080"/>
      <c r="W1343" s="1080"/>
      <c r="X1343" s="1080"/>
      <c r="Y1343" s="1080"/>
      <c r="Z1343" s="1080"/>
      <c r="AA1343" s="1080"/>
      <c r="AB1343" s="1081"/>
    </row>
    <row r="1344" ht="15.75" spans="1:28">
      <c r="A1344" s="1083"/>
      <c r="AB1344" s="1044"/>
    </row>
    <row r="1345" spans="1:28">
      <c r="A1345" s="1083"/>
      <c r="K1345" s="1084" t="s">
        <v>426</v>
      </c>
      <c r="L1345" s="1085"/>
      <c r="M1345" s="1085"/>
      <c r="N1345" s="1085"/>
      <c r="O1345" s="1085"/>
      <c r="P1345" s="1085"/>
      <c r="Q1345" s="1085"/>
      <c r="R1345" s="1086"/>
      <c r="AB1345" s="1044"/>
    </row>
    <row r="1346" ht="14.4" customHeight="1" spans="1:28">
      <c r="A1346" s="1083"/>
      <c r="K1346" s="1087" t="s">
        <v>427</v>
      </c>
      <c r="L1346" s="1088"/>
      <c r="M1346" s="1088"/>
      <c r="N1346" s="1088"/>
      <c r="O1346" s="1088"/>
      <c r="P1346" s="1088"/>
      <c r="Q1346" s="1088"/>
      <c r="R1346" s="1089"/>
      <c r="AB1346" s="1044"/>
    </row>
    <row r="1347" spans="1:28">
      <c r="A1347" s="1083"/>
      <c r="K1347" s="1090"/>
      <c r="L1347" s="1091"/>
      <c r="M1347" s="1091"/>
      <c r="N1347" s="1091"/>
      <c r="O1347" s="1091"/>
      <c r="P1347" s="1091"/>
      <c r="Q1347" s="1091"/>
      <c r="R1347" s="1092"/>
      <c r="AB1347" s="1044"/>
    </row>
    <row r="1348" ht="15.75" spans="1:28">
      <c r="A1348" s="1083"/>
      <c r="K1348" s="1093">
        <f>ROUNDUP(Y1342,2)</f>
        <v>4</v>
      </c>
      <c r="L1348" s="1094"/>
      <c r="M1348" s="1094"/>
      <c r="N1348" s="1094"/>
      <c r="O1348" s="1094"/>
      <c r="P1348" s="1094"/>
      <c r="Q1348" s="1094"/>
      <c r="R1348" s="1095"/>
      <c r="AB1348" s="1044"/>
    </row>
    <row r="1349" ht="15.75" spans="1:28">
      <c r="A1349" s="1096"/>
      <c r="B1349" s="389"/>
      <c r="C1349" s="389"/>
      <c r="D1349" s="389"/>
      <c r="E1349" s="389"/>
      <c r="F1349" s="389"/>
      <c r="G1349" s="389"/>
      <c r="H1349" s="389"/>
      <c r="I1349" s="1097"/>
      <c r="J1349" s="1097"/>
      <c r="K1349" s="1097"/>
      <c r="L1349" s="1097"/>
      <c r="M1349" s="1097"/>
      <c r="N1349" s="1097"/>
      <c r="O1349" s="1097"/>
      <c r="P1349" s="1097"/>
      <c r="Q1349" s="389"/>
      <c r="R1349" s="389"/>
      <c r="S1349" s="389"/>
      <c r="T1349" s="389"/>
      <c r="U1349" s="389"/>
      <c r="V1349" s="389"/>
      <c r="W1349" s="389"/>
      <c r="X1349" s="389"/>
      <c r="Y1349" s="389"/>
      <c r="Z1349" s="389"/>
      <c r="AA1349" s="389"/>
      <c r="AB1349" s="1098"/>
    </row>
    <row r="1350" s="437" customFormat="1" spans="1:28">
      <c r="A1350" s="1040" t="s">
        <v>428</v>
      </c>
      <c r="B1350" s="1114"/>
      <c r="C1350" s="1114"/>
      <c r="D1350" s="1114"/>
      <c r="E1350" s="1114"/>
      <c r="F1350" s="1114"/>
      <c r="G1350" s="1114"/>
      <c r="H1350" s="1114"/>
      <c r="I1350" s="1129"/>
      <c r="J1350" s="1129"/>
      <c r="K1350" s="1129"/>
      <c r="L1350" s="1129"/>
      <c r="M1350" s="1129"/>
      <c r="N1350" s="1129"/>
      <c r="O1350" s="1129"/>
      <c r="P1350" s="1129"/>
      <c r="Q1350" s="1114"/>
      <c r="R1350" s="1114"/>
      <c r="S1350" s="1114"/>
      <c r="T1350" s="1114"/>
      <c r="U1350" s="1114"/>
      <c r="V1350" s="1114"/>
      <c r="W1350" s="1114"/>
      <c r="X1350" s="1114"/>
      <c r="Y1350" s="1114"/>
      <c r="Z1350" s="1114"/>
      <c r="AA1350" s="1114"/>
      <c r="AB1350" s="1115"/>
    </row>
    <row r="1351" spans="1:28">
      <c r="A1351" s="1083"/>
      <c r="I1351" s="1130"/>
      <c r="J1351" s="1130"/>
      <c r="K1351" s="1130"/>
      <c r="L1351" s="1130"/>
      <c r="M1351" s="1130"/>
      <c r="N1351" s="1130"/>
      <c r="O1351" s="1130"/>
      <c r="P1351" s="1130"/>
      <c r="AB1351" s="1044"/>
    </row>
    <row r="1352" spans="1:28">
      <c r="A1352" s="1083"/>
      <c r="I1352" s="1130"/>
      <c r="J1352" s="1130"/>
      <c r="K1352" s="1130"/>
      <c r="L1352" s="1130"/>
      <c r="M1352" s="1130"/>
      <c r="N1352" s="1130"/>
      <c r="O1352" s="1130"/>
      <c r="P1352" s="1130"/>
      <c r="AB1352" s="1044"/>
    </row>
    <row r="1353" spans="1:28">
      <c r="A1353" s="1083"/>
      <c r="I1353" s="1130"/>
      <c r="J1353" s="1130"/>
      <c r="K1353" s="1130"/>
      <c r="L1353" s="1130"/>
      <c r="M1353" s="1130"/>
      <c r="N1353" s="1130"/>
      <c r="O1353" s="1130"/>
      <c r="P1353" s="1130"/>
      <c r="AB1353" s="1044"/>
    </row>
    <row r="1354" spans="1:28">
      <c r="A1354" s="1083"/>
      <c r="I1354" s="1130"/>
      <c r="J1354" s="1130"/>
      <c r="K1354" s="1130"/>
      <c r="L1354" s="1130"/>
      <c r="M1354" s="1130"/>
      <c r="N1354" s="1130"/>
      <c r="O1354" s="1130"/>
      <c r="P1354" s="1130"/>
      <c r="AB1354" s="1044"/>
    </row>
    <row r="1355" spans="1:28">
      <c r="A1355" s="1083"/>
      <c r="I1355" s="1130"/>
      <c r="J1355" s="1130"/>
      <c r="K1355" s="1130"/>
      <c r="L1355" s="1130"/>
      <c r="M1355" s="1130"/>
      <c r="N1355" s="1130"/>
      <c r="O1355" s="1130"/>
      <c r="P1355" s="1130"/>
      <c r="AB1355" s="1044"/>
    </row>
    <row r="1356" spans="1:28">
      <c r="A1356" s="1083"/>
      <c r="I1356" s="1130"/>
      <c r="J1356" s="1130"/>
      <c r="K1356" s="1130"/>
      <c r="L1356" s="1130"/>
      <c r="M1356" s="1130"/>
      <c r="N1356" s="1130"/>
      <c r="O1356" s="1130"/>
      <c r="P1356" s="1130"/>
      <c r="AB1356" s="1044"/>
    </row>
    <row r="1357" spans="1:28">
      <c r="A1357" s="1083"/>
      <c r="I1357" s="1130"/>
      <c r="J1357" s="1130"/>
      <c r="K1357" s="1130"/>
      <c r="L1357" s="1130"/>
      <c r="M1357" s="1130"/>
      <c r="N1357" s="1130"/>
      <c r="O1357" s="1130"/>
      <c r="P1357" s="1130"/>
      <c r="AB1357" s="1044"/>
    </row>
    <row r="1358" spans="1:28">
      <c r="A1358" s="1083"/>
      <c r="I1358" s="1130"/>
      <c r="J1358" s="1130"/>
      <c r="K1358" s="1130"/>
      <c r="L1358" s="1130"/>
      <c r="M1358" s="1130"/>
      <c r="N1358" s="1130"/>
      <c r="O1358" s="1130"/>
      <c r="P1358" s="1130"/>
      <c r="AB1358" s="1044"/>
    </row>
    <row r="1359" spans="1:28">
      <c r="A1359" s="1083"/>
      <c r="I1359" s="1130"/>
      <c r="J1359" s="1130"/>
      <c r="K1359" s="1130"/>
      <c r="L1359" s="1130"/>
      <c r="M1359" s="1130"/>
      <c r="N1359" s="1130"/>
      <c r="O1359" s="1130"/>
      <c r="P1359" s="1130"/>
      <c r="AB1359" s="1044"/>
    </row>
    <row r="1360" spans="1:28">
      <c r="A1360" s="1083"/>
      <c r="I1360" s="1130"/>
      <c r="J1360" s="1130"/>
      <c r="K1360" s="1130"/>
      <c r="L1360" s="1130"/>
      <c r="M1360" s="1130"/>
      <c r="N1360" s="1130"/>
      <c r="O1360" s="1130"/>
      <c r="P1360" s="1130"/>
      <c r="AB1360" s="1044"/>
    </row>
    <row r="1361" spans="1:28">
      <c r="A1361" s="1083"/>
      <c r="I1361" s="1130"/>
      <c r="J1361" s="1130"/>
      <c r="K1361" s="1130"/>
      <c r="L1361" s="1130"/>
      <c r="M1361" s="1130"/>
      <c r="N1361" s="1130"/>
      <c r="O1361" s="1130"/>
      <c r="P1361" s="1130"/>
      <c r="AB1361" s="1044"/>
    </row>
    <row r="1362" spans="1:28">
      <c r="A1362" s="1083"/>
      <c r="I1362" s="1130"/>
      <c r="J1362" s="1130"/>
      <c r="K1362" s="1130"/>
      <c r="L1362" s="1130"/>
      <c r="M1362" s="1130"/>
      <c r="N1362" s="1130"/>
      <c r="O1362" s="1130"/>
      <c r="P1362" s="1130"/>
      <c r="AB1362" s="1044"/>
    </row>
    <row r="1363" spans="1:28">
      <c r="A1363" s="1083"/>
      <c r="I1363" s="1130"/>
      <c r="J1363" s="1130"/>
      <c r="K1363" s="1130"/>
      <c r="L1363" s="1130"/>
      <c r="M1363" s="1130"/>
      <c r="N1363" s="1130"/>
      <c r="O1363" s="1130"/>
      <c r="P1363" s="1130"/>
      <c r="AB1363" s="1044"/>
    </row>
    <row r="1364" spans="1:28">
      <c r="A1364" s="1083"/>
      <c r="I1364" s="1130"/>
      <c r="J1364" s="1130"/>
      <c r="K1364" s="1130"/>
      <c r="L1364" s="1130"/>
      <c r="M1364" s="1130"/>
      <c r="N1364" s="1130"/>
      <c r="O1364" s="1130"/>
      <c r="P1364" s="1130"/>
      <c r="AB1364" s="1044"/>
    </row>
    <row r="1365" spans="1:28">
      <c r="A1365" s="1083"/>
      <c r="I1365" s="1130"/>
      <c r="J1365" s="1130"/>
      <c r="K1365" s="1130"/>
      <c r="L1365" s="1130"/>
      <c r="M1365" s="1130"/>
      <c r="N1365" s="1130"/>
      <c r="O1365" s="1130"/>
      <c r="P1365" s="1130"/>
      <c r="AB1365" s="1044"/>
    </row>
    <row r="1366" spans="1:28">
      <c r="A1366" s="1083"/>
      <c r="I1366" s="1130"/>
      <c r="J1366" s="1130"/>
      <c r="K1366" s="1130"/>
      <c r="L1366" s="1130"/>
      <c r="M1366" s="1130"/>
      <c r="N1366" s="1130"/>
      <c r="O1366" s="1130"/>
      <c r="P1366" s="1130"/>
      <c r="AB1366" s="1044"/>
    </row>
    <row r="1367" spans="1:28">
      <c r="A1367" s="1083"/>
      <c r="I1367" s="1130"/>
      <c r="J1367" s="1130"/>
      <c r="K1367" s="1130"/>
      <c r="L1367" s="1130"/>
      <c r="M1367" s="1130"/>
      <c r="N1367" s="1130"/>
      <c r="O1367" s="1130"/>
      <c r="P1367" s="1130"/>
      <c r="AB1367" s="1044"/>
    </row>
    <row r="1368" spans="1:28">
      <c r="A1368" s="1083"/>
      <c r="I1368" s="1130"/>
      <c r="J1368" s="1130"/>
      <c r="K1368" s="1130"/>
      <c r="L1368" s="1130"/>
      <c r="M1368" s="1130"/>
      <c r="N1368" s="1130"/>
      <c r="O1368" s="1130"/>
      <c r="P1368" s="1130"/>
      <c r="AB1368" s="1044"/>
    </row>
    <row r="1369" spans="1:28">
      <c r="A1369" s="1083"/>
      <c r="I1369" s="1130"/>
      <c r="J1369" s="1130"/>
      <c r="K1369" s="1130"/>
      <c r="L1369" s="1130"/>
      <c r="M1369" s="1130"/>
      <c r="N1369" s="1130"/>
      <c r="O1369" s="1130"/>
      <c r="P1369" s="1130"/>
      <c r="AB1369" s="1044"/>
    </row>
    <row r="1370" spans="1:28">
      <c r="A1370" s="1083"/>
      <c r="I1370" s="1130"/>
      <c r="J1370" s="1130"/>
      <c r="K1370" s="1130"/>
      <c r="L1370" s="1130"/>
      <c r="M1370" s="1130"/>
      <c r="N1370" s="1130"/>
      <c r="O1370" s="1130"/>
      <c r="P1370" s="1130"/>
      <c r="AB1370" s="1044"/>
    </row>
    <row r="1371" spans="1:28">
      <c r="A1371" s="1083"/>
      <c r="I1371" s="1130"/>
      <c r="J1371" s="1130"/>
      <c r="K1371" s="1130"/>
      <c r="L1371" s="1130"/>
      <c r="M1371" s="1130"/>
      <c r="N1371" s="1130"/>
      <c r="O1371" s="1130"/>
      <c r="P1371" s="1130"/>
      <c r="AB1371" s="1044"/>
    </row>
    <row r="1372" spans="1:28">
      <c r="A1372" s="1083"/>
      <c r="I1372" s="1130"/>
      <c r="J1372" s="1130"/>
      <c r="K1372" s="1130"/>
      <c r="L1372" s="1130"/>
      <c r="M1372" s="1130"/>
      <c r="N1372" s="1130"/>
      <c r="O1372" s="1130"/>
      <c r="P1372" s="1130"/>
      <c r="AB1372" s="1044"/>
    </row>
    <row r="1373" spans="1:28">
      <c r="A1373" s="1083"/>
      <c r="I1373" s="1130"/>
      <c r="J1373" s="1130"/>
      <c r="K1373" s="1130"/>
      <c r="L1373" s="1130"/>
      <c r="M1373" s="1130"/>
      <c r="N1373" s="1130"/>
      <c r="O1373" s="1130"/>
      <c r="P1373" s="1130"/>
      <c r="AB1373" s="1044"/>
    </row>
    <row r="1374" spans="1:28">
      <c r="A1374" s="1083"/>
      <c r="I1374" s="1130"/>
      <c r="J1374" s="1130"/>
      <c r="K1374" s="1130"/>
      <c r="L1374" s="1130"/>
      <c r="M1374" s="1130"/>
      <c r="N1374" s="1130"/>
      <c r="O1374" s="1130"/>
      <c r="P1374" s="1130"/>
      <c r="AB1374" s="1044"/>
    </row>
    <row r="1375" spans="1:28">
      <c r="A1375" s="1083"/>
      <c r="I1375" s="1130"/>
      <c r="J1375" s="1130"/>
      <c r="K1375" s="1130"/>
      <c r="L1375" s="1130"/>
      <c r="M1375" s="1130"/>
      <c r="N1375" s="1130"/>
      <c r="O1375" s="1130"/>
      <c r="P1375" s="1130"/>
      <c r="AB1375" s="1044"/>
    </row>
    <row r="1376" spans="1:28">
      <c r="A1376" s="1083"/>
      <c r="I1376" s="1130"/>
      <c r="J1376" s="1130"/>
      <c r="K1376" s="1130"/>
      <c r="L1376" s="1130"/>
      <c r="M1376" s="1130"/>
      <c r="N1376" s="1130"/>
      <c r="O1376" s="1130"/>
      <c r="P1376" s="1130"/>
      <c r="AB1376" s="1044"/>
    </row>
    <row r="1377" spans="1:28">
      <c r="A1377" s="1083"/>
      <c r="I1377" s="1130"/>
      <c r="J1377" s="1130"/>
      <c r="K1377" s="1130"/>
      <c r="L1377" s="1130"/>
      <c r="M1377" s="1130"/>
      <c r="N1377" s="1130"/>
      <c r="O1377" s="1130"/>
      <c r="P1377" s="1130"/>
      <c r="AB1377" s="1044"/>
    </row>
    <row r="1378" spans="1:28">
      <c r="A1378" s="1083"/>
      <c r="I1378" s="1130"/>
      <c r="J1378" s="1130"/>
      <c r="K1378" s="1130"/>
      <c r="L1378" s="1130"/>
      <c r="M1378" s="1130"/>
      <c r="N1378" s="1130"/>
      <c r="O1378" s="1130"/>
      <c r="P1378" s="1130"/>
      <c r="AB1378" s="1044"/>
    </row>
    <row r="1379" spans="1:28">
      <c r="A1379" s="1083"/>
      <c r="I1379" s="1130"/>
      <c r="J1379" s="1130"/>
      <c r="K1379" s="1130"/>
      <c r="L1379" s="1130"/>
      <c r="M1379" s="1130"/>
      <c r="N1379" s="1130"/>
      <c r="O1379" s="1130"/>
      <c r="P1379" s="1130"/>
      <c r="AB1379" s="1044"/>
    </row>
    <row r="1380" spans="1:28">
      <c r="A1380" s="1083"/>
      <c r="I1380" s="1130"/>
      <c r="J1380" s="1130"/>
      <c r="K1380" s="1130"/>
      <c r="L1380" s="1130"/>
      <c r="M1380" s="1130"/>
      <c r="N1380" s="1130"/>
      <c r="O1380" s="1130"/>
      <c r="P1380" s="1130"/>
      <c r="AB1380" s="1044"/>
    </row>
    <row r="1381" spans="1:28">
      <c r="A1381" s="1083"/>
      <c r="I1381" s="1130"/>
      <c r="J1381" s="1130"/>
      <c r="K1381" s="1130"/>
      <c r="L1381" s="1130"/>
      <c r="M1381" s="1130"/>
      <c r="N1381" s="1130"/>
      <c r="O1381" s="1130"/>
      <c r="P1381" s="1130"/>
      <c r="AB1381" s="1044"/>
    </row>
    <row r="1382" spans="1:28">
      <c r="A1382" s="1083"/>
      <c r="I1382" s="1130"/>
      <c r="J1382" s="1130"/>
      <c r="K1382" s="1130"/>
      <c r="L1382" s="1130"/>
      <c r="M1382" s="1130"/>
      <c r="N1382" s="1130"/>
      <c r="O1382" s="1130"/>
      <c r="P1382" s="1130"/>
      <c r="AB1382" s="1044"/>
    </row>
    <row r="1383" spans="1:28">
      <c r="A1383" s="1083"/>
      <c r="I1383" s="1130"/>
      <c r="J1383" s="1130"/>
      <c r="K1383" s="1130"/>
      <c r="L1383" s="1130"/>
      <c r="M1383" s="1130"/>
      <c r="N1383" s="1130"/>
      <c r="O1383" s="1130"/>
      <c r="P1383" s="1130"/>
      <c r="AB1383" s="1044"/>
    </row>
    <row r="1384" spans="1:28">
      <c r="A1384" s="1083"/>
      <c r="I1384" s="1130"/>
      <c r="J1384" s="1130"/>
      <c r="K1384" s="1130"/>
      <c r="L1384" s="1130"/>
      <c r="M1384" s="1130"/>
      <c r="N1384" s="1130"/>
      <c r="O1384" s="1130"/>
      <c r="P1384" s="1130"/>
      <c r="AB1384" s="1044"/>
    </row>
    <row r="1385" spans="1:28">
      <c r="A1385" s="1083"/>
      <c r="I1385" s="1130"/>
      <c r="J1385" s="1130"/>
      <c r="K1385" s="1130"/>
      <c r="L1385" s="1130"/>
      <c r="M1385" s="1130"/>
      <c r="N1385" s="1130"/>
      <c r="O1385" s="1130"/>
      <c r="P1385" s="1130"/>
      <c r="AB1385" s="1044"/>
    </row>
    <row r="1386" spans="1:28">
      <c r="A1386" s="1083"/>
      <c r="I1386" s="1130"/>
      <c r="J1386" s="1130"/>
      <c r="K1386" s="1130"/>
      <c r="L1386" s="1130"/>
      <c r="M1386" s="1130"/>
      <c r="N1386" s="1130"/>
      <c r="O1386" s="1130"/>
      <c r="P1386" s="1130"/>
      <c r="AB1386" s="1044"/>
    </row>
    <row r="1387" spans="1:28">
      <c r="A1387" s="1083"/>
      <c r="I1387" s="1130"/>
      <c r="J1387" s="1130"/>
      <c r="K1387" s="1130"/>
      <c r="L1387" s="1130"/>
      <c r="M1387" s="1130"/>
      <c r="N1387" s="1130"/>
      <c r="O1387" s="1130"/>
      <c r="P1387" s="1130"/>
      <c r="AB1387" s="1044"/>
    </row>
    <row r="1388" spans="1:28">
      <c r="A1388" s="1083"/>
      <c r="I1388" s="1130"/>
      <c r="J1388" s="1130"/>
      <c r="K1388" s="1130"/>
      <c r="L1388" s="1130"/>
      <c r="M1388" s="1130"/>
      <c r="N1388" s="1130"/>
      <c r="O1388" s="1130"/>
      <c r="P1388" s="1130"/>
      <c r="AB1388" s="1044"/>
    </row>
    <row r="1389" spans="1:28">
      <c r="A1389" s="1083"/>
      <c r="I1389" s="1130"/>
      <c r="J1389" s="1130"/>
      <c r="K1389" s="1130"/>
      <c r="L1389" s="1130"/>
      <c r="M1389" s="1130"/>
      <c r="N1389" s="1130"/>
      <c r="O1389" s="1130"/>
      <c r="P1389" s="1130"/>
      <c r="AB1389" s="1044"/>
    </row>
    <row r="1390" spans="1:28">
      <c r="A1390" s="1083"/>
      <c r="I1390" s="1130"/>
      <c r="J1390" s="1130"/>
      <c r="K1390" s="1130"/>
      <c r="L1390" s="1130"/>
      <c r="M1390" s="1130"/>
      <c r="N1390" s="1130"/>
      <c r="O1390" s="1130"/>
      <c r="P1390" s="1130"/>
      <c r="AB1390" s="1044"/>
    </row>
    <row r="1391" spans="1:28">
      <c r="A1391" s="1083"/>
      <c r="I1391" s="1130"/>
      <c r="J1391" s="1130"/>
      <c r="K1391" s="1130"/>
      <c r="L1391" s="1130"/>
      <c r="M1391" s="1130"/>
      <c r="N1391" s="1130"/>
      <c r="O1391" s="1130"/>
      <c r="P1391" s="1130"/>
      <c r="AB1391" s="1044"/>
    </row>
    <row r="1392" spans="1:28">
      <c r="A1392" s="1083"/>
      <c r="I1392" s="1130"/>
      <c r="J1392" s="1130"/>
      <c r="K1392" s="1130"/>
      <c r="L1392" s="1130"/>
      <c r="M1392" s="1130"/>
      <c r="N1392" s="1130"/>
      <c r="O1392" s="1130"/>
      <c r="P1392" s="1130"/>
      <c r="AB1392" s="1044"/>
    </row>
    <row r="1393" spans="1:33">
      <c r="A1393" s="1045" t="s">
        <v>116</v>
      </c>
      <c r="B1393" s="1046"/>
      <c r="C1393" s="1046"/>
      <c r="D1393" s="1046"/>
      <c r="E1393" s="1046"/>
      <c r="F1393" s="1046"/>
      <c r="G1393" s="1046"/>
      <c r="H1393" s="1046"/>
      <c r="I1393" s="1046"/>
      <c r="J1393" s="1046"/>
      <c r="K1393" s="1046"/>
      <c r="L1393" s="1046"/>
      <c r="M1393" s="1046"/>
      <c r="N1393" s="1046"/>
      <c r="O1393" s="1046"/>
      <c r="P1393" s="1046"/>
      <c r="Q1393" s="1046"/>
      <c r="R1393" s="1046"/>
      <c r="S1393" s="1046"/>
      <c r="T1393" s="1046"/>
      <c r="U1393" s="1046"/>
      <c r="V1393" s="1046"/>
      <c r="W1393" s="1046"/>
      <c r="X1393" s="1046"/>
      <c r="Y1393" s="1046"/>
      <c r="Z1393" s="1046"/>
      <c r="AA1393" s="1046"/>
      <c r="AB1393" s="1047"/>
    </row>
    <row r="1394" ht="14.4" customHeight="1" spans="1:33">
      <c r="A1394" s="1048" t="s">
        <v>269</v>
      </c>
      <c r="B1394" s="1049"/>
      <c r="C1394" s="1049"/>
      <c r="D1394" s="1050"/>
      <c r="E1394" s="1051" t="s">
        <v>270</v>
      </c>
      <c r="F1394" s="1049"/>
      <c r="G1394" s="1049"/>
      <c r="H1394" s="1050"/>
      <c r="I1394" s="1104" t="s">
        <v>271</v>
      </c>
      <c r="J1394" s="1102"/>
      <c r="K1394" s="1102"/>
      <c r="L1394" s="1103"/>
      <c r="M1394" s="1104" t="s">
        <v>272</v>
      </c>
      <c r="N1394" s="1102"/>
      <c r="O1394" s="1102"/>
      <c r="P1394" s="1103"/>
      <c r="Q1394" s="1104" t="s">
        <v>273</v>
      </c>
      <c r="R1394" s="1102"/>
      <c r="S1394" s="1102"/>
      <c r="T1394" s="1103"/>
      <c r="U1394" s="1104" t="s">
        <v>274</v>
      </c>
      <c r="V1394" s="1102"/>
      <c r="W1394" s="1102"/>
      <c r="X1394" s="1103"/>
      <c r="Y1394" s="1104" t="s">
        <v>274</v>
      </c>
      <c r="Z1394" s="1102"/>
      <c r="AA1394" s="1102"/>
      <c r="AB1394" s="1106"/>
    </row>
    <row r="1395" spans="1:33">
      <c r="A1395" s="1058"/>
      <c r="B1395" s="1059"/>
      <c r="C1395" s="1059"/>
      <c r="D1395" s="1060"/>
      <c r="E1395" s="1061"/>
      <c r="F1395" s="1059"/>
      <c r="G1395" s="1059"/>
      <c r="H1395" s="1060"/>
      <c r="I1395" s="1061" t="s">
        <v>275</v>
      </c>
      <c r="J1395" s="1059"/>
      <c r="K1395" s="1059"/>
      <c r="L1395" s="1060"/>
      <c r="M1395" s="1061" t="s">
        <v>276</v>
      </c>
      <c r="N1395" s="1059"/>
      <c r="O1395" s="1059"/>
      <c r="P1395" s="1060"/>
      <c r="Q1395" s="1061" t="s">
        <v>277</v>
      </c>
      <c r="R1395" s="1059"/>
      <c r="S1395" s="1059"/>
      <c r="T1395" s="1060"/>
      <c r="U1395" s="1061" t="s">
        <v>277</v>
      </c>
      <c r="V1395" s="1059"/>
      <c r="W1395" s="1059"/>
      <c r="X1395" s="1060"/>
      <c r="Y1395" s="1061" t="s">
        <v>278</v>
      </c>
      <c r="Z1395" s="1059"/>
      <c r="AA1395" s="1059"/>
      <c r="AB1395" s="1108"/>
    </row>
    <row r="1396" spans="1:33">
      <c r="A1396" s="1122" t="s">
        <v>279</v>
      </c>
      <c r="B1396" s="1073"/>
      <c r="C1396" s="1073"/>
      <c r="D1396" s="1073"/>
      <c r="E1396" s="1069">
        <v>1</v>
      </c>
      <c r="F1396" s="1069"/>
      <c r="G1396" s="1069"/>
      <c r="H1396" s="1069"/>
      <c r="I1396" s="1160">
        <v>8</v>
      </c>
      <c r="J1396" s="1160"/>
      <c r="K1396" s="1160"/>
      <c r="L1396" s="1160"/>
      <c r="M1396" s="1160">
        <v>82</v>
      </c>
      <c r="N1396" s="1160"/>
      <c r="O1396" s="1160"/>
      <c r="P1396" s="1160"/>
      <c r="Q1396" s="1160">
        <v>410</v>
      </c>
      <c r="R1396" s="1160"/>
      <c r="S1396" s="1160"/>
      <c r="T1396" s="1160"/>
      <c r="U1396" s="1161">
        <f t="shared" ref="U1396:U1397" si="5">M1396*Q1396</f>
        <v>33620</v>
      </c>
      <c r="V1396" s="1161"/>
      <c r="W1396" s="1161"/>
      <c r="X1396" s="1161"/>
      <c r="Y1396" s="1162">
        <f>U1396/100</f>
        <v>336.2</v>
      </c>
      <c r="Z1396" s="1162"/>
      <c r="AA1396" s="1162"/>
      <c r="AB1396" s="1163"/>
      <c r="AE1396" s="1164"/>
    </row>
    <row r="1397" ht="15.75" spans="1:33">
      <c r="A1397" s="1133" t="s">
        <v>279</v>
      </c>
      <c r="B1397" s="1134"/>
      <c r="C1397" s="1134"/>
      <c r="D1397" s="1134"/>
      <c r="E1397" s="1137">
        <v>2</v>
      </c>
      <c r="F1397" s="1137"/>
      <c r="G1397" s="1137"/>
      <c r="H1397" s="1137"/>
      <c r="I1397" s="1138">
        <v>8</v>
      </c>
      <c r="J1397" s="1138"/>
      <c r="K1397" s="1138"/>
      <c r="L1397" s="1138"/>
      <c r="M1397" s="1138">
        <v>54</v>
      </c>
      <c r="N1397" s="1138"/>
      <c r="O1397" s="1138"/>
      <c r="P1397" s="1138"/>
      <c r="Q1397" s="1138">
        <v>610</v>
      </c>
      <c r="R1397" s="1138"/>
      <c r="S1397" s="1138"/>
      <c r="T1397" s="1138"/>
      <c r="U1397" s="1142">
        <f t="shared" si="5"/>
        <v>32940</v>
      </c>
      <c r="V1397" s="1142"/>
      <c r="W1397" s="1142"/>
      <c r="X1397" s="1142"/>
      <c r="Y1397" s="1169">
        <f t="shared" ref="Y1397" si="6">U1397/100</f>
        <v>329.4</v>
      </c>
      <c r="Z1397" s="1169"/>
      <c r="AA1397" s="1169"/>
      <c r="AB1397" s="1170"/>
      <c r="AE1397" s="1164"/>
    </row>
    <row r="1398" ht="15.75" spans="1:33">
      <c r="A1398" s="1083"/>
      <c r="AB1398" s="1044"/>
    </row>
    <row r="1399" spans="1:33">
      <c r="A1399" s="1083"/>
      <c r="K1399" s="1084" t="s">
        <v>429</v>
      </c>
      <c r="L1399" s="1085"/>
      <c r="M1399" s="1085"/>
      <c r="N1399" s="1085"/>
      <c r="O1399" s="1085"/>
      <c r="P1399" s="1085"/>
      <c r="Q1399" s="1085"/>
      <c r="R1399" s="1086"/>
      <c r="AB1399" s="1044"/>
    </row>
    <row r="1400" spans="1:33">
      <c r="A1400" s="1083"/>
      <c r="K1400" s="1087" t="s">
        <v>281</v>
      </c>
      <c r="L1400" s="1088"/>
      <c r="M1400" s="1088"/>
      <c r="N1400" s="1088"/>
      <c r="O1400" s="1088"/>
      <c r="P1400" s="1088"/>
      <c r="Q1400" s="1088"/>
      <c r="R1400" s="1089"/>
      <c r="AB1400" s="1044"/>
    </row>
    <row r="1401" spans="1:33">
      <c r="A1401" s="1083"/>
      <c r="K1401" s="1090"/>
      <c r="L1401" s="1091"/>
      <c r="M1401" s="1091"/>
      <c r="N1401" s="1091"/>
      <c r="O1401" s="1091"/>
      <c r="P1401" s="1091"/>
      <c r="Q1401" s="1091"/>
      <c r="R1401" s="1092"/>
      <c r="AB1401" s="1044"/>
    </row>
    <row r="1402" ht="15.75" spans="1:33">
      <c r="A1402" s="1083"/>
      <c r="K1402" s="1171">
        <f>ROUNDUP(ROUNDUP(((Y1396+Y1397)*((PI()*((I1396^2)/4))*7843.5))/1000000,2)/0.05,0)*0.05</f>
        <v>262.45</v>
      </c>
      <c r="L1402" s="1172"/>
      <c r="M1402" s="1172"/>
      <c r="N1402" s="1172"/>
      <c r="O1402" s="1172"/>
      <c r="P1402" s="1172"/>
      <c r="Q1402" s="1172"/>
      <c r="R1402" s="1173"/>
      <c r="AB1402" s="1044"/>
    </row>
    <row r="1403" ht="15.75" spans="1:33">
      <c r="A1403" s="1096"/>
      <c r="B1403" s="389"/>
      <c r="C1403" s="389"/>
      <c r="D1403" s="389"/>
      <c r="E1403" s="389"/>
      <c r="F1403" s="389"/>
      <c r="G1403" s="389"/>
      <c r="H1403" s="389"/>
      <c r="I1403" s="1097"/>
      <c r="J1403" s="1097"/>
      <c r="K1403" s="1097"/>
      <c r="L1403" s="1097"/>
      <c r="M1403" s="1097"/>
      <c r="N1403" s="1097"/>
      <c r="O1403" s="1097"/>
      <c r="P1403" s="1097"/>
      <c r="Q1403" s="389"/>
      <c r="R1403" s="389"/>
      <c r="S1403" s="389"/>
      <c r="T1403" s="389"/>
      <c r="U1403" s="389"/>
      <c r="V1403" s="389"/>
      <c r="W1403" s="389"/>
      <c r="X1403" s="389"/>
      <c r="Y1403" s="389"/>
      <c r="Z1403" s="389"/>
      <c r="AA1403" s="389"/>
      <c r="AB1403" s="1098"/>
    </row>
    <row r="1404" s="437" customFormat="1" spans="1:33">
      <c r="A1404" s="1040" t="s">
        <v>430</v>
      </c>
      <c r="B1404" s="1114"/>
      <c r="C1404" s="1114"/>
      <c r="D1404" s="1114"/>
      <c r="E1404" s="1114"/>
      <c r="F1404" s="1114"/>
      <c r="G1404" s="1114"/>
      <c r="H1404" s="1114"/>
      <c r="I1404" s="1114"/>
      <c r="J1404" s="1114"/>
      <c r="K1404" s="1114"/>
      <c r="L1404" s="1114"/>
      <c r="M1404" s="1114"/>
      <c r="N1404" s="1114"/>
      <c r="O1404" s="1114"/>
      <c r="P1404" s="1114"/>
      <c r="Q1404" s="1114"/>
      <c r="R1404" s="1114"/>
      <c r="S1404" s="1114"/>
      <c r="T1404" s="1114"/>
      <c r="U1404" s="1114"/>
      <c r="V1404" s="1114"/>
      <c r="W1404" s="1114"/>
      <c r="X1404" s="1114"/>
      <c r="Y1404" s="1114"/>
      <c r="Z1404" s="1114"/>
      <c r="AA1404" s="1114"/>
      <c r="AB1404" s="1115"/>
    </row>
    <row r="1405" spans="1:33">
      <c r="A1405" s="1083"/>
      <c r="AB1405" s="1044"/>
      <c r="AG1405" s="1175"/>
    </row>
    <row r="1406" spans="1:33">
      <c r="A1406" s="1083"/>
      <c r="AB1406" s="1044"/>
      <c r="AG1406" s="1175"/>
    </row>
    <row r="1407" spans="1:33">
      <c r="A1407" s="1083"/>
      <c r="AB1407" s="1044"/>
      <c r="AG1407" s="1175"/>
    </row>
    <row r="1408" spans="1:33">
      <c r="A1408" s="1083"/>
      <c r="AB1408" s="1044"/>
      <c r="AG1408" s="1175"/>
    </row>
    <row r="1409" spans="1:33">
      <c r="A1409" s="1083"/>
      <c r="AB1409" s="1044"/>
      <c r="AG1409" s="1175"/>
    </row>
    <row r="1410" spans="1:33">
      <c r="A1410" s="1083"/>
      <c r="AB1410" s="1044"/>
      <c r="AG1410" s="1175"/>
    </row>
    <row r="1411" spans="1:33">
      <c r="A1411" s="1083"/>
      <c r="AB1411" s="1044"/>
      <c r="AG1411" s="1175"/>
    </row>
    <row r="1412" spans="1:33">
      <c r="A1412" s="1083"/>
      <c r="AB1412" s="1044"/>
      <c r="AG1412" s="1175"/>
    </row>
    <row r="1413" spans="1:33">
      <c r="A1413" s="1083"/>
      <c r="AB1413" s="1044"/>
      <c r="AG1413" s="1175"/>
    </row>
    <row r="1414" spans="1:33">
      <c r="A1414" s="1083"/>
      <c r="AB1414" s="1044"/>
      <c r="AG1414" s="1175"/>
    </row>
    <row r="1415" spans="1:33">
      <c r="A1415" s="1083"/>
      <c r="AB1415" s="1044"/>
      <c r="AG1415" s="1175"/>
    </row>
    <row r="1416" spans="1:33">
      <c r="A1416" s="1083"/>
      <c r="AB1416" s="1044"/>
      <c r="AG1416" s="1175"/>
    </row>
    <row r="1417" spans="1:33">
      <c r="A1417" s="1083"/>
      <c r="AB1417" s="1044"/>
      <c r="AG1417" s="1175"/>
    </row>
    <row r="1418" spans="1:33">
      <c r="A1418" s="1083"/>
      <c r="AB1418" s="1044"/>
      <c r="AG1418" s="1175"/>
    </row>
    <row r="1419" spans="1:33">
      <c r="A1419" s="1083"/>
      <c r="AB1419" s="1044"/>
      <c r="AG1419" s="1175"/>
    </row>
    <row r="1420" spans="1:33">
      <c r="A1420" s="1083"/>
      <c r="AB1420" s="1044"/>
      <c r="AG1420" s="1175"/>
    </row>
    <row r="1421" spans="1:33">
      <c r="A1421" s="1045" t="s">
        <v>431</v>
      </c>
      <c r="B1421" s="1046"/>
      <c r="C1421" s="1046"/>
      <c r="D1421" s="1046"/>
      <c r="E1421" s="1046"/>
      <c r="F1421" s="1046"/>
      <c r="G1421" s="1046"/>
      <c r="H1421" s="1046"/>
      <c r="I1421" s="1046"/>
      <c r="J1421" s="1046"/>
      <c r="K1421" s="1046"/>
      <c r="L1421" s="1046"/>
      <c r="M1421" s="1046"/>
      <c r="N1421" s="1046"/>
      <c r="O1421" s="1046"/>
      <c r="P1421" s="1046"/>
      <c r="Q1421" s="1046"/>
      <c r="R1421" s="1046"/>
      <c r="S1421" s="1046"/>
      <c r="T1421" s="1046"/>
      <c r="U1421" s="1046"/>
      <c r="V1421" s="1046"/>
      <c r="W1421" s="1046"/>
      <c r="X1421" s="1046"/>
      <c r="Y1421" s="1046"/>
      <c r="Z1421" s="1046"/>
      <c r="AA1421" s="1046"/>
      <c r="AB1421" s="1047"/>
      <c r="AG1421" s="1175"/>
    </row>
    <row r="1422" customHeight="1" spans="1:33">
      <c r="A1422" s="1101" t="s">
        <v>205</v>
      </c>
      <c r="B1422" s="1102"/>
      <c r="C1422" s="1102"/>
      <c r="D1422" s="1103"/>
      <c r="E1422" s="1104" t="s">
        <v>206</v>
      </c>
      <c r="F1422" s="1102"/>
      <c r="G1422" s="1102"/>
      <c r="H1422" s="1103"/>
      <c r="I1422" s="1104" t="s">
        <v>235</v>
      </c>
      <c r="J1422" s="1102"/>
      <c r="K1422" s="1102"/>
      <c r="L1422" s="1103"/>
      <c r="M1422" s="1104" t="s">
        <v>236</v>
      </c>
      <c r="N1422" s="1102"/>
      <c r="O1422" s="1102"/>
      <c r="P1422" s="1103"/>
      <c r="Q1422" s="1104" t="s">
        <v>237</v>
      </c>
      <c r="R1422" s="1102"/>
      <c r="S1422" s="1102"/>
      <c r="T1422" s="1103"/>
      <c r="U1422" s="1104" t="s">
        <v>238</v>
      </c>
      <c r="V1422" s="1102"/>
      <c r="W1422" s="1102"/>
      <c r="X1422" s="1103"/>
      <c r="Y1422" s="1180" t="s">
        <v>239</v>
      </c>
      <c r="Z1422" s="1181"/>
      <c r="AA1422" s="1181"/>
      <c r="AB1422" s="1212"/>
      <c r="AG1422" s="1175"/>
    </row>
    <row r="1423" spans="1:33">
      <c r="A1423" s="1058" t="s">
        <v>432</v>
      </c>
      <c r="B1423" s="1059"/>
      <c r="C1423" s="1059"/>
      <c r="D1423" s="1060"/>
      <c r="E1423" s="1061" t="s">
        <v>433</v>
      </c>
      <c r="F1423" s="1059"/>
      <c r="G1423" s="1059"/>
      <c r="H1423" s="1060"/>
      <c r="I1423" s="1061" t="s">
        <v>433</v>
      </c>
      <c r="J1423" s="1059"/>
      <c r="K1423" s="1059"/>
      <c r="L1423" s="1060"/>
      <c r="M1423" s="1061" t="s">
        <v>434</v>
      </c>
      <c r="N1423" s="1059"/>
      <c r="O1423" s="1059"/>
      <c r="P1423" s="1060"/>
      <c r="Q1423" s="1061" t="s">
        <v>435</v>
      </c>
      <c r="R1423" s="1059"/>
      <c r="S1423" s="1059"/>
      <c r="T1423" s="1060"/>
      <c r="U1423" s="1061" t="s">
        <v>434</v>
      </c>
      <c r="V1423" s="1059"/>
      <c r="W1423" s="1059"/>
      <c r="X1423" s="1060"/>
      <c r="Y1423" s="1065"/>
      <c r="Z1423" s="1066"/>
      <c r="AA1423" s="1066"/>
      <c r="AB1423" s="1067"/>
      <c r="AG1423" s="1175"/>
    </row>
    <row r="1424" ht="15.75" spans="1:33">
      <c r="A1424" s="1177">
        <v>10.75</v>
      </c>
      <c r="B1424" s="1178"/>
      <c r="C1424" s="1178"/>
      <c r="D1424" s="1179"/>
      <c r="E1424" s="1073">
        <v>0.25</v>
      </c>
      <c r="F1424" s="1073"/>
      <c r="G1424" s="1073"/>
      <c r="H1424" s="1073"/>
      <c r="I1424" s="1073">
        <v>0.4</v>
      </c>
      <c r="J1424" s="1073"/>
      <c r="K1424" s="1073"/>
      <c r="L1424" s="1073"/>
      <c r="M1424" s="1073">
        <v>1</v>
      </c>
      <c r="N1424" s="1073"/>
      <c r="O1424" s="1073"/>
      <c r="P1424" s="1073"/>
      <c r="Q1424" s="1073">
        <v>6</v>
      </c>
      <c r="R1424" s="1073"/>
      <c r="S1424" s="1073"/>
      <c r="T1424" s="1073"/>
      <c r="U1424" s="1073">
        <v>1</v>
      </c>
      <c r="V1424" s="1073"/>
      <c r="W1424" s="1073"/>
      <c r="X1424" s="1073"/>
      <c r="Y1424" s="1123">
        <f>(((E1424+I1424)*A1424)/2)*(M1424+Q1424+U1424)</f>
        <v>27.95</v>
      </c>
      <c r="Z1424" s="1123"/>
      <c r="AA1424" s="1123"/>
      <c r="AB1424" s="1124"/>
      <c r="AG1424" s="1175"/>
    </row>
    <row r="1425" ht="17.25" spans="1:33">
      <c r="A1425" s="1079" t="s">
        <v>436</v>
      </c>
      <c r="B1425" s="1080"/>
      <c r="C1425" s="1080"/>
      <c r="D1425" s="1080"/>
      <c r="E1425" s="1080"/>
      <c r="F1425" s="1080"/>
      <c r="G1425" s="1080"/>
      <c r="H1425" s="1080"/>
      <c r="I1425" s="1080"/>
      <c r="J1425" s="1080"/>
      <c r="K1425" s="1080"/>
      <c r="L1425" s="1080"/>
      <c r="M1425" s="1080"/>
      <c r="N1425" s="1080"/>
      <c r="O1425" s="1080"/>
      <c r="P1425" s="1080"/>
      <c r="Q1425" s="1080"/>
      <c r="R1425" s="1080"/>
      <c r="S1425" s="1080"/>
      <c r="T1425" s="1080"/>
      <c r="U1425" s="1080"/>
      <c r="V1425" s="1080"/>
      <c r="W1425" s="1080"/>
      <c r="X1425" s="1080"/>
      <c r="Y1425" s="1080"/>
      <c r="Z1425" s="1080"/>
      <c r="AA1425" s="1080"/>
      <c r="AB1425" s="1081"/>
      <c r="AG1425" s="1175"/>
    </row>
    <row r="1426" ht="15.75" spans="1:33">
      <c r="A1426" s="1083"/>
      <c r="AB1426" s="1044"/>
    </row>
    <row r="1427" spans="1:33">
      <c r="A1427" s="1083"/>
      <c r="K1427" s="1084" t="s">
        <v>437</v>
      </c>
      <c r="L1427" s="1085"/>
      <c r="M1427" s="1085"/>
      <c r="N1427" s="1085"/>
      <c r="O1427" s="1085"/>
      <c r="P1427" s="1085"/>
      <c r="Q1427" s="1085"/>
      <c r="R1427" s="1086"/>
      <c r="AB1427" s="1044"/>
    </row>
    <row r="1428" spans="1:33">
      <c r="A1428" s="1083"/>
      <c r="K1428" s="1087" t="s">
        <v>266</v>
      </c>
      <c r="L1428" s="1088"/>
      <c r="M1428" s="1088"/>
      <c r="N1428" s="1088"/>
      <c r="O1428" s="1088"/>
      <c r="P1428" s="1088"/>
      <c r="Q1428" s="1088"/>
      <c r="R1428" s="1089"/>
      <c r="AB1428" s="1044"/>
    </row>
    <row r="1429" spans="1:33">
      <c r="A1429" s="1083"/>
      <c r="K1429" s="1090"/>
      <c r="L1429" s="1091"/>
      <c r="M1429" s="1091"/>
      <c r="N1429" s="1091"/>
      <c r="O1429" s="1091"/>
      <c r="P1429" s="1091"/>
      <c r="Q1429" s="1091"/>
      <c r="R1429" s="1092"/>
      <c r="AB1429" s="1044"/>
    </row>
    <row r="1430" ht="15.75" spans="1:33">
      <c r="A1430" s="1083"/>
      <c r="K1430" s="1093">
        <f>ROUNDUP(Y1424,2)</f>
        <v>27.95</v>
      </c>
      <c r="L1430" s="1094"/>
      <c r="M1430" s="1094"/>
      <c r="N1430" s="1094"/>
      <c r="O1430" s="1094"/>
      <c r="P1430" s="1094"/>
      <c r="Q1430" s="1094"/>
      <c r="R1430" s="1095"/>
      <c r="AB1430" s="1044"/>
    </row>
    <row r="1431" ht="15.75" spans="1:33">
      <c r="A1431" s="1096"/>
      <c r="B1431" s="389"/>
      <c r="C1431" s="389"/>
      <c r="D1431" s="389"/>
      <c r="E1431" s="389"/>
      <c r="F1431" s="389"/>
      <c r="G1431" s="389"/>
      <c r="H1431" s="389"/>
      <c r="I1431" s="1128"/>
      <c r="J1431" s="1128"/>
      <c r="K1431" s="1128"/>
      <c r="L1431" s="1128"/>
      <c r="M1431" s="1128"/>
      <c r="N1431" s="1128"/>
      <c r="O1431" s="1128"/>
      <c r="P1431" s="1128"/>
      <c r="Q1431" s="389"/>
      <c r="R1431" s="389"/>
      <c r="S1431" s="389"/>
      <c r="T1431" s="389"/>
      <c r="U1431" s="389"/>
      <c r="V1431" s="389"/>
      <c r="W1431" s="389"/>
      <c r="X1431" s="389"/>
      <c r="Y1431" s="389"/>
      <c r="Z1431" s="389"/>
      <c r="AA1431" s="389"/>
      <c r="AB1431" s="1098"/>
    </row>
    <row r="1432" spans="1:33">
      <c r="A1432" s="1040" t="s">
        <v>438</v>
      </c>
      <c r="B1432" s="1041"/>
      <c r="C1432" s="1041"/>
      <c r="D1432" s="1041"/>
      <c r="E1432" s="1041"/>
      <c r="F1432" s="1041"/>
      <c r="G1432" s="1041"/>
      <c r="H1432" s="1041"/>
      <c r="I1432" s="1041"/>
      <c r="J1432" s="1041"/>
      <c r="K1432" s="1041"/>
      <c r="L1432" s="1041"/>
      <c r="M1432" s="1041"/>
      <c r="N1432" s="1041"/>
      <c r="O1432" s="1041"/>
      <c r="P1432" s="1041"/>
      <c r="Q1432" s="1041"/>
      <c r="R1432" s="1041"/>
      <c r="S1432" s="1041"/>
      <c r="T1432" s="1041"/>
      <c r="U1432" s="1041"/>
      <c r="V1432" s="1041"/>
      <c r="W1432" s="1041"/>
      <c r="X1432" s="1041"/>
      <c r="Y1432" s="1041"/>
      <c r="Z1432" s="1041"/>
      <c r="AA1432" s="1041"/>
      <c r="AB1432" s="1042"/>
    </row>
    <row r="1433" spans="1:33">
      <c r="A1433" s="1083"/>
      <c r="AB1433" s="1044"/>
    </row>
    <row r="1434" spans="1:33">
      <c r="A1434" s="1083"/>
      <c r="AB1434" s="1044"/>
    </row>
    <row r="1435" spans="1:33">
      <c r="A1435" s="1083"/>
      <c r="AB1435" s="1044"/>
    </row>
    <row r="1436" spans="1:33">
      <c r="A1436" s="1083"/>
      <c r="AB1436" s="1044"/>
    </row>
    <row r="1437" spans="1:33">
      <c r="A1437" s="1083"/>
      <c r="AB1437" s="1044"/>
    </row>
    <row r="1438" spans="1:33">
      <c r="A1438" s="1083"/>
      <c r="AB1438" s="1044"/>
    </row>
    <row r="1439" spans="1:33">
      <c r="A1439" s="1083"/>
      <c r="AB1439" s="1044"/>
    </row>
    <row r="1440" spans="1:33">
      <c r="A1440" s="1083"/>
      <c r="AB1440" s="1044"/>
    </row>
    <row r="1441" spans="1:28">
      <c r="A1441" s="1083"/>
      <c r="AB1441" s="1044"/>
    </row>
    <row r="1442" spans="1:28">
      <c r="A1442" s="1083"/>
      <c r="AB1442" s="1044"/>
    </row>
    <row r="1443" spans="1:28">
      <c r="A1443" s="1083"/>
      <c r="AB1443" s="1044"/>
    </row>
    <row r="1444" spans="1:28">
      <c r="A1444" s="1083"/>
      <c r="AB1444" s="1044"/>
    </row>
    <row r="1445" spans="1:28">
      <c r="A1445" s="1083"/>
      <c r="AB1445" s="1044"/>
    </row>
    <row r="1446" spans="1:28">
      <c r="A1446" s="1083"/>
      <c r="AB1446" s="1044"/>
    </row>
    <row r="1447" spans="1:28">
      <c r="A1447" s="1083"/>
      <c r="AB1447" s="1044"/>
    </row>
    <row r="1448" spans="1:28">
      <c r="A1448" s="1083"/>
      <c r="AB1448" s="1044"/>
    </row>
    <row r="1449" spans="1:28">
      <c r="A1449" s="1083"/>
      <c r="AB1449" s="1044"/>
    </row>
    <row r="1450" spans="1:28">
      <c r="A1450" s="1083"/>
      <c r="AB1450" s="1044"/>
    </row>
    <row r="1451" spans="1:28">
      <c r="A1451" s="1083"/>
      <c r="AB1451" s="1044"/>
    </row>
    <row r="1452" spans="1:28">
      <c r="A1452" s="1083"/>
      <c r="AB1452" s="1044"/>
    </row>
    <row r="1453" spans="1:28">
      <c r="A1453" s="1099" t="s">
        <v>116</v>
      </c>
      <c r="B1453" s="424"/>
      <c r="C1453" s="424"/>
      <c r="D1453" s="424"/>
      <c r="E1453" s="424"/>
      <c r="F1453" s="424"/>
      <c r="G1453" s="424"/>
      <c r="H1453" s="424"/>
      <c r="I1453" s="424"/>
      <c r="J1453" s="424"/>
      <c r="K1453" s="424"/>
      <c r="L1453" s="424"/>
      <c r="M1453" s="424"/>
      <c r="N1453" s="424"/>
      <c r="O1453" s="424"/>
      <c r="P1453" s="424"/>
      <c r="Q1453" s="424"/>
      <c r="R1453" s="424"/>
      <c r="S1453" s="424"/>
      <c r="T1453" s="424"/>
      <c r="U1453" s="424"/>
      <c r="V1453" s="424"/>
      <c r="W1453" s="424"/>
      <c r="X1453" s="424"/>
      <c r="Y1453" s="424"/>
      <c r="Z1453" s="424"/>
      <c r="AA1453" s="424"/>
      <c r="AB1453" s="1100"/>
    </row>
    <row r="1454" ht="14.4" customHeight="1" spans="1:28">
      <c r="A1454" s="1051" t="s">
        <v>205</v>
      </c>
      <c r="B1454" s="1049"/>
      <c r="C1454" s="1049"/>
      <c r="D1454" s="1050"/>
      <c r="E1454" s="1051" t="s">
        <v>206</v>
      </c>
      <c r="F1454" s="1049"/>
      <c r="G1454" s="1049"/>
      <c r="H1454" s="1050"/>
      <c r="I1454" s="1051" t="s">
        <v>235</v>
      </c>
      <c r="J1454" s="1049"/>
      <c r="K1454" s="1049"/>
      <c r="L1454" s="1050"/>
      <c r="M1454" s="1051" t="s">
        <v>236</v>
      </c>
      <c r="N1454" s="1049"/>
      <c r="O1454" s="1049"/>
      <c r="P1454" s="1050"/>
      <c r="Q1454" s="1051" t="s">
        <v>416</v>
      </c>
      <c r="R1454" s="1049"/>
      <c r="S1454" s="1049"/>
      <c r="T1454" s="1050"/>
      <c r="U1454" s="1052"/>
      <c r="V1454" s="1053"/>
      <c r="W1454" s="1053"/>
      <c r="X1454" s="1054"/>
      <c r="Y1454" s="1055" t="s">
        <v>382</v>
      </c>
      <c r="Z1454" s="1056"/>
      <c r="AA1454" s="1056"/>
      <c r="AB1454" s="1057"/>
    </row>
    <row r="1455" ht="14.4" customHeight="1" spans="1:28">
      <c r="A1455" s="1061" t="s">
        <v>315</v>
      </c>
      <c r="B1455" s="1059"/>
      <c r="C1455" s="1059"/>
      <c r="D1455" s="1060"/>
      <c r="E1455" s="1061" t="s">
        <v>209</v>
      </c>
      <c r="F1455" s="1059"/>
      <c r="G1455" s="1059"/>
      <c r="H1455" s="1060"/>
      <c r="I1455" s="1061" t="s">
        <v>417</v>
      </c>
      <c r="J1455" s="1059"/>
      <c r="K1455" s="1059"/>
      <c r="L1455" s="1060"/>
      <c r="M1455" s="1061" t="s">
        <v>418</v>
      </c>
      <c r="N1455" s="1059"/>
      <c r="O1455" s="1059"/>
      <c r="P1455" s="1060"/>
      <c r="Q1455" s="1061"/>
      <c r="R1455" s="1059"/>
      <c r="S1455" s="1059"/>
      <c r="T1455" s="1060"/>
      <c r="U1455" s="1062"/>
      <c r="V1455" s="1063"/>
      <c r="W1455" s="1063"/>
      <c r="X1455" s="1064"/>
      <c r="Y1455" s="1065"/>
      <c r="Z1455" s="1066"/>
      <c r="AA1455" s="1066"/>
      <c r="AB1455" s="1067"/>
    </row>
    <row r="1456" ht="15.75" spans="1:28">
      <c r="A1456" s="1073">
        <v>6</v>
      </c>
      <c r="B1456" s="1073"/>
      <c r="C1456" s="1073"/>
      <c r="D1456" s="1073"/>
      <c r="E1456" s="1073">
        <v>4</v>
      </c>
      <c r="F1456" s="1073"/>
      <c r="G1456" s="1073"/>
      <c r="H1456" s="1073"/>
      <c r="I1456" s="1073">
        <v>0.05</v>
      </c>
      <c r="J1456" s="1073"/>
      <c r="K1456" s="1073"/>
      <c r="L1456" s="1073"/>
      <c r="M1456" s="1073">
        <v>0.2</v>
      </c>
      <c r="N1456" s="1073"/>
      <c r="O1456" s="1073"/>
      <c r="P1456" s="1073"/>
      <c r="Q1456" s="1069">
        <v>1</v>
      </c>
      <c r="R1456" s="1069"/>
      <c r="S1456" s="1069"/>
      <c r="T1456" s="1069"/>
      <c r="U1456" s="1074"/>
      <c r="V1456" s="1075"/>
      <c r="W1456" s="1075"/>
      <c r="X1456" s="1076"/>
      <c r="Y1456" s="1077">
        <f>$A1456*$E1456*$M1456*$Q1456</f>
        <v>4.8</v>
      </c>
      <c r="Z1456" s="1077"/>
      <c r="AA1456" s="1077"/>
      <c r="AB1456" s="1078"/>
    </row>
    <row r="1457" ht="17.25" spans="1:28">
      <c r="A1457" s="1079" t="s">
        <v>439</v>
      </c>
      <c r="B1457" s="1080"/>
      <c r="C1457" s="1080"/>
      <c r="D1457" s="1080"/>
      <c r="E1457" s="1080"/>
      <c r="F1457" s="1080"/>
      <c r="G1457" s="1080"/>
      <c r="H1457" s="1080"/>
      <c r="I1457" s="1080"/>
      <c r="J1457" s="1080"/>
      <c r="K1457" s="1080"/>
      <c r="L1457" s="1080"/>
      <c r="M1457" s="1080"/>
      <c r="N1457" s="1080"/>
      <c r="O1457" s="1080"/>
      <c r="P1457" s="1080"/>
      <c r="Q1457" s="1080"/>
      <c r="R1457" s="1080"/>
      <c r="S1457" s="1080"/>
      <c r="T1457" s="1080"/>
      <c r="U1457" s="1080"/>
      <c r="V1457" s="1080"/>
      <c r="W1457" s="1080"/>
      <c r="X1457" s="1080"/>
      <c r="Y1457" s="1080"/>
      <c r="Z1457" s="1080"/>
      <c r="AA1457" s="1080"/>
      <c r="AB1457" s="1081"/>
    </row>
    <row r="1458" ht="15.75" spans="1:28">
      <c r="A1458" s="1083"/>
      <c r="AB1458" s="1044"/>
    </row>
    <row r="1459" spans="1:28">
      <c r="A1459" s="1083"/>
      <c r="K1459" s="1084" t="s">
        <v>440</v>
      </c>
      <c r="L1459" s="1085"/>
      <c r="M1459" s="1085"/>
      <c r="N1459" s="1085"/>
      <c r="O1459" s="1085"/>
      <c r="P1459" s="1085"/>
      <c r="Q1459" s="1085"/>
      <c r="R1459" s="1086"/>
      <c r="AB1459" s="1044"/>
    </row>
    <row r="1460" spans="1:28">
      <c r="A1460" s="1083"/>
      <c r="K1460" s="1087" t="s">
        <v>384</v>
      </c>
      <c r="L1460" s="1088"/>
      <c r="M1460" s="1088"/>
      <c r="N1460" s="1088"/>
      <c r="O1460" s="1088"/>
      <c r="P1460" s="1088"/>
      <c r="Q1460" s="1088"/>
      <c r="R1460" s="1089"/>
      <c r="AB1460" s="1044"/>
    </row>
    <row r="1461" spans="1:28">
      <c r="A1461" s="1083"/>
      <c r="K1461" s="1090"/>
      <c r="L1461" s="1091"/>
      <c r="M1461" s="1091"/>
      <c r="N1461" s="1091"/>
      <c r="O1461" s="1091"/>
      <c r="P1461" s="1091"/>
      <c r="Q1461" s="1091"/>
      <c r="R1461" s="1092"/>
      <c r="AB1461" s="1044"/>
    </row>
    <row r="1462" ht="15.75" spans="1:28">
      <c r="A1462" s="1083"/>
      <c r="K1462" s="1093">
        <f>ROUNDUP(Y1456,2)</f>
        <v>4.8</v>
      </c>
      <c r="L1462" s="1094"/>
      <c r="M1462" s="1094"/>
      <c r="N1462" s="1094"/>
      <c r="O1462" s="1094"/>
      <c r="P1462" s="1094"/>
      <c r="Q1462" s="1094"/>
      <c r="R1462" s="1095"/>
      <c r="AB1462" s="1044"/>
    </row>
    <row r="1463" ht="15.75" spans="1:28">
      <c r="A1463" s="1096"/>
      <c r="B1463" s="389"/>
      <c r="C1463" s="389"/>
      <c r="D1463" s="389"/>
      <c r="E1463" s="389"/>
      <c r="F1463" s="389"/>
      <c r="G1463" s="389"/>
      <c r="H1463" s="389"/>
      <c r="I1463" s="1097"/>
      <c r="J1463" s="1097"/>
      <c r="K1463" s="1097"/>
      <c r="L1463" s="1097"/>
      <c r="M1463" s="1097"/>
      <c r="N1463" s="1097"/>
      <c r="O1463" s="1097"/>
      <c r="P1463" s="1097"/>
      <c r="Q1463" s="389"/>
      <c r="R1463" s="389"/>
      <c r="S1463" s="389"/>
      <c r="T1463" s="389"/>
      <c r="U1463" s="389"/>
      <c r="V1463" s="389"/>
      <c r="W1463" s="389"/>
      <c r="X1463" s="389"/>
      <c r="Y1463" s="389"/>
      <c r="Z1463" s="389"/>
      <c r="AA1463" s="389"/>
      <c r="AB1463" s="1098"/>
    </row>
    <row r="1464" spans="1:28">
      <c r="A1464" s="1040" t="s">
        <v>441</v>
      </c>
      <c r="B1464" s="1041"/>
      <c r="C1464" s="1041"/>
      <c r="D1464" s="1041"/>
      <c r="E1464" s="1041"/>
      <c r="F1464" s="1041"/>
      <c r="G1464" s="1041"/>
      <c r="H1464" s="1041"/>
      <c r="I1464" s="1041"/>
      <c r="J1464" s="1041"/>
      <c r="K1464" s="1041"/>
      <c r="L1464" s="1041"/>
      <c r="M1464" s="1041"/>
      <c r="N1464" s="1041"/>
      <c r="O1464" s="1041"/>
      <c r="P1464" s="1041"/>
      <c r="Q1464" s="1041"/>
      <c r="R1464" s="1041"/>
      <c r="S1464" s="1041"/>
      <c r="T1464" s="1041"/>
      <c r="U1464" s="1041"/>
      <c r="V1464" s="1041"/>
      <c r="W1464" s="1041"/>
      <c r="X1464" s="1041"/>
      <c r="Y1464" s="1041"/>
      <c r="Z1464" s="1041"/>
      <c r="AA1464" s="1041"/>
      <c r="AB1464" s="1042"/>
    </row>
    <row r="1465" spans="1:28">
      <c r="A1465" s="1083"/>
      <c r="AB1465" s="1044"/>
    </row>
    <row r="1466" spans="1:28">
      <c r="A1466" s="1083"/>
      <c r="AB1466" s="1044"/>
    </row>
    <row r="1467" spans="1:28">
      <c r="A1467" s="1083"/>
      <c r="AB1467" s="1044"/>
    </row>
    <row r="1468" spans="1:28">
      <c r="A1468" s="1083"/>
      <c r="AB1468" s="1044"/>
    </row>
    <row r="1469" spans="1:28">
      <c r="A1469" s="1083"/>
      <c r="AB1469" s="1044"/>
    </row>
    <row r="1470" spans="1:28">
      <c r="A1470" s="1083"/>
      <c r="AB1470" s="1044"/>
    </row>
    <row r="1471" spans="1:28">
      <c r="A1471" s="1083"/>
      <c r="AB1471" s="1044"/>
    </row>
    <row r="1472" spans="1:28">
      <c r="A1472" s="1083"/>
      <c r="AB1472" s="1044"/>
    </row>
    <row r="1473" spans="1:28">
      <c r="A1473" s="1083"/>
      <c r="AB1473" s="1044"/>
    </row>
    <row r="1474" spans="1:28">
      <c r="A1474" s="1083"/>
      <c r="AB1474" s="1044"/>
    </row>
    <row r="1475" spans="1:28">
      <c r="A1475" s="1083"/>
      <c r="AB1475" s="1044"/>
    </row>
    <row r="1476" spans="1:28">
      <c r="A1476" s="1083"/>
      <c r="AB1476" s="1044"/>
    </row>
    <row r="1477" spans="1:28">
      <c r="A1477" s="1083"/>
      <c r="AB1477" s="1044"/>
    </row>
    <row r="1478" spans="1:28">
      <c r="A1478" s="1083"/>
      <c r="AB1478" s="1044"/>
    </row>
    <row r="1479" spans="1:28">
      <c r="A1479" s="1083"/>
      <c r="AB1479" s="1044"/>
    </row>
    <row r="1480" spans="1:28">
      <c r="A1480" s="1083"/>
      <c r="AB1480" s="1044"/>
    </row>
    <row r="1481" spans="1:28">
      <c r="A1481" s="1083"/>
      <c r="AB1481" s="1044"/>
    </row>
    <row r="1482" spans="1:28">
      <c r="A1482" s="1083"/>
      <c r="AB1482" s="1044"/>
    </row>
    <row r="1483" spans="1:28">
      <c r="A1483" s="1083"/>
      <c r="AB1483" s="1044"/>
    </row>
    <row r="1484" spans="1:28">
      <c r="A1484" s="1083"/>
      <c r="AB1484" s="1044"/>
    </row>
    <row r="1485" spans="1:28">
      <c r="A1485" s="1099" t="s">
        <v>117</v>
      </c>
      <c r="B1485" s="424"/>
      <c r="C1485" s="424"/>
      <c r="D1485" s="424"/>
      <c r="E1485" s="424"/>
      <c r="F1485" s="424"/>
      <c r="G1485" s="424"/>
      <c r="H1485" s="424"/>
      <c r="I1485" s="424"/>
      <c r="J1485" s="424"/>
      <c r="K1485" s="424"/>
      <c r="L1485" s="424"/>
      <c r="M1485" s="424"/>
      <c r="N1485" s="424"/>
      <c r="O1485" s="424"/>
      <c r="P1485" s="424"/>
      <c r="Q1485" s="424"/>
      <c r="R1485" s="424"/>
      <c r="S1485" s="424"/>
      <c r="T1485" s="424"/>
      <c r="U1485" s="424"/>
      <c r="V1485" s="424"/>
      <c r="W1485" s="424"/>
      <c r="X1485" s="424"/>
      <c r="Y1485" s="424"/>
      <c r="Z1485" s="424"/>
      <c r="AA1485" s="424"/>
      <c r="AB1485" s="1100"/>
    </row>
    <row r="1486" ht="14.4" customHeight="1" spans="1:28">
      <c r="A1486" s="1051" t="s">
        <v>205</v>
      </c>
      <c r="B1486" s="1049"/>
      <c r="C1486" s="1049"/>
      <c r="D1486" s="1050"/>
      <c r="E1486" s="1051" t="s">
        <v>206</v>
      </c>
      <c r="F1486" s="1049"/>
      <c r="G1486" s="1049"/>
      <c r="H1486" s="1050"/>
      <c r="I1486" s="1051" t="s">
        <v>235</v>
      </c>
      <c r="J1486" s="1049"/>
      <c r="K1486" s="1049"/>
      <c r="L1486" s="1050"/>
      <c r="M1486" s="1051" t="s">
        <v>236</v>
      </c>
      <c r="N1486" s="1049"/>
      <c r="O1486" s="1049"/>
      <c r="P1486" s="1050"/>
      <c r="Q1486" s="1051" t="s">
        <v>416</v>
      </c>
      <c r="R1486" s="1049"/>
      <c r="S1486" s="1049"/>
      <c r="T1486" s="1050"/>
      <c r="U1486" s="1052"/>
      <c r="V1486" s="1053"/>
      <c r="W1486" s="1053"/>
      <c r="X1486" s="1054"/>
      <c r="Y1486" s="1104" t="s">
        <v>314</v>
      </c>
      <c r="Z1486" s="1102"/>
      <c r="AA1486" s="1102"/>
      <c r="AB1486" s="1106"/>
    </row>
    <row r="1487" ht="14.4" customHeight="1" spans="1:28">
      <c r="A1487" s="1061" t="s">
        <v>315</v>
      </c>
      <c r="B1487" s="1059"/>
      <c r="C1487" s="1059"/>
      <c r="D1487" s="1060"/>
      <c r="E1487" s="1061" t="s">
        <v>209</v>
      </c>
      <c r="F1487" s="1059"/>
      <c r="G1487" s="1059"/>
      <c r="H1487" s="1060"/>
      <c r="I1487" s="1061" t="s">
        <v>417</v>
      </c>
      <c r="J1487" s="1059"/>
      <c r="K1487" s="1059"/>
      <c r="L1487" s="1060"/>
      <c r="M1487" s="1061" t="s">
        <v>418</v>
      </c>
      <c r="N1487" s="1059"/>
      <c r="O1487" s="1059"/>
      <c r="P1487" s="1060"/>
      <c r="Q1487" s="1061"/>
      <c r="R1487" s="1059"/>
      <c r="S1487" s="1059"/>
      <c r="T1487" s="1060"/>
      <c r="U1487" s="1062"/>
      <c r="V1487" s="1063"/>
      <c r="W1487" s="1063"/>
      <c r="X1487" s="1064"/>
      <c r="Y1487" s="1061"/>
      <c r="Z1487" s="1059"/>
      <c r="AA1487" s="1059"/>
      <c r="AB1487" s="1108"/>
    </row>
    <row r="1488" ht="15.75" spans="1:28">
      <c r="A1488" s="1073">
        <v>6</v>
      </c>
      <c r="B1488" s="1073"/>
      <c r="C1488" s="1073"/>
      <c r="D1488" s="1073"/>
      <c r="E1488" s="1073">
        <v>4</v>
      </c>
      <c r="F1488" s="1073"/>
      <c r="G1488" s="1073"/>
      <c r="H1488" s="1073"/>
      <c r="I1488" s="1073">
        <v>0.05</v>
      </c>
      <c r="J1488" s="1073"/>
      <c r="K1488" s="1073"/>
      <c r="L1488" s="1073"/>
      <c r="M1488" s="1073">
        <v>0.2</v>
      </c>
      <c r="N1488" s="1073"/>
      <c r="O1488" s="1073"/>
      <c r="P1488" s="1073"/>
      <c r="Q1488" s="1069">
        <v>1</v>
      </c>
      <c r="R1488" s="1069"/>
      <c r="S1488" s="1069"/>
      <c r="T1488" s="1069"/>
      <c r="U1488" s="1074"/>
      <c r="V1488" s="1075"/>
      <c r="W1488" s="1075"/>
      <c r="X1488" s="1076"/>
      <c r="Y1488" s="1077">
        <f>$A1488*$E1488*$M1488*$Q1488</f>
        <v>4.8</v>
      </c>
      <c r="Z1488" s="1077"/>
      <c r="AA1488" s="1077"/>
      <c r="AB1488" s="1078"/>
    </row>
    <row r="1489" ht="17.25" spans="1:28">
      <c r="A1489" s="1079" t="s">
        <v>419</v>
      </c>
      <c r="B1489" s="1080"/>
      <c r="C1489" s="1080"/>
      <c r="D1489" s="1080"/>
      <c r="E1489" s="1080"/>
      <c r="F1489" s="1080"/>
      <c r="G1489" s="1080"/>
      <c r="H1489" s="1080"/>
      <c r="I1489" s="1080"/>
      <c r="J1489" s="1080"/>
      <c r="K1489" s="1080"/>
      <c r="L1489" s="1080"/>
      <c r="M1489" s="1080"/>
      <c r="N1489" s="1080"/>
      <c r="O1489" s="1080"/>
      <c r="P1489" s="1080"/>
      <c r="Q1489" s="1080"/>
      <c r="R1489" s="1080"/>
      <c r="S1489" s="1080"/>
      <c r="T1489" s="1080"/>
      <c r="U1489" s="1080"/>
      <c r="V1489" s="1080"/>
      <c r="W1489" s="1080"/>
      <c r="X1489" s="1080"/>
      <c r="Y1489" s="1080"/>
      <c r="Z1489" s="1080"/>
      <c r="AA1489" s="1080"/>
      <c r="AB1489" s="1081"/>
    </row>
    <row r="1490" ht="15.75" spans="1:28">
      <c r="A1490" s="1083"/>
      <c r="AB1490" s="1044"/>
    </row>
    <row r="1491" spans="1:28">
      <c r="A1491" s="1083"/>
      <c r="K1491" s="1084" t="s">
        <v>442</v>
      </c>
      <c r="L1491" s="1085"/>
      <c r="M1491" s="1085"/>
      <c r="N1491" s="1085"/>
      <c r="O1491" s="1085"/>
      <c r="P1491" s="1085"/>
      <c r="Q1491" s="1085"/>
      <c r="R1491" s="1086"/>
      <c r="AB1491" s="1044"/>
    </row>
    <row r="1492" spans="1:28">
      <c r="A1492" s="1083"/>
      <c r="K1492" s="1087" t="s">
        <v>324</v>
      </c>
      <c r="L1492" s="1088"/>
      <c r="M1492" s="1088"/>
      <c r="N1492" s="1088"/>
      <c r="O1492" s="1088"/>
      <c r="P1492" s="1088"/>
      <c r="Q1492" s="1088"/>
      <c r="R1492" s="1089"/>
      <c r="AB1492" s="1044"/>
    </row>
    <row r="1493" spans="1:28">
      <c r="A1493" s="1083"/>
      <c r="K1493" s="1090"/>
      <c r="L1493" s="1091"/>
      <c r="M1493" s="1091"/>
      <c r="N1493" s="1091"/>
      <c r="O1493" s="1091"/>
      <c r="P1493" s="1091"/>
      <c r="Q1493" s="1091"/>
      <c r="R1493" s="1092"/>
      <c r="AB1493" s="1044"/>
    </row>
    <row r="1494" ht="15.75" spans="1:28">
      <c r="A1494" s="1083"/>
      <c r="K1494" s="1093">
        <f>ROUNDUP(Y1488,2)</f>
        <v>4.8</v>
      </c>
      <c r="L1494" s="1094"/>
      <c r="M1494" s="1094"/>
      <c r="N1494" s="1094"/>
      <c r="O1494" s="1094"/>
      <c r="P1494" s="1094"/>
      <c r="Q1494" s="1094"/>
      <c r="R1494" s="1095"/>
      <c r="AB1494" s="1044"/>
    </row>
    <row r="1495" ht="15.75" spans="1:28">
      <c r="A1495" s="1096"/>
      <c r="B1495" s="389"/>
      <c r="C1495" s="389"/>
      <c r="D1495" s="389"/>
      <c r="E1495" s="389"/>
      <c r="F1495" s="389"/>
      <c r="G1495" s="389"/>
      <c r="H1495" s="389"/>
      <c r="I1495" s="1097"/>
      <c r="J1495" s="1097"/>
      <c r="K1495" s="1097"/>
      <c r="L1495" s="1097"/>
      <c r="M1495" s="1097"/>
      <c r="N1495" s="1097"/>
      <c r="O1495" s="1097"/>
      <c r="P1495" s="1097"/>
      <c r="Q1495" s="389"/>
      <c r="R1495" s="389"/>
      <c r="S1495" s="389"/>
      <c r="T1495" s="389"/>
      <c r="U1495" s="389"/>
      <c r="V1495" s="389"/>
      <c r="W1495" s="389"/>
      <c r="X1495" s="389"/>
      <c r="Y1495" s="389"/>
      <c r="Z1495" s="389"/>
      <c r="AA1495" s="389"/>
      <c r="AB1495" s="1098"/>
    </row>
    <row r="1496" spans="1:28">
      <c r="A1496" s="1040" t="s">
        <v>443</v>
      </c>
      <c r="B1496" s="1041"/>
      <c r="C1496" s="1041"/>
      <c r="D1496" s="1041"/>
      <c r="E1496" s="1041"/>
      <c r="F1496" s="1041"/>
      <c r="G1496" s="1041"/>
      <c r="H1496" s="1041"/>
      <c r="I1496" s="1041"/>
      <c r="J1496" s="1041"/>
      <c r="K1496" s="1041"/>
      <c r="L1496" s="1041"/>
      <c r="M1496" s="1041"/>
      <c r="N1496" s="1041"/>
      <c r="O1496" s="1041"/>
      <c r="P1496" s="1041"/>
      <c r="Q1496" s="1041"/>
      <c r="R1496" s="1041"/>
      <c r="S1496" s="1041"/>
      <c r="T1496" s="1041"/>
      <c r="U1496" s="1041"/>
      <c r="V1496" s="1041"/>
      <c r="W1496" s="1041"/>
      <c r="X1496" s="1041"/>
      <c r="Y1496" s="1041"/>
      <c r="Z1496" s="1041"/>
      <c r="AA1496" s="1041"/>
      <c r="AB1496" s="1042"/>
    </row>
    <row r="1497" spans="1:28">
      <c r="A1497" s="1083"/>
      <c r="AB1497" s="1044"/>
    </row>
    <row r="1498" spans="1:28">
      <c r="A1498" s="1083"/>
      <c r="AB1498" s="1044"/>
    </row>
    <row r="1499" spans="1:28">
      <c r="A1499" s="1083"/>
      <c r="AB1499" s="1044"/>
    </row>
    <row r="1500" spans="1:28">
      <c r="A1500" s="1083"/>
      <c r="AB1500" s="1044"/>
    </row>
    <row r="1501" spans="1:28">
      <c r="A1501" s="1083"/>
      <c r="AB1501" s="1044"/>
    </row>
    <row r="1502" spans="1:28">
      <c r="A1502" s="1083"/>
      <c r="AB1502" s="1044"/>
    </row>
    <row r="1503" spans="1:28">
      <c r="A1503" s="1083"/>
      <c r="AB1503" s="1044"/>
    </row>
    <row r="1504" spans="1:28">
      <c r="A1504" s="1083"/>
      <c r="AB1504" s="1044"/>
    </row>
    <row r="1505" spans="1:28">
      <c r="A1505" s="1083"/>
      <c r="AB1505" s="1044"/>
    </row>
    <row r="1506" spans="1:28">
      <c r="A1506" s="1083"/>
      <c r="AB1506" s="1044"/>
    </row>
    <row r="1507" spans="1:28">
      <c r="A1507" s="1083"/>
      <c r="AB1507" s="1044"/>
    </row>
    <row r="1508" spans="1:28">
      <c r="A1508" s="1083"/>
      <c r="AB1508" s="1044"/>
    </row>
    <row r="1509" spans="1:28">
      <c r="A1509" s="1083"/>
      <c r="AB1509" s="1044"/>
    </row>
    <row r="1510" spans="1:28">
      <c r="A1510" s="1083"/>
      <c r="AB1510" s="1044"/>
    </row>
    <row r="1511" spans="1:28">
      <c r="A1511" s="1083"/>
      <c r="AB1511" s="1044"/>
    </row>
    <row r="1512" spans="1:28">
      <c r="A1512" s="1083"/>
      <c r="AB1512" s="1044"/>
    </row>
    <row r="1513" spans="1:28">
      <c r="A1513" s="1083"/>
      <c r="AB1513" s="1044"/>
    </row>
    <row r="1514" spans="1:28">
      <c r="A1514" s="1083"/>
      <c r="AB1514" s="1044"/>
    </row>
    <row r="1515" spans="1:28">
      <c r="A1515" s="1083"/>
      <c r="AB1515" s="1044"/>
    </row>
    <row r="1516" spans="1:28">
      <c r="A1516" s="1083"/>
      <c r="AB1516" s="1044"/>
    </row>
    <row r="1517" spans="1:28">
      <c r="A1517" s="1099" t="s">
        <v>117</v>
      </c>
      <c r="B1517" s="424"/>
      <c r="C1517" s="424"/>
      <c r="D1517" s="424"/>
      <c r="E1517" s="424"/>
      <c r="F1517" s="424"/>
      <c r="G1517" s="424"/>
      <c r="H1517" s="424"/>
      <c r="I1517" s="424"/>
      <c r="J1517" s="424"/>
      <c r="K1517" s="424"/>
      <c r="L1517" s="424"/>
      <c r="M1517" s="424"/>
      <c r="N1517" s="424"/>
      <c r="O1517" s="424"/>
      <c r="P1517" s="424"/>
      <c r="Q1517" s="424"/>
      <c r="R1517" s="424"/>
      <c r="S1517" s="424"/>
      <c r="T1517" s="424"/>
      <c r="U1517" s="424"/>
      <c r="V1517" s="424"/>
      <c r="W1517" s="424"/>
      <c r="X1517" s="424"/>
      <c r="Y1517" s="424"/>
      <c r="Z1517" s="424"/>
      <c r="AA1517" s="424"/>
      <c r="AB1517" s="1100"/>
    </row>
    <row r="1518" ht="14.4" customHeight="1" spans="1:28">
      <c r="A1518" s="1051" t="s">
        <v>205</v>
      </c>
      <c r="B1518" s="1049"/>
      <c r="C1518" s="1049"/>
      <c r="D1518" s="1050"/>
      <c r="E1518" s="1051" t="s">
        <v>206</v>
      </c>
      <c r="F1518" s="1049"/>
      <c r="G1518" s="1049"/>
      <c r="H1518" s="1050"/>
      <c r="I1518" s="1051" t="s">
        <v>235</v>
      </c>
      <c r="J1518" s="1049"/>
      <c r="K1518" s="1049"/>
      <c r="L1518" s="1050"/>
      <c r="M1518" s="1051" t="s">
        <v>236</v>
      </c>
      <c r="N1518" s="1049"/>
      <c r="O1518" s="1049"/>
      <c r="P1518" s="1050"/>
      <c r="Q1518" s="1051" t="s">
        <v>416</v>
      </c>
      <c r="R1518" s="1049"/>
      <c r="S1518" s="1049"/>
      <c r="T1518" s="1050"/>
      <c r="U1518" s="1052"/>
      <c r="V1518" s="1053"/>
      <c r="W1518" s="1053"/>
      <c r="X1518" s="1054"/>
      <c r="Y1518" s="1104" t="s">
        <v>314</v>
      </c>
      <c r="Z1518" s="1102"/>
      <c r="AA1518" s="1102"/>
      <c r="AB1518" s="1106"/>
    </row>
    <row r="1519" ht="14.4" customHeight="1" spans="1:28">
      <c r="A1519" s="1061" t="s">
        <v>315</v>
      </c>
      <c r="B1519" s="1059"/>
      <c r="C1519" s="1059"/>
      <c r="D1519" s="1060"/>
      <c r="E1519" s="1061" t="s">
        <v>209</v>
      </c>
      <c r="F1519" s="1059"/>
      <c r="G1519" s="1059"/>
      <c r="H1519" s="1060"/>
      <c r="I1519" s="1061" t="s">
        <v>417</v>
      </c>
      <c r="J1519" s="1059"/>
      <c r="K1519" s="1059"/>
      <c r="L1519" s="1060"/>
      <c r="M1519" s="1061" t="s">
        <v>418</v>
      </c>
      <c r="N1519" s="1059"/>
      <c r="O1519" s="1059"/>
      <c r="P1519" s="1060"/>
      <c r="Q1519" s="1061"/>
      <c r="R1519" s="1059"/>
      <c r="S1519" s="1059"/>
      <c r="T1519" s="1060"/>
      <c r="U1519" s="1062"/>
      <c r="V1519" s="1063"/>
      <c r="W1519" s="1063"/>
      <c r="X1519" s="1064"/>
      <c r="Y1519" s="1061"/>
      <c r="Z1519" s="1059"/>
      <c r="AA1519" s="1059"/>
      <c r="AB1519" s="1108"/>
    </row>
    <row r="1520" ht="15.75" spans="1:28">
      <c r="A1520" s="1073">
        <v>6</v>
      </c>
      <c r="B1520" s="1073"/>
      <c r="C1520" s="1073"/>
      <c r="D1520" s="1073"/>
      <c r="E1520" s="1073">
        <v>4</v>
      </c>
      <c r="F1520" s="1073"/>
      <c r="G1520" s="1073"/>
      <c r="H1520" s="1073"/>
      <c r="I1520" s="1073">
        <v>0.05</v>
      </c>
      <c r="J1520" s="1073"/>
      <c r="K1520" s="1073"/>
      <c r="L1520" s="1073"/>
      <c r="M1520" s="1073">
        <v>0.2</v>
      </c>
      <c r="N1520" s="1073"/>
      <c r="O1520" s="1073"/>
      <c r="P1520" s="1073"/>
      <c r="Q1520" s="1069">
        <v>1</v>
      </c>
      <c r="R1520" s="1069"/>
      <c r="S1520" s="1069"/>
      <c r="T1520" s="1069"/>
      <c r="U1520" s="1074"/>
      <c r="V1520" s="1075"/>
      <c r="W1520" s="1075"/>
      <c r="X1520" s="1076"/>
      <c r="Y1520" s="1077">
        <f>$A1520*$E1520*$I1520*$Q1520</f>
        <v>1.2</v>
      </c>
      <c r="Z1520" s="1077"/>
      <c r="AA1520" s="1077"/>
      <c r="AB1520" s="1078"/>
    </row>
    <row r="1521" ht="17.25" spans="1:28">
      <c r="A1521" s="1079" t="s">
        <v>422</v>
      </c>
      <c r="B1521" s="1080"/>
      <c r="C1521" s="1080"/>
      <c r="D1521" s="1080"/>
      <c r="E1521" s="1080"/>
      <c r="F1521" s="1080"/>
      <c r="G1521" s="1080"/>
      <c r="H1521" s="1080"/>
      <c r="I1521" s="1080"/>
      <c r="J1521" s="1080"/>
      <c r="K1521" s="1080"/>
      <c r="L1521" s="1080"/>
      <c r="M1521" s="1080"/>
      <c r="N1521" s="1080"/>
      <c r="O1521" s="1080"/>
      <c r="P1521" s="1080"/>
      <c r="Q1521" s="1080"/>
      <c r="R1521" s="1080"/>
      <c r="S1521" s="1080"/>
      <c r="T1521" s="1080"/>
      <c r="U1521" s="1080"/>
      <c r="V1521" s="1080"/>
      <c r="W1521" s="1080"/>
      <c r="X1521" s="1080"/>
      <c r="Y1521" s="1080"/>
      <c r="Z1521" s="1080"/>
      <c r="AA1521" s="1080"/>
      <c r="AB1521" s="1081"/>
    </row>
    <row r="1522" ht="15.75" spans="1:28">
      <c r="A1522" s="1083"/>
      <c r="AB1522" s="1044"/>
    </row>
    <row r="1523" spans="1:28">
      <c r="A1523" s="1083"/>
      <c r="K1523" s="1084" t="s">
        <v>444</v>
      </c>
      <c r="L1523" s="1085"/>
      <c r="M1523" s="1085"/>
      <c r="N1523" s="1085"/>
      <c r="O1523" s="1085"/>
      <c r="P1523" s="1085"/>
      <c r="Q1523" s="1085"/>
      <c r="R1523" s="1086"/>
      <c r="AB1523" s="1044"/>
    </row>
    <row r="1524" spans="1:28">
      <c r="A1524" s="1083"/>
      <c r="K1524" s="1087" t="s">
        <v>331</v>
      </c>
      <c r="L1524" s="1088"/>
      <c r="M1524" s="1088"/>
      <c r="N1524" s="1088"/>
      <c r="O1524" s="1088"/>
      <c r="P1524" s="1088"/>
      <c r="Q1524" s="1088"/>
      <c r="R1524" s="1089"/>
      <c r="AB1524" s="1044"/>
    </row>
    <row r="1525" spans="1:28">
      <c r="A1525" s="1083"/>
      <c r="K1525" s="1090"/>
      <c r="L1525" s="1091"/>
      <c r="M1525" s="1091"/>
      <c r="N1525" s="1091"/>
      <c r="O1525" s="1091"/>
      <c r="P1525" s="1091"/>
      <c r="Q1525" s="1091"/>
      <c r="R1525" s="1092"/>
      <c r="AB1525" s="1044"/>
    </row>
    <row r="1526" ht="15.75" spans="1:28">
      <c r="A1526" s="1083"/>
      <c r="K1526" s="1093">
        <f>ROUNDUP(Y1520,2)</f>
        <v>1.2</v>
      </c>
      <c r="L1526" s="1094"/>
      <c r="M1526" s="1094"/>
      <c r="N1526" s="1094"/>
      <c r="O1526" s="1094"/>
      <c r="P1526" s="1094"/>
      <c r="Q1526" s="1094"/>
      <c r="R1526" s="1095"/>
      <c r="AB1526" s="1044"/>
    </row>
    <row r="1527" ht="15.75" spans="1:28">
      <c r="A1527" s="1096"/>
      <c r="B1527" s="389"/>
      <c r="C1527" s="389"/>
      <c r="D1527" s="389"/>
      <c r="E1527" s="389"/>
      <c r="F1527" s="389"/>
      <c r="G1527" s="389"/>
      <c r="H1527" s="389"/>
      <c r="I1527" s="1097"/>
      <c r="J1527" s="1097"/>
      <c r="K1527" s="1097"/>
      <c r="L1527" s="1097"/>
      <c r="M1527" s="1097"/>
      <c r="N1527" s="1097"/>
      <c r="O1527" s="1097"/>
      <c r="P1527" s="1097"/>
      <c r="Q1527" s="389"/>
      <c r="R1527" s="389"/>
      <c r="S1527" s="389"/>
      <c r="T1527" s="389"/>
      <c r="U1527" s="389"/>
      <c r="V1527" s="389"/>
      <c r="W1527" s="389"/>
      <c r="X1527" s="389"/>
      <c r="Y1527" s="389"/>
      <c r="Z1527" s="389"/>
      <c r="AA1527" s="389"/>
      <c r="AB1527" s="1098"/>
    </row>
    <row r="1528" spans="1:28">
      <c r="A1528" s="1040" t="s">
        <v>445</v>
      </c>
      <c r="B1528" s="1041"/>
      <c r="C1528" s="1041"/>
      <c r="D1528" s="1041"/>
      <c r="E1528" s="1041"/>
      <c r="F1528" s="1041"/>
      <c r="G1528" s="1041"/>
      <c r="H1528" s="1041"/>
      <c r="I1528" s="1041"/>
      <c r="J1528" s="1041"/>
      <c r="K1528" s="1041"/>
      <c r="L1528" s="1041"/>
      <c r="M1528" s="1041"/>
      <c r="N1528" s="1041"/>
      <c r="O1528" s="1041"/>
      <c r="P1528" s="1041"/>
      <c r="Q1528" s="1041"/>
      <c r="R1528" s="1041"/>
      <c r="S1528" s="1041"/>
      <c r="T1528" s="1041"/>
      <c r="U1528" s="1041"/>
      <c r="V1528" s="1041"/>
      <c r="W1528" s="1041"/>
      <c r="X1528" s="1041"/>
      <c r="Y1528" s="1041"/>
      <c r="Z1528" s="1041"/>
      <c r="AA1528" s="1041"/>
      <c r="AB1528" s="1042"/>
    </row>
    <row r="1529" spans="1:28">
      <c r="A1529" s="1083"/>
      <c r="AB1529" s="1044"/>
    </row>
    <row r="1530" spans="1:28">
      <c r="A1530" s="1083"/>
      <c r="AB1530" s="1044"/>
    </row>
    <row r="1531" spans="1:28">
      <c r="A1531" s="1083"/>
      <c r="AB1531" s="1044"/>
    </row>
    <row r="1532" spans="1:28">
      <c r="A1532" s="1083"/>
      <c r="AB1532" s="1044"/>
    </row>
    <row r="1533" spans="1:28">
      <c r="A1533" s="1083"/>
      <c r="AB1533" s="1044"/>
    </row>
    <row r="1534" spans="1:28">
      <c r="A1534" s="1083"/>
      <c r="AB1534" s="1044"/>
    </row>
    <row r="1535" spans="1:28">
      <c r="A1535" s="1083"/>
      <c r="AB1535" s="1044"/>
    </row>
    <row r="1536" spans="1:28">
      <c r="A1536" s="1083"/>
      <c r="AB1536" s="1044"/>
    </row>
    <row r="1537" spans="1:28">
      <c r="A1537" s="1083"/>
      <c r="AB1537" s="1044"/>
    </row>
    <row r="1538" spans="1:28">
      <c r="A1538" s="1083"/>
      <c r="AB1538" s="1044"/>
    </row>
    <row r="1539" spans="1:28">
      <c r="A1539" s="1083"/>
      <c r="AB1539" s="1044"/>
    </row>
    <row r="1540" spans="1:28">
      <c r="A1540" s="1083"/>
      <c r="AB1540" s="1044"/>
    </row>
    <row r="1541" spans="1:28">
      <c r="A1541" s="1083"/>
      <c r="AB1541" s="1044"/>
    </row>
    <row r="1542" spans="1:28">
      <c r="A1542" s="1083"/>
      <c r="AB1542" s="1044"/>
    </row>
    <row r="1543" spans="1:28">
      <c r="A1543" s="1083"/>
      <c r="AB1543" s="1044"/>
    </row>
    <row r="1544" spans="1:28">
      <c r="A1544" s="1083"/>
      <c r="AB1544" s="1044"/>
    </row>
    <row r="1545" spans="1:28">
      <c r="A1545" s="1083"/>
      <c r="AB1545" s="1044"/>
    </row>
    <row r="1546" spans="1:28">
      <c r="A1546" s="1083"/>
      <c r="AB1546" s="1044"/>
    </row>
    <row r="1547" spans="1:28">
      <c r="A1547" s="1083"/>
      <c r="AB1547" s="1044"/>
    </row>
    <row r="1548" spans="1:28">
      <c r="A1548" s="1083"/>
      <c r="AB1548" s="1044"/>
    </row>
    <row r="1549" spans="1:28">
      <c r="A1549" s="1099" t="s">
        <v>117</v>
      </c>
      <c r="B1549" s="424"/>
      <c r="C1549" s="424"/>
      <c r="D1549" s="424"/>
      <c r="E1549" s="424"/>
      <c r="F1549" s="424"/>
      <c r="G1549" s="424"/>
      <c r="H1549" s="424"/>
      <c r="I1549" s="424"/>
      <c r="J1549" s="424"/>
      <c r="K1549" s="424"/>
      <c r="L1549" s="424"/>
      <c r="M1549" s="424"/>
      <c r="N1549" s="424"/>
      <c r="O1549" s="424"/>
      <c r="P1549" s="424"/>
      <c r="Q1549" s="424"/>
      <c r="R1549" s="424"/>
      <c r="S1549" s="424"/>
      <c r="T1549" s="424"/>
      <c r="U1549" s="424"/>
      <c r="V1549" s="424"/>
      <c r="W1549" s="424"/>
      <c r="X1549" s="424"/>
      <c r="Y1549" s="424"/>
      <c r="Z1549" s="424"/>
      <c r="AA1549" s="424"/>
      <c r="AB1549" s="1100"/>
    </row>
    <row r="1550" ht="14.4" customHeight="1" spans="1:28">
      <c r="A1550" s="1051" t="s">
        <v>205</v>
      </c>
      <c r="B1550" s="1049"/>
      <c r="C1550" s="1049"/>
      <c r="D1550" s="1050"/>
      <c r="E1550" s="1051" t="s">
        <v>206</v>
      </c>
      <c r="F1550" s="1049"/>
      <c r="G1550" s="1049"/>
      <c r="H1550" s="1050"/>
      <c r="I1550" s="1051" t="s">
        <v>235</v>
      </c>
      <c r="J1550" s="1049"/>
      <c r="K1550" s="1049"/>
      <c r="L1550" s="1050"/>
      <c r="M1550" s="1051" t="s">
        <v>236</v>
      </c>
      <c r="N1550" s="1049"/>
      <c r="O1550" s="1049"/>
      <c r="P1550" s="1050"/>
      <c r="Q1550" s="1051" t="s">
        <v>416</v>
      </c>
      <c r="R1550" s="1049"/>
      <c r="S1550" s="1049"/>
      <c r="T1550" s="1050"/>
      <c r="U1550" s="1052"/>
      <c r="V1550" s="1053"/>
      <c r="W1550" s="1053"/>
      <c r="X1550" s="1054"/>
      <c r="Y1550" s="1210" t="s">
        <v>333</v>
      </c>
      <c r="Z1550" s="1210"/>
      <c r="AA1550" s="1210"/>
      <c r="AB1550" s="1210"/>
    </row>
    <row r="1551" ht="14.4" customHeight="1" spans="1:28">
      <c r="A1551" s="1061" t="s">
        <v>315</v>
      </c>
      <c r="B1551" s="1059"/>
      <c r="C1551" s="1059"/>
      <c r="D1551" s="1060"/>
      <c r="E1551" s="1061" t="s">
        <v>209</v>
      </c>
      <c r="F1551" s="1059"/>
      <c r="G1551" s="1059"/>
      <c r="H1551" s="1060"/>
      <c r="I1551" s="1061" t="s">
        <v>417</v>
      </c>
      <c r="J1551" s="1059"/>
      <c r="K1551" s="1059"/>
      <c r="L1551" s="1060"/>
      <c r="M1551" s="1061" t="s">
        <v>418</v>
      </c>
      <c r="N1551" s="1059"/>
      <c r="O1551" s="1059"/>
      <c r="P1551" s="1060"/>
      <c r="Q1551" s="1061"/>
      <c r="R1551" s="1059"/>
      <c r="S1551" s="1059"/>
      <c r="T1551" s="1060"/>
      <c r="U1551" s="1062"/>
      <c r="V1551" s="1063"/>
      <c r="W1551" s="1063"/>
      <c r="X1551" s="1064"/>
      <c r="Y1551" s="1210"/>
      <c r="Z1551" s="1210"/>
      <c r="AA1551" s="1210"/>
      <c r="AB1551" s="1210"/>
    </row>
    <row r="1552" ht="15.75" spans="1:28">
      <c r="A1552" s="1073">
        <v>6</v>
      </c>
      <c r="B1552" s="1073"/>
      <c r="C1552" s="1073"/>
      <c r="D1552" s="1073"/>
      <c r="E1552" s="1073">
        <v>4</v>
      </c>
      <c r="F1552" s="1073"/>
      <c r="G1552" s="1073"/>
      <c r="H1552" s="1073"/>
      <c r="I1552" s="1073">
        <v>0.05</v>
      </c>
      <c r="J1552" s="1073"/>
      <c r="K1552" s="1073"/>
      <c r="L1552" s="1073"/>
      <c r="M1552" s="1073">
        <v>0.2</v>
      </c>
      <c r="N1552" s="1073"/>
      <c r="O1552" s="1073"/>
      <c r="P1552" s="1073"/>
      <c r="Q1552" s="1069">
        <v>1</v>
      </c>
      <c r="R1552" s="1069"/>
      <c r="S1552" s="1069"/>
      <c r="T1552" s="1069"/>
      <c r="U1552" s="1074"/>
      <c r="V1552" s="1075"/>
      <c r="W1552" s="1075"/>
      <c r="X1552" s="1076"/>
      <c r="Y1552" s="1077">
        <f>ROUNDUP(((($A$1342+$E$1342)*2)*$M$1342*$Q$1342),2)</f>
        <v>4</v>
      </c>
      <c r="Z1552" s="1077"/>
      <c r="AA1552" s="1077"/>
      <c r="AB1552" s="1078"/>
    </row>
    <row r="1553" ht="15.75" spans="1:28">
      <c r="A1553" s="1079" t="s">
        <v>425</v>
      </c>
      <c r="B1553" s="1080"/>
      <c r="C1553" s="1080"/>
      <c r="D1553" s="1080"/>
      <c r="E1553" s="1080"/>
      <c r="F1553" s="1080"/>
      <c r="G1553" s="1080"/>
      <c r="H1553" s="1080"/>
      <c r="I1553" s="1080"/>
      <c r="J1553" s="1080"/>
      <c r="K1553" s="1080"/>
      <c r="L1553" s="1080"/>
      <c r="M1553" s="1080"/>
      <c r="N1553" s="1080"/>
      <c r="O1553" s="1080"/>
      <c r="P1553" s="1080"/>
      <c r="Q1553" s="1080"/>
      <c r="R1553" s="1080"/>
      <c r="S1553" s="1080"/>
      <c r="T1553" s="1080"/>
      <c r="U1553" s="1080"/>
      <c r="V1553" s="1080"/>
      <c r="W1553" s="1080"/>
      <c r="X1553" s="1080"/>
      <c r="Y1553" s="1080"/>
      <c r="Z1553" s="1080"/>
      <c r="AA1553" s="1080"/>
      <c r="AB1553" s="1081"/>
    </row>
    <row r="1554" ht="15.75" spans="1:28">
      <c r="A1554" s="1083"/>
      <c r="AB1554" s="1044"/>
    </row>
    <row r="1555" spans="1:28">
      <c r="A1555" s="1083"/>
      <c r="K1555" s="1084" t="s">
        <v>446</v>
      </c>
      <c r="L1555" s="1085"/>
      <c r="M1555" s="1085"/>
      <c r="N1555" s="1085"/>
      <c r="O1555" s="1085"/>
      <c r="P1555" s="1085"/>
      <c r="Q1555" s="1085"/>
      <c r="R1555" s="1086"/>
      <c r="AB1555" s="1044"/>
    </row>
    <row r="1556" ht="14.4" customHeight="1" spans="1:28">
      <c r="A1556" s="1083"/>
      <c r="K1556" s="1087" t="s">
        <v>447</v>
      </c>
      <c r="L1556" s="1088"/>
      <c r="M1556" s="1088"/>
      <c r="N1556" s="1088"/>
      <c r="O1556" s="1088"/>
      <c r="P1556" s="1088"/>
      <c r="Q1556" s="1088"/>
      <c r="R1556" s="1089"/>
      <c r="AB1556" s="1044"/>
    </row>
    <row r="1557" spans="1:28">
      <c r="A1557" s="1083"/>
      <c r="K1557" s="1090"/>
      <c r="L1557" s="1091"/>
      <c r="M1557" s="1091"/>
      <c r="N1557" s="1091"/>
      <c r="O1557" s="1091"/>
      <c r="P1557" s="1091"/>
      <c r="Q1557" s="1091"/>
      <c r="R1557" s="1092"/>
      <c r="AB1557" s="1044"/>
    </row>
    <row r="1558" ht="15.75" spans="1:28">
      <c r="A1558" s="1083"/>
      <c r="K1558" s="1093">
        <f>ROUNDUP(Y1552,2)</f>
        <v>4</v>
      </c>
      <c r="L1558" s="1094"/>
      <c r="M1558" s="1094"/>
      <c r="N1558" s="1094"/>
      <c r="O1558" s="1094"/>
      <c r="P1558" s="1094"/>
      <c r="Q1558" s="1094"/>
      <c r="R1558" s="1095"/>
      <c r="AB1558" s="1044"/>
    </row>
    <row r="1559" ht="15.75" spans="1:28">
      <c r="A1559" s="1096"/>
      <c r="B1559" s="389"/>
      <c r="C1559" s="389"/>
      <c r="D1559" s="389"/>
      <c r="E1559" s="389"/>
      <c r="F1559" s="389"/>
      <c r="G1559" s="389"/>
      <c r="H1559" s="389"/>
      <c r="I1559" s="1097"/>
      <c r="J1559" s="1097"/>
      <c r="K1559" s="1097"/>
      <c r="L1559" s="1097"/>
      <c r="M1559" s="1097"/>
      <c r="N1559" s="1097"/>
      <c r="O1559" s="1097"/>
      <c r="P1559" s="1097"/>
      <c r="Q1559" s="389"/>
      <c r="R1559" s="389"/>
      <c r="S1559" s="389"/>
      <c r="T1559" s="389"/>
      <c r="U1559" s="389"/>
      <c r="V1559" s="389"/>
      <c r="W1559" s="389"/>
      <c r="X1559" s="389"/>
      <c r="Y1559" s="389"/>
      <c r="Z1559" s="389"/>
      <c r="AA1559" s="389"/>
      <c r="AB1559" s="1098"/>
    </row>
    <row r="1560" s="437" customFormat="1" spans="1:28">
      <c r="A1560" s="1040" t="s">
        <v>448</v>
      </c>
      <c r="B1560" s="1114"/>
      <c r="C1560" s="1114"/>
      <c r="D1560" s="1114"/>
      <c r="E1560" s="1114"/>
      <c r="F1560" s="1114"/>
      <c r="G1560" s="1114"/>
      <c r="H1560" s="1114"/>
      <c r="I1560" s="1129"/>
      <c r="J1560" s="1129"/>
      <c r="K1560" s="1129"/>
      <c r="L1560" s="1129"/>
      <c r="M1560" s="1129"/>
      <c r="N1560" s="1129"/>
      <c r="O1560" s="1129"/>
      <c r="P1560" s="1129"/>
      <c r="Q1560" s="1114"/>
      <c r="R1560" s="1114"/>
      <c r="S1560" s="1114"/>
      <c r="T1560" s="1114"/>
      <c r="U1560" s="1114"/>
      <c r="V1560" s="1114"/>
      <c r="W1560" s="1114"/>
      <c r="X1560" s="1114"/>
      <c r="Y1560" s="1114"/>
      <c r="Z1560" s="1114"/>
      <c r="AA1560" s="1114"/>
      <c r="AB1560" s="1115"/>
    </row>
    <row r="1561" spans="1:28">
      <c r="A1561" s="1083"/>
      <c r="I1561" s="1130"/>
      <c r="J1561" s="1130"/>
      <c r="K1561" s="1130"/>
      <c r="L1561" s="1130"/>
      <c r="M1561" s="1130"/>
      <c r="N1561" s="1130"/>
      <c r="O1561" s="1130"/>
      <c r="P1561" s="1130"/>
      <c r="AB1561" s="1044"/>
    </row>
    <row r="1562" spans="1:28">
      <c r="A1562" s="1083"/>
      <c r="I1562" s="1130"/>
      <c r="J1562" s="1130"/>
      <c r="K1562" s="1130"/>
      <c r="L1562" s="1130"/>
      <c r="M1562" s="1130"/>
      <c r="N1562" s="1130"/>
      <c r="O1562" s="1130"/>
      <c r="P1562" s="1130"/>
      <c r="AB1562" s="1044"/>
    </row>
    <row r="1563" spans="1:28">
      <c r="A1563" s="1083"/>
      <c r="I1563" s="1130"/>
      <c r="J1563" s="1130"/>
      <c r="K1563" s="1130"/>
      <c r="L1563" s="1130"/>
      <c r="M1563" s="1130"/>
      <c r="N1563" s="1130"/>
      <c r="O1563" s="1130"/>
      <c r="P1563" s="1130"/>
      <c r="AB1563" s="1044"/>
    </row>
    <row r="1564" spans="1:28">
      <c r="A1564" s="1083"/>
      <c r="I1564" s="1130"/>
      <c r="J1564" s="1130"/>
      <c r="K1564" s="1130"/>
      <c r="L1564" s="1130"/>
      <c r="M1564" s="1130"/>
      <c r="N1564" s="1130"/>
      <c r="O1564" s="1130"/>
      <c r="P1564" s="1130"/>
      <c r="AB1564" s="1044"/>
    </row>
    <row r="1565" spans="1:28">
      <c r="A1565" s="1083"/>
      <c r="I1565" s="1130"/>
      <c r="J1565" s="1130"/>
      <c r="K1565" s="1130"/>
      <c r="L1565" s="1130"/>
      <c r="M1565" s="1130"/>
      <c r="N1565" s="1130"/>
      <c r="O1565" s="1130"/>
      <c r="P1565" s="1130"/>
      <c r="AB1565" s="1044"/>
    </row>
    <row r="1566" spans="1:28">
      <c r="A1566" s="1083"/>
      <c r="I1566" s="1130"/>
      <c r="J1566" s="1130"/>
      <c r="K1566" s="1130"/>
      <c r="L1566" s="1130"/>
      <c r="M1566" s="1130"/>
      <c r="N1566" s="1130"/>
      <c r="O1566" s="1130"/>
      <c r="P1566" s="1130"/>
      <c r="AB1566" s="1044"/>
    </row>
    <row r="1567" spans="1:28">
      <c r="A1567" s="1083"/>
      <c r="I1567" s="1130"/>
      <c r="J1567" s="1130"/>
      <c r="K1567" s="1130"/>
      <c r="L1567" s="1130"/>
      <c r="M1567" s="1130"/>
      <c r="N1567" s="1130"/>
      <c r="O1567" s="1130"/>
      <c r="P1567" s="1130"/>
      <c r="AB1567" s="1044"/>
    </row>
    <row r="1568" spans="1:28">
      <c r="A1568" s="1083"/>
      <c r="I1568" s="1130"/>
      <c r="J1568" s="1130"/>
      <c r="K1568" s="1130"/>
      <c r="L1568" s="1130"/>
      <c r="M1568" s="1130"/>
      <c r="N1568" s="1130"/>
      <c r="O1568" s="1130"/>
      <c r="P1568" s="1130"/>
      <c r="AB1568" s="1044"/>
    </row>
    <row r="1569" spans="1:28">
      <c r="A1569" s="1083"/>
      <c r="I1569" s="1130"/>
      <c r="J1569" s="1130"/>
      <c r="K1569" s="1130"/>
      <c r="L1569" s="1130"/>
      <c r="M1569" s="1130"/>
      <c r="N1569" s="1130"/>
      <c r="O1569" s="1130"/>
      <c r="P1569" s="1130"/>
      <c r="AB1569" s="1044"/>
    </row>
    <row r="1570" spans="1:28">
      <c r="A1570" s="1083"/>
      <c r="I1570" s="1130"/>
      <c r="J1570" s="1130"/>
      <c r="K1570" s="1130"/>
      <c r="L1570" s="1130"/>
      <c r="M1570" s="1130"/>
      <c r="N1570" s="1130"/>
      <c r="O1570" s="1130"/>
      <c r="P1570" s="1130"/>
      <c r="AB1570" s="1044"/>
    </row>
    <row r="1571" spans="1:28">
      <c r="A1571" s="1083"/>
      <c r="I1571" s="1130"/>
      <c r="J1571" s="1130"/>
      <c r="K1571" s="1130"/>
      <c r="L1571" s="1130"/>
      <c r="M1571" s="1130"/>
      <c r="N1571" s="1130"/>
      <c r="O1571" s="1130"/>
      <c r="P1571" s="1130"/>
      <c r="AB1571" s="1044"/>
    </row>
    <row r="1572" spans="1:28">
      <c r="A1572" s="1083"/>
      <c r="I1572" s="1130"/>
      <c r="J1572" s="1130"/>
      <c r="K1572" s="1130"/>
      <c r="L1572" s="1130"/>
      <c r="M1572" s="1130"/>
      <c r="N1572" s="1130"/>
      <c r="O1572" s="1130"/>
      <c r="P1572" s="1130"/>
      <c r="AB1572" s="1044"/>
    </row>
    <row r="1573" spans="1:28">
      <c r="A1573" s="1083"/>
      <c r="I1573" s="1130"/>
      <c r="J1573" s="1130"/>
      <c r="K1573" s="1130"/>
      <c r="L1573" s="1130"/>
      <c r="M1573" s="1130"/>
      <c r="N1573" s="1130"/>
      <c r="O1573" s="1130"/>
      <c r="P1573" s="1130"/>
      <c r="AB1573" s="1044"/>
    </row>
    <row r="1574" spans="1:28">
      <c r="A1574" s="1083"/>
      <c r="I1574" s="1130"/>
      <c r="J1574" s="1130"/>
      <c r="K1574" s="1130"/>
      <c r="L1574" s="1130"/>
      <c r="M1574" s="1130"/>
      <c r="N1574" s="1130"/>
      <c r="O1574" s="1130"/>
      <c r="P1574" s="1130"/>
      <c r="AB1574" s="1044"/>
    </row>
    <row r="1575" spans="1:28">
      <c r="A1575" s="1083"/>
      <c r="I1575" s="1130"/>
      <c r="J1575" s="1130"/>
      <c r="K1575" s="1130"/>
      <c r="L1575" s="1130"/>
      <c r="M1575" s="1130"/>
      <c r="N1575" s="1130"/>
      <c r="O1575" s="1130"/>
      <c r="P1575" s="1130"/>
      <c r="AB1575" s="1044"/>
    </row>
    <row r="1576" spans="1:28">
      <c r="A1576" s="1083"/>
      <c r="I1576" s="1130"/>
      <c r="J1576" s="1130"/>
      <c r="K1576" s="1130"/>
      <c r="L1576" s="1130"/>
      <c r="M1576" s="1130"/>
      <c r="N1576" s="1130"/>
      <c r="O1576" s="1130"/>
      <c r="P1576" s="1130"/>
      <c r="AB1576" s="1044"/>
    </row>
    <row r="1577" spans="1:28">
      <c r="A1577" s="1083"/>
      <c r="I1577" s="1130"/>
      <c r="J1577" s="1130"/>
      <c r="K1577" s="1130"/>
      <c r="L1577" s="1130"/>
      <c r="M1577" s="1130"/>
      <c r="N1577" s="1130"/>
      <c r="O1577" s="1130"/>
      <c r="P1577" s="1130"/>
      <c r="AB1577" s="1044"/>
    </row>
    <row r="1578" spans="1:28">
      <c r="A1578" s="1083"/>
      <c r="I1578" s="1130"/>
      <c r="J1578" s="1130"/>
      <c r="K1578" s="1130"/>
      <c r="L1578" s="1130"/>
      <c r="M1578" s="1130"/>
      <c r="N1578" s="1130"/>
      <c r="O1578" s="1130"/>
      <c r="P1578" s="1130"/>
      <c r="AB1578" s="1044"/>
    </row>
    <row r="1579" spans="1:28">
      <c r="A1579" s="1083"/>
      <c r="I1579" s="1130"/>
      <c r="J1579" s="1130"/>
      <c r="K1579" s="1130"/>
      <c r="L1579" s="1130"/>
      <c r="M1579" s="1130"/>
      <c r="N1579" s="1130"/>
      <c r="O1579" s="1130"/>
      <c r="P1579" s="1130"/>
      <c r="AB1579" s="1044"/>
    </row>
    <row r="1580" spans="1:28">
      <c r="A1580" s="1083"/>
      <c r="I1580" s="1130"/>
      <c r="J1580" s="1130"/>
      <c r="K1580" s="1130"/>
      <c r="L1580" s="1130"/>
      <c r="M1580" s="1130"/>
      <c r="N1580" s="1130"/>
      <c r="O1580" s="1130"/>
      <c r="P1580" s="1130"/>
      <c r="AB1580" s="1044"/>
    </row>
    <row r="1581" spans="1:28">
      <c r="A1581" s="1083"/>
      <c r="I1581" s="1130"/>
      <c r="J1581" s="1130"/>
      <c r="K1581" s="1130"/>
      <c r="L1581" s="1130"/>
      <c r="M1581" s="1130"/>
      <c r="N1581" s="1130"/>
      <c r="O1581" s="1130"/>
      <c r="P1581" s="1130"/>
      <c r="AB1581" s="1044"/>
    </row>
    <row r="1582" spans="1:28">
      <c r="A1582" s="1083"/>
      <c r="I1582" s="1130"/>
      <c r="J1582" s="1130"/>
      <c r="K1582" s="1130"/>
      <c r="L1582" s="1130"/>
      <c r="M1582" s="1130"/>
      <c r="N1582" s="1130"/>
      <c r="O1582" s="1130"/>
      <c r="P1582" s="1130"/>
      <c r="AB1582" s="1044"/>
    </row>
    <row r="1583" spans="1:28">
      <c r="A1583" s="1083"/>
      <c r="I1583" s="1130"/>
      <c r="J1583" s="1130"/>
      <c r="K1583" s="1130"/>
      <c r="L1583" s="1130"/>
      <c r="M1583" s="1130"/>
      <c r="N1583" s="1130"/>
      <c r="O1583" s="1130"/>
      <c r="P1583" s="1130"/>
      <c r="AB1583" s="1044"/>
    </row>
    <row r="1584" spans="1:28">
      <c r="A1584" s="1083"/>
      <c r="I1584" s="1130"/>
      <c r="J1584" s="1130"/>
      <c r="K1584" s="1130"/>
      <c r="L1584" s="1130"/>
      <c r="M1584" s="1130"/>
      <c r="N1584" s="1130"/>
      <c r="O1584" s="1130"/>
      <c r="P1584" s="1130"/>
      <c r="AB1584" s="1044"/>
    </row>
    <row r="1585" spans="1:28">
      <c r="A1585" s="1083"/>
      <c r="I1585" s="1130"/>
      <c r="J1585" s="1130"/>
      <c r="K1585" s="1130"/>
      <c r="L1585" s="1130"/>
      <c r="M1585" s="1130"/>
      <c r="N1585" s="1130"/>
      <c r="O1585" s="1130"/>
      <c r="P1585" s="1130"/>
      <c r="AB1585" s="1044"/>
    </row>
    <row r="1586" spans="1:28">
      <c r="A1586" s="1083"/>
      <c r="I1586" s="1130"/>
      <c r="J1586" s="1130"/>
      <c r="K1586" s="1130"/>
      <c r="L1586" s="1130"/>
      <c r="M1586" s="1130"/>
      <c r="N1586" s="1130"/>
      <c r="O1586" s="1130"/>
      <c r="P1586" s="1130"/>
      <c r="AB1586" s="1044"/>
    </row>
    <row r="1587" spans="1:28">
      <c r="A1587" s="1083"/>
      <c r="I1587" s="1130"/>
      <c r="J1587" s="1130"/>
      <c r="K1587" s="1130"/>
      <c r="L1587" s="1130"/>
      <c r="M1587" s="1130"/>
      <c r="N1587" s="1130"/>
      <c r="O1587" s="1130"/>
      <c r="P1587" s="1130"/>
      <c r="AB1587" s="1044"/>
    </row>
    <row r="1588" spans="1:28">
      <c r="A1588" s="1083"/>
      <c r="I1588" s="1130"/>
      <c r="J1588" s="1130"/>
      <c r="K1588" s="1130"/>
      <c r="L1588" s="1130"/>
      <c r="M1588" s="1130"/>
      <c r="N1588" s="1130"/>
      <c r="O1588" s="1130"/>
      <c r="P1588" s="1130"/>
      <c r="AB1588" s="1044"/>
    </row>
    <row r="1589" spans="1:28">
      <c r="A1589" s="1083"/>
      <c r="I1589" s="1130"/>
      <c r="J1589" s="1130"/>
      <c r="K1589" s="1130"/>
      <c r="L1589" s="1130"/>
      <c r="M1589" s="1130"/>
      <c r="N1589" s="1130"/>
      <c r="O1589" s="1130"/>
      <c r="P1589" s="1130"/>
      <c r="AB1589" s="1044"/>
    </row>
    <row r="1590" spans="1:28">
      <c r="A1590" s="1083"/>
      <c r="I1590" s="1130"/>
      <c r="J1590" s="1130"/>
      <c r="K1590" s="1130"/>
      <c r="L1590" s="1130"/>
      <c r="M1590" s="1130"/>
      <c r="N1590" s="1130"/>
      <c r="O1590" s="1130"/>
      <c r="P1590" s="1130"/>
      <c r="AB1590" s="1044"/>
    </row>
    <row r="1591" spans="1:28">
      <c r="A1591" s="1083"/>
      <c r="I1591" s="1130"/>
      <c r="J1591" s="1130"/>
      <c r="K1591" s="1130"/>
      <c r="L1591" s="1130"/>
      <c r="M1591" s="1130"/>
      <c r="N1591" s="1130"/>
      <c r="O1591" s="1130"/>
      <c r="P1591" s="1130"/>
      <c r="AB1591" s="1044"/>
    </row>
    <row r="1592" spans="1:28">
      <c r="A1592" s="1083"/>
      <c r="I1592" s="1130"/>
      <c r="J1592" s="1130"/>
      <c r="K1592" s="1130"/>
      <c r="L1592" s="1130"/>
      <c r="M1592" s="1130"/>
      <c r="N1592" s="1130"/>
      <c r="O1592" s="1130"/>
      <c r="P1592" s="1130"/>
      <c r="AB1592" s="1044"/>
    </row>
    <row r="1593" spans="1:28">
      <c r="A1593" s="1083"/>
      <c r="I1593" s="1130"/>
      <c r="J1593" s="1130"/>
      <c r="K1593" s="1130"/>
      <c r="L1593" s="1130"/>
      <c r="M1593" s="1130"/>
      <c r="N1593" s="1130"/>
      <c r="O1593" s="1130"/>
      <c r="P1593" s="1130"/>
      <c r="AB1593" s="1044"/>
    </row>
    <row r="1594" spans="1:28">
      <c r="A1594" s="1083"/>
      <c r="I1594" s="1130"/>
      <c r="J1594" s="1130"/>
      <c r="K1594" s="1130"/>
      <c r="L1594" s="1130"/>
      <c r="M1594" s="1130"/>
      <c r="N1594" s="1130"/>
      <c r="O1594" s="1130"/>
      <c r="P1594" s="1130"/>
      <c r="AB1594" s="1044"/>
    </row>
    <row r="1595" spans="1:28">
      <c r="A1595" s="1083"/>
      <c r="I1595" s="1130"/>
      <c r="J1595" s="1130"/>
      <c r="K1595" s="1130"/>
      <c r="L1595" s="1130"/>
      <c r="M1595" s="1130"/>
      <c r="N1595" s="1130"/>
      <c r="O1595" s="1130"/>
      <c r="P1595" s="1130"/>
      <c r="AB1595" s="1044"/>
    </row>
    <row r="1596" spans="1:28">
      <c r="A1596" s="1083"/>
      <c r="I1596" s="1130"/>
      <c r="J1596" s="1130"/>
      <c r="K1596" s="1130"/>
      <c r="L1596" s="1130"/>
      <c r="M1596" s="1130"/>
      <c r="N1596" s="1130"/>
      <c r="O1596" s="1130"/>
      <c r="P1596" s="1130"/>
      <c r="AB1596" s="1044"/>
    </row>
    <row r="1597" spans="1:28">
      <c r="A1597" s="1083"/>
      <c r="I1597" s="1130"/>
      <c r="J1597" s="1130"/>
      <c r="K1597" s="1130"/>
      <c r="L1597" s="1130"/>
      <c r="M1597" s="1130"/>
      <c r="N1597" s="1130"/>
      <c r="O1597" s="1130"/>
      <c r="P1597" s="1130"/>
      <c r="AB1597" s="1044"/>
    </row>
    <row r="1598" spans="1:28">
      <c r="A1598" s="1083"/>
      <c r="I1598" s="1130"/>
      <c r="J1598" s="1130"/>
      <c r="K1598" s="1130"/>
      <c r="L1598" s="1130"/>
      <c r="M1598" s="1130"/>
      <c r="N1598" s="1130"/>
      <c r="O1598" s="1130"/>
      <c r="P1598" s="1130"/>
      <c r="AB1598" s="1044"/>
    </row>
    <row r="1599" spans="1:28">
      <c r="A1599" s="1083"/>
      <c r="I1599" s="1130"/>
      <c r="J1599" s="1130"/>
      <c r="K1599" s="1130"/>
      <c r="L1599" s="1130"/>
      <c r="M1599" s="1130"/>
      <c r="N1599" s="1130"/>
      <c r="O1599" s="1130"/>
      <c r="P1599" s="1130"/>
      <c r="AB1599" s="1044"/>
    </row>
    <row r="1600" spans="1:28">
      <c r="A1600" s="1083"/>
      <c r="I1600" s="1130"/>
      <c r="J1600" s="1130"/>
      <c r="K1600" s="1130"/>
      <c r="L1600" s="1130"/>
      <c r="M1600" s="1130"/>
      <c r="N1600" s="1130"/>
      <c r="O1600" s="1130"/>
      <c r="P1600" s="1130"/>
      <c r="AB1600" s="1044"/>
    </row>
    <row r="1601" spans="1:33">
      <c r="A1601" s="1083"/>
      <c r="I1601" s="1130"/>
      <c r="J1601" s="1130"/>
      <c r="K1601" s="1130"/>
      <c r="L1601" s="1130"/>
      <c r="M1601" s="1130"/>
      <c r="N1601" s="1130"/>
      <c r="O1601" s="1130"/>
      <c r="P1601" s="1130"/>
      <c r="AB1601" s="1044"/>
    </row>
    <row r="1602" spans="1:33">
      <c r="A1602" s="1083"/>
      <c r="I1602" s="1130"/>
      <c r="J1602" s="1130"/>
      <c r="K1602" s="1130"/>
      <c r="L1602" s="1130"/>
      <c r="M1602" s="1130"/>
      <c r="N1602" s="1130"/>
      <c r="O1602" s="1130"/>
      <c r="P1602" s="1130"/>
      <c r="AB1602" s="1044"/>
    </row>
    <row r="1603" spans="1:33">
      <c r="A1603" s="1045" t="s">
        <v>117</v>
      </c>
      <c r="B1603" s="1046"/>
      <c r="C1603" s="1046"/>
      <c r="D1603" s="1046"/>
      <c r="E1603" s="1046"/>
      <c r="F1603" s="1046"/>
      <c r="G1603" s="1046"/>
      <c r="H1603" s="1046"/>
      <c r="I1603" s="1046"/>
      <c r="J1603" s="1046"/>
      <c r="K1603" s="1046"/>
      <c r="L1603" s="1046"/>
      <c r="M1603" s="1046"/>
      <c r="N1603" s="1046"/>
      <c r="O1603" s="1046"/>
      <c r="P1603" s="1046"/>
      <c r="Q1603" s="1046"/>
      <c r="R1603" s="1046"/>
      <c r="S1603" s="1046"/>
      <c r="T1603" s="1046"/>
      <c r="U1603" s="1046"/>
      <c r="V1603" s="1046"/>
      <c r="W1603" s="1046"/>
      <c r="X1603" s="1046"/>
      <c r="Y1603" s="1046"/>
      <c r="Z1603" s="1046"/>
      <c r="AA1603" s="1046"/>
      <c r="AB1603" s="1047"/>
    </row>
    <row r="1604" ht="14.4" customHeight="1" spans="1:33">
      <c r="A1604" s="1048" t="s">
        <v>269</v>
      </c>
      <c r="B1604" s="1049"/>
      <c r="C1604" s="1049"/>
      <c r="D1604" s="1050"/>
      <c r="E1604" s="1051" t="s">
        <v>270</v>
      </c>
      <c r="F1604" s="1049"/>
      <c r="G1604" s="1049"/>
      <c r="H1604" s="1050"/>
      <c r="I1604" s="1104" t="s">
        <v>271</v>
      </c>
      <c r="J1604" s="1102"/>
      <c r="K1604" s="1102"/>
      <c r="L1604" s="1103"/>
      <c r="M1604" s="1104" t="s">
        <v>272</v>
      </c>
      <c r="N1604" s="1102"/>
      <c r="O1604" s="1102"/>
      <c r="P1604" s="1103"/>
      <c r="Q1604" s="1104" t="s">
        <v>273</v>
      </c>
      <c r="R1604" s="1102"/>
      <c r="S1604" s="1102"/>
      <c r="T1604" s="1103"/>
      <c r="U1604" s="1104" t="s">
        <v>274</v>
      </c>
      <c r="V1604" s="1102"/>
      <c r="W1604" s="1102"/>
      <c r="X1604" s="1103"/>
      <c r="Y1604" s="1104" t="s">
        <v>274</v>
      </c>
      <c r="Z1604" s="1102"/>
      <c r="AA1604" s="1102"/>
      <c r="AB1604" s="1106"/>
    </row>
    <row r="1605" spans="1:33">
      <c r="A1605" s="1058"/>
      <c r="B1605" s="1059"/>
      <c r="C1605" s="1059"/>
      <c r="D1605" s="1060"/>
      <c r="E1605" s="1061"/>
      <c r="F1605" s="1059"/>
      <c r="G1605" s="1059"/>
      <c r="H1605" s="1060"/>
      <c r="I1605" s="1061" t="s">
        <v>275</v>
      </c>
      <c r="J1605" s="1059"/>
      <c r="K1605" s="1059"/>
      <c r="L1605" s="1060"/>
      <c r="M1605" s="1061" t="s">
        <v>276</v>
      </c>
      <c r="N1605" s="1059"/>
      <c r="O1605" s="1059"/>
      <c r="P1605" s="1060"/>
      <c r="Q1605" s="1061" t="s">
        <v>277</v>
      </c>
      <c r="R1605" s="1059"/>
      <c r="S1605" s="1059"/>
      <c r="T1605" s="1060"/>
      <c r="U1605" s="1061" t="s">
        <v>277</v>
      </c>
      <c r="V1605" s="1059"/>
      <c r="W1605" s="1059"/>
      <c r="X1605" s="1060"/>
      <c r="Y1605" s="1061" t="s">
        <v>278</v>
      </c>
      <c r="Z1605" s="1059"/>
      <c r="AA1605" s="1059"/>
      <c r="AB1605" s="1108"/>
    </row>
    <row r="1606" spans="1:33">
      <c r="A1606" s="1122" t="s">
        <v>279</v>
      </c>
      <c r="B1606" s="1073"/>
      <c r="C1606" s="1073"/>
      <c r="D1606" s="1073"/>
      <c r="E1606" s="1069">
        <v>1</v>
      </c>
      <c r="F1606" s="1069"/>
      <c r="G1606" s="1069"/>
      <c r="H1606" s="1069"/>
      <c r="I1606" s="1160">
        <v>8</v>
      </c>
      <c r="J1606" s="1160"/>
      <c r="K1606" s="1160"/>
      <c r="L1606" s="1160"/>
      <c r="M1606" s="1160">
        <v>82</v>
      </c>
      <c r="N1606" s="1160"/>
      <c r="O1606" s="1160"/>
      <c r="P1606" s="1160"/>
      <c r="Q1606" s="1160">
        <v>410</v>
      </c>
      <c r="R1606" s="1160"/>
      <c r="S1606" s="1160"/>
      <c r="T1606" s="1160"/>
      <c r="U1606" s="1161">
        <f t="shared" ref="U1606:U1607" si="7">M1606*Q1606</f>
        <v>33620</v>
      </c>
      <c r="V1606" s="1161"/>
      <c r="W1606" s="1161"/>
      <c r="X1606" s="1161"/>
      <c r="Y1606" s="1162">
        <f>U1606/100</f>
        <v>336.2</v>
      </c>
      <c r="Z1606" s="1162"/>
      <c r="AA1606" s="1162"/>
      <c r="AB1606" s="1163"/>
      <c r="AE1606" s="1164"/>
    </row>
    <row r="1607" ht="15.75" spans="1:33">
      <c r="A1607" s="1133" t="s">
        <v>279</v>
      </c>
      <c r="B1607" s="1134"/>
      <c r="C1607" s="1134"/>
      <c r="D1607" s="1134"/>
      <c r="E1607" s="1137">
        <v>2</v>
      </c>
      <c r="F1607" s="1137"/>
      <c r="G1607" s="1137"/>
      <c r="H1607" s="1137"/>
      <c r="I1607" s="1138">
        <v>8</v>
      </c>
      <c r="J1607" s="1138"/>
      <c r="K1607" s="1138"/>
      <c r="L1607" s="1138"/>
      <c r="M1607" s="1138">
        <v>54</v>
      </c>
      <c r="N1607" s="1138"/>
      <c r="O1607" s="1138"/>
      <c r="P1607" s="1138"/>
      <c r="Q1607" s="1138">
        <v>610</v>
      </c>
      <c r="R1607" s="1138"/>
      <c r="S1607" s="1138"/>
      <c r="T1607" s="1138"/>
      <c r="U1607" s="1142">
        <f t="shared" si="7"/>
        <v>32940</v>
      </c>
      <c r="V1607" s="1142"/>
      <c r="W1607" s="1142"/>
      <c r="X1607" s="1142"/>
      <c r="Y1607" s="1169">
        <f t="shared" ref="Y1607" si="8">U1607/100</f>
        <v>329.4</v>
      </c>
      <c r="Z1607" s="1169"/>
      <c r="AA1607" s="1169"/>
      <c r="AB1607" s="1170"/>
      <c r="AE1607" s="1164"/>
    </row>
    <row r="1608" ht="15.75" spans="1:33">
      <c r="A1608" s="1083"/>
      <c r="AB1608" s="1044"/>
    </row>
    <row r="1609" spans="1:33">
      <c r="A1609" s="1083"/>
      <c r="K1609" s="1084" t="s">
        <v>449</v>
      </c>
      <c r="L1609" s="1085"/>
      <c r="M1609" s="1085"/>
      <c r="N1609" s="1085"/>
      <c r="O1609" s="1085"/>
      <c r="P1609" s="1085"/>
      <c r="Q1609" s="1085"/>
      <c r="R1609" s="1086"/>
      <c r="AB1609" s="1044"/>
    </row>
    <row r="1610" spans="1:33">
      <c r="A1610" s="1083"/>
      <c r="K1610" s="1087" t="s">
        <v>281</v>
      </c>
      <c r="L1610" s="1088"/>
      <c r="M1610" s="1088"/>
      <c r="N1610" s="1088"/>
      <c r="O1610" s="1088"/>
      <c r="P1610" s="1088"/>
      <c r="Q1610" s="1088"/>
      <c r="R1610" s="1089"/>
      <c r="AB1610" s="1044"/>
    </row>
    <row r="1611" spans="1:33">
      <c r="A1611" s="1083"/>
      <c r="K1611" s="1090"/>
      <c r="L1611" s="1091"/>
      <c r="M1611" s="1091"/>
      <c r="N1611" s="1091"/>
      <c r="O1611" s="1091"/>
      <c r="P1611" s="1091"/>
      <c r="Q1611" s="1091"/>
      <c r="R1611" s="1092"/>
      <c r="AB1611" s="1044"/>
    </row>
    <row r="1612" ht="15.75" spans="1:33">
      <c r="A1612" s="1083"/>
      <c r="K1612" s="1171">
        <f>ROUNDUP(ROUNDUP(((Y1606+Y1607)*((PI()*((I1606^2)/4))*7843.5))/1000000,2)/0.05,0)*0.05</f>
        <v>262.45</v>
      </c>
      <c r="L1612" s="1172"/>
      <c r="M1612" s="1172"/>
      <c r="N1612" s="1172"/>
      <c r="O1612" s="1172"/>
      <c r="P1612" s="1172"/>
      <c r="Q1612" s="1172"/>
      <c r="R1612" s="1173"/>
      <c r="AB1612" s="1044"/>
    </row>
    <row r="1613" ht="15.75" spans="1:33">
      <c r="A1613" s="1096"/>
      <c r="B1613" s="389"/>
      <c r="C1613" s="389"/>
      <c r="D1613" s="389"/>
      <c r="E1613" s="389"/>
      <c r="F1613" s="389"/>
      <c r="G1613" s="389"/>
      <c r="H1613" s="389"/>
      <c r="I1613" s="1097"/>
      <c r="J1613" s="1097"/>
      <c r="K1613" s="1097"/>
      <c r="L1613" s="1097"/>
      <c r="M1613" s="1097"/>
      <c r="N1613" s="1097"/>
      <c r="O1613" s="1097"/>
      <c r="P1613" s="1097"/>
      <c r="Q1613" s="389"/>
      <c r="R1613" s="389"/>
      <c r="S1613" s="389"/>
      <c r="T1613" s="389"/>
      <c r="U1613" s="389"/>
      <c r="V1613" s="389"/>
      <c r="W1613" s="389"/>
      <c r="X1613" s="389"/>
      <c r="Y1613" s="389"/>
      <c r="Z1613" s="389"/>
      <c r="AA1613" s="389"/>
      <c r="AB1613" s="1098"/>
    </row>
    <row r="1614" s="437" customFormat="1" spans="1:33">
      <c r="A1614" s="1040" t="s">
        <v>450</v>
      </c>
      <c r="B1614" s="1114"/>
      <c r="C1614" s="1114"/>
      <c r="D1614" s="1114"/>
      <c r="E1614" s="1114"/>
      <c r="F1614" s="1114"/>
      <c r="G1614" s="1114"/>
      <c r="H1614" s="1114"/>
      <c r="I1614" s="1114"/>
      <c r="J1614" s="1114"/>
      <c r="K1614" s="1114"/>
      <c r="L1614" s="1114"/>
      <c r="M1614" s="1114"/>
      <c r="N1614" s="1114"/>
      <c r="O1614" s="1114"/>
      <c r="P1614" s="1114"/>
      <c r="Q1614" s="1114"/>
      <c r="R1614" s="1114"/>
      <c r="S1614" s="1114"/>
      <c r="T1614" s="1114"/>
      <c r="U1614" s="1114"/>
      <c r="V1614" s="1114"/>
      <c r="W1614" s="1114"/>
      <c r="X1614" s="1114"/>
      <c r="Y1614" s="1114"/>
      <c r="Z1614" s="1114"/>
      <c r="AA1614" s="1114"/>
      <c r="AB1614" s="1115"/>
    </row>
    <row r="1615" spans="1:33">
      <c r="A1615" s="1083"/>
      <c r="AB1615" s="1044"/>
      <c r="AG1615" s="1175"/>
    </row>
    <row r="1616" spans="1:33">
      <c r="A1616" s="1083"/>
      <c r="AB1616" s="1044"/>
      <c r="AG1616" s="1175"/>
    </row>
    <row r="1617" spans="1:33">
      <c r="A1617" s="1083"/>
      <c r="AB1617" s="1044"/>
      <c r="AG1617" s="1175"/>
    </row>
    <row r="1618" spans="1:33">
      <c r="A1618" s="1083"/>
      <c r="AB1618" s="1044"/>
      <c r="AG1618" s="1175"/>
    </row>
    <row r="1619" spans="1:33">
      <c r="A1619" s="1083"/>
      <c r="AB1619" s="1044"/>
      <c r="AG1619" s="1175"/>
    </row>
    <row r="1620" spans="1:33">
      <c r="A1620" s="1083"/>
      <c r="AB1620" s="1044"/>
      <c r="AG1620" s="1175"/>
    </row>
    <row r="1621" spans="1:33">
      <c r="A1621" s="1083"/>
      <c r="AB1621" s="1044"/>
      <c r="AG1621" s="1175"/>
    </row>
    <row r="1622" spans="1:33">
      <c r="A1622" s="1083"/>
      <c r="AB1622" s="1044"/>
      <c r="AG1622" s="1175"/>
    </row>
    <row r="1623" spans="1:33">
      <c r="A1623" s="1083"/>
      <c r="AB1623" s="1044"/>
      <c r="AG1623" s="1175"/>
    </row>
    <row r="1624" spans="1:33">
      <c r="A1624" s="1083"/>
      <c r="AB1624" s="1044"/>
      <c r="AG1624" s="1175"/>
    </row>
    <row r="1625" spans="1:33">
      <c r="A1625" s="1083"/>
      <c r="AB1625" s="1044"/>
      <c r="AG1625" s="1175"/>
    </row>
    <row r="1626" spans="1:33">
      <c r="A1626" s="1083"/>
      <c r="AB1626" s="1044"/>
      <c r="AG1626" s="1175"/>
    </row>
    <row r="1627" spans="1:33">
      <c r="A1627" s="1083"/>
      <c r="AB1627" s="1044"/>
      <c r="AG1627" s="1175"/>
    </row>
    <row r="1628" spans="1:33">
      <c r="A1628" s="1083"/>
      <c r="AB1628" s="1044"/>
      <c r="AG1628" s="1175"/>
    </row>
    <row r="1629" spans="1:33">
      <c r="A1629" s="1083"/>
      <c r="AB1629" s="1044"/>
      <c r="AG1629" s="1175"/>
    </row>
    <row r="1630" spans="1:33">
      <c r="A1630" s="1083"/>
      <c r="AB1630" s="1044"/>
      <c r="AG1630" s="1175"/>
    </row>
    <row r="1631" spans="1:33">
      <c r="A1631" s="1045" t="s">
        <v>451</v>
      </c>
      <c r="B1631" s="1046"/>
      <c r="C1631" s="1046"/>
      <c r="D1631" s="1046"/>
      <c r="E1631" s="1046"/>
      <c r="F1631" s="1046"/>
      <c r="G1631" s="1046"/>
      <c r="H1631" s="1046"/>
      <c r="I1631" s="1046"/>
      <c r="J1631" s="1046"/>
      <c r="K1631" s="1046"/>
      <c r="L1631" s="1046"/>
      <c r="M1631" s="1046"/>
      <c r="N1631" s="1046"/>
      <c r="O1631" s="1046"/>
      <c r="P1631" s="1046"/>
      <c r="Q1631" s="1046"/>
      <c r="R1631" s="1046"/>
      <c r="S1631" s="1046"/>
      <c r="T1631" s="1046"/>
      <c r="U1631" s="1046"/>
      <c r="V1631" s="1046"/>
      <c r="W1631" s="1046"/>
      <c r="X1631" s="1046"/>
      <c r="Y1631" s="1046"/>
      <c r="Z1631" s="1046"/>
      <c r="AA1631" s="1046"/>
      <c r="AB1631" s="1047"/>
      <c r="AG1631" s="1175"/>
    </row>
    <row r="1632" customHeight="1" spans="1:33">
      <c r="A1632" s="1101" t="s">
        <v>205</v>
      </c>
      <c r="B1632" s="1102"/>
      <c r="C1632" s="1102"/>
      <c r="D1632" s="1103"/>
      <c r="E1632" s="1104" t="s">
        <v>206</v>
      </c>
      <c r="F1632" s="1102"/>
      <c r="G1632" s="1102"/>
      <c r="H1632" s="1103"/>
      <c r="I1632" s="1104" t="s">
        <v>235</v>
      </c>
      <c r="J1632" s="1102"/>
      <c r="K1632" s="1102"/>
      <c r="L1632" s="1103"/>
      <c r="M1632" s="1104" t="s">
        <v>236</v>
      </c>
      <c r="N1632" s="1102"/>
      <c r="O1632" s="1102"/>
      <c r="P1632" s="1103"/>
      <c r="Q1632" s="1104" t="s">
        <v>237</v>
      </c>
      <c r="R1632" s="1102"/>
      <c r="S1632" s="1102"/>
      <c r="T1632" s="1103"/>
      <c r="U1632" s="1104" t="s">
        <v>238</v>
      </c>
      <c r="V1632" s="1102"/>
      <c r="W1632" s="1102"/>
      <c r="X1632" s="1103"/>
      <c r="Y1632" s="1180" t="s">
        <v>239</v>
      </c>
      <c r="Z1632" s="1181"/>
      <c r="AA1632" s="1181"/>
      <c r="AB1632" s="1212"/>
      <c r="AG1632" s="1175"/>
    </row>
    <row r="1633" spans="1:33">
      <c r="A1633" s="1058" t="s">
        <v>432</v>
      </c>
      <c r="B1633" s="1059"/>
      <c r="C1633" s="1059"/>
      <c r="D1633" s="1060"/>
      <c r="E1633" s="1061" t="s">
        <v>433</v>
      </c>
      <c r="F1633" s="1059"/>
      <c r="G1633" s="1059"/>
      <c r="H1633" s="1060"/>
      <c r="I1633" s="1061" t="s">
        <v>433</v>
      </c>
      <c r="J1633" s="1059"/>
      <c r="K1633" s="1059"/>
      <c r="L1633" s="1060"/>
      <c r="M1633" s="1061" t="s">
        <v>434</v>
      </c>
      <c r="N1633" s="1059"/>
      <c r="O1633" s="1059"/>
      <c r="P1633" s="1060"/>
      <c r="Q1633" s="1061" t="s">
        <v>435</v>
      </c>
      <c r="R1633" s="1059"/>
      <c r="S1633" s="1059"/>
      <c r="T1633" s="1060"/>
      <c r="U1633" s="1061" t="s">
        <v>434</v>
      </c>
      <c r="V1633" s="1059"/>
      <c r="W1633" s="1059"/>
      <c r="X1633" s="1060"/>
      <c r="Y1633" s="1065"/>
      <c r="Z1633" s="1066"/>
      <c r="AA1633" s="1066"/>
      <c r="AB1633" s="1067"/>
      <c r="AG1633" s="1175"/>
    </row>
    <row r="1634" ht="15.75" spans="1:33">
      <c r="A1634" s="1213">
        <v>10.6</v>
      </c>
      <c r="B1634" s="1184"/>
      <c r="C1634" s="1184"/>
      <c r="D1634" s="1185"/>
      <c r="E1634" s="1213">
        <v>0.75</v>
      </c>
      <c r="F1634" s="1184"/>
      <c r="G1634" s="1184"/>
      <c r="H1634" s="1185"/>
      <c r="I1634" s="1213">
        <v>0.65</v>
      </c>
      <c r="J1634" s="1184"/>
      <c r="K1634" s="1184"/>
      <c r="L1634" s="1185"/>
      <c r="M1634" s="1073">
        <v>1</v>
      </c>
      <c r="N1634" s="1073"/>
      <c r="O1634" s="1073"/>
      <c r="P1634" s="1073"/>
      <c r="Q1634" s="1073">
        <v>6</v>
      </c>
      <c r="R1634" s="1073"/>
      <c r="S1634" s="1073"/>
      <c r="T1634" s="1073"/>
      <c r="U1634" s="1073">
        <v>1</v>
      </c>
      <c r="V1634" s="1073"/>
      <c r="W1634" s="1073"/>
      <c r="X1634" s="1073"/>
      <c r="Y1634" s="1123">
        <f>(((E1634+I1634)*A1634)/2)*(M1634+Q1634+U1634)</f>
        <v>59.36</v>
      </c>
      <c r="Z1634" s="1123"/>
      <c r="AA1634" s="1123"/>
      <c r="AB1634" s="1124"/>
      <c r="AG1634" s="1175"/>
    </row>
    <row r="1635" ht="17.25" spans="1:33">
      <c r="A1635" s="1079" t="s">
        <v>452</v>
      </c>
      <c r="B1635" s="1080"/>
      <c r="C1635" s="1080"/>
      <c r="D1635" s="1080"/>
      <c r="E1635" s="1080"/>
      <c r="F1635" s="1080"/>
      <c r="G1635" s="1080"/>
      <c r="H1635" s="1080"/>
      <c r="I1635" s="1080"/>
      <c r="J1635" s="1080"/>
      <c r="K1635" s="1080"/>
      <c r="L1635" s="1080"/>
      <c r="M1635" s="1080"/>
      <c r="N1635" s="1080"/>
      <c r="O1635" s="1080"/>
      <c r="P1635" s="1080"/>
      <c r="Q1635" s="1080"/>
      <c r="R1635" s="1080"/>
      <c r="S1635" s="1080"/>
      <c r="T1635" s="1080"/>
      <c r="U1635" s="1080"/>
      <c r="V1635" s="1080"/>
      <c r="W1635" s="1080"/>
      <c r="X1635" s="1080"/>
      <c r="Y1635" s="1080"/>
      <c r="Z1635" s="1080"/>
      <c r="AA1635" s="1080"/>
      <c r="AB1635" s="1081"/>
      <c r="AG1635" s="1175"/>
    </row>
    <row r="1636" ht="15.75" spans="1:33">
      <c r="A1636" s="1083"/>
      <c r="AB1636" s="1044"/>
    </row>
    <row r="1637" spans="1:33">
      <c r="A1637" s="1083"/>
      <c r="K1637" s="1084" t="s">
        <v>453</v>
      </c>
      <c r="L1637" s="1085"/>
      <c r="M1637" s="1085"/>
      <c r="N1637" s="1085"/>
      <c r="O1637" s="1085"/>
      <c r="P1637" s="1085"/>
      <c r="Q1637" s="1085"/>
      <c r="R1637" s="1086"/>
      <c r="AB1637" s="1044"/>
    </row>
    <row r="1638" spans="1:33">
      <c r="A1638" s="1083"/>
      <c r="K1638" s="1087" t="s">
        <v>266</v>
      </c>
      <c r="L1638" s="1088"/>
      <c r="M1638" s="1088"/>
      <c r="N1638" s="1088"/>
      <c r="O1638" s="1088"/>
      <c r="P1638" s="1088"/>
      <c r="Q1638" s="1088"/>
      <c r="R1638" s="1089"/>
      <c r="AB1638" s="1044"/>
    </row>
    <row r="1639" spans="1:33">
      <c r="A1639" s="1083"/>
      <c r="K1639" s="1090"/>
      <c r="L1639" s="1091"/>
      <c r="M1639" s="1091"/>
      <c r="N1639" s="1091"/>
      <c r="O1639" s="1091"/>
      <c r="P1639" s="1091"/>
      <c r="Q1639" s="1091"/>
      <c r="R1639" s="1092"/>
      <c r="AB1639" s="1044"/>
    </row>
    <row r="1640" ht="15.75" spans="1:33">
      <c r="A1640" s="1083"/>
      <c r="K1640" s="1093">
        <f>ROUNDUP(Y1634,2)</f>
        <v>59.36</v>
      </c>
      <c r="L1640" s="1094"/>
      <c r="M1640" s="1094"/>
      <c r="N1640" s="1094"/>
      <c r="O1640" s="1094"/>
      <c r="P1640" s="1094"/>
      <c r="Q1640" s="1094"/>
      <c r="R1640" s="1095"/>
      <c r="AB1640" s="1044"/>
    </row>
    <row r="1641" ht="15.75" spans="1:33">
      <c r="A1641" s="1096"/>
      <c r="B1641" s="389"/>
      <c r="C1641" s="389"/>
      <c r="D1641" s="389"/>
      <c r="E1641" s="389"/>
      <c r="F1641" s="389"/>
      <c r="G1641" s="389"/>
      <c r="H1641" s="389"/>
      <c r="I1641" s="1128"/>
      <c r="J1641" s="1128"/>
      <c r="K1641" s="1128"/>
      <c r="L1641" s="1128"/>
      <c r="M1641" s="1128"/>
      <c r="N1641" s="1128"/>
      <c r="O1641" s="1128"/>
      <c r="P1641" s="1128"/>
      <c r="Q1641" s="389"/>
      <c r="R1641" s="389"/>
      <c r="S1641" s="389"/>
      <c r="T1641" s="389"/>
      <c r="U1641" s="389"/>
      <c r="V1641" s="389"/>
      <c r="W1641" s="389"/>
      <c r="X1641" s="389"/>
      <c r="Y1641" s="389"/>
      <c r="Z1641" s="389"/>
      <c r="AA1641" s="389"/>
      <c r="AB1641" s="1098"/>
    </row>
    <row r="1642" spans="1:33">
      <c r="A1642" s="1040" t="s">
        <v>454</v>
      </c>
      <c r="B1642" s="1041"/>
      <c r="C1642" s="1041"/>
      <c r="D1642" s="1041"/>
      <c r="E1642" s="1041"/>
      <c r="F1642" s="1041"/>
      <c r="G1642" s="1041"/>
      <c r="H1642" s="1041"/>
      <c r="I1642" s="1041"/>
      <c r="J1642" s="1041"/>
      <c r="K1642" s="1041"/>
      <c r="L1642" s="1041"/>
      <c r="M1642" s="1041"/>
      <c r="N1642" s="1041"/>
      <c r="O1642" s="1041"/>
      <c r="P1642" s="1041"/>
      <c r="Q1642" s="1041"/>
      <c r="R1642" s="1041"/>
      <c r="S1642" s="1041"/>
      <c r="T1642" s="1041"/>
      <c r="U1642" s="1041"/>
      <c r="V1642" s="1041"/>
      <c r="W1642" s="1041"/>
      <c r="X1642" s="1041"/>
      <c r="Y1642" s="1041"/>
      <c r="Z1642" s="1041"/>
      <c r="AA1642" s="1041"/>
      <c r="AB1642" s="1042"/>
    </row>
    <row r="1643" spans="1:33">
      <c r="A1643" s="1083"/>
      <c r="AB1643" s="1044"/>
    </row>
    <row r="1644" spans="1:33">
      <c r="A1644" s="1083"/>
      <c r="AB1644" s="1044"/>
    </row>
    <row r="1645" spans="1:33">
      <c r="A1645" s="1083"/>
      <c r="AB1645" s="1044"/>
    </row>
    <row r="1646" spans="1:33">
      <c r="A1646" s="1083"/>
      <c r="AB1646" s="1044"/>
    </row>
    <row r="1647" spans="1:33">
      <c r="A1647" s="1083"/>
      <c r="AB1647" s="1044"/>
    </row>
    <row r="1648" spans="1:33">
      <c r="A1648" s="1083"/>
      <c r="AB1648" s="1044"/>
    </row>
    <row r="1649" spans="1:28">
      <c r="A1649" s="1083"/>
      <c r="AB1649" s="1044"/>
    </row>
    <row r="1650" spans="1:28">
      <c r="A1650" s="1083"/>
      <c r="AB1650" s="1044"/>
    </row>
    <row r="1651" spans="1:28">
      <c r="A1651" s="1083"/>
      <c r="AB1651" s="1044"/>
    </row>
    <row r="1652" spans="1:28">
      <c r="A1652" s="1083"/>
      <c r="AB1652" s="1044"/>
    </row>
    <row r="1653" spans="1:28">
      <c r="A1653" s="1083"/>
      <c r="AB1653" s="1044"/>
    </row>
    <row r="1654" spans="1:28">
      <c r="A1654" s="1083"/>
      <c r="AB1654" s="1044"/>
    </row>
    <row r="1655" spans="1:28">
      <c r="A1655" s="1083"/>
      <c r="AB1655" s="1044"/>
    </row>
    <row r="1656" spans="1:28">
      <c r="A1656" s="1083"/>
      <c r="AB1656" s="1044"/>
    </row>
    <row r="1657" spans="1:28">
      <c r="A1657" s="1083"/>
      <c r="AB1657" s="1044"/>
    </row>
    <row r="1658" spans="1:28">
      <c r="A1658" s="1083"/>
      <c r="AB1658" s="1044"/>
    </row>
    <row r="1659" spans="1:28">
      <c r="A1659" s="1083"/>
      <c r="AB1659" s="1044"/>
    </row>
    <row r="1660" spans="1:28">
      <c r="A1660" s="1083"/>
      <c r="AB1660" s="1044"/>
    </row>
    <row r="1661" spans="1:28">
      <c r="A1661" s="1083"/>
      <c r="AB1661" s="1044"/>
    </row>
    <row r="1662" spans="1:28">
      <c r="A1662" s="1083"/>
      <c r="AB1662" s="1044"/>
    </row>
    <row r="1663" spans="1:28">
      <c r="A1663" s="1099" t="s">
        <v>117</v>
      </c>
      <c r="B1663" s="424"/>
      <c r="C1663" s="424"/>
      <c r="D1663" s="424"/>
      <c r="E1663" s="424"/>
      <c r="F1663" s="424"/>
      <c r="G1663" s="424"/>
      <c r="H1663" s="424"/>
      <c r="I1663" s="424"/>
      <c r="J1663" s="424"/>
      <c r="K1663" s="424"/>
      <c r="L1663" s="424"/>
      <c r="M1663" s="424"/>
      <c r="N1663" s="424"/>
      <c r="O1663" s="424"/>
      <c r="P1663" s="424"/>
      <c r="Q1663" s="424"/>
      <c r="R1663" s="424"/>
      <c r="S1663" s="424"/>
      <c r="T1663" s="424"/>
      <c r="U1663" s="424"/>
      <c r="V1663" s="424"/>
      <c r="W1663" s="424"/>
      <c r="X1663" s="424"/>
      <c r="Y1663" s="424"/>
      <c r="Z1663" s="424"/>
      <c r="AA1663" s="424"/>
      <c r="AB1663" s="1100"/>
    </row>
    <row r="1664" ht="14.4" customHeight="1" spans="1:28">
      <c r="A1664" s="1051" t="s">
        <v>205</v>
      </c>
      <c r="B1664" s="1049"/>
      <c r="C1664" s="1049"/>
      <c r="D1664" s="1050"/>
      <c r="E1664" s="1051" t="s">
        <v>206</v>
      </c>
      <c r="F1664" s="1049"/>
      <c r="G1664" s="1049"/>
      <c r="H1664" s="1050"/>
      <c r="I1664" s="1051" t="s">
        <v>235</v>
      </c>
      <c r="J1664" s="1049"/>
      <c r="K1664" s="1049"/>
      <c r="L1664" s="1050"/>
      <c r="M1664" s="1051" t="s">
        <v>236</v>
      </c>
      <c r="N1664" s="1049"/>
      <c r="O1664" s="1049"/>
      <c r="P1664" s="1050"/>
      <c r="Q1664" s="1051" t="s">
        <v>416</v>
      </c>
      <c r="R1664" s="1049"/>
      <c r="S1664" s="1049"/>
      <c r="T1664" s="1050"/>
      <c r="U1664" s="1052"/>
      <c r="V1664" s="1053"/>
      <c r="W1664" s="1053"/>
      <c r="X1664" s="1054"/>
      <c r="Y1664" s="1055" t="s">
        <v>382</v>
      </c>
      <c r="Z1664" s="1056"/>
      <c r="AA1664" s="1056"/>
      <c r="AB1664" s="1057"/>
    </row>
    <row r="1665" ht="14.4" customHeight="1" spans="1:28">
      <c r="A1665" s="1061" t="s">
        <v>315</v>
      </c>
      <c r="B1665" s="1059"/>
      <c r="C1665" s="1059"/>
      <c r="D1665" s="1060"/>
      <c r="E1665" s="1061" t="s">
        <v>209</v>
      </c>
      <c r="F1665" s="1059"/>
      <c r="G1665" s="1059"/>
      <c r="H1665" s="1060"/>
      <c r="I1665" s="1061" t="s">
        <v>417</v>
      </c>
      <c r="J1665" s="1059"/>
      <c r="K1665" s="1059"/>
      <c r="L1665" s="1060"/>
      <c r="M1665" s="1061" t="s">
        <v>418</v>
      </c>
      <c r="N1665" s="1059"/>
      <c r="O1665" s="1059"/>
      <c r="P1665" s="1060"/>
      <c r="Q1665" s="1061"/>
      <c r="R1665" s="1059"/>
      <c r="S1665" s="1059"/>
      <c r="T1665" s="1060"/>
      <c r="U1665" s="1062"/>
      <c r="V1665" s="1063"/>
      <c r="W1665" s="1063"/>
      <c r="X1665" s="1064"/>
      <c r="Y1665" s="1065"/>
      <c r="Z1665" s="1066"/>
      <c r="AA1665" s="1066"/>
      <c r="AB1665" s="1067"/>
    </row>
    <row r="1666" ht="15.75" spans="1:28">
      <c r="A1666" s="1070">
        <v>6</v>
      </c>
      <c r="B1666" s="1071"/>
      <c r="C1666" s="1071"/>
      <c r="D1666" s="1072"/>
      <c r="E1666" s="1070">
        <v>4</v>
      </c>
      <c r="F1666" s="1071"/>
      <c r="G1666" s="1071"/>
      <c r="H1666" s="1072"/>
      <c r="I1666" s="1070">
        <v>0.05</v>
      </c>
      <c r="J1666" s="1071"/>
      <c r="K1666" s="1071"/>
      <c r="L1666" s="1072"/>
      <c r="M1666" s="1073">
        <v>0.2</v>
      </c>
      <c r="N1666" s="1073"/>
      <c r="O1666" s="1073"/>
      <c r="P1666" s="1073"/>
      <c r="Q1666" s="1069">
        <v>1</v>
      </c>
      <c r="R1666" s="1069"/>
      <c r="S1666" s="1069"/>
      <c r="T1666" s="1069"/>
      <c r="U1666" s="1074"/>
      <c r="V1666" s="1075"/>
      <c r="W1666" s="1075"/>
      <c r="X1666" s="1076"/>
      <c r="Y1666" s="1077">
        <f>$A1666*$E1666*$M1666*$Q1666</f>
        <v>4.8</v>
      </c>
      <c r="Z1666" s="1077"/>
      <c r="AA1666" s="1077"/>
      <c r="AB1666" s="1078"/>
    </row>
    <row r="1667" ht="17.25" spans="1:28">
      <c r="A1667" s="1079" t="s">
        <v>439</v>
      </c>
      <c r="B1667" s="1080"/>
      <c r="C1667" s="1080"/>
      <c r="D1667" s="1080"/>
      <c r="E1667" s="1080"/>
      <c r="F1667" s="1080"/>
      <c r="G1667" s="1080"/>
      <c r="H1667" s="1080"/>
      <c r="I1667" s="1080"/>
      <c r="J1667" s="1080"/>
      <c r="K1667" s="1080"/>
      <c r="L1667" s="1080"/>
      <c r="M1667" s="1080"/>
      <c r="N1667" s="1080"/>
      <c r="O1667" s="1080"/>
      <c r="P1667" s="1080"/>
      <c r="Q1667" s="1080"/>
      <c r="R1667" s="1080"/>
      <c r="S1667" s="1080"/>
      <c r="T1667" s="1080"/>
      <c r="U1667" s="1080"/>
      <c r="V1667" s="1080"/>
      <c r="W1667" s="1080"/>
      <c r="X1667" s="1080"/>
      <c r="Y1667" s="1080"/>
      <c r="Z1667" s="1080"/>
      <c r="AA1667" s="1080"/>
      <c r="AB1667" s="1081"/>
    </row>
    <row r="1668" ht="15.75" spans="1:28">
      <c r="A1668" s="1083"/>
      <c r="AB1668" s="1044"/>
    </row>
    <row r="1669" spans="1:28">
      <c r="A1669" s="1083"/>
      <c r="K1669" s="1084" t="s">
        <v>455</v>
      </c>
      <c r="L1669" s="1085"/>
      <c r="M1669" s="1085"/>
      <c r="N1669" s="1085"/>
      <c r="O1669" s="1085"/>
      <c r="P1669" s="1085"/>
      <c r="Q1669" s="1085"/>
      <c r="R1669" s="1086"/>
      <c r="AB1669" s="1044"/>
    </row>
    <row r="1670" spans="1:28">
      <c r="A1670" s="1083"/>
      <c r="K1670" s="1087" t="s">
        <v>384</v>
      </c>
      <c r="L1670" s="1088"/>
      <c r="M1670" s="1088"/>
      <c r="N1670" s="1088"/>
      <c r="O1670" s="1088"/>
      <c r="P1670" s="1088"/>
      <c r="Q1670" s="1088"/>
      <c r="R1670" s="1089"/>
      <c r="AB1670" s="1044"/>
    </row>
    <row r="1671" spans="1:28">
      <c r="A1671" s="1083"/>
      <c r="K1671" s="1090"/>
      <c r="L1671" s="1091"/>
      <c r="M1671" s="1091"/>
      <c r="N1671" s="1091"/>
      <c r="O1671" s="1091"/>
      <c r="P1671" s="1091"/>
      <c r="Q1671" s="1091"/>
      <c r="R1671" s="1092"/>
      <c r="AB1671" s="1044"/>
    </row>
    <row r="1672" ht="15.75" spans="1:28">
      <c r="A1672" s="1083"/>
      <c r="K1672" s="1093">
        <f>ROUNDUP(Y1666,2)</f>
        <v>4.8</v>
      </c>
      <c r="L1672" s="1094"/>
      <c r="M1672" s="1094"/>
      <c r="N1672" s="1094"/>
      <c r="O1672" s="1094"/>
      <c r="P1672" s="1094"/>
      <c r="Q1672" s="1094"/>
      <c r="R1672" s="1095"/>
      <c r="AB1672" s="1044"/>
    </row>
    <row r="1673" ht="15.75" spans="1:28">
      <c r="A1673" s="1096"/>
      <c r="B1673" s="389"/>
      <c r="C1673" s="389"/>
      <c r="D1673" s="389"/>
      <c r="E1673" s="389"/>
      <c r="F1673" s="389"/>
      <c r="G1673" s="389"/>
      <c r="H1673" s="389"/>
      <c r="I1673" s="1097"/>
      <c r="J1673" s="1097"/>
      <c r="K1673" s="1097"/>
      <c r="L1673" s="1097"/>
      <c r="M1673" s="1097"/>
      <c r="N1673" s="1097"/>
      <c r="O1673" s="1097"/>
      <c r="P1673" s="1097"/>
      <c r="Q1673" s="389"/>
      <c r="R1673" s="389"/>
      <c r="S1673" s="389"/>
      <c r="T1673" s="389"/>
      <c r="U1673" s="389"/>
      <c r="V1673" s="389"/>
      <c r="W1673" s="389"/>
      <c r="X1673" s="389"/>
      <c r="Y1673" s="389"/>
      <c r="Z1673" s="389"/>
      <c r="AA1673" s="389"/>
      <c r="AB1673" s="1098"/>
    </row>
    <row r="1674" spans="1:28">
      <c r="A1674" s="1040" t="s">
        <v>456</v>
      </c>
      <c r="B1674" s="1041"/>
      <c r="C1674" s="1041"/>
      <c r="D1674" s="1041"/>
      <c r="E1674" s="1041"/>
      <c r="F1674" s="1041"/>
      <c r="G1674" s="1041"/>
      <c r="H1674" s="1041"/>
      <c r="I1674" s="1041"/>
      <c r="J1674" s="1041"/>
      <c r="K1674" s="1041"/>
      <c r="L1674" s="1041"/>
      <c r="M1674" s="1041"/>
      <c r="N1674" s="1041"/>
      <c r="O1674" s="1041"/>
      <c r="P1674" s="1041"/>
      <c r="Q1674" s="1041"/>
      <c r="R1674" s="1041"/>
      <c r="S1674" s="1041"/>
      <c r="T1674" s="1041"/>
      <c r="U1674" s="1041"/>
      <c r="V1674" s="1041"/>
      <c r="W1674" s="1041"/>
      <c r="X1674" s="1041"/>
      <c r="Y1674" s="1041"/>
      <c r="Z1674" s="1041"/>
      <c r="AA1674" s="1041"/>
      <c r="AB1674" s="1042"/>
    </row>
    <row r="1675" spans="1:28">
      <c r="A1675" s="1043"/>
      <c r="AB1675" s="1044"/>
    </row>
    <row r="1676" spans="1:28">
      <c r="A1676" s="1043"/>
      <c r="AB1676" s="1044"/>
    </row>
    <row r="1677" spans="1:28">
      <c r="A1677" s="1043"/>
      <c r="AB1677" s="1044"/>
    </row>
    <row r="1678" spans="1:28">
      <c r="A1678" s="1043"/>
      <c r="AB1678" s="1044"/>
    </row>
    <row r="1679" spans="1:28">
      <c r="A1679" s="1043"/>
      <c r="AB1679" s="1044"/>
    </row>
    <row r="1680" spans="1:28">
      <c r="A1680" s="1043"/>
      <c r="AB1680" s="1044"/>
    </row>
    <row r="1681" spans="1:28">
      <c r="A1681" s="1043"/>
      <c r="AB1681" s="1044"/>
    </row>
    <row r="1682" spans="1:28">
      <c r="A1682" s="1043"/>
      <c r="AB1682" s="1044"/>
    </row>
    <row r="1683" spans="1:28">
      <c r="A1683" s="1043"/>
      <c r="AB1683" s="1044"/>
    </row>
    <row r="1684" spans="1:28">
      <c r="A1684" s="1043"/>
      <c r="AB1684" s="1044"/>
    </row>
    <row r="1685" spans="1:28">
      <c r="A1685" s="1043"/>
      <c r="AB1685" s="1044"/>
    </row>
    <row r="1686" spans="1:28">
      <c r="A1686" s="1043"/>
      <c r="AB1686" s="1044"/>
    </row>
    <row r="1687" spans="1:28">
      <c r="A1687" s="1043"/>
      <c r="AB1687" s="1044"/>
    </row>
    <row r="1688" spans="1:28">
      <c r="A1688" s="1043"/>
      <c r="AB1688" s="1044"/>
    </row>
    <row r="1689" spans="1:28">
      <c r="A1689" s="1043"/>
      <c r="AB1689" s="1044"/>
    </row>
    <row r="1690" spans="1:28">
      <c r="A1690" s="1043"/>
      <c r="AB1690" s="1044"/>
    </row>
    <row r="1691" spans="1:28">
      <c r="A1691" s="1043"/>
      <c r="AB1691" s="1044"/>
    </row>
    <row r="1692" spans="1:28">
      <c r="A1692" s="1043"/>
      <c r="AB1692" s="1044"/>
    </row>
    <row r="1693" spans="1:28">
      <c r="A1693" s="1043"/>
      <c r="AB1693" s="1044"/>
    </row>
    <row r="1694" spans="1:28">
      <c r="A1694" s="1043"/>
      <c r="AB1694" s="1044"/>
    </row>
    <row r="1695" spans="1:28">
      <c r="A1695" s="1043"/>
      <c r="AB1695" s="1044"/>
    </row>
    <row r="1696" spans="1:28">
      <c r="A1696" s="1043"/>
      <c r="AB1696" s="1044"/>
    </row>
    <row r="1697" spans="1:28">
      <c r="A1697" s="1043"/>
      <c r="AB1697" s="1044"/>
    </row>
    <row r="1698" spans="1:28">
      <c r="A1698" s="1043"/>
      <c r="AB1698" s="1044"/>
    </row>
    <row r="1699" spans="1:28">
      <c r="A1699" s="1043"/>
      <c r="AB1699" s="1044"/>
    </row>
    <row r="1700" spans="1:28">
      <c r="A1700" s="1043"/>
      <c r="AB1700" s="1044"/>
    </row>
    <row r="1701" spans="1:28">
      <c r="A1701" s="1043"/>
      <c r="AB1701" s="1044"/>
    </row>
    <row r="1702" spans="1:28">
      <c r="A1702" s="1083"/>
      <c r="AB1702" s="1044"/>
    </row>
    <row r="1703" spans="1:28">
      <c r="A1703" s="1099" t="s">
        <v>457</v>
      </c>
      <c r="B1703" s="424"/>
      <c r="C1703" s="424"/>
      <c r="D1703" s="424"/>
      <c r="E1703" s="424"/>
      <c r="F1703" s="424"/>
      <c r="G1703" s="424"/>
      <c r="H1703" s="424"/>
      <c r="I1703" s="424"/>
      <c r="J1703" s="424"/>
      <c r="K1703" s="424"/>
      <c r="L1703" s="424"/>
      <c r="M1703" s="424"/>
      <c r="N1703" s="424"/>
      <c r="O1703" s="424"/>
      <c r="P1703" s="424"/>
      <c r="Q1703" s="424"/>
      <c r="R1703" s="424"/>
      <c r="S1703" s="424"/>
      <c r="T1703" s="424"/>
      <c r="U1703" s="424"/>
      <c r="V1703" s="424"/>
      <c r="W1703" s="424"/>
      <c r="X1703" s="424"/>
      <c r="Y1703" s="424"/>
      <c r="Z1703" s="424"/>
      <c r="AA1703" s="424"/>
      <c r="AB1703" s="1100"/>
    </row>
    <row r="1704" ht="14.4" customHeight="1" spans="1:28">
      <c r="A1704" s="1048" t="s">
        <v>458</v>
      </c>
      <c r="B1704" s="1049"/>
      <c r="C1704" s="1049"/>
      <c r="D1704" s="1050"/>
      <c r="E1704" s="1051" t="s">
        <v>416</v>
      </c>
      <c r="F1704" s="1049"/>
      <c r="G1704" s="1049"/>
      <c r="H1704" s="1050"/>
      <c r="I1704" s="1051"/>
      <c r="J1704" s="1049"/>
      <c r="K1704" s="1049"/>
      <c r="L1704" s="1050"/>
      <c r="M1704" s="1051"/>
      <c r="N1704" s="1049"/>
      <c r="O1704" s="1049"/>
      <c r="P1704" s="1050"/>
      <c r="Q1704" s="1051"/>
      <c r="R1704" s="1049"/>
      <c r="S1704" s="1049"/>
      <c r="T1704" s="1050"/>
      <c r="U1704" s="1052"/>
      <c r="V1704" s="1053"/>
      <c r="W1704" s="1053"/>
      <c r="X1704" s="1054"/>
      <c r="Y1704" s="1055" t="s">
        <v>459</v>
      </c>
      <c r="Z1704" s="1056"/>
      <c r="AA1704" s="1056"/>
      <c r="AB1704" s="1057"/>
    </row>
    <row r="1705" ht="14.4" customHeight="1" spans="1:28">
      <c r="A1705" s="1058"/>
      <c r="B1705" s="1059"/>
      <c r="C1705" s="1059"/>
      <c r="D1705" s="1060"/>
      <c r="E1705" s="1061"/>
      <c r="F1705" s="1059"/>
      <c r="G1705" s="1059"/>
      <c r="H1705" s="1060"/>
      <c r="I1705" s="1061"/>
      <c r="J1705" s="1059"/>
      <c r="K1705" s="1059"/>
      <c r="L1705" s="1060"/>
      <c r="M1705" s="1061"/>
      <c r="N1705" s="1059"/>
      <c r="O1705" s="1059"/>
      <c r="P1705" s="1060"/>
      <c r="Q1705" s="1061"/>
      <c r="R1705" s="1059"/>
      <c r="S1705" s="1059"/>
      <c r="T1705" s="1060"/>
      <c r="U1705" s="1062"/>
      <c r="V1705" s="1063"/>
      <c r="W1705" s="1063"/>
      <c r="X1705" s="1064"/>
      <c r="Y1705" s="1065"/>
      <c r="Z1705" s="1066"/>
      <c r="AA1705" s="1066"/>
      <c r="AB1705" s="1067"/>
    </row>
    <row r="1706" ht="15.75" spans="1:28">
      <c r="A1706" s="1068">
        <v>5</v>
      </c>
      <c r="B1706" s="1069"/>
      <c r="C1706" s="1069"/>
      <c r="D1706" s="1069"/>
      <c r="E1706" s="1069">
        <v>1</v>
      </c>
      <c r="F1706" s="1069"/>
      <c r="G1706" s="1069"/>
      <c r="H1706" s="1069"/>
      <c r="I1706" s="1070"/>
      <c r="J1706" s="1071"/>
      <c r="K1706" s="1071"/>
      <c r="L1706" s="1072"/>
      <c r="M1706" s="1073"/>
      <c r="N1706" s="1073"/>
      <c r="O1706" s="1073"/>
      <c r="P1706" s="1073"/>
      <c r="Q1706" s="1073"/>
      <c r="R1706" s="1073"/>
      <c r="S1706" s="1073"/>
      <c r="T1706" s="1073"/>
      <c r="U1706" s="1074"/>
      <c r="V1706" s="1075"/>
      <c r="W1706" s="1075"/>
      <c r="X1706" s="1076"/>
      <c r="Y1706" s="1077">
        <f>A1706*E1706</f>
        <v>5</v>
      </c>
      <c r="Z1706" s="1077"/>
      <c r="AA1706" s="1077"/>
      <c r="AB1706" s="1078"/>
    </row>
    <row r="1707" ht="17.25" spans="1:28">
      <c r="A1707" s="1079" t="s">
        <v>460</v>
      </c>
      <c r="B1707" s="1080"/>
      <c r="C1707" s="1080"/>
      <c r="D1707" s="1080"/>
      <c r="E1707" s="1080"/>
      <c r="F1707" s="1080"/>
      <c r="G1707" s="1080"/>
      <c r="H1707" s="1080"/>
      <c r="I1707" s="1080"/>
      <c r="J1707" s="1080"/>
      <c r="K1707" s="1080"/>
      <c r="L1707" s="1080"/>
      <c r="M1707" s="1080"/>
      <c r="N1707" s="1080"/>
      <c r="O1707" s="1080"/>
      <c r="P1707" s="1080"/>
      <c r="Q1707" s="1080"/>
      <c r="R1707" s="1080"/>
      <c r="S1707" s="1080"/>
      <c r="T1707" s="1080"/>
      <c r="U1707" s="1080"/>
      <c r="V1707" s="1080"/>
      <c r="W1707" s="1080"/>
      <c r="X1707" s="1080"/>
      <c r="Y1707" s="1080"/>
      <c r="Z1707" s="1080"/>
      <c r="AA1707" s="1080"/>
      <c r="AB1707" s="1081"/>
    </row>
    <row r="1708" ht="15.75" spans="1:28">
      <c r="A1708" s="1083"/>
      <c r="AB1708" s="1044"/>
    </row>
    <row r="1709" spans="1:28">
      <c r="A1709" s="1083"/>
      <c r="K1709" s="1084" t="s">
        <v>461</v>
      </c>
      <c r="L1709" s="1085"/>
      <c r="M1709" s="1085"/>
      <c r="N1709" s="1085"/>
      <c r="O1709" s="1085"/>
      <c r="P1709" s="1085"/>
      <c r="Q1709" s="1085"/>
      <c r="R1709" s="1086"/>
      <c r="AB1709" s="1044"/>
    </row>
    <row r="1710" spans="1:28">
      <c r="A1710" s="1083"/>
      <c r="K1710" s="1087" t="s">
        <v>462</v>
      </c>
      <c r="L1710" s="1088"/>
      <c r="M1710" s="1088"/>
      <c r="N1710" s="1088"/>
      <c r="O1710" s="1088"/>
      <c r="P1710" s="1088"/>
      <c r="Q1710" s="1088"/>
      <c r="R1710" s="1089"/>
      <c r="AB1710" s="1044"/>
    </row>
    <row r="1711" spans="1:28">
      <c r="A1711" s="1083"/>
      <c r="K1711" s="1090"/>
      <c r="L1711" s="1091"/>
      <c r="M1711" s="1091"/>
      <c r="N1711" s="1091"/>
      <c r="O1711" s="1091"/>
      <c r="P1711" s="1091"/>
      <c r="Q1711" s="1091"/>
      <c r="R1711" s="1092"/>
      <c r="AB1711" s="1044"/>
    </row>
    <row r="1712" ht="15.75" spans="1:28">
      <c r="A1712" s="1083"/>
      <c r="K1712" s="1093">
        <f>ROUNDUP(Y1706,2)</f>
        <v>5</v>
      </c>
      <c r="L1712" s="1094"/>
      <c r="M1712" s="1094"/>
      <c r="N1712" s="1094"/>
      <c r="O1712" s="1094"/>
      <c r="P1712" s="1094"/>
      <c r="Q1712" s="1094"/>
      <c r="R1712" s="1095"/>
      <c r="AB1712" s="1044"/>
    </row>
    <row r="1713" ht="15.75" spans="1:28">
      <c r="A1713" s="1096"/>
      <c r="B1713" s="389"/>
      <c r="C1713" s="389"/>
      <c r="D1713" s="389"/>
      <c r="E1713" s="389"/>
      <c r="F1713" s="389"/>
      <c r="G1713" s="389"/>
      <c r="H1713" s="389"/>
      <c r="I1713" s="1097"/>
      <c r="J1713" s="1097"/>
      <c r="K1713" s="1097"/>
      <c r="L1713" s="1097"/>
      <c r="M1713" s="1097"/>
      <c r="N1713" s="1097"/>
      <c r="O1713" s="1097"/>
      <c r="P1713" s="1097"/>
      <c r="Q1713" s="389"/>
      <c r="R1713" s="389"/>
      <c r="S1713" s="389"/>
      <c r="T1713" s="389"/>
      <c r="U1713" s="389"/>
      <c r="V1713" s="389"/>
      <c r="W1713" s="389"/>
      <c r="X1713" s="389"/>
      <c r="Y1713" s="389"/>
      <c r="Z1713" s="389"/>
      <c r="AA1713" s="389"/>
      <c r="AB1713" s="1098"/>
    </row>
    <row r="1714" spans="1:28">
      <c r="A1714" s="1040" t="s">
        <v>463</v>
      </c>
      <c r="B1714" s="1041"/>
      <c r="C1714" s="1041"/>
      <c r="D1714" s="1041"/>
      <c r="E1714" s="1041"/>
      <c r="F1714" s="1041"/>
      <c r="G1714" s="1041"/>
      <c r="H1714" s="1041"/>
      <c r="I1714" s="1041"/>
      <c r="J1714" s="1041"/>
      <c r="K1714" s="1041"/>
      <c r="L1714" s="1041"/>
      <c r="M1714" s="1041"/>
      <c r="N1714" s="1041"/>
      <c r="O1714" s="1041"/>
      <c r="P1714" s="1041"/>
      <c r="Q1714" s="1041"/>
      <c r="R1714" s="1041"/>
      <c r="S1714" s="1041"/>
      <c r="T1714" s="1041"/>
      <c r="U1714" s="1041"/>
      <c r="V1714" s="1041"/>
      <c r="W1714" s="1041"/>
      <c r="X1714" s="1041"/>
      <c r="Y1714" s="1041"/>
      <c r="Z1714" s="1041"/>
      <c r="AA1714" s="1041"/>
      <c r="AB1714" s="1042"/>
    </row>
    <row r="1715" spans="1:28">
      <c r="A1715" s="1043"/>
      <c r="AB1715" s="1044"/>
    </row>
    <row r="1716" spans="1:28">
      <c r="A1716" s="1043"/>
      <c r="AB1716" s="1044"/>
    </row>
    <row r="1717" spans="1:28">
      <c r="A1717" s="1043"/>
      <c r="AB1717" s="1044"/>
    </row>
    <row r="1718" spans="1:28">
      <c r="A1718" s="1043"/>
      <c r="AB1718" s="1044"/>
    </row>
    <row r="1719" spans="1:28">
      <c r="A1719" s="1043"/>
      <c r="AB1719" s="1044"/>
    </row>
    <row r="1720" spans="1:28">
      <c r="A1720" s="1043"/>
      <c r="AB1720" s="1044"/>
    </row>
    <row r="1721" spans="1:28">
      <c r="A1721" s="1043"/>
      <c r="AB1721" s="1044"/>
    </row>
    <row r="1722" spans="1:28">
      <c r="A1722" s="1043"/>
      <c r="AB1722" s="1044"/>
    </row>
    <row r="1723" spans="1:28">
      <c r="A1723" s="1043"/>
      <c r="AB1723" s="1044"/>
    </row>
    <row r="1724" spans="1:28">
      <c r="A1724" s="1043"/>
      <c r="AB1724" s="1044"/>
    </row>
    <row r="1725" spans="1:28">
      <c r="A1725" s="1043"/>
      <c r="AB1725" s="1044"/>
    </row>
    <row r="1726" spans="1:28">
      <c r="A1726" s="1043"/>
      <c r="AB1726" s="1044"/>
    </row>
    <row r="1727" spans="1:28">
      <c r="A1727" s="1043"/>
      <c r="AB1727" s="1044"/>
    </row>
    <row r="1728" spans="1:28">
      <c r="A1728" s="1043"/>
      <c r="AB1728" s="1044"/>
    </row>
    <row r="1729" spans="1:28">
      <c r="A1729" s="1043"/>
      <c r="AB1729" s="1044"/>
    </row>
    <row r="1730" spans="1:28">
      <c r="A1730" s="1043"/>
      <c r="AB1730" s="1044"/>
    </row>
    <row r="1731" spans="1:28">
      <c r="A1731" s="1043"/>
      <c r="AB1731" s="1044"/>
    </row>
    <row r="1732" spans="1:28">
      <c r="A1732" s="1043"/>
      <c r="AB1732" s="1044"/>
    </row>
    <row r="1733" spans="1:28">
      <c r="A1733" s="1043"/>
      <c r="AB1733" s="1044"/>
    </row>
    <row r="1734" spans="1:28">
      <c r="A1734" s="1043"/>
      <c r="AB1734" s="1044"/>
    </row>
    <row r="1735" spans="1:28">
      <c r="A1735" s="1043"/>
      <c r="AB1735" s="1044"/>
    </row>
    <row r="1736" spans="1:28">
      <c r="A1736" s="1043"/>
      <c r="AB1736" s="1044"/>
    </row>
    <row r="1737" spans="1:28">
      <c r="A1737" s="1043"/>
      <c r="AB1737" s="1044"/>
    </row>
    <row r="1738" spans="1:28">
      <c r="A1738" s="1043"/>
      <c r="AB1738" s="1044"/>
    </row>
    <row r="1739" spans="1:28">
      <c r="A1739" s="1043"/>
      <c r="AB1739" s="1044"/>
    </row>
    <row r="1740" spans="1:28">
      <c r="A1740" s="1043"/>
      <c r="AB1740" s="1044"/>
    </row>
    <row r="1741" spans="1:28">
      <c r="A1741" s="1043"/>
      <c r="AB1741" s="1044"/>
    </row>
    <row r="1742" spans="1:28">
      <c r="A1742" s="1083"/>
      <c r="AB1742" s="1044"/>
    </row>
    <row r="1743" spans="1:28">
      <c r="A1743" s="1099" t="s">
        <v>464</v>
      </c>
      <c r="B1743" s="424"/>
      <c r="C1743" s="424"/>
      <c r="D1743" s="424"/>
      <c r="E1743" s="424"/>
      <c r="F1743" s="424"/>
      <c r="G1743" s="424"/>
      <c r="H1743" s="424"/>
      <c r="I1743" s="424"/>
      <c r="J1743" s="424"/>
      <c r="K1743" s="424"/>
      <c r="L1743" s="424"/>
      <c r="M1743" s="424"/>
      <c r="N1743" s="424"/>
      <c r="O1743" s="424"/>
      <c r="P1743" s="424"/>
      <c r="Q1743" s="424"/>
      <c r="R1743" s="424"/>
      <c r="S1743" s="424"/>
      <c r="T1743" s="424"/>
      <c r="U1743" s="424"/>
      <c r="V1743" s="424"/>
      <c r="W1743" s="424"/>
      <c r="X1743" s="424"/>
      <c r="Y1743" s="424"/>
      <c r="Z1743" s="424"/>
      <c r="AA1743" s="424"/>
      <c r="AB1743" s="1100"/>
    </row>
    <row r="1744" ht="14.4" customHeight="1" spans="1:28">
      <c r="A1744" s="1048" t="s">
        <v>458</v>
      </c>
      <c r="B1744" s="1049"/>
      <c r="C1744" s="1049"/>
      <c r="D1744" s="1050"/>
      <c r="E1744" s="1051" t="s">
        <v>416</v>
      </c>
      <c r="F1744" s="1049"/>
      <c r="G1744" s="1049"/>
      <c r="H1744" s="1050"/>
      <c r="I1744" s="1051"/>
      <c r="J1744" s="1049"/>
      <c r="K1744" s="1049"/>
      <c r="L1744" s="1050"/>
      <c r="M1744" s="1051"/>
      <c r="N1744" s="1049"/>
      <c r="O1744" s="1049"/>
      <c r="P1744" s="1050"/>
      <c r="Q1744" s="1051"/>
      <c r="R1744" s="1049"/>
      <c r="S1744" s="1049"/>
      <c r="T1744" s="1050"/>
      <c r="U1744" s="1052"/>
      <c r="V1744" s="1053"/>
      <c r="W1744" s="1053"/>
      <c r="X1744" s="1054"/>
      <c r="Y1744" s="1055" t="s">
        <v>459</v>
      </c>
      <c r="Z1744" s="1056"/>
      <c r="AA1744" s="1056"/>
      <c r="AB1744" s="1057"/>
    </row>
    <row r="1745" ht="14.4" customHeight="1" spans="1:28">
      <c r="A1745" s="1058"/>
      <c r="B1745" s="1059"/>
      <c r="C1745" s="1059"/>
      <c r="D1745" s="1060"/>
      <c r="E1745" s="1061"/>
      <c r="F1745" s="1059"/>
      <c r="G1745" s="1059"/>
      <c r="H1745" s="1060"/>
      <c r="I1745" s="1061"/>
      <c r="J1745" s="1059"/>
      <c r="K1745" s="1059"/>
      <c r="L1745" s="1060"/>
      <c r="M1745" s="1061"/>
      <c r="N1745" s="1059"/>
      <c r="O1745" s="1059"/>
      <c r="P1745" s="1060"/>
      <c r="Q1745" s="1061"/>
      <c r="R1745" s="1059"/>
      <c r="S1745" s="1059"/>
      <c r="T1745" s="1060"/>
      <c r="U1745" s="1062"/>
      <c r="V1745" s="1063"/>
      <c r="W1745" s="1063"/>
      <c r="X1745" s="1064"/>
      <c r="Y1745" s="1065"/>
      <c r="Z1745" s="1066"/>
      <c r="AA1745" s="1066"/>
      <c r="AB1745" s="1067"/>
    </row>
    <row r="1746" ht="15.75" spans="1:28">
      <c r="A1746" s="1068">
        <v>5</v>
      </c>
      <c r="B1746" s="1069"/>
      <c r="C1746" s="1069"/>
      <c r="D1746" s="1069"/>
      <c r="E1746" s="1069">
        <v>1</v>
      </c>
      <c r="F1746" s="1069"/>
      <c r="G1746" s="1069"/>
      <c r="H1746" s="1069"/>
      <c r="I1746" s="1070"/>
      <c r="J1746" s="1071"/>
      <c r="K1746" s="1071"/>
      <c r="L1746" s="1072"/>
      <c r="M1746" s="1073"/>
      <c r="N1746" s="1073"/>
      <c r="O1746" s="1073"/>
      <c r="P1746" s="1073"/>
      <c r="Q1746" s="1073"/>
      <c r="R1746" s="1073"/>
      <c r="S1746" s="1073"/>
      <c r="T1746" s="1073"/>
      <c r="U1746" s="1074"/>
      <c r="V1746" s="1075"/>
      <c r="W1746" s="1075"/>
      <c r="X1746" s="1076"/>
      <c r="Y1746" s="1077">
        <f>A1746*E1746</f>
        <v>5</v>
      </c>
      <c r="Z1746" s="1077"/>
      <c r="AA1746" s="1077"/>
      <c r="AB1746" s="1078"/>
    </row>
    <row r="1747" ht="17.25" spans="1:28">
      <c r="A1747" s="1079" t="s">
        <v>460</v>
      </c>
      <c r="B1747" s="1080"/>
      <c r="C1747" s="1080"/>
      <c r="D1747" s="1080"/>
      <c r="E1747" s="1080"/>
      <c r="F1747" s="1080"/>
      <c r="G1747" s="1080"/>
      <c r="H1747" s="1080"/>
      <c r="I1747" s="1080"/>
      <c r="J1747" s="1080"/>
      <c r="K1747" s="1080"/>
      <c r="L1747" s="1080"/>
      <c r="M1747" s="1080"/>
      <c r="N1747" s="1080"/>
      <c r="O1747" s="1080"/>
      <c r="P1747" s="1080"/>
      <c r="Q1747" s="1080"/>
      <c r="R1747" s="1080"/>
      <c r="S1747" s="1080"/>
      <c r="T1747" s="1080"/>
      <c r="U1747" s="1080"/>
      <c r="V1747" s="1080"/>
      <c r="W1747" s="1080"/>
      <c r="X1747" s="1080"/>
      <c r="Y1747" s="1080"/>
      <c r="Z1747" s="1080"/>
      <c r="AA1747" s="1080"/>
      <c r="AB1747" s="1081"/>
    </row>
    <row r="1748" ht="15.75" spans="1:28">
      <c r="A1748" s="1083"/>
      <c r="AB1748" s="1044"/>
    </row>
    <row r="1749" spans="1:28">
      <c r="A1749" s="1083"/>
      <c r="K1749" s="1084" t="s">
        <v>465</v>
      </c>
      <c r="L1749" s="1085"/>
      <c r="M1749" s="1085"/>
      <c r="N1749" s="1085"/>
      <c r="O1749" s="1085"/>
      <c r="P1749" s="1085"/>
      <c r="Q1749" s="1085"/>
      <c r="R1749" s="1086"/>
      <c r="AB1749" s="1044"/>
    </row>
    <row r="1750" spans="1:28">
      <c r="A1750" s="1083"/>
      <c r="K1750" s="1087" t="s">
        <v>466</v>
      </c>
      <c r="L1750" s="1088"/>
      <c r="M1750" s="1088"/>
      <c r="N1750" s="1088"/>
      <c r="O1750" s="1088"/>
      <c r="P1750" s="1088"/>
      <c r="Q1750" s="1088"/>
      <c r="R1750" s="1089"/>
      <c r="AB1750" s="1044"/>
    </row>
    <row r="1751" spans="1:28">
      <c r="A1751" s="1083"/>
      <c r="K1751" s="1090"/>
      <c r="L1751" s="1091"/>
      <c r="M1751" s="1091"/>
      <c r="N1751" s="1091"/>
      <c r="O1751" s="1091"/>
      <c r="P1751" s="1091"/>
      <c r="Q1751" s="1091"/>
      <c r="R1751" s="1092"/>
      <c r="AB1751" s="1044"/>
    </row>
    <row r="1752" ht="15.75" spans="1:28">
      <c r="A1752" s="1083"/>
      <c r="K1752" s="1093">
        <f>ROUNDUP(Y1746,2)</f>
        <v>5</v>
      </c>
      <c r="L1752" s="1094"/>
      <c r="M1752" s="1094"/>
      <c r="N1752" s="1094"/>
      <c r="O1752" s="1094"/>
      <c r="P1752" s="1094"/>
      <c r="Q1752" s="1094"/>
      <c r="R1752" s="1095"/>
      <c r="AB1752" s="1044"/>
    </row>
    <row r="1753" ht="15.75" spans="1:28">
      <c r="A1753" s="1083"/>
      <c r="I1753" s="1130"/>
      <c r="J1753" s="1130"/>
      <c r="K1753" s="1130"/>
      <c r="L1753" s="1130"/>
      <c r="M1753" s="1130"/>
      <c r="N1753" s="1130"/>
      <c r="O1753" s="1130"/>
      <c r="P1753" s="1130"/>
      <c r="AB1753" s="1044"/>
    </row>
    <row r="1754" spans="1:28">
      <c r="A1754" s="1040" t="s">
        <v>467</v>
      </c>
      <c r="B1754" s="1041"/>
      <c r="C1754" s="1041"/>
      <c r="D1754" s="1041"/>
      <c r="E1754" s="1041"/>
      <c r="F1754" s="1041"/>
      <c r="G1754" s="1041"/>
      <c r="H1754" s="1041"/>
      <c r="I1754" s="1041"/>
      <c r="J1754" s="1041"/>
      <c r="K1754" s="1041"/>
      <c r="L1754" s="1041"/>
      <c r="M1754" s="1041"/>
      <c r="N1754" s="1041"/>
      <c r="O1754" s="1041"/>
      <c r="P1754" s="1041"/>
      <c r="Q1754" s="1041"/>
      <c r="R1754" s="1041"/>
      <c r="S1754" s="1041"/>
      <c r="T1754" s="1041"/>
      <c r="U1754" s="1041"/>
      <c r="V1754" s="1041"/>
      <c r="W1754" s="1041"/>
      <c r="X1754" s="1041"/>
      <c r="Y1754" s="1041"/>
      <c r="Z1754" s="1041"/>
      <c r="AA1754" s="1041"/>
      <c r="AB1754" s="1042"/>
    </row>
    <row r="1755" s="1037" customFormat="1" spans="1:28">
      <c r="A1755" s="1214" t="s">
        <v>468</v>
      </c>
      <c r="AB1755" s="1215"/>
    </row>
    <row r="1756" spans="1:28">
      <c r="A1756" s="1083"/>
      <c r="AB1756" s="1044"/>
    </row>
    <row r="1757" spans="1:28">
      <c r="A1757" s="1083"/>
      <c r="AB1757" s="1044"/>
    </row>
    <row r="1758" spans="1:28">
      <c r="A1758" s="1083"/>
      <c r="AB1758" s="1044"/>
    </row>
    <row r="1759" spans="1:28">
      <c r="A1759" s="1083"/>
      <c r="AB1759" s="1044"/>
    </row>
    <row r="1760" spans="1:28">
      <c r="A1760" s="1083"/>
      <c r="AB1760" s="1044"/>
    </row>
    <row r="1761" spans="1:28">
      <c r="A1761" s="1083"/>
      <c r="AB1761" s="1044"/>
    </row>
    <row r="1762" spans="1:28">
      <c r="A1762" s="1083"/>
      <c r="AB1762" s="1044"/>
    </row>
    <row r="1763" spans="1:28">
      <c r="A1763" s="1083"/>
      <c r="AB1763" s="1044"/>
    </row>
    <row r="1764" spans="1:28">
      <c r="A1764" s="1083"/>
      <c r="AB1764" s="1044"/>
    </row>
    <row r="1765" spans="1:28">
      <c r="A1765" s="1099" t="s">
        <v>469</v>
      </c>
      <c r="B1765" s="424"/>
      <c r="C1765" s="424"/>
      <c r="D1765" s="424"/>
      <c r="E1765" s="424"/>
      <c r="F1765" s="424"/>
      <c r="G1765" s="424"/>
      <c r="H1765" s="424"/>
      <c r="I1765" s="424"/>
      <c r="J1765" s="424"/>
      <c r="K1765" s="424"/>
      <c r="L1765" s="424"/>
      <c r="M1765" s="424"/>
      <c r="N1765" s="424"/>
      <c r="O1765" s="424"/>
      <c r="P1765" s="424"/>
      <c r="Q1765" s="424"/>
      <c r="R1765" s="424"/>
      <c r="S1765" s="424"/>
      <c r="T1765" s="424"/>
      <c r="U1765" s="424"/>
      <c r="V1765" s="424"/>
      <c r="W1765" s="424"/>
      <c r="X1765" s="424"/>
      <c r="Y1765" s="424"/>
      <c r="Z1765" s="424"/>
      <c r="AA1765" s="424"/>
      <c r="AB1765" s="1100"/>
    </row>
    <row r="1766" ht="14.4" customHeight="1" spans="1:28">
      <c r="A1766" s="1048" t="s">
        <v>205</v>
      </c>
      <c r="B1766" s="1049"/>
      <c r="C1766" s="1049"/>
      <c r="D1766" s="1050"/>
      <c r="E1766" s="1051" t="s">
        <v>206</v>
      </c>
      <c r="F1766" s="1049"/>
      <c r="G1766" s="1049"/>
      <c r="H1766" s="1050"/>
      <c r="I1766" s="1051" t="s">
        <v>235</v>
      </c>
      <c r="J1766" s="1049"/>
      <c r="K1766" s="1049"/>
      <c r="L1766" s="1050"/>
      <c r="M1766" s="1051" t="s">
        <v>470</v>
      </c>
      <c r="N1766" s="1049"/>
      <c r="O1766" s="1049"/>
      <c r="P1766" s="1050"/>
      <c r="Q1766" s="1051"/>
      <c r="R1766" s="1049"/>
      <c r="S1766" s="1049"/>
      <c r="T1766" s="1050"/>
      <c r="U1766" s="1052"/>
      <c r="V1766" s="1053"/>
      <c r="W1766" s="1053"/>
      <c r="X1766" s="1054"/>
      <c r="Y1766" s="1104" t="s">
        <v>314</v>
      </c>
      <c r="Z1766" s="1102"/>
      <c r="AA1766" s="1102"/>
      <c r="AB1766" s="1106"/>
    </row>
    <row r="1767" ht="14.4" customHeight="1" spans="1:28">
      <c r="A1767" s="1058" t="s">
        <v>209</v>
      </c>
      <c r="B1767" s="1059"/>
      <c r="C1767" s="1059"/>
      <c r="D1767" s="1060"/>
      <c r="E1767" s="1061" t="s">
        <v>315</v>
      </c>
      <c r="F1767" s="1059"/>
      <c r="G1767" s="1059"/>
      <c r="H1767" s="1060"/>
      <c r="I1767" s="1061" t="s">
        <v>210</v>
      </c>
      <c r="J1767" s="1059"/>
      <c r="K1767" s="1059"/>
      <c r="L1767" s="1060"/>
      <c r="M1767" s="1061"/>
      <c r="N1767" s="1059"/>
      <c r="O1767" s="1059"/>
      <c r="P1767" s="1060"/>
      <c r="Q1767" s="1061"/>
      <c r="R1767" s="1059"/>
      <c r="S1767" s="1059"/>
      <c r="T1767" s="1060"/>
      <c r="U1767" s="1062"/>
      <c r="V1767" s="1063"/>
      <c r="W1767" s="1063"/>
      <c r="X1767" s="1064"/>
      <c r="Y1767" s="1061"/>
      <c r="Z1767" s="1059"/>
      <c r="AA1767" s="1059"/>
      <c r="AB1767" s="1108"/>
    </row>
    <row r="1768" ht="15.75" spans="1:28">
      <c r="A1768" s="1133">
        <v>6</v>
      </c>
      <c r="B1768" s="1134"/>
      <c r="C1768" s="1134"/>
      <c r="D1768" s="1134"/>
      <c r="E1768" s="1134">
        <v>0.3</v>
      </c>
      <c r="F1768" s="1134"/>
      <c r="G1768" s="1134"/>
      <c r="H1768" s="1134"/>
      <c r="I1768" s="1134">
        <v>0.02</v>
      </c>
      <c r="J1768" s="1134"/>
      <c r="K1768" s="1134"/>
      <c r="L1768" s="1134"/>
      <c r="M1768" s="1134">
        <v>2</v>
      </c>
      <c r="N1768" s="1134"/>
      <c r="O1768" s="1134"/>
      <c r="P1768" s="1134"/>
      <c r="Q1768" s="1216"/>
      <c r="R1768" s="1217"/>
      <c r="S1768" s="1217"/>
      <c r="T1768" s="1218"/>
      <c r="U1768" s="1219"/>
      <c r="V1768" s="1220"/>
      <c r="W1768" s="1220"/>
      <c r="X1768" s="1221"/>
      <c r="Y1768" s="1135">
        <f>ROUNDUP($A1768*$E1768*$I1768*$M1768,2)</f>
        <v>0.08</v>
      </c>
      <c r="Z1768" s="1135"/>
      <c r="AA1768" s="1135"/>
      <c r="AB1768" s="1136"/>
    </row>
    <row r="1769" ht="15.75" spans="1:28">
      <c r="A1769" s="1079" t="s">
        <v>471</v>
      </c>
      <c r="B1769" s="1080"/>
      <c r="C1769" s="1080"/>
      <c r="D1769" s="1080"/>
      <c r="E1769" s="1080"/>
      <c r="F1769" s="1080"/>
      <c r="G1769" s="1080"/>
      <c r="H1769" s="1080"/>
      <c r="I1769" s="1080"/>
      <c r="J1769" s="1080"/>
      <c r="K1769" s="1080"/>
      <c r="L1769" s="1080"/>
      <c r="M1769" s="1080"/>
      <c r="N1769" s="1080"/>
      <c r="O1769" s="1080"/>
      <c r="P1769" s="1080"/>
      <c r="Q1769" s="1080"/>
      <c r="R1769" s="1080"/>
      <c r="S1769" s="1080"/>
      <c r="T1769" s="1080"/>
      <c r="U1769" s="1080"/>
      <c r="V1769" s="1080"/>
      <c r="W1769" s="1080"/>
      <c r="X1769" s="1080"/>
      <c r="Y1769" s="1080"/>
      <c r="Z1769" s="1080"/>
      <c r="AA1769" s="1080"/>
      <c r="AB1769" s="1081"/>
    </row>
    <row r="1770" s="1037" customFormat="1" spans="1:28">
      <c r="A1770" s="1214" t="s">
        <v>472</v>
      </c>
      <c r="AB1770" s="1215"/>
    </row>
    <row r="1771" spans="1:28">
      <c r="A1771" s="1083"/>
      <c r="AB1771" s="1044"/>
    </row>
    <row r="1772" spans="1:28">
      <c r="A1772" s="1083"/>
      <c r="AB1772" s="1044"/>
    </row>
    <row r="1773" spans="1:28">
      <c r="A1773" s="1083"/>
      <c r="AB1773" s="1044"/>
    </row>
    <row r="1774" spans="1:28">
      <c r="A1774" s="1083"/>
      <c r="AB1774" s="1044"/>
    </row>
    <row r="1775" spans="1:28">
      <c r="A1775" s="1083"/>
      <c r="AB1775" s="1044"/>
    </row>
    <row r="1776" spans="1:28">
      <c r="A1776" s="1083"/>
      <c r="AB1776" s="1044"/>
    </row>
    <row r="1777" spans="1:28">
      <c r="A1777" s="1083"/>
      <c r="AB1777" s="1044"/>
    </row>
    <row r="1778" spans="1:28">
      <c r="A1778" s="1083"/>
      <c r="AB1778" s="1044"/>
    </row>
    <row r="1779" spans="1:28">
      <c r="A1779" s="1083"/>
      <c r="AB1779" s="1044"/>
    </row>
    <row r="1780" spans="1:28">
      <c r="A1780" s="1099" t="s">
        <v>473</v>
      </c>
      <c r="B1780" s="424"/>
      <c r="C1780" s="424"/>
      <c r="D1780" s="424"/>
      <c r="E1780" s="424"/>
      <c r="F1780" s="424"/>
      <c r="G1780" s="424"/>
      <c r="H1780" s="424"/>
      <c r="I1780" s="424"/>
      <c r="J1780" s="424"/>
      <c r="K1780" s="424"/>
      <c r="L1780" s="424"/>
      <c r="M1780" s="424"/>
      <c r="N1780" s="424"/>
      <c r="O1780" s="424"/>
      <c r="P1780" s="424"/>
      <c r="Q1780" s="424"/>
      <c r="R1780" s="424"/>
      <c r="S1780" s="424"/>
      <c r="T1780" s="424"/>
      <c r="U1780" s="424"/>
      <c r="V1780" s="424"/>
      <c r="W1780" s="424"/>
      <c r="X1780" s="424"/>
      <c r="Y1780" s="424"/>
      <c r="Z1780" s="424"/>
      <c r="AA1780" s="424"/>
      <c r="AB1780" s="1100"/>
    </row>
    <row r="1781" ht="14.4" customHeight="1" spans="1:28">
      <c r="A1781" s="1048" t="s">
        <v>205</v>
      </c>
      <c r="B1781" s="1049"/>
      <c r="C1781" s="1049"/>
      <c r="D1781" s="1050"/>
      <c r="E1781" s="1051" t="s">
        <v>206</v>
      </c>
      <c r="F1781" s="1049"/>
      <c r="G1781" s="1049"/>
      <c r="H1781" s="1050"/>
      <c r="I1781" s="1051" t="s">
        <v>235</v>
      </c>
      <c r="J1781" s="1049"/>
      <c r="K1781" s="1049"/>
      <c r="L1781" s="1050"/>
      <c r="M1781" s="1051" t="s">
        <v>470</v>
      </c>
      <c r="N1781" s="1049"/>
      <c r="O1781" s="1049"/>
      <c r="P1781" s="1050"/>
      <c r="Q1781" s="1051"/>
      <c r="R1781" s="1049"/>
      <c r="S1781" s="1049"/>
      <c r="T1781" s="1050"/>
      <c r="U1781" s="1052"/>
      <c r="V1781" s="1053"/>
      <c r="W1781" s="1053"/>
      <c r="X1781" s="1054"/>
      <c r="Y1781" s="1104" t="s">
        <v>314</v>
      </c>
      <c r="Z1781" s="1102"/>
      <c r="AA1781" s="1102"/>
      <c r="AB1781" s="1106"/>
    </row>
    <row r="1782" ht="14.4" customHeight="1" spans="1:28">
      <c r="A1782" s="1058" t="s">
        <v>209</v>
      </c>
      <c r="B1782" s="1059"/>
      <c r="C1782" s="1059"/>
      <c r="D1782" s="1060"/>
      <c r="E1782" s="1061" t="s">
        <v>315</v>
      </c>
      <c r="F1782" s="1059"/>
      <c r="G1782" s="1059"/>
      <c r="H1782" s="1060"/>
      <c r="I1782" s="1061" t="s">
        <v>210</v>
      </c>
      <c r="J1782" s="1059"/>
      <c r="K1782" s="1059"/>
      <c r="L1782" s="1060"/>
      <c r="M1782" s="1061"/>
      <c r="N1782" s="1059"/>
      <c r="O1782" s="1059"/>
      <c r="P1782" s="1060"/>
      <c r="Q1782" s="1061"/>
      <c r="R1782" s="1059"/>
      <c r="S1782" s="1059"/>
      <c r="T1782" s="1060"/>
      <c r="U1782" s="1062"/>
      <c r="V1782" s="1063"/>
      <c r="W1782" s="1063"/>
      <c r="X1782" s="1064"/>
      <c r="Y1782" s="1061"/>
      <c r="Z1782" s="1059"/>
      <c r="AA1782" s="1059"/>
      <c r="AB1782" s="1108"/>
    </row>
    <row r="1783" ht="15.75" spans="1:28">
      <c r="A1783" s="1133">
        <v>6</v>
      </c>
      <c r="B1783" s="1134"/>
      <c r="C1783" s="1134"/>
      <c r="D1783" s="1134"/>
      <c r="E1783" s="1134">
        <v>0.15</v>
      </c>
      <c r="F1783" s="1134"/>
      <c r="G1783" s="1134"/>
      <c r="H1783" s="1134"/>
      <c r="I1783" s="1134">
        <v>0.02</v>
      </c>
      <c r="J1783" s="1134"/>
      <c r="K1783" s="1134"/>
      <c r="L1783" s="1134"/>
      <c r="M1783" s="1134">
        <v>2</v>
      </c>
      <c r="N1783" s="1134"/>
      <c r="O1783" s="1134"/>
      <c r="P1783" s="1134"/>
      <c r="Q1783" s="1216"/>
      <c r="R1783" s="1217"/>
      <c r="S1783" s="1217"/>
      <c r="T1783" s="1218"/>
      <c r="U1783" s="1219"/>
      <c r="V1783" s="1220"/>
      <c r="W1783" s="1220"/>
      <c r="X1783" s="1221"/>
      <c r="Y1783" s="1135">
        <f>ROUNDUP($A1783*$E1783*$I1783*$M1783,2)</f>
        <v>0.04</v>
      </c>
      <c r="Z1783" s="1135"/>
      <c r="AA1783" s="1135"/>
      <c r="AB1783" s="1136"/>
    </row>
    <row r="1784" ht="15.75" spans="1:28">
      <c r="A1784" s="1079" t="s">
        <v>474</v>
      </c>
      <c r="B1784" s="1080"/>
      <c r="C1784" s="1080"/>
      <c r="D1784" s="1080"/>
      <c r="E1784" s="1080"/>
      <c r="F1784" s="1080"/>
      <c r="G1784" s="1080"/>
      <c r="H1784" s="1080"/>
      <c r="I1784" s="1080"/>
      <c r="J1784" s="1080"/>
      <c r="K1784" s="1080"/>
      <c r="L1784" s="1080"/>
      <c r="M1784" s="1080"/>
      <c r="N1784" s="1080"/>
      <c r="O1784" s="1080"/>
      <c r="P1784" s="1080"/>
      <c r="Q1784" s="1080"/>
      <c r="R1784" s="1080"/>
      <c r="S1784" s="1080"/>
      <c r="T1784" s="1080"/>
      <c r="U1784" s="1080"/>
      <c r="V1784" s="1080"/>
      <c r="W1784" s="1080"/>
      <c r="X1784" s="1080"/>
      <c r="Y1784" s="1080"/>
      <c r="Z1784" s="1080"/>
      <c r="AA1784" s="1080"/>
      <c r="AB1784" s="1081"/>
    </row>
    <row r="1785" ht="15.75" spans="1:28">
      <c r="A1785" s="1083"/>
      <c r="AB1785" s="1044"/>
    </row>
    <row r="1786" spans="1:28">
      <c r="A1786" s="1083"/>
      <c r="K1786" s="1084" t="s">
        <v>475</v>
      </c>
      <c r="L1786" s="1085"/>
      <c r="M1786" s="1085"/>
      <c r="N1786" s="1085"/>
      <c r="O1786" s="1085"/>
      <c r="P1786" s="1085"/>
      <c r="Q1786" s="1085"/>
      <c r="R1786" s="1086"/>
      <c r="AB1786" s="1044"/>
    </row>
    <row r="1787" spans="1:28">
      <c r="A1787" s="1083"/>
      <c r="K1787" s="1087" t="s">
        <v>324</v>
      </c>
      <c r="L1787" s="1088"/>
      <c r="M1787" s="1088"/>
      <c r="N1787" s="1088"/>
      <c r="O1787" s="1088"/>
      <c r="P1787" s="1088"/>
      <c r="Q1787" s="1088"/>
      <c r="R1787" s="1089"/>
      <c r="AB1787" s="1044"/>
    </row>
    <row r="1788" spans="1:28">
      <c r="A1788" s="1083"/>
      <c r="K1788" s="1090"/>
      <c r="L1788" s="1091"/>
      <c r="M1788" s="1091"/>
      <c r="N1788" s="1091"/>
      <c r="O1788" s="1091"/>
      <c r="P1788" s="1091"/>
      <c r="Q1788" s="1091"/>
      <c r="R1788" s="1092"/>
      <c r="AB1788" s="1044"/>
    </row>
    <row r="1789" ht="15.75" spans="1:28">
      <c r="A1789" s="1083"/>
      <c r="K1789" s="1093">
        <f>ROUNDUP(Y1768+Y1783,2)</f>
        <v>0.12</v>
      </c>
      <c r="L1789" s="1094"/>
      <c r="M1789" s="1094"/>
      <c r="N1789" s="1094"/>
      <c r="O1789" s="1094"/>
      <c r="P1789" s="1094"/>
      <c r="Q1789" s="1094"/>
      <c r="R1789" s="1095"/>
      <c r="AB1789" s="1044"/>
    </row>
    <row r="1790" ht="15.75" spans="1:28">
      <c r="A1790" s="1096"/>
      <c r="B1790" s="389"/>
      <c r="C1790" s="389"/>
      <c r="D1790" s="389"/>
      <c r="E1790" s="389"/>
      <c r="F1790" s="389"/>
      <c r="G1790" s="389"/>
      <c r="H1790" s="389"/>
      <c r="I1790" s="1097"/>
      <c r="J1790" s="1097"/>
      <c r="K1790" s="1097"/>
      <c r="L1790" s="1097"/>
      <c r="M1790" s="1097"/>
      <c r="N1790" s="1097"/>
      <c r="O1790" s="1097"/>
      <c r="P1790" s="1097"/>
      <c r="Q1790" s="389"/>
      <c r="R1790" s="389"/>
      <c r="S1790" s="389"/>
      <c r="T1790" s="389"/>
      <c r="U1790" s="389"/>
      <c r="V1790" s="389"/>
      <c r="W1790" s="389"/>
      <c r="X1790" s="389"/>
      <c r="Y1790" s="389"/>
      <c r="Z1790" s="389"/>
      <c r="AA1790" s="389"/>
      <c r="AB1790" s="1098"/>
    </row>
    <row r="1791" spans="1:28">
      <c r="A1791" s="1040" t="s">
        <v>476</v>
      </c>
      <c r="B1791" s="1041"/>
      <c r="C1791" s="1041"/>
      <c r="D1791" s="1041"/>
      <c r="E1791" s="1041"/>
      <c r="F1791" s="1041"/>
      <c r="G1791" s="1041"/>
      <c r="H1791" s="1041"/>
      <c r="I1791" s="1041"/>
      <c r="J1791" s="1041"/>
      <c r="K1791" s="1041"/>
      <c r="L1791" s="1041"/>
      <c r="M1791" s="1041"/>
      <c r="N1791" s="1041"/>
      <c r="O1791" s="1041"/>
      <c r="P1791" s="1041"/>
      <c r="Q1791" s="1041"/>
      <c r="R1791" s="1041"/>
      <c r="S1791" s="1041"/>
      <c r="T1791" s="1041"/>
      <c r="U1791" s="1041"/>
      <c r="V1791" s="1041"/>
      <c r="W1791" s="1041"/>
      <c r="X1791" s="1041"/>
      <c r="Y1791" s="1041"/>
      <c r="Z1791" s="1041"/>
      <c r="AA1791" s="1041"/>
      <c r="AB1791" s="1042"/>
    </row>
    <row r="1792" s="1037" customFormat="1" spans="1:28">
      <c r="A1792" s="1214" t="s">
        <v>468</v>
      </c>
      <c r="AB1792" s="1215"/>
    </row>
    <row r="1793" spans="1:28">
      <c r="A1793" s="1083"/>
      <c r="AB1793" s="1044"/>
    </row>
    <row r="1794" spans="1:28">
      <c r="A1794" s="1083"/>
      <c r="AB1794" s="1044"/>
    </row>
    <row r="1795" spans="1:28">
      <c r="A1795" s="1083"/>
      <c r="AB1795" s="1044"/>
    </row>
    <row r="1796" spans="1:28">
      <c r="A1796" s="1083"/>
      <c r="AB1796" s="1044"/>
    </row>
    <row r="1797" spans="1:28">
      <c r="A1797" s="1083"/>
      <c r="AB1797" s="1044"/>
    </row>
    <row r="1798" spans="1:28">
      <c r="A1798" s="1083"/>
      <c r="AB1798" s="1044"/>
    </row>
    <row r="1799" spans="1:28">
      <c r="A1799" s="1083"/>
      <c r="AB1799" s="1044"/>
    </row>
    <row r="1800" spans="1:28">
      <c r="A1800" s="1083"/>
      <c r="AB1800" s="1044"/>
    </row>
    <row r="1801" spans="1:28">
      <c r="A1801" s="1083"/>
      <c r="AB1801" s="1044"/>
    </row>
    <row r="1802" spans="1:28">
      <c r="A1802" s="1099" t="s">
        <v>469</v>
      </c>
      <c r="B1802" s="424"/>
      <c r="C1802" s="424"/>
      <c r="D1802" s="424"/>
      <c r="E1802" s="424"/>
      <c r="F1802" s="424"/>
      <c r="G1802" s="424"/>
      <c r="H1802" s="424"/>
      <c r="I1802" s="424"/>
      <c r="J1802" s="424"/>
      <c r="K1802" s="424"/>
      <c r="L1802" s="424"/>
      <c r="M1802" s="424"/>
      <c r="N1802" s="424"/>
      <c r="O1802" s="424"/>
      <c r="P1802" s="424"/>
      <c r="Q1802" s="424"/>
      <c r="R1802" s="424"/>
      <c r="S1802" s="424"/>
      <c r="T1802" s="424"/>
      <c r="U1802" s="424"/>
      <c r="V1802" s="424"/>
      <c r="W1802" s="424"/>
      <c r="X1802" s="424"/>
      <c r="Y1802" s="424"/>
      <c r="Z1802" s="424"/>
      <c r="AA1802" s="424"/>
      <c r="AB1802" s="1100"/>
    </row>
    <row r="1803" ht="14.4" customHeight="1" spans="1:28">
      <c r="A1803" s="1048" t="s">
        <v>205</v>
      </c>
      <c r="B1803" s="1049"/>
      <c r="C1803" s="1049"/>
      <c r="D1803" s="1050"/>
      <c r="E1803" s="1051" t="s">
        <v>206</v>
      </c>
      <c r="F1803" s="1049"/>
      <c r="G1803" s="1049"/>
      <c r="H1803" s="1050"/>
      <c r="I1803" s="1051" t="s">
        <v>235</v>
      </c>
      <c r="J1803" s="1049"/>
      <c r="K1803" s="1049"/>
      <c r="L1803" s="1050"/>
      <c r="M1803" s="1051" t="s">
        <v>470</v>
      </c>
      <c r="N1803" s="1049"/>
      <c r="O1803" s="1049"/>
      <c r="P1803" s="1050"/>
      <c r="Q1803" s="1051"/>
      <c r="R1803" s="1049"/>
      <c r="S1803" s="1049"/>
      <c r="T1803" s="1050"/>
      <c r="U1803" s="1052"/>
      <c r="V1803" s="1053"/>
      <c r="W1803" s="1053"/>
      <c r="X1803" s="1054"/>
      <c r="Y1803" s="1051" t="s">
        <v>333</v>
      </c>
      <c r="Z1803" s="1049"/>
      <c r="AA1803" s="1049"/>
      <c r="AB1803" s="1222"/>
    </row>
    <row r="1804" ht="14.4" customHeight="1" spans="1:28">
      <c r="A1804" s="1058" t="s">
        <v>209</v>
      </c>
      <c r="B1804" s="1059"/>
      <c r="C1804" s="1059"/>
      <c r="D1804" s="1060"/>
      <c r="E1804" s="1061" t="s">
        <v>315</v>
      </c>
      <c r="F1804" s="1059"/>
      <c r="G1804" s="1059"/>
      <c r="H1804" s="1060"/>
      <c r="I1804" s="1061" t="s">
        <v>210</v>
      </c>
      <c r="J1804" s="1059"/>
      <c r="K1804" s="1059"/>
      <c r="L1804" s="1060"/>
      <c r="M1804" s="1061"/>
      <c r="N1804" s="1059"/>
      <c r="O1804" s="1059"/>
      <c r="P1804" s="1060"/>
      <c r="Q1804" s="1061"/>
      <c r="R1804" s="1059"/>
      <c r="S1804" s="1059"/>
      <c r="T1804" s="1060"/>
      <c r="U1804" s="1062"/>
      <c r="V1804" s="1063"/>
      <c r="W1804" s="1063"/>
      <c r="X1804" s="1064"/>
      <c r="Y1804" s="1061"/>
      <c r="Z1804" s="1059"/>
      <c r="AA1804" s="1059"/>
      <c r="AB1804" s="1108"/>
    </row>
    <row r="1805" ht="15.75" spans="1:28">
      <c r="A1805" s="1133">
        <v>6</v>
      </c>
      <c r="B1805" s="1134"/>
      <c r="C1805" s="1134"/>
      <c r="D1805" s="1134"/>
      <c r="E1805" s="1134">
        <v>0.3</v>
      </c>
      <c r="F1805" s="1134"/>
      <c r="G1805" s="1134"/>
      <c r="H1805" s="1134"/>
      <c r="I1805" s="1134">
        <v>0.02</v>
      </c>
      <c r="J1805" s="1134"/>
      <c r="K1805" s="1134"/>
      <c r="L1805" s="1134"/>
      <c r="M1805" s="1134">
        <v>2</v>
      </c>
      <c r="N1805" s="1134"/>
      <c r="O1805" s="1134"/>
      <c r="P1805" s="1134"/>
      <c r="Q1805" s="1216"/>
      <c r="R1805" s="1217"/>
      <c r="S1805" s="1217"/>
      <c r="T1805" s="1218"/>
      <c r="U1805" s="1219"/>
      <c r="V1805" s="1220"/>
      <c r="W1805" s="1220"/>
      <c r="X1805" s="1221"/>
      <c r="Y1805" s="1135">
        <f>ROUNDUP((((E1805+A1805)*2)*I1805*M1805),2)</f>
        <v>0.51</v>
      </c>
      <c r="Z1805" s="1135"/>
      <c r="AA1805" s="1135"/>
      <c r="AB1805" s="1136"/>
    </row>
    <row r="1806" ht="15.75" spans="1:28">
      <c r="A1806" s="1079" t="s">
        <v>477</v>
      </c>
      <c r="B1806" s="1080"/>
      <c r="C1806" s="1080"/>
      <c r="D1806" s="1080"/>
      <c r="E1806" s="1080"/>
      <c r="F1806" s="1080"/>
      <c r="G1806" s="1080"/>
      <c r="H1806" s="1080"/>
      <c r="I1806" s="1080"/>
      <c r="J1806" s="1080"/>
      <c r="K1806" s="1080"/>
      <c r="L1806" s="1080"/>
      <c r="M1806" s="1080"/>
      <c r="N1806" s="1080"/>
      <c r="O1806" s="1080"/>
      <c r="P1806" s="1080"/>
      <c r="Q1806" s="1080"/>
      <c r="R1806" s="1080"/>
      <c r="S1806" s="1080"/>
      <c r="T1806" s="1080"/>
      <c r="U1806" s="1080"/>
      <c r="V1806" s="1080"/>
      <c r="W1806" s="1080"/>
      <c r="X1806" s="1080"/>
      <c r="Y1806" s="1080"/>
      <c r="Z1806" s="1080"/>
      <c r="AA1806" s="1080"/>
      <c r="AB1806" s="1081"/>
    </row>
    <row r="1807" s="1037" customFormat="1" spans="1:28">
      <c r="A1807" s="1214" t="s">
        <v>472</v>
      </c>
      <c r="AB1807" s="1215"/>
    </row>
    <row r="1808" spans="1:28">
      <c r="A1808" s="1083"/>
      <c r="AB1808" s="1044"/>
    </row>
    <row r="1809" spans="1:28">
      <c r="A1809" s="1083"/>
      <c r="AB1809" s="1044"/>
    </row>
    <row r="1810" spans="1:28">
      <c r="A1810" s="1083"/>
      <c r="AB1810" s="1044"/>
    </row>
    <row r="1811" spans="1:28">
      <c r="A1811" s="1083"/>
      <c r="AB1811" s="1044"/>
    </row>
    <row r="1812" spans="1:28">
      <c r="A1812" s="1083"/>
      <c r="AB1812" s="1044"/>
    </row>
    <row r="1813" spans="1:28">
      <c r="A1813" s="1083"/>
      <c r="AB1813" s="1044"/>
    </row>
    <row r="1814" spans="1:28">
      <c r="A1814" s="1083"/>
      <c r="AB1814" s="1044"/>
    </row>
    <row r="1815" spans="1:28">
      <c r="A1815" s="1083"/>
      <c r="AB1815" s="1044"/>
    </row>
    <row r="1816" spans="1:28">
      <c r="A1816" s="1083"/>
      <c r="AB1816" s="1044"/>
    </row>
    <row r="1817" spans="1:28">
      <c r="A1817" s="1099" t="s">
        <v>473</v>
      </c>
      <c r="B1817" s="424"/>
      <c r="C1817" s="424"/>
      <c r="D1817" s="424"/>
      <c r="E1817" s="424"/>
      <c r="F1817" s="424"/>
      <c r="G1817" s="424"/>
      <c r="H1817" s="424"/>
      <c r="I1817" s="424"/>
      <c r="J1817" s="424"/>
      <c r="K1817" s="424"/>
      <c r="L1817" s="424"/>
      <c r="M1817" s="424"/>
      <c r="N1817" s="424"/>
      <c r="O1817" s="424"/>
      <c r="P1817" s="424"/>
      <c r="Q1817" s="424"/>
      <c r="R1817" s="424"/>
      <c r="S1817" s="424"/>
      <c r="T1817" s="424"/>
      <c r="U1817" s="424"/>
      <c r="V1817" s="424"/>
      <c r="W1817" s="424"/>
      <c r="X1817" s="424"/>
      <c r="Y1817" s="424"/>
      <c r="Z1817" s="424"/>
      <c r="AA1817" s="424"/>
      <c r="AB1817" s="1100"/>
    </row>
    <row r="1818" ht="14.4" customHeight="1" spans="1:28">
      <c r="A1818" s="1048" t="s">
        <v>205</v>
      </c>
      <c r="B1818" s="1049"/>
      <c r="C1818" s="1049"/>
      <c r="D1818" s="1050"/>
      <c r="E1818" s="1051" t="s">
        <v>206</v>
      </c>
      <c r="F1818" s="1049"/>
      <c r="G1818" s="1049"/>
      <c r="H1818" s="1050"/>
      <c r="I1818" s="1051" t="s">
        <v>235</v>
      </c>
      <c r="J1818" s="1049"/>
      <c r="K1818" s="1049"/>
      <c r="L1818" s="1050"/>
      <c r="M1818" s="1051" t="s">
        <v>470</v>
      </c>
      <c r="N1818" s="1049"/>
      <c r="O1818" s="1049"/>
      <c r="P1818" s="1050"/>
      <c r="Q1818" s="1051"/>
      <c r="R1818" s="1049"/>
      <c r="S1818" s="1049"/>
      <c r="T1818" s="1050"/>
      <c r="U1818" s="1052"/>
      <c r="V1818" s="1053"/>
      <c r="W1818" s="1053"/>
      <c r="X1818" s="1054"/>
      <c r="Y1818" s="1051" t="s">
        <v>333</v>
      </c>
      <c r="Z1818" s="1049"/>
      <c r="AA1818" s="1049"/>
      <c r="AB1818" s="1222"/>
    </row>
    <row r="1819" ht="14.4" customHeight="1" spans="1:28">
      <c r="A1819" s="1058" t="s">
        <v>209</v>
      </c>
      <c r="B1819" s="1059"/>
      <c r="C1819" s="1059"/>
      <c r="D1819" s="1060"/>
      <c r="E1819" s="1061" t="s">
        <v>315</v>
      </c>
      <c r="F1819" s="1059"/>
      <c r="G1819" s="1059"/>
      <c r="H1819" s="1060"/>
      <c r="I1819" s="1061" t="s">
        <v>210</v>
      </c>
      <c r="J1819" s="1059"/>
      <c r="K1819" s="1059"/>
      <c r="L1819" s="1060"/>
      <c r="M1819" s="1061"/>
      <c r="N1819" s="1059"/>
      <c r="O1819" s="1059"/>
      <c r="P1819" s="1060"/>
      <c r="Q1819" s="1061"/>
      <c r="R1819" s="1059"/>
      <c r="S1819" s="1059"/>
      <c r="T1819" s="1060"/>
      <c r="U1819" s="1062"/>
      <c r="V1819" s="1063"/>
      <c r="W1819" s="1063"/>
      <c r="X1819" s="1064"/>
      <c r="Y1819" s="1061"/>
      <c r="Z1819" s="1059"/>
      <c r="AA1819" s="1059"/>
      <c r="AB1819" s="1108"/>
    </row>
    <row r="1820" ht="15.75" spans="1:28">
      <c r="A1820" s="1133">
        <v>6</v>
      </c>
      <c r="B1820" s="1134"/>
      <c r="C1820" s="1134"/>
      <c r="D1820" s="1134"/>
      <c r="E1820" s="1134">
        <v>0.15</v>
      </c>
      <c r="F1820" s="1134"/>
      <c r="G1820" s="1134"/>
      <c r="H1820" s="1134"/>
      <c r="I1820" s="1134">
        <v>0.02</v>
      </c>
      <c r="J1820" s="1134"/>
      <c r="K1820" s="1134"/>
      <c r="L1820" s="1134"/>
      <c r="M1820" s="1134">
        <v>2</v>
      </c>
      <c r="N1820" s="1134"/>
      <c r="O1820" s="1134"/>
      <c r="P1820" s="1134"/>
      <c r="Q1820" s="1216"/>
      <c r="R1820" s="1217"/>
      <c r="S1820" s="1217"/>
      <c r="T1820" s="1218"/>
      <c r="U1820" s="1219"/>
      <c r="V1820" s="1220"/>
      <c r="W1820" s="1220"/>
      <c r="X1820" s="1221"/>
      <c r="Y1820" s="1135">
        <f>ROUNDUP((((E1820+A1820)*2)*I1820*M1820),2)</f>
        <v>0.5</v>
      </c>
      <c r="Z1820" s="1135"/>
      <c r="AA1820" s="1135"/>
      <c r="AB1820" s="1136"/>
    </row>
    <row r="1821" ht="15.75" spans="1:28">
      <c r="A1821" s="1079" t="s">
        <v>474</v>
      </c>
      <c r="B1821" s="1080"/>
      <c r="C1821" s="1080"/>
      <c r="D1821" s="1080"/>
      <c r="E1821" s="1080"/>
      <c r="F1821" s="1080"/>
      <c r="G1821" s="1080"/>
      <c r="H1821" s="1080"/>
      <c r="I1821" s="1080"/>
      <c r="J1821" s="1080"/>
      <c r="K1821" s="1080"/>
      <c r="L1821" s="1080"/>
      <c r="M1821" s="1080"/>
      <c r="N1821" s="1080"/>
      <c r="O1821" s="1080"/>
      <c r="P1821" s="1080"/>
      <c r="Q1821" s="1080"/>
      <c r="R1821" s="1080"/>
      <c r="S1821" s="1080"/>
      <c r="T1821" s="1080"/>
      <c r="U1821" s="1080"/>
      <c r="V1821" s="1080"/>
      <c r="W1821" s="1080"/>
      <c r="X1821" s="1080"/>
      <c r="Y1821" s="1080"/>
      <c r="Z1821" s="1080"/>
      <c r="AA1821" s="1080"/>
      <c r="AB1821" s="1081"/>
    </row>
    <row r="1822" ht="15.75" spans="1:28">
      <c r="A1822" s="1083"/>
      <c r="AB1822" s="1044"/>
    </row>
    <row r="1823" spans="1:28">
      <c r="A1823" s="1083"/>
      <c r="K1823" s="1084" t="s">
        <v>478</v>
      </c>
      <c r="L1823" s="1085"/>
      <c r="M1823" s="1085"/>
      <c r="N1823" s="1085"/>
      <c r="O1823" s="1085"/>
      <c r="P1823" s="1085"/>
      <c r="Q1823" s="1085"/>
      <c r="R1823" s="1086"/>
      <c r="AB1823" s="1044"/>
    </row>
    <row r="1824" spans="1:28">
      <c r="A1824" s="1083"/>
      <c r="K1824" s="1087" t="s">
        <v>479</v>
      </c>
      <c r="L1824" s="1088"/>
      <c r="M1824" s="1088"/>
      <c r="N1824" s="1088"/>
      <c r="O1824" s="1088"/>
      <c r="P1824" s="1088"/>
      <c r="Q1824" s="1088"/>
      <c r="R1824" s="1089"/>
      <c r="AB1824" s="1044"/>
    </row>
    <row r="1825" spans="1:28">
      <c r="A1825" s="1083"/>
      <c r="K1825" s="1090"/>
      <c r="L1825" s="1091"/>
      <c r="M1825" s="1091"/>
      <c r="N1825" s="1091"/>
      <c r="O1825" s="1091"/>
      <c r="P1825" s="1091"/>
      <c r="Q1825" s="1091"/>
      <c r="R1825" s="1092"/>
      <c r="AB1825" s="1044"/>
    </row>
    <row r="1826" ht="15.75" spans="1:28">
      <c r="A1826" s="1083"/>
      <c r="K1826" s="1093">
        <f>ROUNDUP(Y1805+Y1820,2)</f>
        <v>1.01</v>
      </c>
      <c r="L1826" s="1094"/>
      <c r="M1826" s="1094"/>
      <c r="N1826" s="1094"/>
      <c r="O1826" s="1094"/>
      <c r="P1826" s="1094"/>
      <c r="Q1826" s="1094"/>
      <c r="R1826" s="1095"/>
      <c r="AB1826" s="1044"/>
    </row>
    <row r="1827" ht="15.75" spans="1:28">
      <c r="A1827" s="1096"/>
      <c r="B1827" s="389"/>
      <c r="C1827" s="389"/>
      <c r="D1827" s="389"/>
      <c r="E1827" s="389"/>
      <c r="F1827" s="389"/>
      <c r="G1827" s="389"/>
      <c r="H1827" s="389"/>
      <c r="I1827" s="1097"/>
      <c r="J1827" s="1097"/>
      <c r="K1827" s="1097"/>
      <c r="L1827" s="1097"/>
      <c r="M1827" s="1097"/>
      <c r="N1827" s="1097"/>
      <c r="O1827" s="1097"/>
      <c r="P1827" s="1097"/>
      <c r="Q1827" s="389"/>
      <c r="R1827" s="389"/>
      <c r="S1827" s="389"/>
      <c r="T1827" s="389"/>
      <c r="U1827" s="389"/>
      <c r="V1827" s="389"/>
      <c r="W1827" s="389"/>
      <c r="X1827" s="389"/>
      <c r="Y1827" s="389"/>
      <c r="Z1827" s="389"/>
      <c r="AA1827" s="389"/>
      <c r="AB1827" s="1098"/>
    </row>
    <row r="1828" s="437" customFormat="1" spans="1:28">
      <c r="A1828" s="1040" t="s">
        <v>480</v>
      </c>
      <c r="B1828" s="1114"/>
      <c r="C1828" s="1114"/>
      <c r="D1828" s="1114"/>
      <c r="E1828" s="1114"/>
      <c r="F1828" s="1114"/>
      <c r="G1828" s="1114"/>
      <c r="H1828" s="1114"/>
      <c r="I1828" s="1129"/>
      <c r="J1828" s="1129"/>
      <c r="K1828" s="1129"/>
      <c r="L1828" s="1129"/>
      <c r="M1828" s="1129"/>
      <c r="N1828" s="1129"/>
      <c r="O1828" s="1129"/>
      <c r="P1828" s="1129"/>
      <c r="Q1828" s="1114"/>
      <c r="R1828" s="1114"/>
      <c r="S1828" s="1114"/>
      <c r="T1828" s="1114"/>
      <c r="U1828" s="1114"/>
      <c r="V1828" s="1114"/>
      <c r="W1828" s="1114"/>
      <c r="X1828" s="1114"/>
      <c r="Y1828" s="1114"/>
      <c r="Z1828" s="1114"/>
      <c r="AA1828" s="1114"/>
      <c r="AB1828" s="1115"/>
    </row>
    <row r="1829" spans="1:28">
      <c r="A1829" s="1083"/>
      <c r="I1829" s="1130"/>
      <c r="J1829" s="1130"/>
      <c r="K1829" s="1130"/>
      <c r="L1829" s="1130"/>
      <c r="M1829" s="1130"/>
      <c r="N1829" s="1130"/>
      <c r="O1829" s="1130"/>
      <c r="P1829" s="1130"/>
      <c r="AB1829" s="1044"/>
    </row>
    <row r="1830" spans="1:28">
      <c r="A1830" s="1083"/>
      <c r="I1830" s="1130"/>
      <c r="J1830" s="1130"/>
      <c r="K1830" s="1130"/>
      <c r="L1830" s="1130"/>
      <c r="M1830" s="1130"/>
      <c r="N1830" s="1130"/>
      <c r="O1830" s="1130"/>
      <c r="P1830" s="1130"/>
      <c r="AB1830" s="1044"/>
    </row>
    <row r="1831" spans="1:28">
      <c r="A1831" s="1083"/>
      <c r="I1831" s="1130"/>
      <c r="J1831" s="1130"/>
      <c r="K1831" s="1130"/>
      <c r="L1831" s="1130"/>
      <c r="M1831" s="1130"/>
      <c r="N1831" s="1130"/>
      <c r="O1831" s="1130"/>
      <c r="P1831" s="1130"/>
      <c r="AB1831" s="1044"/>
    </row>
    <row r="1832" spans="1:28">
      <c r="A1832" s="1083"/>
      <c r="I1832" s="1130"/>
      <c r="J1832" s="1130"/>
      <c r="K1832" s="1130"/>
      <c r="L1832" s="1130"/>
      <c r="M1832" s="1130"/>
      <c r="N1832" s="1130"/>
      <c r="O1832" s="1130"/>
      <c r="P1832" s="1130"/>
      <c r="AB1832" s="1044"/>
    </row>
    <row r="1833" spans="1:28">
      <c r="A1833" s="1083"/>
      <c r="I1833" s="1130"/>
      <c r="J1833" s="1130"/>
      <c r="K1833" s="1130"/>
      <c r="L1833" s="1130"/>
      <c r="M1833" s="1130"/>
      <c r="N1833" s="1130"/>
      <c r="O1833" s="1130"/>
      <c r="P1833" s="1130"/>
      <c r="AB1833" s="1044"/>
    </row>
    <row r="1834" spans="1:28">
      <c r="A1834" s="1083"/>
      <c r="I1834" s="1130"/>
      <c r="J1834" s="1130"/>
      <c r="K1834" s="1130"/>
      <c r="L1834" s="1130"/>
      <c r="M1834" s="1130"/>
      <c r="N1834" s="1130"/>
      <c r="O1834" s="1130"/>
      <c r="P1834" s="1130"/>
      <c r="AB1834" s="1044"/>
    </row>
    <row r="1835" spans="1:28">
      <c r="A1835" s="1083"/>
      <c r="I1835" s="1130"/>
      <c r="J1835" s="1130"/>
      <c r="K1835" s="1130"/>
      <c r="L1835" s="1130"/>
      <c r="M1835" s="1130"/>
      <c r="N1835" s="1130"/>
      <c r="O1835" s="1130"/>
      <c r="P1835" s="1130"/>
      <c r="AB1835" s="1044"/>
    </row>
    <row r="1836" spans="1:28">
      <c r="A1836" s="1083"/>
      <c r="I1836" s="1130"/>
      <c r="J1836" s="1130"/>
      <c r="K1836" s="1130"/>
      <c r="L1836" s="1130"/>
      <c r="M1836" s="1130"/>
      <c r="N1836" s="1130"/>
      <c r="O1836" s="1130"/>
      <c r="P1836" s="1130"/>
      <c r="AB1836" s="1044"/>
    </row>
    <row r="1837" spans="1:28">
      <c r="A1837" s="1083"/>
      <c r="I1837" s="1130"/>
      <c r="J1837" s="1130"/>
      <c r="K1837" s="1130"/>
      <c r="L1837" s="1130"/>
      <c r="M1837" s="1130"/>
      <c r="N1837" s="1130"/>
      <c r="O1837" s="1130"/>
      <c r="P1837" s="1130"/>
      <c r="AB1837" s="1044"/>
    </row>
    <row r="1838" spans="1:28">
      <c r="A1838" s="1083"/>
      <c r="I1838" s="1130"/>
      <c r="J1838" s="1130"/>
      <c r="K1838" s="1130"/>
      <c r="L1838" s="1130"/>
      <c r="M1838" s="1130"/>
      <c r="N1838" s="1130"/>
      <c r="O1838" s="1130"/>
      <c r="P1838" s="1130"/>
      <c r="AB1838" s="1044"/>
    </row>
    <row r="1839" spans="1:28">
      <c r="A1839" s="1083"/>
      <c r="I1839" s="1130"/>
      <c r="J1839" s="1130"/>
      <c r="K1839" s="1130"/>
      <c r="L1839" s="1130"/>
      <c r="M1839" s="1130"/>
      <c r="N1839" s="1130"/>
      <c r="O1839" s="1130"/>
      <c r="P1839" s="1130"/>
      <c r="AB1839" s="1044"/>
    </row>
    <row r="1840" spans="1:28">
      <c r="A1840" s="1083"/>
      <c r="I1840" s="1130"/>
      <c r="J1840" s="1130"/>
      <c r="K1840" s="1130"/>
      <c r="L1840" s="1130"/>
      <c r="M1840" s="1130"/>
      <c r="N1840" s="1130"/>
      <c r="O1840" s="1130"/>
      <c r="P1840" s="1130"/>
      <c r="AB1840" s="1044"/>
    </row>
    <row r="1841" spans="1:28">
      <c r="A1841" s="1083"/>
      <c r="I1841" s="1130"/>
      <c r="J1841" s="1130"/>
      <c r="K1841" s="1130"/>
      <c r="L1841" s="1130"/>
      <c r="M1841" s="1130"/>
      <c r="N1841" s="1130"/>
      <c r="O1841" s="1130"/>
      <c r="P1841" s="1130"/>
      <c r="AB1841" s="1044"/>
    </row>
    <row r="1842" spans="1:28">
      <c r="A1842" s="1083"/>
      <c r="I1842" s="1130"/>
      <c r="J1842" s="1130"/>
      <c r="K1842" s="1130"/>
      <c r="L1842" s="1130"/>
      <c r="M1842" s="1130"/>
      <c r="N1842" s="1130"/>
      <c r="O1842" s="1130"/>
      <c r="P1842" s="1130"/>
      <c r="AB1842" s="1044"/>
    </row>
    <row r="1843" spans="1:28">
      <c r="A1843" s="1083"/>
      <c r="I1843" s="1130"/>
      <c r="J1843" s="1130"/>
      <c r="K1843" s="1130"/>
      <c r="L1843" s="1130"/>
      <c r="M1843" s="1130"/>
      <c r="N1843" s="1130"/>
      <c r="O1843" s="1130"/>
      <c r="P1843" s="1130"/>
      <c r="AB1843" s="1044"/>
    </row>
    <row r="1844" spans="1:28">
      <c r="A1844" s="1083"/>
      <c r="I1844" s="1130"/>
      <c r="J1844" s="1130"/>
      <c r="K1844" s="1130"/>
      <c r="L1844" s="1130"/>
      <c r="M1844" s="1130"/>
      <c r="N1844" s="1130"/>
      <c r="O1844" s="1130"/>
      <c r="P1844" s="1130"/>
      <c r="AB1844" s="1044"/>
    </row>
    <row r="1845" spans="1:28">
      <c r="A1845" s="1083"/>
      <c r="I1845" s="1130"/>
      <c r="J1845" s="1130"/>
      <c r="K1845" s="1130"/>
      <c r="L1845" s="1130"/>
      <c r="M1845" s="1130"/>
      <c r="N1845" s="1130"/>
      <c r="O1845" s="1130"/>
      <c r="P1845" s="1130"/>
      <c r="AB1845" s="1044"/>
    </row>
    <row r="1846" spans="1:28">
      <c r="A1846" s="1083"/>
      <c r="I1846" s="1130"/>
      <c r="J1846" s="1130"/>
      <c r="K1846" s="1130"/>
      <c r="L1846" s="1130"/>
      <c r="M1846" s="1130"/>
      <c r="N1846" s="1130"/>
      <c r="O1846" s="1130"/>
      <c r="P1846" s="1130"/>
      <c r="AB1846" s="1044"/>
    </row>
    <row r="1847" spans="1:28">
      <c r="A1847" s="1083"/>
      <c r="I1847" s="1130"/>
      <c r="J1847" s="1130"/>
      <c r="K1847" s="1130"/>
      <c r="L1847" s="1130"/>
      <c r="M1847" s="1130"/>
      <c r="N1847" s="1130"/>
      <c r="O1847" s="1130"/>
      <c r="P1847" s="1130"/>
      <c r="AB1847" s="1044"/>
    </row>
    <row r="1848" spans="1:28">
      <c r="A1848" s="1083"/>
      <c r="I1848" s="1130"/>
      <c r="J1848" s="1130"/>
      <c r="K1848" s="1130"/>
      <c r="L1848" s="1130"/>
      <c r="M1848" s="1130"/>
      <c r="N1848" s="1130"/>
      <c r="O1848" s="1130"/>
      <c r="P1848" s="1130"/>
      <c r="AB1848" s="1044"/>
    </row>
    <row r="1849" spans="1:28">
      <c r="A1849" s="1083"/>
      <c r="I1849" s="1130"/>
      <c r="J1849" s="1130"/>
      <c r="K1849" s="1130"/>
      <c r="L1849" s="1130"/>
      <c r="M1849" s="1130"/>
      <c r="N1849" s="1130"/>
      <c r="O1849" s="1130"/>
      <c r="P1849" s="1130"/>
      <c r="AB1849" s="1044"/>
    </row>
    <row r="1850" spans="1:28">
      <c r="A1850" s="1083"/>
      <c r="I1850" s="1130"/>
      <c r="J1850" s="1130"/>
      <c r="K1850" s="1130"/>
      <c r="L1850" s="1130"/>
      <c r="M1850" s="1130"/>
      <c r="N1850" s="1130"/>
      <c r="O1850" s="1130"/>
      <c r="P1850" s="1130"/>
      <c r="AB1850" s="1044"/>
    </row>
    <row r="1851" spans="1:28">
      <c r="A1851" s="1083"/>
      <c r="I1851" s="1130"/>
      <c r="J1851" s="1130"/>
      <c r="K1851" s="1130"/>
      <c r="L1851" s="1130"/>
      <c r="M1851" s="1130"/>
      <c r="N1851" s="1130"/>
      <c r="O1851" s="1130"/>
      <c r="P1851" s="1130"/>
      <c r="AB1851" s="1044"/>
    </row>
    <row r="1852" spans="1:28">
      <c r="A1852" s="1083"/>
      <c r="I1852" s="1130"/>
      <c r="J1852" s="1130"/>
      <c r="K1852" s="1130"/>
      <c r="L1852" s="1130"/>
      <c r="M1852" s="1130"/>
      <c r="N1852" s="1130"/>
      <c r="O1852" s="1130"/>
      <c r="P1852" s="1130"/>
      <c r="AB1852" s="1044"/>
    </row>
    <row r="1853" spans="1:28">
      <c r="A1853" s="1083"/>
      <c r="I1853" s="1130"/>
      <c r="J1853" s="1130"/>
      <c r="K1853" s="1130"/>
      <c r="L1853" s="1130"/>
      <c r="M1853" s="1130"/>
      <c r="N1853" s="1130"/>
      <c r="O1853" s="1130"/>
      <c r="P1853" s="1130"/>
      <c r="AB1853" s="1044"/>
    </row>
    <row r="1854" spans="1:28">
      <c r="A1854" s="1083"/>
      <c r="I1854" s="1130"/>
      <c r="J1854" s="1130"/>
      <c r="K1854" s="1130"/>
      <c r="L1854" s="1130"/>
      <c r="M1854" s="1130"/>
      <c r="N1854" s="1130"/>
      <c r="O1854" s="1130"/>
      <c r="P1854" s="1130"/>
      <c r="AB1854" s="1044"/>
    </row>
    <row r="1855" spans="1:28">
      <c r="A1855" s="1083"/>
      <c r="I1855" s="1130"/>
      <c r="J1855" s="1130"/>
      <c r="K1855" s="1130"/>
      <c r="L1855" s="1130"/>
      <c r="M1855" s="1130"/>
      <c r="N1855" s="1130"/>
      <c r="O1855" s="1130"/>
      <c r="P1855" s="1130"/>
      <c r="AB1855" s="1044"/>
    </row>
    <row r="1856" spans="1:28">
      <c r="A1856" s="1083"/>
      <c r="I1856" s="1130"/>
      <c r="J1856" s="1130"/>
      <c r="K1856" s="1130"/>
      <c r="L1856" s="1130"/>
      <c r="M1856" s="1130"/>
      <c r="N1856" s="1130"/>
      <c r="O1856" s="1130"/>
      <c r="P1856" s="1130"/>
      <c r="AB1856" s="1044"/>
    </row>
    <row r="1857" spans="1:31">
      <c r="A1857" s="1083"/>
      <c r="I1857" s="1130"/>
      <c r="J1857" s="1130"/>
      <c r="K1857" s="1130"/>
      <c r="L1857" s="1130"/>
      <c r="M1857" s="1130"/>
      <c r="N1857" s="1130"/>
      <c r="O1857" s="1130"/>
      <c r="P1857" s="1130"/>
      <c r="AB1857" s="1044"/>
    </row>
    <row r="1858" spans="1:31">
      <c r="A1858" s="1083"/>
      <c r="I1858" s="1130"/>
      <c r="J1858" s="1130"/>
      <c r="K1858" s="1130"/>
      <c r="L1858" s="1130"/>
      <c r="M1858" s="1130"/>
      <c r="N1858" s="1130"/>
      <c r="O1858" s="1130"/>
      <c r="P1858" s="1130"/>
      <c r="AB1858" s="1044"/>
    </row>
    <row r="1859" spans="1:31">
      <c r="A1859" s="1083"/>
      <c r="I1859" s="1130"/>
      <c r="J1859" s="1130"/>
      <c r="K1859" s="1130"/>
      <c r="L1859" s="1130"/>
      <c r="M1859" s="1130"/>
      <c r="N1859" s="1130"/>
      <c r="O1859" s="1130"/>
      <c r="P1859" s="1130"/>
      <c r="AB1859" s="1044"/>
    </row>
    <row r="1860" spans="1:31">
      <c r="A1860" s="1083"/>
      <c r="I1860" s="1130"/>
      <c r="J1860" s="1130"/>
      <c r="K1860" s="1130"/>
      <c r="L1860" s="1130"/>
      <c r="M1860" s="1130"/>
      <c r="N1860" s="1130"/>
      <c r="O1860" s="1130"/>
      <c r="P1860" s="1130"/>
      <c r="AB1860" s="1044"/>
    </row>
    <row r="1861" spans="1:31">
      <c r="A1861" s="1083"/>
      <c r="I1861" s="1130"/>
      <c r="J1861" s="1130"/>
      <c r="K1861" s="1130"/>
      <c r="L1861" s="1130"/>
      <c r="M1861" s="1130"/>
      <c r="N1861" s="1130"/>
      <c r="O1861" s="1130"/>
      <c r="P1861" s="1130"/>
      <c r="AB1861" s="1044"/>
    </row>
    <row r="1862" spans="1:31">
      <c r="A1862" s="1083"/>
      <c r="I1862" s="1130"/>
      <c r="J1862" s="1130"/>
      <c r="K1862" s="1130"/>
      <c r="L1862" s="1130"/>
      <c r="M1862" s="1130"/>
      <c r="N1862" s="1130"/>
      <c r="O1862" s="1130"/>
      <c r="P1862" s="1130"/>
      <c r="AB1862" s="1044"/>
    </row>
    <row r="1863" spans="1:31">
      <c r="A1863" s="1083"/>
      <c r="I1863" s="1130"/>
      <c r="J1863" s="1130"/>
      <c r="K1863" s="1130"/>
      <c r="L1863" s="1130"/>
      <c r="M1863" s="1130"/>
      <c r="N1863" s="1130"/>
      <c r="O1863" s="1130"/>
      <c r="P1863" s="1130"/>
      <c r="AB1863" s="1044"/>
    </row>
    <row r="1864" spans="1:31">
      <c r="A1864" s="1083"/>
      <c r="I1864" s="1130"/>
      <c r="J1864" s="1130"/>
      <c r="K1864" s="1130"/>
      <c r="L1864" s="1130"/>
      <c r="M1864" s="1130"/>
      <c r="N1864" s="1130"/>
      <c r="O1864" s="1130"/>
      <c r="P1864" s="1130"/>
      <c r="AB1864" s="1044"/>
    </row>
    <row r="1865" spans="1:31">
      <c r="A1865" s="1083"/>
      <c r="I1865" s="1130"/>
      <c r="J1865" s="1130"/>
      <c r="K1865" s="1130"/>
      <c r="L1865" s="1130"/>
      <c r="M1865" s="1130"/>
      <c r="N1865" s="1130"/>
      <c r="O1865" s="1130"/>
      <c r="P1865" s="1130"/>
      <c r="AB1865" s="1044"/>
    </row>
    <row r="1866" spans="1:31">
      <c r="A1866" s="1083"/>
      <c r="I1866" s="1130"/>
      <c r="J1866" s="1130"/>
      <c r="K1866" s="1130"/>
      <c r="L1866" s="1130"/>
      <c r="M1866" s="1130"/>
      <c r="N1866" s="1130"/>
      <c r="O1866" s="1130"/>
      <c r="P1866" s="1130"/>
      <c r="AB1866" s="1044"/>
    </row>
    <row r="1867" spans="1:31">
      <c r="A1867" s="1083"/>
      <c r="I1867" s="1130"/>
      <c r="J1867" s="1130"/>
      <c r="K1867" s="1130"/>
      <c r="L1867" s="1130"/>
      <c r="M1867" s="1130"/>
      <c r="N1867" s="1130"/>
      <c r="O1867" s="1130"/>
      <c r="P1867" s="1130"/>
      <c r="AB1867" s="1044"/>
    </row>
    <row r="1868" spans="1:31">
      <c r="A1868" s="1045" t="s">
        <v>122</v>
      </c>
      <c r="B1868" s="1046"/>
      <c r="C1868" s="1046"/>
      <c r="D1868" s="1046"/>
      <c r="E1868" s="1046"/>
      <c r="F1868" s="1046"/>
      <c r="G1868" s="1046"/>
      <c r="H1868" s="1046"/>
      <c r="I1868" s="1046"/>
      <c r="J1868" s="1046"/>
      <c r="K1868" s="1046"/>
      <c r="L1868" s="1046"/>
      <c r="M1868" s="1046"/>
      <c r="N1868" s="1046"/>
      <c r="O1868" s="1046"/>
      <c r="P1868" s="1046"/>
      <c r="Q1868" s="1046"/>
      <c r="R1868" s="1046"/>
      <c r="S1868" s="1046"/>
      <c r="T1868" s="1046"/>
      <c r="U1868" s="1046"/>
      <c r="V1868" s="1046"/>
      <c r="W1868" s="1046"/>
      <c r="X1868" s="1046"/>
      <c r="Y1868" s="1046"/>
      <c r="Z1868" s="1046"/>
      <c r="AA1868" s="1046"/>
      <c r="AB1868" s="1047"/>
    </row>
    <row r="1869" ht="14.4" customHeight="1" spans="1:31">
      <c r="A1869" s="1048" t="s">
        <v>269</v>
      </c>
      <c r="B1869" s="1049"/>
      <c r="C1869" s="1049"/>
      <c r="D1869" s="1050"/>
      <c r="E1869" s="1051" t="s">
        <v>270</v>
      </c>
      <c r="F1869" s="1049"/>
      <c r="G1869" s="1049"/>
      <c r="H1869" s="1050"/>
      <c r="I1869" s="1104" t="s">
        <v>271</v>
      </c>
      <c r="J1869" s="1102"/>
      <c r="K1869" s="1102"/>
      <c r="L1869" s="1103"/>
      <c r="M1869" s="1104" t="s">
        <v>272</v>
      </c>
      <c r="N1869" s="1102"/>
      <c r="O1869" s="1102"/>
      <c r="P1869" s="1103"/>
      <c r="Q1869" s="1104" t="s">
        <v>273</v>
      </c>
      <c r="R1869" s="1102"/>
      <c r="S1869" s="1102"/>
      <c r="T1869" s="1103"/>
      <c r="U1869" s="1104" t="s">
        <v>274</v>
      </c>
      <c r="V1869" s="1102"/>
      <c r="W1869" s="1102"/>
      <c r="X1869" s="1103"/>
      <c r="Y1869" s="1104" t="s">
        <v>274</v>
      </c>
      <c r="Z1869" s="1102"/>
      <c r="AA1869" s="1102"/>
      <c r="AB1869" s="1106"/>
    </row>
    <row r="1870" spans="1:31">
      <c r="A1870" s="1058"/>
      <c r="B1870" s="1059"/>
      <c r="C1870" s="1059"/>
      <c r="D1870" s="1060"/>
      <c r="E1870" s="1061"/>
      <c r="F1870" s="1059"/>
      <c r="G1870" s="1059"/>
      <c r="H1870" s="1060"/>
      <c r="I1870" s="1061" t="s">
        <v>275</v>
      </c>
      <c r="J1870" s="1059"/>
      <c r="K1870" s="1059"/>
      <c r="L1870" s="1060"/>
      <c r="M1870" s="1061" t="s">
        <v>276</v>
      </c>
      <c r="N1870" s="1059"/>
      <c r="O1870" s="1059"/>
      <c r="P1870" s="1060"/>
      <c r="Q1870" s="1061" t="s">
        <v>277</v>
      </c>
      <c r="R1870" s="1059"/>
      <c r="S1870" s="1059"/>
      <c r="T1870" s="1060"/>
      <c r="U1870" s="1061" t="s">
        <v>277</v>
      </c>
      <c r="V1870" s="1059"/>
      <c r="W1870" s="1059"/>
      <c r="X1870" s="1060"/>
      <c r="Y1870" s="1061" t="s">
        <v>278</v>
      </c>
      <c r="Z1870" s="1059"/>
      <c r="AA1870" s="1059"/>
      <c r="AB1870" s="1108"/>
    </row>
    <row r="1871" spans="1:31">
      <c r="A1871" s="1122" t="s">
        <v>279</v>
      </c>
      <c r="B1871" s="1073"/>
      <c r="C1871" s="1073"/>
      <c r="D1871" s="1073"/>
      <c r="E1871" s="1069">
        <v>11</v>
      </c>
      <c r="F1871" s="1069"/>
      <c r="G1871" s="1069"/>
      <c r="H1871" s="1069"/>
      <c r="I1871" s="1160">
        <v>8</v>
      </c>
      <c r="J1871" s="1160"/>
      <c r="K1871" s="1160"/>
      <c r="L1871" s="1160"/>
      <c r="M1871" s="1160">
        <v>82</v>
      </c>
      <c r="N1871" s="1160"/>
      <c r="O1871" s="1160"/>
      <c r="P1871" s="1160"/>
      <c r="Q1871" s="1160">
        <v>75</v>
      </c>
      <c r="R1871" s="1160"/>
      <c r="S1871" s="1160"/>
      <c r="T1871" s="1160"/>
      <c r="U1871" s="1161">
        <f t="shared" ref="U1871:U1872" si="9">M1871*Q1871</f>
        <v>6150</v>
      </c>
      <c r="V1871" s="1161"/>
      <c r="W1871" s="1161"/>
      <c r="X1871" s="1161"/>
      <c r="Y1871" s="1162">
        <f>U1871/100</f>
        <v>61.5</v>
      </c>
      <c r="Z1871" s="1162"/>
      <c r="AA1871" s="1162"/>
      <c r="AB1871" s="1163"/>
      <c r="AE1871" s="1164"/>
    </row>
    <row r="1872" ht="15.75" spans="1:31">
      <c r="A1872" s="1133" t="s">
        <v>279</v>
      </c>
      <c r="B1872" s="1134"/>
      <c r="C1872" s="1134"/>
      <c r="D1872" s="1134"/>
      <c r="E1872" s="1137">
        <v>12</v>
      </c>
      <c r="F1872" s="1137"/>
      <c r="G1872" s="1137"/>
      <c r="H1872" s="1137"/>
      <c r="I1872" s="1138">
        <v>12.5</v>
      </c>
      <c r="J1872" s="1138"/>
      <c r="K1872" s="1138"/>
      <c r="L1872" s="1138"/>
      <c r="M1872" s="1138">
        <v>82</v>
      </c>
      <c r="N1872" s="1138"/>
      <c r="O1872" s="1138"/>
      <c r="P1872" s="1138"/>
      <c r="Q1872" s="1138">
        <v>180</v>
      </c>
      <c r="R1872" s="1138"/>
      <c r="S1872" s="1138"/>
      <c r="T1872" s="1138"/>
      <c r="U1872" s="1142">
        <f t="shared" si="9"/>
        <v>14760</v>
      </c>
      <c r="V1872" s="1142"/>
      <c r="W1872" s="1142"/>
      <c r="X1872" s="1142"/>
      <c r="Y1872" s="1169">
        <f t="shared" ref="Y1872" si="10">U1872/100</f>
        <v>147.6</v>
      </c>
      <c r="Z1872" s="1169"/>
      <c r="AA1872" s="1169"/>
      <c r="AB1872" s="1170"/>
      <c r="AE1872" s="1164"/>
    </row>
    <row r="1873" ht="15.75" spans="1:28">
      <c r="A1873" s="1083"/>
      <c r="AB1873" s="1044"/>
    </row>
    <row r="1874" spans="1:28">
      <c r="A1874" s="1083"/>
      <c r="K1874" s="1084" t="s">
        <v>481</v>
      </c>
      <c r="L1874" s="1085"/>
      <c r="M1874" s="1085"/>
      <c r="N1874" s="1085"/>
      <c r="O1874" s="1085"/>
      <c r="P1874" s="1085"/>
      <c r="Q1874" s="1085"/>
      <c r="R1874" s="1086"/>
      <c r="AB1874" s="1044"/>
    </row>
    <row r="1875" spans="1:28">
      <c r="A1875" s="1083"/>
      <c r="K1875" s="1087" t="s">
        <v>281</v>
      </c>
      <c r="L1875" s="1088"/>
      <c r="M1875" s="1088"/>
      <c r="N1875" s="1088"/>
      <c r="O1875" s="1088"/>
      <c r="P1875" s="1088"/>
      <c r="Q1875" s="1088"/>
      <c r="R1875" s="1089"/>
      <c r="AB1875" s="1044"/>
    </row>
    <row r="1876" spans="1:28">
      <c r="A1876" s="1083"/>
      <c r="K1876" s="1090"/>
      <c r="L1876" s="1091"/>
      <c r="M1876" s="1091"/>
      <c r="N1876" s="1091"/>
      <c r="O1876" s="1091"/>
      <c r="P1876" s="1091"/>
      <c r="Q1876" s="1091"/>
      <c r="R1876" s="1092"/>
      <c r="AB1876" s="1044"/>
    </row>
    <row r="1877" ht="15.75" spans="1:28">
      <c r="A1877" s="1083"/>
      <c r="K1877" s="1171">
        <f>ROUNDUP(ROUNDUP((((Y1871)*((PI()*((I1871^2)/4))*7850))+((Y1872)*((PI()*((I1872^2)/4))*7850)))/1000000,2)/0.05,0)*0.05</f>
        <v>166.5</v>
      </c>
      <c r="L1877" s="1172"/>
      <c r="M1877" s="1172"/>
      <c r="N1877" s="1172"/>
      <c r="O1877" s="1172"/>
      <c r="P1877" s="1172"/>
      <c r="Q1877" s="1172"/>
      <c r="R1877" s="1173"/>
      <c r="AB1877" s="1044"/>
    </row>
    <row r="1878" ht="15.75" spans="1:28">
      <c r="A1878" s="1096"/>
      <c r="B1878" s="389"/>
      <c r="C1878" s="389"/>
      <c r="D1878" s="389"/>
      <c r="E1878" s="389"/>
      <c r="F1878" s="389"/>
      <c r="G1878" s="389"/>
      <c r="H1878" s="389"/>
      <c r="I1878" s="1097"/>
      <c r="J1878" s="1097"/>
      <c r="K1878" s="1097"/>
      <c r="L1878" s="1097"/>
      <c r="M1878" s="1097"/>
      <c r="N1878" s="1097"/>
      <c r="O1878" s="1097"/>
      <c r="P1878" s="1097"/>
      <c r="Q1878" s="389"/>
      <c r="R1878" s="389"/>
      <c r="S1878" s="389"/>
      <c r="T1878" s="389"/>
      <c r="U1878" s="389"/>
      <c r="V1878" s="389"/>
      <c r="W1878" s="389"/>
      <c r="X1878" s="389"/>
      <c r="Y1878" s="389"/>
      <c r="Z1878" s="389"/>
      <c r="AA1878" s="389"/>
      <c r="AB1878" s="1098"/>
    </row>
    <row r="1879" spans="1:28">
      <c r="A1879" s="1040" t="s">
        <v>482</v>
      </c>
      <c r="B1879" s="1041"/>
      <c r="C1879" s="1041"/>
      <c r="D1879" s="1041"/>
      <c r="E1879" s="1041"/>
      <c r="F1879" s="1041"/>
      <c r="G1879" s="1041"/>
      <c r="H1879" s="1041"/>
      <c r="I1879" s="1041"/>
      <c r="J1879" s="1041"/>
      <c r="K1879" s="1041"/>
      <c r="L1879" s="1041"/>
      <c r="M1879" s="1041"/>
      <c r="N1879" s="1041"/>
      <c r="O1879" s="1041"/>
      <c r="P1879" s="1041"/>
      <c r="Q1879" s="1041"/>
      <c r="R1879" s="1041"/>
      <c r="S1879" s="1041"/>
      <c r="T1879" s="1041"/>
      <c r="U1879" s="1041"/>
      <c r="V1879" s="1041"/>
      <c r="W1879" s="1041"/>
      <c r="X1879" s="1041"/>
      <c r="Y1879" s="1041"/>
      <c r="Z1879" s="1041"/>
      <c r="AA1879" s="1041"/>
      <c r="AB1879" s="1042"/>
    </row>
    <row r="1880" s="1037" customFormat="1" spans="1:28">
      <c r="A1880" s="1214" t="s">
        <v>468</v>
      </c>
      <c r="AB1880" s="1215"/>
    </row>
    <row r="1881" spans="1:28">
      <c r="A1881" s="1083"/>
      <c r="AB1881" s="1044"/>
    </row>
    <row r="1882" spans="1:28">
      <c r="A1882" s="1083"/>
      <c r="AB1882" s="1044"/>
    </row>
    <row r="1883" spans="1:28">
      <c r="A1883" s="1083"/>
      <c r="AB1883" s="1044"/>
    </row>
    <row r="1884" spans="1:28">
      <c r="A1884" s="1083"/>
      <c r="AB1884" s="1044"/>
    </row>
    <row r="1885" spans="1:28">
      <c r="A1885" s="1083"/>
      <c r="AB1885" s="1044"/>
    </row>
    <row r="1886" spans="1:28">
      <c r="A1886" s="1083"/>
      <c r="AB1886" s="1044"/>
    </row>
    <row r="1887" spans="1:28">
      <c r="A1887" s="1083"/>
      <c r="AB1887" s="1044"/>
    </row>
    <row r="1888" spans="1:28">
      <c r="A1888" s="1083"/>
      <c r="AB1888" s="1044"/>
    </row>
    <row r="1889" spans="1:28">
      <c r="A1889" s="1083"/>
      <c r="AB1889" s="1044"/>
    </row>
    <row r="1890" spans="1:28">
      <c r="A1890" s="1099" t="s">
        <v>469</v>
      </c>
      <c r="B1890" s="424"/>
      <c r="C1890" s="424"/>
      <c r="D1890" s="424"/>
      <c r="E1890" s="424"/>
      <c r="F1890" s="424"/>
      <c r="G1890" s="424"/>
      <c r="H1890" s="424"/>
      <c r="I1890" s="424"/>
      <c r="J1890" s="424"/>
      <c r="K1890" s="424"/>
      <c r="L1890" s="424"/>
      <c r="M1890" s="424"/>
      <c r="N1890" s="424"/>
      <c r="O1890" s="424"/>
      <c r="P1890" s="424"/>
      <c r="Q1890" s="424"/>
      <c r="R1890" s="424"/>
      <c r="S1890" s="424"/>
      <c r="T1890" s="424"/>
      <c r="U1890" s="424"/>
      <c r="V1890" s="424"/>
      <c r="W1890" s="424"/>
      <c r="X1890" s="424"/>
      <c r="Y1890" s="424"/>
      <c r="Z1890" s="424"/>
      <c r="AA1890" s="424"/>
      <c r="AB1890" s="1100"/>
    </row>
    <row r="1891" ht="14.4" customHeight="1" spans="1:28">
      <c r="A1891" s="1048" t="s">
        <v>205</v>
      </c>
      <c r="B1891" s="1049"/>
      <c r="C1891" s="1049"/>
      <c r="D1891" s="1050"/>
      <c r="E1891" s="1051" t="s">
        <v>206</v>
      </c>
      <c r="F1891" s="1049"/>
      <c r="G1891" s="1049"/>
      <c r="H1891" s="1050"/>
      <c r="I1891" s="1051" t="s">
        <v>235</v>
      </c>
      <c r="J1891" s="1049"/>
      <c r="K1891" s="1049"/>
      <c r="L1891" s="1050"/>
      <c r="M1891" s="1051" t="s">
        <v>470</v>
      </c>
      <c r="N1891" s="1049"/>
      <c r="O1891" s="1049"/>
      <c r="P1891" s="1050"/>
      <c r="Q1891" s="1051"/>
      <c r="R1891" s="1049"/>
      <c r="S1891" s="1049"/>
      <c r="T1891" s="1050"/>
      <c r="U1891" s="1052"/>
      <c r="V1891" s="1053"/>
      <c r="W1891" s="1053"/>
      <c r="X1891" s="1054"/>
      <c r="Y1891" s="1055" t="s">
        <v>382</v>
      </c>
      <c r="Z1891" s="1056"/>
      <c r="AA1891" s="1056"/>
      <c r="AB1891" s="1057"/>
    </row>
    <row r="1892" ht="14.4" customHeight="1" spans="1:28">
      <c r="A1892" s="1058" t="s">
        <v>209</v>
      </c>
      <c r="B1892" s="1059"/>
      <c r="C1892" s="1059"/>
      <c r="D1892" s="1060"/>
      <c r="E1892" s="1061" t="s">
        <v>315</v>
      </c>
      <c r="F1892" s="1059"/>
      <c r="G1892" s="1059"/>
      <c r="H1892" s="1060"/>
      <c r="I1892" s="1061" t="s">
        <v>210</v>
      </c>
      <c r="J1892" s="1059"/>
      <c r="K1892" s="1059"/>
      <c r="L1892" s="1060"/>
      <c r="M1892" s="1061"/>
      <c r="N1892" s="1059"/>
      <c r="O1892" s="1059"/>
      <c r="P1892" s="1060"/>
      <c r="Q1892" s="1061"/>
      <c r="R1892" s="1059"/>
      <c r="S1892" s="1059"/>
      <c r="T1892" s="1060"/>
      <c r="U1892" s="1062"/>
      <c r="V1892" s="1063"/>
      <c r="W1892" s="1063"/>
      <c r="X1892" s="1064"/>
      <c r="Y1892" s="1065"/>
      <c r="Z1892" s="1066"/>
      <c r="AA1892" s="1066"/>
      <c r="AB1892" s="1067"/>
    </row>
    <row r="1893" ht="15.75" spans="1:28">
      <c r="A1893" s="1133">
        <v>6</v>
      </c>
      <c r="B1893" s="1134"/>
      <c r="C1893" s="1134"/>
      <c r="D1893" s="1134"/>
      <c r="E1893" s="1134">
        <v>0.3</v>
      </c>
      <c r="F1893" s="1134"/>
      <c r="G1893" s="1134"/>
      <c r="H1893" s="1134"/>
      <c r="I1893" s="1134">
        <v>0.02</v>
      </c>
      <c r="J1893" s="1134"/>
      <c r="K1893" s="1134"/>
      <c r="L1893" s="1134"/>
      <c r="M1893" s="1134">
        <v>2</v>
      </c>
      <c r="N1893" s="1134"/>
      <c r="O1893" s="1134"/>
      <c r="P1893" s="1134"/>
      <c r="Q1893" s="1216"/>
      <c r="R1893" s="1217"/>
      <c r="S1893" s="1217"/>
      <c r="T1893" s="1218"/>
      <c r="U1893" s="1219"/>
      <c r="V1893" s="1220"/>
      <c r="W1893" s="1220"/>
      <c r="X1893" s="1221"/>
      <c r="Y1893" s="1135">
        <f>ROUNDUP($A1893*$E1893*$I1893*$M1893,2)</f>
        <v>0.08</v>
      </c>
      <c r="Z1893" s="1135"/>
      <c r="AA1893" s="1135"/>
      <c r="AB1893" s="1136"/>
    </row>
    <row r="1894" ht="15.75" spans="1:28">
      <c r="A1894" s="1079" t="s">
        <v>471</v>
      </c>
      <c r="B1894" s="1080"/>
      <c r="C1894" s="1080"/>
      <c r="D1894" s="1080"/>
      <c r="E1894" s="1080"/>
      <c r="F1894" s="1080"/>
      <c r="G1894" s="1080"/>
      <c r="H1894" s="1080"/>
      <c r="I1894" s="1080"/>
      <c r="J1894" s="1080"/>
      <c r="K1894" s="1080"/>
      <c r="L1894" s="1080"/>
      <c r="M1894" s="1080"/>
      <c r="N1894" s="1080"/>
      <c r="O1894" s="1080"/>
      <c r="P1894" s="1080"/>
      <c r="Q1894" s="1080"/>
      <c r="R1894" s="1080"/>
      <c r="S1894" s="1080"/>
      <c r="T1894" s="1080"/>
      <c r="U1894" s="1080"/>
      <c r="V1894" s="1080"/>
      <c r="W1894" s="1080"/>
      <c r="X1894" s="1080"/>
      <c r="Y1894" s="1080"/>
      <c r="Z1894" s="1080"/>
      <c r="AA1894" s="1080"/>
      <c r="AB1894" s="1081"/>
    </row>
    <row r="1895" s="1037" customFormat="1" spans="1:28">
      <c r="A1895" s="1214" t="s">
        <v>472</v>
      </c>
      <c r="AB1895" s="1215"/>
    </row>
    <row r="1896" spans="1:28">
      <c r="A1896" s="1083"/>
      <c r="AB1896" s="1044"/>
    </row>
    <row r="1897" spans="1:28">
      <c r="A1897" s="1083"/>
      <c r="AB1897" s="1044"/>
    </row>
    <row r="1898" spans="1:28">
      <c r="A1898" s="1083"/>
      <c r="AB1898" s="1044"/>
    </row>
    <row r="1899" spans="1:28">
      <c r="A1899" s="1083"/>
      <c r="AB1899" s="1044"/>
    </row>
    <row r="1900" spans="1:28">
      <c r="A1900" s="1083"/>
      <c r="AB1900" s="1044"/>
    </row>
    <row r="1901" spans="1:28">
      <c r="A1901" s="1083"/>
      <c r="AB1901" s="1044"/>
    </row>
    <row r="1902" spans="1:28">
      <c r="A1902" s="1083"/>
      <c r="AB1902" s="1044"/>
    </row>
    <row r="1903" spans="1:28">
      <c r="A1903" s="1083"/>
      <c r="AB1903" s="1044"/>
    </row>
    <row r="1904" spans="1:28">
      <c r="A1904" s="1083"/>
      <c r="AB1904" s="1044"/>
    </row>
    <row r="1905" spans="1:28">
      <c r="A1905" s="1099" t="s">
        <v>473</v>
      </c>
      <c r="B1905" s="424"/>
      <c r="C1905" s="424"/>
      <c r="D1905" s="424"/>
      <c r="E1905" s="424"/>
      <c r="F1905" s="424"/>
      <c r="G1905" s="424"/>
      <c r="H1905" s="424"/>
      <c r="I1905" s="424"/>
      <c r="J1905" s="424"/>
      <c r="K1905" s="424"/>
      <c r="L1905" s="424"/>
      <c r="M1905" s="424"/>
      <c r="N1905" s="424"/>
      <c r="O1905" s="424"/>
      <c r="P1905" s="424"/>
      <c r="Q1905" s="424"/>
      <c r="R1905" s="424"/>
      <c r="S1905" s="424"/>
      <c r="T1905" s="424"/>
      <c r="U1905" s="424"/>
      <c r="V1905" s="424"/>
      <c r="W1905" s="424"/>
      <c r="X1905" s="424"/>
      <c r="Y1905" s="424"/>
      <c r="Z1905" s="424"/>
      <c r="AA1905" s="424"/>
      <c r="AB1905" s="1100"/>
    </row>
    <row r="1906" ht="14.4" customHeight="1" spans="1:28">
      <c r="A1906" s="1048" t="s">
        <v>205</v>
      </c>
      <c r="B1906" s="1049"/>
      <c r="C1906" s="1049"/>
      <c r="D1906" s="1050"/>
      <c r="E1906" s="1051" t="s">
        <v>206</v>
      </c>
      <c r="F1906" s="1049"/>
      <c r="G1906" s="1049"/>
      <c r="H1906" s="1050"/>
      <c r="I1906" s="1051" t="s">
        <v>235</v>
      </c>
      <c r="J1906" s="1049"/>
      <c r="K1906" s="1049"/>
      <c r="L1906" s="1050"/>
      <c r="M1906" s="1051" t="s">
        <v>470</v>
      </c>
      <c r="N1906" s="1049"/>
      <c r="O1906" s="1049"/>
      <c r="P1906" s="1050"/>
      <c r="Q1906" s="1051"/>
      <c r="R1906" s="1049"/>
      <c r="S1906" s="1049"/>
      <c r="T1906" s="1050"/>
      <c r="U1906" s="1052"/>
      <c r="V1906" s="1053"/>
      <c r="W1906" s="1053"/>
      <c r="X1906" s="1054"/>
      <c r="Y1906" s="1055" t="s">
        <v>382</v>
      </c>
      <c r="Z1906" s="1056"/>
      <c r="AA1906" s="1056"/>
      <c r="AB1906" s="1057"/>
    </row>
    <row r="1907" ht="14.4" customHeight="1" spans="1:28">
      <c r="A1907" s="1058" t="s">
        <v>209</v>
      </c>
      <c r="B1907" s="1059"/>
      <c r="C1907" s="1059"/>
      <c r="D1907" s="1060"/>
      <c r="E1907" s="1061" t="s">
        <v>315</v>
      </c>
      <c r="F1907" s="1059"/>
      <c r="G1907" s="1059"/>
      <c r="H1907" s="1060"/>
      <c r="I1907" s="1061" t="s">
        <v>210</v>
      </c>
      <c r="J1907" s="1059"/>
      <c r="K1907" s="1059"/>
      <c r="L1907" s="1060"/>
      <c r="M1907" s="1061"/>
      <c r="N1907" s="1059"/>
      <c r="O1907" s="1059"/>
      <c r="P1907" s="1060"/>
      <c r="Q1907" s="1061"/>
      <c r="R1907" s="1059"/>
      <c r="S1907" s="1059"/>
      <c r="T1907" s="1060"/>
      <c r="U1907" s="1062"/>
      <c r="V1907" s="1063"/>
      <c r="W1907" s="1063"/>
      <c r="X1907" s="1064"/>
      <c r="Y1907" s="1065"/>
      <c r="Z1907" s="1066"/>
      <c r="AA1907" s="1066"/>
      <c r="AB1907" s="1067"/>
    </row>
    <row r="1908" ht="15.75" spans="1:28">
      <c r="A1908" s="1133">
        <v>6</v>
      </c>
      <c r="B1908" s="1134"/>
      <c r="C1908" s="1134"/>
      <c r="D1908" s="1134"/>
      <c r="E1908" s="1134">
        <v>0.15</v>
      </c>
      <c r="F1908" s="1134"/>
      <c r="G1908" s="1134"/>
      <c r="H1908" s="1134"/>
      <c r="I1908" s="1134">
        <v>0.02</v>
      </c>
      <c r="J1908" s="1134"/>
      <c r="K1908" s="1134"/>
      <c r="L1908" s="1134"/>
      <c r="M1908" s="1134">
        <v>2</v>
      </c>
      <c r="N1908" s="1134"/>
      <c r="O1908" s="1134"/>
      <c r="P1908" s="1134"/>
      <c r="Q1908" s="1216"/>
      <c r="R1908" s="1217"/>
      <c r="S1908" s="1217"/>
      <c r="T1908" s="1218"/>
      <c r="U1908" s="1219"/>
      <c r="V1908" s="1220"/>
      <c r="W1908" s="1220"/>
      <c r="X1908" s="1221"/>
      <c r="Y1908" s="1135">
        <f>ROUNDUP($A1908*$E1908*$I1908*$M1908,2)</f>
        <v>0.04</v>
      </c>
      <c r="Z1908" s="1135"/>
      <c r="AA1908" s="1135"/>
      <c r="AB1908" s="1136"/>
    </row>
    <row r="1909" ht="15.75" spans="1:28">
      <c r="A1909" s="1079" t="s">
        <v>474</v>
      </c>
      <c r="B1909" s="1080"/>
      <c r="C1909" s="1080"/>
      <c r="D1909" s="1080"/>
      <c r="E1909" s="1080"/>
      <c r="F1909" s="1080"/>
      <c r="G1909" s="1080"/>
      <c r="H1909" s="1080"/>
      <c r="I1909" s="1080"/>
      <c r="J1909" s="1080"/>
      <c r="K1909" s="1080"/>
      <c r="L1909" s="1080"/>
      <c r="M1909" s="1080"/>
      <c r="N1909" s="1080"/>
      <c r="O1909" s="1080"/>
      <c r="P1909" s="1080"/>
      <c r="Q1909" s="1080"/>
      <c r="R1909" s="1080"/>
      <c r="S1909" s="1080"/>
      <c r="T1909" s="1080"/>
      <c r="U1909" s="1080"/>
      <c r="V1909" s="1080"/>
      <c r="W1909" s="1080"/>
      <c r="X1909" s="1080"/>
      <c r="Y1909" s="1080"/>
      <c r="Z1909" s="1080"/>
      <c r="AA1909" s="1080"/>
      <c r="AB1909" s="1081"/>
    </row>
    <row r="1910" ht="15.75" spans="1:28">
      <c r="A1910" s="1083"/>
      <c r="AB1910" s="1044"/>
    </row>
    <row r="1911" spans="1:28">
      <c r="A1911" s="1083"/>
      <c r="K1911" s="1084" t="s">
        <v>483</v>
      </c>
      <c r="L1911" s="1085"/>
      <c r="M1911" s="1085"/>
      <c r="N1911" s="1085"/>
      <c r="O1911" s="1085"/>
      <c r="P1911" s="1085"/>
      <c r="Q1911" s="1085"/>
      <c r="R1911" s="1086"/>
      <c r="AB1911" s="1044"/>
    </row>
    <row r="1912" spans="1:28">
      <c r="A1912" s="1083"/>
      <c r="K1912" s="1087" t="s">
        <v>384</v>
      </c>
      <c r="L1912" s="1088"/>
      <c r="M1912" s="1088"/>
      <c r="N1912" s="1088"/>
      <c r="O1912" s="1088"/>
      <c r="P1912" s="1088"/>
      <c r="Q1912" s="1088"/>
      <c r="R1912" s="1089"/>
      <c r="AB1912" s="1044"/>
    </row>
    <row r="1913" spans="1:28">
      <c r="A1913" s="1083"/>
      <c r="K1913" s="1090"/>
      <c r="L1913" s="1091"/>
      <c r="M1913" s="1091"/>
      <c r="N1913" s="1091"/>
      <c r="O1913" s="1091"/>
      <c r="P1913" s="1091"/>
      <c r="Q1913" s="1091"/>
      <c r="R1913" s="1092"/>
      <c r="AB1913" s="1044"/>
    </row>
    <row r="1914" ht="15.75" spans="1:28">
      <c r="A1914" s="1083"/>
      <c r="K1914" s="1093">
        <f>ROUNDUP(Y1893+Y1908,2)</f>
        <v>0.12</v>
      </c>
      <c r="L1914" s="1094"/>
      <c r="M1914" s="1094"/>
      <c r="N1914" s="1094"/>
      <c r="O1914" s="1094"/>
      <c r="P1914" s="1094"/>
      <c r="Q1914" s="1094"/>
      <c r="R1914" s="1095"/>
      <c r="AB1914" s="1044"/>
    </row>
    <row r="1915" ht="15.75" spans="1:28">
      <c r="A1915" s="1096"/>
      <c r="B1915" s="389"/>
      <c r="C1915" s="389"/>
      <c r="D1915" s="389"/>
      <c r="E1915" s="389"/>
      <c r="F1915" s="389"/>
      <c r="G1915" s="389"/>
      <c r="H1915" s="389"/>
      <c r="I1915" s="1097"/>
      <c r="J1915" s="1097"/>
      <c r="K1915" s="1097"/>
      <c r="L1915" s="1097"/>
      <c r="M1915" s="1097"/>
      <c r="N1915" s="1097"/>
      <c r="O1915" s="1097"/>
      <c r="P1915" s="1097"/>
      <c r="Q1915" s="389"/>
      <c r="R1915" s="389"/>
      <c r="S1915" s="389"/>
      <c r="T1915" s="389"/>
      <c r="U1915" s="389"/>
      <c r="V1915" s="389"/>
      <c r="W1915" s="389"/>
      <c r="X1915" s="389"/>
      <c r="Y1915" s="389"/>
      <c r="Z1915" s="389"/>
      <c r="AA1915" s="389"/>
      <c r="AB1915" s="1098"/>
    </row>
    <row r="1916" spans="1:28">
      <c r="A1916" s="1040" t="s">
        <v>484</v>
      </c>
      <c r="B1916" s="1041"/>
      <c r="C1916" s="1041"/>
      <c r="D1916" s="1041"/>
      <c r="E1916" s="1041"/>
      <c r="F1916" s="1041"/>
      <c r="G1916" s="1041"/>
      <c r="H1916" s="1041"/>
      <c r="I1916" s="1041"/>
      <c r="J1916" s="1041"/>
      <c r="K1916" s="1041"/>
      <c r="L1916" s="1041"/>
      <c r="M1916" s="1041"/>
      <c r="N1916" s="1041"/>
      <c r="O1916" s="1041"/>
      <c r="P1916" s="1041"/>
      <c r="Q1916" s="1041"/>
      <c r="R1916" s="1041"/>
      <c r="S1916" s="1041"/>
      <c r="T1916" s="1041"/>
      <c r="U1916" s="1041"/>
      <c r="V1916" s="1041"/>
      <c r="W1916" s="1041"/>
      <c r="X1916" s="1041"/>
      <c r="Y1916" s="1041"/>
      <c r="Z1916" s="1041"/>
      <c r="AA1916" s="1041"/>
      <c r="AB1916" s="1042"/>
    </row>
    <row r="1917" spans="1:28">
      <c r="A1917" s="1083"/>
      <c r="AB1917" s="1044"/>
    </row>
    <row r="1918" spans="1:28">
      <c r="A1918" s="1083"/>
      <c r="AB1918" s="1044"/>
    </row>
    <row r="1919" spans="1:28">
      <c r="A1919" s="1083"/>
      <c r="AB1919" s="1044"/>
    </row>
    <row r="1920" spans="1:28">
      <c r="A1920" s="1083"/>
      <c r="AB1920" s="1044"/>
    </row>
    <row r="1921" spans="1:28">
      <c r="A1921" s="1083"/>
      <c r="AB1921" s="1044"/>
    </row>
    <row r="1922" spans="1:28">
      <c r="A1922" s="1083"/>
      <c r="AB1922" s="1044"/>
    </row>
    <row r="1923" spans="1:28">
      <c r="A1923" s="1083"/>
      <c r="AB1923" s="1044"/>
    </row>
    <row r="1924" spans="1:28">
      <c r="A1924" s="1083"/>
      <c r="AB1924" s="1044"/>
    </row>
    <row r="1925" spans="1:28">
      <c r="A1925" s="1083"/>
      <c r="AB1925" s="1044"/>
    </row>
    <row r="1926" spans="1:28">
      <c r="A1926" s="1083"/>
      <c r="AB1926" s="1044"/>
    </row>
    <row r="1927" spans="1:28">
      <c r="A1927" s="1083"/>
      <c r="AB1927" s="1044"/>
    </row>
    <row r="1928" spans="1:28">
      <c r="A1928" s="1083"/>
      <c r="AB1928" s="1044"/>
    </row>
    <row r="1929" spans="1:28">
      <c r="A1929" s="1083"/>
      <c r="AB1929" s="1044"/>
    </row>
    <row r="1930" spans="1:28">
      <c r="A1930" s="1083"/>
      <c r="AB1930" s="1044"/>
    </row>
    <row r="1931" spans="1:28">
      <c r="A1931" s="1099" t="s">
        <v>124</v>
      </c>
      <c r="B1931" s="424"/>
      <c r="C1931" s="424"/>
      <c r="D1931" s="424"/>
      <c r="E1931" s="424"/>
      <c r="F1931" s="424"/>
      <c r="G1931" s="424"/>
      <c r="H1931" s="424"/>
      <c r="I1931" s="424"/>
      <c r="J1931" s="424"/>
      <c r="K1931" s="424"/>
      <c r="L1931" s="424"/>
      <c r="M1931" s="424"/>
      <c r="N1931" s="424"/>
      <c r="O1931" s="424"/>
      <c r="P1931" s="424"/>
      <c r="Q1931" s="424"/>
      <c r="R1931" s="424"/>
      <c r="S1931" s="424"/>
      <c r="T1931" s="424"/>
      <c r="U1931" s="424"/>
      <c r="V1931" s="424"/>
      <c r="W1931" s="424"/>
      <c r="X1931" s="424"/>
      <c r="Y1931" s="424"/>
      <c r="Z1931" s="424"/>
      <c r="AA1931" s="424"/>
      <c r="AB1931" s="1100"/>
    </row>
    <row r="1932" ht="14.4" customHeight="1" spans="1:28">
      <c r="A1932" s="1051" t="s">
        <v>205</v>
      </c>
      <c r="B1932" s="1049"/>
      <c r="C1932" s="1049"/>
      <c r="D1932" s="1050"/>
      <c r="E1932" s="1051" t="s">
        <v>206</v>
      </c>
      <c r="F1932" s="1049"/>
      <c r="G1932" s="1049"/>
      <c r="H1932" s="1050"/>
      <c r="I1932" s="1051" t="s">
        <v>485</v>
      </c>
      <c r="J1932" s="1049"/>
      <c r="K1932" s="1049"/>
      <c r="L1932" s="1050"/>
      <c r="M1932" s="1051" t="s">
        <v>486</v>
      </c>
      <c r="N1932" s="1049"/>
      <c r="O1932" s="1049"/>
      <c r="P1932" s="1050"/>
      <c r="Q1932" s="1051"/>
      <c r="R1932" s="1049"/>
      <c r="S1932" s="1049"/>
      <c r="T1932" s="1050"/>
      <c r="U1932" s="1052"/>
      <c r="V1932" s="1053"/>
      <c r="W1932" s="1053"/>
      <c r="X1932" s="1054"/>
      <c r="Y1932" s="1104" t="s">
        <v>314</v>
      </c>
      <c r="Z1932" s="1102"/>
      <c r="AA1932" s="1102"/>
      <c r="AB1932" s="1106"/>
    </row>
    <row r="1933" ht="14.4" customHeight="1" spans="1:28">
      <c r="A1933" s="1061" t="s">
        <v>209</v>
      </c>
      <c r="B1933" s="1059"/>
      <c r="C1933" s="1059"/>
      <c r="D1933" s="1060"/>
      <c r="E1933" s="1061" t="s">
        <v>315</v>
      </c>
      <c r="F1933" s="1059"/>
      <c r="G1933" s="1059"/>
      <c r="H1933" s="1060"/>
      <c r="I1933" s="1061" t="s">
        <v>210</v>
      </c>
      <c r="J1933" s="1059"/>
      <c r="K1933" s="1059"/>
      <c r="L1933" s="1060"/>
      <c r="M1933" s="1061" t="s">
        <v>210</v>
      </c>
      <c r="N1933" s="1059"/>
      <c r="O1933" s="1059"/>
      <c r="P1933" s="1060"/>
      <c r="Q1933" s="1061"/>
      <c r="R1933" s="1059"/>
      <c r="S1933" s="1059"/>
      <c r="T1933" s="1060"/>
      <c r="U1933" s="1062"/>
      <c r="V1933" s="1063"/>
      <c r="W1933" s="1063"/>
      <c r="X1933" s="1064"/>
      <c r="Y1933" s="1061"/>
      <c r="Z1933" s="1059"/>
      <c r="AA1933" s="1059"/>
      <c r="AB1933" s="1108"/>
    </row>
    <row r="1934" ht="15.75" spans="1:28">
      <c r="A1934" s="1073">
        <v>15</v>
      </c>
      <c r="B1934" s="1073"/>
      <c r="C1934" s="1073"/>
      <c r="D1934" s="1073"/>
      <c r="E1934" s="1073">
        <v>6</v>
      </c>
      <c r="F1934" s="1073"/>
      <c r="G1934" s="1073"/>
      <c r="H1934" s="1073"/>
      <c r="I1934" s="1073">
        <v>0.15</v>
      </c>
      <c r="J1934" s="1073"/>
      <c r="K1934" s="1073"/>
      <c r="L1934" s="1073"/>
      <c r="M1934" s="1123">
        <v>0.05</v>
      </c>
      <c r="N1934" s="1123"/>
      <c r="O1934" s="1123"/>
      <c r="P1934" s="1123"/>
      <c r="Q1934" s="1069"/>
      <c r="R1934" s="1069"/>
      <c r="S1934" s="1069"/>
      <c r="T1934" s="1069"/>
      <c r="U1934" s="1074"/>
      <c r="V1934" s="1075"/>
      <c r="W1934" s="1075"/>
      <c r="X1934" s="1076"/>
      <c r="Y1934" s="1077">
        <f>ROUNDUP((((E1934*I1934)+((E1934*M1934)/2))*A1934),2)</f>
        <v>15.75</v>
      </c>
      <c r="Z1934" s="1077"/>
      <c r="AA1934" s="1077"/>
      <c r="AB1934" s="1078"/>
    </row>
    <row r="1935" ht="15.75" spans="1:28">
      <c r="A1935" s="1079" t="s">
        <v>487</v>
      </c>
      <c r="B1935" s="1080"/>
      <c r="C1935" s="1080"/>
      <c r="D1935" s="1080"/>
      <c r="E1935" s="1080"/>
      <c r="F1935" s="1080"/>
      <c r="G1935" s="1080"/>
      <c r="H1935" s="1080"/>
      <c r="I1935" s="1080"/>
      <c r="J1935" s="1080"/>
      <c r="K1935" s="1080"/>
      <c r="L1935" s="1080"/>
      <c r="M1935" s="1080"/>
      <c r="N1935" s="1080"/>
      <c r="O1935" s="1080"/>
      <c r="P1935" s="1080"/>
      <c r="Q1935" s="1080"/>
      <c r="R1935" s="1080"/>
      <c r="S1935" s="1080"/>
      <c r="T1935" s="1080"/>
      <c r="U1935" s="1080"/>
      <c r="V1935" s="1080"/>
      <c r="W1935" s="1080"/>
      <c r="X1935" s="1080"/>
      <c r="Y1935" s="1080"/>
      <c r="Z1935" s="1080"/>
      <c r="AA1935" s="1080"/>
      <c r="AB1935" s="1081"/>
    </row>
    <row r="1936" ht="15.75" spans="1:28">
      <c r="A1936" s="1083"/>
      <c r="AB1936" s="1044"/>
    </row>
    <row r="1937" spans="1:28">
      <c r="A1937" s="1083"/>
      <c r="K1937" s="1084" t="s">
        <v>488</v>
      </c>
      <c r="L1937" s="1085"/>
      <c r="M1937" s="1085"/>
      <c r="N1937" s="1085"/>
      <c r="O1937" s="1085"/>
      <c r="P1937" s="1085"/>
      <c r="Q1937" s="1085"/>
      <c r="R1937" s="1086"/>
      <c r="AB1937" s="1044"/>
    </row>
    <row r="1938" spans="1:28">
      <c r="A1938" s="1083"/>
      <c r="K1938" s="1087" t="s">
        <v>324</v>
      </c>
      <c r="L1938" s="1088"/>
      <c r="M1938" s="1088"/>
      <c r="N1938" s="1088"/>
      <c r="O1938" s="1088"/>
      <c r="P1938" s="1088"/>
      <c r="Q1938" s="1088"/>
      <c r="R1938" s="1089"/>
      <c r="AB1938" s="1044"/>
    </row>
    <row r="1939" spans="1:28">
      <c r="A1939" s="1083"/>
      <c r="K1939" s="1090"/>
      <c r="L1939" s="1091"/>
      <c r="M1939" s="1091"/>
      <c r="N1939" s="1091"/>
      <c r="O1939" s="1091"/>
      <c r="P1939" s="1091"/>
      <c r="Q1939" s="1091"/>
      <c r="R1939" s="1092"/>
      <c r="AB1939" s="1044"/>
    </row>
    <row r="1940" ht="15.75" spans="1:28">
      <c r="A1940" s="1083"/>
      <c r="K1940" s="1093">
        <f>ROUNDUP(Y1934,2)</f>
        <v>15.75</v>
      </c>
      <c r="L1940" s="1094"/>
      <c r="M1940" s="1094"/>
      <c r="N1940" s="1094"/>
      <c r="O1940" s="1094"/>
      <c r="P1940" s="1094"/>
      <c r="Q1940" s="1094"/>
      <c r="R1940" s="1095"/>
      <c r="AB1940" s="1044"/>
    </row>
    <row r="1941" ht="15.75" spans="1:28">
      <c r="A1941" s="1096"/>
      <c r="B1941" s="389"/>
      <c r="C1941" s="389"/>
      <c r="D1941" s="389"/>
      <c r="E1941" s="389"/>
      <c r="F1941" s="389"/>
      <c r="G1941" s="389"/>
      <c r="H1941" s="389"/>
      <c r="I1941" s="1097"/>
      <c r="J1941" s="1097"/>
      <c r="K1941" s="1097"/>
      <c r="L1941" s="1097"/>
      <c r="M1941" s="1097"/>
      <c r="N1941" s="1097"/>
      <c r="O1941" s="1097"/>
      <c r="P1941" s="1097"/>
      <c r="Q1941" s="389"/>
      <c r="R1941" s="389"/>
      <c r="S1941" s="389"/>
      <c r="T1941" s="389"/>
      <c r="U1941" s="389"/>
      <c r="V1941" s="389"/>
      <c r="W1941" s="389"/>
      <c r="X1941" s="389"/>
      <c r="Y1941" s="389"/>
      <c r="Z1941" s="389"/>
      <c r="AA1941" s="389"/>
      <c r="AB1941" s="1098"/>
    </row>
    <row r="1942" spans="1:28">
      <c r="A1942" s="1040" t="s">
        <v>489</v>
      </c>
      <c r="B1942" s="1041"/>
      <c r="C1942" s="1041"/>
      <c r="D1942" s="1041"/>
      <c r="E1942" s="1041"/>
      <c r="F1942" s="1041"/>
      <c r="G1942" s="1041"/>
      <c r="H1942" s="1041"/>
      <c r="I1942" s="1041"/>
      <c r="J1942" s="1041"/>
      <c r="K1942" s="1041"/>
      <c r="L1942" s="1041"/>
      <c r="M1942" s="1041"/>
      <c r="N1942" s="1041"/>
      <c r="O1942" s="1041"/>
      <c r="P1942" s="1041"/>
      <c r="Q1942" s="1041"/>
      <c r="R1942" s="1041"/>
      <c r="S1942" s="1041"/>
      <c r="T1942" s="1041"/>
      <c r="U1942" s="1041"/>
      <c r="V1942" s="1041"/>
      <c r="W1942" s="1041"/>
      <c r="X1942" s="1041"/>
      <c r="Y1942" s="1041"/>
      <c r="Z1942" s="1041"/>
      <c r="AA1942" s="1041"/>
      <c r="AB1942" s="1042"/>
    </row>
    <row r="1943" spans="1:28">
      <c r="A1943" s="1083"/>
      <c r="AB1943" s="1044"/>
    </row>
    <row r="1944" spans="1:28">
      <c r="A1944" s="1083"/>
      <c r="AB1944" s="1044"/>
    </row>
    <row r="1945" spans="1:28">
      <c r="A1945" s="1083"/>
      <c r="AB1945" s="1044"/>
    </row>
    <row r="1946" spans="1:28">
      <c r="A1946" s="1083"/>
      <c r="AB1946" s="1044"/>
    </row>
    <row r="1947" spans="1:28">
      <c r="A1947" s="1083"/>
      <c r="AB1947" s="1044"/>
    </row>
    <row r="1948" spans="1:28">
      <c r="A1948" s="1083"/>
      <c r="AB1948" s="1044"/>
    </row>
    <row r="1949" spans="1:28">
      <c r="A1949" s="1083"/>
      <c r="AB1949" s="1044"/>
    </row>
    <row r="1950" spans="1:28">
      <c r="A1950" s="1083"/>
      <c r="AB1950" s="1044"/>
    </row>
    <row r="1951" spans="1:28">
      <c r="A1951" s="1083"/>
      <c r="AB1951" s="1044"/>
    </row>
    <row r="1952" spans="1:28">
      <c r="A1952" s="1083"/>
      <c r="AB1952" s="1044"/>
    </row>
    <row r="1953" spans="1:28">
      <c r="A1953" s="1083"/>
      <c r="AB1953" s="1044"/>
    </row>
    <row r="1954" spans="1:28">
      <c r="A1954" s="1083"/>
      <c r="AB1954" s="1044"/>
    </row>
    <row r="1955" spans="1:28">
      <c r="A1955" s="1083"/>
      <c r="AB1955" s="1044"/>
    </row>
    <row r="1956" spans="1:28">
      <c r="A1956" s="1083"/>
      <c r="AB1956" s="1044"/>
    </row>
    <row r="1957" spans="1:28">
      <c r="A1957" s="1099" t="s">
        <v>124</v>
      </c>
      <c r="B1957" s="424"/>
      <c r="C1957" s="424"/>
      <c r="D1957" s="424"/>
      <c r="E1957" s="424"/>
      <c r="F1957" s="424"/>
      <c r="G1957" s="424"/>
      <c r="H1957" s="424"/>
      <c r="I1957" s="424"/>
      <c r="J1957" s="424"/>
      <c r="K1957" s="424"/>
      <c r="L1957" s="424"/>
      <c r="M1957" s="424"/>
      <c r="N1957" s="424"/>
      <c r="O1957" s="424"/>
      <c r="P1957" s="424"/>
      <c r="Q1957" s="424"/>
      <c r="R1957" s="424"/>
      <c r="S1957" s="424"/>
      <c r="T1957" s="424"/>
      <c r="U1957" s="424"/>
      <c r="V1957" s="424"/>
      <c r="W1957" s="424"/>
      <c r="X1957" s="424"/>
      <c r="Y1957" s="424"/>
      <c r="Z1957" s="424"/>
      <c r="AA1957" s="424"/>
      <c r="AB1957" s="1100"/>
    </row>
    <row r="1958" ht="14.4" customHeight="1" spans="1:28">
      <c r="A1958" s="1051" t="s">
        <v>205</v>
      </c>
      <c r="B1958" s="1049"/>
      <c r="C1958" s="1049"/>
      <c r="D1958" s="1050"/>
      <c r="E1958" s="1051" t="s">
        <v>206</v>
      </c>
      <c r="F1958" s="1049"/>
      <c r="G1958" s="1049"/>
      <c r="H1958" s="1050"/>
      <c r="I1958" s="1051" t="s">
        <v>485</v>
      </c>
      <c r="J1958" s="1049"/>
      <c r="K1958" s="1049"/>
      <c r="L1958" s="1050"/>
      <c r="M1958" s="1051" t="s">
        <v>486</v>
      </c>
      <c r="N1958" s="1049"/>
      <c r="O1958" s="1049"/>
      <c r="P1958" s="1050"/>
      <c r="Q1958" s="1051"/>
      <c r="R1958" s="1049"/>
      <c r="S1958" s="1049"/>
      <c r="T1958" s="1050"/>
      <c r="U1958" s="1052"/>
      <c r="V1958" s="1053"/>
      <c r="W1958" s="1053"/>
      <c r="X1958" s="1054"/>
      <c r="Y1958" s="1210" t="s">
        <v>333</v>
      </c>
      <c r="Z1958" s="1210"/>
      <c r="AA1958" s="1210"/>
      <c r="AB1958" s="1210"/>
    </row>
    <row r="1959" ht="14.4" customHeight="1" spans="1:28">
      <c r="A1959" s="1061" t="s">
        <v>209</v>
      </c>
      <c r="B1959" s="1059"/>
      <c r="C1959" s="1059"/>
      <c r="D1959" s="1060"/>
      <c r="E1959" s="1061" t="s">
        <v>315</v>
      </c>
      <c r="F1959" s="1059"/>
      <c r="G1959" s="1059"/>
      <c r="H1959" s="1060"/>
      <c r="I1959" s="1061" t="s">
        <v>210</v>
      </c>
      <c r="J1959" s="1059"/>
      <c r="K1959" s="1059"/>
      <c r="L1959" s="1060"/>
      <c r="M1959" s="1061" t="s">
        <v>210</v>
      </c>
      <c r="N1959" s="1059"/>
      <c r="O1959" s="1059"/>
      <c r="P1959" s="1060"/>
      <c r="Q1959" s="1061"/>
      <c r="R1959" s="1059"/>
      <c r="S1959" s="1059"/>
      <c r="T1959" s="1060"/>
      <c r="U1959" s="1062"/>
      <c r="V1959" s="1063"/>
      <c r="W1959" s="1063"/>
      <c r="X1959" s="1064"/>
      <c r="Y1959" s="1210"/>
      <c r="Z1959" s="1210"/>
      <c r="AA1959" s="1210"/>
      <c r="AB1959" s="1210"/>
    </row>
    <row r="1960" ht="15.75" spans="1:28">
      <c r="A1960" s="1073">
        <v>15</v>
      </c>
      <c r="B1960" s="1073"/>
      <c r="C1960" s="1073"/>
      <c r="D1960" s="1073"/>
      <c r="E1960" s="1073">
        <v>6</v>
      </c>
      <c r="F1960" s="1073"/>
      <c r="G1960" s="1073"/>
      <c r="H1960" s="1073"/>
      <c r="I1960" s="1073">
        <v>0.15</v>
      </c>
      <c r="J1960" s="1073"/>
      <c r="K1960" s="1073"/>
      <c r="L1960" s="1073"/>
      <c r="M1960" s="1123">
        <v>0.05</v>
      </c>
      <c r="N1960" s="1123"/>
      <c r="O1960" s="1123"/>
      <c r="P1960" s="1123"/>
      <c r="Q1960" s="1069"/>
      <c r="R1960" s="1069"/>
      <c r="S1960" s="1069"/>
      <c r="T1960" s="1069"/>
      <c r="U1960" s="1074"/>
      <c r="V1960" s="1075"/>
      <c r="W1960" s="1075"/>
      <c r="X1960" s="1076"/>
      <c r="Y1960" s="1077">
        <f>ROUNDUP((((E1960*I1960)+((E1960*M1960)/2))*2)+((A1960*I1960)*2),2)</f>
        <v>6.6</v>
      </c>
      <c r="Z1960" s="1077"/>
      <c r="AA1960" s="1077"/>
      <c r="AB1960" s="1078"/>
    </row>
    <row r="1961" ht="15.75" spans="1:28">
      <c r="A1961" s="1079" t="s">
        <v>490</v>
      </c>
      <c r="B1961" s="1080"/>
      <c r="C1961" s="1080"/>
      <c r="D1961" s="1080"/>
      <c r="E1961" s="1080"/>
      <c r="F1961" s="1080"/>
      <c r="G1961" s="1080"/>
      <c r="H1961" s="1080"/>
      <c r="I1961" s="1080"/>
      <c r="J1961" s="1080"/>
      <c r="K1961" s="1080"/>
      <c r="L1961" s="1080"/>
      <c r="M1961" s="1080"/>
      <c r="N1961" s="1080"/>
      <c r="O1961" s="1080"/>
      <c r="P1961" s="1080"/>
      <c r="Q1961" s="1080"/>
      <c r="R1961" s="1080"/>
      <c r="S1961" s="1080"/>
      <c r="T1961" s="1080"/>
      <c r="U1961" s="1080"/>
      <c r="V1961" s="1080"/>
      <c r="W1961" s="1080"/>
      <c r="X1961" s="1080"/>
      <c r="Y1961" s="1080"/>
      <c r="Z1961" s="1080"/>
      <c r="AA1961" s="1080"/>
      <c r="AB1961" s="1081"/>
    </row>
    <row r="1962" ht="15.75" spans="1:28">
      <c r="A1962" s="1083"/>
      <c r="AB1962" s="1044"/>
    </row>
    <row r="1963" spans="1:28">
      <c r="A1963" s="1083"/>
      <c r="K1963" s="1084" t="s">
        <v>491</v>
      </c>
      <c r="L1963" s="1085"/>
      <c r="M1963" s="1085"/>
      <c r="N1963" s="1085"/>
      <c r="O1963" s="1085"/>
      <c r="P1963" s="1085"/>
      <c r="Q1963" s="1085"/>
      <c r="R1963" s="1086"/>
      <c r="AB1963" s="1044"/>
    </row>
    <row r="1964" spans="1:28">
      <c r="A1964" s="1083"/>
      <c r="K1964" s="1087" t="s">
        <v>492</v>
      </c>
      <c r="L1964" s="1088"/>
      <c r="M1964" s="1088"/>
      <c r="N1964" s="1088"/>
      <c r="O1964" s="1088"/>
      <c r="P1964" s="1088"/>
      <c r="Q1964" s="1088"/>
      <c r="R1964" s="1089"/>
      <c r="AB1964" s="1044"/>
    </row>
    <row r="1965" spans="1:28">
      <c r="A1965" s="1083"/>
      <c r="K1965" s="1090"/>
      <c r="L1965" s="1091"/>
      <c r="M1965" s="1091"/>
      <c r="N1965" s="1091"/>
      <c r="O1965" s="1091"/>
      <c r="P1965" s="1091"/>
      <c r="Q1965" s="1091"/>
      <c r="R1965" s="1092"/>
      <c r="AB1965" s="1044"/>
    </row>
    <row r="1966" ht="15.75" spans="1:28">
      <c r="A1966" s="1083"/>
      <c r="K1966" s="1093">
        <f>ROUNDUP(Y1960,2)</f>
        <v>6.6</v>
      </c>
      <c r="L1966" s="1094"/>
      <c r="M1966" s="1094"/>
      <c r="N1966" s="1094"/>
      <c r="O1966" s="1094"/>
      <c r="P1966" s="1094"/>
      <c r="Q1966" s="1094"/>
      <c r="R1966" s="1095"/>
      <c r="AB1966" s="1044"/>
    </row>
    <row r="1967" ht="15.75" spans="1:28">
      <c r="A1967" s="1096"/>
      <c r="B1967" s="389"/>
      <c r="C1967" s="389"/>
      <c r="D1967" s="389"/>
      <c r="E1967" s="389"/>
      <c r="F1967" s="389"/>
      <c r="G1967" s="389"/>
      <c r="H1967" s="389"/>
      <c r="I1967" s="1097"/>
      <c r="J1967" s="1097"/>
      <c r="K1967" s="1097"/>
      <c r="L1967" s="1097"/>
      <c r="M1967" s="1097"/>
      <c r="N1967" s="1097"/>
      <c r="O1967" s="1097"/>
      <c r="P1967" s="1097"/>
      <c r="Q1967" s="389"/>
      <c r="R1967" s="389"/>
      <c r="S1967" s="389"/>
      <c r="T1967" s="389"/>
      <c r="U1967" s="389"/>
      <c r="V1967" s="389"/>
      <c r="W1967" s="389"/>
      <c r="X1967" s="389"/>
      <c r="Y1967" s="389"/>
      <c r="Z1967" s="389"/>
      <c r="AA1967" s="389"/>
      <c r="AB1967" s="1098"/>
    </row>
    <row r="1968" s="437" customFormat="1" spans="1:28">
      <c r="A1968" s="1040" t="s">
        <v>493</v>
      </c>
      <c r="B1968" s="1114"/>
      <c r="C1968" s="1114"/>
      <c r="D1968" s="1114"/>
      <c r="E1968" s="1114"/>
      <c r="F1968" s="1114"/>
      <c r="G1968" s="1114"/>
      <c r="H1968" s="1114"/>
      <c r="I1968" s="1129"/>
      <c r="J1968" s="1129"/>
      <c r="K1968" s="1129"/>
      <c r="L1968" s="1129"/>
      <c r="M1968" s="1129"/>
      <c r="N1968" s="1129"/>
      <c r="O1968" s="1129"/>
      <c r="P1968" s="1129"/>
      <c r="Q1968" s="1114"/>
      <c r="R1968" s="1114"/>
      <c r="S1968" s="1114"/>
      <c r="T1968" s="1114"/>
      <c r="U1968" s="1114"/>
      <c r="V1968" s="1114"/>
      <c r="W1968" s="1114"/>
      <c r="X1968" s="1114"/>
      <c r="Y1968" s="1114"/>
      <c r="Z1968" s="1114"/>
      <c r="AA1968" s="1114"/>
      <c r="AB1968" s="1115"/>
    </row>
    <row r="1969" spans="1:28">
      <c r="A1969" s="1083"/>
      <c r="I1969" s="1130"/>
      <c r="J1969" s="1130"/>
      <c r="K1969" s="1130"/>
      <c r="L1969" s="1130"/>
      <c r="M1969" s="1130"/>
      <c r="N1969" s="1130"/>
      <c r="O1969" s="1130"/>
      <c r="P1969" s="1130"/>
      <c r="AB1969" s="1044"/>
    </row>
    <row r="1970" spans="1:28">
      <c r="A1970" s="1083"/>
      <c r="I1970" s="1130"/>
      <c r="J1970" s="1130"/>
      <c r="K1970" s="1130"/>
      <c r="L1970" s="1130"/>
      <c r="M1970" s="1130"/>
      <c r="N1970" s="1130"/>
      <c r="O1970" s="1130"/>
      <c r="P1970" s="1130"/>
      <c r="AB1970" s="1044"/>
    </row>
    <row r="1971" spans="1:28">
      <c r="A1971" s="1083"/>
      <c r="I1971" s="1130"/>
      <c r="J1971" s="1130"/>
      <c r="K1971" s="1130"/>
      <c r="L1971" s="1130"/>
      <c r="M1971" s="1130"/>
      <c r="N1971" s="1130"/>
      <c r="O1971" s="1130"/>
      <c r="P1971" s="1130"/>
      <c r="AB1971" s="1044"/>
    </row>
    <row r="1972" spans="1:28">
      <c r="A1972" s="1083"/>
      <c r="I1972" s="1130"/>
      <c r="J1972" s="1130"/>
      <c r="K1972" s="1130"/>
      <c r="L1972" s="1130"/>
      <c r="M1972" s="1130"/>
      <c r="N1972" s="1130"/>
      <c r="O1972" s="1130"/>
      <c r="P1972" s="1130"/>
      <c r="AB1972" s="1044"/>
    </row>
    <row r="1973" spans="1:28">
      <c r="A1973" s="1083"/>
      <c r="I1973" s="1130"/>
      <c r="J1973" s="1130"/>
      <c r="K1973" s="1130"/>
      <c r="L1973" s="1130"/>
      <c r="M1973" s="1130"/>
      <c r="N1973" s="1130"/>
      <c r="O1973" s="1130"/>
      <c r="P1973" s="1130"/>
      <c r="AB1973" s="1044"/>
    </row>
    <row r="1974" spans="1:28">
      <c r="A1974" s="1083"/>
      <c r="I1974" s="1130"/>
      <c r="J1974" s="1130"/>
      <c r="K1974" s="1130"/>
      <c r="L1974" s="1130"/>
      <c r="M1974" s="1130"/>
      <c r="N1974" s="1130"/>
      <c r="O1974" s="1130"/>
      <c r="P1974" s="1130"/>
      <c r="AB1974" s="1044"/>
    </row>
    <row r="1975" spans="1:28">
      <c r="A1975" s="1083"/>
      <c r="I1975" s="1130"/>
      <c r="J1975" s="1130"/>
      <c r="K1975" s="1130"/>
      <c r="L1975" s="1130"/>
      <c r="M1975" s="1130"/>
      <c r="N1975" s="1130"/>
      <c r="O1975" s="1130"/>
      <c r="P1975" s="1130"/>
      <c r="AB1975" s="1044"/>
    </row>
    <row r="1976" spans="1:28">
      <c r="A1976" s="1083"/>
      <c r="I1976" s="1130"/>
      <c r="J1976" s="1130"/>
      <c r="K1976" s="1130"/>
      <c r="L1976" s="1130"/>
      <c r="M1976" s="1130"/>
      <c r="N1976" s="1130"/>
      <c r="O1976" s="1130"/>
      <c r="P1976" s="1130"/>
      <c r="AB1976" s="1044"/>
    </row>
    <row r="1977" spans="1:28">
      <c r="A1977" s="1083"/>
      <c r="I1977" s="1130"/>
      <c r="J1977" s="1130"/>
      <c r="K1977" s="1130"/>
      <c r="L1977" s="1130"/>
      <c r="M1977" s="1130"/>
      <c r="N1977" s="1130"/>
      <c r="O1977" s="1130"/>
      <c r="P1977" s="1130"/>
      <c r="AB1977" s="1044"/>
    </row>
    <row r="1978" spans="1:28">
      <c r="A1978" s="1083"/>
      <c r="I1978" s="1130"/>
      <c r="J1978" s="1130"/>
      <c r="K1978" s="1130"/>
      <c r="L1978" s="1130"/>
      <c r="M1978" s="1130"/>
      <c r="N1978" s="1130"/>
      <c r="O1978" s="1130"/>
      <c r="P1978" s="1130"/>
      <c r="AB1978" s="1044"/>
    </row>
    <row r="1979" spans="1:28">
      <c r="A1979" s="1083"/>
      <c r="I1979" s="1130"/>
      <c r="J1979" s="1130"/>
      <c r="K1979" s="1130"/>
      <c r="L1979" s="1130"/>
      <c r="M1979" s="1130"/>
      <c r="N1979" s="1130"/>
      <c r="O1979" s="1130"/>
      <c r="P1979" s="1130"/>
      <c r="AB1979" s="1044"/>
    </row>
    <row r="1980" spans="1:28">
      <c r="A1980" s="1083"/>
      <c r="I1980" s="1130"/>
      <c r="J1980" s="1130"/>
      <c r="K1980" s="1130"/>
      <c r="L1980" s="1130"/>
      <c r="M1980" s="1130"/>
      <c r="N1980" s="1130"/>
      <c r="O1980" s="1130"/>
      <c r="P1980" s="1130"/>
      <c r="AB1980" s="1044"/>
    </row>
    <row r="1981" spans="1:28">
      <c r="A1981" s="1083"/>
      <c r="I1981" s="1130"/>
      <c r="J1981" s="1130"/>
      <c r="K1981" s="1130"/>
      <c r="L1981" s="1130"/>
      <c r="M1981" s="1130"/>
      <c r="N1981" s="1130"/>
      <c r="O1981" s="1130"/>
      <c r="P1981" s="1130"/>
      <c r="AB1981" s="1044"/>
    </row>
    <row r="1982" spans="1:28">
      <c r="A1982" s="1083"/>
      <c r="I1982" s="1130"/>
      <c r="J1982" s="1130"/>
      <c r="K1982" s="1130"/>
      <c r="L1982" s="1130"/>
      <c r="M1982" s="1130"/>
      <c r="N1982" s="1130"/>
      <c r="O1982" s="1130"/>
      <c r="P1982" s="1130"/>
      <c r="AB1982" s="1044"/>
    </row>
    <row r="1983" spans="1:28">
      <c r="A1983" s="1083"/>
      <c r="I1983" s="1130"/>
      <c r="J1983" s="1130"/>
      <c r="K1983" s="1130"/>
      <c r="L1983" s="1130"/>
      <c r="M1983" s="1130"/>
      <c r="N1983" s="1130"/>
      <c r="O1983" s="1130"/>
      <c r="P1983" s="1130"/>
      <c r="AB1983" s="1044"/>
    </row>
    <row r="1984" spans="1:28">
      <c r="A1984" s="1083"/>
      <c r="I1984" s="1130"/>
      <c r="J1984" s="1130"/>
      <c r="K1984" s="1130"/>
      <c r="L1984" s="1130"/>
      <c r="M1984" s="1130"/>
      <c r="N1984" s="1130"/>
      <c r="O1984" s="1130"/>
      <c r="P1984" s="1130"/>
      <c r="AB1984" s="1044"/>
    </row>
    <row r="1985" spans="1:28">
      <c r="A1985" s="1083"/>
      <c r="I1985" s="1130"/>
      <c r="J1985" s="1130"/>
      <c r="K1985" s="1130"/>
      <c r="L1985" s="1130"/>
      <c r="M1985" s="1130"/>
      <c r="N1985" s="1130"/>
      <c r="O1985" s="1130"/>
      <c r="P1985" s="1130"/>
      <c r="AB1985" s="1044"/>
    </row>
    <row r="1986" spans="1:28">
      <c r="A1986" s="1083"/>
      <c r="I1986" s="1130"/>
      <c r="J1986" s="1130"/>
      <c r="K1986" s="1130"/>
      <c r="L1986" s="1130"/>
      <c r="M1986" s="1130"/>
      <c r="N1986" s="1130"/>
      <c r="O1986" s="1130"/>
      <c r="P1986" s="1130"/>
      <c r="AB1986" s="1044"/>
    </row>
    <row r="1987" spans="1:28">
      <c r="A1987" s="1083"/>
      <c r="I1987" s="1130"/>
      <c r="J1987" s="1130"/>
      <c r="K1987" s="1130"/>
      <c r="L1987" s="1130"/>
      <c r="M1987" s="1130"/>
      <c r="N1987" s="1130"/>
      <c r="O1987" s="1130"/>
      <c r="P1987" s="1130"/>
      <c r="AB1987" s="1044"/>
    </row>
    <row r="1988" spans="1:28">
      <c r="A1988" s="1083"/>
      <c r="I1988" s="1130"/>
      <c r="J1988" s="1130"/>
      <c r="K1988" s="1130"/>
      <c r="L1988" s="1130"/>
      <c r="M1988" s="1130"/>
      <c r="N1988" s="1130"/>
      <c r="O1988" s="1130"/>
      <c r="P1988" s="1130"/>
      <c r="AB1988" s="1044"/>
    </row>
    <row r="1989" spans="1:28">
      <c r="A1989" s="1083"/>
      <c r="I1989" s="1130"/>
      <c r="J1989" s="1130"/>
      <c r="K1989" s="1130"/>
      <c r="L1989" s="1130"/>
      <c r="M1989" s="1130"/>
      <c r="N1989" s="1130"/>
      <c r="O1989" s="1130"/>
      <c r="P1989" s="1130"/>
      <c r="AB1989" s="1044"/>
    </row>
    <row r="1990" spans="1:28">
      <c r="A1990" s="1083"/>
      <c r="I1990" s="1130"/>
      <c r="J1990" s="1130"/>
      <c r="K1990" s="1130"/>
      <c r="L1990" s="1130"/>
      <c r="M1990" s="1130"/>
      <c r="N1990" s="1130"/>
      <c r="O1990" s="1130"/>
      <c r="P1990" s="1130"/>
      <c r="AB1990" s="1044"/>
    </row>
    <row r="1991" spans="1:28">
      <c r="A1991" s="1083"/>
      <c r="I1991" s="1130"/>
      <c r="J1991" s="1130"/>
      <c r="K1991" s="1130"/>
      <c r="L1991" s="1130"/>
      <c r="M1991" s="1130"/>
      <c r="N1991" s="1130"/>
      <c r="O1991" s="1130"/>
      <c r="P1991" s="1130"/>
      <c r="AB1991" s="1044"/>
    </row>
    <row r="1992" spans="1:28">
      <c r="A1992" s="1083"/>
      <c r="I1992" s="1130"/>
      <c r="J1992" s="1130"/>
      <c r="K1992" s="1130"/>
      <c r="L1992" s="1130"/>
      <c r="M1992" s="1130"/>
      <c r="N1992" s="1130"/>
      <c r="O1992" s="1130"/>
      <c r="P1992" s="1130"/>
      <c r="AB1992" s="1044"/>
    </row>
    <row r="1993" spans="1:28">
      <c r="A1993" s="1083"/>
      <c r="I1993" s="1130"/>
      <c r="J1993" s="1130"/>
      <c r="K1993" s="1130"/>
      <c r="L1993" s="1130"/>
      <c r="M1993" s="1130"/>
      <c r="N1993" s="1130"/>
      <c r="O1993" s="1130"/>
      <c r="P1993" s="1130"/>
      <c r="AB1993" s="1044"/>
    </row>
    <row r="1994" spans="1:28">
      <c r="A1994" s="1083"/>
      <c r="I1994" s="1130"/>
      <c r="J1994" s="1130"/>
      <c r="K1994" s="1130"/>
      <c r="L1994" s="1130"/>
      <c r="M1994" s="1130"/>
      <c r="N1994" s="1130"/>
      <c r="O1994" s="1130"/>
      <c r="P1994" s="1130"/>
      <c r="AB1994" s="1044"/>
    </row>
    <row r="1995" spans="1:28">
      <c r="A1995" s="1083"/>
      <c r="I1995" s="1130"/>
      <c r="J1995" s="1130"/>
      <c r="K1995" s="1130"/>
      <c r="L1995" s="1130"/>
      <c r="M1995" s="1130"/>
      <c r="N1995" s="1130"/>
      <c r="O1995" s="1130"/>
      <c r="P1995" s="1130"/>
      <c r="AB1995" s="1044"/>
    </row>
    <row r="1996" spans="1:28">
      <c r="A1996" s="1083"/>
      <c r="I1996" s="1130"/>
      <c r="J1996" s="1130"/>
      <c r="K1996" s="1130"/>
      <c r="L1996" s="1130"/>
      <c r="M1996" s="1130"/>
      <c r="N1996" s="1130"/>
      <c r="O1996" s="1130"/>
      <c r="P1996" s="1130"/>
      <c r="AB1996" s="1044"/>
    </row>
    <row r="1997" spans="1:28">
      <c r="A1997" s="1083"/>
      <c r="I1997" s="1130"/>
      <c r="J1997" s="1130"/>
      <c r="K1997" s="1130"/>
      <c r="L1997" s="1130"/>
      <c r="M1997" s="1130"/>
      <c r="N1997" s="1130"/>
      <c r="O1997" s="1130"/>
      <c r="P1997" s="1130"/>
      <c r="AB1997" s="1044"/>
    </row>
    <row r="1998" spans="1:28">
      <c r="A1998" s="1083"/>
      <c r="I1998" s="1130"/>
      <c r="J1998" s="1130"/>
      <c r="K1998" s="1130"/>
      <c r="L1998" s="1130"/>
      <c r="M1998" s="1130"/>
      <c r="N1998" s="1130"/>
      <c r="O1998" s="1130"/>
      <c r="P1998" s="1130"/>
      <c r="AB1998" s="1044"/>
    </row>
    <row r="1999" spans="1:28">
      <c r="A1999" s="1083"/>
      <c r="I1999" s="1130"/>
      <c r="J1999" s="1130"/>
      <c r="K1999" s="1130"/>
      <c r="L1999" s="1130"/>
      <c r="M1999" s="1130"/>
      <c r="N1999" s="1130"/>
      <c r="O1999" s="1130"/>
      <c r="P1999" s="1130"/>
      <c r="AB1999" s="1044"/>
    </row>
    <row r="2000" spans="1:28">
      <c r="A2000" s="1083"/>
      <c r="I2000" s="1130"/>
      <c r="J2000" s="1130"/>
      <c r="K2000" s="1130"/>
      <c r="L2000" s="1130"/>
      <c r="M2000" s="1130"/>
      <c r="N2000" s="1130"/>
      <c r="O2000" s="1130"/>
      <c r="P2000" s="1130"/>
      <c r="AB2000" s="1044"/>
    </row>
    <row r="2001" spans="1:31">
      <c r="A2001" s="1083"/>
      <c r="I2001" s="1130"/>
      <c r="J2001" s="1130"/>
      <c r="K2001" s="1130"/>
      <c r="L2001" s="1130"/>
      <c r="M2001" s="1130"/>
      <c r="N2001" s="1130"/>
      <c r="O2001" s="1130"/>
      <c r="P2001" s="1130"/>
      <c r="AB2001" s="1044"/>
    </row>
    <row r="2002" spans="1:31">
      <c r="A2002" s="1083"/>
      <c r="I2002" s="1130"/>
      <c r="J2002" s="1130"/>
      <c r="K2002" s="1130"/>
      <c r="L2002" s="1130"/>
      <c r="M2002" s="1130"/>
      <c r="N2002" s="1130"/>
      <c r="O2002" s="1130"/>
      <c r="P2002" s="1130"/>
      <c r="AB2002" s="1044"/>
    </row>
    <row r="2003" spans="1:31">
      <c r="A2003" s="1083"/>
      <c r="I2003" s="1130"/>
      <c r="J2003" s="1130"/>
      <c r="K2003" s="1130"/>
      <c r="L2003" s="1130"/>
      <c r="M2003" s="1130"/>
      <c r="N2003" s="1130"/>
      <c r="O2003" s="1130"/>
      <c r="P2003" s="1130"/>
      <c r="AB2003" s="1044"/>
    </row>
    <row r="2004" spans="1:31">
      <c r="A2004" s="1045" t="s">
        <v>124</v>
      </c>
      <c r="B2004" s="1046"/>
      <c r="C2004" s="1046"/>
      <c r="D2004" s="1046"/>
      <c r="E2004" s="1046"/>
      <c r="F2004" s="1046"/>
      <c r="G2004" s="1046"/>
      <c r="H2004" s="1046"/>
      <c r="I2004" s="1046"/>
      <c r="J2004" s="1046"/>
      <c r="K2004" s="1046"/>
      <c r="L2004" s="1046"/>
      <c r="M2004" s="1046"/>
      <c r="N2004" s="1046"/>
      <c r="O2004" s="1046"/>
      <c r="P2004" s="1046"/>
      <c r="Q2004" s="1046"/>
      <c r="R2004" s="1046"/>
      <c r="S2004" s="1046"/>
      <c r="T2004" s="1046"/>
      <c r="U2004" s="1046"/>
      <c r="V2004" s="1046"/>
      <c r="W2004" s="1046"/>
      <c r="X2004" s="1046"/>
      <c r="Y2004" s="1046"/>
      <c r="Z2004" s="1046"/>
      <c r="AA2004" s="1046"/>
      <c r="AB2004" s="1047"/>
    </row>
    <row r="2005" ht="14.4" customHeight="1" spans="1:31">
      <c r="A2005" s="1048" t="s">
        <v>269</v>
      </c>
      <c r="B2005" s="1049"/>
      <c r="C2005" s="1049"/>
      <c r="D2005" s="1050"/>
      <c r="E2005" s="1051" t="s">
        <v>270</v>
      </c>
      <c r="F2005" s="1049"/>
      <c r="G2005" s="1049"/>
      <c r="H2005" s="1050"/>
      <c r="I2005" s="1104" t="s">
        <v>271</v>
      </c>
      <c r="J2005" s="1102"/>
      <c r="K2005" s="1102"/>
      <c r="L2005" s="1103"/>
      <c r="M2005" s="1104" t="s">
        <v>272</v>
      </c>
      <c r="N2005" s="1102"/>
      <c r="O2005" s="1102"/>
      <c r="P2005" s="1103"/>
      <c r="Q2005" s="1104" t="s">
        <v>273</v>
      </c>
      <c r="R2005" s="1102"/>
      <c r="S2005" s="1102"/>
      <c r="T2005" s="1103"/>
      <c r="U2005" s="1104" t="s">
        <v>274</v>
      </c>
      <c r="V2005" s="1102"/>
      <c r="W2005" s="1102"/>
      <c r="X2005" s="1103"/>
      <c r="Y2005" s="1104" t="s">
        <v>274</v>
      </c>
      <c r="Z2005" s="1102"/>
      <c r="AA2005" s="1102"/>
      <c r="AB2005" s="1106"/>
    </row>
    <row r="2006" spans="1:31">
      <c r="A2006" s="1058"/>
      <c r="B2006" s="1059"/>
      <c r="C2006" s="1059"/>
      <c r="D2006" s="1060"/>
      <c r="E2006" s="1061"/>
      <c r="F2006" s="1059"/>
      <c r="G2006" s="1059"/>
      <c r="H2006" s="1060"/>
      <c r="I2006" s="1061" t="s">
        <v>275</v>
      </c>
      <c r="J2006" s="1059"/>
      <c r="K2006" s="1059"/>
      <c r="L2006" s="1060"/>
      <c r="M2006" s="1061" t="s">
        <v>276</v>
      </c>
      <c r="N2006" s="1059"/>
      <c r="O2006" s="1059"/>
      <c r="P2006" s="1060"/>
      <c r="Q2006" s="1061" t="s">
        <v>277</v>
      </c>
      <c r="R2006" s="1059"/>
      <c r="S2006" s="1059"/>
      <c r="T2006" s="1060"/>
      <c r="U2006" s="1061" t="s">
        <v>277</v>
      </c>
      <c r="V2006" s="1059"/>
      <c r="W2006" s="1059"/>
      <c r="X2006" s="1060"/>
      <c r="Y2006" s="1061" t="s">
        <v>278</v>
      </c>
      <c r="Z2006" s="1059"/>
      <c r="AA2006" s="1059"/>
      <c r="AB2006" s="1108"/>
    </row>
    <row r="2007" spans="1:31">
      <c r="A2007" s="1122" t="s">
        <v>279</v>
      </c>
      <c r="B2007" s="1073"/>
      <c r="C2007" s="1073"/>
      <c r="D2007" s="1073"/>
      <c r="E2007" s="1069">
        <v>1</v>
      </c>
      <c r="F2007" s="1069"/>
      <c r="G2007" s="1069"/>
      <c r="H2007" s="1069"/>
      <c r="I2007" s="1160">
        <v>6.3</v>
      </c>
      <c r="J2007" s="1160"/>
      <c r="K2007" s="1160"/>
      <c r="L2007" s="1160"/>
      <c r="M2007" s="1160">
        <v>82</v>
      </c>
      <c r="N2007" s="1160"/>
      <c r="O2007" s="1160"/>
      <c r="P2007" s="1160"/>
      <c r="Q2007" s="1160">
        <v>1200</v>
      </c>
      <c r="R2007" s="1160"/>
      <c r="S2007" s="1160"/>
      <c r="T2007" s="1160"/>
      <c r="U2007" s="1161">
        <f t="shared" ref="U2007" si="11">M2007*Q2007</f>
        <v>98400</v>
      </c>
      <c r="V2007" s="1161"/>
      <c r="W2007" s="1161"/>
      <c r="X2007" s="1161"/>
      <c r="Y2007" s="1162">
        <f>U2007/100</f>
        <v>984</v>
      </c>
      <c r="Z2007" s="1162"/>
      <c r="AA2007" s="1162"/>
      <c r="AB2007" s="1163"/>
      <c r="AE2007" s="1164"/>
    </row>
    <row r="2008" spans="1:31">
      <c r="A2008" s="1122" t="s">
        <v>279</v>
      </c>
      <c r="B2008" s="1073"/>
      <c r="C2008" s="1073"/>
      <c r="D2008" s="1073"/>
      <c r="E2008" s="1069">
        <v>2</v>
      </c>
      <c r="F2008" s="1069"/>
      <c r="G2008" s="1069"/>
      <c r="H2008" s="1069"/>
      <c r="I2008" s="1160">
        <v>6.3</v>
      </c>
      <c r="J2008" s="1160"/>
      <c r="K2008" s="1160"/>
      <c r="L2008" s="1160"/>
      <c r="M2008" s="1160">
        <v>82</v>
      </c>
      <c r="N2008" s="1160"/>
      <c r="O2008" s="1160"/>
      <c r="P2008" s="1160"/>
      <c r="Q2008" s="1160">
        <v>394</v>
      </c>
      <c r="R2008" s="1160"/>
      <c r="S2008" s="1160"/>
      <c r="T2008" s="1160"/>
      <c r="U2008" s="1161">
        <f t="shared" ref="U2008" si="12">M2008*Q2008</f>
        <v>32308</v>
      </c>
      <c r="V2008" s="1161"/>
      <c r="W2008" s="1161"/>
      <c r="X2008" s="1161"/>
      <c r="Y2008" s="1162">
        <f>U2008/100</f>
        <v>323.08</v>
      </c>
      <c r="Z2008" s="1162"/>
      <c r="AA2008" s="1162"/>
      <c r="AB2008" s="1163"/>
      <c r="AE2008" s="1164"/>
    </row>
    <row r="2009" spans="1:31">
      <c r="A2009" s="1122" t="s">
        <v>279</v>
      </c>
      <c r="B2009" s="1073"/>
      <c r="C2009" s="1073"/>
      <c r="D2009" s="1073"/>
      <c r="E2009" s="1069">
        <v>3</v>
      </c>
      <c r="F2009" s="1069"/>
      <c r="G2009" s="1069"/>
      <c r="H2009" s="1069"/>
      <c r="I2009" s="1160">
        <v>8</v>
      </c>
      <c r="J2009" s="1160"/>
      <c r="K2009" s="1160"/>
      <c r="L2009" s="1160"/>
      <c r="M2009" s="1160">
        <v>151</v>
      </c>
      <c r="N2009" s="1160"/>
      <c r="O2009" s="1160"/>
      <c r="P2009" s="1160"/>
      <c r="Q2009" s="1160">
        <v>612</v>
      </c>
      <c r="R2009" s="1160"/>
      <c r="S2009" s="1160"/>
      <c r="T2009" s="1160"/>
      <c r="U2009" s="1161">
        <f t="shared" ref="U2009:U2010" si="13">M2009*Q2009</f>
        <v>92412</v>
      </c>
      <c r="V2009" s="1161"/>
      <c r="W2009" s="1161"/>
      <c r="X2009" s="1161"/>
      <c r="Y2009" s="1162">
        <f>U2009/100</f>
        <v>924.12</v>
      </c>
      <c r="Z2009" s="1162"/>
      <c r="AA2009" s="1162"/>
      <c r="AB2009" s="1163"/>
      <c r="AE2009" s="1164"/>
    </row>
    <row r="2010" ht="15.75" spans="1:31">
      <c r="A2010" s="1133" t="s">
        <v>279</v>
      </c>
      <c r="B2010" s="1134"/>
      <c r="C2010" s="1134"/>
      <c r="D2010" s="1134"/>
      <c r="E2010" s="1137">
        <v>4</v>
      </c>
      <c r="F2010" s="1137"/>
      <c r="G2010" s="1137"/>
      <c r="H2010" s="1137"/>
      <c r="I2010" s="1138">
        <v>8</v>
      </c>
      <c r="J2010" s="1138"/>
      <c r="K2010" s="1138"/>
      <c r="L2010" s="1138"/>
      <c r="M2010" s="1138">
        <v>151</v>
      </c>
      <c r="N2010" s="1138"/>
      <c r="O2010" s="1138"/>
      <c r="P2010" s="1138"/>
      <c r="Q2010" s="1138">
        <v>612</v>
      </c>
      <c r="R2010" s="1138"/>
      <c r="S2010" s="1138"/>
      <c r="T2010" s="1138"/>
      <c r="U2010" s="1142">
        <f t="shared" si="13"/>
        <v>92412</v>
      </c>
      <c r="V2010" s="1142"/>
      <c r="W2010" s="1142"/>
      <c r="X2010" s="1142"/>
      <c r="Y2010" s="1169">
        <f t="shared" ref="Y2010" si="14">U2010/100</f>
        <v>924.12</v>
      </c>
      <c r="Z2010" s="1169"/>
      <c r="AA2010" s="1169"/>
      <c r="AB2010" s="1170"/>
      <c r="AE2010" s="1164"/>
    </row>
    <row r="2011" ht="15.75" spans="1:31">
      <c r="A2011" s="1083"/>
      <c r="AB2011" s="1044"/>
    </row>
    <row r="2012" spans="1:31">
      <c r="A2012" s="1083"/>
      <c r="K2012" s="1084" t="s">
        <v>494</v>
      </c>
      <c r="L2012" s="1085"/>
      <c r="M2012" s="1085"/>
      <c r="N2012" s="1085"/>
      <c r="O2012" s="1085"/>
      <c r="P2012" s="1085"/>
      <c r="Q2012" s="1085"/>
      <c r="R2012" s="1086"/>
      <c r="AB2012" s="1044"/>
    </row>
    <row r="2013" spans="1:31">
      <c r="A2013" s="1083"/>
      <c r="K2013" s="1087" t="s">
        <v>281</v>
      </c>
      <c r="L2013" s="1088"/>
      <c r="M2013" s="1088"/>
      <c r="N2013" s="1088"/>
      <c r="O2013" s="1088"/>
      <c r="P2013" s="1088"/>
      <c r="Q2013" s="1088"/>
      <c r="R2013" s="1089"/>
      <c r="AB2013" s="1044"/>
    </row>
    <row r="2014" spans="1:31">
      <c r="A2014" s="1083"/>
      <c r="K2014" s="1090"/>
      <c r="L2014" s="1091"/>
      <c r="M2014" s="1091"/>
      <c r="N2014" s="1091"/>
      <c r="O2014" s="1091"/>
      <c r="P2014" s="1091"/>
      <c r="Q2014" s="1091"/>
      <c r="R2014" s="1092"/>
      <c r="AB2014" s="1044"/>
    </row>
    <row r="2015" ht="15.75" spans="1:31">
      <c r="A2015" s="1083"/>
      <c r="K2015" s="1171">
        <f>ROUNDUP(ROUNDUP((((Y2007+Y2008)*((PI()*((I2007^2)/4))*7859.25))+((Y2009+Y2010)*((PI()*((I2010^2)/4))*7859.25)))/1000000,2)/0.05,0)*0.05</f>
        <v>1050.4</v>
      </c>
      <c r="L2015" s="1172"/>
      <c r="M2015" s="1172"/>
      <c r="N2015" s="1172"/>
      <c r="O2015" s="1172"/>
      <c r="P2015" s="1172"/>
      <c r="Q2015" s="1172"/>
      <c r="R2015" s="1173"/>
      <c r="AB2015" s="1044"/>
    </row>
    <row r="2016" ht="15.75" spans="1:31">
      <c r="A2016" s="1096"/>
      <c r="B2016" s="389"/>
      <c r="C2016" s="389"/>
      <c r="D2016" s="389"/>
      <c r="E2016" s="389"/>
      <c r="F2016" s="389"/>
      <c r="G2016" s="389"/>
      <c r="H2016" s="389"/>
      <c r="I2016" s="1097"/>
      <c r="J2016" s="1097"/>
      <c r="K2016" s="1097"/>
      <c r="L2016" s="1097"/>
      <c r="M2016" s="1097"/>
      <c r="N2016" s="1097"/>
      <c r="O2016" s="1097"/>
      <c r="P2016" s="1097"/>
      <c r="Q2016" s="389"/>
      <c r="R2016" s="389"/>
      <c r="S2016" s="389"/>
      <c r="T2016" s="389"/>
      <c r="U2016" s="389"/>
      <c r="V2016" s="389"/>
      <c r="W2016" s="389"/>
      <c r="X2016" s="389"/>
      <c r="Y2016" s="389"/>
      <c r="Z2016" s="389"/>
      <c r="AA2016" s="389"/>
      <c r="AB2016" s="1098"/>
    </row>
    <row r="2017" spans="1:28">
      <c r="A2017" s="1040" t="s">
        <v>495</v>
      </c>
      <c r="B2017" s="1041"/>
      <c r="C2017" s="1041"/>
      <c r="D2017" s="1041"/>
      <c r="E2017" s="1041"/>
      <c r="F2017" s="1041"/>
      <c r="G2017" s="1041"/>
      <c r="H2017" s="1041"/>
      <c r="I2017" s="1041"/>
      <c r="J2017" s="1041"/>
      <c r="K2017" s="1041"/>
      <c r="L2017" s="1041"/>
      <c r="M2017" s="1041"/>
      <c r="N2017" s="1041"/>
      <c r="O2017" s="1041"/>
      <c r="P2017" s="1041"/>
      <c r="Q2017" s="1041"/>
      <c r="R2017" s="1041"/>
      <c r="S2017" s="1041"/>
      <c r="T2017" s="1041"/>
      <c r="U2017" s="1041"/>
      <c r="V2017" s="1041"/>
      <c r="W2017" s="1041"/>
      <c r="X2017" s="1041"/>
      <c r="Y2017" s="1041"/>
      <c r="Z2017" s="1041"/>
      <c r="AA2017" s="1041"/>
      <c r="AB2017" s="1042"/>
    </row>
    <row r="2018" spans="1:28">
      <c r="A2018" s="1083"/>
      <c r="AB2018" s="1044"/>
    </row>
    <row r="2019" spans="1:28">
      <c r="A2019" s="1083"/>
      <c r="AB2019" s="1044"/>
    </row>
    <row r="2020" spans="1:28">
      <c r="A2020" s="1083"/>
      <c r="AB2020" s="1044"/>
    </row>
    <row r="2021" spans="1:28">
      <c r="A2021" s="1083"/>
      <c r="AB2021" s="1044"/>
    </row>
    <row r="2022" spans="1:28">
      <c r="A2022" s="1083"/>
      <c r="AB2022" s="1044"/>
    </row>
    <row r="2023" spans="1:28">
      <c r="A2023" s="1083"/>
      <c r="AB2023" s="1044"/>
    </row>
    <row r="2024" spans="1:28">
      <c r="A2024" s="1083"/>
      <c r="AB2024" s="1044"/>
    </row>
    <row r="2025" spans="1:28">
      <c r="A2025" s="1083"/>
      <c r="AB2025" s="1044"/>
    </row>
    <row r="2026" spans="1:28">
      <c r="A2026" s="1083"/>
      <c r="AB2026" s="1044"/>
    </row>
    <row r="2027" spans="1:28">
      <c r="A2027" s="1083"/>
      <c r="AB2027" s="1044"/>
    </row>
    <row r="2028" spans="1:28">
      <c r="A2028" s="1083"/>
      <c r="AB2028" s="1044"/>
    </row>
    <row r="2029" spans="1:28">
      <c r="A2029" s="1083"/>
      <c r="AB2029" s="1044"/>
    </row>
    <row r="2030" spans="1:28">
      <c r="A2030" s="1083"/>
      <c r="AB2030" s="1044"/>
    </row>
    <row r="2031" spans="1:28">
      <c r="A2031" s="1083"/>
      <c r="AB2031" s="1044"/>
    </row>
    <row r="2032" spans="1:28">
      <c r="A2032" s="1099" t="s">
        <v>124</v>
      </c>
      <c r="B2032" s="424"/>
      <c r="C2032" s="424"/>
      <c r="D2032" s="424"/>
      <c r="E2032" s="424"/>
      <c r="F2032" s="424"/>
      <c r="G2032" s="424"/>
      <c r="H2032" s="424"/>
      <c r="I2032" s="424"/>
      <c r="J2032" s="424"/>
      <c r="K2032" s="424"/>
      <c r="L2032" s="424"/>
      <c r="M2032" s="424"/>
      <c r="N2032" s="424"/>
      <c r="O2032" s="424"/>
      <c r="P2032" s="424"/>
      <c r="Q2032" s="424"/>
      <c r="R2032" s="424"/>
      <c r="S2032" s="424"/>
      <c r="T2032" s="424"/>
      <c r="U2032" s="424"/>
      <c r="V2032" s="424"/>
      <c r="W2032" s="424"/>
      <c r="X2032" s="424"/>
      <c r="Y2032" s="424"/>
      <c r="Z2032" s="424"/>
      <c r="AA2032" s="424"/>
      <c r="AB2032" s="1100"/>
    </row>
    <row r="2033" ht="14.4" customHeight="1" spans="1:28">
      <c r="A2033" s="1051" t="s">
        <v>205</v>
      </c>
      <c r="B2033" s="1049"/>
      <c r="C2033" s="1049"/>
      <c r="D2033" s="1050"/>
      <c r="E2033" s="1051" t="s">
        <v>206</v>
      </c>
      <c r="F2033" s="1049"/>
      <c r="G2033" s="1049"/>
      <c r="H2033" s="1050"/>
      <c r="I2033" s="1051" t="s">
        <v>485</v>
      </c>
      <c r="J2033" s="1049"/>
      <c r="K2033" s="1049"/>
      <c r="L2033" s="1050"/>
      <c r="M2033" s="1051" t="s">
        <v>486</v>
      </c>
      <c r="N2033" s="1049"/>
      <c r="O2033" s="1049"/>
      <c r="P2033" s="1050"/>
      <c r="Q2033" s="1051"/>
      <c r="R2033" s="1049"/>
      <c r="S2033" s="1049"/>
      <c r="T2033" s="1050"/>
      <c r="U2033" s="1052"/>
      <c r="V2033" s="1053"/>
      <c r="W2033" s="1053"/>
      <c r="X2033" s="1054"/>
      <c r="Y2033" s="1055" t="s">
        <v>382</v>
      </c>
      <c r="Z2033" s="1056"/>
      <c r="AA2033" s="1056"/>
      <c r="AB2033" s="1057"/>
    </row>
    <row r="2034" ht="14.4" customHeight="1" spans="1:28">
      <c r="A2034" s="1061" t="s">
        <v>209</v>
      </c>
      <c r="B2034" s="1059"/>
      <c r="C2034" s="1059"/>
      <c r="D2034" s="1060"/>
      <c r="E2034" s="1061" t="s">
        <v>315</v>
      </c>
      <c r="F2034" s="1059"/>
      <c r="G2034" s="1059"/>
      <c r="H2034" s="1060"/>
      <c r="I2034" s="1061" t="s">
        <v>210</v>
      </c>
      <c r="J2034" s="1059"/>
      <c r="K2034" s="1059"/>
      <c r="L2034" s="1060"/>
      <c r="M2034" s="1061" t="s">
        <v>210</v>
      </c>
      <c r="N2034" s="1059"/>
      <c r="O2034" s="1059"/>
      <c r="P2034" s="1060"/>
      <c r="Q2034" s="1061"/>
      <c r="R2034" s="1059"/>
      <c r="S2034" s="1059"/>
      <c r="T2034" s="1060"/>
      <c r="U2034" s="1062"/>
      <c r="V2034" s="1063"/>
      <c r="W2034" s="1063"/>
      <c r="X2034" s="1064"/>
      <c r="Y2034" s="1065"/>
      <c r="Z2034" s="1066"/>
      <c r="AA2034" s="1066"/>
      <c r="AB2034" s="1067"/>
    </row>
    <row r="2035" ht="15.75" spans="1:28">
      <c r="A2035" s="1073">
        <v>15</v>
      </c>
      <c r="B2035" s="1073"/>
      <c r="C2035" s="1073"/>
      <c r="D2035" s="1073"/>
      <c r="E2035" s="1073">
        <v>6</v>
      </c>
      <c r="F2035" s="1073"/>
      <c r="G2035" s="1073"/>
      <c r="H2035" s="1073"/>
      <c r="I2035" s="1073">
        <v>0.15</v>
      </c>
      <c r="J2035" s="1073"/>
      <c r="K2035" s="1073"/>
      <c r="L2035" s="1073"/>
      <c r="M2035" s="1123">
        <v>0.05</v>
      </c>
      <c r="N2035" s="1123"/>
      <c r="O2035" s="1123"/>
      <c r="P2035" s="1123"/>
      <c r="Q2035" s="1069"/>
      <c r="R2035" s="1069"/>
      <c r="S2035" s="1069"/>
      <c r="T2035" s="1069"/>
      <c r="U2035" s="1074"/>
      <c r="V2035" s="1075"/>
      <c r="W2035" s="1075"/>
      <c r="X2035" s="1076"/>
      <c r="Y2035" s="1077">
        <f>ROUNDUP((((E2035*I2035)+((E2035*M2035)/2))*A2035),2)</f>
        <v>15.75</v>
      </c>
      <c r="Z2035" s="1077"/>
      <c r="AA2035" s="1077"/>
      <c r="AB2035" s="1078"/>
    </row>
    <row r="2036" ht="15.75" spans="1:28">
      <c r="A2036" s="1079" t="s">
        <v>487</v>
      </c>
      <c r="B2036" s="1080"/>
      <c r="C2036" s="1080"/>
      <c r="D2036" s="1080"/>
      <c r="E2036" s="1080"/>
      <c r="F2036" s="1080"/>
      <c r="G2036" s="1080"/>
      <c r="H2036" s="1080"/>
      <c r="I2036" s="1080"/>
      <c r="J2036" s="1080"/>
      <c r="K2036" s="1080"/>
      <c r="L2036" s="1080"/>
      <c r="M2036" s="1080"/>
      <c r="N2036" s="1080"/>
      <c r="O2036" s="1080"/>
      <c r="P2036" s="1080"/>
      <c r="Q2036" s="1080"/>
      <c r="R2036" s="1080"/>
      <c r="S2036" s="1080"/>
      <c r="T2036" s="1080"/>
      <c r="U2036" s="1080"/>
      <c r="V2036" s="1080"/>
      <c r="W2036" s="1080"/>
      <c r="X2036" s="1080"/>
      <c r="Y2036" s="1080"/>
      <c r="Z2036" s="1080"/>
      <c r="AA2036" s="1080"/>
      <c r="AB2036" s="1081"/>
    </row>
    <row r="2037" ht="15.75" spans="1:28">
      <c r="A2037" s="1083"/>
      <c r="AB2037" s="1044"/>
    </row>
    <row r="2038" spans="1:28">
      <c r="A2038" s="1083"/>
      <c r="K2038" s="1084" t="s">
        <v>496</v>
      </c>
      <c r="L2038" s="1085"/>
      <c r="M2038" s="1085"/>
      <c r="N2038" s="1085"/>
      <c r="O2038" s="1085"/>
      <c r="P2038" s="1085"/>
      <c r="Q2038" s="1085"/>
      <c r="R2038" s="1086"/>
      <c r="AB2038" s="1044"/>
    </row>
    <row r="2039" spans="1:28">
      <c r="A2039" s="1083"/>
      <c r="K2039" s="1087" t="s">
        <v>384</v>
      </c>
      <c r="L2039" s="1088"/>
      <c r="M2039" s="1088"/>
      <c r="N2039" s="1088"/>
      <c r="O2039" s="1088"/>
      <c r="P2039" s="1088"/>
      <c r="Q2039" s="1088"/>
      <c r="R2039" s="1089"/>
      <c r="AB2039" s="1044"/>
    </row>
    <row r="2040" spans="1:28">
      <c r="A2040" s="1083"/>
      <c r="K2040" s="1090"/>
      <c r="L2040" s="1091"/>
      <c r="M2040" s="1091"/>
      <c r="N2040" s="1091"/>
      <c r="O2040" s="1091"/>
      <c r="P2040" s="1091"/>
      <c r="Q2040" s="1091"/>
      <c r="R2040" s="1092"/>
      <c r="AB2040" s="1044"/>
    </row>
    <row r="2041" ht="15.75" spans="1:28">
      <c r="A2041" s="1083"/>
      <c r="K2041" s="1093">
        <f>ROUNDUP(Y2035,2)</f>
        <v>15.75</v>
      </c>
      <c r="L2041" s="1094"/>
      <c r="M2041" s="1094"/>
      <c r="N2041" s="1094"/>
      <c r="O2041" s="1094"/>
      <c r="P2041" s="1094"/>
      <c r="Q2041" s="1094"/>
      <c r="R2041" s="1095"/>
      <c r="AB2041" s="1044"/>
    </row>
    <row r="2042" ht="15.75" spans="1:28">
      <c r="A2042" s="1096"/>
      <c r="B2042" s="389"/>
      <c r="C2042" s="389"/>
      <c r="D2042" s="389"/>
      <c r="E2042" s="389"/>
      <c r="F2042" s="389"/>
      <c r="G2042" s="389"/>
      <c r="H2042" s="389"/>
      <c r="I2042" s="1097"/>
      <c r="J2042" s="1097"/>
      <c r="K2042" s="1097"/>
      <c r="L2042" s="1097"/>
      <c r="M2042" s="1097"/>
      <c r="N2042" s="1097"/>
      <c r="O2042" s="1097"/>
      <c r="P2042" s="1097"/>
      <c r="Q2042" s="389"/>
      <c r="R2042" s="389"/>
      <c r="S2042" s="389"/>
      <c r="T2042" s="389"/>
      <c r="U2042" s="389"/>
      <c r="V2042" s="389"/>
      <c r="W2042" s="389"/>
      <c r="X2042" s="389"/>
      <c r="Y2042" s="389"/>
      <c r="Z2042" s="389"/>
      <c r="AA2042" s="389"/>
      <c r="AB2042" s="1098"/>
    </row>
    <row r="2043" spans="1:28">
      <c r="A2043" s="1040" t="s">
        <v>497</v>
      </c>
      <c r="B2043" s="1041"/>
      <c r="C2043" s="1041"/>
      <c r="D2043" s="1041"/>
      <c r="E2043" s="1041"/>
      <c r="F2043" s="1041"/>
      <c r="G2043" s="1041"/>
      <c r="H2043" s="1041"/>
      <c r="I2043" s="1041"/>
      <c r="J2043" s="1041"/>
      <c r="K2043" s="1041"/>
      <c r="L2043" s="1041"/>
      <c r="M2043" s="1041"/>
      <c r="N2043" s="1041"/>
      <c r="O2043" s="1041"/>
      <c r="P2043" s="1041"/>
      <c r="Q2043" s="1041"/>
      <c r="R2043" s="1041"/>
      <c r="S2043" s="1041"/>
      <c r="T2043" s="1041"/>
      <c r="U2043" s="1041"/>
      <c r="V2043" s="1041"/>
      <c r="W2043" s="1041"/>
      <c r="X2043" s="1041"/>
      <c r="Y2043" s="1041"/>
      <c r="Z2043" s="1041"/>
      <c r="AA2043" s="1041"/>
      <c r="AB2043" s="1042"/>
    </row>
    <row r="2044" spans="1:28">
      <c r="A2044" s="1083"/>
      <c r="AB2044" s="1044"/>
    </row>
    <row r="2045" spans="1:28">
      <c r="A2045" s="1083"/>
      <c r="AB2045" s="1044"/>
    </row>
    <row r="2046" spans="1:28">
      <c r="A2046" s="1083"/>
      <c r="AB2046" s="1044"/>
    </row>
    <row r="2047" spans="1:28">
      <c r="A2047" s="1083"/>
      <c r="AB2047" s="1044"/>
    </row>
    <row r="2048" spans="1:28">
      <c r="A2048" s="1083"/>
      <c r="AB2048" s="1044"/>
    </row>
    <row r="2049" spans="1:28">
      <c r="A2049" s="1083"/>
      <c r="AB2049" s="1044"/>
    </row>
    <row r="2050" spans="1:28">
      <c r="A2050" s="1083"/>
      <c r="AB2050" s="1044"/>
    </row>
    <row r="2051" spans="1:28">
      <c r="A2051" s="1083"/>
      <c r="AB2051" s="1044"/>
    </row>
    <row r="2052" spans="1:28">
      <c r="A2052" s="1083"/>
      <c r="AB2052" s="1044"/>
    </row>
    <row r="2053" spans="1:28">
      <c r="A2053" s="1083"/>
      <c r="AB2053" s="1044"/>
    </row>
    <row r="2054" spans="1:28">
      <c r="A2054" s="1083"/>
      <c r="AB2054" s="1044"/>
    </row>
    <row r="2055" spans="1:28">
      <c r="A2055" s="1083"/>
      <c r="AB2055" s="1044"/>
    </row>
    <row r="2056" spans="1:28">
      <c r="A2056" s="1048" t="s">
        <v>205</v>
      </c>
      <c r="B2056" s="1049"/>
      <c r="C2056" s="1049"/>
      <c r="D2056" s="1050"/>
      <c r="E2056" s="1051" t="s">
        <v>206</v>
      </c>
      <c r="F2056" s="1049"/>
      <c r="G2056" s="1049"/>
      <c r="H2056" s="1050"/>
      <c r="I2056" s="1051" t="s">
        <v>235</v>
      </c>
      <c r="J2056" s="1049"/>
      <c r="K2056" s="1049"/>
      <c r="L2056" s="1050"/>
      <c r="M2056" s="1051" t="s">
        <v>236</v>
      </c>
      <c r="N2056" s="1049"/>
      <c r="O2056" s="1049"/>
      <c r="P2056" s="1050"/>
      <c r="Q2056" s="1051" t="s">
        <v>237</v>
      </c>
      <c r="R2056" s="1049"/>
      <c r="S2056" s="1049"/>
      <c r="T2056" s="1050"/>
      <c r="U2056" s="1051" t="s">
        <v>238</v>
      </c>
      <c r="V2056" s="1049"/>
      <c r="W2056" s="1049"/>
      <c r="X2056" s="1050"/>
      <c r="Y2056" s="1051" t="s">
        <v>246</v>
      </c>
      <c r="Z2056" s="1049"/>
      <c r="AA2056" s="1049"/>
      <c r="AB2056" s="1222"/>
    </row>
    <row r="2057" spans="1:28">
      <c r="A2057" s="1058" t="s">
        <v>209</v>
      </c>
      <c r="B2057" s="1059"/>
      <c r="C2057" s="1059"/>
      <c r="D2057" s="1060"/>
      <c r="E2057" s="1061" t="s">
        <v>498</v>
      </c>
      <c r="F2057" s="1059"/>
      <c r="G2057" s="1059"/>
      <c r="H2057" s="1060"/>
      <c r="I2057" s="1061" t="s">
        <v>499</v>
      </c>
      <c r="J2057" s="1059"/>
      <c r="K2057" s="1059"/>
      <c r="L2057" s="1060"/>
      <c r="M2057" s="1061" t="s">
        <v>417</v>
      </c>
      <c r="N2057" s="1059"/>
      <c r="O2057" s="1059"/>
      <c r="P2057" s="1060"/>
      <c r="Q2057" s="1061" t="s">
        <v>418</v>
      </c>
      <c r="R2057" s="1059"/>
      <c r="S2057" s="1059"/>
      <c r="T2057" s="1060"/>
      <c r="U2057" s="1061" t="s">
        <v>500</v>
      </c>
      <c r="V2057" s="1059"/>
      <c r="W2057" s="1059"/>
      <c r="X2057" s="1060"/>
      <c r="Y2057" s="1061" t="s">
        <v>501</v>
      </c>
      <c r="Z2057" s="1059"/>
      <c r="AA2057" s="1059"/>
      <c r="AB2057" s="1108"/>
    </row>
    <row r="2058" spans="1:28">
      <c r="A2058" s="1122">
        <v>6</v>
      </c>
      <c r="B2058" s="1073"/>
      <c r="C2058" s="1073"/>
      <c r="D2058" s="1073"/>
      <c r="E2058" s="1073">
        <v>0.4</v>
      </c>
      <c r="F2058" s="1073"/>
      <c r="G2058" s="1073"/>
      <c r="H2058" s="1073"/>
      <c r="I2058" s="1073">
        <v>0.3</v>
      </c>
      <c r="J2058" s="1073"/>
      <c r="K2058" s="1073"/>
      <c r="L2058" s="1073"/>
      <c r="M2058" s="1073">
        <v>0.05</v>
      </c>
      <c r="N2058" s="1073"/>
      <c r="O2058" s="1073"/>
      <c r="P2058" s="1073"/>
      <c r="Q2058" s="1073">
        <v>0.3</v>
      </c>
      <c r="R2058" s="1073"/>
      <c r="S2058" s="1073"/>
      <c r="T2058" s="1073"/>
      <c r="U2058" s="1073">
        <v>0.3</v>
      </c>
      <c r="V2058" s="1073"/>
      <c r="W2058" s="1073"/>
      <c r="X2058" s="1073"/>
      <c r="Y2058" s="1073">
        <v>0.42</v>
      </c>
      <c r="Z2058" s="1073"/>
      <c r="AA2058" s="1073"/>
      <c r="AB2058" s="1193"/>
    </row>
    <row r="2059" spans="1:28">
      <c r="A2059" s="1154"/>
      <c r="B2059" s="1130"/>
      <c r="C2059" s="1130"/>
      <c r="D2059" s="1130"/>
      <c r="E2059" s="1130"/>
      <c r="F2059" s="1130"/>
      <c r="G2059" s="1130"/>
      <c r="H2059" s="1130"/>
      <c r="I2059" s="1130"/>
      <c r="J2059" s="1130"/>
      <c r="K2059" s="1130"/>
      <c r="L2059" s="1130"/>
      <c r="M2059" s="1130"/>
      <c r="N2059" s="1130"/>
      <c r="O2059" s="1130"/>
      <c r="P2059" s="1130"/>
      <c r="Q2059" s="1130"/>
      <c r="R2059" s="1130"/>
      <c r="S2059" s="1130"/>
      <c r="T2059" s="1130"/>
      <c r="U2059" s="1130"/>
      <c r="V2059" s="1130"/>
      <c r="W2059" s="1130"/>
      <c r="X2059" s="1130"/>
      <c r="AB2059" s="1044"/>
    </row>
    <row r="2060" ht="14.4" customHeight="1" spans="1:28">
      <c r="A2060" s="1223" t="s">
        <v>502</v>
      </c>
      <c r="B2060" s="1196"/>
      <c r="C2060" s="1196"/>
      <c r="D2060" s="1196"/>
      <c r="E2060" s="1196"/>
      <c r="F2060" s="1196"/>
      <c r="G2060" s="1196"/>
      <c r="H2060" s="1196"/>
      <c r="I2060" s="1051"/>
      <c r="J2060" s="1049"/>
      <c r="K2060" s="1049"/>
      <c r="L2060" s="1050"/>
      <c r="M2060" s="1051"/>
      <c r="N2060" s="1049"/>
      <c r="O2060" s="1049"/>
      <c r="P2060" s="1050"/>
      <c r="Q2060" s="1051"/>
      <c r="R2060" s="1049"/>
      <c r="S2060" s="1049"/>
      <c r="T2060" s="1050"/>
      <c r="U2060" s="1051"/>
      <c r="V2060" s="1049"/>
      <c r="W2060" s="1049"/>
      <c r="X2060" s="1050"/>
      <c r="Y2060" s="1051" t="s">
        <v>314</v>
      </c>
      <c r="Z2060" s="1049"/>
      <c r="AA2060" s="1049"/>
      <c r="AB2060" s="1222"/>
    </row>
    <row r="2061" spans="1:28">
      <c r="A2061" s="1223"/>
      <c r="B2061" s="1196"/>
      <c r="C2061" s="1196"/>
      <c r="D2061" s="1196"/>
      <c r="E2061" s="1196"/>
      <c r="F2061" s="1196"/>
      <c r="G2061" s="1196"/>
      <c r="H2061" s="1196"/>
      <c r="I2061" s="1061"/>
      <c r="J2061" s="1059"/>
      <c r="K2061" s="1059"/>
      <c r="L2061" s="1060"/>
      <c r="M2061" s="1061"/>
      <c r="N2061" s="1059"/>
      <c r="O2061" s="1059"/>
      <c r="P2061" s="1060"/>
      <c r="Q2061" s="1061"/>
      <c r="R2061" s="1059"/>
      <c r="S2061" s="1059"/>
      <c r="T2061" s="1060"/>
      <c r="U2061" s="1061"/>
      <c r="V2061" s="1059"/>
      <c r="W2061" s="1059"/>
      <c r="X2061" s="1060"/>
      <c r="Y2061" s="1061"/>
      <c r="Z2061" s="1059"/>
      <c r="AA2061" s="1059"/>
      <c r="AB2061" s="1108"/>
    </row>
    <row r="2062" ht="15.75" spans="1:28">
      <c r="A2062" s="1224">
        <v>2</v>
      </c>
      <c r="B2062" s="1137"/>
      <c r="C2062" s="1137"/>
      <c r="D2062" s="1137"/>
      <c r="E2062" s="1137"/>
      <c r="F2062" s="1137"/>
      <c r="G2062" s="1137"/>
      <c r="H2062" s="1137"/>
      <c r="I2062" s="1134"/>
      <c r="J2062" s="1134"/>
      <c r="K2062" s="1134"/>
      <c r="L2062" s="1134"/>
      <c r="M2062" s="1134"/>
      <c r="N2062" s="1134"/>
      <c r="O2062" s="1134"/>
      <c r="P2062" s="1134"/>
      <c r="Q2062" s="1134"/>
      <c r="R2062" s="1134"/>
      <c r="S2062" s="1134"/>
      <c r="T2062" s="1134"/>
      <c r="U2062" s="1134"/>
      <c r="V2062" s="1134"/>
      <c r="W2062" s="1134"/>
      <c r="X2062" s="1134"/>
      <c r="Y2062" s="1134">
        <f>ROUNDUP((((($E$2058*($M$2058+$Q$2058+$U$2058+$Y$2058))+(((($Q$2058+$U$2058)+($U$2058))*($I$2058))/2))*$A$2058)*$A$2062),2)</f>
        <v>6.76</v>
      </c>
      <c r="Z2062" s="1134"/>
      <c r="AA2062" s="1134"/>
      <c r="AB2062" s="1225"/>
    </row>
    <row r="2063" ht="17.25" spans="1:28">
      <c r="A2063" s="1079" t="s">
        <v>503</v>
      </c>
      <c r="B2063" s="1080"/>
      <c r="C2063" s="1080"/>
      <c r="D2063" s="1080"/>
      <c r="E2063" s="1080"/>
      <c r="F2063" s="1080"/>
      <c r="G2063" s="1080"/>
      <c r="H2063" s="1080"/>
      <c r="I2063" s="1080"/>
      <c r="J2063" s="1080"/>
      <c r="K2063" s="1080"/>
      <c r="L2063" s="1080"/>
      <c r="M2063" s="1080"/>
      <c r="N2063" s="1080"/>
      <c r="O2063" s="1080"/>
      <c r="P2063" s="1080"/>
      <c r="Q2063" s="1080"/>
      <c r="R2063" s="1080"/>
      <c r="S2063" s="1080"/>
      <c r="T2063" s="1080"/>
      <c r="U2063" s="1080"/>
      <c r="V2063" s="1080"/>
      <c r="W2063" s="1080"/>
      <c r="X2063" s="1080"/>
      <c r="Y2063" s="1080"/>
      <c r="Z2063" s="1080"/>
      <c r="AA2063" s="1080"/>
      <c r="AB2063" s="1081"/>
    </row>
    <row r="2064" ht="15.75" spans="1:28">
      <c r="A2064" s="1083"/>
      <c r="AB2064" s="1044"/>
    </row>
    <row r="2065" spans="1:28">
      <c r="A2065" s="1083"/>
      <c r="K2065" s="1084" t="s">
        <v>504</v>
      </c>
      <c r="L2065" s="1085"/>
      <c r="M2065" s="1085"/>
      <c r="N2065" s="1085"/>
      <c r="O2065" s="1085"/>
      <c r="P2065" s="1085"/>
      <c r="Q2065" s="1085"/>
      <c r="R2065" s="1086"/>
      <c r="AB2065" s="1044"/>
    </row>
    <row r="2066" spans="1:28">
      <c r="A2066" s="1083"/>
      <c r="K2066" s="1087" t="s">
        <v>324</v>
      </c>
      <c r="L2066" s="1088"/>
      <c r="M2066" s="1088"/>
      <c r="N2066" s="1088"/>
      <c r="O2066" s="1088"/>
      <c r="P2066" s="1088"/>
      <c r="Q2066" s="1088"/>
      <c r="R2066" s="1089"/>
      <c r="AB2066" s="1044"/>
    </row>
    <row r="2067" spans="1:28">
      <c r="A2067" s="1083"/>
      <c r="K2067" s="1090"/>
      <c r="L2067" s="1091"/>
      <c r="M2067" s="1091"/>
      <c r="N2067" s="1091"/>
      <c r="O2067" s="1091"/>
      <c r="P2067" s="1091"/>
      <c r="Q2067" s="1091"/>
      <c r="R2067" s="1092"/>
      <c r="AB2067" s="1044"/>
    </row>
    <row r="2068" ht="15.75" spans="1:28">
      <c r="A2068" s="1083"/>
      <c r="K2068" s="1093">
        <f>ROUNDUP(Y2062,2)</f>
        <v>6.76</v>
      </c>
      <c r="L2068" s="1094"/>
      <c r="M2068" s="1094"/>
      <c r="N2068" s="1094"/>
      <c r="O2068" s="1094"/>
      <c r="P2068" s="1094"/>
      <c r="Q2068" s="1094"/>
      <c r="R2068" s="1095"/>
      <c r="AB2068" s="1044"/>
    </row>
    <row r="2069" ht="15.75" spans="1:28">
      <c r="A2069" s="1096"/>
      <c r="B2069" s="389"/>
      <c r="C2069" s="389"/>
      <c r="D2069" s="389"/>
      <c r="E2069" s="389"/>
      <c r="F2069" s="389"/>
      <c r="G2069" s="389"/>
      <c r="H2069" s="389"/>
      <c r="I2069" s="1097"/>
      <c r="J2069" s="1097"/>
      <c r="K2069" s="1097"/>
      <c r="L2069" s="1097"/>
      <c r="M2069" s="1097"/>
      <c r="N2069" s="1097"/>
      <c r="O2069" s="1097"/>
      <c r="P2069" s="1097"/>
      <c r="Q2069" s="389"/>
      <c r="R2069" s="389"/>
      <c r="S2069" s="389"/>
      <c r="T2069" s="389"/>
      <c r="U2069" s="389"/>
      <c r="V2069" s="389"/>
      <c r="W2069" s="389"/>
      <c r="X2069" s="389"/>
      <c r="Y2069" s="389"/>
      <c r="Z2069" s="389"/>
      <c r="AA2069" s="389"/>
      <c r="AB2069" s="1098"/>
    </row>
    <row r="2070" spans="1:28">
      <c r="A2070" s="1040" t="s">
        <v>505</v>
      </c>
      <c r="B2070" s="1041"/>
      <c r="C2070" s="1041"/>
      <c r="D2070" s="1041"/>
      <c r="E2070" s="1041"/>
      <c r="F2070" s="1041"/>
      <c r="G2070" s="1041"/>
      <c r="H2070" s="1041"/>
      <c r="I2070" s="1041"/>
      <c r="J2070" s="1041"/>
      <c r="K2070" s="1041"/>
      <c r="L2070" s="1041"/>
      <c r="M2070" s="1041"/>
      <c r="N2070" s="1041"/>
      <c r="O2070" s="1041"/>
      <c r="P2070" s="1041"/>
      <c r="Q2070" s="1041"/>
      <c r="R2070" s="1041"/>
      <c r="S2070" s="1041"/>
      <c r="T2070" s="1041"/>
      <c r="U2070" s="1041"/>
      <c r="V2070" s="1041"/>
      <c r="W2070" s="1041"/>
      <c r="X2070" s="1041"/>
      <c r="Y2070" s="1041"/>
      <c r="Z2070" s="1041"/>
      <c r="AA2070" s="1041"/>
      <c r="AB2070" s="1042"/>
    </row>
    <row r="2071" spans="1:28">
      <c r="A2071" s="1083"/>
      <c r="AB2071" s="1044"/>
    </row>
    <row r="2072" spans="1:28">
      <c r="A2072" s="1083"/>
      <c r="AB2072" s="1044"/>
    </row>
    <row r="2073" spans="1:28">
      <c r="A2073" s="1083"/>
      <c r="AB2073" s="1044"/>
    </row>
    <row r="2074" spans="1:28">
      <c r="A2074" s="1083"/>
      <c r="AB2074" s="1044"/>
    </row>
    <row r="2075" spans="1:28">
      <c r="A2075" s="1083"/>
      <c r="AB2075" s="1044"/>
    </row>
    <row r="2076" spans="1:28">
      <c r="A2076" s="1083"/>
      <c r="AB2076" s="1044"/>
    </row>
    <row r="2077" spans="1:28">
      <c r="A2077" s="1083"/>
      <c r="AB2077" s="1044"/>
    </row>
    <row r="2078" spans="1:28">
      <c r="A2078" s="1083"/>
      <c r="AB2078" s="1044"/>
    </row>
    <row r="2079" spans="1:28">
      <c r="A2079" s="1083"/>
      <c r="AB2079" s="1044"/>
    </row>
    <row r="2080" spans="1:28">
      <c r="A2080" s="1083"/>
      <c r="AB2080" s="1044"/>
    </row>
    <row r="2081" spans="1:28">
      <c r="A2081" s="1083"/>
      <c r="AB2081" s="1044"/>
    </row>
    <row r="2082" spans="1:28">
      <c r="A2082" s="1083"/>
      <c r="AB2082" s="1044"/>
    </row>
    <row r="2083" spans="1:28">
      <c r="A2083" s="1048" t="s">
        <v>205</v>
      </c>
      <c r="B2083" s="1049"/>
      <c r="C2083" s="1049"/>
      <c r="D2083" s="1050"/>
      <c r="E2083" s="1051" t="s">
        <v>206</v>
      </c>
      <c r="F2083" s="1049"/>
      <c r="G2083" s="1049"/>
      <c r="H2083" s="1050"/>
      <c r="I2083" s="1051" t="s">
        <v>235</v>
      </c>
      <c r="J2083" s="1049"/>
      <c r="K2083" s="1049"/>
      <c r="L2083" s="1050"/>
      <c r="M2083" s="1051" t="s">
        <v>236</v>
      </c>
      <c r="N2083" s="1049"/>
      <c r="O2083" s="1049"/>
      <c r="P2083" s="1050"/>
      <c r="Q2083" s="1051" t="s">
        <v>237</v>
      </c>
      <c r="R2083" s="1049"/>
      <c r="S2083" s="1049"/>
      <c r="T2083" s="1050"/>
      <c r="U2083" s="1051" t="s">
        <v>238</v>
      </c>
      <c r="V2083" s="1049"/>
      <c r="W2083" s="1049"/>
      <c r="X2083" s="1050"/>
      <c r="Y2083" s="1051" t="s">
        <v>246</v>
      </c>
      <c r="Z2083" s="1049"/>
      <c r="AA2083" s="1049"/>
      <c r="AB2083" s="1222"/>
    </row>
    <row r="2084" spans="1:28">
      <c r="A2084" s="1058" t="s">
        <v>209</v>
      </c>
      <c r="B2084" s="1059"/>
      <c r="C2084" s="1059"/>
      <c r="D2084" s="1060"/>
      <c r="E2084" s="1061" t="s">
        <v>498</v>
      </c>
      <c r="F2084" s="1059"/>
      <c r="G2084" s="1059"/>
      <c r="H2084" s="1060"/>
      <c r="I2084" s="1061" t="s">
        <v>499</v>
      </c>
      <c r="J2084" s="1059"/>
      <c r="K2084" s="1059"/>
      <c r="L2084" s="1060"/>
      <c r="M2084" s="1061" t="s">
        <v>417</v>
      </c>
      <c r="N2084" s="1059"/>
      <c r="O2084" s="1059"/>
      <c r="P2084" s="1060"/>
      <c r="Q2084" s="1061" t="s">
        <v>418</v>
      </c>
      <c r="R2084" s="1059"/>
      <c r="S2084" s="1059"/>
      <c r="T2084" s="1060"/>
      <c r="U2084" s="1061" t="s">
        <v>500</v>
      </c>
      <c r="V2084" s="1059"/>
      <c r="W2084" s="1059"/>
      <c r="X2084" s="1060"/>
      <c r="Y2084" s="1061" t="s">
        <v>501</v>
      </c>
      <c r="Z2084" s="1059"/>
      <c r="AA2084" s="1059"/>
      <c r="AB2084" s="1108"/>
    </row>
    <row r="2085" spans="1:28">
      <c r="A2085" s="1122">
        <v>6</v>
      </c>
      <c r="B2085" s="1073"/>
      <c r="C2085" s="1073"/>
      <c r="D2085" s="1073"/>
      <c r="E2085" s="1073">
        <v>0.4</v>
      </c>
      <c r="F2085" s="1073"/>
      <c r="G2085" s="1073"/>
      <c r="H2085" s="1073"/>
      <c r="I2085" s="1073">
        <v>0.3</v>
      </c>
      <c r="J2085" s="1073"/>
      <c r="K2085" s="1073"/>
      <c r="L2085" s="1073"/>
      <c r="M2085" s="1073">
        <v>0.05</v>
      </c>
      <c r="N2085" s="1073"/>
      <c r="O2085" s="1073"/>
      <c r="P2085" s="1073"/>
      <c r="Q2085" s="1073">
        <v>0.3</v>
      </c>
      <c r="R2085" s="1073"/>
      <c r="S2085" s="1073"/>
      <c r="T2085" s="1073"/>
      <c r="U2085" s="1073">
        <v>0.3</v>
      </c>
      <c r="V2085" s="1073"/>
      <c r="W2085" s="1073"/>
      <c r="X2085" s="1073"/>
      <c r="Y2085" s="1073">
        <v>0.42</v>
      </c>
      <c r="Z2085" s="1073"/>
      <c r="AA2085" s="1073"/>
      <c r="AB2085" s="1193"/>
    </row>
    <row r="2086" spans="1:28">
      <c r="A2086" s="1154"/>
      <c r="B2086" s="1130"/>
      <c r="C2086" s="1130"/>
      <c r="D2086" s="1130"/>
      <c r="E2086" s="1130"/>
      <c r="F2086" s="1130"/>
      <c r="G2086" s="1130"/>
      <c r="H2086" s="1130"/>
      <c r="I2086" s="1130"/>
      <c r="J2086" s="1130"/>
      <c r="K2086" s="1130"/>
      <c r="L2086" s="1130"/>
      <c r="M2086" s="1130"/>
      <c r="N2086" s="1130"/>
      <c r="O2086" s="1130"/>
      <c r="P2086" s="1130"/>
      <c r="Q2086" s="1130"/>
      <c r="R2086" s="1130"/>
      <c r="S2086" s="1130"/>
      <c r="T2086" s="1130"/>
      <c r="U2086" s="1130"/>
      <c r="V2086" s="1130"/>
      <c r="W2086" s="1130"/>
      <c r="X2086" s="1130"/>
      <c r="AB2086" s="1044"/>
    </row>
    <row r="2087" ht="14.4" customHeight="1" spans="1:28">
      <c r="A2087" s="1223" t="s">
        <v>502</v>
      </c>
      <c r="B2087" s="1196"/>
      <c r="C2087" s="1196"/>
      <c r="D2087" s="1196"/>
      <c r="E2087" s="1196"/>
      <c r="F2087" s="1196"/>
      <c r="G2087" s="1196"/>
      <c r="H2087" s="1196"/>
      <c r="I2087" s="1051"/>
      <c r="J2087" s="1049"/>
      <c r="K2087" s="1049"/>
      <c r="L2087" s="1050"/>
      <c r="M2087" s="1051"/>
      <c r="N2087" s="1049"/>
      <c r="O2087" s="1049"/>
      <c r="P2087" s="1050"/>
      <c r="Q2087" s="1051"/>
      <c r="R2087" s="1049"/>
      <c r="S2087" s="1049"/>
      <c r="T2087" s="1050"/>
      <c r="U2087" s="1051"/>
      <c r="V2087" s="1049"/>
      <c r="W2087" s="1049"/>
      <c r="X2087" s="1050"/>
      <c r="Y2087" s="1051" t="s">
        <v>333</v>
      </c>
      <c r="Z2087" s="1049"/>
      <c r="AA2087" s="1049"/>
      <c r="AB2087" s="1222"/>
    </row>
    <row r="2088" spans="1:28">
      <c r="A2088" s="1223"/>
      <c r="B2088" s="1196"/>
      <c r="C2088" s="1196"/>
      <c r="D2088" s="1196"/>
      <c r="E2088" s="1196"/>
      <c r="F2088" s="1196"/>
      <c r="G2088" s="1196"/>
      <c r="H2088" s="1196"/>
      <c r="I2088" s="1061"/>
      <c r="J2088" s="1059"/>
      <c r="K2088" s="1059"/>
      <c r="L2088" s="1060"/>
      <c r="M2088" s="1061"/>
      <c r="N2088" s="1059"/>
      <c r="O2088" s="1059"/>
      <c r="P2088" s="1060"/>
      <c r="Q2088" s="1061"/>
      <c r="R2088" s="1059"/>
      <c r="S2088" s="1059"/>
      <c r="T2088" s="1060"/>
      <c r="U2088" s="1061"/>
      <c r="V2088" s="1059"/>
      <c r="W2088" s="1059"/>
      <c r="X2088" s="1060"/>
      <c r="Y2088" s="1061"/>
      <c r="Z2088" s="1059"/>
      <c r="AA2088" s="1059"/>
      <c r="AB2088" s="1108"/>
    </row>
    <row r="2089" ht="15.75" spans="1:28">
      <c r="A2089" s="1224">
        <v>2</v>
      </c>
      <c r="B2089" s="1137"/>
      <c r="C2089" s="1137"/>
      <c r="D2089" s="1137"/>
      <c r="E2089" s="1137"/>
      <c r="F2089" s="1137"/>
      <c r="G2089" s="1137"/>
      <c r="H2089" s="1137"/>
      <c r="I2089" s="1134"/>
      <c r="J2089" s="1134"/>
      <c r="K2089" s="1134"/>
      <c r="L2089" s="1134"/>
      <c r="M2089" s="1134"/>
      <c r="N2089" s="1134"/>
      <c r="O2089" s="1134"/>
      <c r="P2089" s="1134"/>
      <c r="Q2089" s="1134"/>
      <c r="R2089" s="1134"/>
      <c r="S2089" s="1134"/>
      <c r="T2089" s="1134"/>
      <c r="U2089" s="1134"/>
      <c r="V2089" s="1134"/>
      <c r="W2089" s="1134"/>
      <c r="X2089" s="1134"/>
      <c r="Y2089" s="1134">
        <f>ROUNDUP(((((((M2085+Q2085+U2085+Y2085)*E2085)+((((Q2085+U2085)+U2085)*I2085)/2))*2)+((Y2085+U2085+(((Q2085^2)+(I2085^2))^0.5)+M2085+E2085+M2085+Q2085+U2085+Y2085)*A2085))*A2089),2)</f>
        <v>34.23</v>
      </c>
      <c r="Z2089" s="1134"/>
      <c r="AA2089" s="1134"/>
      <c r="AB2089" s="1225"/>
    </row>
    <row r="2090" spans="1:28">
      <c r="A2090" s="1226" t="s">
        <v>506</v>
      </c>
      <c r="B2090" s="1227"/>
      <c r="C2090" s="1227"/>
      <c r="D2090" s="1227"/>
      <c r="E2090" s="1227"/>
      <c r="F2090" s="1227"/>
      <c r="G2090" s="1227"/>
      <c r="H2090" s="1227"/>
      <c r="I2090" s="1227"/>
      <c r="J2090" s="1227"/>
      <c r="K2090" s="1227"/>
      <c r="L2090" s="1227"/>
      <c r="M2090" s="1227"/>
      <c r="N2090" s="1227"/>
      <c r="O2090" s="1227"/>
      <c r="P2090" s="1227"/>
      <c r="Q2090" s="1227"/>
      <c r="R2090" s="1227"/>
      <c r="S2090" s="1227"/>
      <c r="T2090" s="1227"/>
      <c r="U2090" s="1227"/>
      <c r="V2090" s="1227"/>
      <c r="W2090" s="1227"/>
      <c r="X2090" s="1227"/>
      <c r="Y2090" s="1227"/>
      <c r="Z2090" s="1227"/>
      <c r="AA2090" s="1227"/>
      <c r="AB2090" s="1228"/>
    </row>
    <row r="2091" ht="15.75" spans="1:28">
      <c r="A2091" s="1229" t="s">
        <v>507</v>
      </c>
      <c r="B2091" s="1230"/>
      <c r="C2091" s="1230"/>
      <c r="D2091" s="1230"/>
      <c r="E2091" s="1230"/>
      <c r="F2091" s="1230"/>
      <c r="G2091" s="1230"/>
      <c r="H2091" s="1230"/>
      <c r="I2091" s="1230"/>
      <c r="J2091" s="1230"/>
      <c r="K2091" s="1230"/>
      <c r="L2091" s="1230"/>
      <c r="M2091" s="1230"/>
      <c r="N2091" s="1230"/>
      <c r="O2091" s="1230"/>
      <c r="P2091" s="1230"/>
      <c r="Q2091" s="1230"/>
      <c r="R2091" s="1230"/>
      <c r="S2091" s="1230"/>
      <c r="T2091" s="1230"/>
      <c r="U2091" s="1230"/>
      <c r="V2091" s="1230"/>
      <c r="W2091" s="1230"/>
      <c r="X2091" s="1230"/>
      <c r="Y2091" s="1230"/>
      <c r="Z2091" s="1230"/>
      <c r="AA2091" s="1230"/>
      <c r="AB2091" s="1231"/>
    </row>
    <row r="2092" ht="15.75" spans="1:28">
      <c r="A2092" s="1083"/>
      <c r="AB2092" s="1044"/>
    </row>
    <row r="2093" spans="1:28">
      <c r="A2093" s="1083"/>
      <c r="K2093" s="1084" t="s">
        <v>508</v>
      </c>
      <c r="L2093" s="1085"/>
      <c r="M2093" s="1085"/>
      <c r="N2093" s="1085"/>
      <c r="O2093" s="1085"/>
      <c r="P2093" s="1085"/>
      <c r="Q2093" s="1085"/>
      <c r="R2093" s="1086"/>
      <c r="AB2093" s="1044"/>
    </row>
    <row r="2094" ht="14.4" customHeight="1" spans="1:28">
      <c r="A2094" s="1083"/>
      <c r="K2094" s="1087" t="s">
        <v>509</v>
      </c>
      <c r="L2094" s="1088"/>
      <c r="M2094" s="1088"/>
      <c r="N2094" s="1088"/>
      <c r="O2094" s="1088"/>
      <c r="P2094" s="1088"/>
      <c r="Q2094" s="1088"/>
      <c r="R2094" s="1089"/>
      <c r="AB2094" s="1044"/>
    </row>
    <row r="2095" spans="1:28">
      <c r="A2095" s="1083"/>
      <c r="K2095" s="1090"/>
      <c r="L2095" s="1091"/>
      <c r="M2095" s="1091"/>
      <c r="N2095" s="1091"/>
      <c r="O2095" s="1091"/>
      <c r="P2095" s="1091"/>
      <c r="Q2095" s="1091"/>
      <c r="R2095" s="1092"/>
      <c r="AB2095" s="1044"/>
    </row>
    <row r="2096" ht="15.75" spans="1:28">
      <c r="A2096" s="1083"/>
      <c r="K2096" s="1093">
        <f>ROUNDUP(Y2089,2)</f>
        <v>34.23</v>
      </c>
      <c r="L2096" s="1094"/>
      <c r="M2096" s="1094"/>
      <c r="N2096" s="1094"/>
      <c r="O2096" s="1094"/>
      <c r="P2096" s="1094"/>
      <c r="Q2096" s="1094"/>
      <c r="R2096" s="1095"/>
      <c r="AB2096" s="1044"/>
    </row>
    <row r="2097" ht="15.75" spans="1:28">
      <c r="A2097" s="1096"/>
      <c r="B2097" s="389"/>
      <c r="C2097" s="389"/>
      <c r="D2097" s="389"/>
      <c r="E2097" s="389"/>
      <c r="F2097" s="389"/>
      <c r="G2097" s="389"/>
      <c r="H2097" s="389"/>
      <c r="I2097" s="1097"/>
      <c r="J2097" s="1097"/>
      <c r="K2097" s="1097"/>
      <c r="L2097" s="1097"/>
      <c r="M2097" s="1097"/>
      <c r="N2097" s="1097"/>
      <c r="O2097" s="1097"/>
      <c r="P2097" s="1097"/>
      <c r="Q2097" s="389"/>
      <c r="R2097" s="389"/>
      <c r="S2097" s="389"/>
      <c r="T2097" s="389"/>
      <c r="U2097" s="389"/>
      <c r="V2097" s="389"/>
      <c r="W2097" s="389"/>
      <c r="X2097" s="389"/>
      <c r="Y2097" s="389"/>
      <c r="Z2097" s="389"/>
      <c r="AA2097" s="389"/>
      <c r="AB2097" s="1098"/>
    </row>
    <row r="2098" s="437" customFormat="1" spans="1:28">
      <c r="A2098" s="1040" t="s">
        <v>510</v>
      </c>
      <c r="B2098" s="1114"/>
      <c r="C2098" s="1114"/>
      <c r="D2098" s="1114"/>
      <c r="E2098" s="1114"/>
      <c r="F2098" s="1114"/>
      <c r="G2098" s="1114"/>
      <c r="H2098" s="1114"/>
      <c r="I2098" s="1129"/>
      <c r="J2098" s="1129"/>
      <c r="K2098" s="1129"/>
      <c r="L2098" s="1129"/>
      <c r="M2098" s="1129"/>
      <c r="N2098" s="1129"/>
      <c r="O2098" s="1129"/>
      <c r="P2098" s="1129"/>
      <c r="Q2098" s="1114"/>
      <c r="R2098" s="1114"/>
      <c r="S2098" s="1114"/>
      <c r="T2098" s="1114"/>
      <c r="U2098" s="1114"/>
      <c r="V2098" s="1114"/>
      <c r="W2098" s="1114"/>
      <c r="X2098" s="1114"/>
      <c r="Y2098" s="1114"/>
      <c r="Z2098" s="1114"/>
      <c r="AA2098" s="1114"/>
      <c r="AB2098" s="1115"/>
    </row>
    <row r="2099" spans="1:28">
      <c r="A2099" s="1083"/>
      <c r="I2099" s="1130"/>
      <c r="J2099" s="1130"/>
      <c r="K2099" s="1130"/>
      <c r="L2099" s="1130"/>
      <c r="M2099" s="1130"/>
      <c r="N2099" s="1130"/>
      <c r="O2099" s="1130"/>
      <c r="P2099" s="1130"/>
      <c r="AB2099" s="1044"/>
    </row>
    <row r="2100" spans="1:28">
      <c r="A2100" s="1083"/>
      <c r="I2100" s="1130"/>
      <c r="J2100" s="1130"/>
      <c r="K2100" s="1130"/>
      <c r="L2100" s="1130"/>
      <c r="M2100" s="1130"/>
      <c r="N2100" s="1130"/>
      <c r="O2100" s="1130"/>
      <c r="P2100" s="1130"/>
      <c r="AB2100" s="1044"/>
    </row>
    <row r="2101" spans="1:28">
      <c r="A2101" s="1083"/>
      <c r="I2101" s="1130"/>
      <c r="J2101" s="1130"/>
      <c r="K2101" s="1130"/>
      <c r="L2101" s="1130"/>
      <c r="M2101" s="1130"/>
      <c r="N2101" s="1130"/>
      <c r="O2101" s="1130"/>
      <c r="P2101" s="1130"/>
      <c r="AB2101" s="1044"/>
    </row>
    <row r="2102" spans="1:28">
      <c r="A2102" s="1083"/>
      <c r="I2102" s="1130"/>
      <c r="J2102" s="1130"/>
      <c r="K2102" s="1130"/>
      <c r="L2102" s="1130"/>
      <c r="M2102" s="1130"/>
      <c r="N2102" s="1130"/>
      <c r="O2102" s="1130"/>
      <c r="P2102" s="1130"/>
      <c r="AB2102" s="1044"/>
    </row>
    <row r="2103" spans="1:28">
      <c r="A2103" s="1083"/>
      <c r="I2103" s="1130"/>
      <c r="J2103" s="1130"/>
      <c r="K2103" s="1130"/>
      <c r="L2103" s="1130"/>
      <c r="M2103" s="1130"/>
      <c r="N2103" s="1130"/>
      <c r="O2103" s="1130"/>
      <c r="P2103" s="1130"/>
      <c r="AB2103" s="1044"/>
    </row>
    <row r="2104" spans="1:28">
      <c r="A2104" s="1083"/>
      <c r="I2104" s="1130"/>
      <c r="J2104" s="1130"/>
      <c r="K2104" s="1130"/>
      <c r="L2104" s="1130"/>
      <c r="M2104" s="1130"/>
      <c r="N2104" s="1130"/>
      <c r="O2104" s="1130"/>
      <c r="P2104" s="1130"/>
      <c r="AB2104" s="1044"/>
    </row>
    <row r="2105" spans="1:28">
      <c r="A2105" s="1083"/>
      <c r="I2105" s="1130"/>
      <c r="J2105" s="1130"/>
      <c r="K2105" s="1130"/>
      <c r="L2105" s="1130"/>
      <c r="M2105" s="1130"/>
      <c r="N2105" s="1130"/>
      <c r="O2105" s="1130"/>
      <c r="P2105" s="1130"/>
      <c r="AB2105" s="1044"/>
    </row>
    <row r="2106" spans="1:28">
      <c r="A2106" s="1083"/>
      <c r="I2106" s="1130"/>
      <c r="J2106" s="1130"/>
      <c r="K2106" s="1130"/>
      <c r="L2106" s="1130"/>
      <c r="M2106" s="1130"/>
      <c r="N2106" s="1130"/>
      <c r="O2106" s="1130"/>
      <c r="P2106" s="1130"/>
      <c r="AB2106" s="1044"/>
    </row>
    <row r="2107" spans="1:28">
      <c r="A2107" s="1083"/>
      <c r="I2107" s="1130"/>
      <c r="J2107" s="1130"/>
      <c r="K2107" s="1130"/>
      <c r="L2107" s="1130"/>
      <c r="M2107" s="1130"/>
      <c r="N2107" s="1130"/>
      <c r="O2107" s="1130"/>
      <c r="P2107" s="1130"/>
      <c r="AB2107" s="1044"/>
    </row>
    <row r="2108" spans="1:28">
      <c r="A2108" s="1083"/>
      <c r="I2108" s="1130"/>
      <c r="J2108" s="1130"/>
      <c r="K2108" s="1130"/>
      <c r="L2108" s="1130"/>
      <c r="M2108" s="1130"/>
      <c r="N2108" s="1130"/>
      <c r="O2108" s="1130"/>
      <c r="P2108" s="1130"/>
      <c r="AB2108" s="1044"/>
    </row>
    <row r="2109" spans="1:28">
      <c r="A2109" s="1083"/>
      <c r="I2109" s="1130"/>
      <c r="J2109" s="1130"/>
      <c r="K2109" s="1130"/>
      <c r="L2109" s="1130"/>
      <c r="M2109" s="1130"/>
      <c r="N2109" s="1130"/>
      <c r="O2109" s="1130"/>
      <c r="P2109" s="1130"/>
      <c r="AB2109" s="1044"/>
    </row>
    <row r="2110" spans="1:28">
      <c r="A2110" s="1083"/>
      <c r="I2110" s="1130"/>
      <c r="J2110" s="1130"/>
      <c r="K2110" s="1130"/>
      <c r="L2110" s="1130"/>
      <c r="M2110" s="1130"/>
      <c r="N2110" s="1130"/>
      <c r="O2110" s="1130"/>
      <c r="P2110" s="1130"/>
      <c r="AB2110" s="1044"/>
    </row>
    <row r="2111" spans="1:28">
      <c r="A2111" s="1083"/>
      <c r="I2111" s="1130"/>
      <c r="J2111" s="1130"/>
      <c r="K2111" s="1130"/>
      <c r="L2111" s="1130"/>
      <c r="M2111" s="1130"/>
      <c r="N2111" s="1130"/>
      <c r="O2111" s="1130"/>
      <c r="P2111" s="1130"/>
      <c r="AB2111" s="1044"/>
    </row>
    <row r="2112" spans="1:28">
      <c r="A2112" s="1083"/>
      <c r="I2112" s="1130"/>
      <c r="J2112" s="1130"/>
      <c r="K2112" s="1130"/>
      <c r="L2112" s="1130"/>
      <c r="M2112" s="1130"/>
      <c r="N2112" s="1130"/>
      <c r="O2112" s="1130"/>
      <c r="P2112" s="1130"/>
      <c r="AB2112" s="1044"/>
    </row>
    <row r="2113" spans="1:28">
      <c r="A2113" s="1083"/>
      <c r="I2113" s="1130"/>
      <c r="J2113" s="1130"/>
      <c r="K2113" s="1130"/>
      <c r="L2113" s="1130"/>
      <c r="M2113" s="1130"/>
      <c r="N2113" s="1130"/>
      <c r="O2113" s="1130"/>
      <c r="P2113" s="1130"/>
      <c r="AB2113" s="1044"/>
    </row>
    <row r="2114" spans="1:28">
      <c r="A2114" s="1083"/>
      <c r="I2114" s="1130"/>
      <c r="J2114" s="1130"/>
      <c r="K2114" s="1130"/>
      <c r="L2114" s="1130"/>
      <c r="M2114" s="1130"/>
      <c r="N2114" s="1130"/>
      <c r="O2114" s="1130"/>
      <c r="P2114" s="1130"/>
      <c r="AB2114" s="1044"/>
    </row>
    <row r="2115" spans="1:28">
      <c r="A2115" s="1083"/>
      <c r="I2115" s="1130"/>
      <c r="J2115" s="1130"/>
      <c r="K2115" s="1130"/>
      <c r="L2115" s="1130"/>
      <c r="M2115" s="1130"/>
      <c r="N2115" s="1130"/>
      <c r="O2115" s="1130"/>
      <c r="P2115" s="1130"/>
      <c r="AB2115" s="1044"/>
    </row>
    <row r="2116" spans="1:28">
      <c r="A2116" s="1083"/>
      <c r="I2116" s="1130"/>
      <c r="J2116" s="1130"/>
      <c r="K2116" s="1130"/>
      <c r="L2116" s="1130"/>
      <c r="M2116" s="1130"/>
      <c r="N2116" s="1130"/>
      <c r="O2116" s="1130"/>
      <c r="P2116" s="1130"/>
      <c r="AB2116" s="1044"/>
    </row>
    <row r="2117" spans="1:28">
      <c r="A2117" s="1083"/>
      <c r="I2117" s="1130"/>
      <c r="J2117" s="1130"/>
      <c r="K2117" s="1130"/>
      <c r="L2117" s="1130"/>
      <c r="M2117" s="1130"/>
      <c r="N2117" s="1130"/>
      <c r="O2117" s="1130"/>
      <c r="P2117" s="1130"/>
      <c r="AB2117" s="1044"/>
    </row>
    <row r="2118" spans="1:28">
      <c r="A2118" s="1083"/>
      <c r="I2118" s="1130"/>
      <c r="J2118" s="1130"/>
      <c r="K2118" s="1130"/>
      <c r="L2118" s="1130"/>
      <c r="M2118" s="1130"/>
      <c r="N2118" s="1130"/>
      <c r="O2118" s="1130"/>
      <c r="P2118" s="1130"/>
      <c r="AB2118" s="1044"/>
    </row>
    <row r="2119" spans="1:28">
      <c r="A2119" s="1083"/>
      <c r="I2119" s="1130"/>
      <c r="J2119" s="1130"/>
      <c r="K2119" s="1130"/>
      <c r="L2119" s="1130"/>
      <c r="M2119" s="1130"/>
      <c r="N2119" s="1130"/>
      <c r="O2119" s="1130"/>
      <c r="P2119" s="1130"/>
      <c r="AB2119" s="1044"/>
    </row>
    <row r="2120" spans="1:28">
      <c r="A2120" s="1083"/>
      <c r="I2120" s="1130"/>
      <c r="J2120" s="1130"/>
      <c r="K2120" s="1130"/>
      <c r="L2120" s="1130"/>
      <c r="M2120" s="1130"/>
      <c r="N2120" s="1130"/>
      <c r="O2120" s="1130"/>
      <c r="P2120" s="1130"/>
      <c r="AB2120" s="1044"/>
    </row>
    <row r="2121" spans="1:28">
      <c r="A2121" s="1083"/>
      <c r="I2121" s="1130"/>
      <c r="J2121" s="1130"/>
      <c r="K2121" s="1130"/>
      <c r="L2121" s="1130"/>
      <c r="M2121" s="1130"/>
      <c r="N2121" s="1130"/>
      <c r="O2121" s="1130"/>
      <c r="P2121" s="1130"/>
      <c r="AB2121" s="1044"/>
    </row>
    <row r="2122" spans="1:28">
      <c r="A2122" s="1083"/>
      <c r="I2122" s="1130"/>
      <c r="J2122" s="1130"/>
      <c r="K2122" s="1130"/>
      <c r="L2122" s="1130"/>
      <c r="M2122" s="1130"/>
      <c r="N2122" s="1130"/>
      <c r="O2122" s="1130"/>
      <c r="P2122" s="1130"/>
      <c r="AB2122" s="1044"/>
    </row>
    <row r="2123" spans="1:28">
      <c r="A2123" s="1083"/>
      <c r="I2123" s="1130"/>
      <c r="J2123" s="1130"/>
      <c r="K2123" s="1130"/>
      <c r="L2123" s="1130"/>
      <c r="M2123" s="1130"/>
      <c r="N2123" s="1130"/>
      <c r="O2123" s="1130"/>
      <c r="P2123" s="1130"/>
      <c r="AB2123" s="1044"/>
    </row>
    <row r="2124" spans="1:28">
      <c r="A2124" s="1083"/>
      <c r="I2124" s="1130"/>
      <c r="J2124" s="1130"/>
      <c r="K2124" s="1130"/>
      <c r="L2124" s="1130"/>
      <c r="M2124" s="1130"/>
      <c r="N2124" s="1130"/>
      <c r="O2124" s="1130"/>
      <c r="P2124" s="1130"/>
      <c r="AB2124" s="1044"/>
    </row>
    <row r="2125" spans="1:28">
      <c r="A2125" s="1083"/>
      <c r="I2125" s="1130"/>
      <c r="J2125" s="1130"/>
      <c r="K2125" s="1130"/>
      <c r="L2125" s="1130"/>
      <c r="M2125" s="1130"/>
      <c r="N2125" s="1130"/>
      <c r="O2125" s="1130"/>
      <c r="P2125" s="1130"/>
      <c r="AB2125" s="1044"/>
    </row>
    <row r="2126" spans="1:28">
      <c r="A2126" s="1083"/>
      <c r="I2126" s="1130"/>
      <c r="J2126" s="1130"/>
      <c r="K2126" s="1130"/>
      <c r="L2126" s="1130"/>
      <c r="M2126" s="1130"/>
      <c r="N2126" s="1130"/>
      <c r="O2126" s="1130"/>
      <c r="P2126" s="1130"/>
      <c r="AB2126" s="1044"/>
    </row>
    <row r="2127" spans="1:28">
      <c r="A2127" s="1083"/>
      <c r="I2127" s="1130"/>
      <c r="J2127" s="1130"/>
      <c r="K2127" s="1130"/>
      <c r="L2127" s="1130"/>
      <c r="M2127" s="1130"/>
      <c r="N2127" s="1130"/>
      <c r="O2127" s="1130"/>
      <c r="P2127" s="1130"/>
      <c r="AB2127" s="1044"/>
    </row>
    <row r="2128" spans="1:28">
      <c r="A2128" s="1083"/>
      <c r="I2128" s="1130"/>
      <c r="J2128" s="1130"/>
      <c r="K2128" s="1130"/>
      <c r="L2128" s="1130"/>
      <c r="M2128" s="1130"/>
      <c r="N2128" s="1130"/>
      <c r="O2128" s="1130"/>
      <c r="P2128" s="1130"/>
      <c r="AB2128" s="1044"/>
    </row>
    <row r="2129" spans="1:31">
      <c r="A2129" s="1083"/>
      <c r="I2129" s="1130"/>
      <c r="J2129" s="1130"/>
      <c r="K2129" s="1130"/>
      <c r="L2129" s="1130"/>
      <c r="M2129" s="1130"/>
      <c r="N2129" s="1130"/>
      <c r="O2129" s="1130"/>
      <c r="P2129" s="1130"/>
      <c r="AB2129" s="1044"/>
    </row>
    <row r="2130" spans="1:31">
      <c r="A2130" s="1083"/>
      <c r="I2130" s="1130"/>
      <c r="J2130" s="1130"/>
      <c r="K2130" s="1130"/>
      <c r="L2130" s="1130"/>
      <c r="M2130" s="1130"/>
      <c r="N2130" s="1130"/>
      <c r="O2130" s="1130"/>
      <c r="P2130" s="1130"/>
      <c r="AB2130" s="1044"/>
    </row>
    <row r="2131" spans="1:31">
      <c r="A2131" s="1083"/>
      <c r="I2131" s="1130"/>
      <c r="J2131" s="1130"/>
      <c r="K2131" s="1130"/>
      <c r="L2131" s="1130"/>
      <c r="M2131" s="1130"/>
      <c r="N2131" s="1130"/>
      <c r="O2131" s="1130"/>
      <c r="P2131" s="1130"/>
      <c r="AB2131" s="1044"/>
    </row>
    <row r="2132" spans="1:31">
      <c r="A2132" s="1083"/>
      <c r="I2132" s="1130"/>
      <c r="J2132" s="1130"/>
      <c r="K2132" s="1130"/>
      <c r="L2132" s="1130"/>
      <c r="M2132" s="1130"/>
      <c r="N2132" s="1130"/>
      <c r="O2132" s="1130"/>
      <c r="P2132" s="1130"/>
      <c r="AB2132" s="1044"/>
    </row>
    <row r="2133" spans="1:31">
      <c r="A2133" s="1083"/>
      <c r="I2133" s="1130"/>
      <c r="J2133" s="1130"/>
      <c r="K2133" s="1130"/>
      <c r="L2133" s="1130"/>
      <c r="M2133" s="1130"/>
      <c r="N2133" s="1130"/>
      <c r="O2133" s="1130"/>
      <c r="P2133" s="1130"/>
      <c r="AB2133" s="1044"/>
    </row>
    <row r="2134" spans="1:31">
      <c r="A2134" s="1083"/>
      <c r="I2134" s="1130"/>
      <c r="J2134" s="1130"/>
      <c r="K2134" s="1130"/>
      <c r="L2134" s="1130"/>
      <c r="M2134" s="1130"/>
      <c r="N2134" s="1130"/>
      <c r="O2134" s="1130"/>
      <c r="P2134" s="1130"/>
      <c r="AB2134" s="1044"/>
    </row>
    <row r="2135" spans="1:31">
      <c r="A2135" s="1083"/>
      <c r="I2135" s="1130"/>
      <c r="J2135" s="1130"/>
      <c r="K2135" s="1130"/>
      <c r="L2135" s="1130"/>
      <c r="M2135" s="1130"/>
      <c r="N2135" s="1130"/>
      <c r="O2135" s="1130"/>
      <c r="P2135" s="1130"/>
      <c r="AB2135" s="1044"/>
    </row>
    <row r="2136" spans="1:31">
      <c r="A2136" s="1083"/>
      <c r="I2136" s="1130"/>
      <c r="J2136" s="1130"/>
      <c r="K2136" s="1130"/>
      <c r="L2136" s="1130"/>
      <c r="M2136" s="1130"/>
      <c r="N2136" s="1130"/>
      <c r="O2136" s="1130"/>
      <c r="P2136" s="1130"/>
      <c r="AB2136" s="1044"/>
    </row>
    <row r="2137" spans="1:31">
      <c r="A2137" s="1083"/>
      <c r="I2137" s="1130"/>
      <c r="J2137" s="1130"/>
      <c r="K2137" s="1130"/>
      <c r="L2137" s="1130"/>
      <c r="M2137" s="1130"/>
      <c r="N2137" s="1130"/>
      <c r="O2137" s="1130"/>
      <c r="P2137" s="1130"/>
      <c r="AB2137" s="1044"/>
    </row>
    <row r="2138" spans="1:31">
      <c r="A2138" s="1045" t="s">
        <v>124</v>
      </c>
      <c r="B2138" s="1046"/>
      <c r="C2138" s="1046"/>
      <c r="D2138" s="1046"/>
      <c r="E2138" s="1046"/>
      <c r="F2138" s="1046"/>
      <c r="G2138" s="1046"/>
      <c r="H2138" s="1046"/>
      <c r="I2138" s="1046"/>
      <c r="J2138" s="1046"/>
      <c r="K2138" s="1046"/>
      <c r="L2138" s="1046"/>
      <c r="M2138" s="1046"/>
      <c r="N2138" s="1046"/>
      <c r="O2138" s="1046"/>
      <c r="P2138" s="1046"/>
      <c r="Q2138" s="1046"/>
      <c r="R2138" s="1046"/>
      <c r="S2138" s="1046"/>
      <c r="T2138" s="1046"/>
      <c r="U2138" s="1046"/>
      <c r="V2138" s="1046"/>
      <c r="W2138" s="1046"/>
      <c r="X2138" s="1046"/>
      <c r="Y2138" s="1046"/>
      <c r="Z2138" s="1046"/>
      <c r="AA2138" s="1046"/>
      <c r="AB2138" s="1047"/>
    </row>
    <row r="2139" ht="14.4" customHeight="1" spans="1:31">
      <c r="A2139" s="1048" t="s">
        <v>269</v>
      </c>
      <c r="B2139" s="1049"/>
      <c r="C2139" s="1049"/>
      <c r="D2139" s="1050"/>
      <c r="E2139" s="1051" t="s">
        <v>270</v>
      </c>
      <c r="F2139" s="1049"/>
      <c r="G2139" s="1049"/>
      <c r="H2139" s="1050"/>
      <c r="I2139" s="1104" t="s">
        <v>271</v>
      </c>
      <c r="J2139" s="1102"/>
      <c r="K2139" s="1102"/>
      <c r="L2139" s="1103"/>
      <c r="M2139" s="1104" t="s">
        <v>272</v>
      </c>
      <c r="N2139" s="1102"/>
      <c r="O2139" s="1102"/>
      <c r="P2139" s="1103"/>
      <c r="Q2139" s="1104" t="s">
        <v>273</v>
      </c>
      <c r="R2139" s="1102"/>
      <c r="S2139" s="1102"/>
      <c r="T2139" s="1103"/>
      <c r="U2139" s="1104" t="s">
        <v>274</v>
      </c>
      <c r="V2139" s="1102"/>
      <c r="W2139" s="1102"/>
      <c r="X2139" s="1103"/>
      <c r="Y2139" s="1104" t="s">
        <v>274</v>
      </c>
      <c r="Z2139" s="1102"/>
      <c r="AA2139" s="1102"/>
      <c r="AB2139" s="1106"/>
    </row>
    <row r="2140" spans="1:31">
      <c r="A2140" s="1058"/>
      <c r="B2140" s="1059"/>
      <c r="C2140" s="1059"/>
      <c r="D2140" s="1060"/>
      <c r="E2140" s="1061"/>
      <c r="F2140" s="1059"/>
      <c r="G2140" s="1059"/>
      <c r="H2140" s="1060"/>
      <c r="I2140" s="1061" t="s">
        <v>275</v>
      </c>
      <c r="J2140" s="1059"/>
      <c r="K2140" s="1059"/>
      <c r="L2140" s="1060"/>
      <c r="M2140" s="1061" t="s">
        <v>276</v>
      </c>
      <c r="N2140" s="1059"/>
      <c r="O2140" s="1059"/>
      <c r="P2140" s="1060"/>
      <c r="Q2140" s="1061" t="s">
        <v>277</v>
      </c>
      <c r="R2140" s="1059"/>
      <c r="S2140" s="1059"/>
      <c r="T2140" s="1060"/>
      <c r="U2140" s="1061" t="s">
        <v>277</v>
      </c>
      <c r="V2140" s="1059"/>
      <c r="W2140" s="1059"/>
      <c r="X2140" s="1060"/>
      <c r="Y2140" s="1061" t="s">
        <v>278</v>
      </c>
      <c r="Z2140" s="1059"/>
      <c r="AA2140" s="1059"/>
      <c r="AB2140" s="1108"/>
    </row>
    <row r="2141" spans="1:31">
      <c r="A2141" s="1122" t="s">
        <v>279</v>
      </c>
      <c r="B2141" s="1073"/>
      <c r="C2141" s="1073"/>
      <c r="D2141" s="1073"/>
      <c r="E2141" s="1069">
        <v>5</v>
      </c>
      <c r="F2141" s="1069"/>
      <c r="G2141" s="1069"/>
      <c r="H2141" s="1069"/>
      <c r="I2141" s="1160">
        <v>6.3</v>
      </c>
      <c r="J2141" s="1160"/>
      <c r="K2141" s="1160"/>
      <c r="L2141" s="1160"/>
      <c r="M2141" s="1160">
        <v>82</v>
      </c>
      <c r="N2141" s="1160"/>
      <c r="O2141" s="1160"/>
      <c r="P2141" s="1160"/>
      <c r="Q2141" s="1160">
        <v>320</v>
      </c>
      <c r="R2141" s="1160"/>
      <c r="S2141" s="1160"/>
      <c r="T2141" s="1160"/>
      <c r="U2141" s="1161">
        <f t="shared" ref="U2141:U2144" si="15">M2141*Q2141</f>
        <v>26240</v>
      </c>
      <c r="V2141" s="1161"/>
      <c r="W2141" s="1161"/>
      <c r="X2141" s="1161"/>
      <c r="Y2141" s="1162">
        <f>U2141/100</f>
        <v>262.4</v>
      </c>
      <c r="Z2141" s="1162"/>
      <c r="AA2141" s="1162"/>
      <c r="AB2141" s="1163"/>
      <c r="AE2141" s="1164"/>
    </row>
    <row r="2142" spans="1:31">
      <c r="A2142" s="1122" t="s">
        <v>279</v>
      </c>
      <c r="B2142" s="1073"/>
      <c r="C2142" s="1073"/>
      <c r="D2142" s="1073"/>
      <c r="E2142" s="1069">
        <v>6</v>
      </c>
      <c r="F2142" s="1069"/>
      <c r="G2142" s="1069"/>
      <c r="H2142" s="1069"/>
      <c r="I2142" s="1160">
        <v>6.3</v>
      </c>
      <c r="J2142" s="1160"/>
      <c r="K2142" s="1160"/>
      <c r="L2142" s="1160"/>
      <c r="M2142" s="1160">
        <v>20</v>
      </c>
      <c r="N2142" s="1160"/>
      <c r="O2142" s="1160"/>
      <c r="P2142" s="1160"/>
      <c r="Q2142" s="1160">
        <v>595</v>
      </c>
      <c r="R2142" s="1160"/>
      <c r="S2142" s="1160"/>
      <c r="T2142" s="1160"/>
      <c r="U2142" s="1161">
        <f t="shared" si="15"/>
        <v>11900</v>
      </c>
      <c r="V2142" s="1161"/>
      <c r="W2142" s="1161"/>
      <c r="X2142" s="1161"/>
      <c r="Y2142" s="1162">
        <f>U2142/100</f>
        <v>119</v>
      </c>
      <c r="Z2142" s="1162"/>
      <c r="AA2142" s="1162"/>
      <c r="AB2142" s="1163"/>
      <c r="AE2142" s="1164"/>
    </row>
    <row r="2143" spans="1:31">
      <c r="A2143" s="1122" t="s">
        <v>279</v>
      </c>
      <c r="B2143" s="1073"/>
      <c r="C2143" s="1073"/>
      <c r="D2143" s="1073"/>
      <c r="E2143" s="1069">
        <v>7</v>
      </c>
      <c r="F2143" s="1069"/>
      <c r="G2143" s="1069"/>
      <c r="H2143" s="1069"/>
      <c r="I2143" s="1160">
        <v>8</v>
      </c>
      <c r="J2143" s="1160"/>
      <c r="K2143" s="1160"/>
      <c r="L2143" s="1160"/>
      <c r="M2143" s="1160">
        <v>82</v>
      </c>
      <c r="N2143" s="1160"/>
      <c r="O2143" s="1160"/>
      <c r="P2143" s="1160"/>
      <c r="Q2143" s="1160">
        <v>240</v>
      </c>
      <c r="R2143" s="1160"/>
      <c r="S2143" s="1160"/>
      <c r="T2143" s="1160"/>
      <c r="U2143" s="1161">
        <f t="shared" si="15"/>
        <v>19680</v>
      </c>
      <c r="V2143" s="1161"/>
      <c r="W2143" s="1161"/>
      <c r="X2143" s="1161"/>
      <c r="Y2143" s="1162">
        <f>U2143/100</f>
        <v>196.8</v>
      </c>
      <c r="Z2143" s="1162"/>
      <c r="AA2143" s="1162"/>
      <c r="AB2143" s="1163"/>
      <c r="AE2143" s="1164"/>
    </row>
    <row r="2144" ht="15.75" spans="1:31">
      <c r="A2144" s="1133" t="s">
        <v>279</v>
      </c>
      <c r="B2144" s="1134"/>
      <c r="C2144" s="1134"/>
      <c r="D2144" s="1134"/>
      <c r="E2144" s="1137">
        <v>8</v>
      </c>
      <c r="F2144" s="1137"/>
      <c r="G2144" s="1137"/>
      <c r="H2144" s="1137"/>
      <c r="I2144" s="1138">
        <v>12.5</v>
      </c>
      <c r="J2144" s="1138"/>
      <c r="K2144" s="1138"/>
      <c r="L2144" s="1138"/>
      <c r="M2144" s="1138">
        <v>20</v>
      </c>
      <c r="N2144" s="1138"/>
      <c r="O2144" s="1138"/>
      <c r="P2144" s="1138"/>
      <c r="Q2144" s="1138">
        <v>595</v>
      </c>
      <c r="R2144" s="1138"/>
      <c r="S2144" s="1138"/>
      <c r="T2144" s="1138"/>
      <c r="U2144" s="1142">
        <f t="shared" si="15"/>
        <v>11900</v>
      </c>
      <c r="V2144" s="1142"/>
      <c r="W2144" s="1142"/>
      <c r="X2144" s="1142"/>
      <c r="Y2144" s="1169">
        <f t="shared" ref="Y2144" si="16">U2144/100</f>
        <v>119</v>
      </c>
      <c r="Z2144" s="1169"/>
      <c r="AA2144" s="1169"/>
      <c r="AB2144" s="1170"/>
      <c r="AE2144" s="1164"/>
    </row>
    <row r="2145" ht="15.75" spans="1:28">
      <c r="A2145" s="1083"/>
      <c r="AB2145" s="1044"/>
    </row>
    <row r="2146" spans="1:28">
      <c r="A2146" s="1083"/>
      <c r="K2146" s="1084" t="s">
        <v>511</v>
      </c>
      <c r="L2146" s="1085"/>
      <c r="M2146" s="1085"/>
      <c r="N2146" s="1085"/>
      <c r="O2146" s="1085"/>
      <c r="P2146" s="1085"/>
      <c r="Q2146" s="1085"/>
      <c r="R2146" s="1086"/>
      <c r="AB2146" s="1044"/>
    </row>
    <row r="2147" spans="1:28">
      <c r="A2147" s="1083"/>
      <c r="K2147" s="1087" t="s">
        <v>281</v>
      </c>
      <c r="L2147" s="1088"/>
      <c r="M2147" s="1088"/>
      <c r="N2147" s="1088"/>
      <c r="O2147" s="1088"/>
      <c r="P2147" s="1088"/>
      <c r="Q2147" s="1088"/>
      <c r="R2147" s="1089"/>
      <c r="AB2147" s="1044"/>
    </row>
    <row r="2148" spans="1:28">
      <c r="A2148" s="1083"/>
      <c r="K2148" s="1090"/>
      <c r="L2148" s="1091"/>
      <c r="M2148" s="1091"/>
      <c r="N2148" s="1091"/>
      <c r="O2148" s="1091"/>
      <c r="P2148" s="1091"/>
      <c r="Q2148" s="1091"/>
      <c r="R2148" s="1092"/>
      <c r="AB2148" s="1044"/>
    </row>
    <row r="2149" ht="15.75" spans="1:28">
      <c r="A2149" s="1083"/>
      <c r="K2149" s="1171">
        <f>ROUNDUP(ROUNDUP((((Y2141+Y2142)*((PI()*((I2141^2)/4))*7857.5))+((Y2143)*((PI()*((I2143^2)/4))*7857.5))+((Y2144)*((PI()*((I2144^2)/4))*7857.5)))/1000000,2)/0.05,0)*0.05</f>
        <v>285.9</v>
      </c>
      <c r="L2149" s="1172"/>
      <c r="M2149" s="1172"/>
      <c r="N2149" s="1172"/>
      <c r="O2149" s="1172"/>
      <c r="P2149" s="1172"/>
      <c r="Q2149" s="1172"/>
      <c r="R2149" s="1173"/>
      <c r="AB2149" s="1044"/>
    </row>
    <row r="2150" ht="15.75" spans="1:28">
      <c r="A2150" s="1096"/>
      <c r="B2150" s="389"/>
      <c r="C2150" s="389"/>
      <c r="D2150" s="389"/>
      <c r="E2150" s="389"/>
      <c r="F2150" s="389"/>
      <c r="G2150" s="389"/>
      <c r="H2150" s="389"/>
      <c r="I2150" s="1097"/>
      <c r="J2150" s="1097"/>
      <c r="K2150" s="1097"/>
      <c r="L2150" s="1097"/>
      <c r="M2150" s="1097"/>
      <c r="N2150" s="1097"/>
      <c r="O2150" s="1097"/>
      <c r="P2150" s="1097"/>
      <c r="Q2150" s="389"/>
      <c r="R2150" s="389"/>
      <c r="S2150" s="389"/>
      <c r="T2150" s="389"/>
      <c r="U2150" s="389"/>
      <c r="V2150" s="389"/>
      <c r="W2150" s="389"/>
      <c r="X2150" s="389"/>
      <c r="Y2150" s="389"/>
      <c r="Z2150" s="389"/>
      <c r="AA2150" s="389"/>
      <c r="AB2150" s="1098"/>
    </row>
    <row r="2151" spans="1:28">
      <c r="A2151" s="1040" t="s">
        <v>512</v>
      </c>
      <c r="B2151" s="1041"/>
      <c r="C2151" s="1041"/>
      <c r="D2151" s="1041"/>
      <c r="E2151" s="1041"/>
      <c r="F2151" s="1041"/>
      <c r="G2151" s="1041"/>
      <c r="H2151" s="1041"/>
      <c r="I2151" s="1041"/>
      <c r="J2151" s="1041"/>
      <c r="K2151" s="1041"/>
      <c r="L2151" s="1041"/>
      <c r="M2151" s="1041"/>
      <c r="N2151" s="1041"/>
      <c r="O2151" s="1041"/>
      <c r="P2151" s="1041"/>
      <c r="Q2151" s="1041"/>
      <c r="R2151" s="1041"/>
      <c r="S2151" s="1041"/>
      <c r="T2151" s="1041"/>
      <c r="U2151" s="1041"/>
      <c r="V2151" s="1041"/>
      <c r="W2151" s="1041"/>
      <c r="X2151" s="1041"/>
      <c r="Y2151" s="1041"/>
      <c r="Z2151" s="1041"/>
      <c r="AA2151" s="1041"/>
      <c r="AB2151" s="1042"/>
    </row>
    <row r="2152" spans="1:28">
      <c r="A2152" s="1083"/>
      <c r="AB2152" s="1044"/>
    </row>
    <row r="2153" spans="1:28">
      <c r="A2153" s="1083"/>
      <c r="AB2153" s="1044"/>
    </row>
    <row r="2154" spans="1:28">
      <c r="A2154" s="1083"/>
      <c r="AB2154" s="1044"/>
    </row>
    <row r="2155" spans="1:28">
      <c r="A2155" s="1083"/>
      <c r="AB2155" s="1044"/>
    </row>
    <row r="2156" spans="1:28">
      <c r="A2156" s="1083"/>
      <c r="AB2156" s="1044"/>
    </row>
    <row r="2157" spans="1:28">
      <c r="A2157" s="1083"/>
      <c r="AB2157" s="1044"/>
    </row>
    <row r="2158" spans="1:28">
      <c r="A2158" s="1083"/>
      <c r="AB2158" s="1044"/>
    </row>
    <row r="2159" spans="1:28">
      <c r="A2159" s="1083"/>
      <c r="AB2159" s="1044"/>
    </row>
    <row r="2160" spans="1:28">
      <c r="A2160" s="1083"/>
      <c r="AB2160" s="1044"/>
    </row>
    <row r="2161" spans="1:28">
      <c r="A2161" s="1083"/>
      <c r="AB2161" s="1044"/>
    </row>
    <row r="2162" spans="1:28">
      <c r="A2162" s="1083"/>
      <c r="AB2162" s="1044"/>
    </row>
    <row r="2163" spans="1:28">
      <c r="A2163" s="1083"/>
      <c r="AB2163" s="1044"/>
    </row>
    <row r="2164" spans="1:28">
      <c r="A2164" s="1048" t="s">
        <v>205</v>
      </c>
      <c r="B2164" s="1049"/>
      <c r="C2164" s="1049"/>
      <c r="D2164" s="1050"/>
      <c r="E2164" s="1051" t="s">
        <v>206</v>
      </c>
      <c r="F2164" s="1049"/>
      <c r="G2164" s="1049"/>
      <c r="H2164" s="1050"/>
      <c r="I2164" s="1051" t="s">
        <v>235</v>
      </c>
      <c r="J2164" s="1049"/>
      <c r="K2164" s="1049"/>
      <c r="L2164" s="1050"/>
      <c r="M2164" s="1051" t="s">
        <v>236</v>
      </c>
      <c r="N2164" s="1049"/>
      <c r="O2164" s="1049"/>
      <c r="P2164" s="1050"/>
      <c r="Q2164" s="1051" t="s">
        <v>237</v>
      </c>
      <c r="R2164" s="1049"/>
      <c r="S2164" s="1049"/>
      <c r="T2164" s="1050"/>
      <c r="U2164" s="1051" t="s">
        <v>238</v>
      </c>
      <c r="V2164" s="1049"/>
      <c r="W2164" s="1049"/>
      <c r="X2164" s="1050"/>
      <c r="Y2164" s="1051" t="s">
        <v>246</v>
      </c>
      <c r="Z2164" s="1049"/>
      <c r="AA2164" s="1049"/>
      <c r="AB2164" s="1222"/>
    </row>
    <row r="2165" spans="1:28">
      <c r="A2165" s="1058" t="s">
        <v>209</v>
      </c>
      <c r="B2165" s="1059"/>
      <c r="C2165" s="1059"/>
      <c r="D2165" s="1060"/>
      <c r="E2165" s="1061" t="s">
        <v>498</v>
      </c>
      <c r="F2165" s="1059"/>
      <c r="G2165" s="1059"/>
      <c r="H2165" s="1060"/>
      <c r="I2165" s="1061" t="s">
        <v>499</v>
      </c>
      <c r="J2165" s="1059"/>
      <c r="K2165" s="1059"/>
      <c r="L2165" s="1060"/>
      <c r="M2165" s="1061" t="s">
        <v>417</v>
      </c>
      <c r="N2165" s="1059"/>
      <c r="O2165" s="1059"/>
      <c r="P2165" s="1060"/>
      <c r="Q2165" s="1061" t="s">
        <v>418</v>
      </c>
      <c r="R2165" s="1059"/>
      <c r="S2165" s="1059"/>
      <c r="T2165" s="1060"/>
      <c r="U2165" s="1061" t="s">
        <v>500</v>
      </c>
      <c r="V2165" s="1059"/>
      <c r="W2165" s="1059"/>
      <c r="X2165" s="1060"/>
      <c r="Y2165" s="1061" t="s">
        <v>501</v>
      </c>
      <c r="Z2165" s="1059"/>
      <c r="AA2165" s="1059"/>
      <c r="AB2165" s="1108"/>
    </row>
    <row r="2166" spans="1:28">
      <c r="A2166" s="1122">
        <v>6</v>
      </c>
      <c r="B2166" s="1073"/>
      <c r="C2166" s="1073"/>
      <c r="D2166" s="1073"/>
      <c r="E2166" s="1073">
        <v>0.4</v>
      </c>
      <c r="F2166" s="1073"/>
      <c r="G2166" s="1073"/>
      <c r="H2166" s="1073"/>
      <c r="I2166" s="1073">
        <v>0.3</v>
      </c>
      <c r="J2166" s="1073"/>
      <c r="K2166" s="1073"/>
      <c r="L2166" s="1073"/>
      <c r="M2166" s="1073">
        <v>0.05</v>
      </c>
      <c r="N2166" s="1073"/>
      <c r="O2166" s="1073"/>
      <c r="P2166" s="1073"/>
      <c r="Q2166" s="1073">
        <v>0.3</v>
      </c>
      <c r="R2166" s="1073"/>
      <c r="S2166" s="1073"/>
      <c r="T2166" s="1073"/>
      <c r="U2166" s="1073">
        <v>0.3</v>
      </c>
      <c r="V2166" s="1073"/>
      <c r="W2166" s="1073"/>
      <c r="X2166" s="1073"/>
      <c r="Y2166" s="1073">
        <v>0.42</v>
      </c>
      <c r="Z2166" s="1073"/>
      <c r="AA2166" s="1073"/>
      <c r="AB2166" s="1193"/>
    </row>
    <row r="2167" spans="1:28">
      <c r="A2167" s="1154"/>
      <c r="B2167" s="1130"/>
      <c r="C2167" s="1130"/>
      <c r="D2167" s="1130"/>
      <c r="E2167" s="1130"/>
      <c r="F2167" s="1130"/>
      <c r="G2167" s="1130"/>
      <c r="H2167" s="1130"/>
      <c r="I2167" s="1130"/>
      <c r="J2167" s="1130"/>
      <c r="K2167" s="1130"/>
      <c r="L2167" s="1130"/>
      <c r="M2167" s="1130"/>
      <c r="N2167" s="1130"/>
      <c r="O2167" s="1130"/>
      <c r="P2167" s="1130"/>
      <c r="Q2167" s="1130"/>
      <c r="R2167" s="1130"/>
      <c r="S2167" s="1130"/>
      <c r="T2167" s="1130"/>
      <c r="U2167" s="1130"/>
      <c r="V2167" s="1130"/>
      <c r="W2167" s="1130"/>
      <c r="X2167" s="1130"/>
      <c r="Y2167" s="422"/>
      <c r="Z2167" s="422"/>
      <c r="AA2167" s="422"/>
      <c r="AB2167" s="1232"/>
    </row>
    <row r="2168" ht="14.4" customHeight="1" spans="1:28">
      <c r="A2168" s="1223" t="s">
        <v>502</v>
      </c>
      <c r="B2168" s="1196"/>
      <c r="C2168" s="1196"/>
      <c r="D2168" s="1196"/>
      <c r="E2168" s="1196"/>
      <c r="F2168" s="1196"/>
      <c r="G2168" s="1196"/>
      <c r="H2168" s="1196"/>
      <c r="I2168" s="1051"/>
      <c r="J2168" s="1049"/>
      <c r="K2168" s="1049"/>
      <c r="L2168" s="1050"/>
      <c r="M2168" s="1051"/>
      <c r="N2168" s="1049"/>
      <c r="O2168" s="1049"/>
      <c r="P2168" s="1050"/>
      <c r="Q2168" s="1051"/>
      <c r="R2168" s="1049"/>
      <c r="S2168" s="1049"/>
      <c r="T2168" s="1050"/>
      <c r="U2168" s="1051"/>
      <c r="V2168" s="1049"/>
      <c r="W2168" s="1049"/>
      <c r="X2168" s="1050"/>
      <c r="Y2168" s="1055" t="s">
        <v>382</v>
      </c>
      <c r="Z2168" s="1056"/>
      <c r="AA2168" s="1056"/>
      <c r="AB2168" s="1057"/>
    </row>
    <row r="2169" spans="1:28">
      <c r="A2169" s="1223"/>
      <c r="B2169" s="1196"/>
      <c r="C2169" s="1196"/>
      <c r="D2169" s="1196"/>
      <c r="E2169" s="1196"/>
      <c r="F2169" s="1196"/>
      <c r="G2169" s="1196"/>
      <c r="H2169" s="1196"/>
      <c r="I2169" s="1061"/>
      <c r="J2169" s="1059"/>
      <c r="K2169" s="1059"/>
      <c r="L2169" s="1060"/>
      <c r="M2169" s="1061"/>
      <c r="N2169" s="1059"/>
      <c r="O2169" s="1059"/>
      <c r="P2169" s="1060"/>
      <c r="Q2169" s="1061"/>
      <c r="R2169" s="1059"/>
      <c r="S2169" s="1059"/>
      <c r="T2169" s="1060"/>
      <c r="U2169" s="1061"/>
      <c r="V2169" s="1059"/>
      <c r="W2169" s="1059"/>
      <c r="X2169" s="1060"/>
      <c r="Y2169" s="1065"/>
      <c r="Z2169" s="1066"/>
      <c r="AA2169" s="1066"/>
      <c r="AB2169" s="1067"/>
    </row>
    <row r="2170" ht="15.75" spans="1:28">
      <c r="A2170" s="1224">
        <v>2</v>
      </c>
      <c r="B2170" s="1137"/>
      <c r="C2170" s="1137"/>
      <c r="D2170" s="1137"/>
      <c r="E2170" s="1137"/>
      <c r="F2170" s="1137"/>
      <c r="G2170" s="1137"/>
      <c r="H2170" s="1137"/>
      <c r="I2170" s="1134"/>
      <c r="J2170" s="1134"/>
      <c r="K2170" s="1134"/>
      <c r="L2170" s="1134"/>
      <c r="M2170" s="1134"/>
      <c r="N2170" s="1134"/>
      <c r="O2170" s="1134"/>
      <c r="P2170" s="1134"/>
      <c r="Q2170" s="1134"/>
      <c r="R2170" s="1134"/>
      <c r="S2170" s="1134"/>
      <c r="T2170" s="1134"/>
      <c r="U2170" s="1134"/>
      <c r="V2170" s="1134"/>
      <c r="W2170" s="1134"/>
      <c r="X2170" s="1134"/>
      <c r="Y2170" s="1134">
        <f>ROUNDUP((((($E$2058*($M$2058+$Q$2058+$U$2058+$Y$2058))+(((($Q$2058+$U$2058)+($U$2058))*($I$2058))/2))*$A$2058)*$A$2062),2)</f>
        <v>6.76</v>
      </c>
      <c r="Z2170" s="1134"/>
      <c r="AA2170" s="1134"/>
      <c r="AB2170" s="1225"/>
    </row>
    <row r="2171" ht="17.25" spans="1:28">
      <c r="A2171" s="1079" t="s">
        <v>503</v>
      </c>
      <c r="B2171" s="1080"/>
      <c r="C2171" s="1080"/>
      <c r="D2171" s="1080"/>
      <c r="E2171" s="1080"/>
      <c r="F2171" s="1080"/>
      <c r="G2171" s="1080"/>
      <c r="H2171" s="1080"/>
      <c r="I2171" s="1080"/>
      <c r="J2171" s="1080"/>
      <c r="K2171" s="1080"/>
      <c r="L2171" s="1080"/>
      <c r="M2171" s="1080"/>
      <c r="N2171" s="1080"/>
      <c r="O2171" s="1080"/>
      <c r="P2171" s="1080"/>
      <c r="Q2171" s="1080"/>
      <c r="R2171" s="1080"/>
      <c r="S2171" s="1080"/>
      <c r="T2171" s="1080"/>
      <c r="U2171" s="1080"/>
      <c r="V2171" s="1080"/>
      <c r="W2171" s="1080"/>
      <c r="X2171" s="1080"/>
      <c r="Y2171" s="1080"/>
      <c r="Z2171" s="1080"/>
      <c r="AA2171" s="1080"/>
      <c r="AB2171" s="1081"/>
    </row>
    <row r="2172" ht="15.75" spans="1:28">
      <c r="A2172" s="1083"/>
      <c r="AB2172" s="1044"/>
    </row>
    <row r="2173" spans="1:28">
      <c r="A2173" s="1083"/>
      <c r="K2173" s="1084" t="s">
        <v>513</v>
      </c>
      <c r="L2173" s="1085"/>
      <c r="M2173" s="1085"/>
      <c r="N2173" s="1085"/>
      <c r="O2173" s="1085"/>
      <c r="P2173" s="1085"/>
      <c r="Q2173" s="1085"/>
      <c r="R2173" s="1086"/>
      <c r="AB2173" s="1044"/>
    </row>
    <row r="2174" spans="1:28">
      <c r="A2174" s="1083"/>
      <c r="K2174" s="1087" t="s">
        <v>384</v>
      </c>
      <c r="L2174" s="1088"/>
      <c r="M2174" s="1088"/>
      <c r="N2174" s="1088"/>
      <c r="O2174" s="1088"/>
      <c r="P2174" s="1088"/>
      <c r="Q2174" s="1088"/>
      <c r="R2174" s="1089"/>
      <c r="AB2174" s="1044"/>
    </row>
    <row r="2175" spans="1:28">
      <c r="A2175" s="1083"/>
      <c r="K2175" s="1090"/>
      <c r="L2175" s="1091"/>
      <c r="M2175" s="1091"/>
      <c r="N2175" s="1091"/>
      <c r="O2175" s="1091"/>
      <c r="P2175" s="1091"/>
      <c r="Q2175" s="1091"/>
      <c r="R2175" s="1092"/>
      <c r="AB2175" s="1044"/>
    </row>
    <row r="2176" ht="15.75" spans="1:28">
      <c r="A2176" s="1083"/>
      <c r="K2176" s="1093">
        <f>ROUNDUP(Y2170,2)</f>
        <v>6.76</v>
      </c>
      <c r="L2176" s="1094"/>
      <c r="M2176" s="1094"/>
      <c r="N2176" s="1094"/>
      <c r="O2176" s="1094"/>
      <c r="P2176" s="1094"/>
      <c r="Q2176" s="1094"/>
      <c r="R2176" s="1095"/>
      <c r="AB2176" s="1044"/>
    </row>
    <row r="2177" ht="15.75" spans="1:28">
      <c r="A2177" s="1096"/>
      <c r="B2177" s="389"/>
      <c r="C2177" s="389"/>
      <c r="D2177" s="389"/>
      <c r="E2177" s="389"/>
      <c r="F2177" s="389"/>
      <c r="G2177" s="389"/>
      <c r="H2177" s="389"/>
      <c r="I2177" s="1097"/>
      <c r="J2177" s="1097"/>
      <c r="K2177" s="1097"/>
      <c r="L2177" s="1097"/>
      <c r="M2177" s="1097"/>
      <c r="N2177" s="1097"/>
      <c r="O2177" s="1097"/>
      <c r="P2177" s="1097"/>
      <c r="Q2177" s="389"/>
      <c r="R2177" s="389"/>
      <c r="S2177" s="389"/>
      <c r="T2177" s="389"/>
      <c r="U2177" s="389"/>
      <c r="V2177" s="389"/>
      <c r="W2177" s="389"/>
      <c r="X2177" s="389"/>
      <c r="Y2177" s="389"/>
      <c r="Z2177" s="389"/>
      <c r="AA2177" s="389"/>
      <c r="AB2177" s="1098"/>
    </row>
    <row r="2178" spans="1:28">
      <c r="A2178" s="1233" t="s">
        <v>514</v>
      </c>
      <c r="B2178" s="1234"/>
      <c r="C2178" s="1234"/>
      <c r="D2178" s="1234"/>
      <c r="E2178" s="1234"/>
      <c r="F2178" s="1234"/>
      <c r="G2178" s="1234"/>
      <c r="H2178" s="1234"/>
      <c r="I2178" s="1234"/>
      <c r="J2178" s="1234"/>
      <c r="K2178" s="1234"/>
      <c r="L2178" s="1234"/>
      <c r="M2178" s="1234"/>
      <c r="N2178" s="1234"/>
      <c r="O2178" s="1234"/>
      <c r="P2178" s="1234"/>
      <c r="Q2178" s="1234"/>
      <c r="R2178" s="1234"/>
      <c r="S2178" s="1234"/>
      <c r="T2178" s="1234"/>
      <c r="U2178" s="1234"/>
      <c r="V2178" s="1234"/>
      <c r="W2178" s="1234"/>
      <c r="X2178" s="1234"/>
      <c r="Y2178" s="1234"/>
      <c r="Z2178" s="1234"/>
      <c r="AA2178" s="1234"/>
      <c r="AB2178" s="1235"/>
    </row>
    <row r="2179" spans="1:28">
      <c r="A2179" s="1236"/>
      <c r="B2179" s="1237"/>
      <c r="C2179" s="1237"/>
      <c r="D2179" s="1237"/>
      <c r="E2179" s="1237"/>
      <c r="F2179" s="1237"/>
      <c r="G2179" s="1237"/>
      <c r="H2179" s="1237"/>
      <c r="I2179" s="1237"/>
      <c r="J2179" s="1237"/>
      <c r="K2179" s="1237"/>
      <c r="L2179" s="1237"/>
      <c r="M2179" s="1237"/>
      <c r="N2179" s="1237"/>
      <c r="O2179" s="1237"/>
      <c r="P2179" s="1237"/>
      <c r="Q2179" s="1237"/>
      <c r="R2179" s="1237"/>
      <c r="S2179" s="1237"/>
      <c r="T2179" s="1237"/>
      <c r="U2179" s="1237"/>
      <c r="V2179" s="1237"/>
      <c r="W2179" s="1237"/>
      <c r="X2179" s="1237"/>
      <c r="Y2179" s="1237"/>
      <c r="Z2179" s="1237"/>
      <c r="AA2179" s="1237"/>
      <c r="AB2179" s="1238"/>
    </row>
    <row r="2180" spans="1:28">
      <c r="A2180" s="1083"/>
      <c r="AB2180" s="1044"/>
    </row>
    <row r="2181" spans="1:28">
      <c r="A2181" s="1083"/>
      <c r="AB2181" s="1044"/>
    </row>
    <row r="2182" spans="1:28">
      <c r="A2182" s="1083"/>
      <c r="AB2182" s="1044"/>
    </row>
    <row r="2183" spans="1:28">
      <c r="A2183" s="1083"/>
      <c r="AB2183" s="1044"/>
    </row>
    <row r="2184" spans="1:28">
      <c r="A2184" s="1083"/>
      <c r="AB2184" s="1044"/>
    </row>
    <row r="2185" spans="1:28">
      <c r="A2185" s="1083"/>
      <c r="AB2185" s="1044"/>
    </row>
    <row r="2186" spans="1:28">
      <c r="A2186" s="1083"/>
      <c r="AB2186" s="1044"/>
    </row>
    <row r="2187" spans="1:28">
      <c r="A2187" s="1083"/>
      <c r="AB2187" s="1044"/>
    </row>
    <row r="2188" spans="1:28">
      <c r="A2188" s="1083"/>
      <c r="AB2188" s="1044"/>
    </row>
    <row r="2189" spans="1:28">
      <c r="A2189" s="1083"/>
      <c r="AB2189" s="1044"/>
    </row>
    <row r="2190" spans="1:28">
      <c r="A2190" s="1083"/>
      <c r="AB2190" s="1044"/>
    </row>
    <row r="2191" spans="1:28">
      <c r="A2191" s="1083"/>
      <c r="AB2191" s="1044"/>
    </row>
    <row r="2192" ht="14.4" customHeight="1" spans="1:28">
      <c r="A2192" s="1048" t="s">
        <v>205</v>
      </c>
      <c r="B2192" s="1049"/>
      <c r="C2192" s="1049"/>
      <c r="D2192" s="1050"/>
      <c r="E2192" s="1051" t="s">
        <v>206</v>
      </c>
      <c r="F2192" s="1049"/>
      <c r="G2192" s="1049"/>
      <c r="H2192" s="1050"/>
      <c r="I2192" s="1051" t="s">
        <v>235</v>
      </c>
      <c r="J2192" s="1049"/>
      <c r="K2192" s="1049"/>
      <c r="L2192" s="1050"/>
      <c r="M2192" s="1051" t="s">
        <v>236</v>
      </c>
      <c r="N2192" s="1049"/>
      <c r="O2192" s="1049"/>
      <c r="P2192" s="1050"/>
      <c r="Q2192" s="1051" t="s">
        <v>237</v>
      </c>
      <c r="R2192" s="1049"/>
      <c r="S2192" s="1049"/>
      <c r="T2192" s="1050"/>
      <c r="U2192" s="1051" t="s">
        <v>238</v>
      </c>
      <c r="V2192" s="1049"/>
      <c r="W2192" s="1049"/>
      <c r="X2192" s="1050"/>
      <c r="Y2192" s="1051" t="s">
        <v>247</v>
      </c>
      <c r="Z2192" s="1049"/>
      <c r="AA2192" s="1049"/>
      <c r="AB2192" s="1222"/>
    </row>
    <row r="2193" ht="14.4" customHeight="1" spans="1:28">
      <c r="A2193" s="1058" t="s">
        <v>498</v>
      </c>
      <c r="B2193" s="1059"/>
      <c r="C2193" s="1059"/>
      <c r="D2193" s="1060"/>
      <c r="E2193" s="1061" t="s">
        <v>499</v>
      </c>
      <c r="F2193" s="1059"/>
      <c r="G2193" s="1059"/>
      <c r="H2193" s="1060"/>
      <c r="I2193" s="1061" t="s">
        <v>515</v>
      </c>
      <c r="J2193" s="1059"/>
      <c r="K2193" s="1059"/>
      <c r="L2193" s="1060"/>
      <c r="M2193" s="1061" t="s">
        <v>500</v>
      </c>
      <c r="N2193" s="1059"/>
      <c r="O2193" s="1059"/>
      <c r="P2193" s="1060"/>
      <c r="Q2193" s="1061" t="s">
        <v>418</v>
      </c>
      <c r="R2193" s="1059"/>
      <c r="S2193" s="1059"/>
      <c r="T2193" s="1060"/>
      <c r="U2193" s="1061" t="s">
        <v>417</v>
      </c>
      <c r="V2193" s="1059"/>
      <c r="W2193" s="1059"/>
      <c r="X2193" s="1060"/>
      <c r="Y2193" s="1061" t="s">
        <v>209</v>
      </c>
      <c r="Z2193" s="1059"/>
      <c r="AA2193" s="1059"/>
      <c r="AB2193" s="1108"/>
    </row>
    <row r="2194" spans="1:28">
      <c r="A2194" s="1239">
        <v>0.175</v>
      </c>
      <c r="B2194" s="1123"/>
      <c r="C2194" s="1123"/>
      <c r="D2194" s="1123"/>
      <c r="E2194" s="1123">
        <v>0.05</v>
      </c>
      <c r="F2194" s="1123"/>
      <c r="G2194" s="1123"/>
      <c r="H2194" s="1123"/>
      <c r="I2194" s="1123">
        <v>0.175</v>
      </c>
      <c r="J2194" s="1123"/>
      <c r="K2194" s="1123"/>
      <c r="L2194" s="1123"/>
      <c r="M2194" s="1123">
        <v>0.05</v>
      </c>
      <c r="N2194" s="1123"/>
      <c r="O2194" s="1123"/>
      <c r="P2194" s="1123"/>
      <c r="Q2194" s="1123">
        <v>0.2</v>
      </c>
      <c r="R2194" s="1123"/>
      <c r="S2194" s="1123"/>
      <c r="T2194" s="1123"/>
      <c r="U2194" s="1123">
        <v>0.4</v>
      </c>
      <c r="V2194" s="1123"/>
      <c r="W2194" s="1123"/>
      <c r="X2194" s="1123"/>
      <c r="Y2194" s="1123">
        <v>2.45</v>
      </c>
      <c r="Z2194" s="1123"/>
      <c r="AA2194" s="1123"/>
      <c r="AB2194" s="1124"/>
    </row>
    <row r="2195" spans="1:28">
      <c r="A2195" s="1154"/>
      <c r="B2195" s="1130"/>
      <c r="C2195" s="1130"/>
      <c r="D2195" s="1130"/>
      <c r="E2195" s="1130"/>
      <c r="F2195" s="1130"/>
      <c r="G2195" s="1130"/>
      <c r="H2195" s="1130"/>
      <c r="I2195" s="1130"/>
      <c r="J2195" s="1130"/>
      <c r="K2195" s="1130"/>
      <c r="L2195" s="1130"/>
      <c r="M2195" s="1130"/>
      <c r="N2195" s="1130"/>
      <c r="O2195" s="1130"/>
      <c r="P2195" s="1130"/>
      <c r="Q2195" s="1130"/>
      <c r="R2195" s="1130"/>
      <c r="S2195" s="1130"/>
      <c r="T2195" s="1130"/>
      <c r="U2195" s="1130"/>
      <c r="V2195" s="1130"/>
      <c r="W2195" s="1130"/>
      <c r="X2195" s="1130"/>
      <c r="AB2195" s="1044"/>
    </row>
    <row r="2196" ht="14.4" customHeight="1" spans="1:28">
      <c r="A2196" s="1240" t="s">
        <v>516</v>
      </c>
      <c r="B2196" s="1241"/>
      <c r="C2196" s="1241"/>
      <c r="D2196" s="1242"/>
      <c r="E2196" s="1051"/>
      <c r="F2196" s="1049"/>
      <c r="G2196" s="1049"/>
      <c r="H2196" s="1050"/>
      <c r="I2196" s="1051"/>
      <c r="J2196" s="1049"/>
      <c r="K2196" s="1049"/>
      <c r="L2196" s="1050"/>
      <c r="M2196" s="1051"/>
      <c r="N2196" s="1049"/>
      <c r="O2196" s="1049"/>
      <c r="P2196" s="1050"/>
      <c r="Q2196" s="1051"/>
      <c r="R2196" s="1049"/>
      <c r="S2196" s="1049"/>
      <c r="T2196" s="1050"/>
      <c r="U2196" s="1051"/>
      <c r="V2196" s="1049"/>
      <c r="W2196" s="1049"/>
      <c r="X2196" s="1050"/>
      <c r="Y2196" s="1051" t="s">
        <v>314</v>
      </c>
      <c r="Z2196" s="1049"/>
      <c r="AA2196" s="1049"/>
      <c r="AB2196" s="1222"/>
    </row>
    <row r="2197" spans="1:28">
      <c r="A2197" s="1243"/>
      <c r="B2197" s="1244"/>
      <c r="C2197" s="1244"/>
      <c r="D2197" s="1245"/>
      <c r="E2197" s="1061"/>
      <c r="F2197" s="1059"/>
      <c r="G2197" s="1059"/>
      <c r="H2197" s="1060"/>
      <c r="I2197" s="1061"/>
      <c r="J2197" s="1059"/>
      <c r="K2197" s="1059"/>
      <c r="L2197" s="1060"/>
      <c r="M2197" s="1061"/>
      <c r="N2197" s="1059"/>
      <c r="O2197" s="1059"/>
      <c r="P2197" s="1060"/>
      <c r="Q2197" s="1061"/>
      <c r="R2197" s="1059"/>
      <c r="S2197" s="1059"/>
      <c r="T2197" s="1060"/>
      <c r="U2197" s="1061"/>
      <c r="V2197" s="1059"/>
      <c r="W2197" s="1059"/>
      <c r="X2197" s="1060"/>
      <c r="Y2197" s="1061"/>
      <c r="Z2197" s="1059"/>
      <c r="AA2197" s="1059"/>
      <c r="AB2197" s="1108"/>
    </row>
    <row r="2198" ht="15.75" spans="1:28">
      <c r="A2198" s="1246">
        <v>12</v>
      </c>
      <c r="B2198" s="1217"/>
      <c r="C2198" s="1217"/>
      <c r="D2198" s="1218"/>
      <c r="E2198" s="1134"/>
      <c r="F2198" s="1134"/>
      <c r="G2198" s="1134"/>
      <c r="H2198" s="1134"/>
      <c r="I2198" s="1134"/>
      <c r="J2198" s="1134"/>
      <c r="K2198" s="1134"/>
      <c r="L2198" s="1134"/>
      <c r="M2198" s="1134"/>
      <c r="N2198" s="1134"/>
      <c r="O2198" s="1134"/>
      <c r="P2198" s="1134"/>
      <c r="Q2198" s="1134"/>
      <c r="R2198" s="1134"/>
      <c r="S2198" s="1134"/>
      <c r="T2198" s="1134"/>
      <c r="U2198" s="1134"/>
      <c r="V2198" s="1134"/>
      <c r="W2198" s="1134"/>
      <c r="X2198" s="1134"/>
      <c r="Y2198" s="1134">
        <f>ROUNDUP((((A2194*U2194)+((U2194+Q2194)*E2194/2)+((Q2194+M2194)*I2194/2))*Y2194*A2198),2)</f>
        <v>3.15</v>
      </c>
      <c r="Z2198" s="1134"/>
      <c r="AA2198" s="1134"/>
      <c r="AB2198" s="1225"/>
    </row>
    <row r="2199" ht="15.75" spans="1:28">
      <c r="A2199" s="1079" t="s">
        <v>517</v>
      </c>
      <c r="B2199" s="1080"/>
      <c r="C2199" s="1080"/>
      <c r="D2199" s="1080"/>
      <c r="E2199" s="1080"/>
      <c r="F2199" s="1080"/>
      <c r="G2199" s="1080"/>
      <c r="H2199" s="1080"/>
      <c r="I2199" s="1080"/>
      <c r="J2199" s="1080"/>
      <c r="K2199" s="1080"/>
      <c r="L2199" s="1080"/>
      <c r="M2199" s="1080"/>
      <c r="N2199" s="1080"/>
      <c r="O2199" s="1080"/>
      <c r="P2199" s="1080"/>
      <c r="Q2199" s="1080"/>
      <c r="R2199" s="1080"/>
      <c r="S2199" s="1080"/>
      <c r="T2199" s="1080"/>
      <c r="U2199" s="1080"/>
      <c r="V2199" s="1080"/>
      <c r="W2199" s="1080"/>
      <c r="X2199" s="1080"/>
      <c r="Y2199" s="1080"/>
      <c r="Z2199" s="1080"/>
      <c r="AA2199" s="1080"/>
      <c r="AB2199" s="1081"/>
    </row>
    <row r="2200" ht="15.75" spans="1:28">
      <c r="A2200" s="1083"/>
      <c r="AB2200" s="1044"/>
    </row>
    <row r="2201" spans="1:28">
      <c r="A2201" s="1083"/>
      <c r="K2201" s="1084" t="s">
        <v>518</v>
      </c>
      <c r="L2201" s="1085"/>
      <c r="M2201" s="1085"/>
      <c r="N2201" s="1085"/>
      <c r="O2201" s="1085"/>
      <c r="P2201" s="1085"/>
      <c r="Q2201" s="1085"/>
      <c r="R2201" s="1086"/>
      <c r="AB2201" s="1044"/>
    </row>
    <row r="2202" spans="1:28">
      <c r="A2202" s="1083"/>
      <c r="K2202" s="1087" t="s">
        <v>324</v>
      </c>
      <c r="L2202" s="1088"/>
      <c r="M2202" s="1088"/>
      <c r="N2202" s="1088"/>
      <c r="O2202" s="1088"/>
      <c r="P2202" s="1088"/>
      <c r="Q2202" s="1088"/>
      <c r="R2202" s="1089"/>
      <c r="AB2202" s="1044"/>
    </row>
    <row r="2203" spans="1:28">
      <c r="A2203" s="1083"/>
      <c r="K2203" s="1090"/>
      <c r="L2203" s="1091"/>
      <c r="M2203" s="1091"/>
      <c r="N2203" s="1091"/>
      <c r="O2203" s="1091"/>
      <c r="P2203" s="1091"/>
      <c r="Q2203" s="1091"/>
      <c r="R2203" s="1092"/>
      <c r="AB2203" s="1044"/>
    </row>
    <row r="2204" ht="15.75" spans="1:28">
      <c r="A2204" s="1083"/>
      <c r="K2204" s="1093">
        <f>ROUNDUP(Y2198,2)</f>
        <v>3.15</v>
      </c>
      <c r="L2204" s="1094"/>
      <c r="M2204" s="1094"/>
      <c r="N2204" s="1094"/>
      <c r="O2204" s="1094"/>
      <c r="P2204" s="1094"/>
      <c r="Q2204" s="1094"/>
      <c r="R2204" s="1095"/>
      <c r="AB2204" s="1044"/>
    </row>
    <row r="2205" ht="15.75" spans="1:28">
      <c r="A2205" s="1096"/>
      <c r="B2205" s="389"/>
      <c r="C2205" s="389"/>
      <c r="D2205" s="389"/>
      <c r="E2205" s="389"/>
      <c r="F2205" s="389"/>
      <c r="G2205" s="389"/>
      <c r="H2205" s="389"/>
      <c r="I2205" s="1097"/>
      <c r="J2205" s="1097"/>
      <c r="K2205" s="1097"/>
      <c r="L2205" s="1097"/>
      <c r="M2205" s="1097"/>
      <c r="N2205" s="1097"/>
      <c r="O2205" s="1097"/>
      <c r="P2205" s="1097"/>
      <c r="Q2205" s="389"/>
      <c r="R2205" s="389"/>
      <c r="S2205" s="389"/>
      <c r="T2205" s="389"/>
      <c r="U2205" s="389"/>
      <c r="V2205" s="389"/>
      <c r="W2205" s="389"/>
      <c r="X2205" s="389"/>
      <c r="Y2205" s="389"/>
      <c r="Z2205" s="389"/>
      <c r="AA2205" s="389"/>
      <c r="AB2205" s="1098"/>
    </row>
    <row r="2206" spans="1:28">
      <c r="A2206" s="1233" t="s">
        <v>519</v>
      </c>
      <c r="B2206" s="1234"/>
      <c r="C2206" s="1234"/>
      <c r="D2206" s="1234"/>
      <c r="E2206" s="1234"/>
      <c r="F2206" s="1234"/>
      <c r="G2206" s="1234"/>
      <c r="H2206" s="1234"/>
      <c r="I2206" s="1234"/>
      <c r="J2206" s="1234"/>
      <c r="K2206" s="1234"/>
      <c r="L2206" s="1234"/>
      <c r="M2206" s="1234"/>
      <c r="N2206" s="1234"/>
      <c r="O2206" s="1234"/>
      <c r="P2206" s="1234"/>
      <c r="Q2206" s="1234"/>
      <c r="R2206" s="1234"/>
      <c r="S2206" s="1234"/>
      <c r="T2206" s="1234"/>
      <c r="U2206" s="1234"/>
      <c r="V2206" s="1234"/>
      <c r="W2206" s="1234"/>
      <c r="X2206" s="1234"/>
      <c r="Y2206" s="1234"/>
      <c r="Z2206" s="1234"/>
      <c r="AA2206" s="1234"/>
      <c r="AB2206" s="1235"/>
    </row>
    <row r="2207" spans="1:28">
      <c r="A2207" s="1083"/>
      <c r="AB2207" s="1044"/>
    </row>
    <row r="2208" spans="1:28">
      <c r="A2208" s="1083"/>
      <c r="AB2208" s="1044"/>
    </row>
    <row r="2209" spans="1:28">
      <c r="A2209" s="1083"/>
      <c r="AB2209" s="1044"/>
    </row>
    <row r="2210" spans="1:28">
      <c r="A2210" s="1083"/>
      <c r="AB2210" s="1044"/>
    </row>
    <row r="2211" spans="1:28">
      <c r="A2211" s="1083"/>
      <c r="AB2211" s="1044"/>
    </row>
    <row r="2212" spans="1:28">
      <c r="A2212" s="1083"/>
      <c r="AB2212" s="1044"/>
    </row>
    <row r="2213" spans="1:28">
      <c r="A2213" s="1083"/>
      <c r="AB2213" s="1044"/>
    </row>
    <row r="2214" spans="1:28">
      <c r="A2214" s="1083"/>
      <c r="AB2214" s="1044"/>
    </row>
    <row r="2215" spans="1:28">
      <c r="A2215" s="1083"/>
      <c r="AB2215" s="1044"/>
    </row>
    <row r="2216" spans="1:28">
      <c r="A2216" s="1083"/>
      <c r="AB2216" s="1044"/>
    </row>
    <row r="2217" spans="1:28">
      <c r="A2217" s="1083"/>
      <c r="AB2217" s="1044"/>
    </row>
    <row r="2218" spans="1:28">
      <c r="A2218" s="1083"/>
      <c r="AB2218" s="1044"/>
    </row>
    <row r="2219" ht="14.4" customHeight="1" spans="1:28">
      <c r="A2219" s="1048" t="s">
        <v>205</v>
      </c>
      <c r="B2219" s="1049"/>
      <c r="C2219" s="1049"/>
      <c r="D2219" s="1050"/>
      <c r="E2219" s="1051" t="s">
        <v>206</v>
      </c>
      <c r="F2219" s="1049"/>
      <c r="G2219" s="1049"/>
      <c r="H2219" s="1050"/>
      <c r="I2219" s="1051" t="s">
        <v>235</v>
      </c>
      <c r="J2219" s="1049"/>
      <c r="K2219" s="1049"/>
      <c r="L2219" s="1050"/>
      <c r="M2219" s="1051" t="s">
        <v>236</v>
      </c>
      <c r="N2219" s="1049"/>
      <c r="O2219" s="1049"/>
      <c r="P2219" s="1050"/>
      <c r="Q2219" s="1051" t="s">
        <v>237</v>
      </c>
      <c r="R2219" s="1049"/>
      <c r="S2219" s="1049"/>
      <c r="T2219" s="1050"/>
      <c r="U2219" s="1051" t="s">
        <v>238</v>
      </c>
      <c r="V2219" s="1049"/>
      <c r="W2219" s="1049"/>
      <c r="X2219" s="1050"/>
      <c r="Y2219" s="1051" t="s">
        <v>247</v>
      </c>
      <c r="Z2219" s="1049"/>
      <c r="AA2219" s="1049"/>
      <c r="AB2219" s="1222"/>
    </row>
    <row r="2220" ht="14.4" customHeight="1" spans="1:28">
      <c r="A2220" s="1058" t="s">
        <v>498</v>
      </c>
      <c r="B2220" s="1059"/>
      <c r="C2220" s="1059"/>
      <c r="D2220" s="1060"/>
      <c r="E2220" s="1061" t="s">
        <v>499</v>
      </c>
      <c r="F2220" s="1059"/>
      <c r="G2220" s="1059"/>
      <c r="H2220" s="1060"/>
      <c r="I2220" s="1061" t="s">
        <v>515</v>
      </c>
      <c r="J2220" s="1059"/>
      <c r="K2220" s="1059"/>
      <c r="L2220" s="1060"/>
      <c r="M2220" s="1061" t="s">
        <v>500</v>
      </c>
      <c r="N2220" s="1059"/>
      <c r="O2220" s="1059"/>
      <c r="P2220" s="1060"/>
      <c r="Q2220" s="1061" t="s">
        <v>418</v>
      </c>
      <c r="R2220" s="1059"/>
      <c r="S2220" s="1059"/>
      <c r="T2220" s="1060"/>
      <c r="U2220" s="1061" t="s">
        <v>417</v>
      </c>
      <c r="V2220" s="1059"/>
      <c r="W2220" s="1059"/>
      <c r="X2220" s="1060"/>
      <c r="Y2220" s="1061" t="s">
        <v>209</v>
      </c>
      <c r="Z2220" s="1059"/>
      <c r="AA2220" s="1059"/>
      <c r="AB2220" s="1108"/>
    </row>
    <row r="2221" spans="1:28">
      <c r="A2221" s="1239">
        <v>0.175</v>
      </c>
      <c r="B2221" s="1123"/>
      <c r="C2221" s="1123"/>
      <c r="D2221" s="1123"/>
      <c r="E2221" s="1123">
        <v>0.05</v>
      </c>
      <c r="F2221" s="1123"/>
      <c r="G2221" s="1123"/>
      <c r="H2221" s="1123"/>
      <c r="I2221" s="1123">
        <v>0.175</v>
      </c>
      <c r="J2221" s="1123"/>
      <c r="K2221" s="1123"/>
      <c r="L2221" s="1123"/>
      <c r="M2221" s="1123">
        <v>0.05</v>
      </c>
      <c r="N2221" s="1123"/>
      <c r="O2221" s="1123"/>
      <c r="P2221" s="1123"/>
      <c r="Q2221" s="1123">
        <v>0.2</v>
      </c>
      <c r="R2221" s="1123"/>
      <c r="S2221" s="1123"/>
      <c r="T2221" s="1123"/>
      <c r="U2221" s="1123">
        <v>0.4</v>
      </c>
      <c r="V2221" s="1123"/>
      <c r="W2221" s="1123"/>
      <c r="X2221" s="1123"/>
      <c r="Y2221" s="1123">
        <v>2.45</v>
      </c>
      <c r="Z2221" s="1123"/>
      <c r="AA2221" s="1123"/>
      <c r="AB2221" s="1124"/>
    </row>
    <row r="2222" spans="1:28">
      <c r="A2222" s="1154"/>
      <c r="B2222" s="1130"/>
      <c r="C2222" s="1130"/>
      <c r="D2222" s="1130"/>
      <c r="E2222" s="1130"/>
      <c r="F2222" s="1130"/>
      <c r="G2222" s="1130"/>
      <c r="H2222" s="1130"/>
      <c r="I2222" s="1130"/>
      <c r="J2222" s="1130"/>
      <c r="K2222" s="1130"/>
      <c r="L2222" s="1130"/>
      <c r="M2222" s="1130"/>
      <c r="N2222" s="1130"/>
      <c r="O2222" s="1130"/>
      <c r="P2222" s="1130"/>
      <c r="Q2222" s="1130"/>
      <c r="R2222" s="1130"/>
      <c r="S2222" s="1130"/>
      <c r="T2222" s="1130"/>
      <c r="U2222" s="1130"/>
      <c r="V2222" s="1130"/>
      <c r="W2222" s="1130"/>
      <c r="X2222" s="1130"/>
      <c r="AB2222" s="1044"/>
    </row>
    <row r="2223" ht="14.4" customHeight="1" spans="1:28">
      <c r="A2223" s="1240" t="s">
        <v>516</v>
      </c>
      <c r="B2223" s="1241"/>
      <c r="C2223" s="1241"/>
      <c r="D2223" s="1242"/>
      <c r="E2223" s="1051"/>
      <c r="F2223" s="1049"/>
      <c r="G2223" s="1049"/>
      <c r="H2223" s="1050"/>
      <c r="I2223" s="1051"/>
      <c r="J2223" s="1049"/>
      <c r="K2223" s="1049"/>
      <c r="L2223" s="1050"/>
      <c r="M2223" s="1051"/>
      <c r="N2223" s="1049"/>
      <c r="O2223" s="1049"/>
      <c r="P2223" s="1050"/>
      <c r="Q2223" s="1051"/>
      <c r="R2223" s="1049"/>
      <c r="S2223" s="1049"/>
      <c r="T2223" s="1050"/>
      <c r="U2223" s="1051"/>
      <c r="V2223" s="1049"/>
      <c r="W2223" s="1049"/>
      <c r="X2223" s="1050"/>
      <c r="Y2223" s="1051" t="s">
        <v>333</v>
      </c>
      <c r="Z2223" s="1049"/>
      <c r="AA2223" s="1049"/>
      <c r="AB2223" s="1050"/>
    </row>
    <row r="2224" spans="1:28">
      <c r="A2224" s="1243"/>
      <c r="B2224" s="1244"/>
      <c r="C2224" s="1244"/>
      <c r="D2224" s="1245"/>
      <c r="E2224" s="1061"/>
      <c r="F2224" s="1059"/>
      <c r="G2224" s="1059"/>
      <c r="H2224" s="1060"/>
      <c r="I2224" s="1061"/>
      <c r="J2224" s="1059"/>
      <c r="K2224" s="1059"/>
      <c r="L2224" s="1060"/>
      <c r="M2224" s="1061"/>
      <c r="N2224" s="1059"/>
      <c r="O2224" s="1059"/>
      <c r="P2224" s="1060"/>
      <c r="Q2224" s="1061"/>
      <c r="R2224" s="1059"/>
      <c r="S2224" s="1059"/>
      <c r="T2224" s="1060"/>
      <c r="U2224" s="1061"/>
      <c r="V2224" s="1059"/>
      <c r="W2224" s="1059"/>
      <c r="X2224" s="1060"/>
      <c r="Y2224" s="1061"/>
      <c r="Z2224" s="1059"/>
      <c r="AA2224" s="1059"/>
      <c r="AB2224" s="1060"/>
    </row>
    <row r="2225" ht="15.75" spans="1:28">
      <c r="A2225" s="1246">
        <v>12</v>
      </c>
      <c r="B2225" s="1217"/>
      <c r="C2225" s="1217"/>
      <c r="D2225" s="1218"/>
      <c r="E2225" s="1134"/>
      <c r="F2225" s="1134"/>
      <c r="G2225" s="1134"/>
      <c r="H2225" s="1134"/>
      <c r="I2225" s="1134"/>
      <c r="J2225" s="1134"/>
      <c r="K2225" s="1134"/>
      <c r="L2225" s="1134"/>
      <c r="M2225" s="1134"/>
      <c r="N2225" s="1134"/>
      <c r="O2225" s="1134"/>
      <c r="P2225" s="1134"/>
      <c r="Q2225" s="1134"/>
      <c r="R2225" s="1134"/>
      <c r="S2225" s="1134"/>
      <c r="T2225" s="1134"/>
      <c r="U2225" s="1134"/>
      <c r="V2225" s="1134"/>
      <c r="W2225" s="1134"/>
      <c r="X2225" s="1134"/>
      <c r="Y2225" s="1134">
        <f>ROUNDUP((((((U2221+M2221)+((((Q2221-M2221)^2)+(I2221^2))^0.5)+((((U2221-Q2221)^2)+(E2221^2))^0.5))*Y2221)+(((A2221*U2221)+(((U2221+Q2221)*E2221)/2)+(((M2221+Q2221)*I2221)/2))*2))*A2225),2)</f>
        <v>28.64</v>
      </c>
      <c r="Z2225" s="1134"/>
      <c r="AA2225" s="1134"/>
      <c r="AB2225" s="1225"/>
    </row>
    <row r="2226" ht="15.75" spans="1:28">
      <c r="A2226" s="1079" t="s">
        <v>517</v>
      </c>
      <c r="B2226" s="1080"/>
      <c r="C2226" s="1080"/>
      <c r="D2226" s="1080"/>
      <c r="E2226" s="1080"/>
      <c r="F2226" s="1080"/>
      <c r="G2226" s="1080"/>
      <c r="H2226" s="1080"/>
      <c r="I2226" s="1080"/>
      <c r="J2226" s="1080"/>
      <c r="K2226" s="1080"/>
      <c r="L2226" s="1080"/>
      <c r="M2226" s="1080"/>
      <c r="N2226" s="1080"/>
      <c r="O2226" s="1080"/>
      <c r="P2226" s="1080"/>
      <c r="Q2226" s="1080"/>
      <c r="R2226" s="1080"/>
      <c r="S2226" s="1080"/>
      <c r="T2226" s="1080"/>
      <c r="U2226" s="1080"/>
      <c r="V2226" s="1080"/>
      <c r="W2226" s="1080"/>
      <c r="X2226" s="1080"/>
      <c r="Y2226" s="1080"/>
      <c r="Z2226" s="1080"/>
      <c r="AA2226" s="1080"/>
      <c r="AB2226" s="1081"/>
    </row>
    <row r="2227" ht="15.75" spans="1:28">
      <c r="A2227" s="1083"/>
      <c r="AB2227" s="1044"/>
    </row>
    <row r="2228" spans="1:28">
      <c r="A2228" s="1083"/>
      <c r="K2228" s="1084" t="s">
        <v>520</v>
      </c>
      <c r="L2228" s="1085"/>
      <c r="M2228" s="1085"/>
      <c r="N2228" s="1085"/>
      <c r="O2228" s="1085"/>
      <c r="P2228" s="1085"/>
      <c r="Q2228" s="1085"/>
      <c r="R2228" s="1086"/>
      <c r="AB2228" s="1044"/>
    </row>
    <row r="2229" spans="1:28">
      <c r="A2229" s="1083"/>
      <c r="K2229" s="1087" t="s">
        <v>521</v>
      </c>
      <c r="L2229" s="1088"/>
      <c r="M2229" s="1088"/>
      <c r="N2229" s="1088"/>
      <c r="O2229" s="1088"/>
      <c r="P2229" s="1088"/>
      <c r="Q2229" s="1088"/>
      <c r="R2229" s="1089"/>
      <c r="AB2229" s="1044"/>
    </row>
    <row r="2230" spans="1:28">
      <c r="A2230" s="1083"/>
      <c r="K2230" s="1090"/>
      <c r="L2230" s="1091"/>
      <c r="M2230" s="1091"/>
      <c r="N2230" s="1091"/>
      <c r="O2230" s="1091"/>
      <c r="P2230" s="1091"/>
      <c r="Q2230" s="1091"/>
      <c r="R2230" s="1092"/>
      <c r="AB2230" s="1044"/>
    </row>
    <row r="2231" ht="15.75" spans="1:28">
      <c r="A2231" s="1083"/>
      <c r="K2231" s="1093">
        <f>ROUNDUP(Y2225,2)</f>
        <v>28.64</v>
      </c>
      <c r="L2231" s="1094"/>
      <c r="M2231" s="1094"/>
      <c r="N2231" s="1094"/>
      <c r="O2231" s="1094"/>
      <c r="P2231" s="1094"/>
      <c r="Q2231" s="1094"/>
      <c r="R2231" s="1095"/>
      <c r="AB2231" s="1044"/>
    </row>
    <row r="2232" ht="15.75" spans="1:28">
      <c r="A2232" s="1096"/>
      <c r="B2232" s="389"/>
      <c r="C2232" s="389"/>
      <c r="D2232" s="389"/>
      <c r="E2232" s="389"/>
      <c r="F2232" s="389"/>
      <c r="G2232" s="389"/>
      <c r="H2232" s="389"/>
      <c r="I2232" s="1097"/>
      <c r="J2232" s="1097"/>
      <c r="K2232" s="1097"/>
      <c r="L2232" s="1097"/>
      <c r="M2232" s="1097"/>
      <c r="N2232" s="1097"/>
      <c r="O2232" s="1097"/>
      <c r="P2232" s="1097"/>
      <c r="Q2232" s="389"/>
      <c r="R2232" s="389"/>
      <c r="S2232" s="389"/>
      <c r="T2232" s="389"/>
      <c r="U2232" s="389"/>
      <c r="V2232" s="389"/>
      <c r="W2232" s="389"/>
      <c r="X2232" s="389"/>
      <c r="Y2232" s="389"/>
      <c r="Z2232" s="389"/>
      <c r="AA2232" s="389"/>
      <c r="AB2232" s="1098"/>
    </row>
    <row r="2233" s="437" customFormat="1" spans="1:28">
      <c r="A2233" s="1040" t="s">
        <v>522</v>
      </c>
      <c r="B2233" s="1114"/>
      <c r="C2233" s="1114"/>
      <c r="D2233" s="1114"/>
      <c r="E2233" s="1114"/>
      <c r="F2233" s="1114"/>
      <c r="G2233" s="1114"/>
      <c r="H2233" s="1114"/>
      <c r="I2233" s="1129"/>
      <c r="J2233" s="1129"/>
      <c r="K2233" s="1129"/>
      <c r="L2233" s="1129"/>
      <c r="M2233" s="1129"/>
      <c r="N2233" s="1129"/>
      <c r="O2233" s="1129"/>
      <c r="P2233" s="1129"/>
      <c r="Q2233" s="1114"/>
      <c r="R2233" s="1114"/>
      <c r="S2233" s="1114"/>
      <c r="T2233" s="1114"/>
      <c r="U2233" s="1114"/>
      <c r="V2233" s="1114"/>
      <c r="W2233" s="1114"/>
      <c r="X2233" s="1114"/>
      <c r="Y2233" s="1114"/>
      <c r="Z2233" s="1114"/>
      <c r="AA2233" s="1114"/>
      <c r="AB2233" s="1115"/>
    </row>
    <row r="2234" spans="1:28">
      <c r="A2234" s="1083"/>
      <c r="I2234" s="1130"/>
      <c r="J2234" s="1130"/>
      <c r="K2234" s="1130"/>
      <c r="L2234" s="1130"/>
      <c r="M2234" s="1130"/>
      <c r="N2234" s="1130"/>
      <c r="O2234" s="1130"/>
      <c r="P2234" s="1130"/>
      <c r="AB2234" s="1044"/>
    </row>
    <row r="2235" spans="1:28">
      <c r="A2235" s="1083"/>
      <c r="I2235" s="1130"/>
      <c r="J2235" s="1130"/>
      <c r="K2235" s="1130"/>
      <c r="L2235" s="1130"/>
      <c r="M2235" s="1130"/>
      <c r="N2235" s="1130"/>
      <c r="O2235" s="1130"/>
      <c r="P2235" s="1130"/>
      <c r="AB2235" s="1044"/>
    </row>
    <row r="2236" spans="1:28">
      <c r="A2236" s="1083"/>
      <c r="I2236" s="1130"/>
      <c r="J2236" s="1130"/>
      <c r="K2236" s="1130"/>
      <c r="L2236" s="1130"/>
      <c r="M2236" s="1130"/>
      <c r="N2236" s="1130"/>
      <c r="O2236" s="1130"/>
      <c r="P2236" s="1130"/>
      <c r="AB2236" s="1044"/>
    </row>
    <row r="2237" spans="1:28">
      <c r="A2237" s="1083"/>
      <c r="I2237" s="1130"/>
      <c r="J2237" s="1130"/>
      <c r="K2237" s="1130"/>
      <c r="L2237" s="1130"/>
      <c r="M2237" s="1130"/>
      <c r="N2237" s="1130"/>
      <c r="O2237" s="1130"/>
      <c r="P2237" s="1130"/>
      <c r="AB2237" s="1044"/>
    </row>
    <row r="2238" spans="1:28">
      <c r="A2238" s="1083"/>
      <c r="I2238" s="1130"/>
      <c r="J2238" s="1130"/>
      <c r="K2238" s="1130"/>
      <c r="L2238" s="1130"/>
      <c r="M2238" s="1130"/>
      <c r="N2238" s="1130"/>
      <c r="O2238" s="1130"/>
      <c r="P2238" s="1130"/>
      <c r="AB2238" s="1044"/>
    </row>
    <row r="2239" spans="1:28">
      <c r="A2239" s="1083"/>
      <c r="I2239" s="1130"/>
      <c r="J2239" s="1130"/>
      <c r="K2239" s="1130"/>
      <c r="L2239" s="1130"/>
      <c r="M2239" s="1130"/>
      <c r="N2239" s="1130"/>
      <c r="O2239" s="1130"/>
      <c r="P2239" s="1130"/>
      <c r="AB2239" s="1044"/>
    </row>
    <row r="2240" spans="1:28">
      <c r="A2240" s="1083"/>
      <c r="I2240" s="1130"/>
      <c r="J2240" s="1130"/>
      <c r="K2240" s="1130"/>
      <c r="L2240" s="1130"/>
      <c r="M2240" s="1130"/>
      <c r="N2240" s="1130"/>
      <c r="O2240" s="1130"/>
      <c r="P2240" s="1130"/>
      <c r="AB2240" s="1044"/>
    </row>
    <row r="2241" spans="1:31">
      <c r="A2241" s="1083"/>
      <c r="I2241" s="1130"/>
      <c r="J2241" s="1130"/>
      <c r="K2241" s="1130"/>
      <c r="L2241" s="1130"/>
      <c r="M2241" s="1130"/>
      <c r="N2241" s="1130"/>
      <c r="O2241" s="1130"/>
      <c r="P2241" s="1130"/>
      <c r="AB2241" s="1044"/>
    </row>
    <row r="2242" spans="1:31">
      <c r="A2242" s="1083"/>
      <c r="I2242" s="1130"/>
      <c r="J2242" s="1130"/>
      <c r="K2242" s="1130"/>
      <c r="L2242" s="1130"/>
      <c r="M2242" s="1130"/>
      <c r="N2242" s="1130"/>
      <c r="O2242" s="1130"/>
      <c r="P2242" s="1130"/>
      <c r="AB2242" s="1044"/>
    </row>
    <row r="2243" spans="1:31">
      <c r="A2243" s="1083"/>
      <c r="I2243" s="1130"/>
      <c r="J2243" s="1130"/>
      <c r="K2243" s="1130"/>
      <c r="L2243" s="1130"/>
      <c r="M2243" s="1130"/>
      <c r="N2243" s="1130"/>
      <c r="O2243" s="1130"/>
      <c r="P2243" s="1130"/>
      <c r="AB2243" s="1044"/>
    </row>
    <row r="2244" spans="1:31">
      <c r="A2244" s="1083"/>
      <c r="I2244" s="1130"/>
      <c r="J2244" s="1130"/>
      <c r="K2244" s="1130"/>
      <c r="L2244" s="1130"/>
      <c r="M2244" s="1130"/>
      <c r="N2244" s="1130"/>
      <c r="O2244" s="1130"/>
      <c r="P2244" s="1130"/>
      <c r="AB2244" s="1044"/>
    </row>
    <row r="2245" spans="1:31">
      <c r="A2245" s="1083"/>
      <c r="I2245" s="1130"/>
      <c r="J2245" s="1130"/>
      <c r="K2245" s="1130"/>
      <c r="L2245" s="1130"/>
      <c r="M2245" s="1130"/>
      <c r="N2245" s="1130"/>
      <c r="O2245" s="1130"/>
      <c r="P2245" s="1130"/>
      <c r="AB2245" s="1044"/>
    </row>
    <row r="2246" spans="1:31">
      <c r="A2246" s="1083"/>
      <c r="I2246" s="1130"/>
      <c r="J2246" s="1130"/>
      <c r="K2246" s="1130"/>
      <c r="L2246" s="1130"/>
      <c r="M2246" s="1130"/>
      <c r="N2246" s="1130"/>
      <c r="O2246" s="1130"/>
      <c r="P2246" s="1130"/>
      <c r="AB2246" s="1044"/>
    </row>
    <row r="2247" spans="1:31">
      <c r="A2247" s="1083"/>
      <c r="I2247" s="1130"/>
      <c r="J2247" s="1130"/>
      <c r="K2247" s="1130"/>
      <c r="L2247" s="1130"/>
      <c r="M2247" s="1130"/>
      <c r="N2247" s="1130"/>
      <c r="O2247" s="1130"/>
      <c r="P2247" s="1130"/>
      <c r="AB2247" s="1044"/>
    </row>
    <row r="2248" spans="1:31">
      <c r="A2248" s="1083"/>
      <c r="I2248" s="1130"/>
      <c r="J2248" s="1130"/>
      <c r="K2248" s="1130"/>
      <c r="L2248" s="1130"/>
      <c r="M2248" s="1130"/>
      <c r="N2248" s="1130"/>
      <c r="O2248" s="1130"/>
      <c r="P2248" s="1130"/>
      <c r="AB2248" s="1044"/>
    </row>
    <row r="2249" spans="1:31">
      <c r="A2249" s="1083"/>
      <c r="I2249" s="1130"/>
      <c r="J2249" s="1130"/>
      <c r="K2249" s="1130"/>
      <c r="L2249" s="1130"/>
      <c r="M2249" s="1130"/>
      <c r="N2249" s="1130"/>
      <c r="O2249" s="1130"/>
      <c r="P2249" s="1130"/>
      <c r="AB2249" s="1044"/>
    </row>
    <row r="2250" spans="1:31">
      <c r="A2250" s="1083"/>
      <c r="I2250" s="1130"/>
      <c r="J2250" s="1130"/>
      <c r="K2250" s="1130"/>
      <c r="L2250" s="1130"/>
      <c r="M2250" s="1130"/>
      <c r="N2250" s="1130"/>
      <c r="O2250" s="1130"/>
      <c r="P2250" s="1130"/>
      <c r="AB2250" s="1044"/>
    </row>
    <row r="2251" spans="1:31">
      <c r="A2251" s="1045" t="s">
        <v>523</v>
      </c>
      <c r="B2251" s="1046"/>
      <c r="C2251" s="1046"/>
      <c r="D2251" s="1046"/>
      <c r="E2251" s="1046"/>
      <c r="F2251" s="1046"/>
      <c r="G2251" s="1046"/>
      <c r="H2251" s="1046"/>
      <c r="I2251" s="1046"/>
      <c r="J2251" s="1046"/>
      <c r="K2251" s="1046"/>
      <c r="L2251" s="1046"/>
      <c r="M2251" s="1046"/>
      <c r="N2251" s="1046"/>
      <c r="O2251" s="1046"/>
      <c r="P2251" s="1046"/>
      <c r="Q2251" s="1046"/>
      <c r="R2251" s="1046"/>
      <c r="S2251" s="1046"/>
      <c r="T2251" s="1046"/>
      <c r="U2251" s="1046"/>
      <c r="V2251" s="1046"/>
      <c r="W2251" s="1046"/>
      <c r="X2251" s="1046"/>
      <c r="Y2251" s="1046"/>
      <c r="Z2251" s="1046"/>
      <c r="AA2251" s="1046"/>
      <c r="AB2251" s="1047"/>
    </row>
    <row r="2252" ht="14.4" customHeight="1" spans="1:31">
      <c r="A2252" s="1048" t="s">
        <v>269</v>
      </c>
      <c r="B2252" s="1049"/>
      <c r="C2252" s="1049"/>
      <c r="D2252" s="1050"/>
      <c r="E2252" s="1051" t="s">
        <v>270</v>
      </c>
      <c r="F2252" s="1049"/>
      <c r="G2252" s="1049"/>
      <c r="H2252" s="1050"/>
      <c r="I2252" s="1104" t="s">
        <v>271</v>
      </c>
      <c r="J2252" s="1102"/>
      <c r="K2252" s="1102"/>
      <c r="L2252" s="1103"/>
      <c r="M2252" s="1104" t="s">
        <v>272</v>
      </c>
      <c r="N2252" s="1102"/>
      <c r="O2252" s="1102"/>
      <c r="P2252" s="1103"/>
      <c r="Q2252" s="1104" t="s">
        <v>273</v>
      </c>
      <c r="R2252" s="1102"/>
      <c r="S2252" s="1102"/>
      <c r="T2252" s="1103"/>
      <c r="U2252" s="1104" t="s">
        <v>274</v>
      </c>
      <c r="V2252" s="1102"/>
      <c r="W2252" s="1102"/>
      <c r="X2252" s="1103"/>
      <c r="Y2252" s="1104" t="s">
        <v>274</v>
      </c>
      <c r="Z2252" s="1102"/>
      <c r="AA2252" s="1102"/>
      <c r="AB2252" s="1106"/>
    </row>
    <row r="2253" spans="1:31">
      <c r="A2253" s="1058"/>
      <c r="B2253" s="1059"/>
      <c r="C2253" s="1059"/>
      <c r="D2253" s="1060"/>
      <c r="E2253" s="1061"/>
      <c r="F2253" s="1059"/>
      <c r="G2253" s="1059"/>
      <c r="H2253" s="1060"/>
      <c r="I2253" s="1061" t="s">
        <v>275</v>
      </c>
      <c r="J2253" s="1059"/>
      <c r="K2253" s="1059"/>
      <c r="L2253" s="1060"/>
      <c r="M2253" s="1061" t="s">
        <v>276</v>
      </c>
      <c r="N2253" s="1059"/>
      <c r="O2253" s="1059"/>
      <c r="P2253" s="1060"/>
      <c r="Q2253" s="1061" t="s">
        <v>277</v>
      </c>
      <c r="R2253" s="1059"/>
      <c r="S2253" s="1059"/>
      <c r="T2253" s="1060"/>
      <c r="U2253" s="1061" t="s">
        <v>277</v>
      </c>
      <c r="V2253" s="1059"/>
      <c r="W2253" s="1059"/>
      <c r="X2253" s="1060"/>
      <c r="Y2253" s="1061" t="s">
        <v>278</v>
      </c>
      <c r="Z2253" s="1059"/>
      <c r="AA2253" s="1059"/>
      <c r="AB2253" s="1108"/>
    </row>
    <row r="2254" spans="1:31">
      <c r="A2254" s="1122" t="s">
        <v>279</v>
      </c>
      <c r="B2254" s="1073"/>
      <c r="C2254" s="1073"/>
      <c r="D2254" s="1073"/>
      <c r="E2254" s="1069">
        <v>9</v>
      </c>
      <c r="F2254" s="1069"/>
      <c r="G2254" s="1069"/>
      <c r="H2254" s="1069"/>
      <c r="I2254" s="1160">
        <v>6.3</v>
      </c>
      <c r="J2254" s="1160"/>
      <c r="K2254" s="1160"/>
      <c r="L2254" s="1160"/>
      <c r="M2254" s="1160">
        <v>120</v>
      </c>
      <c r="N2254" s="1160"/>
      <c r="O2254" s="1160"/>
      <c r="P2254" s="1160"/>
      <c r="Q2254" s="1160">
        <v>239</v>
      </c>
      <c r="R2254" s="1160"/>
      <c r="S2254" s="1160"/>
      <c r="T2254" s="1160"/>
      <c r="U2254" s="1161">
        <f t="shared" ref="U2254:U2255" si="17">M2254*Q2254</f>
        <v>28680</v>
      </c>
      <c r="V2254" s="1161"/>
      <c r="W2254" s="1161"/>
      <c r="X2254" s="1161"/>
      <c r="Y2254" s="1162">
        <f>U2254/100</f>
        <v>286.8</v>
      </c>
      <c r="Z2254" s="1162"/>
      <c r="AA2254" s="1162"/>
      <c r="AB2254" s="1163"/>
      <c r="AE2254" s="1164"/>
    </row>
    <row r="2255" ht="15.75" spans="1:31">
      <c r="A2255" s="1133" t="s">
        <v>279</v>
      </c>
      <c r="B2255" s="1134"/>
      <c r="C2255" s="1134"/>
      <c r="D2255" s="1134"/>
      <c r="E2255" s="1137">
        <v>10</v>
      </c>
      <c r="F2255" s="1137"/>
      <c r="G2255" s="1137"/>
      <c r="H2255" s="1137"/>
      <c r="I2255" s="1138">
        <v>8</v>
      </c>
      <c r="J2255" s="1138"/>
      <c r="K2255" s="1138"/>
      <c r="L2255" s="1138"/>
      <c r="M2255" s="1138">
        <v>204</v>
      </c>
      <c r="N2255" s="1138"/>
      <c r="O2255" s="1138"/>
      <c r="P2255" s="1138"/>
      <c r="Q2255" s="1138">
        <v>187</v>
      </c>
      <c r="R2255" s="1138"/>
      <c r="S2255" s="1138"/>
      <c r="T2255" s="1138"/>
      <c r="U2255" s="1142">
        <f t="shared" si="17"/>
        <v>38148</v>
      </c>
      <c r="V2255" s="1142"/>
      <c r="W2255" s="1142"/>
      <c r="X2255" s="1142"/>
      <c r="Y2255" s="1169">
        <f>U2255/100</f>
        <v>381.48</v>
      </c>
      <c r="Z2255" s="1169"/>
      <c r="AA2255" s="1169"/>
      <c r="AB2255" s="1170"/>
      <c r="AE2255" s="1164"/>
    </row>
    <row r="2256" ht="15.75" spans="1:31">
      <c r="A2256" s="1083"/>
      <c r="AB2256" s="1044"/>
    </row>
    <row r="2257" spans="1:28">
      <c r="A2257" s="1083"/>
      <c r="K2257" s="1084" t="s">
        <v>524</v>
      </c>
      <c r="L2257" s="1085"/>
      <c r="M2257" s="1085"/>
      <c r="N2257" s="1085"/>
      <c r="O2257" s="1085"/>
      <c r="P2257" s="1085"/>
      <c r="Q2257" s="1085"/>
      <c r="R2257" s="1086"/>
      <c r="AB2257" s="1044"/>
    </row>
    <row r="2258" spans="1:28">
      <c r="A2258" s="1083"/>
      <c r="K2258" s="1087" t="s">
        <v>281</v>
      </c>
      <c r="L2258" s="1088"/>
      <c r="M2258" s="1088"/>
      <c r="N2258" s="1088"/>
      <c r="O2258" s="1088"/>
      <c r="P2258" s="1088"/>
      <c r="Q2258" s="1088"/>
      <c r="R2258" s="1089"/>
      <c r="AB2258" s="1044"/>
    </row>
    <row r="2259" spans="1:28">
      <c r="A2259" s="1083"/>
      <c r="K2259" s="1090"/>
      <c r="L2259" s="1091"/>
      <c r="M2259" s="1091"/>
      <c r="N2259" s="1091"/>
      <c r="O2259" s="1091"/>
      <c r="P2259" s="1091"/>
      <c r="Q2259" s="1091"/>
      <c r="R2259" s="1092"/>
      <c r="AB2259" s="1044"/>
    </row>
    <row r="2260" ht="15.75" spans="1:28">
      <c r="A2260" s="1083"/>
      <c r="K2260" s="1171">
        <f>ROUNDUP(ROUNDUP((((Y2254)*((PI()*((I2254^2)/4))*7860))+((Y2255)*((PI()*((I2255^2)/4))*7860)))/1000000,2)/0.05,0)*0.05</f>
        <v>221</v>
      </c>
      <c r="L2260" s="1172"/>
      <c r="M2260" s="1172"/>
      <c r="N2260" s="1172"/>
      <c r="O2260" s="1172"/>
      <c r="P2260" s="1172"/>
      <c r="Q2260" s="1172"/>
      <c r="R2260" s="1173"/>
      <c r="AB2260" s="1044"/>
    </row>
    <row r="2261" ht="15.75" spans="1:28">
      <c r="A2261" s="1096"/>
      <c r="B2261" s="389"/>
      <c r="C2261" s="389"/>
      <c r="D2261" s="389"/>
      <c r="E2261" s="389"/>
      <c r="F2261" s="389"/>
      <c r="G2261" s="389"/>
      <c r="H2261" s="389"/>
      <c r="I2261" s="1097"/>
      <c r="J2261" s="1097"/>
      <c r="K2261" s="1097"/>
      <c r="L2261" s="1097"/>
      <c r="M2261" s="1097"/>
      <c r="N2261" s="1097"/>
      <c r="O2261" s="1097"/>
      <c r="P2261" s="1097"/>
      <c r="Q2261" s="389"/>
      <c r="R2261" s="389"/>
      <c r="S2261" s="389"/>
      <c r="T2261" s="389"/>
      <c r="U2261" s="389"/>
      <c r="V2261" s="389"/>
      <c r="W2261" s="389"/>
      <c r="X2261" s="389"/>
      <c r="Y2261" s="389"/>
      <c r="Z2261" s="389"/>
      <c r="AA2261" s="389"/>
      <c r="AB2261" s="1098"/>
    </row>
    <row r="2262" spans="1:28">
      <c r="A2262" s="1233" t="s">
        <v>525</v>
      </c>
      <c r="B2262" s="1234"/>
      <c r="C2262" s="1234"/>
      <c r="D2262" s="1234"/>
      <c r="E2262" s="1234"/>
      <c r="F2262" s="1234"/>
      <c r="G2262" s="1234"/>
      <c r="H2262" s="1234"/>
      <c r="I2262" s="1234"/>
      <c r="J2262" s="1234"/>
      <c r="K2262" s="1234"/>
      <c r="L2262" s="1234"/>
      <c r="M2262" s="1234"/>
      <c r="N2262" s="1234"/>
      <c r="O2262" s="1234"/>
      <c r="P2262" s="1234"/>
      <c r="Q2262" s="1234"/>
      <c r="R2262" s="1234"/>
      <c r="S2262" s="1234"/>
      <c r="T2262" s="1234"/>
      <c r="U2262" s="1234"/>
      <c r="V2262" s="1234"/>
      <c r="W2262" s="1234"/>
      <c r="X2262" s="1234"/>
      <c r="Y2262" s="1234"/>
      <c r="Z2262" s="1234"/>
      <c r="AA2262" s="1234"/>
      <c r="AB2262" s="1235"/>
    </row>
    <row r="2263" spans="1:28">
      <c r="A2263" s="1236"/>
      <c r="B2263" s="1237"/>
      <c r="C2263" s="1237"/>
      <c r="D2263" s="1237"/>
      <c r="E2263" s="1237"/>
      <c r="F2263" s="1237"/>
      <c r="G2263" s="1237"/>
      <c r="H2263" s="1237"/>
      <c r="I2263" s="1237"/>
      <c r="J2263" s="1237"/>
      <c r="K2263" s="1237"/>
      <c r="L2263" s="1237"/>
      <c r="M2263" s="1237"/>
      <c r="N2263" s="1237"/>
      <c r="O2263" s="1237"/>
      <c r="P2263" s="1237"/>
      <c r="Q2263" s="1237"/>
      <c r="R2263" s="1237"/>
      <c r="S2263" s="1237"/>
      <c r="T2263" s="1237"/>
      <c r="U2263" s="1237"/>
      <c r="V2263" s="1237"/>
      <c r="W2263" s="1237"/>
      <c r="X2263" s="1237"/>
      <c r="Y2263" s="1237"/>
      <c r="Z2263" s="1237"/>
      <c r="AA2263" s="1237"/>
      <c r="AB2263" s="1238"/>
    </row>
    <row r="2264" spans="1:28">
      <c r="A2264" s="1083"/>
      <c r="AB2264" s="1044"/>
    </row>
    <row r="2265" spans="1:28">
      <c r="A2265" s="1083"/>
      <c r="AB2265" s="1044"/>
    </row>
    <row r="2266" spans="1:28">
      <c r="A2266" s="1083"/>
      <c r="AB2266" s="1044"/>
    </row>
    <row r="2267" spans="1:28">
      <c r="A2267" s="1083"/>
      <c r="AB2267" s="1044"/>
    </row>
    <row r="2268" spans="1:28">
      <c r="A2268" s="1083"/>
      <c r="AB2268" s="1044"/>
    </row>
    <row r="2269" spans="1:28">
      <c r="A2269" s="1083"/>
      <c r="AB2269" s="1044"/>
    </row>
    <row r="2270" spans="1:28">
      <c r="A2270" s="1083"/>
      <c r="AB2270" s="1044"/>
    </row>
    <row r="2271" spans="1:28">
      <c r="A2271" s="1083"/>
      <c r="AB2271" s="1044"/>
    </row>
    <row r="2272" spans="1:28">
      <c r="A2272" s="1083"/>
      <c r="AB2272" s="1044"/>
    </row>
    <row r="2273" spans="1:28">
      <c r="A2273" s="1083"/>
      <c r="AB2273" s="1044"/>
    </row>
    <row r="2274" spans="1:28">
      <c r="A2274" s="1083"/>
      <c r="AB2274" s="1044"/>
    </row>
    <row r="2275" spans="1:28">
      <c r="A2275" s="1083"/>
      <c r="AB2275" s="1044"/>
    </row>
    <row r="2276" ht="14.4" customHeight="1" spans="1:28">
      <c r="A2276" s="1048" t="s">
        <v>205</v>
      </c>
      <c r="B2276" s="1049"/>
      <c r="C2276" s="1049"/>
      <c r="D2276" s="1050"/>
      <c r="E2276" s="1051" t="s">
        <v>206</v>
      </c>
      <c r="F2276" s="1049"/>
      <c r="G2276" s="1049"/>
      <c r="H2276" s="1050"/>
      <c r="I2276" s="1051" t="s">
        <v>235</v>
      </c>
      <c r="J2276" s="1049"/>
      <c r="K2276" s="1049"/>
      <c r="L2276" s="1050"/>
      <c r="M2276" s="1051" t="s">
        <v>236</v>
      </c>
      <c r="N2276" s="1049"/>
      <c r="O2276" s="1049"/>
      <c r="P2276" s="1050"/>
      <c r="Q2276" s="1051" t="s">
        <v>237</v>
      </c>
      <c r="R2276" s="1049"/>
      <c r="S2276" s="1049"/>
      <c r="T2276" s="1050"/>
      <c r="U2276" s="1051" t="s">
        <v>238</v>
      </c>
      <c r="V2276" s="1049"/>
      <c r="W2276" s="1049"/>
      <c r="X2276" s="1050"/>
      <c r="Y2276" s="1051" t="s">
        <v>247</v>
      </c>
      <c r="Z2276" s="1049"/>
      <c r="AA2276" s="1049"/>
      <c r="AB2276" s="1222"/>
    </row>
    <row r="2277" ht="14.4" customHeight="1" spans="1:28">
      <c r="A2277" s="1058" t="s">
        <v>498</v>
      </c>
      <c r="B2277" s="1059"/>
      <c r="C2277" s="1059"/>
      <c r="D2277" s="1060"/>
      <c r="E2277" s="1061" t="s">
        <v>499</v>
      </c>
      <c r="F2277" s="1059"/>
      <c r="G2277" s="1059"/>
      <c r="H2277" s="1060"/>
      <c r="I2277" s="1061" t="s">
        <v>515</v>
      </c>
      <c r="J2277" s="1059"/>
      <c r="K2277" s="1059"/>
      <c r="L2277" s="1060"/>
      <c r="M2277" s="1061" t="s">
        <v>500</v>
      </c>
      <c r="N2277" s="1059"/>
      <c r="O2277" s="1059"/>
      <c r="P2277" s="1060"/>
      <c r="Q2277" s="1061" t="s">
        <v>418</v>
      </c>
      <c r="R2277" s="1059"/>
      <c r="S2277" s="1059"/>
      <c r="T2277" s="1060"/>
      <c r="U2277" s="1061" t="s">
        <v>417</v>
      </c>
      <c r="V2277" s="1059"/>
      <c r="W2277" s="1059"/>
      <c r="X2277" s="1060"/>
      <c r="Y2277" s="1061" t="s">
        <v>209</v>
      </c>
      <c r="Z2277" s="1059"/>
      <c r="AA2277" s="1059"/>
      <c r="AB2277" s="1108"/>
    </row>
    <row r="2278" spans="1:28">
      <c r="A2278" s="1239">
        <v>0.175</v>
      </c>
      <c r="B2278" s="1123"/>
      <c r="C2278" s="1123"/>
      <c r="D2278" s="1123"/>
      <c r="E2278" s="1123">
        <v>0.05</v>
      </c>
      <c r="F2278" s="1123"/>
      <c r="G2278" s="1123"/>
      <c r="H2278" s="1123"/>
      <c r="I2278" s="1123">
        <v>0.175</v>
      </c>
      <c r="J2278" s="1123"/>
      <c r="K2278" s="1123"/>
      <c r="L2278" s="1123"/>
      <c r="M2278" s="1123">
        <v>0.05</v>
      </c>
      <c r="N2278" s="1123"/>
      <c r="O2278" s="1123"/>
      <c r="P2278" s="1123"/>
      <c r="Q2278" s="1123">
        <v>0.2</v>
      </c>
      <c r="R2278" s="1123"/>
      <c r="S2278" s="1123"/>
      <c r="T2278" s="1123"/>
      <c r="U2278" s="1123">
        <v>0.4</v>
      </c>
      <c r="V2278" s="1123"/>
      <c r="W2278" s="1123"/>
      <c r="X2278" s="1123"/>
      <c r="Y2278" s="1123">
        <v>2.45</v>
      </c>
      <c r="Z2278" s="1123"/>
      <c r="AA2278" s="1123"/>
      <c r="AB2278" s="1124"/>
    </row>
    <row r="2279" spans="1:28">
      <c r="A2279" s="1154"/>
      <c r="B2279" s="1130"/>
      <c r="C2279" s="1130"/>
      <c r="D2279" s="1130"/>
      <c r="E2279" s="1130"/>
      <c r="F2279" s="1130"/>
      <c r="G2279" s="1130"/>
      <c r="H2279" s="1130"/>
      <c r="I2279" s="1130"/>
      <c r="J2279" s="1130"/>
      <c r="K2279" s="1130"/>
      <c r="L2279" s="1130"/>
      <c r="M2279" s="1130"/>
      <c r="N2279" s="1130"/>
      <c r="O2279" s="1130"/>
      <c r="P2279" s="1130"/>
      <c r="Q2279" s="1130"/>
      <c r="R2279" s="1130"/>
      <c r="S2279" s="1130"/>
      <c r="T2279" s="1130"/>
      <c r="U2279" s="1130"/>
      <c r="V2279" s="1130"/>
      <c r="W2279" s="1130"/>
      <c r="X2279" s="1130"/>
      <c r="AB2279" s="1044"/>
    </row>
    <row r="2280" ht="14.4" customHeight="1" spans="1:28">
      <c r="A2280" s="1240" t="s">
        <v>516</v>
      </c>
      <c r="B2280" s="1241"/>
      <c r="C2280" s="1241"/>
      <c r="D2280" s="1242"/>
      <c r="E2280" s="1051"/>
      <c r="F2280" s="1049"/>
      <c r="G2280" s="1049"/>
      <c r="H2280" s="1050"/>
      <c r="I2280" s="1051"/>
      <c r="J2280" s="1049"/>
      <c r="K2280" s="1049"/>
      <c r="L2280" s="1050"/>
      <c r="M2280" s="1051"/>
      <c r="N2280" s="1049"/>
      <c r="O2280" s="1049"/>
      <c r="P2280" s="1050"/>
      <c r="Q2280" s="1051"/>
      <c r="R2280" s="1049"/>
      <c r="S2280" s="1049"/>
      <c r="T2280" s="1050"/>
      <c r="U2280" s="1051"/>
      <c r="V2280" s="1049"/>
      <c r="W2280" s="1049"/>
      <c r="X2280" s="1050"/>
      <c r="Y2280" s="1180" t="s">
        <v>382</v>
      </c>
      <c r="Z2280" s="1181"/>
      <c r="AA2280" s="1181"/>
      <c r="AB2280" s="1212"/>
    </row>
    <row r="2281" spans="1:28">
      <c r="A2281" s="1243"/>
      <c r="B2281" s="1244"/>
      <c r="C2281" s="1244"/>
      <c r="D2281" s="1245"/>
      <c r="E2281" s="1061"/>
      <c r="F2281" s="1059"/>
      <c r="G2281" s="1059"/>
      <c r="H2281" s="1060"/>
      <c r="I2281" s="1061"/>
      <c r="J2281" s="1059"/>
      <c r="K2281" s="1059"/>
      <c r="L2281" s="1060"/>
      <c r="M2281" s="1061"/>
      <c r="N2281" s="1059"/>
      <c r="O2281" s="1059"/>
      <c r="P2281" s="1060"/>
      <c r="Q2281" s="1061"/>
      <c r="R2281" s="1059"/>
      <c r="S2281" s="1059"/>
      <c r="T2281" s="1060"/>
      <c r="U2281" s="1061"/>
      <c r="V2281" s="1059"/>
      <c r="W2281" s="1059"/>
      <c r="X2281" s="1060"/>
      <c r="Y2281" s="1065"/>
      <c r="Z2281" s="1066"/>
      <c r="AA2281" s="1066"/>
      <c r="AB2281" s="1067"/>
    </row>
    <row r="2282" ht="15.75" spans="1:28">
      <c r="A2282" s="1246">
        <v>12</v>
      </c>
      <c r="B2282" s="1217"/>
      <c r="C2282" s="1217"/>
      <c r="D2282" s="1218"/>
      <c r="E2282" s="1134"/>
      <c r="F2282" s="1134"/>
      <c r="G2282" s="1134"/>
      <c r="H2282" s="1134"/>
      <c r="I2282" s="1134"/>
      <c r="J2282" s="1134"/>
      <c r="K2282" s="1134"/>
      <c r="L2282" s="1134"/>
      <c r="M2282" s="1134"/>
      <c r="N2282" s="1134"/>
      <c r="O2282" s="1134"/>
      <c r="P2282" s="1134"/>
      <c r="Q2282" s="1134"/>
      <c r="R2282" s="1134"/>
      <c r="S2282" s="1134"/>
      <c r="T2282" s="1134"/>
      <c r="U2282" s="1134"/>
      <c r="V2282" s="1134"/>
      <c r="W2282" s="1134"/>
      <c r="X2282" s="1134"/>
      <c r="Y2282" s="1134">
        <f>ROUNDUP((((A2278*U2278)+((U2278+Q2278)*E2278/2)+((Q2278+M2278)*I2278/2))*Y2278*A2282),2)</f>
        <v>3.15</v>
      </c>
      <c r="Z2282" s="1134"/>
      <c r="AA2282" s="1134"/>
      <c r="AB2282" s="1225"/>
    </row>
    <row r="2283" ht="15.75" spans="1:28">
      <c r="A2283" s="1079" t="s">
        <v>517</v>
      </c>
      <c r="B2283" s="1080"/>
      <c r="C2283" s="1080"/>
      <c r="D2283" s="1080"/>
      <c r="E2283" s="1080"/>
      <c r="F2283" s="1080"/>
      <c r="G2283" s="1080"/>
      <c r="H2283" s="1080"/>
      <c r="I2283" s="1080"/>
      <c r="J2283" s="1080"/>
      <c r="K2283" s="1080"/>
      <c r="L2283" s="1080"/>
      <c r="M2283" s="1080"/>
      <c r="N2283" s="1080"/>
      <c r="O2283" s="1080"/>
      <c r="P2283" s="1080"/>
      <c r="Q2283" s="1080"/>
      <c r="R2283" s="1080"/>
      <c r="S2283" s="1080"/>
      <c r="T2283" s="1080"/>
      <c r="U2283" s="1080"/>
      <c r="V2283" s="1080"/>
      <c r="W2283" s="1080"/>
      <c r="X2283" s="1080"/>
      <c r="Y2283" s="1080"/>
      <c r="Z2283" s="1080"/>
      <c r="AA2283" s="1080"/>
      <c r="AB2283" s="1081"/>
    </row>
    <row r="2284" ht="15.75" spans="1:28">
      <c r="A2284" s="1083"/>
      <c r="AB2284" s="1044"/>
    </row>
    <row r="2285" spans="1:28">
      <c r="A2285" s="1083"/>
      <c r="K2285" s="1084" t="s">
        <v>526</v>
      </c>
      <c r="L2285" s="1085"/>
      <c r="M2285" s="1085"/>
      <c r="N2285" s="1085"/>
      <c r="O2285" s="1085"/>
      <c r="P2285" s="1085"/>
      <c r="Q2285" s="1085"/>
      <c r="R2285" s="1086"/>
      <c r="AB2285" s="1044"/>
    </row>
    <row r="2286" spans="1:28">
      <c r="A2286" s="1083"/>
      <c r="K2286" s="1087" t="s">
        <v>384</v>
      </c>
      <c r="L2286" s="1088"/>
      <c r="M2286" s="1088"/>
      <c r="N2286" s="1088"/>
      <c r="O2286" s="1088"/>
      <c r="P2286" s="1088"/>
      <c r="Q2286" s="1088"/>
      <c r="R2286" s="1089"/>
      <c r="AB2286" s="1044"/>
    </row>
    <row r="2287" spans="1:28">
      <c r="A2287" s="1083"/>
      <c r="K2287" s="1090"/>
      <c r="L2287" s="1091"/>
      <c r="M2287" s="1091"/>
      <c r="N2287" s="1091"/>
      <c r="O2287" s="1091"/>
      <c r="P2287" s="1091"/>
      <c r="Q2287" s="1091"/>
      <c r="R2287" s="1092"/>
      <c r="AB2287" s="1044"/>
    </row>
    <row r="2288" ht="15.75" spans="1:28">
      <c r="A2288" s="1083"/>
      <c r="K2288" s="1093">
        <f>ROUNDUP(Y2282,2)</f>
        <v>3.15</v>
      </c>
      <c r="L2288" s="1094"/>
      <c r="M2288" s="1094"/>
      <c r="N2288" s="1094"/>
      <c r="O2288" s="1094"/>
      <c r="P2288" s="1094"/>
      <c r="Q2288" s="1094"/>
      <c r="R2288" s="1095"/>
      <c r="AB2288" s="1044"/>
    </row>
    <row r="2289" ht="15.75" spans="1:28">
      <c r="A2289" s="1096"/>
      <c r="B2289" s="389"/>
      <c r="C2289" s="389"/>
      <c r="D2289" s="389"/>
      <c r="E2289" s="389"/>
      <c r="F2289" s="389"/>
      <c r="G2289" s="389"/>
      <c r="H2289" s="389"/>
      <c r="I2289" s="1097"/>
      <c r="J2289" s="1097"/>
      <c r="K2289" s="1097"/>
      <c r="L2289" s="1097"/>
      <c r="M2289" s="1097"/>
      <c r="N2289" s="1097"/>
      <c r="O2289" s="1097"/>
      <c r="P2289" s="1097"/>
      <c r="Q2289" s="389"/>
      <c r="R2289" s="389"/>
      <c r="S2289" s="389"/>
      <c r="T2289" s="389"/>
      <c r="U2289" s="389"/>
      <c r="V2289" s="389"/>
      <c r="W2289" s="389"/>
      <c r="X2289" s="389"/>
      <c r="Y2289" s="389"/>
      <c r="Z2289" s="389"/>
      <c r="AA2289" s="389"/>
      <c r="AB2289" s="1098"/>
    </row>
    <row r="2290" s="437" customFormat="1" spans="1:28">
      <c r="A2290" s="1040" t="s">
        <v>527</v>
      </c>
      <c r="B2290" s="1114"/>
      <c r="C2290" s="1114"/>
      <c r="D2290" s="1114"/>
      <c r="E2290" s="1114"/>
      <c r="F2290" s="1114"/>
      <c r="G2290" s="1114"/>
      <c r="H2290" s="1129"/>
      <c r="I2290" s="1129"/>
      <c r="J2290" s="1129"/>
      <c r="K2290" s="1129"/>
      <c r="L2290" s="1129"/>
      <c r="M2290" s="1129"/>
      <c r="N2290" s="1129"/>
      <c r="O2290" s="1129"/>
      <c r="P2290" s="1129"/>
      <c r="Q2290" s="1129"/>
      <c r="R2290" s="1114"/>
      <c r="S2290" s="1114"/>
      <c r="T2290" s="1114"/>
      <c r="U2290" s="1114"/>
      <c r="V2290" s="1114"/>
      <c r="W2290" s="1114"/>
      <c r="X2290" s="1114"/>
      <c r="Y2290" s="1114"/>
      <c r="Z2290" s="1114"/>
      <c r="AA2290" s="1114"/>
      <c r="AB2290" s="1115"/>
    </row>
    <row r="2291" spans="1:28">
      <c r="A2291" s="1083"/>
      <c r="H2291" s="1130"/>
      <c r="I2291" s="1130"/>
      <c r="J2291" s="1130"/>
      <c r="K2291" s="1130"/>
      <c r="L2291" s="1130"/>
      <c r="M2291" s="1130"/>
      <c r="N2291" s="1130"/>
      <c r="O2291" s="1130"/>
      <c r="P2291" s="1130"/>
      <c r="Q2291" s="1130"/>
      <c r="AB2291" s="1044"/>
    </row>
    <row r="2292" spans="1:28">
      <c r="A2292" s="1083"/>
      <c r="H2292" s="1130"/>
      <c r="I2292" s="1130"/>
      <c r="J2292" s="1130"/>
      <c r="K2292" s="1130"/>
      <c r="L2292" s="1130"/>
      <c r="M2292" s="1130"/>
      <c r="N2292" s="1130"/>
      <c r="O2292" s="1130"/>
      <c r="P2292" s="1130"/>
      <c r="Q2292" s="1130"/>
      <c r="AB2292" s="1044"/>
    </row>
    <row r="2293" spans="1:28">
      <c r="A2293" s="1083"/>
      <c r="H2293" s="1130"/>
      <c r="I2293" s="1130"/>
      <c r="J2293" s="1130"/>
      <c r="K2293" s="1130"/>
      <c r="L2293" s="1130"/>
      <c r="M2293" s="1130"/>
      <c r="N2293" s="1130"/>
      <c r="O2293" s="1130"/>
      <c r="P2293" s="1130"/>
      <c r="Q2293" s="1130"/>
      <c r="AB2293" s="1044"/>
    </row>
    <row r="2294" spans="1:28">
      <c r="A2294" s="1083"/>
      <c r="H2294" s="1130"/>
      <c r="I2294" s="1130"/>
      <c r="J2294" s="1130"/>
      <c r="K2294" s="1130"/>
      <c r="L2294" s="1130"/>
      <c r="M2294" s="1130"/>
      <c r="N2294" s="1130"/>
      <c r="O2294" s="1130"/>
      <c r="P2294" s="1130"/>
      <c r="Q2294" s="1130"/>
      <c r="AB2294" s="1044"/>
    </row>
    <row r="2295" spans="1:28">
      <c r="A2295" s="1083"/>
      <c r="H2295" s="1130"/>
      <c r="I2295" s="1130"/>
      <c r="J2295" s="1130"/>
      <c r="K2295" s="1130"/>
      <c r="L2295" s="1130"/>
      <c r="M2295" s="1130"/>
      <c r="N2295" s="1130"/>
      <c r="O2295" s="1130"/>
      <c r="P2295" s="1130"/>
      <c r="Q2295" s="1130"/>
      <c r="AB2295" s="1044"/>
    </row>
    <row r="2296" spans="1:28">
      <c r="A2296" s="1083"/>
      <c r="H2296" s="1130"/>
      <c r="I2296" s="1130"/>
      <c r="J2296" s="1130"/>
      <c r="K2296" s="1130"/>
      <c r="L2296" s="1130"/>
      <c r="M2296" s="1130"/>
      <c r="N2296" s="1130"/>
      <c r="O2296" s="1130"/>
      <c r="P2296" s="1130"/>
      <c r="Q2296" s="1130"/>
      <c r="AB2296" s="1044"/>
    </row>
    <row r="2297" spans="1:28">
      <c r="A2297" s="1083"/>
      <c r="H2297" s="1130"/>
      <c r="I2297" s="1130"/>
      <c r="J2297" s="1130"/>
      <c r="K2297" s="1130"/>
      <c r="L2297" s="1130"/>
      <c r="M2297" s="1130"/>
      <c r="N2297" s="1130"/>
      <c r="O2297" s="1130"/>
      <c r="P2297" s="1130"/>
      <c r="Q2297" s="1130"/>
      <c r="AB2297" s="1044"/>
    </row>
    <row r="2298" spans="1:28">
      <c r="A2298" s="1083"/>
      <c r="H2298" s="1130"/>
      <c r="I2298" s="1130"/>
      <c r="J2298" s="1130"/>
      <c r="K2298" s="1130"/>
      <c r="L2298" s="1130"/>
      <c r="M2298" s="1130"/>
      <c r="N2298" s="1130"/>
      <c r="O2298" s="1130"/>
      <c r="P2298" s="1130"/>
      <c r="Q2298" s="1130"/>
      <c r="AB2298" s="1044"/>
    </row>
    <row r="2299" spans="1:28">
      <c r="A2299" s="1083"/>
      <c r="H2299" s="1130"/>
      <c r="I2299" s="1130"/>
      <c r="J2299" s="1130"/>
      <c r="K2299" s="1130"/>
      <c r="L2299" s="1130"/>
      <c r="M2299" s="1130"/>
      <c r="N2299" s="1130"/>
      <c r="O2299" s="1130"/>
      <c r="P2299" s="1130"/>
      <c r="Q2299" s="1130"/>
      <c r="AB2299" s="1044"/>
    </row>
    <row r="2300" spans="1:28">
      <c r="A2300" s="1083"/>
      <c r="H2300" s="1130"/>
      <c r="I2300" s="1130"/>
      <c r="J2300" s="1130"/>
      <c r="K2300" s="1130"/>
      <c r="L2300" s="1130"/>
      <c r="M2300" s="1130"/>
      <c r="N2300" s="1130"/>
      <c r="O2300" s="1130"/>
      <c r="P2300" s="1130"/>
      <c r="Q2300" s="1130"/>
      <c r="AB2300" s="1044"/>
    </row>
    <row r="2301" ht="14.4" customHeight="1" spans="1:28">
      <c r="A2301" s="1048" t="s">
        <v>205</v>
      </c>
      <c r="B2301" s="1049"/>
      <c r="C2301" s="1049"/>
      <c r="D2301" s="1050"/>
      <c r="E2301" s="1051" t="s">
        <v>206</v>
      </c>
      <c r="F2301" s="1049"/>
      <c r="G2301" s="1049"/>
      <c r="H2301" s="1050"/>
      <c r="I2301" s="1051" t="s">
        <v>235</v>
      </c>
      <c r="J2301" s="1049"/>
      <c r="K2301" s="1049"/>
      <c r="L2301" s="1050"/>
      <c r="M2301" s="1051" t="s">
        <v>236</v>
      </c>
      <c r="N2301" s="1049"/>
      <c r="O2301" s="1049"/>
      <c r="P2301" s="1050"/>
      <c r="Q2301" s="1051" t="s">
        <v>237</v>
      </c>
      <c r="R2301" s="1049"/>
      <c r="S2301" s="1049"/>
      <c r="T2301" s="1050"/>
      <c r="U2301" s="1051"/>
      <c r="V2301" s="1049"/>
      <c r="W2301" s="1049"/>
      <c r="X2301" s="1050"/>
      <c r="Y2301" s="1051" t="s">
        <v>238</v>
      </c>
      <c r="Z2301" s="1049"/>
      <c r="AA2301" s="1049"/>
      <c r="AB2301" s="1222"/>
    </row>
    <row r="2302" ht="14.4" customHeight="1" spans="1:28">
      <c r="A2302" s="1058" t="s">
        <v>528</v>
      </c>
      <c r="B2302" s="1059"/>
      <c r="C2302" s="1059"/>
      <c r="D2302" s="1060"/>
      <c r="E2302" s="1061" t="s">
        <v>529</v>
      </c>
      <c r="F2302" s="1059"/>
      <c r="G2302" s="1059"/>
      <c r="H2302" s="1060"/>
      <c r="I2302" s="1061" t="s">
        <v>530</v>
      </c>
      <c r="J2302" s="1059"/>
      <c r="K2302" s="1059"/>
      <c r="L2302" s="1060"/>
      <c r="M2302" s="1061" t="s">
        <v>531</v>
      </c>
      <c r="N2302" s="1059"/>
      <c r="O2302" s="1059"/>
      <c r="P2302" s="1060"/>
      <c r="Q2302" s="1061" t="s">
        <v>532</v>
      </c>
      <c r="R2302" s="1059"/>
      <c r="S2302" s="1059"/>
      <c r="T2302" s="1060"/>
      <c r="U2302" s="1061"/>
      <c r="V2302" s="1059"/>
      <c r="W2302" s="1059"/>
      <c r="X2302" s="1060"/>
      <c r="Y2302" s="1061" t="s">
        <v>209</v>
      </c>
      <c r="Z2302" s="1059"/>
      <c r="AA2302" s="1059"/>
      <c r="AB2302" s="1108"/>
    </row>
    <row r="2303" spans="1:28">
      <c r="A2303" s="1239">
        <v>0.6</v>
      </c>
      <c r="B2303" s="1123"/>
      <c r="C2303" s="1123"/>
      <c r="D2303" s="1123"/>
      <c r="E2303" s="1123">
        <v>0.3</v>
      </c>
      <c r="F2303" s="1123"/>
      <c r="G2303" s="1123"/>
      <c r="H2303" s="1123"/>
      <c r="I2303" s="1123">
        <v>0.6</v>
      </c>
      <c r="J2303" s="1123"/>
      <c r="K2303" s="1123"/>
      <c r="L2303" s="1123"/>
      <c r="M2303" s="1123">
        <v>1.02</v>
      </c>
      <c r="N2303" s="1123"/>
      <c r="O2303" s="1123"/>
      <c r="P2303" s="1123"/>
      <c r="Q2303" s="1123">
        <v>0.05</v>
      </c>
      <c r="R2303" s="1123"/>
      <c r="S2303" s="1123"/>
      <c r="T2303" s="1123"/>
      <c r="U2303" s="1123"/>
      <c r="V2303" s="1123"/>
      <c r="W2303" s="1123"/>
      <c r="X2303" s="1123"/>
      <c r="Y2303" s="1123">
        <v>14.2</v>
      </c>
      <c r="Z2303" s="1123"/>
      <c r="AA2303" s="1123"/>
      <c r="AB2303" s="1124"/>
    </row>
    <row r="2304" spans="1:28">
      <c r="A2304" s="1154"/>
      <c r="B2304" s="1130"/>
      <c r="C2304" s="1130"/>
      <c r="D2304" s="1130"/>
      <c r="E2304" s="1130"/>
      <c r="F2304" s="1130"/>
      <c r="G2304" s="1130"/>
      <c r="H2304" s="1130"/>
      <c r="I2304" s="1130"/>
      <c r="J2304" s="1130"/>
      <c r="K2304" s="1130"/>
      <c r="L2304" s="1130"/>
      <c r="M2304" s="1130"/>
      <c r="N2304" s="1130"/>
      <c r="O2304" s="1130"/>
      <c r="P2304" s="1130"/>
      <c r="Q2304" s="1130"/>
      <c r="R2304" s="1130"/>
      <c r="S2304" s="1130"/>
      <c r="T2304" s="1130"/>
      <c r="U2304" s="1130"/>
      <c r="V2304" s="1130"/>
      <c r="W2304" s="1130"/>
      <c r="X2304" s="1130"/>
      <c r="AB2304" s="1044"/>
    </row>
    <row r="2305" ht="14.4" customHeight="1" spans="1:28">
      <c r="A2305" s="1240" t="s">
        <v>533</v>
      </c>
      <c r="B2305" s="1241"/>
      <c r="C2305" s="1241"/>
      <c r="D2305" s="1242"/>
      <c r="E2305" s="1051"/>
      <c r="F2305" s="1049"/>
      <c r="G2305" s="1049"/>
      <c r="H2305" s="1050"/>
      <c r="I2305" s="1051"/>
      <c r="J2305" s="1049"/>
      <c r="K2305" s="1049"/>
      <c r="L2305" s="1050"/>
      <c r="M2305" s="1051"/>
      <c r="N2305" s="1049"/>
      <c r="O2305" s="1049"/>
      <c r="P2305" s="1050"/>
      <c r="Q2305" s="1051"/>
      <c r="R2305" s="1049"/>
      <c r="S2305" s="1049"/>
      <c r="T2305" s="1050"/>
      <c r="U2305" s="1051"/>
      <c r="V2305" s="1049"/>
      <c r="W2305" s="1049"/>
      <c r="X2305" s="1050"/>
      <c r="Y2305" s="1051" t="s">
        <v>314</v>
      </c>
      <c r="Z2305" s="1049"/>
      <c r="AA2305" s="1049"/>
      <c r="AB2305" s="1222"/>
    </row>
    <row r="2306" spans="1:28">
      <c r="A2306" s="1243"/>
      <c r="B2306" s="1244"/>
      <c r="C2306" s="1244"/>
      <c r="D2306" s="1245"/>
      <c r="E2306" s="1061"/>
      <c r="F2306" s="1059"/>
      <c r="G2306" s="1059"/>
      <c r="H2306" s="1060"/>
      <c r="I2306" s="1061"/>
      <c r="J2306" s="1059"/>
      <c r="K2306" s="1059"/>
      <c r="L2306" s="1060"/>
      <c r="M2306" s="1061"/>
      <c r="N2306" s="1059"/>
      <c r="O2306" s="1059"/>
      <c r="P2306" s="1060"/>
      <c r="Q2306" s="1061"/>
      <c r="R2306" s="1059"/>
      <c r="S2306" s="1059"/>
      <c r="T2306" s="1060"/>
      <c r="U2306" s="1061"/>
      <c r="V2306" s="1059"/>
      <c r="W2306" s="1059"/>
      <c r="X2306" s="1060"/>
      <c r="Y2306" s="1061"/>
      <c r="Z2306" s="1059"/>
      <c r="AA2306" s="1059"/>
      <c r="AB2306" s="1108"/>
    </row>
    <row r="2307" ht="15.75" spans="1:28">
      <c r="A2307" s="1246">
        <v>4</v>
      </c>
      <c r="B2307" s="1217"/>
      <c r="C2307" s="1217"/>
      <c r="D2307" s="1218"/>
      <c r="E2307" s="1134"/>
      <c r="F2307" s="1134"/>
      <c r="G2307" s="1134"/>
      <c r="H2307" s="1134"/>
      <c r="I2307" s="1134"/>
      <c r="J2307" s="1134"/>
      <c r="K2307" s="1134"/>
      <c r="L2307" s="1134"/>
      <c r="M2307" s="1134"/>
      <c r="N2307" s="1134"/>
      <c r="O2307" s="1134"/>
      <c r="P2307" s="1134"/>
      <c r="Q2307" s="1134"/>
      <c r="R2307" s="1134"/>
      <c r="S2307" s="1134"/>
      <c r="T2307" s="1134"/>
      <c r="U2307" s="1134"/>
      <c r="V2307" s="1134"/>
      <c r="W2307" s="1134"/>
      <c r="X2307" s="1134"/>
      <c r="Y2307" s="1134">
        <f>ROUNDUP(((((A2303+E2303+I2303)*Q2303)+(E2303*M2303))*Y2303*A2307),2)</f>
        <v>21.65</v>
      </c>
      <c r="Z2307" s="1134"/>
      <c r="AA2307" s="1134"/>
      <c r="AB2307" s="1225"/>
    </row>
    <row r="2308" ht="15.75" spans="1:28">
      <c r="A2308" s="1079" t="s">
        <v>534</v>
      </c>
      <c r="B2308" s="1080"/>
      <c r="C2308" s="1080"/>
      <c r="D2308" s="1080"/>
      <c r="E2308" s="1080"/>
      <c r="F2308" s="1080"/>
      <c r="G2308" s="1080"/>
      <c r="H2308" s="1080"/>
      <c r="I2308" s="1080"/>
      <c r="J2308" s="1080"/>
      <c r="K2308" s="1080"/>
      <c r="L2308" s="1080"/>
      <c r="M2308" s="1080"/>
      <c r="N2308" s="1080"/>
      <c r="O2308" s="1080"/>
      <c r="P2308" s="1080"/>
      <c r="Q2308" s="1080"/>
      <c r="R2308" s="1080"/>
      <c r="S2308" s="1080"/>
      <c r="T2308" s="1080"/>
      <c r="U2308" s="1080"/>
      <c r="V2308" s="1080"/>
      <c r="W2308" s="1080"/>
      <c r="X2308" s="1080"/>
      <c r="Y2308" s="1080"/>
      <c r="Z2308" s="1080"/>
      <c r="AA2308" s="1080"/>
      <c r="AB2308" s="1081"/>
    </row>
    <row r="2309" ht="15.75" spans="1:28">
      <c r="A2309" s="1083"/>
      <c r="AB2309" s="1044"/>
    </row>
    <row r="2310" spans="1:28">
      <c r="A2310" s="1083"/>
      <c r="K2310" s="1084" t="s">
        <v>535</v>
      </c>
      <c r="L2310" s="1085"/>
      <c r="M2310" s="1085"/>
      <c r="N2310" s="1085"/>
      <c r="O2310" s="1085"/>
      <c r="P2310" s="1085"/>
      <c r="Q2310" s="1085"/>
      <c r="R2310" s="1086"/>
      <c r="AB2310" s="1044"/>
    </row>
    <row r="2311" spans="1:28">
      <c r="A2311" s="1083"/>
      <c r="K2311" s="1087" t="s">
        <v>536</v>
      </c>
      <c r="L2311" s="1088"/>
      <c r="M2311" s="1088"/>
      <c r="N2311" s="1088"/>
      <c r="O2311" s="1088"/>
      <c r="P2311" s="1088"/>
      <c r="Q2311" s="1088"/>
      <c r="R2311" s="1089"/>
      <c r="AB2311" s="1044"/>
    </row>
    <row r="2312" spans="1:28">
      <c r="A2312" s="1083"/>
      <c r="K2312" s="1090"/>
      <c r="L2312" s="1091"/>
      <c r="M2312" s="1091"/>
      <c r="N2312" s="1091"/>
      <c r="O2312" s="1091"/>
      <c r="P2312" s="1091"/>
      <c r="Q2312" s="1091"/>
      <c r="R2312" s="1092"/>
      <c r="AB2312" s="1044"/>
    </row>
    <row r="2313" ht="15.75" spans="1:28">
      <c r="A2313" s="1083"/>
      <c r="K2313" s="1093">
        <f>ROUNDUP(Y2307,2)</f>
        <v>21.65</v>
      </c>
      <c r="L2313" s="1094"/>
      <c r="M2313" s="1094"/>
      <c r="N2313" s="1094"/>
      <c r="O2313" s="1094"/>
      <c r="P2313" s="1094"/>
      <c r="Q2313" s="1094"/>
      <c r="R2313" s="1095"/>
      <c r="AB2313" s="1044"/>
    </row>
    <row r="2314" ht="15.75" spans="1:28">
      <c r="A2314" s="1096"/>
      <c r="B2314" s="389"/>
      <c r="C2314" s="389"/>
      <c r="D2314" s="389"/>
      <c r="E2314" s="389"/>
      <c r="F2314" s="389"/>
      <c r="G2314" s="389"/>
      <c r="H2314" s="389"/>
      <c r="I2314" s="1097"/>
      <c r="J2314" s="1097"/>
      <c r="K2314" s="1097"/>
      <c r="L2314" s="1097"/>
      <c r="M2314" s="1097"/>
      <c r="N2314" s="1097"/>
      <c r="O2314" s="1097"/>
      <c r="P2314" s="1097"/>
      <c r="Q2314" s="389"/>
      <c r="R2314" s="389"/>
      <c r="S2314" s="389"/>
      <c r="T2314" s="389"/>
      <c r="U2314" s="389"/>
      <c r="V2314" s="389"/>
      <c r="W2314" s="389"/>
      <c r="X2314" s="389"/>
      <c r="Y2314" s="389"/>
      <c r="Z2314" s="389"/>
      <c r="AA2314" s="389"/>
      <c r="AB2314" s="1098"/>
    </row>
    <row r="2315" s="437" customFormat="1" spans="1:28">
      <c r="A2315" s="1040" t="s">
        <v>537</v>
      </c>
      <c r="B2315" s="1114"/>
      <c r="C2315" s="1114"/>
      <c r="D2315" s="1114"/>
      <c r="E2315" s="1114"/>
      <c r="F2315" s="1114"/>
      <c r="G2315" s="1114"/>
      <c r="H2315" s="1129"/>
      <c r="I2315" s="1129"/>
      <c r="J2315" s="1129"/>
      <c r="K2315" s="1129"/>
      <c r="L2315" s="1129"/>
      <c r="M2315" s="1129"/>
      <c r="N2315" s="1129"/>
      <c r="O2315" s="1129"/>
      <c r="P2315" s="1129"/>
      <c r="Q2315" s="1129"/>
      <c r="R2315" s="1114"/>
      <c r="S2315" s="1114"/>
      <c r="T2315" s="1114"/>
      <c r="U2315" s="1114"/>
      <c r="V2315" s="1114"/>
      <c r="W2315" s="1114"/>
      <c r="X2315" s="1114"/>
      <c r="Y2315" s="1114"/>
      <c r="Z2315" s="1114"/>
      <c r="AA2315" s="1114"/>
      <c r="AB2315" s="1115"/>
    </row>
    <row r="2316" spans="1:28">
      <c r="A2316" s="1083"/>
      <c r="H2316" s="1130"/>
      <c r="I2316" s="1130"/>
      <c r="J2316" s="1130"/>
      <c r="K2316" s="1130"/>
      <c r="L2316" s="1130"/>
      <c r="M2316" s="1130"/>
      <c r="N2316" s="1130"/>
      <c r="O2316" s="1130"/>
      <c r="P2316" s="1130"/>
      <c r="Q2316" s="1130"/>
      <c r="AB2316" s="1044"/>
    </row>
    <row r="2317" spans="1:28">
      <c r="A2317" s="1083"/>
      <c r="H2317" s="1130"/>
      <c r="I2317" s="1130"/>
      <c r="J2317" s="1130"/>
      <c r="K2317" s="1130"/>
      <c r="L2317" s="1130"/>
      <c r="M2317" s="1130"/>
      <c r="N2317" s="1130"/>
      <c r="O2317" s="1130"/>
      <c r="P2317" s="1130"/>
      <c r="Q2317" s="1130"/>
      <c r="AB2317" s="1044"/>
    </row>
    <row r="2318" spans="1:28">
      <c r="A2318" s="1083"/>
      <c r="H2318" s="1130"/>
      <c r="I2318" s="1130"/>
      <c r="J2318" s="1130"/>
      <c r="K2318" s="1130"/>
      <c r="L2318" s="1130"/>
      <c r="M2318" s="1130"/>
      <c r="N2318" s="1130"/>
      <c r="O2318" s="1130"/>
      <c r="P2318" s="1130"/>
      <c r="Q2318" s="1130"/>
      <c r="AB2318" s="1044"/>
    </row>
    <row r="2319" spans="1:28">
      <c r="A2319" s="1083"/>
      <c r="H2319" s="1130"/>
      <c r="I2319" s="1130"/>
      <c r="J2319" s="1130"/>
      <c r="K2319" s="1130"/>
      <c r="L2319" s="1130"/>
      <c r="M2319" s="1130"/>
      <c r="N2319" s="1130"/>
      <c r="O2319" s="1130"/>
      <c r="P2319" s="1130"/>
      <c r="Q2319" s="1130"/>
      <c r="AB2319" s="1044"/>
    </row>
    <row r="2320" spans="1:28">
      <c r="A2320" s="1083"/>
      <c r="H2320" s="1130"/>
      <c r="I2320" s="1130"/>
      <c r="J2320" s="1130"/>
      <c r="K2320" s="1130"/>
      <c r="L2320" s="1130"/>
      <c r="M2320" s="1130"/>
      <c r="N2320" s="1130"/>
      <c r="O2320" s="1130"/>
      <c r="P2320" s="1130"/>
      <c r="Q2320" s="1130"/>
      <c r="AB2320" s="1044"/>
    </row>
    <row r="2321" spans="1:28">
      <c r="A2321" s="1083"/>
      <c r="H2321" s="1130"/>
      <c r="I2321" s="1130"/>
      <c r="J2321" s="1130"/>
      <c r="K2321" s="1130"/>
      <c r="L2321" s="1130"/>
      <c r="M2321" s="1130"/>
      <c r="N2321" s="1130"/>
      <c r="O2321" s="1130"/>
      <c r="P2321" s="1130"/>
      <c r="Q2321" s="1130"/>
      <c r="AB2321" s="1044"/>
    </row>
    <row r="2322" spans="1:28">
      <c r="A2322" s="1083"/>
      <c r="H2322" s="1130"/>
      <c r="I2322" s="1130"/>
      <c r="J2322" s="1130"/>
      <c r="K2322" s="1130"/>
      <c r="L2322" s="1130"/>
      <c r="M2322" s="1130"/>
      <c r="N2322" s="1130"/>
      <c r="O2322" s="1130"/>
      <c r="P2322" s="1130"/>
      <c r="Q2322" s="1130"/>
      <c r="AB2322" s="1044"/>
    </row>
    <row r="2323" spans="1:28">
      <c r="A2323" s="1083"/>
      <c r="H2323" s="1130"/>
      <c r="I2323" s="1130"/>
      <c r="J2323" s="1130"/>
      <c r="K2323" s="1130"/>
      <c r="L2323" s="1130"/>
      <c r="M2323" s="1130"/>
      <c r="N2323" s="1130"/>
      <c r="O2323" s="1130"/>
      <c r="P2323" s="1130"/>
      <c r="Q2323" s="1130"/>
      <c r="AB2323" s="1044"/>
    </row>
    <row r="2324" spans="1:28">
      <c r="A2324" s="1083"/>
      <c r="H2324" s="1130"/>
      <c r="I2324" s="1130"/>
      <c r="J2324" s="1130"/>
      <c r="K2324" s="1130"/>
      <c r="L2324" s="1130"/>
      <c r="M2324" s="1130"/>
      <c r="N2324" s="1130"/>
      <c r="O2324" s="1130"/>
      <c r="P2324" s="1130"/>
      <c r="Q2324" s="1130"/>
      <c r="AB2324" s="1044"/>
    </row>
    <row r="2325" spans="1:28">
      <c r="A2325" s="1083"/>
      <c r="H2325" s="1130"/>
      <c r="I2325" s="1130"/>
      <c r="J2325" s="1130"/>
      <c r="K2325" s="1130"/>
      <c r="L2325" s="1130"/>
      <c r="M2325" s="1130"/>
      <c r="N2325" s="1130"/>
      <c r="O2325" s="1130"/>
      <c r="P2325" s="1130"/>
      <c r="Q2325" s="1130"/>
      <c r="AB2325" s="1044"/>
    </row>
    <row r="2326" ht="14.4" customHeight="1" spans="1:28">
      <c r="A2326" s="1048" t="s">
        <v>205</v>
      </c>
      <c r="B2326" s="1049"/>
      <c r="C2326" s="1049"/>
      <c r="D2326" s="1050"/>
      <c r="E2326" s="1051" t="s">
        <v>206</v>
      </c>
      <c r="F2326" s="1049"/>
      <c r="G2326" s="1049"/>
      <c r="H2326" s="1050"/>
      <c r="I2326" s="1051" t="s">
        <v>235</v>
      </c>
      <c r="J2326" s="1049"/>
      <c r="K2326" s="1049"/>
      <c r="L2326" s="1050"/>
      <c r="M2326" s="1051" t="s">
        <v>236</v>
      </c>
      <c r="N2326" s="1049"/>
      <c r="O2326" s="1049"/>
      <c r="P2326" s="1050"/>
      <c r="Q2326" s="1051" t="s">
        <v>237</v>
      </c>
      <c r="R2326" s="1049"/>
      <c r="S2326" s="1049"/>
      <c r="T2326" s="1050"/>
      <c r="U2326" s="1051"/>
      <c r="V2326" s="1049"/>
      <c r="W2326" s="1049"/>
      <c r="X2326" s="1050"/>
      <c r="Y2326" s="1051" t="s">
        <v>238</v>
      </c>
      <c r="Z2326" s="1049"/>
      <c r="AA2326" s="1049"/>
      <c r="AB2326" s="1222"/>
    </row>
    <row r="2327" ht="14.4" customHeight="1" spans="1:28">
      <c r="A2327" s="1058" t="s">
        <v>528</v>
      </c>
      <c r="B2327" s="1059"/>
      <c r="C2327" s="1059"/>
      <c r="D2327" s="1060"/>
      <c r="E2327" s="1061" t="s">
        <v>529</v>
      </c>
      <c r="F2327" s="1059"/>
      <c r="G2327" s="1059"/>
      <c r="H2327" s="1060"/>
      <c r="I2327" s="1061" t="s">
        <v>530</v>
      </c>
      <c r="J2327" s="1059"/>
      <c r="K2327" s="1059"/>
      <c r="L2327" s="1060"/>
      <c r="M2327" s="1061" t="s">
        <v>531</v>
      </c>
      <c r="N2327" s="1059"/>
      <c r="O2327" s="1059"/>
      <c r="P2327" s="1060"/>
      <c r="Q2327" s="1061" t="s">
        <v>532</v>
      </c>
      <c r="R2327" s="1059"/>
      <c r="S2327" s="1059"/>
      <c r="T2327" s="1060"/>
      <c r="U2327" s="1061"/>
      <c r="V2327" s="1059"/>
      <c r="W2327" s="1059"/>
      <c r="X2327" s="1060"/>
      <c r="Y2327" s="1061" t="s">
        <v>209</v>
      </c>
      <c r="Z2327" s="1059"/>
      <c r="AA2327" s="1059"/>
      <c r="AB2327" s="1108"/>
    </row>
    <row r="2328" spans="1:28">
      <c r="A2328" s="1239">
        <v>0.6</v>
      </c>
      <c r="B2328" s="1123"/>
      <c r="C2328" s="1123"/>
      <c r="D2328" s="1123"/>
      <c r="E2328" s="1123">
        <v>0.3</v>
      </c>
      <c r="F2328" s="1123"/>
      <c r="G2328" s="1123"/>
      <c r="H2328" s="1123"/>
      <c r="I2328" s="1123">
        <v>0.6</v>
      </c>
      <c r="J2328" s="1123"/>
      <c r="K2328" s="1123"/>
      <c r="L2328" s="1123"/>
      <c r="M2328" s="1123">
        <v>1.02</v>
      </c>
      <c r="N2328" s="1123"/>
      <c r="O2328" s="1123"/>
      <c r="P2328" s="1123"/>
      <c r="Q2328" s="1123">
        <v>0.05</v>
      </c>
      <c r="R2328" s="1123"/>
      <c r="S2328" s="1123"/>
      <c r="T2328" s="1123"/>
      <c r="U2328" s="1123"/>
      <c r="V2328" s="1123"/>
      <c r="W2328" s="1123"/>
      <c r="X2328" s="1123"/>
      <c r="Y2328" s="1123">
        <v>14.2</v>
      </c>
      <c r="Z2328" s="1123"/>
      <c r="AA2328" s="1123"/>
      <c r="AB2328" s="1124"/>
    </row>
    <row r="2329" spans="1:28">
      <c r="A2329" s="1154"/>
      <c r="B2329" s="1130"/>
      <c r="C2329" s="1130"/>
      <c r="D2329" s="1130"/>
      <c r="E2329" s="1130"/>
      <c r="F2329" s="1130"/>
      <c r="G2329" s="1130"/>
      <c r="H2329" s="1130"/>
      <c r="I2329" s="1130"/>
      <c r="J2329" s="1130"/>
      <c r="K2329" s="1130"/>
      <c r="L2329" s="1130"/>
      <c r="M2329" s="1130"/>
      <c r="N2329" s="1130"/>
      <c r="O2329" s="1130"/>
      <c r="P2329" s="1130"/>
      <c r="Q2329" s="1130"/>
      <c r="R2329" s="1130"/>
      <c r="S2329" s="1130"/>
      <c r="T2329" s="1130"/>
      <c r="U2329" s="1130"/>
      <c r="V2329" s="1130"/>
      <c r="W2329" s="1130"/>
      <c r="X2329" s="1130"/>
      <c r="AB2329" s="1044"/>
    </row>
    <row r="2330" ht="14.4" customHeight="1" spans="1:28">
      <c r="A2330" s="1240" t="s">
        <v>533</v>
      </c>
      <c r="B2330" s="1241"/>
      <c r="C2330" s="1241"/>
      <c r="D2330" s="1242"/>
      <c r="E2330" s="1051"/>
      <c r="F2330" s="1049"/>
      <c r="G2330" s="1049"/>
      <c r="H2330" s="1050"/>
      <c r="I2330" s="1051"/>
      <c r="J2330" s="1049"/>
      <c r="K2330" s="1049"/>
      <c r="L2330" s="1050"/>
      <c r="M2330" s="1051"/>
      <c r="N2330" s="1049"/>
      <c r="O2330" s="1049"/>
      <c r="P2330" s="1050"/>
      <c r="Q2330" s="1051"/>
      <c r="R2330" s="1049"/>
      <c r="S2330" s="1049"/>
      <c r="T2330" s="1050"/>
      <c r="U2330" s="1051"/>
      <c r="V2330" s="1049"/>
      <c r="W2330" s="1049"/>
      <c r="X2330" s="1050"/>
      <c r="Y2330" s="1051" t="s">
        <v>314</v>
      </c>
      <c r="Z2330" s="1049"/>
      <c r="AA2330" s="1049"/>
      <c r="AB2330" s="1222"/>
    </row>
    <row r="2331" spans="1:28">
      <c r="A2331" s="1243"/>
      <c r="B2331" s="1244"/>
      <c r="C2331" s="1244"/>
      <c r="D2331" s="1245"/>
      <c r="E2331" s="1061"/>
      <c r="F2331" s="1059"/>
      <c r="G2331" s="1059"/>
      <c r="H2331" s="1060"/>
      <c r="I2331" s="1061"/>
      <c r="J2331" s="1059"/>
      <c r="K2331" s="1059"/>
      <c r="L2331" s="1060"/>
      <c r="M2331" s="1061"/>
      <c r="N2331" s="1059"/>
      <c r="O2331" s="1059"/>
      <c r="P2331" s="1060"/>
      <c r="Q2331" s="1061"/>
      <c r="R2331" s="1059"/>
      <c r="S2331" s="1059"/>
      <c r="T2331" s="1060"/>
      <c r="U2331" s="1061"/>
      <c r="V2331" s="1059"/>
      <c r="W2331" s="1059"/>
      <c r="X2331" s="1060"/>
      <c r="Y2331" s="1061"/>
      <c r="Z2331" s="1059"/>
      <c r="AA2331" s="1059"/>
      <c r="AB2331" s="1108"/>
    </row>
    <row r="2332" ht="15.75" spans="1:28">
      <c r="A2332" s="1246">
        <v>4</v>
      </c>
      <c r="B2332" s="1217"/>
      <c r="C2332" s="1217"/>
      <c r="D2332" s="1218"/>
      <c r="E2332" s="1134"/>
      <c r="F2332" s="1134"/>
      <c r="G2332" s="1134"/>
      <c r="H2332" s="1134"/>
      <c r="I2332" s="1134"/>
      <c r="J2332" s="1134"/>
      <c r="K2332" s="1134"/>
      <c r="L2332" s="1134"/>
      <c r="M2332" s="1134"/>
      <c r="N2332" s="1134"/>
      <c r="O2332" s="1134"/>
      <c r="P2332" s="1134"/>
      <c r="Q2332" s="1134"/>
      <c r="R2332" s="1134"/>
      <c r="S2332" s="1134"/>
      <c r="T2332" s="1134"/>
      <c r="U2332" s="1134"/>
      <c r="V2332" s="1134"/>
      <c r="W2332" s="1134"/>
      <c r="X2332" s="1134"/>
      <c r="Y2332" s="1134">
        <f>ROUNDUP((((($A$2328+$E$2328+$I$2328+(2*$M$2328)+(2*$Q$2328))*$Y$2328)+(((($A$2328+$E$2328+$I$2328)*$Q$2328)+($E$2328*$M$2328))*2))*$A$2332),2)</f>
        <v>209.8</v>
      </c>
      <c r="Z2332" s="1134"/>
      <c r="AA2332" s="1134"/>
      <c r="AB2332" s="1225"/>
    </row>
    <row r="2333" ht="15.75" spans="1:28">
      <c r="A2333" s="1079" t="s">
        <v>538</v>
      </c>
      <c r="B2333" s="1080"/>
      <c r="C2333" s="1080"/>
      <c r="D2333" s="1080"/>
      <c r="E2333" s="1080"/>
      <c r="F2333" s="1080"/>
      <c r="G2333" s="1080"/>
      <c r="H2333" s="1080"/>
      <c r="I2333" s="1080"/>
      <c r="J2333" s="1080"/>
      <c r="K2333" s="1080"/>
      <c r="L2333" s="1080"/>
      <c r="M2333" s="1080"/>
      <c r="N2333" s="1080"/>
      <c r="O2333" s="1080"/>
      <c r="P2333" s="1080"/>
      <c r="Q2333" s="1080"/>
      <c r="R2333" s="1080"/>
      <c r="S2333" s="1080"/>
      <c r="T2333" s="1080"/>
      <c r="U2333" s="1080"/>
      <c r="V2333" s="1080"/>
      <c r="W2333" s="1080"/>
      <c r="X2333" s="1080"/>
      <c r="Y2333" s="1080"/>
      <c r="Z2333" s="1080"/>
      <c r="AA2333" s="1080"/>
      <c r="AB2333" s="1081"/>
    </row>
    <row r="2334" ht="15.75" spans="1:28">
      <c r="A2334" s="1083"/>
      <c r="AB2334" s="1044"/>
    </row>
    <row r="2335" spans="1:28">
      <c r="A2335" s="1083"/>
      <c r="K2335" s="1084" t="s">
        <v>539</v>
      </c>
      <c r="L2335" s="1085"/>
      <c r="M2335" s="1085"/>
      <c r="N2335" s="1085"/>
      <c r="O2335" s="1085"/>
      <c r="P2335" s="1085"/>
      <c r="Q2335" s="1085"/>
      <c r="R2335" s="1086"/>
      <c r="AB2335" s="1044"/>
    </row>
    <row r="2336" spans="1:28">
      <c r="A2336" s="1083"/>
      <c r="K2336" s="1087" t="s">
        <v>540</v>
      </c>
      <c r="L2336" s="1088"/>
      <c r="M2336" s="1088"/>
      <c r="N2336" s="1088"/>
      <c r="O2336" s="1088"/>
      <c r="P2336" s="1088"/>
      <c r="Q2336" s="1088"/>
      <c r="R2336" s="1089"/>
      <c r="AB2336" s="1044"/>
    </row>
    <row r="2337" spans="1:28">
      <c r="A2337" s="1083"/>
      <c r="K2337" s="1090"/>
      <c r="L2337" s="1091"/>
      <c r="M2337" s="1091"/>
      <c r="N2337" s="1091"/>
      <c r="O2337" s="1091"/>
      <c r="P2337" s="1091"/>
      <c r="Q2337" s="1091"/>
      <c r="R2337" s="1092"/>
      <c r="AB2337" s="1044"/>
    </row>
    <row r="2338" ht="15.75" spans="1:28">
      <c r="A2338" s="1083"/>
      <c r="K2338" s="1093">
        <f>ROUNDUP(Y2332,2)</f>
        <v>209.8</v>
      </c>
      <c r="L2338" s="1094"/>
      <c r="M2338" s="1094"/>
      <c r="N2338" s="1094"/>
      <c r="O2338" s="1094"/>
      <c r="P2338" s="1094"/>
      <c r="Q2338" s="1094"/>
      <c r="R2338" s="1095"/>
      <c r="AB2338" s="1044"/>
    </row>
    <row r="2339" ht="15.75" spans="1:28">
      <c r="A2339" s="1096"/>
      <c r="B2339" s="389"/>
      <c r="C2339" s="389"/>
      <c r="D2339" s="389"/>
      <c r="E2339" s="389"/>
      <c r="F2339" s="389"/>
      <c r="G2339" s="389"/>
      <c r="H2339" s="389"/>
      <c r="I2339" s="1097"/>
      <c r="J2339" s="1097"/>
      <c r="K2339" s="1097"/>
      <c r="L2339" s="1097"/>
      <c r="M2339" s="1097"/>
      <c r="N2339" s="1097"/>
      <c r="O2339" s="1097"/>
      <c r="P2339" s="1097"/>
      <c r="Q2339" s="389"/>
      <c r="R2339" s="389"/>
      <c r="S2339" s="389"/>
      <c r="T2339" s="389"/>
      <c r="U2339" s="389"/>
      <c r="V2339" s="389"/>
      <c r="W2339" s="389"/>
      <c r="X2339" s="389"/>
      <c r="Y2339" s="389"/>
      <c r="Z2339" s="389"/>
      <c r="AA2339" s="389"/>
      <c r="AB2339" s="1098"/>
    </row>
    <row r="2340" s="437" customFormat="1" spans="1:28">
      <c r="A2340" s="1040" t="s">
        <v>541</v>
      </c>
      <c r="B2340" s="1114"/>
      <c r="C2340" s="1114"/>
      <c r="D2340" s="1114"/>
      <c r="E2340" s="1114"/>
      <c r="F2340" s="1114"/>
      <c r="G2340" s="1114"/>
      <c r="H2340" s="1114"/>
      <c r="I2340" s="1129"/>
      <c r="J2340" s="1129"/>
      <c r="K2340" s="1129"/>
      <c r="L2340" s="1129"/>
      <c r="M2340" s="1129"/>
      <c r="N2340" s="1129"/>
      <c r="O2340" s="1129"/>
      <c r="P2340" s="1129"/>
      <c r="Q2340" s="1114"/>
      <c r="R2340" s="1114"/>
      <c r="S2340" s="1114"/>
      <c r="T2340" s="1114"/>
      <c r="U2340" s="1114"/>
      <c r="V2340" s="1114"/>
      <c r="W2340" s="1114"/>
      <c r="X2340" s="1114"/>
      <c r="Y2340" s="1114"/>
      <c r="Z2340" s="1114"/>
      <c r="AA2340" s="1114"/>
      <c r="AB2340" s="1115"/>
    </row>
    <row r="2341" spans="1:28">
      <c r="A2341" s="1083"/>
      <c r="I2341" s="1130"/>
      <c r="J2341" s="1130"/>
      <c r="K2341" s="1130"/>
      <c r="L2341" s="1130"/>
      <c r="M2341" s="1130"/>
      <c r="N2341" s="1130"/>
      <c r="O2341" s="1130"/>
      <c r="P2341" s="1130"/>
      <c r="AB2341" s="1044"/>
    </row>
    <row r="2342" spans="1:28">
      <c r="A2342" s="1083"/>
      <c r="I2342" s="1130"/>
      <c r="J2342" s="1130"/>
      <c r="K2342" s="1130"/>
      <c r="L2342" s="1130"/>
      <c r="M2342" s="1130"/>
      <c r="N2342" s="1130"/>
      <c r="O2342" s="1130"/>
      <c r="P2342" s="1130"/>
      <c r="AB2342" s="1044"/>
    </row>
    <row r="2343" spans="1:28">
      <c r="A2343" s="1083"/>
      <c r="I2343" s="1130"/>
      <c r="J2343" s="1130"/>
      <c r="K2343" s="1130"/>
      <c r="L2343" s="1130"/>
      <c r="M2343" s="1130"/>
      <c r="N2343" s="1130"/>
      <c r="O2343" s="1130"/>
      <c r="P2343" s="1130"/>
      <c r="AB2343" s="1044"/>
    </row>
    <row r="2344" spans="1:28">
      <c r="A2344" s="1083"/>
      <c r="I2344" s="1130"/>
      <c r="J2344" s="1130"/>
      <c r="K2344" s="1130"/>
      <c r="L2344" s="1130"/>
      <c r="M2344" s="1130"/>
      <c r="N2344" s="1130"/>
      <c r="O2344" s="1130"/>
      <c r="P2344" s="1130"/>
      <c r="AB2344" s="1044"/>
    </row>
    <row r="2345" spans="1:28">
      <c r="A2345" s="1083"/>
      <c r="I2345" s="1130"/>
      <c r="J2345" s="1130"/>
      <c r="K2345" s="1130"/>
      <c r="L2345" s="1130"/>
      <c r="M2345" s="1130"/>
      <c r="N2345" s="1130"/>
      <c r="O2345" s="1130"/>
      <c r="P2345" s="1130"/>
      <c r="AB2345" s="1044"/>
    </row>
    <row r="2346" spans="1:28">
      <c r="A2346" s="1083"/>
      <c r="I2346" s="1130"/>
      <c r="J2346" s="1130"/>
      <c r="K2346" s="1130"/>
      <c r="L2346" s="1130"/>
      <c r="M2346" s="1130"/>
      <c r="N2346" s="1130"/>
      <c r="O2346" s="1130"/>
      <c r="P2346" s="1130"/>
      <c r="AB2346" s="1044"/>
    </row>
    <row r="2347" spans="1:28">
      <c r="A2347" s="1083"/>
      <c r="I2347" s="1130"/>
      <c r="J2347" s="1130"/>
      <c r="K2347" s="1130"/>
      <c r="L2347" s="1130"/>
      <c r="M2347" s="1130"/>
      <c r="N2347" s="1130"/>
      <c r="O2347" s="1130"/>
      <c r="P2347" s="1130"/>
      <c r="AB2347" s="1044"/>
    </row>
    <row r="2348" spans="1:28">
      <c r="A2348" s="1083"/>
      <c r="I2348" s="1130"/>
      <c r="J2348" s="1130"/>
      <c r="K2348" s="1130"/>
      <c r="L2348" s="1130"/>
      <c r="M2348" s="1130"/>
      <c r="N2348" s="1130"/>
      <c r="O2348" s="1130"/>
      <c r="P2348" s="1130"/>
      <c r="AB2348" s="1044"/>
    </row>
    <row r="2349" spans="1:28">
      <c r="A2349" s="1083"/>
      <c r="I2349" s="1130"/>
      <c r="J2349" s="1130"/>
      <c r="K2349" s="1130"/>
      <c r="L2349" s="1130"/>
      <c r="M2349" s="1130"/>
      <c r="N2349" s="1130"/>
      <c r="O2349" s="1130"/>
      <c r="P2349" s="1130"/>
      <c r="AB2349" s="1044"/>
    </row>
    <row r="2350" spans="1:28">
      <c r="A2350" s="1083"/>
      <c r="I2350" s="1130"/>
      <c r="J2350" s="1130"/>
      <c r="K2350" s="1130"/>
      <c r="L2350" s="1130"/>
      <c r="M2350" s="1130"/>
      <c r="N2350" s="1130"/>
      <c r="O2350" s="1130"/>
      <c r="P2350" s="1130"/>
      <c r="AB2350" s="1044"/>
    </row>
    <row r="2351" spans="1:28">
      <c r="A2351" s="1083"/>
      <c r="I2351" s="1130"/>
      <c r="J2351" s="1130"/>
      <c r="K2351" s="1130"/>
      <c r="L2351" s="1130"/>
      <c r="M2351" s="1130"/>
      <c r="N2351" s="1130"/>
      <c r="O2351" s="1130"/>
      <c r="P2351" s="1130"/>
      <c r="AB2351" s="1044"/>
    </row>
    <row r="2352" spans="1:28">
      <c r="A2352" s="1083"/>
      <c r="I2352" s="1130"/>
      <c r="J2352" s="1130"/>
      <c r="K2352" s="1130"/>
      <c r="L2352" s="1130"/>
      <c r="M2352" s="1130"/>
      <c r="N2352" s="1130"/>
      <c r="O2352" s="1130"/>
      <c r="P2352" s="1130"/>
      <c r="AB2352" s="1044"/>
    </row>
    <row r="2353" spans="1:28">
      <c r="A2353" s="1083"/>
      <c r="I2353" s="1130"/>
      <c r="J2353" s="1130"/>
      <c r="K2353" s="1130"/>
      <c r="L2353" s="1130"/>
      <c r="M2353" s="1130"/>
      <c r="N2353" s="1130"/>
      <c r="O2353" s="1130"/>
      <c r="P2353" s="1130"/>
      <c r="AB2353" s="1044"/>
    </row>
    <row r="2354" spans="1:28">
      <c r="A2354" s="1083"/>
      <c r="I2354" s="1130"/>
      <c r="J2354" s="1130"/>
      <c r="K2354" s="1130"/>
      <c r="L2354" s="1130"/>
      <c r="M2354" s="1130"/>
      <c r="N2354" s="1130"/>
      <c r="O2354" s="1130"/>
      <c r="P2354" s="1130"/>
      <c r="AB2354" s="1044"/>
    </row>
    <row r="2355" spans="1:28">
      <c r="A2355" s="1083"/>
      <c r="I2355" s="1130"/>
      <c r="J2355" s="1130"/>
      <c r="K2355" s="1130"/>
      <c r="L2355" s="1130"/>
      <c r="M2355" s="1130"/>
      <c r="N2355" s="1130"/>
      <c r="O2355" s="1130"/>
      <c r="P2355" s="1130"/>
      <c r="AB2355" s="1044"/>
    </row>
    <row r="2356" spans="1:28">
      <c r="A2356" s="1083"/>
      <c r="I2356" s="1130"/>
      <c r="J2356" s="1130"/>
      <c r="K2356" s="1130"/>
      <c r="L2356" s="1130"/>
      <c r="M2356" s="1130"/>
      <c r="N2356" s="1130"/>
      <c r="O2356" s="1130"/>
      <c r="P2356" s="1130"/>
      <c r="AB2356" s="1044"/>
    </row>
    <row r="2357" spans="1:28">
      <c r="A2357" s="1083"/>
      <c r="I2357" s="1130"/>
      <c r="J2357" s="1130"/>
      <c r="K2357" s="1130"/>
      <c r="L2357" s="1130"/>
      <c r="M2357" s="1130"/>
      <c r="N2357" s="1130"/>
      <c r="O2357" s="1130"/>
      <c r="P2357" s="1130"/>
      <c r="AB2357" s="1044"/>
    </row>
    <row r="2358" spans="1:28">
      <c r="A2358" s="1083"/>
      <c r="I2358" s="1130"/>
      <c r="J2358" s="1130"/>
      <c r="K2358" s="1130"/>
      <c r="L2358" s="1130"/>
      <c r="M2358" s="1130"/>
      <c r="N2358" s="1130"/>
      <c r="O2358" s="1130"/>
      <c r="P2358" s="1130"/>
      <c r="AB2358" s="1044"/>
    </row>
    <row r="2359" spans="1:28">
      <c r="A2359" s="1083"/>
      <c r="I2359" s="1130"/>
      <c r="J2359" s="1130"/>
      <c r="K2359" s="1130"/>
      <c r="L2359" s="1130"/>
      <c r="M2359" s="1130"/>
      <c r="N2359" s="1130"/>
      <c r="O2359" s="1130"/>
      <c r="P2359" s="1130"/>
      <c r="AB2359" s="1044"/>
    </row>
    <row r="2360" spans="1:28">
      <c r="A2360" s="1083"/>
      <c r="I2360" s="1130"/>
      <c r="J2360" s="1130"/>
      <c r="K2360" s="1130"/>
      <c r="L2360" s="1130"/>
      <c r="M2360" s="1130"/>
      <c r="N2360" s="1130"/>
      <c r="O2360" s="1130"/>
      <c r="P2360" s="1130"/>
      <c r="AB2360" s="1044"/>
    </row>
    <row r="2361" spans="1:28">
      <c r="A2361" s="1083"/>
      <c r="I2361" s="1130"/>
      <c r="J2361" s="1130"/>
      <c r="K2361" s="1130"/>
      <c r="L2361" s="1130"/>
      <c r="M2361" s="1130"/>
      <c r="N2361" s="1130"/>
      <c r="O2361" s="1130"/>
      <c r="P2361" s="1130"/>
      <c r="AB2361" s="1044"/>
    </row>
    <row r="2362" spans="1:28">
      <c r="A2362" s="1083"/>
      <c r="I2362" s="1130"/>
      <c r="J2362" s="1130"/>
      <c r="K2362" s="1130"/>
      <c r="L2362" s="1130"/>
      <c r="M2362" s="1130"/>
      <c r="N2362" s="1130"/>
      <c r="O2362" s="1130"/>
      <c r="P2362" s="1130"/>
      <c r="AB2362" s="1044"/>
    </row>
    <row r="2363" spans="1:28">
      <c r="A2363" s="1083"/>
      <c r="I2363" s="1130"/>
      <c r="J2363" s="1130"/>
      <c r="K2363" s="1130"/>
      <c r="L2363" s="1130"/>
      <c r="M2363" s="1130"/>
      <c r="N2363" s="1130"/>
      <c r="O2363" s="1130"/>
      <c r="P2363" s="1130"/>
      <c r="AB2363" s="1044"/>
    </row>
    <row r="2364" spans="1:28">
      <c r="A2364" s="1083"/>
      <c r="I2364" s="1130"/>
      <c r="J2364" s="1130"/>
      <c r="K2364" s="1130"/>
      <c r="L2364" s="1130"/>
      <c r="M2364" s="1130"/>
      <c r="N2364" s="1130"/>
      <c r="O2364" s="1130"/>
      <c r="P2364" s="1130"/>
      <c r="AB2364" s="1044"/>
    </row>
    <row r="2365" spans="1:28">
      <c r="A2365" s="1083"/>
      <c r="I2365" s="1130"/>
      <c r="J2365" s="1130"/>
      <c r="K2365" s="1130"/>
      <c r="L2365" s="1130"/>
      <c r="M2365" s="1130"/>
      <c r="N2365" s="1130"/>
      <c r="O2365" s="1130"/>
      <c r="P2365" s="1130"/>
      <c r="AB2365" s="1044"/>
    </row>
    <row r="2366" spans="1:28">
      <c r="A2366" s="1083"/>
      <c r="I2366" s="1130"/>
      <c r="J2366" s="1130"/>
      <c r="K2366" s="1130"/>
      <c r="L2366" s="1130"/>
      <c r="M2366" s="1130"/>
      <c r="N2366" s="1130"/>
      <c r="O2366" s="1130"/>
      <c r="P2366" s="1130"/>
      <c r="AB2366" s="1044"/>
    </row>
    <row r="2367" spans="1:28">
      <c r="A2367" s="1083"/>
      <c r="I2367" s="1130"/>
      <c r="J2367" s="1130"/>
      <c r="K2367" s="1130"/>
      <c r="L2367" s="1130"/>
      <c r="M2367" s="1130"/>
      <c r="N2367" s="1130"/>
      <c r="O2367" s="1130"/>
      <c r="P2367" s="1130"/>
      <c r="AB2367" s="1044"/>
    </row>
    <row r="2368" spans="1:28">
      <c r="A2368" s="1083"/>
      <c r="I2368" s="1130"/>
      <c r="J2368" s="1130"/>
      <c r="K2368" s="1130"/>
      <c r="L2368" s="1130"/>
      <c r="M2368" s="1130"/>
      <c r="N2368" s="1130"/>
      <c r="O2368" s="1130"/>
      <c r="P2368" s="1130"/>
      <c r="AB2368" s="1044"/>
    </row>
    <row r="2369" spans="1:28">
      <c r="A2369" s="1083"/>
      <c r="I2369" s="1130"/>
      <c r="J2369" s="1130"/>
      <c r="K2369" s="1130"/>
      <c r="L2369" s="1130"/>
      <c r="M2369" s="1130"/>
      <c r="N2369" s="1130"/>
      <c r="O2369" s="1130"/>
      <c r="P2369" s="1130"/>
      <c r="AB2369" s="1044"/>
    </row>
    <row r="2370" spans="1:28">
      <c r="A2370" s="1083"/>
      <c r="I2370" s="1130"/>
      <c r="J2370" s="1130"/>
      <c r="K2370" s="1130"/>
      <c r="L2370" s="1130"/>
      <c r="M2370" s="1130"/>
      <c r="N2370" s="1130"/>
      <c r="O2370" s="1130"/>
      <c r="P2370" s="1130"/>
      <c r="AB2370" s="1044"/>
    </row>
    <row r="2371" spans="1:28">
      <c r="A2371" s="1083"/>
      <c r="I2371" s="1130"/>
      <c r="J2371" s="1130"/>
      <c r="K2371" s="1130"/>
      <c r="L2371" s="1130"/>
      <c r="M2371" s="1130"/>
      <c r="N2371" s="1130"/>
      <c r="O2371" s="1130"/>
      <c r="P2371" s="1130"/>
      <c r="AB2371" s="1044"/>
    </row>
    <row r="2372" spans="1:28">
      <c r="A2372" s="1083"/>
      <c r="I2372" s="1130"/>
      <c r="J2372" s="1130"/>
      <c r="K2372" s="1130"/>
      <c r="L2372" s="1130"/>
      <c r="M2372" s="1130"/>
      <c r="N2372" s="1130"/>
      <c r="O2372" s="1130"/>
      <c r="P2372" s="1130"/>
      <c r="AB2372" s="1044"/>
    </row>
    <row r="2373" spans="1:28">
      <c r="A2373" s="1083"/>
      <c r="I2373" s="1130"/>
      <c r="J2373" s="1130"/>
      <c r="K2373" s="1130"/>
      <c r="L2373" s="1130"/>
      <c r="M2373" s="1130"/>
      <c r="N2373" s="1130"/>
      <c r="O2373" s="1130"/>
      <c r="P2373" s="1130"/>
      <c r="AB2373" s="1044"/>
    </row>
    <row r="2374" spans="1:28">
      <c r="A2374" s="1083"/>
      <c r="I2374" s="1130"/>
      <c r="J2374" s="1130"/>
      <c r="K2374" s="1130"/>
      <c r="L2374" s="1130"/>
      <c r="M2374" s="1130"/>
      <c r="N2374" s="1130"/>
      <c r="O2374" s="1130"/>
      <c r="P2374" s="1130"/>
      <c r="AB2374" s="1044"/>
    </row>
    <row r="2375" spans="1:28">
      <c r="A2375" s="1083"/>
      <c r="I2375" s="1130"/>
      <c r="J2375" s="1130"/>
      <c r="K2375" s="1130"/>
      <c r="L2375" s="1130"/>
      <c r="M2375" s="1130"/>
      <c r="N2375" s="1130"/>
      <c r="O2375" s="1130"/>
      <c r="P2375" s="1130"/>
      <c r="AB2375" s="1044"/>
    </row>
    <row r="2376" spans="1:28">
      <c r="A2376" s="1083"/>
      <c r="I2376" s="1130"/>
      <c r="J2376" s="1130"/>
      <c r="K2376" s="1130"/>
      <c r="L2376" s="1130"/>
      <c r="M2376" s="1130"/>
      <c r="N2376" s="1130"/>
      <c r="O2376" s="1130"/>
      <c r="P2376" s="1130"/>
      <c r="AB2376" s="1044"/>
    </row>
    <row r="2377" spans="1:28">
      <c r="A2377" s="1083"/>
      <c r="I2377" s="1130"/>
      <c r="J2377" s="1130"/>
      <c r="K2377" s="1130"/>
      <c r="L2377" s="1130"/>
      <c r="M2377" s="1130"/>
      <c r="N2377" s="1130"/>
      <c r="O2377" s="1130"/>
      <c r="P2377" s="1130"/>
      <c r="AB2377" s="1044"/>
    </row>
    <row r="2378" spans="1:28">
      <c r="A2378" s="1083"/>
      <c r="I2378" s="1130"/>
      <c r="J2378" s="1130"/>
      <c r="K2378" s="1130"/>
      <c r="L2378" s="1130"/>
      <c r="M2378" s="1130"/>
      <c r="N2378" s="1130"/>
      <c r="O2378" s="1130"/>
      <c r="P2378" s="1130"/>
      <c r="AB2378" s="1044"/>
    </row>
    <row r="2379" spans="1:28">
      <c r="A2379" s="1083"/>
      <c r="I2379" s="1130"/>
      <c r="J2379" s="1130"/>
      <c r="K2379" s="1130"/>
      <c r="L2379" s="1130"/>
      <c r="M2379" s="1130"/>
      <c r="N2379" s="1130"/>
      <c r="O2379" s="1130"/>
      <c r="P2379" s="1130"/>
      <c r="AB2379" s="1044"/>
    </row>
    <row r="2380" spans="1:28">
      <c r="A2380" s="1083"/>
      <c r="I2380" s="1130"/>
      <c r="J2380" s="1130"/>
      <c r="K2380" s="1130"/>
      <c r="L2380" s="1130"/>
      <c r="M2380" s="1130"/>
      <c r="N2380" s="1130"/>
      <c r="O2380" s="1130"/>
      <c r="P2380" s="1130"/>
      <c r="AB2380" s="1044"/>
    </row>
    <row r="2381" spans="1:28">
      <c r="A2381" s="1083"/>
      <c r="I2381" s="1130"/>
      <c r="J2381" s="1130"/>
      <c r="K2381" s="1130"/>
      <c r="L2381" s="1130"/>
      <c r="M2381" s="1130"/>
      <c r="N2381" s="1130"/>
      <c r="O2381" s="1130"/>
      <c r="P2381" s="1130"/>
      <c r="AB2381" s="1044"/>
    </row>
    <row r="2382" spans="1:28">
      <c r="A2382" s="1083"/>
      <c r="I2382" s="1130"/>
      <c r="J2382" s="1130"/>
      <c r="K2382" s="1130"/>
      <c r="L2382" s="1130"/>
      <c r="M2382" s="1130"/>
      <c r="N2382" s="1130"/>
      <c r="O2382" s="1130"/>
      <c r="P2382" s="1130"/>
      <c r="AB2382" s="1044"/>
    </row>
    <row r="2383" spans="1:28">
      <c r="A2383" s="1083"/>
      <c r="I2383" s="1130"/>
      <c r="J2383" s="1130"/>
      <c r="K2383" s="1130"/>
      <c r="L2383" s="1130"/>
      <c r="M2383" s="1130"/>
      <c r="N2383" s="1130"/>
      <c r="O2383" s="1130"/>
      <c r="P2383" s="1130"/>
      <c r="AB2383" s="1044"/>
    </row>
    <row r="2384" spans="1:28">
      <c r="A2384" s="1083"/>
      <c r="I2384" s="1130"/>
      <c r="J2384" s="1130"/>
      <c r="K2384" s="1130"/>
      <c r="L2384" s="1130"/>
      <c r="M2384" s="1130"/>
      <c r="N2384" s="1130"/>
      <c r="O2384" s="1130"/>
      <c r="P2384" s="1130"/>
      <c r="AB2384" s="1044"/>
    </row>
    <row r="2385" spans="1:28">
      <c r="A2385" s="1083"/>
      <c r="I2385" s="1130"/>
      <c r="J2385" s="1130"/>
      <c r="K2385" s="1130"/>
      <c r="L2385" s="1130"/>
      <c r="M2385" s="1130"/>
      <c r="N2385" s="1130"/>
      <c r="O2385" s="1130"/>
      <c r="P2385" s="1130"/>
      <c r="AB2385" s="1044"/>
    </row>
    <row r="2386" spans="1:28">
      <c r="A2386" s="1083"/>
      <c r="I2386" s="1130"/>
      <c r="J2386" s="1130"/>
      <c r="K2386" s="1130"/>
      <c r="L2386" s="1130"/>
      <c r="M2386" s="1130"/>
      <c r="N2386" s="1130"/>
      <c r="O2386" s="1130"/>
      <c r="P2386" s="1130"/>
      <c r="AB2386" s="1044"/>
    </row>
    <row r="2387" spans="1:28">
      <c r="A2387" s="1083"/>
      <c r="I2387" s="1130"/>
      <c r="J2387" s="1130"/>
      <c r="K2387" s="1130"/>
      <c r="L2387" s="1130"/>
      <c r="M2387" s="1130"/>
      <c r="N2387" s="1130"/>
      <c r="O2387" s="1130"/>
      <c r="P2387" s="1130"/>
      <c r="AB2387" s="1044"/>
    </row>
    <row r="2388" spans="1:28">
      <c r="A2388" s="1083"/>
      <c r="I2388" s="1130"/>
      <c r="J2388" s="1130"/>
      <c r="K2388" s="1130"/>
      <c r="L2388" s="1130"/>
      <c r="M2388" s="1130"/>
      <c r="N2388" s="1130"/>
      <c r="O2388" s="1130"/>
      <c r="P2388" s="1130"/>
      <c r="AB2388" s="1044"/>
    </row>
    <row r="2389" spans="1:28">
      <c r="A2389" s="1083"/>
      <c r="I2389" s="1130"/>
      <c r="J2389" s="1130"/>
      <c r="K2389" s="1130"/>
      <c r="L2389" s="1130"/>
      <c r="M2389" s="1130"/>
      <c r="N2389" s="1130"/>
      <c r="O2389" s="1130"/>
      <c r="P2389" s="1130"/>
      <c r="AB2389" s="1044"/>
    </row>
    <row r="2390" spans="1:28">
      <c r="A2390" s="1083"/>
      <c r="I2390" s="1130"/>
      <c r="J2390" s="1130"/>
      <c r="K2390" s="1130"/>
      <c r="L2390" s="1130"/>
      <c r="M2390" s="1130"/>
      <c r="N2390" s="1130"/>
      <c r="O2390" s="1130"/>
      <c r="P2390" s="1130"/>
      <c r="AB2390" s="1044"/>
    </row>
    <row r="2391" spans="1:28">
      <c r="A2391" s="1083"/>
      <c r="I2391" s="1130"/>
      <c r="J2391" s="1130"/>
      <c r="K2391" s="1130"/>
      <c r="L2391" s="1130"/>
      <c r="M2391" s="1130"/>
      <c r="N2391" s="1130"/>
      <c r="O2391" s="1130"/>
      <c r="P2391" s="1130"/>
      <c r="AB2391" s="1044"/>
    </row>
    <row r="2392" spans="1:28">
      <c r="A2392" s="1083"/>
      <c r="I2392" s="1130"/>
      <c r="J2392" s="1130"/>
      <c r="K2392" s="1130"/>
      <c r="L2392" s="1130"/>
      <c r="M2392" s="1130"/>
      <c r="N2392" s="1130"/>
      <c r="O2392" s="1130"/>
      <c r="P2392" s="1130"/>
      <c r="AB2392" s="1044"/>
    </row>
    <row r="2393" spans="1:28">
      <c r="A2393" s="1083"/>
      <c r="I2393" s="1130"/>
      <c r="J2393" s="1130"/>
      <c r="K2393" s="1130"/>
      <c r="L2393" s="1130"/>
      <c r="M2393" s="1130"/>
      <c r="N2393" s="1130"/>
      <c r="O2393" s="1130"/>
      <c r="P2393" s="1130"/>
      <c r="AB2393" s="1044"/>
    </row>
    <row r="2394" spans="1:28">
      <c r="A2394" s="1083"/>
      <c r="I2394" s="1130"/>
      <c r="J2394" s="1130"/>
      <c r="K2394" s="1130"/>
      <c r="L2394" s="1130"/>
      <c r="M2394" s="1130"/>
      <c r="N2394" s="1130"/>
      <c r="O2394" s="1130"/>
      <c r="P2394" s="1130"/>
      <c r="AB2394" s="1044"/>
    </row>
    <row r="2395" spans="1:28">
      <c r="A2395" s="1083"/>
      <c r="I2395" s="1130"/>
      <c r="J2395" s="1130"/>
      <c r="K2395" s="1130"/>
      <c r="L2395" s="1130"/>
      <c r="M2395" s="1130"/>
      <c r="N2395" s="1130"/>
      <c r="O2395" s="1130"/>
      <c r="P2395" s="1130"/>
      <c r="AB2395" s="1044"/>
    </row>
    <row r="2396" spans="1:28">
      <c r="A2396" s="1083"/>
      <c r="I2396" s="1130"/>
      <c r="J2396" s="1130"/>
      <c r="K2396" s="1130"/>
      <c r="L2396" s="1130"/>
      <c r="M2396" s="1130"/>
      <c r="N2396" s="1130"/>
      <c r="O2396" s="1130"/>
      <c r="P2396" s="1130"/>
      <c r="AB2396" s="1044"/>
    </row>
    <row r="2397" spans="1:28">
      <c r="A2397" s="1083"/>
      <c r="I2397" s="1130"/>
      <c r="J2397" s="1130"/>
      <c r="K2397" s="1130"/>
      <c r="L2397" s="1130"/>
      <c r="M2397" s="1130"/>
      <c r="N2397" s="1130"/>
      <c r="O2397" s="1130"/>
      <c r="P2397" s="1130"/>
      <c r="AB2397" s="1044"/>
    </row>
    <row r="2398" spans="1:28">
      <c r="A2398" s="1083"/>
      <c r="I2398" s="1130"/>
      <c r="J2398" s="1130"/>
      <c r="K2398" s="1130"/>
      <c r="L2398" s="1130"/>
      <c r="M2398" s="1130"/>
      <c r="N2398" s="1130"/>
      <c r="O2398" s="1130"/>
      <c r="P2398" s="1130"/>
      <c r="AB2398" s="1044"/>
    </row>
    <row r="2399" spans="1:28">
      <c r="A2399" s="1083"/>
      <c r="I2399" s="1130"/>
      <c r="J2399" s="1130"/>
      <c r="K2399" s="1130"/>
      <c r="L2399" s="1130"/>
      <c r="M2399" s="1130"/>
      <c r="N2399" s="1130"/>
      <c r="O2399" s="1130"/>
      <c r="P2399" s="1130"/>
      <c r="AB2399" s="1044"/>
    </row>
    <row r="2400" spans="1:28">
      <c r="A2400" s="1083"/>
      <c r="I2400" s="1130"/>
      <c r="J2400" s="1130"/>
      <c r="K2400" s="1130"/>
      <c r="L2400" s="1130"/>
      <c r="M2400" s="1130"/>
      <c r="N2400" s="1130"/>
      <c r="O2400" s="1130"/>
      <c r="P2400" s="1130"/>
      <c r="AB2400" s="1044"/>
    </row>
    <row r="2401" spans="1:31">
      <c r="A2401" s="1083"/>
      <c r="I2401" s="1130"/>
      <c r="J2401" s="1130"/>
      <c r="K2401" s="1130"/>
      <c r="L2401" s="1130"/>
      <c r="M2401" s="1130"/>
      <c r="N2401" s="1130"/>
      <c r="O2401" s="1130"/>
      <c r="P2401" s="1130"/>
      <c r="AB2401" s="1044"/>
    </row>
    <row r="2402" spans="1:31">
      <c r="A2402" s="1083"/>
      <c r="I2402" s="1130"/>
      <c r="J2402" s="1130"/>
      <c r="K2402" s="1130"/>
      <c r="L2402" s="1130"/>
      <c r="M2402" s="1130"/>
      <c r="N2402" s="1130"/>
      <c r="O2402" s="1130"/>
      <c r="P2402" s="1130"/>
      <c r="AB2402" s="1044"/>
    </row>
    <row r="2403" spans="1:31">
      <c r="A2403" s="1083"/>
      <c r="I2403" s="1130"/>
      <c r="J2403" s="1130"/>
      <c r="K2403" s="1130"/>
      <c r="L2403" s="1130"/>
      <c r="M2403" s="1130"/>
      <c r="N2403" s="1130"/>
      <c r="O2403" s="1130"/>
      <c r="P2403" s="1130"/>
      <c r="AB2403" s="1044"/>
    </row>
    <row r="2404" spans="1:31">
      <c r="A2404" s="1083"/>
      <c r="I2404" s="1130"/>
      <c r="J2404" s="1130"/>
      <c r="K2404" s="1130"/>
      <c r="L2404" s="1130"/>
      <c r="M2404" s="1130"/>
      <c r="N2404" s="1130"/>
      <c r="O2404" s="1130"/>
      <c r="P2404" s="1130"/>
      <c r="AB2404" s="1044"/>
    </row>
    <row r="2405" spans="1:31">
      <c r="A2405" s="1083"/>
      <c r="I2405" s="1130"/>
      <c r="J2405" s="1130"/>
      <c r="K2405" s="1130"/>
      <c r="L2405" s="1130"/>
      <c r="M2405" s="1130"/>
      <c r="N2405" s="1130"/>
      <c r="O2405" s="1130"/>
      <c r="P2405" s="1130"/>
      <c r="AB2405" s="1044"/>
    </row>
    <row r="2406" spans="1:31">
      <c r="A2406" s="1083"/>
      <c r="I2406" s="1130"/>
      <c r="J2406" s="1130"/>
      <c r="K2406" s="1130"/>
      <c r="L2406" s="1130"/>
      <c r="M2406" s="1130"/>
      <c r="N2406" s="1130"/>
      <c r="O2406" s="1130"/>
      <c r="P2406" s="1130"/>
      <c r="AB2406" s="1044"/>
    </row>
    <row r="2407" spans="1:31">
      <c r="A2407" s="1083"/>
      <c r="I2407" s="1130"/>
      <c r="J2407" s="1130"/>
      <c r="K2407" s="1130"/>
      <c r="L2407" s="1130"/>
      <c r="M2407" s="1130"/>
      <c r="N2407" s="1130"/>
      <c r="O2407" s="1130"/>
      <c r="P2407" s="1130"/>
      <c r="AB2407" s="1044"/>
    </row>
    <row r="2408" spans="1:31">
      <c r="A2408" s="1083"/>
      <c r="I2408" s="1130"/>
      <c r="J2408" s="1130"/>
      <c r="K2408" s="1130"/>
      <c r="L2408" s="1130"/>
      <c r="M2408" s="1130"/>
      <c r="N2408" s="1130"/>
      <c r="O2408" s="1130"/>
      <c r="P2408" s="1130"/>
      <c r="AB2408" s="1044"/>
    </row>
    <row r="2409" spans="1:31">
      <c r="A2409" s="1083"/>
      <c r="I2409" s="1130"/>
      <c r="J2409" s="1130"/>
      <c r="K2409" s="1130"/>
      <c r="L2409" s="1130"/>
      <c r="M2409" s="1130"/>
      <c r="N2409" s="1130"/>
      <c r="O2409" s="1130"/>
      <c r="P2409" s="1130"/>
      <c r="AB2409" s="1044"/>
    </row>
    <row r="2410" spans="1:31">
      <c r="A2410" s="1083"/>
      <c r="I2410" s="1130"/>
      <c r="J2410" s="1130"/>
      <c r="K2410" s="1130"/>
      <c r="L2410" s="1130"/>
      <c r="M2410" s="1130"/>
      <c r="N2410" s="1130"/>
      <c r="O2410" s="1130"/>
      <c r="P2410" s="1130"/>
      <c r="AB2410" s="1044"/>
    </row>
    <row r="2411" spans="1:31">
      <c r="A2411" s="1083"/>
      <c r="I2411" s="1130"/>
      <c r="J2411" s="1130"/>
      <c r="K2411" s="1130"/>
      <c r="L2411" s="1130"/>
      <c r="M2411" s="1130"/>
      <c r="N2411" s="1130"/>
      <c r="O2411" s="1130"/>
      <c r="P2411" s="1130"/>
      <c r="AB2411" s="1044"/>
    </row>
    <row r="2412" spans="1:31">
      <c r="A2412" s="1083"/>
      <c r="I2412" s="1130"/>
      <c r="J2412" s="1130"/>
      <c r="K2412" s="1130"/>
      <c r="L2412" s="1130"/>
      <c r="M2412" s="1130"/>
      <c r="N2412" s="1130"/>
      <c r="O2412" s="1130"/>
      <c r="P2412" s="1130"/>
      <c r="AB2412" s="1044"/>
    </row>
    <row r="2413" spans="1:31">
      <c r="A2413" s="1045" t="s">
        <v>542</v>
      </c>
      <c r="B2413" s="1046"/>
      <c r="C2413" s="1046"/>
      <c r="D2413" s="1046"/>
      <c r="E2413" s="1046"/>
      <c r="F2413" s="1046"/>
      <c r="G2413" s="1046"/>
      <c r="H2413" s="1046"/>
      <c r="I2413" s="1046"/>
      <c r="J2413" s="1046"/>
      <c r="K2413" s="1046"/>
      <c r="L2413" s="1046"/>
      <c r="M2413" s="1046"/>
      <c r="N2413" s="1046"/>
      <c r="O2413" s="1046"/>
      <c r="P2413" s="1046"/>
      <c r="Q2413" s="1046"/>
      <c r="R2413" s="1046"/>
      <c r="S2413" s="1046"/>
      <c r="T2413" s="1046"/>
      <c r="U2413" s="1046"/>
      <c r="V2413" s="1046"/>
      <c r="W2413" s="1046"/>
      <c r="X2413" s="1046"/>
      <c r="Y2413" s="1046"/>
      <c r="Z2413" s="1046"/>
      <c r="AA2413" s="1046"/>
      <c r="AB2413" s="1047"/>
    </row>
    <row r="2414" ht="14.4" customHeight="1" spans="1:31">
      <c r="A2414" s="1048" t="s">
        <v>269</v>
      </c>
      <c r="B2414" s="1049"/>
      <c r="C2414" s="1049"/>
      <c r="D2414" s="1050"/>
      <c r="E2414" s="1051" t="s">
        <v>270</v>
      </c>
      <c r="F2414" s="1049"/>
      <c r="G2414" s="1049"/>
      <c r="H2414" s="1050"/>
      <c r="I2414" s="1104" t="s">
        <v>271</v>
      </c>
      <c r="J2414" s="1102"/>
      <c r="K2414" s="1102"/>
      <c r="L2414" s="1103"/>
      <c r="M2414" s="1104" t="s">
        <v>272</v>
      </c>
      <c r="N2414" s="1102"/>
      <c r="O2414" s="1102"/>
      <c r="P2414" s="1103"/>
      <c r="Q2414" s="1104" t="s">
        <v>273</v>
      </c>
      <c r="R2414" s="1102"/>
      <c r="S2414" s="1102"/>
      <c r="T2414" s="1103"/>
      <c r="U2414" s="1104" t="s">
        <v>274</v>
      </c>
      <c r="V2414" s="1102"/>
      <c r="W2414" s="1102"/>
      <c r="X2414" s="1103"/>
      <c r="Y2414" s="1104" t="s">
        <v>274</v>
      </c>
      <c r="Z2414" s="1102"/>
      <c r="AA2414" s="1102"/>
      <c r="AB2414" s="1106"/>
    </row>
    <row r="2415" spans="1:31">
      <c r="A2415" s="1058"/>
      <c r="B2415" s="1059"/>
      <c r="C2415" s="1059"/>
      <c r="D2415" s="1060"/>
      <c r="E2415" s="1061"/>
      <c r="F2415" s="1059"/>
      <c r="G2415" s="1059"/>
      <c r="H2415" s="1060"/>
      <c r="I2415" s="1061" t="s">
        <v>275</v>
      </c>
      <c r="J2415" s="1059"/>
      <c r="K2415" s="1059"/>
      <c r="L2415" s="1060"/>
      <c r="M2415" s="1061" t="s">
        <v>276</v>
      </c>
      <c r="N2415" s="1059"/>
      <c r="O2415" s="1059"/>
      <c r="P2415" s="1060"/>
      <c r="Q2415" s="1061" t="s">
        <v>277</v>
      </c>
      <c r="R2415" s="1059"/>
      <c r="S2415" s="1059"/>
      <c r="T2415" s="1060"/>
      <c r="U2415" s="1061" t="s">
        <v>277</v>
      </c>
      <c r="V2415" s="1059"/>
      <c r="W2415" s="1059"/>
      <c r="X2415" s="1060"/>
      <c r="Y2415" s="1061" t="s">
        <v>278</v>
      </c>
      <c r="Z2415" s="1059"/>
      <c r="AA2415" s="1059"/>
      <c r="AB2415" s="1108"/>
    </row>
    <row r="2416" spans="1:31">
      <c r="A2416" s="1122" t="s">
        <v>279</v>
      </c>
      <c r="B2416" s="1073"/>
      <c r="C2416" s="1073"/>
      <c r="D2416" s="1073"/>
      <c r="E2416" s="1069">
        <v>2</v>
      </c>
      <c r="F2416" s="1069"/>
      <c r="G2416" s="1069"/>
      <c r="H2416" s="1069"/>
      <c r="I2416" s="1160">
        <v>8</v>
      </c>
      <c r="J2416" s="1160"/>
      <c r="K2416" s="1160"/>
      <c r="L2416" s="1160"/>
      <c r="M2416" s="1160">
        <f>143*4</f>
        <v>572</v>
      </c>
      <c r="N2416" s="1160"/>
      <c r="O2416" s="1160"/>
      <c r="P2416" s="1160"/>
      <c r="Q2416" s="1160">
        <v>300</v>
      </c>
      <c r="R2416" s="1160"/>
      <c r="S2416" s="1160"/>
      <c r="T2416" s="1160"/>
      <c r="U2416" s="1161">
        <f t="shared" ref="U2416:U2417" si="18">M2416*Q2416</f>
        <v>171600</v>
      </c>
      <c r="V2416" s="1161"/>
      <c r="W2416" s="1161"/>
      <c r="X2416" s="1161"/>
      <c r="Y2416" s="1162">
        <f>U2416/100</f>
        <v>1716</v>
      </c>
      <c r="Z2416" s="1162"/>
      <c r="AA2416" s="1162"/>
      <c r="AB2416" s="1163"/>
      <c r="AE2416" s="1164"/>
    </row>
    <row r="2417" spans="1:31">
      <c r="A2417" s="1122" t="s">
        <v>279</v>
      </c>
      <c r="B2417" s="1073"/>
      <c r="C2417" s="1073"/>
      <c r="D2417" s="1073"/>
      <c r="E2417" s="1069">
        <v>3</v>
      </c>
      <c r="F2417" s="1069"/>
      <c r="G2417" s="1069"/>
      <c r="H2417" s="1069"/>
      <c r="I2417" s="1160">
        <v>8</v>
      </c>
      <c r="J2417" s="1160"/>
      <c r="K2417" s="1160"/>
      <c r="L2417" s="1160"/>
      <c r="M2417" s="1160">
        <v>40</v>
      </c>
      <c r="N2417" s="1160"/>
      <c r="O2417" s="1160"/>
      <c r="P2417" s="1160"/>
      <c r="Q2417" s="1160">
        <v>1200</v>
      </c>
      <c r="R2417" s="1160"/>
      <c r="S2417" s="1160"/>
      <c r="T2417" s="1160"/>
      <c r="U2417" s="1161">
        <f t="shared" si="18"/>
        <v>48000</v>
      </c>
      <c r="V2417" s="1161"/>
      <c r="W2417" s="1161"/>
      <c r="X2417" s="1161"/>
      <c r="Y2417" s="1162">
        <f>U2417/100</f>
        <v>480</v>
      </c>
      <c r="Z2417" s="1162"/>
      <c r="AA2417" s="1162"/>
      <c r="AB2417" s="1163"/>
      <c r="AE2417" s="1164"/>
    </row>
    <row r="2418" spans="1:31">
      <c r="A2418" s="1122" t="s">
        <v>279</v>
      </c>
      <c r="B2418" s="1073"/>
      <c r="C2418" s="1073"/>
      <c r="D2418" s="1073"/>
      <c r="E2418" s="1069">
        <v>4</v>
      </c>
      <c r="F2418" s="1069"/>
      <c r="G2418" s="1069"/>
      <c r="H2418" s="1069"/>
      <c r="I2418" s="1160">
        <v>8</v>
      </c>
      <c r="J2418" s="1160"/>
      <c r="K2418" s="1160"/>
      <c r="L2418" s="1160"/>
      <c r="M2418" s="1160">
        <v>40</v>
      </c>
      <c r="N2418" s="1160"/>
      <c r="O2418" s="1160"/>
      <c r="P2418" s="1160"/>
      <c r="Q2418" s="1160">
        <v>315</v>
      </c>
      <c r="R2418" s="1160"/>
      <c r="S2418" s="1160"/>
      <c r="T2418" s="1160"/>
      <c r="U2418" s="1161">
        <f t="shared" ref="U2418:U2423" si="19">M2418*Q2418</f>
        <v>12600</v>
      </c>
      <c r="V2418" s="1161"/>
      <c r="W2418" s="1161"/>
      <c r="X2418" s="1161"/>
      <c r="Y2418" s="1162">
        <f t="shared" ref="Y2418:Y2422" si="20">U2418/100</f>
        <v>126</v>
      </c>
      <c r="Z2418" s="1162"/>
      <c r="AA2418" s="1162"/>
      <c r="AB2418" s="1163"/>
      <c r="AE2418" s="1164"/>
    </row>
    <row r="2419" spans="1:31">
      <c r="A2419" s="1122" t="s">
        <v>279</v>
      </c>
      <c r="B2419" s="1073"/>
      <c r="C2419" s="1073"/>
      <c r="D2419" s="1073"/>
      <c r="E2419" s="1069">
        <v>5</v>
      </c>
      <c r="F2419" s="1069"/>
      <c r="G2419" s="1069"/>
      <c r="H2419" s="1069"/>
      <c r="I2419" s="1160">
        <v>8</v>
      </c>
      <c r="J2419" s="1160"/>
      <c r="K2419" s="1160"/>
      <c r="L2419" s="1160"/>
      <c r="M2419" s="1160">
        <v>200</v>
      </c>
      <c r="N2419" s="1160"/>
      <c r="O2419" s="1160"/>
      <c r="P2419" s="1160"/>
      <c r="Q2419" s="1160">
        <v>60</v>
      </c>
      <c r="R2419" s="1160"/>
      <c r="S2419" s="1160"/>
      <c r="T2419" s="1160"/>
      <c r="U2419" s="1161">
        <f t="shared" si="19"/>
        <v>12000</v>
      </c>
      <c r="V2419" s="1161"/>
      <c r="W2419" s="1161"/>
      <c r="X2419" s="1161"/>
      <c r="Y2419" s="1162">
        <f t="shared" si="20"/>
        <v>120</v>
      </c>
      <c r="Z2419" s="1162"/>
      <c r="AA2419" s="1162"/>
      <c r="AB2419" s="1163"/>
      <c r="AE2419" s="1164"/>
    </row>
    <row r="2420" spans="1:31">
      <c r="A2420" s="1122" t="s">
        <v>279</v>
      </c>
      <c r="B2420" s="1073"/>
      <c r="C2420" s="1073"/>
      <c r="D2420" s="1073"/>
      <c r="E2420" s="1069">
        <v>6</v>
      </c>
      <c r="F2420" s="1069"/>
      <c r="G2420" s="1069"/>
      <c r="H2420" s="1069"/>
      <c r="I2420" s="1160">
        <v>10</v>
      </c>
      <c r="J2420" s="1160"/>
      <c r="K2420" s="1160"/>
      <c r="L2420" s="1160"/>
      <c r="M2420" s="1160">
        <v>24</v>
      </c>
      <c r="N2420" s="1160"/>
      <c r="O2420" s="1160"/>
      <c r="P2420" s="1160"/>
      <c r="Q2420" s="1160">
        <v>1200</v>
      </c>
      <c r="R2420" s="1160"/>
      <c r="S2420" s="1160"/>
      <c r="T2420" s="1160"/>
      <c r="U2420" s="1161">
        <f t="shared" si="19"/>
        <v>28800</v>
      </c>
      <c r="V2420" s="1161"/>
      <c r="W2420" s="1161"/>
      <c r="X2420" s="1161"/>
      <c r="Y2420" s="1162">
        <f t="shared" si="20"/>
        <v>288</v>
      </c>
      <c r="Z2420" s="1162"/>
      <c r="AA2420" s="1162"/>
      <c r="AB2420" s="1163"/>
      <c r="AE2420" s="1164"/>
    </row>
    <row r="2421" spans="1:31">
      <c r="A2421" s="1122" t="s">
        <v>279</v>
      </c>
      <c r="B2421" s="1073"/>
      <c r="C2421" s="1073"/>
      <c r="D2421" s="1073"/>
      <c r="E2421" s="1069">
        <v>7</v>
      </c>
      <c r="F2421" s="1069"/>
      <c r="G2421" s="1069"/>
      <c r="H2421" s="1069"/>
      <c r="I2421" s="1160">
        <v>10</v>
      </c>
      <c r="J2421" s="1160"/>
      <c r="K2421" s="1160"/>
      <c r="L2421" s="1160"/>
      <c r="M2421" s="1160">
        <v>24</v>
      </c>
      <c r="N2421" s="1160"/>
      <c r="O2421" s="1160"/>
      <c r="P2421" s="1160"/>
      <c r="Q2421" s="1160">
        <v>255</v>
      </c>
      <c r="R2421" s="1160"/>
      <c r="S2421" s="1160"/>
      <c r="T2421" s="1160"/>
      <c r="U2421" s="1161">
        <f t="shared" si="19"/>
        <v>6120</v>
      </c>
      <c r="V2421" s="1161"/>
      <c r="W2421" s="1161"/>
      <c r="X2421" s="1161"/>
      <c r="Y2421" s="1162">
        <f t="shared" si="20"/>
        <v>61.2</v>
      </c>
      <c r="Z2421" s="1162"/>
      <c r="AA2421" s="1162"/>
      <c r="AB2421" s="1163"/>
      <c r="AE2421" s="1164"/>
    </row>
    <row r="2422" spans="1:31">
      <c r="A2422" s="1122" t="s">
        <v>279</v>
      </c>
      <c r="B2422" s="1073"/>
      <c r="C2422" s="1073"/>
      <c r="D2422" s="1073"/>
      <c r="E2422" s="1069">
        <v>8</v>
      </c>
      <c r="F2422" s="1069"/>
      <c r="G2422" s="1069"/>
      <c r="H2422" s="1069"/>
      <c r="I2422" s="1160">
        <v>25</v>
      </c>
      <c r="J2422" s="1160"/>
      <c r="K2422" s="1160"/>
      <c r="L2422" s="1160"/>
      <c r="M2422" s="1160">
        <v>28</v>
      </c>
      <c r="N2422" s="1160"/>
      <c r="O2422" s="1160"/>
      <c r="P2422" s="1160"/>
      <c r="Q2422" s="1160">
        <v>1200</v>
      </c>
      <c r="R2422" s="1160"/>
      <c r="S2422" s="1160"/>
      <c r="T2422" s="1160"/>
      <c r="U2422" s="1161">
        <f t="shared" si="19"/>
        <v>33600</v>
      </c>
      <c r="V2422" s="1161"/>
      <c r="W2422" s="1161"/>
      <c r="X2422" s="1161"/>
      <c r="Y2422" s="1162">
        <f t="shared" si="20"/>
        <v>336</v>
      </c>
      <c r="Z2422" s="1162"/>
      <c r="AA2422" s="1162"/>
      <c r="AB2422" s="1163"/>
      <c r="AE2422" s="1164"/>
    </row>
    <row r="2423" ht="15.75" spans="1:31">
      <c r="A2423" s="1133" t="s">
        <v>279</v>
      </c>
      <c r="B2423" s="1134"/>
      <c r="C2423" s="1134"/>
      <c r="D2423" s="1134"/>
      <c r="E2423" s="1137">
        <v>9</v>
      </c>
      <c r="F2423" s="1137"/>
      <c r="G2423" s="1137"/>
      <c r="H2423" s="1137"/>
      <c r="I2423" s="1138">
        <v>25</v>
      </c>
      <c r="J2423" s="1138"/>
      <c r="K2423" s="1138"/>
      <c r="L2423" s="1138"/>
      <c r="M2423" s="1138">
        <v>28</v>
      </c>
      <c r="N2423" s="1138"/>
      <c r="O2423" s="1138"/>
      <c r="P2423" s="1138"/>
      <c r="Q2423" s="1138">
        <v>255</v>
      </c>
      <c r="R2423" s="1138"/>
      <c r="S2423" s="1138"/>
      <c r="T2423" s="1138"/>
      <c r="U2423" s="1142">
        <f t="shared" si="19"/>
        <v>7140</v>
      </c>
      <c r="V2423" s="1142"/>
      <c r="W2423" s="1142"/>
      <c r="X2423" s="1142"/>
      <c r="Y2423" s="1169">
        <f t="shared" ref="Y2423" si="21">U2423/100</f>
        <v>71.4</v>
      </c>
      <c r="Z2423" s="1169"/>
      <c r="AA2423" s="1169"/>
      <c r="AB2423" s="1170"/>
      <c r="AE2423" s="1164"/>
    </row>
    <row r="2424" ht="15.75" spans="1:31">
      <c r="A2424" s="1083"/>
      <c r="AB2424" s="1044"/>
    </row>
    <row r="2425" spans="1:31">
      <c r="A2425" s="1083"/>
      <c r="K2425" s="1084" t="s">
        <v>511</v>
      </c>
      <c r="L2425" s="1085"/>
      <c r="M2425" s="1085"/>
      <c r="N2425" s="1085"/>
      <c r="O2425" s="1085"/>
      <c r="P2425" s="1085"/>
      <c r="Q2425" s="1085"/>
      <c r="R2425" s="1086"/>
      <c r="AB2425" s="1044"/>
    </row>
    <row r="2426" spans="1:31">
      <c r="A2426" s="1083"/>
      <c r="K2426" s="1087" t="s">
        <v>281</v>
      </c>
      <c r="L2426" s="1088"/>
      <c r="M2426" s="1088"/>
      <c r="N2426" s="1088"/>
      <c r="O2426" s="1088"/>
      <c r="P2426" s="1088"/>
      <c r="Q2426" s="1088"/>
      <c r="R2426" s="1089"/>
      <c r="AB2426" s="1044"/>
    </row>
    <row r="2427" spans="1:31">
      <c r="A2427" s="1083"/>
      <c r="K2427" s="1090"/>
      <c r="L2427" s="1091"/>
      <c r="M2427" s="1091"/>
      <c r="N2427" s="1091"/>
      <c r="O2427" s="1091"/>
      <c r="P2427" s="1091"/>
      <c r="Q2427" s="1091"/>
      <c r="R2427" s="1092"/>
      <c r="AB2427" s="1044"/>
    </row>
    <row r="2428" ht="15.75" spans="1:31">
      <c r="A2428" s="1083"/>
      <c r="K2428" s="1171">
        <f>ROUNDUP(ROUNDUP((((Y2416+Y2417+Y2418+Y2419)*((PI()*((I2417^2)/4))*7856.75))+((Y2420+Y2421)*((PI()*((I2420^2)/4))*7857.5))+((Y2422+Y2423)*((PI()*((I2422^2)/4))*7856.75)))/1000000,1)/0.05,0)*0.05</f>
        <v>2751.2</v>
      </c>
      <c r="L2428" s="1172"/>
      <c r="M2428" s="1172"/>
      <c r="N2428" s="1172"/>
      <c r="O2428" s="1172"/>
      <c r="P2428" s="1172"/>
      <c r="Q2428" s="1172"/>
      <c r="R2428" s="1173"/>
      <c r="AB2428" s="1044"/>
    </row>
    <row r="2429" ht="15.75" spans="1:31">
      <c r="A2429" s="1096"/>
      <c r="B2429" s="389"/>
      <c r="C2429" s="389"/>
      <c r="D2429" s="389"/>
      <c r="E2429" s="389"/>
      <c r="F2429" s="389"/>
      <c r="G2429" s="389"/>
      <c r="H2429" s="389"/>
      <c r="I2429" s="1097"/>
      <c r="J2429" s="1097"/>
      <c r="K2429" s="1097"/>
      <c r="L2429" s="1097"/>
      <c r="M2429" s="1097"/>
      <c r="N2429" s="1097"/>
      <c r="O2429" s="1097"/>
      <c r="P2429" s="1097"/>
      <c r="Q2429" s="389"/>
      <c r="R2429" s="389"/>
      <c r="S2429" s="389"/>
      <c r="T2429" s="389"/>
      <c r="U2429" s="389"/>
      <c r="V2429" s="389"/>
      <c r="W2429" s="389"/>
      <c r="X2429" s="389"/>
      <c r="Y2429" s="389"/>
      <c r="Z2429" s="389"/>
      <c r="AA2429" s="389"/>
      <c r="AB2429" s="1098"/>
    </row>
    <row r="2430" s="437" customFormat="1" spans="1:31">
      <c r="A2430" s="1040" t="s">
        <v>543</v>
      </c>
      <c r="B2430" s="1114"/>
      <c r="C2430" s="1114"/>
      <c r="D2430" s="1114"/>
      <c r="E2430" s="1114"/>
      <c r="F2430" s="1114"/>
      <c r="G2430" s="1114"/>
      <c r="H2430" s="1114"/>
      <c r="I2430" s="1129"/>
      <c r="J2430" s="1129"/>
      <c r="K2430" s="1129"/>
      <c r="L2430" s="1129"/>
      <c r="M2430" s="1129"/>
      <c r="N2430" s="1129"/>
      <c r="O2430" s="1129"/>
      <c r="P2430" s="1129"/>
      <c r="Q2430" s="1114"/>
      <c r="R2430" s="1114"/>
      <c r="S2430" s="1114"/>
      <c r="T2430" s="1114"/>
      <c r="U2430" s="1114"/>
      <c r="V2430" s="1114"/>
      <c r="W2430" s="1114"/>
      <c r="X2430" s="1114"/>
      <c r="Y2430" s="1114"/>
      <c r="Z2430" s="1114"/>
      <c r="AA2430" s="1114"/>
      <c r="AB2430" s="1115"/>
    </row>
    <row r="2431" spans="1:31">
      <c r="A2431" s="1083"/>
      <c r="I2431" s="1130"/>
      <c r="J2431" s="1130"/>
      <c r="K2431" s="1130"/>
      <c r="L2431" s="1130"/>
      <c r="M2431" s="1130"/>
      <c r="N2431" s="1130"/>
      <c r="O2431" s="1130"/>
      <c r="P2431" s="1130"/>
      <c r="AB2431" s="1044"/>
    </row>
    <row r="2432" spans="1:31">
      <c r="A2432" s="1083"/>
      <c r="I2432" s="1130"/>
      <c r="J2432" s="1130"/>
      <c r="K2432" s="1130"/>
      <c r="L2432" s="1130"/>
      <c r="M2432" s="1130"/>
      <c r="N2432" s="1130"/>
      <c r="O2432" s="1130"/>
      <c r="P2432" s="1130"/>
      <c r="AB2432" s="1044"/>
    </row>
    <row r="2433" spans="1:28">
      <c r="A2433" s="1083"/>
      <c r="I2433" s="1130"/>
      <c r="J2433" s="1130"/>
      <c r="K2433" s="1130"/>
      <c r="L2433" s="1130"/>
      <c r="M2433" s="1130"/>
      <c r="N2433" s="1130"/>
      <c r="O2433" s="1130"/>
      <c r="P2433" s="1130"/>
      <c r="AB2433" s="1044"/>
    </row>
    <row r="2434" spans="1:28">
      <c r="A2434" s="1083"/>
      <c r="I2434" s="1130"/>
      <c r="J2434" s="1130"/>
      <c r="K2434" s="1130"/>
      <c r="L2434" s="1130"/>
      <c r="M2434" s="1130"/>
      <c r="N2434" s="1130"/>
      <c r="O2434" s="1130"/>
      <c r="P2434" s="1130"/>
      <c r="AB2434" s="1044"/>
    </row>
    <row r="2435" spans="1:28">
      <c r="A2435" s="1083"/>
      <c r="I2435" s="1130"/>
      <c r="J2435" s="1130"/>
      <c r="K2435" s="1130"/>
      <c r="L2435" s="1130"/>
      <c r="M2435" s="1130"/>
      <c r="N2435" s="1130"/>
      <c r="O2435" s="1130"/>
      <c r="P2435" s="1130"/>
      <c r="AB2435" s="1044"/>
    </row>
    <row r="2436" spans="1:28">
      <c r="A2436" s="1083"/>
      <c r="I2436" s="1130"/>
      <c r="J2436" s="1130"/>
      <c r="K2436" s="1130"/>
      <c r="L2436" s="1130"/>
      <c r="M2436" s="1130"/>
      <c r="N2436" s="1130"/>
      <c r="O2436" s="1130"/>
      <c r="P2436" s="1130"/>
      <c r="AB2436" s="1044"/>
    </row>
    <row r="2437" spans="1:28">
      <c r="A2437" s="1083"/>
      <c r="I2437" s="1130"/>
      <c r="J2437" s="1130"/>
      <c r="K2437" s="1130"/>
      <c r="L2437" s="1130"/>
      <c r="M2437" s="1130"/>
      <c r="N2437" s="1130"/>
      <c r="O2437" s="1130"/>
      <c r="P2437" s="1130"/>
      <c r="AB2437" s="1044"/>
    </row>
    <row r="2438" spans="1:28">
      <c r="A2438" s="1083"/>
      <c r="I2438" s="1130"/>
      <c r="J2438" s="1130"/>
      <c r="K2438" s="1130"/>
      <c r="L2438" s="1130"/>
      <c r="M2438" s="1130"/>
      <c r="N2438" s="1130"/>
      <c r="O2438" s="1130"/>
      <c r="P2438" s="1130"/>
      <c r="AB2438" s="1044"/>
    </row>
    <row r="2439" spans="1:28">
      <c r="A2439" s="1083"/>
      <c r="I2439" s="1130"/>
      <c r="J2439" s="1130"/>
      <c r="K2439" s="1130"/>
      <c r="L2439" s="1130"/>
      <c r="M2439" s="1130"/>
      <c r="N2439" s="1130"/>
      <c r="O2439" s="1130"/>
      <c r="P2439" s="1130"/>
      <c r="AB2439" s="1044"/>
    </row>
    <row r="2440" spans="1:28">
      <c r="A2440" s="1083"/>
      <c r="I2440" s="1130"/>
      <c r="J2440" s="1130"/>
      <c r="K2440" s="1130"/>
      <c r="L2440" s="1130"/>
      <c r="M2440" s="1130"/>
      <c r="N2440" s="1130"/>
      <c r="O2440" s="1130"/>
      <c r="P2440" s="1130"/>
      <c r="AB2440" s="1044"/>
    </row>
    <row r="2441" spans="1:28">
      <c r="A2441" s="1083"/>
      <c r="I2441" s="1130"/>
      <c r="J2441" s="1130"/>
      <c r="K2441" s="1130"/>
      <c r="L2441" s="1130"/>
      <c r="M2441" s="1130"/>
      <c r="N2441" s="1130"/>
      <c r="O2441" s="1130"/>
      <c r="P2441" s="1130"/>
      <c r="AB2441" s="1044"/>
    </row>
    <row r="2442" spans="1:28">
      <c r="A2442" s="1083"/>
      <c r="I2442" s="1130"/>
      <c r="J2442" s="1130"/>
      <c r="K2442" s="1130"/>
      <c r="L2442" s="1130"/>
      <c r="M2442" s="1130"/>
      <c r="N2442" s="1130"/>
      <c r="O2442" s="1130"/>
      <c r="P2442" s="1130"/>
      <c r="AB2442" s="1044"/>
    </row>
    <row r="2443" spans="1:28">
      <c r="A2443" s="1083"/>
      <c r="I2443" s="1130"/>
      <c r="J2443" s="1130"/>
      <c r="K2443" s="1130"/>
      <c r="L2443" s="1130"/>
      <c r="M2443" s="1130"/>
      <c r="N2443" s="1130"/>
      <c r="O2443" s="1130"/>
      <c r="P2443" s="1130"/>
      <c r="AB2443" s="1044"/>
    </row>
    <row r="2444" spans="1:28">
      <c r="A2444" s="1083"/>
      <c r="I2444" s="1130"/>
      <c r="J2444" s="1130"/>
      <c r="K2444" s="1130"/>
      <c r="L2444" s="1130"/>
      <c r="M2444" s="1130"/>
      <c r="N2444" s="1130"/>
      <c r="O2444" s="1130"/>
      <c r="P2444" s="1130"/>
      <c r="AB2444" s="1044"/>
    </row>
    <row r="2445" spans="1:28">
      <c r="A2445" s="1083"/>
      <c r="I2445" s="1130"/>
      <c r="J2445" s="1130"/>
      <c r="K2445" s="1130"/>
      <c r="L2445" s="1130"/>
      <c r="M2445" s="1130"/>
      <c r="N2445" s="1130"/>
      <c r="O2445" s="1130"/>
      <c r="P2445" s="1130"/>
      <c r="AB2445" s="1044"/>
    </row>
    <row r="2446" spans="1:28">
      <c r="A2446" s="1083"/>
      <c r="I2446" s="1130"/>
      <c r="J2446" s="1130"/>
      <c r="K2446" s="1130"/>
      <c r="L2446" s="1130"/>
      <c r="M2446" s="1130"/>
      <c r="N2446" s="1130"/>
      <c r="O2446" s="1130"/>
      <c r="P2446" s="1130"/>
      <c r="AB2446" s="1044"/>
    </row>
    <row r="2447" spans="1:28">
      <c r="A2447" s="1083"/>
      <c r="I2447" s="1130"/>
      <c r="J2447" s="1130"/>
      <c r="K2447" s="1130"/>
      <c r="L2447" s="1130"/>
      <c r="M2447" s="1130"/>
      <c r="N2447" s="1130"/>
      <c r="O2447" s="1130"/>
      <c r="P2447" s="1130"/>
      <c r="AB2447" s="1044"/>
    </row>
    <row r="2448" spans="1:28">
      <c r="A2448" s="1083"/>
      <c r="I2448" s="1130"/>
      <c r="J2448" s="1130"/>
      <c r="K2448" s="1130"/>
      <c r="L2448" s="1130"/>
      <c r="M2448" s="1130"/>
      <c r="N2448" s="1130"/>
      <c r="O2448" s="1130"/>
      <c r="P2448" s="1130"/>
      <c r="AB2448" s="1044"/>
    </row>
    <row r="2449" spans="1:28">
      <c r="A2449" s="1083"/>
      <c r="I2449" s="1130"/>
      <c r="J2449" s="1130"/>
      <c r="K2449" s="1130"/>
      <c r="L2449" s="1130"/>
      <c r="M2449" s="1130"/>
      <c r="N2449" s="1130"/>
      <c r="O2449" s="1130"/>
      <c r="P2449" s="1130"/>
      <c r="AB2449" s="1044"/>
    </row>
    <row r="2450" spans="1:28">
      <c r="A2450" s="1083"/>
      <c r="I2450" s="1130"/>
      <c r="J2450" s="1130"/>
      <c r="K2450" s="1130"/>
      <c r="L2450" s="1130"/>
      <c r="M2450" s="1130"/>
      <c r="N2450" s="1130"/>
      <c r="O2450" s="1130"/>
      <c r="P2450" s="1130"/>
      <c r="AB2450" s="1044"/>
    </row>
    <row r="2451" spans="1:28">
      <c r="A2451" s="1083"/>
      <c r="I2451" s="1130"/>
      <c r="J2451" s="1130"/>
      <c r="K2451" s="1130"/>
      <c r="L2451" s="1130"/>
      <c r="M2451" s="1130"/>
      <c r="N2451" s="1130"/>
      <c r="O2451" s="1130"/>
      <c r="P2451" s="1130"/>
      <c r="AB2451" s="1044"/>
    </row>
    <row r="2452" spans="1:28">
      <c r="A2452" s="1083"/>
      <c r="I2452" s="1130"/>
      <c r="J2452" s="1130"/>
      <c r="K2452" s="1130"/>
      <c r="L2452" s="1130"/>
      <c r="M2452" s="1130"/>
      <c r="N2452" s="1130"/>
      <c r="O2452" s="1130"/>
      <c r="P2452" s="1130"/>
      <c r="AB2452" s="1044"/>
    </row>
    <row r="2453" spans="1:28">
      <c r="A2453" s="1083"/>
      <c r="I2453" s="1130"/>
      <c r="J2453" s="1130"/>
      <c r="K2453" s="1130"/>
      <c r="L2453" s="1130"/>
      <c r="M2453" s="1130"/>
      <c r="N2453" s="1130"/>
      <c r="O2453" s="1130"/>
      <c r="P2453" s="1130"/>
      <c r="AB2453" s="1044"/>
    </row>
    <row r="2454" spans="1:28">
      <c r="A2454" s="1083"/>
      <c r="I2454" s="1130"/>
      <c r="J2454" s="1130"/>
      <c r="K2454" s="1130"/>
      <c r="L2454" s="1130"/>
      <c r="M2454" s="1130"/>
      <c r="N2454" s="1130"/>
      <c r="O2454" s="1130"/>
      <c r="P2454" s="1130"/>
      <c r="AB2454" s="1044"/>
    </row>
    <row r="2455" spans="1:28">
      <c r="A2455" s="1083"/>
      <c r="I2455" s="1130"/>
      <c r="J2455" s="1130"/>
      <c r="K2455" s="1130"/>
      <c r="L2455" s="1130"/>
      <c r="M2455" s="1130"/>
      <c r="N2455" s="1130"/>
      <c r="O2455" s="1130"/>
      <c r="P2455" s="1130"/>
      <c r="AB2455" s="1044"/>
    </row>
    <row r="2456" spans="1:28">
      <c r="A2456" s="1083"/>
      <c r="I2456" s="1130"/>
      <c r="J2456" s="1130"/>
      <c r="K2456" s="1130"/>
      <c r="L2456" s="1130"/>
      <c r="M2456" s="1130"/>
      <c r="N2456" s="1130"/>
      <c r="O2456" s="1130"/>
      <c r="P2456" s="1130"/>
      <c r="AB2456" s="1044"/>
    </row>
    <row r="2457" spans="1:28">
      <c r="A2457" s="1083"/>
      <c r="I2457" s="1130"/>
      <c r="J2457" s="1130"/>
      <c r="K2457" s="1130"/>
      <c r="L2457" s="1130"/>
      <c r="M2457" s="1130"/>
      <c r="N2457" s="1130"/>
      <c r="O2457" s="1130"/>
      <c r="P2457" s="1130"/>
      <c r="AB2457" s="1044"/>
    </row>
    <row r="2458" spans="1:28">
      <c r="A2458" s="1083"/>
      <c r="I2458" s="1130"/>
      <c r="J2458" s="1130"/>
      <c r="K2458" s="1130"/>
      <c r="L2458" s="1130"/>
      <c r="M2458" s="1130"/>
      <c r="N2458" s="1130"/>
      <c r="O2458" s="1130"/>
      <c r="P2458" s="1130"/>
      <c r="AB2458" s="1044"/>
    </row>
    <row r="2459" spans="1:28">
      <c r="A2459" s="1083"/>
      <c r="I2459" s="1130"/>
      <c r="J2459" s="1130"/>
      <c r="K2459" s="1130"/>
      <c r="L2459" s="1130"/>
      <c r="M2459" s="1130"/>
      <c r="N2459" s="1130"/>
      <c r="O2459" s="1130"/>
      <c r="P2459" s="1130"/>
      <c r="AB2459" s="1044"/>
    </row>
    <row r="2460" spans="1:28">
      <c r="A2460" s="1083"/>
      <c r="I2460" s="1130"/>
      <c r="J2460" s="1130"/>
      <c r="K2460" s="1130"/>
      <c r="L2460" s="1130"/>
      <c r="M2460" s="1130"/>
      <c r="N2460" s="1130"/>
      <c r="O2460" s="1130"/>
      <c r="P2460" s="1130"/>
      <c r="AB2460" s="1044"/>
    </row>
    <row r="2461" spans="1:28">
      <c r="A2461" s="1083"/>
      <c r="I2461" s="1130"/>
      <c r="J2461" s="1130"/>
      <c r="K2461" s="1130"/>
      <c r="L2461" s="1130"/>
      <c r="M2461" s="1130"/>
      <c r="N2461" s="1130"/>
      <c r="O2461" s="1130"/>
      <c r="P2461" s="1130"/>
      <c r="AB2461" s="1044"/>
    </row>
    <row r="2462" spans="1:28">
      <c r="A2462" s="1083"/>
      <c r="I2462" s="1130"/>
      <c r="J2462" s="1130"/>
      <c r="K2462" s="1130"/>
      <c r="L2462" s="1130"/>
      <c r="M2462" s="1130"/>
      <c r="N2462" s="1130"/>
      <c r="O2462" s="1130"/>
      <c r="P2462" s="1130"/>
      <c r="AB2462" s="1044"/>
    </row>
    <row r="2463" spans="1:28">
      <c r="A2463" s="1083"/>
      <c r="I2463" s="1130"/>
      <c r="J2463" s="1130"/>
      <c r="K2463" s="1130"/>
      <c r="L2463" s="1130"/>
      <c r="M2463" s="1130"/>
      <c r="N2463" s="1130"/>
      <c r="O2463" s="1130"/>
      <c r="P2463" s="1130"/>
      <c r="AB2463" s="1044"/>
    </row>
    <row r="2464" spans="1:28">
      <c r="A2464" s="1083"/>
      <c r="I2464" s="1130"/>
      <c r="J2464" s="1130"/>
      <c r="K2464" s="1130"/>
      <c r="L2464" s="1130"/>
      <c r="M2464" s="1130"/>
      <c r="N2464" s="1130"/>
      <c r="O2464" s="1130"/>
      <c r="P2464" s="1130"/>
      <c r="AB2464" s="1044"/>
    </row>
    <row r="2465" spans="1:28">
      <c r="A2465" s="1083"/>
      <c r="I2465" s="1130"/>
      <c r="J2465" s="1130"/>
      <c r="K2465" s="1130"/>
      <c r="L2465" s="1130"/>
      <c r="M2465" s="1130"/>
      <c r="N2465" s="1130"/>
      <c r="O2465" s="1130"/>
      <c r="P2465" s="1130"/>
      <c r="AB2465" s="1044"/>
    </row>
    <row r="2466" spans="1:28">
      <c r="A2466" s="1083"/>
      <c r="I2466" s="1130"/>
      <c r="J2466" s="1130"/>
      <c r="K2466" s="1130"/>
      <c r="L2466" s="1130"/>
      <c r="M2466" s="1130"/>
      <c r="N2466" s="1130"/>
      <c r="O2466" s="1130"/>
      <c r="P2466" s="1130"/>
      <c r="AB2466" s="1044"/>
    </row>
    <row r="2467" spans="1:28">
      <c r="A2467" s="1083"/>
      <c r="I2467" s="1130"/>
      <c r="J2467" s="1130"/>
      <c r="K2467" s="1130"/>
      <c r="L2467" s="1130"/>
      <c r="M2467" s="1130"/>
      <c r="N2467" s="1130"/>
      <c r="O2467" s="1130"/>
      <c r="P2467" s="1130"/>
      <c r="AB2467" s="1044"/>
    </row>
    <row r="2468" spans="1:28">
      <c r="A2468" s="1083"/>
      <c r="I2468" s="1130"/>
      <c r="J2468" s="1130"/>
      <c r="K2468" s="1130"/>
      <c r="L2468" s="1130"/>
      <c r="M2468" s="1130"/>
      <c r="N2468" s="1130"/>
      <c r="O2468" s="1130"/>
      <c r="P2468" s="1130"/>
      <c r="AB2468" s="1044"/>
    </row>
    <row r="2469" spans="1:28">
      <c r="A2469" s="1083"/>
      <c r="I2469" s="1130"/>
      <c r="J2469" s="1130"/>
      <c r="K2469" s="1130"/>
      <c r="L2469" s="1130"/>
      <c r="M2469" s="1130"/>
      <c r="N2469" s="1130"/>
      <c r="O2469" s="1130"/>
      <c r="P2469" s="1130"/>
      <c r="AB2469" s="1044"/>
    </row>
    <row r="2470" spans="1:28">
      <c r="A2470" s="1083"/>
      <c r="I2470" s="1130"/>
      <c r="J2470" s="1130"/>
      <c r="K2470" s="1130"/>
      <c r="L2470" s="1130"/>
      <c r="M2470" s="1130"/>
      <c r="N2470" s="1130"/>
      <c r="O2470" s="1130"/>
      <c r="P2470" s="1130"/>
      <c r="AB2470" s="1044"/>
    </row>
    <row r="2471" spans="1:28">
      <c r="A2471" s="1083"/>
      <c r="I2471" s="1130"/>
      <c r="J2471" s="1130"/>
      <c r="K2471" s="1130"/>
      <c r="L2471" s="1130"/>
      <c r="M2471" s="1130"/>
      <c r="N2471" s="1130"/>
      <c r="O2471" s="1130"/>
      <c r="P2471" s="1130"/>
      <c r="AB2471" s="1044"/>
    </row>
    <row r="2472" spans="1:28">
      <c r="A2472" s="1083"/>
      <c r="I2472" s="1130"/>
      <c r="J2472" s="1130"/>
      <c r="K2472" s="1130"/>
      <c r="L2472" s="1130"/>
      <c r="M2472" s="1130"/>
      <c r="N2472" s="1130"/>
      <c r="O2472" s="1130"/>
      <c r="P2472" s="1130"/>
      <c r="AB2472" s="1044"/>
    </row>
    <row r="2473" spans="1:28">
      <c r="A2473" s="1083"/>
      <c r="I2473" s="1130"/>
      <c r="J2473" s="1130"/>
      <c r="K2473" s="1130"/>
      <c r="L2473" s="1130"/>
      <c r="M2473" s="1130"/>
      <c r="N2473" s="1130"/>
      <c r="O2473" s="1130"/>
      <c r="P2473" s="1130"/>
      <c r="AB2473" s="1044"/>
    </row>
    <row r="2474" spans="1:28">
      <c r="A2474" s="1083"/>
      <c r="I2474" s="1130"/>
      <c r="J2474" s="1130"/>
      <c r="K2474" s="1130"/>
      <c r="L2474" s="1130"/>
      <c r="M2474" s="1130"/>
      <c r="N2474" s="1130"/>
      <c r="O2474" s="1130"/>
      <c r="P2474" s="1130"/>
      <c r="AB2474" s="1044"/>
    </row>
    <row r="2475" spans="1:28">
      <c r="A2475" s="1083"/>
      <c r="I2475" s="1130"/>
      <c r="J2475" s="1130"/>
      <c r="K2475" s="1130"/>
      <c r="L2475" s="1130"/>
      <c r="M2475" s="1130"/>
      <c r="N2475" s="1130"/>
      <c r="O2475" s="1130"/>
      <c r="P2475" s="1130"/>
      <c r="AB2475" s="1044"/>
    </row>
    <row r="2476" spans="1:28">
      <c r="A2476" s="1083"/>
      <c r="I2476" s="1130"/>
      <c r="J2476" s="1130"/>
      <c r="K2476" s="1130"/>
      <c r="L2476" s="1130"/>
      <c r="M2476" s="1130"/>
      <c r="N2476" s="1130"/>
      <c r="O2476" s="1130"/>
      <c r="P2476" s="1130"/>
      <c r="AB2476" s="1044"/>
    </row>
    <row r="2477" spans="1:28">
      <c r="A2477" s="1083"/>
      <c r="I2477" s="1130"/>
      <c r="J2477" s="1130"/>
      <c r="K2477" s="1130"/>
      <c r="L2477" s="1130"/>
      <c r="M2477" s="1130"/>
      <c r="N2477" s="1130"/>
      <c r="O2477" s="1130"/>
      <c r="P2477" s="1130"/>
      <c r="AB2477" s="1044"/>
    </row>
    <row r="2478" spans="1:28">
      <c r="A2478" s="1083"/>
      <c r="I2478" s="1130"/>
      <c r="J2478" s="1130"/>
      <c r="K2478" s="1130"/>
      <c r="L2478" s="1130"/>
      <c r="M2478" s="1130"/>
      <c r="N2478" s="1130"/>
      <c r="O2478" s="1130"/>
      <c r="P2478" s="1130"/>
      <c r="AB2478" s="1044"/>
    </row>
    <row r="2479" spans="1:28">
      <c r="A2479" s="1083"/>
      <c r="I2479" s="1130"/>
      <c r="J2479" s="1130"/>
      <c r="K2479" s="1130"/>
      <c r="L2479" s="1130"/>
      <c r="M2479" s="1130"/>
      <c r="N2479" s="1130"/>
      <c r="O2479" s="1130"/>
      <c r="P2479" s="1130"/>
      <c r="AB2479" s="1044"/>
    </row>
    <row r="2480" spans="1:28">
      <c r="A2480" s="1083"/>
      <c r="I2480" s="1130"/>
      <c r="J2480" s="1130"/>
      <c r="K2480" s="1130"/>
      <c r="L2480" s="1130"/>
      <c r="M2480" s="1130"/>
      <c r="N2480" s="1130"/>
      <c r="O2480" s="1130"/>
      <c r="P2480" s="1130"/>
      <c r="AB2480" s="1044"/>
    </row>
    <row r="2481" spans="1:28">
      <c r="A2481" s="1083"/>
      <c r="I2481" s="1130"/>
      <c r="J2481" s="1130"/>
      <c r="K2481" s="1130"/>
      <c r="L2481" s="1130"/>
      <c r="M2481" s="1130"/>
      <c r="N2481" s="1130"/>
      <c r="O2481" s="1130"/>
      <c r="P2481" s="1130"/>
      <c r="AB2481" s="1044"/>
    </row>
    <row r="2482" spans="1:28">
      <c r="A2482" s="1083"/>
      <c r="I2482" s="1130"/>
      <c r="J2482" s="1130"/>
      <c r="K2482" s="1130"/>
      <c r="L2482" s="1130"/>
      <c r="M2482" s="1130"/>
      <c r="N2482" s="1130"/>
      <c r="O2482" s="1130"/>
      <c r="P2482" s="1130"/>
      <c r="AB2482" s="1044"/>
    </row>
    <row r="2483" spans="1:28">
      <c r="A2483" s="1083"/>
      <c r="I2483" s="1130"/>
      <c r="J2483" s="1130"/>
      <c r="K2483" s="1130"/>
      <c r="L2483" s="1130"/>
      <c r="M2483" s="1130"/>
      <c r="N2483" s="1130"/>
      <c r="O2483" s="1130"/>
      <c r="P2483" s="1130"/>
      <c r="AB2483" s="1044"/>
    </row>
    <row r="2484" spans="1:28">
      <c r="A2484" s="1083"/>
      <c r="I2484" s="1130"/>
      <c r="J2484" s="1130"/>
      <c r="K2484" s="1130"/>
      <c r="L2484" s="1130"/>
      <c r="M2484" s="1130"/>
      <c r="N2484" s="1130"/>
      <c r="O2484" s="1130"/>
      <c r="P2484" s="1130"/>
      <c r="AB2484" s="1044"/>
    </row>
    <row r="2485" spans="1:28">
      <c r="A2485" s="1083"/>
      <c r="I2485" s="1130"/>
      <c r="J2485" s="1130"/>
      <c r="K2485" s="1130"/>
      <c r="L2485" s="1130"/>
      <c r="M2485" s="1130"/>
      <c r="N2485" s="1130"/>
      <c r="O2485" s="1130"/>
      <c r="P2485" s="1130"/>
      <c r="AB2485" s="1044"/>
    </row>
    <row r="2486" spans="1:28">
      <c r="A2486" s="1083"/>
      <c r="I2486" s="1130"/>
      <c r="J2486" s="1130"/>
      <c r="K2486" s="1130"/>
      <c r="L2486" s="1130"/>
      <c r="M2486" s="1130"/>
      <c r="N2486" s="1130"/>
      <c r="O2486" s="1130"/>
      <c r="P2486" s="1130"/>
      <c r="AB2486" s="1044"/>
    </row>
    <row r="2487" spans="1:28">
      <c r="A2487" s="1083"/>
      <c r="I2487" s="1130"/>
      <c r="J2487" s="1130"/>
      <c r="K2487" s="1130"/>
      <c r="L2487" s="1130"/>
      <c r="M2487" s="1130"/>
      <c r="N2487" s="1130"/>
      <c r="O2487" s="1130"/>
      <c r="P2487" s="1130"/>
      <c r="AB2487" s="1044"/>
    </row>
    <row r="2488" spans="1:28">
      <c r="A2488" s="1083"/>
      <c r="I2488" s="1130"/>
      <c r="J2488" s="1130"/>
      <c r="K2488" s="1130"/>
      <c r="L2488" s="1130"/>
      <c r="M2488" s="1130"/>
      <c r="N2488" s="1130"/>
      <c r="O2488" s="1130"/>
      <c r="P2488" s="1130"/>
      <c r="AB2488" s="1044"/>
    </row>
    <row r="2489" spans="1:28">
      <c r="A2489" s="1083"/>
      <c r="I2489" s="1130"/>
      <c r="J2489" s="1130"/>
      <c r="K2489" s="1130"/>
      <c r="L2489" s="1130"/>
      <c r="M2489" s="1130"/>
      <c r="N2489" s="1130"/>
      <c r="O2489" s="1130"/>
      <c r="P2489" s="1130"/>
      <c r="AB2489" s="1044"/>
    </row>
    <row r="2490" spans="1:28">
      <c r="A2490" s="1083"/>
      <c r="I2490" s="1130"/>
      <c r="J2490" s="1130"/>
      <c r="K2490" s="1130"/>
      <c r="L2490" s="1130"/>
      <c r="M2490" s="1130"/>
      <c r="N2490" s="1130"/>
      <c r="O2490" s="1130"/>
      <c r="P2490" s="1130"/>
      <c r="AB2490" s="1044"/>
    </row>
    <row r="2491" spans="1:28">
      <c r="A2491" s="1083"/>
      <c r="I2491" s="1130"/>
      <c r="J2491" s="1130"/>
      <c r="K2491" s="1130"/>
      <c r="L2491" s="1130"/>
      <c r="M2491" s="1130"/>
      <c r="N2491" s="1130"/>
      <c r="O2491" s="1130"/>
      <c r="P2491" s="1130"/>
      <c r="AB2491" s="1044"/>
    </row>
    <row r="2492" spans="1:28">
      <c r="A2492" s="1083"/>
      <c r="I2492" s="1130"/>
      <c r="J2492" s="1130"/>
      <c r="K2492" s="1130"/>
      <c r="L2492" s="1130"/>
      <c r="M2492" s="1130"/>
      <c r="N2492" s="1130"/>
      <c r="O2492" s="1130"/>
      <c r="P2492" s="1130"/>
      <c r="AB2492" s="1044"/>
    </row>
    <row r="2493" spans="1:28">
      <c r="A2493" s="1083"/>
      <c r="I2493" s="1130"/>
      <c r="J2493" s="1130"/>
      <c r="K2493" s="1130"/>
      <c r="L2493" s="1130"/>
      <c r="M2493" s="1130"/>
      <c r="N2493" s="1130"/>
      <c r="O2493" s="1130"/>
      <c r="P2493" s="1130"/>
      <c r="AB2493" s="1044"/>
    </row>
    <row r="2494" spans="1:28">
      <c r="A2494" s="1083"/>
      <c r="I2494" s="1130"/>
      <c r="J2494" s="1130"/>
      <c r="K2494" s="1130"/>
      <c r="L2494" s="1130"/>
      <c r="M2494" s="1130"/>
      <c r="N2494" s="1130"/>
      <c r="O2494" s="1130"/>
      <c r="P2494" s="1130"/>
      <c r="AB2494" s="1044"/>
    </row>
    <row r="2495" spans="1:28">
      <c r="A2495" s="1083"/>
      <c r="I2495" s="1130"/>
      <c r="J2495" s="1130"/>
      <c r="K2495" s="1130"/>
      <c r="L2495" s="1130"/>
      <c r="M2495" s="1130"/>
      <c r="N2495" s="1130"/>
      <c r="O2495" s="1130"/>
      <c r="P2495" s="1130"/>
      <c r="AB2495" s="1044"/>
    </row>
    <row r="2496" spans="1:28">
      <c r="A2496" s="1083"/>
      <c r="I2496" s="1130"/>
      <c r="J2496" s="1130"/>
      <c r="K2496" s="1130"/>
      <c r="L2496" s="1130"/>
      <c r="M2496" s="1130"/>
      <c r="N2496" s="1130"/>
      <c r="O2496" s="1130"/>
      <c r="P2496" s="1130"/>
      <c r="AB2496" s="1044"/>
    </row>
    <row r="2497" spans="1:31">
      <c r="A2497" s="1083"/>
      <c r="I2497" s="1130"/>
      <c r="J2497" s="1130"/>
      <c r="K2497" s="1130"/>
      <c r="L2497" s="1130"/>
      <c r="M2497" s="1130"/>
      <c r="N2497" s="1130"/>
      <c r="O2497" s="1130"/>
      <c r="P2497" s="1130"/>
      <c r="AB2497" s="1044"/>
    </row>
    <row r="2498" spans="1:31">
      <c r="A2498" s="1083"/>
      <c r="I2498" s="1130"/>
      <c r="J2498" s="1130"/>
      <c r="K2498" s="1130"/>
      <c r="L2498" s="1130"/>
      <c r="M2498" s="1130"/>
      <c r="N2498" s="1130"/>
      <c r="O2498" s="1130"/>
      <c r="P2498" s="1130"/>
      <c r="AB2498" s="1044"/>
    </row>
    <row r="2499" spans="1:31">
      <c r="A2499" s="1083"/>
      <c r="I2499" s="1130"/>
      <c r="J2499" s="1130"/>
      <c r="K2499" s="1130"/>
      <c r="L2499" s="1130"/>
      <c r="M2499" s="1130"/>
      <c r="N2499" s="1130"/>
      <c r="O2499" s="1130"/>
      <c r="P2499" s="1130"/>
      <c r="AB2499" s="1044"/>
    </row>
    <row r="2500" spans="1:31">
      <c r="A2500" s="1083"/>
      <c r="I2500" s="1130"/>
      <c r="J2500" s="1130"/>
      <c r="K2500" s="1130"/>
      <c r="L2500" s="1130"/>
      <c r="M2500" s="1130"/>
      <c r="N2500" s="1130"/>
      <c r="O2500" s="1130"/>
      <c r="P2500" s="1130"/>
      <c r="AB2500" s="1044"/>
    </row>
    <row r="2501" spans="1:31">
      <c r="A2501" s="1083"/>
      <c r="I2501" s="1130"/>
      <c r="J2501" s="1130"/>
      <c r="K2501" s="1130"/>
      <c r="L2501" s="1130"/>
      <c r="M2501" s="1130"/>
      <c r="N2501" s="1130"/>
      <c r="O2501" s="1130"/>
      <c r="P2501" s="1130"/>
      <c r="AB2501" s="1044"/>
    </row>
    <row r="2502" spans="1:31">
      <c r="A2502" s="1083"/>
      <c r="I2502" s="1130"/>
      <c r="J2502" s="1130"/>
      <c r="K2502" s="1130"/>
      <c r="L2502" s="1130"/>
      <c r="M2502" s="1130"/>
      <c r="N2502" s="1130"/>
      <c r="O2502" s="1130"/>
      <c r="P2502" s="1130"/>
      <c r="AB2502" s="1044"/>
    </row>
    <row r="2503" spans="1:31">
      <c r="A2503" s="1045" t="s">
        <v>542</v>
      </c>
      <c r="B2503" s="1046"/>
      <c r="C2503" s="1046"/>
      <c r="D2503" s="1046"/>
      <c r="E2503" s="1046"/>
      <c r="F2503" s="1046"/>
      <c r="G2503" s="1046"/>
      <c r="H2503" s="1046"/>
      <c r="I2503" s="1046"/>
      <c r="J2503" s="1046"/>
      <c r="K2503" s="1046"/>
      <c r="L2503" s="1046"/>
      <c r="M2503" s="1046"/>
      <c r="N2503" s="1046"/>
      <c r="O2503" s="1046"/>
      <c r="P2503" s="1046"/>
      <c r="Q2503" s="1046"/>
      <c r="R2503" s="1046"/>
      <c r="S2503" s="1046"/>
      <c r="T2503" s="1046"/>
      <c r="U2503" s="1046"/>
      <c r="V2503" s="1046"/>
      <c r="W2503" s="1046"/>
      <c r="X2503" s="1046"/>
      <c r="Y2503" s="1046"/>
      <c r="Z2503" s="1046"/>
      <c r="AA2503" s="1046"/>
      <c r="AB2503" s="1047"/>
    </row>
    <row r="2504" ht="14.4" customHeight="1" spans="1:31">
      <c r="A2504" s="1048" t="s">
        <v>269</v>
      </c>
      <c r="B2504" s="1049"/>
      <c r="C2504" s="1049"/>
      <c r="D2504" s="1050"/>
      <c r="E2504" s="1051" t="s">
        <v>270</v>
      </c>
      <c r="F2504" s="1049"/>
      <c r="G2504" s="1049"/>
      <c r="H2504" s="1050"/>
      <c r="I2504" s="1104" t="s">
        <v>271</v>
      </c>
      <c r="J2504" s="1102"/>
      <c r="K2504" s="1102"/>
      <c r="L2504" s="1103"/>
      <c r="M2504" s="1104" t="s">
        <v>272</v>
      </c>
      <c r="N2504" s="1102"/>
      <c r="O2504" s="1102"/>
      <c r="P2504" s="1103"/>
      <c r="Q2504" s="1104" t="s">
        <v>273</v>
      </c>
      <c r="R2504" s="1102"/>
      <c r="S2504" s="1102"/>
      <c r="T2504" s="1103"/>
      <c r="U2504" s="1104" t="s">
        <v>274</v>
      </c>
      <c r="V2504" s="1102"/>
      <c r="W2504" s="1102"/>
      <c r="X2504" s="1103"/>
      <c r="Y2504" s="1104" t="s">
        <v>274</v>
      </c>
      <c r="Z2504" s="1102"/>
      <c r="AA2504" s="1102"/>
      <c r="AB2504" s="1106"/>
    </row>
    <row r="2505" spans="1:31">
      <c r="A2505" s="1058"/>
      <c r="B2505" s="1059"/>
      <c r="C2505" s="1059"/>
      <c r="D2505" s="1060"/>
      <c r="E2505" s="1061"/>
      <c r="F2505" s="1059"/>
      <c r="G2505" s="1059"/>
      <c r="H2505" s="1060"/>
      <c r="I2505" s="1061" t="s">
        <v>275</v>
      </c>
      <c r="J2505" s="1059"/>
      <c r="K2505" s="1059"/>
      <c r="L2505" s="1060"/>
      <c r="M2505" s="1061" t="s">
        <v>276</v>
      </c>
      <c r="N2505" s="1059"/>
      <c r="O2505" s="1059"/>
      <c r="P2505" s="1060"/>
      <c r="Q2505" s="1061" t="s">
        <v>277</v>
      </c>
      <c r="R2505" s="1059"/>
      <c r="S2505" s="1059"/>
      <c r="T2505" s="1060"/>
      <c r="U2505" s="1061" t="s">
        <v>277</v>
      </c>
      <c r="V2505" s="1059"/>
      <c r="W2505" s="1059"/>
      <c r="X2505" s="1060"/>
      <c r="Y2505" s="1061" t="s">
        <v>278</v>
      </c>
      <c r="Z2505" s="1059"/>
      <c r="AA2505" s="1059"/>
      <c r="AB2505" s="1108"/>
    </row>
    <row r="2506" ht="15.75" spans="1:31">
      <c r="A2506" s="1133" t="s">
        <v>544</v>
      </c>
      <c r="B2506" s="1134"/>
      <c r="C2506" s="1134"/>
      <c r="D2506" s="1134"/>
      <c r="E2506" s="1137">
        <v>1</v>
      </c>
      <c r="F2506" s="1137"/>
      <c r="G2506" s="1137"/>
      <c r="H2506" s="1137"/>
      <c r="I2506" s="1138">
        <v>5</v>
      </c>
      <c r="J2506" s="1138"/>
      <c r="K2506" s="1138"/>
      <c r="L2506" s="1138"/>
      <c r="M2506" s="1138">
        <f>286*4</f>
        <v>1144</v>
      </c>
      <c r="N2506" s="1138"/>
      <c r="O2506" s="1138"/>
      <c r="P2506" s="1138"/>
      <c r="Q2506" s="1138">
        <v>148</v>
      </c>
      <c r="R2506" s="1138"/>
      <c r="S2506" s="1138"/>
      <c r="T2506" s="1138"/>
      <c r="U2506" s="1142">
        <f t="shared" ref="U2506" si="22">M2506*Q2506</f>
        <v>169312</v>
      </c>
      <c r="V2506" s="1142"/>
      <c r="W2506" s="1142"/>
      <c r="X2506" s="1142"/>
      <c r="Y2506" s="1169">
        <f>U2506/100</f>
        <v>1693.12</v>
      </c>
      <c r="Z2506" s="1169"/>
      <c r="AA2506" s="1169"/>
      <c r="AB2506" s="1170"/>
      <c r="AE2506" s="1164"/>
    </row>
    <row r="2507" ht="15.75" spans="1:31">
      <c r="A2507" s="1083"/>
      <c r="AB2507" s="1044"/>
    </row>
    <row r="2508" spans="1:31">
      <c r="A2508" s="1083"/>
      <c r="K2508" s="1084" t="s">
        <v>513</v>
      </c>
      <c r="L2508" s="1085"/>
      <c r="M2508" s="1085"/>
      <c r="N2508" s="1085"/>
      <c r="O2508" s="1085"/>
      <c r="P2508" s="1085"/>
      <c r="Q2508" s="1085"/>
      <c r="R2508" s="1086"/>
      <c r="AB2508" s="1044"/>
    </row>
    <row r="2509" spans="1:31">
      <c r="A2509" s="1083"/>
      <c r="K2509" s="1087" t="s">
        <v>545</v>
      </c>
      <c r="L2509" s="1088"/>
      <c r="M2509" s="1088"/>
      <c r="N2509" s="1088"/>
      <c r="O2509" s="1088"/>
      <c r="P2509" s="1088"/>
      <c r="Q2509" s="1088"/>
      <c r="R2509" s="1089"/>
      <c r="AB2509" s="1044"/>
    </row>
    <row r="2510" spans="1:31">
      <c r="A2510" s="1083"/>
      <c r="K2510" s="1090"/>
      <c r="L2510" s="1091"/>
      <c r="M2510" s="1091"/>
      <c r="N2510" s="1091"/>
      <c r="O2510" s="1091"/>
      <c r="P2510" s="1091"/>
      <c r="Q2510" s="1091"/>
      <c r="R2510" s="1092"/>
      <c r="AB2510" s="1044"/>
    </row>
    <row r="2511" ht="15.75" spans="1:31">
      <c r="A2511" s="1083"/>
      <c r="K2511" s="1171">
        <f>ROUNDUP(ROUNDUP((((Y2506)*((PI()*((I2506^2)/4))*7842.5)))/1000000,1)/0.05,0)*0.05</f>
        <v>260.8</v>
      </c>
      <c r="L2511" s="1172"/>
      <c r="M2511" s="1172"/>
      <c r="N2511" s="1172"/>
      <c r="O2511" s="1172"/>
      <c r="P2511" s="1172"/>
      <c r="Q2511" s="1172"/>
      <c r="R2511" s="1173"/>
      <c r="AB2511" s="1044"/>
    </row>
    <row r="2512" ht="15.75" spans="1:31">
      <c r="A2512" s="1096"/>
      <c r="B2512" s="389"/>
      <c r="C2512" s="389"/>
      <c r="D2512" s="389"/>
      <c r="E2512" s="389"/>
      <c r="F2512" s="389"/>
      <c r="G2512" s="389"/>
      <c r="H2512" s="389"/>
      <c r="I2512" s="1097"/>
      <c r="J2512" s="1097"/>
      <c r="K2512" s="1097"/>
      <c r="L2512" s="1097"/>
      <c r="M2512" s="1097"/>
      <c r="N2512" s="1097"/>
      <c r="O2512" s="1097"/>
      <c r="P2512" s="1097"/>
      <c r="Q2512" s="389"/>
      <c r="R2512" s="389"/>
      <c r="S2512" s="389"/>
      <c r="T2512" s="389"/>
      <c r="U2512" s="389"/>
      <c r="V2512" s="389"/>
      <c r="W2512" s="389"/>
      <c r="X2512" s="389"/>
      <c r="Y2512" s="389"/>
      <c r="Z2512" s="389"/>
      <c r="AA2512" s="389"/>
      <c r="AB2512" s="1098"/>
    </row>
    <row r="2513" s="437" customFormat="1" ht="15.75" spans="1:28">
      <c r="A2513" s="1040" t="s">
        <v>546</v>
      </c>
      <c r="B2513" s="1114"/>
      <c r="C2513" s="1114"/>
      <c r="D2513" s="1114"/>
      <c r="E2513" s="1114"/>
      <c r="F2513" s="1114"/>
      <c r="G2513" s="1114"/>
      <c r="H2513" s="1114"/>
      <c r="I2513" s="1129"/>
      <c r="J2513" s="1129"/>
      <c r="K2513" s="1129"/>
      <c r="L2513" s="1129"/>
      <c r="M2513" s="1129"/>
      <c r="N2513" s="1129"/>
      <c r="O2513" s="1129"/>
      <c r="P2513" s="1129"/>
      <c r="Q2513" s="1114"/>
      <c r="R2513" s="1114"/>
      <c r="S2513" s="1114"/>
      <c r="T2513" s="1114"/>
      <c r="U2513" s="1114"/>
      <c r="V2513" s="1114"/>
      <c r="W2513" s="1114"/>
      <c r="X2513" s="1114"/>
      <c r="Y2513" s="1114"/>
      <c r="Z2513" s="1114"/>
      <c r="AA2513" s="1114"/>
      <c r="AB2513" s="1115"/>
    </row>
    <row r="2514" spans="1:28">
      <c r="A2514" s="1083"/>
      <c r="I2514" s="1130"/>
      <c r="J2514" s="1130"/>
      <c r="K2514" s="1130"/>
      <c r="L2514" s="1130"/>
      <c r="M2514" s="1130"/>
      <c r="N2514" s="1130"/>
      <c r="O2514" s="1130"/>
      <c r="P2514" s="1130"/>
      <c r="AB2514" s="1044"/>
    </row>
    <row r="2515" spans="1:28">
      <c r="A2515" s="1083"/>
      <c r="I2515" s="1130"/>
      <c r="J2515" s="1130"/>
      <c r="K2515" s="1130"/>
      <c r="L2515" s="1130"/>
      <c r="M2515" s="1130"/>
      <c r="N2515" s="1130"/>
      <c r="O2515" s="1130"/>
      <c r="P2515" s="1130"/>
      <c r="AB2515" s="1044"/>
    </row>
    <row r="2516" spans="1:28">
      <c r="A2516" s="1083"/>
      <c r="I2516" s="1130"/>
      <c r="J2516" s="1130"/>
      <c r="K2516" s="1130"/>
      <c r="L2516" s="1130"/>
      <c r="M2516" s="1130"/>
      <c r="N2516" s="1130"/>
      <c r="O2516" s="1130"/>
      <c r="P2516" s="1130"/>
      <c r="AB2516" s="1044"/>
    </row>
    <row r="2517" spans="1:28">
      <c r="A2517" s="1083"/>
      <c r="I2517" s="1130"/>
      <c r="J2517" s="1130"/>
      <c r="K2517" s="1130"/>
      <c r="L2517" s="1130"/>
      <c r="M2517" s="1130"/>
      <c r="N2517" s="1130"/>
      <c r="O2517" s="1130"/>
      <c r="P2517" s="1130"/>
      <c r="AB2517" s="1044"/>
    </row>
    <row r="2518" spans="1:28">
      <c r="A2518" s="1083"/>
      <c r="I2518" s="1130"/>
      <c r="J2518" s="1130"/>
      <c r="K2518" s="1130"/>
      <c r="L2518" s="1130"/>
      <c r="M2518" s="1130"/>
      <c r="N2518" s="1130"/>
      <c r="O2518" s="1130"/>
      <c r="P2518" s="1130"/>
      <c r="AB2518" s="1044"/>
    </row>
    <row r="2519" spans="1:28">
      <c r="A2519" s="1083"/>
      <c r="I2519" s="1130"/>
      <c r="J2519" s="1130"/>
      <c r="K2519" s="1130"/>
      <c r="L2519" s="1130"/>
      <c r="M2519" s="1130"/>
      <c r="N2519" s="1130"/>
      <c r="O2519" s="1130"/>
      <c r="P2519" s="1130"/>
      <c r="AB2519" s="1044"/>
    </row>
    <row r="2520" spans="1:28">
      <c r="A2520" s="1083"/>
      <c r="I2520" s="1130"/>
      <c r="J2520" s="1130"/>
      <c r="K2520" s="1130"/>
      <c r="L2520" s="1130"/>
      <c r="M2520" s="1130"/>
      <c r="N2520" s="1130"/>
      <c r="O2520" s="1130"/>
      <c r="P2520" s="1130"/>
      <c r="AB2520" s="1044"/>
    </row>
    <row r="2521" spans="1:28">
      <c r="A2521" s="1083"/>
      <c r="I2521" s="1130"/>
      <c r="J2521" s="1130"/>
      <c r="K2521" s="1130"/>
      <c r="L2521" s="1130"/>
      <c r="M2521" s="1130"/>
      <c r="N2521" s="1130"/>
      <c r="O2521" s="1130"/>
      <c r="P2521" s="1130"/>
      <c r="AB2521" s="1044"/>
    </row>
    <row r="2522" spans="1:28">
      <c r="A2522" s="1083"/>
      <c r="I2522" s="1130"/>
      <c r="J2522" s="1130"/>
      <c r="K2522" s="1130"/>
      <c r="L2522" s="1130"/>
      <c r="M2522" s="1130"/>
      <c r="N2522" s="1130"/>
      <c r="O2522" s="1130"/>
      <c r="P2522" s="1130"/>
      <c r="AB2522" s="1044"/>
    </row>
    <row r="2523" spans="1:28">
      <c r="A2523" s="1083"/>
      <c r="I2523" s="1130"/>
      <c r="J2523" s="1130"/>
      <c r="K2523" s="1130"/>
      <c r="L2523" s="1130"/>
      <c r="M2523" s="1130"/>
      <c r="N2523" s="1130"/>
      <c r="O2523" s="1130"/>
      <c r="P2523" s="1130"/>
      <c r="AB2523" s="1044"/>
    </row>
    <row r="2524" spans="1:28">
      <c r="A2524" s="1083"/>
      <c r="I2524" s="1130"/>
      <c r="J2524" s="1130"/>
      <c r="K2524" s="1130"/>
      <c r="L2524" s="1130"/>
      <c r="M2524" s="1130"/>
      <c r="N2524" s="1130"/>
      <c r="O2524" s="1130"/>
      <c r="P2524" s="1130"/>
      <c r="AB2524" s="1044"/>
    </row>
    <row r="2525" spans="1:28">
      <c r="A2525" s="1083"/>
      <c r="I2525" s="1130"/>
      <c r="J2525" s="1130"/>
      <c r="K2525" s="1130"/>
      <c r="L2525" s="1130"/>
      <c r="M2525" s="1130"/>
      <c r="N2525" s="1130"/>
      <c r="O2525" s="1130"/>
      <c r="P2525" s="1130"/>
      <c r="AB2525" s="1044"/>
    </row>
    <row r="2526" spans="1:28">
      <c r="A2526" s="1083"/>
      <c r="I2526" s="1130"/>
      <c r="J2526" s="1130"/>
      <c r="K2526" s="1130"/>
      <c r="L2526" s="1130"/>
      <c r="M2526" s="1130"/>
      <c r="N2526" s="1130"/>
      <c r="O2526" s="1130"/>
      <c r="P2526" s="1130"/>
      <c r="AB2526" s="1044"/>
    </row>
    <row r="2527" spans="1:28">
      <c r="A2527" s="1083"/>
      <c r="I2527" s="1130"/>
      <c r="J2527" s="1130"/>
      <c r="K2527" s="1130"/>
      <c r="L2527" s="1130"/>
      <c r="M2527" s="1130"/>
      <c r="N2527" s="1130"/>
      <c r="O2527" s="1130"/>
      <c r="P2527" s="1130"/>
      <c r="AB2527" s="1044"/>
    </row>
    <row r="2528" spans="1:28">
      <c r="A2528" s="1083"/>
      <c r="I2528" s="1130"/>
      <c r="J2528" s="1130"/>
      <c r="K2528" s="1130"/>
      <c r="L2528" s="1130"/>
      <c r="M2528" s="1130"/>
      <c r="N2528" s="1130"/>
      <c r="O2528" s="1130"/>
      <c r="P2528" s="1130"/>
      <c r="AB2528" s="1044"/>
    </row>
    <row r="2529" spans="1:31">
      <c r="A2529" s="1045" t="s">
        <v>542</v>
      </c>
      <c r="B2529" s="1046"/>
      <c r="C2529" s="1046"/>
      <c r="D2529" s="1046"/>
      <c r="E2529" s="1046"/>
      <c r="F2529" s="1046"/>
      <c r="G2529" s="1046"/>
      <c r="H2529" s="1046"/>
      <c r="I2529" s="1046"/>
      <c r="J2529" s="1046"/>
      <c r="K2529" s="1046"/>
      <c r="L2529" s="1046"/>
      <c r="M2529" s="1046"/>
      <c r="N2529" s="1046"/>
      <c r="O2529" s="1046"/>
      <c r="P2529" s="1046"/>
      <c r="Q2529" s="1046"/>
      <c r="R2529" s="1046"/>
      <c r="S2529" s="1046"/>
      <c r="T2529" s="1046"/>
      <c r="U2529" s="1046"/>
      <c r="V2529" s="1046"/>
      <c r="W2529" s="1046"/>
      <c r="X2529" s="1046"/>
      <c r="Y2529" s="1046"/>
      <c r="Z2529" s="1046"/>
      <c r="AA2529" s="1046"/>
      <c r="AB2529" s="1047"/>
    </row>
    <row r="2530" ht="14.4" customHeight="1" spans="1:31">
      <c r="A2530" s="1048" t="s">
        <v>269</v>
      </c>
      <c r="B2530" s="1049"/>
      <c r="C2530" s="1049"/>
      <c r="D2530" s="1050"/>
      <c r="E2530" s="1051" t="s">
        <v>270</v>
      </c>
      <c r="F2530" s="1049"/>
      <c r="G2530" s="1049"/>
      <c r="H2530" s="1050"/>
      <c r="I2530" s="1104" t="s">
        <v>271</v>
      </c>
      <c r="J2530" s="1102"/>
      <c r="K2530" s="1102"/>
      <c r="L2530" s="1103"/>
      <c r="M2530" s="1104" t="s">
        <v>272</v>
      </c>
      <c r="N2530" s="1102"/>
      <c r="O2530" s="1102"/>
      <c r="P2530" s="1103"/>
      <c r="Q2530" s="1104" t="s">
        <v>273</v>
      </c>
      <c r="R2530" s="1102"/>
      <c r="S2530" s="1102"/>
      <c r="T2530" s="1103"/>
      <c r="U2530" s="1104" t="s">
        <v>274</v>
      </c>
      <c r="V2530" s="1102"/>
      <c r="W2530" s="1102"/>
      <c r="X2530" s="1103"/>
      <c r="Y2530" s="1104" t="s">
        <v>274</v>
      </c>
      <c r="Z2530" s="1102"/>
      <c r="AA2530" s="1102"/>
      <c r="AB2530" s="1106"/>
    </row>
    <row r="2531" spans="1:31">
      <c r="A2531" s="1058"/>
      <c r="B2531" s="1059"/>
      <c r="C2531" s="1059"/>
      <c r="D2531" s="1060"/>
      <c r="E2531" s="1061"/>
      <c r="F2531" s="1059"/>
      <c r="G2531" s="1059"/>
      <c r="H2531" s="1060"/>
      <c r="I2531" s="1061" t="s">
        <v>275</v>
      </c>
      <c r="J2531" s="1059"/>
      <c r="K2531" s="1059"/>
      <c r="L2531" s="1060"/>
      <c r="M2531" s="1061" t="s">
        <v>276</v>
      </c>
      <c r="N2531" s="1059"/>
      <c r="O2531" s="1059"/>
      <c r="P2531" s="1060"/>
      <c r="Q2531" s="1061" t="s">
        <v>277</v>
      </c>
      <c r="R2531" s="1059"/>
      <c r="S2531" s="1059"/>
      <c r="T2531" s="1060"/>
      <c r="U2531" s="1061" t="s">
        <v>277</v>
      </c>
      <c r="V2531" s="1059"/>
      <c r="W2531" s="1059"/>
      <c r="X2531" s="1060"/>
      <c r="Y2531" s="1061" t="s">
        <v>278</v>
      </c>
      <c r="Z2531" s="1059"/>
      <c r="AA2531" s="1059"/>
      <c r="AB2531" s="1108"/>
    </row>
    <row r="2532" ht="15.75" spans="1:31">
      <c r="A2532" s="1133" t="s">
        <v>547</v>
      </c>
      <c r="B2532" s="1134"/>
      <c r="C2532" s="1134"/>
      <c r="D2532" s="1134"/>
      <c r="E2532" s="1137">
        <v>10</v>
      </c>
      <c r="F2532" s="1137"/>
      <c r="G2532" s="1137"/>
      <c r="H2532" s="1137"/>
      <c r="I2532" s="1138">
        <v>12.7</v>
      </c>
      <c r="J2532" s="1138"/>
      <c r="K2532" s="1138"/>
      <c r="L2532" s="1138"/>
      <c r="M2532" s="1138">
        <v>16</v>
      </c>
      <c r="N2532" s="1138"/>
      <c r="O2532" s="1138"/>
      <c r="P2532" s="1138"/>
      <c r="Q2532" s="1138">
        <v>280</v>
      </c>
      <c r="R2532" s="1138"/>
      <c r="S2532" s="1138"/>
      <c r="T2532" s="1138"/>
      <c r="U2532" s="1142">
        <f t="shared" ref="U2532" si="23">M2532*Q2532</f>
        <v>4480</v>
      </c>
      <c r="V2532" s="1142"/>
      <c r="W2532" s="1142"/>
      <c r="X2532" s="1142"/>
      <c r="Y2532" s="1169">
        <f>U2532/100</f>
        <v>44.8</v>
      </c>
      <c r="Z2532" s="1169"/>
      <c r="AA2532" s="1169"/>
      <c r="AB2532" s="1170"/>
      <c r="AE2532" s="1164"/>
    </row>
    <row r="2533" ht="15.75" spans="1:31">
      <c r="A2533" s="1083"/>
      <c r="AB2533" s="1044"/>
    </row>
    <row r="2534" spans="1:31">
      <c r="A2534" s="1083"/>
      <c r="K2534" s="1084" t="s">
        <v>548</v>
      </c>
      <c r="L2534" s="1085"/>
      <c r="M2534" s="1085"/>
      <c r="N2534" s="1085"/>
      <c r="O2534" s="1085"/>
      <c r="P2534" s="1085"/>
      <c r="Q2534" s="1085"/>
      <c r="R2534" s="1086"/>
      <c r="AB2534" s="1044"/>
    </row>
    <row r="2535" spans="1:31">
      <c r="A2535" s="1083"/>
      <c r="K2535" s="1087" t="s">
        <v>545</v>
      </c>
      <c r="L2535" s="1088"/>
      <c r="M2535" s="1088"/>
      <c r="N2535" s="1088"/>
      <c r="O2535" s="1088"/>
      <c r="P2535" s="1088"/>
      <c r="Q2535" s="1088"/>
      <c r="R2535" s="1089"/>
      <c r="AB2535" s="1044"/>
    </row>
    <row r="2536" spans="1:31">
      <c r="A2536" s="1083"/>
      <c r="K2536" s="1090"/>
      <c r="L2536" s="1091"/>
      <c r="M2536" s="1091"/>
      <c r="N2536" s="1091"/>
      <c r="O2536" s="1091"/>
      <c r="P2536" s="1091"/>
      <c r="Q2536" s="1091"/>
      <c r="R2536" s="1092"/>
      <c r="AB2536" s="1044"/>
    </row>
    <row r="2537" ht="15.75" spans="1:31">
      <c r="A2537" s="1083"/>
      <c r="K2537" s="1171">
        <f>ROUNDUP(((Y2532)*((PI()*((I2532^2)/4))*8893.75))/1000000,2)</f>
        <v>50.48</v>
      </c>
      <c r="L2537" s="1172"/>
      <c r="M2537" s="1172"/>
      <c r="N2537" s="1172"/>
      <c r="O2537" s="1172"/>
      <c r="P2537" s="1172"/>
      <c r="Q2537" s="1172"/>
      <c r="R2537" s="1173"/>
      <c r="AB2537" s="1044"/>
    </row>
    <row r="2538" ht="15.75" spans="1:31">
      <c r="A2538" s="1096"/>
      <c r="B2538" s="389"/>
      <c r="C2538" s="389"/>
      <c r="D2538" s="389"/>
      <c r="E2538" s="389"/>
      <c r="F2538" s="389"/>
      <c r="G2538" s="389"/>
      <c r="H2538" s="389"/>
      <c r="I2538" s="1097"/>
      <c r="J2538" s="1097"/>
      <c r="K2538" s="1097"/>
      <c r="L2538" s="1097"/>
      <c r="M2538" s="1097"/>
      <c r="N2538" s="1097"/>
      <c r="O2538" s="1097"/>
      <c r="P2538" s="1097"/>
      <c r="Q2538" s="389"/>
      <c r="R2538" s="389"/>
      <c r="S2538" s="389"/>
      <c r="T2538" s="389"/>
      <c r="U2538" s="389"/>
      <c r="V2538" s="389"/>
      <c r="W2538" s="389"/>
      <c r="X2538" s="389"/>
      <c r="Y2538" s="389"/>
      <c r="Z2538" s="389"/>
      <c r="AA2538" s="389"/>
      <c r="AB2538" s="1098"/>
    </row>
    <row r="2539" spans="1:31">
      <c r="A2539" s="1040" t="s">
        <v>549</v>
      </c>
      <c r="B2539" s="1041"/>
      <c r="C2539" s="1041"/>
      <c r="D2539" s="1041"/>
      <c r="E2539" s="1041"/>
      <c r="F2539" s="1041"/>
      <c r="G2539" s="1041"/>
      <c r="H2539" s="1041"/>
      <c r="I2539" s="1041"/>
      <c r="J2539" s="1041"/>
      <c r="K2539" s="1041"/>
      <c r="L2539" s="1041"/>
      <c r="M2539" s="1041"/>
      <c r="N2539" s="1041"/>
      <c r="O2539" s="1041"/>
      <c r="P2539" s="1041"/>
      <c r="Q2539" s="1041"/>
      <c r="R2539" s="1041"/>
      <c r="S2539" s="1041"/>
      <c r="T2539" s="1041"/>
      <c r="U2539" s="1041"/>
      <c r="V2539" s="1041"/>
      <c r="W2539" s="1041"/>
      <c r="X2539" s="1041"/>
      <c r="Y2539" s="1041"/>
      <c r="Z2539" s="1041"/>
      <c r="AA2539" s="1041"/>
      <c r="AB2539" s="1042"/>
    </row>
    <row r="2540" spans="1:31">
      <c r="A2540" s="1043"/>
      <c r="AB2540" s="1044"/>
    </row>
    <row r="2541" spans="1:31">
      <c r="A2541" s="1043"/>
      <c r="AB2541" s="1044"/>
    </row>
    <row r="2542" spans="1:31">
      <c r="A2542" s="1043"/>
      <c r="AB2542" s="1044"/>
    </row>
    <row r="2543" spans="1:31">
      <c r="A2543" s="1043"/>
      <c r="AB2543" s="1044"/>
    </row>
    <row r="2544" spans="1:31">
      <c r="A2544" s="1043"/>
      <c r="AB2544" s="1044"/>
    </row>
    <row r="2545" spans="1:28">
      <c r="A2545" s="1043"/>
      <c r="AB2545" s="1044"/>
    </row>
    <row r="2546" spans="1:28">
      <c r="A2546" s="1043"/>
      <c r="AB2546" s="1044"/>
    </row>
    <row r="2547" spans="1:28">
      <c r="A2547" s="1043"/>
      <c r="AB2547" s="1044"/>
    </row>
    <row r="2548" spans="1:28">
      <c r="A2548" s="1043"/>
      <c r="AB2548" s="1044"/>
    </row>
    <row r="2549" spans="1:28">
      <c r="A2549" s="1043"/>
      <c r="AB2549" s="1044"/>
    </row>
    <row r="2550" spans="1:28">
      <c r="A2550" s="1043"/>
      <c r="AB2550" s="1044"/>
    </row>
    <row r="2551" spans="1:28">
      <c r="A2551" s="1043"/>
      <c r="AB2551" s="1044"/>
    </row>
    <row r="2552" spans="1:28">
      <c r="A2552" s="1043"/>
      <c r="AB2552" s="1044"/>
    </row>
    <row r="2553" spans="1:28">
      <c r="A2553" s="1043"/>
      <c r="AB2553" s="1044"/>
    </row>
    <row r="2554" spans="1:28">
      <c r="A2554" s="1043"/>
      <c r="AB2554" s="1044"/>
    </row>
    <row r="2555" spans="1:28">
      <c r="A2555" s="1043"/>
      <c r="AB2555" s="1044"/>
    </row>
    <row r="2556" spans="1:28">
      <c r="A2556" s="1043"/>
      <c r="AB2556" s="1044"/>
    </row>
    <row r="2557" spans="1:28">
      <c r="A2557" s="1043"/>
      <c r="AB2557" s="1044"/>
    </row>
    <row r="2558" spans="1:28">
      <c r="A2558" s="1043"/>
      <c r="AB2558" s="1044"/>
    </row>
    <row r="2559" spans="1:28">
      <c r="A2559" s="1043"/>
      <c r="AB2559" s="1044"/>
    </row>
    <row r="2560" spans="1:28">
      <c r="A2560" s="1043"/>
      <c r="AB2560" s="1044"/>
    </row>
    <row r="2561" spans="1:28">
      <c r="A2561" s="1043"/>
      <c r="AB2561" s="1044"/>
    </row>
    <row r="2562" spans="1:28">
      <c r="A2562" s="1043"/>
      <c r="AB2562" s="1044"/>
    </row>
    <row r="2563" spans="1:28">
      <c r="A2563" s="1043"/>
      <c r="AB2563" s="1044"/>
    </row>
    <row r="2564" spans="1:28">
      <c r="A2564" s="1043"/>
      <c r="AB2564" s="1044"/>
    </row>
    <row r="2565" spans="1:28">
      <c r="A2565" s="1043"/>
      <c r="AB2565" s="1044"/>
    </row>
    <row r="2566" spans="1:28">
      <c r="A2566" s="1043"/>
      <c r="AB2566" s="1044"/>
    </row>
    <row r="2567" spans="1:28">
      <c r="A2567" s="1043"/>
      <c r="AB2567" s="1044"/>
    </row>
    <row r="2568" spans="1:28">
      <c r="A2568" s="1043"/>
      <c r="AB2568" s="1044"/>
    </row>
    <row r="2569" spans="1:28">
      <c r="A2569" s="1043"/>
      <c r="AB2569" s="1044"/>
    </row>
    <row r="2570" spans="1:28">
      <c r="A2570" s="1043"/>
      <c r="AB2570" s="1044"/>
    </row>
    <row r="2571" spans="1:28">
      <c r="A2571" s="1083"/>
      <c r="AB2571" s="1044"/>
    </row>
    <row r="2572" spans="1:28">
      <c r="A2572" s="1045" t="s">
        <v>542</v>
      </c>
      <c r="B2572" s="1046"/>
      <c r="C2572" s="1046"/>
      <c r="D2572" s="1046"/>
      <c r="E2572" s="1046"/>
      <c r="F2572" s="1046"/>
      <c r="G2572" s="1046"/>
      <c r="H2572" s="1046"/>
      <c r="I2572" s="1046"/>
      <c r="J2572" s="1046"/>
      <c r="K2572" s="1046"/>
      <c r="L2572" s="1046"/>
      <c r="M2572" s="1046"/>
      <c r="N2572" s="1046"/>
      <c r="O2572" s="1046"/>
      <c r="P2572" s="1046"/>
      <c r="Q2572" s="1046"/>
      <c r="R2572" s="1046"/>
      <c r="S2572" s="1046"/>
      <c r="T2572" s="1046"/>
      <c r="U2572" s="1046"/>
      <c r="V2572" s="1046"/>
      <c r="W2572" s="1046"/>
      <c r="X2572" s="1046"/>
      <c r="Y2572" s="1046"/>
      <c r="Z2572" s="1046"/>
      <c r="AA2572" s="1046"/>
      <c r="AB2572" s="1047"/>
    </row>
    <row r="2573" ht="14.4" customHeight="1" spans="1:28">
      <c r="A2573" s="1048" t="s">
        <v>550</v>
      </c>
      <c r="B2573" s="1049"/>
      <c r="C2573" s="1049"/>
      <c r="D2573" s="1050"/>
      <c r="E2573" s="1051" t="s">
        <v>551</v>
      </c>
      <c r="F2573" s="1049"/>
      <c r="G2573" s="1049"/>
      <c r="H2573" s="1050"/>
      <c r="I2573" s="1051"/>
      <c r="J2573" s="1049"/>
      <c r="K2573" s="1049"/>
      <c r="L2573" s="1050"/>
      <c r="M2573" s="1051"/>
      <c r="N2573" s="1049"/>
      <c r="O2573" s="1049"/>
      <c r="P2573" s="1050"/>
      <c r="Q2573" s="1051"/>
      <c r="R2573" s="1049"/>
      <c r="S2573" s="1049"/>
      <c r="T2573" s="1050"/>
      <c r="U2573" s="1052"/>
      <c r="V2573" s="1053"/>
      <c r="W2573" s="1053"/>
      <c r="X2573" s="1054"/>
      <c r="Y2573" s="1055" t="s">
        <v>552</v>
      </c>
      <c r="Z2573" s="1056"/>
      <c r="AA2573" s="1056"/>
      <c r="AB2573" s="1057"/>
    </row>
    <row r="2574" ht="14.4" customHeight="1" spans="1:28">
      <c r="A2574" s="1058"/>
      <c r="B2574" s="1059"/>
      <c r="C2574" s="1059"/>
      <c r="D2574" s="1060"/>
      <c r="E2574" s="1061"/>
      <c r="F2574" s="1059"/>
      <c r="G2574" s="1059"/>
      <c r="H2574" s="1060"/>
      <c r="I2574" s="1061"/>
      <c r="J2574" s="1059"/>
      <c r="K2574" s="1059"/>
      <c r="L2574" s="1060"/>
      <c r="M2574" s="1061"/>
      <c r="N2574" s="1059"/>
      <c r="O2574" s="1059"/>
      <c r="P2574" s="1060"/>
      <c r="Q2574" s="1061"/>
      <c r="R2574" s="1059"/>
      <c r="S2574" s="1059"/>
      <c r="T2574" s="1060"/>
      <c r="U2574" s="1062"/>
      <c r="V2574" s="1063"/>
      <c r="W2574" s="1063"/>
      <c r="X2574" s="1064"/>
      <c r="Y2574" s="1065"/>
      <c r="Z2574" s="1066"/>
      <c r="AA2574" s="1066"/>
      <c r="AB2574" s="1067"/>
    </row>
    <row r="2575" ht="15.75" spans="1:28">
      <c r="A2575" s="1068">
        <v>4</v>
      </c>
      <c r="B2575" s="1069"/>
      <c r="C2575" s="1069"/>
      <c r="D2575" s="1069"/>
      <c r="E2575" s="1069">
        <v>1</v>
      </c>
      <c r="F2575" s="1069"/>
      <c r="G2575" s="1069"/>
      <c r="H2575" s="1069"/>
      <c r="I2575" s="1070"/>
      <c r="J2575" s="1071"/>
      <c r="K2575" s="1071"/>
      <c r="L2575" s="1072"/>
      <c r="M2575" s="1073"/>
      <c r="N2575" s="1073"/>
      <c r="O2575" s="1073"/>
      <c r="P2575" s="1073"/>
      <c r="Q2575" s="1073"/>
      <c r="R2575" s="1073"/>
      <c r="S2575" s="1073"/>
      <c r="T2575" s="1073"/>
      <c r="U2575" s="1074"/>
      <c r="V2575" s="1075"/>
      <c r="W2575" s="1075"/>
      <c r="X2575" s="1076"/>
      <c r="Y2575" s="1077">
        <f>A2575*E2575</f>
        <v>4</v>
      </c>
      <c r="Z2575" s="1077"/>
      <c r="AA2575" s="1077"/>
      <c r="AB2575" s="1078"/>
    </row>
    <row r="2576" ht="15.75" spans="1:28">
      <c r="A2576" s="1079" t="s">
        <v>553</v>
      </c>
      <c r="B2576" s="1080"/>
      <c r="C2576" s="1080"/>
      <c r="D2576" s="1080"/>
      <c r="E2576" s="1080"/>
      <c r="F2576" s="1080"/>
      <c r="G2576" s="1080"/>
      <c r="H2576" s="1080"/>
      <c r="I2576" s="1080"/>
      <c r="J2576" s="1080"/>
      <c r="K2576" s="1080"/>
      <c r="L2576" s="1080"/>
      <c r="M2576" s="1080"/>
      <c r="N2576" s="1080"/>
      <c r="O2576" s="1080"/>
      <c r="P2576" s="1080"/>
      <c r="Q2576" s="1080"/>
      <c r="R2576" s="1080"/>
      <c r="S2576" s="1080"/>
      <c r="T2576" s="1080"/>
      <c r="U2576" s="1080"/>
      <c r="V2576" s="1080"/>
      <c r="W2576" s="1080"/>
      <c r="X2576" s="1080"/>
      <c r="Y2576" s="1080"/>
      <c r="Z2576" s="1080"/>
      <c r="AA2576" s="1080"/>
      <c r="AB2576" s="1081"/>
    </row>
    <row r="2577" ht="15.75" spans="1:28">
      <c r="A2577" s="1082"/>
      <c r="B2577" s="1041"/>
      <c r="C2577" s="1041"/>
      <c r="D2577" s="1041"/>
      <c r="E2577" s="1041"/>
      <c r="F2577" s="1041"/>
      <c r="G2577" s="1041"/>
      <c r="H2577" s="1041"/>
      <c r="I2577" s="1041"/>
      <c r="J2577" s="1041"/>
      <c r="K2577" s="1041"/>
      <c r="L2577" s="1041"/>
      <c r="M2577" s="1041"/>
      <c r="N2577" s="1041"/>
      <c r="O2577" s="1041"/>
      <c r="P2577" s="1041"/>
      <c r="Q2577" s="1041"/>
      <c r="R2577" s="1041"/>
      <c r="S2577" s="1041"/>
      <c r="T2577" s="1041"/>
      <c r="U2577" s="1041"/>
      <c r="V2577" s="1041"/>
      <c r="W2577" s="1041"/>
      <c r="X2577" s="1041"/>
      <c r="Y2577" s="1041"/>
      <c r="Z2577" s="1041"/>
      <c r="AA2577" s="1041"/>
      <c r="AB2577" s="1042"/>
    </row>
    <row r="2578" spans="1:28">
      <c r="A2578" s="1083"/>
      <c r="K2578" s="1084" t="s">
        <v>554</v>
      </c>
      <c r="L2578" s="1085"/>
      <c r="M2578" s="1085"/>
      <c r="N2578" s="1085"/>
      <c r="O2578" s="1085"/>
      <c r="P2578" s="1085"/>
      <c r="Q2578" s="1085"/>
      <c r="R2578" s="1086"/>
      <c r="AB2578" s="1044"/>
    </row>
    <row r="2579" spans="1:28">
      <c r="A2579" s="1083"/>
      <c r="K2579" s="1087" t="s">
        <v>555</v>
      </c>
      <c r="L2579" s="1088"/>
      <c r="M2579" s="1088"/>
      <c r="N2579" s="1088"/>
      <c r="O2579" s="1088"/>
      <c r="P2579" s="1088"/>
      <c r="Q2579" s="1088"/>
      <c r="R2579" s="1089"/>
      <c r="AB2579" s="1044"/>
    </row>
    <row r="2580" spans="1:28">
      <c r="A2580" s="1083"/>
      <c r="K2580" s="1090"/>
      <c r="L2580" s="1091"/>
      <c r="M2580" s="1091"/>
      <c r="N2580" s="1091"/>
      <c r="O2580" s="1091"/>
      <c r="P2580" s="1091"/>
      <c r="Q2580" s="1091"/>
      <c r="R2580" s="1092"/>
      <c r="AB2580" s="1044"/>
    </row>
    <row r="2581" ht="15.75" spans="1:28">
      <c r="A2581" s="1083"/>
      <c r="K2581" s="1093">
        <f>ROUNDUP(Y2575,2)</f>
        <v>4</v>
      </c>
      <c r="L2581" s="1094"/>
      <c r="M2581" s="1094"/>
      <c r="N2581" s="1094"/>
      <c r="O2581" s="1094"/>
      <c r="P2581" s="1094"/>
      <c r="Q2581" s="1094"/>
      <c r="R2581" s="1095"/>
      <c r="AB2581" s="1044"/>
    </row>
    <row r="2582" ht="15.75" spans="1:28">
      <c r="A2582" s="1096"/>
      <c r="B2582" s="389"/>
      <c r="C2582" s="389"/>
      <c r="D2582" s="389"/>
      <c r="E2582" s="389"/>
      <c r="F2582" s="389"/>
      <c r="G2582" s="389"/>
      <c r="H2582" s="389"/>
      <c r="I2582" s="1097"/>
      <c r="J2582" s="1097"/>
      <c r="K2582" s="1097"/>
      <c r="L2582" s="1097"/>
      <c r="M2582" s="1097"/>
      <c r="N2582" s="1097"/>
      <c r="O2582" s="1097"/>
      <c r="P2582" s="1097"/>
      <c r="Q2582" s="389"/>
      <c r="R2582" s="389"/>
      <c r="S2582" s="389"/>
      <c r="T2582" s="389"/>
      <c r="U2582" s="389"/>
      <c r="V2582" s="389"/>
      <c r="W2582" s="389"/>
      <c r="X2582" s="389"/>
      <c r="Y2582" s="389"/>
      <c r="Z2582" s="389"/>
      <c r="AA2582" s="389"/>
      <c r="AB2582" s="1098"/>
    </row>
    <row r="2583" s="437" customFormat="1" spans="1:28">
      <c r="A2583" s="1040" t="s">
        <v>556</v>
      </c>
      <c r="B2583" s="1114"/>
      <c r="C2583" s="1114"/>
      <c r="D2583" s="1114"/>
      <c r="E2583" s="1114"/>
      <c r="F2583" s="1114"/>
      <c r="G2583" s="1114"/>
      <c r="H2583" s="1129"/>
      <c r="I2583" s="1129"/>
      <c r="J2583" s="1129"/>
      <c r="K2583" s="1129"/>
      <c r="L2583" s="1129"/>
      <c r="M2583" s="1129"/>
      <c r="N2583" s="1129"/>
      <c r="O2583" s="1129"/>
      <c r="P2583" s="1129"/>
      <c r="Q2583" s="1129"/>
      <c r="R2583" s="1114"/>
      <c r="S2583" s="1114"/>
      <c r="T2583" s="1114"/>
      <c r="U2583" s="1114"/>
      <c r="V2583" s="1114"/>
      <c r="W2583" s="1114"/>
      <c r="X2583" s="1114"/>
      <c r="Y2583" s="1114"/>
      <c r="Z2583" s="1114"/>
      <c r="AA2583" s="1114"/>
      <c r="AB2583" s="1115"/>
    </row>
    <row r="2584" spans="1:28">
      <c r="A2584" s="1083"/>
      <c r="H2584" s="1130"/>
      <c r="I2584" s="1130"/>
      <c r="J2584" s="1130"/>
      <c r="K2584" s="1130"/>
      <c r="L2584" s="1130"/>
      <c r="M2584" s="1130"/>
      <c r="N2584" s="1130"/>
      <c r="O2584" s="1130"/>
      <c r="P2584" s="1130"/>
      <c r="Q2584" s="1130"/>
      <c r="AB2584" s="1044"/>
    </row>
    <row r="2585" spans="1:28">
      <c r="A2585" s="1083"/>
      <c r="H2585" s="1130"/>
      <c r="I2585" s="1130"/>
      <c r="J2585" s="1130"/>
      <c r="K2585" s="1130"/>
      <c r="L2585" s="1130"/>
      <c r="M2585" s="1130"/>
      <c r="N2585" s="1130"/>
      <c r="O2585" s="1130"/>
      <c r="P2585" s="1130"/>
      <c r="Q2585" s="1130"/>
      <c r="AB2585" s="1044"/>
    </row>
    <row r="2586" spans="1:28">
      <c r="A2586" s="1083"/>
      <c r="H2586" s="1130"/>
      <c r="I2586" s="1130"/>
      <c r="J2586" s="1130"/>
      <c r="K2586" s="1130"/>
      <c r="L2586" s="1130"/>
      <c r="M2586" s="1130"/>
      <c r="N2586" s="1130"/>
      <c r="O2586" s="1130"/>
      <c r="P2586" s="1130"/>
      <c r="Q2586" s="1130"/>
      <c r="AB2586" s="1044"/>
    </row>
    <row r="2587" spans="1:28">
      <c r="A2587" s="1083"/>
      <c r="H2587" s="1130"/>
      <c r="I2587" s="1130"/>
      <c r="J2587" s="1130"/>
      <c r="K2587" s="1130"/>
      <c r="L2587" s="1130"/>
      <c r="M2587" s="1130"/>
      <c r="N2587" s="1130"/>
      <c r="O2587" s="1130"/>
      <c r="P2587" s="1130"/>
      <c r="Q2587" s="1130"/>
      <c r="AB2587" s="1044"/>
    </row>
    <row r="2588" spans="1:28">
      <c r="A2588" s="1083"/>
      <c r="H2588" s="1130"/>
      <c r="I2588" s="1130"/>
      <c r="J2588" s="1130"/>
      <c r="K2588" s="1130"/>
      <c r="L2588" s="1130"/>
      <c r="M2588" s="1130"/>
      <c r="N2588" s="1130"/>
      <c r="O2588" s="1130"/>
      <c r="P2588" s="1130"/>
      <c r="Q2588" s="1130"/>
      <c r="AB2588" s="1044"/>
    </row>
    <row r="2589" spans="1:28">
      <c r="A2589" s="1083"/>
      <c r="H2589" s="1130"/>
      <c r="I2589" s="1130"/>
      <c r="J2589" s="1130"/>
      <c r="K2589" s="1130"/>
      <c r="L2589" s="1130"/>
      <c r="M2589" s="1130"/>
      <c r="N2589" s="1130"/>
      <c r="O2589" s="1130"/>
      <c r="P2589" s="1130"/>
      <c r="Q2589" s="1130"/>
      <c r="AB2589" s="1044"/>
    </row>
    <row r="2590" spans="1:28">
      <c r="A2590" s="1083"/>
      <c r="H2590" s="1130"/>
      <c r="I2590" s="1130"/>
      <c r="J2590" s="1130"/>
      <c r="K2590" s="1130"/>
      <c r="L2590" s="1130"/>
      <c r="M2590" s="1130"/>
      <c r="N2590" s="1130"/>
      <c r="O2590" s="1130"/>
      <c r="P2590" s="1130"/>
      <c r="Q2590" s="1130"/>
      <c r="AB2590" s="1044"/>
    </row>
    <row r="2591" spans="1:28">
      <c r="A2591" s="1083"/>
      <c r="H2591" s="1130"/>
      <c r="I2591" s="1130"/>
      <c r="J2591" s="1130"/>
      <c r="K2591" s="1130"/>
      <c r="L2591" s="1130"/>
      <c r="M2591" s="1130"/>
      <c r="N2591" s="1130"/>
      <c r="O2591" s="1130"/>
      <c r="P2591" s="1130"/>
      <c r="Q2591" s="1130"/>
      <c r="AB2591" s="1044"/>
    </row>
    <row r="2592" spans="1:28">
      <c r="A2592" s="1083"/>
      <c r="H2592" s="1130"/>
      <c r="I2592" s="1130"/>
      <c r="J2592" s="1130"/>
      <c r="K2592" s="1130"/>
      <c r="L2592" s="1130"/>
      <c r="M2592" s="1130"/>
      <c r="N2592" s="1130"/>
      <c r="O2592" s="1130"/>
      <c r="P2592" s="1130"/>
      <c r="Q2592" s="1130"/>
      <c r="AB2592" s="1044"/>
    </row>
    <row r="2593" spans="1:28">
      <c r="A2593" s="1083"/>
      <c r="H2593" s="1130"/>
      <c r="I2593" s="1130"/>
      <c r="J2593" s="1130"/>
      <c r="K2593" s="1130"/>
      <c r="L2593" s="1130"/>
      <c r="M2593" s="1130"/>
      <c r="N2593" s="1130"/>
      <c r="O2593" s="1130"/>
      <c r="P2593" s="1130"/>
      <c r="Q2593" s="1130"/>
      <c r="AB2593" s="1044"/>
    </row>
    <row r="2594" ht="14.4" customHeight="1" spans="1:28">
      <c r="A2594" s="1048" t="s">
        <v>205</v>
      </c>
      <c r="B2594" s="1049"/>
      <c r="C2594" s="1049"/>
      <c r="D2594" s="1050"/>
      <c r="E2594" s="1051" t="s">
        <v>206</v>
      </c>
      <c r="F2594" s="1049"/>
      <c r="G2594" s="1049"/>
      <c r="H2594" s="1050"/>
      <c r="I2594" s="1051" t="s">
        <v>235</v>
      </c>
      <c r="J2594" s="1049"/>
      <c r="K2594" s="1049"/>
      <c r="L2594" s="1050"/>
      <c r="M2594" s="1051" t="s">
        <v>236</v>
      </c>
      <c r="N2594" s="1049"/>
      <c r="O2594" s="1049"/>
      <c r="P2594" s="1050"/>
      <c r="Q2594" s="1051" t="s">
        <v>237</v>
      </c>
      <c r="R2594" s="1049"/>
      <c r="S2594" s="1049"/>
      <c r="T2594" s="1050"/>
      <c r="U2594" s="1051"/>
      <c r="V2594" s="1049"/>
      <c r="W2594" s="1049"/>
      <c r="X2594" s="1050"/>
      <c r="Y2594" s="1051" t="s">
        <v>238</v>
      </c>
      <c r="Z2594" s="1049"/>
      <c r="AA2594" s="1049"/>
      <c r="AB2594" s="1222"/>
    </row>
    <row r="2595" ht="14.4" customHeight="1" spans="1:28">
      <c r="A2595" s="1058" t="s">
        <v>528</v>
      </c>
      <c r="B2595" s="1059"/>
      <c r="C2595" s="1059"/>
      <c r="D2595" s="1060"/>
      <c r="E2595" s="1061" t="s">
        <v>529</v>
      </c>
      <c r="F2595" s="1059"/>
      <c r="G2595" s="1059"/>
      <c r="H2595" s="1060"/>
      <c r="I2595" s="1061" t="s">
        <v>530</v>
      </c>
      <c r="J2595" s="1059"/>
      <c r="K2595" s="1059"/>
      <c r="L2595" s="1060"/>
      <c r="M2595" s="1061" t="s">
        <v>531</v>
      </c>
      <c r="N2595" s="1059"/>
      <c r="O2595" s="1059"/>
      <c r="P2595" s="1060"/>
      <c r="Q2595" s="1061" t="s">
        <v>532</v>
      </c>
      <c r="R2595" s="1059"/>
      <c r="S2595" s="1059"/>
      <c r="T2595" s="1060"/>
      <c r="U2595" s="1061"/>
      <c r="V2595" s="1059"/>
      <c r="W2595" s="1059"/>
      <c r="X2595" s="1060"/>
      <c r="Y2595" s="1061" t="s">
        <v>209</v>
      </c>
      <c r="Z2595" s="1059"/>
      <c r="AA2595" s="1059"/>
      <c r="AB2595" s="1108"/>
    </row>
    <row r="2596" spans="1:28">
      <c r="A2596" s="1239">
        <v>0.6</v>
      </c>
      <c r="B2596" s="1123"/>
      <c r="C2596" s="1123"/>
      <c r="D2596" s="1123"/>
      <c r="E2596" s="1123">
        <v>0.3</v>
      </c>
      <c r="F2596" s="1123"/>
      <c r="G2596" s="1123"/>
      <c r="H2596" s="1123"/>
      <c r="I2596" s="1123">
        <v>0.6</v>
      </c>
      <c r="J2596" s="1123"/>
      <c r="K2596" s="1123"/>
      <c r="L2596" s="1123"/>
      <c r="M2596" s="1123">
        <v>1.02</v>
      </c>
      <c r="N2596" s="1123"/>
      <c r="O2596" s="1123"/>
      <c r="P2596" s="1123"/>
      <c r="Q2596" s="1123">
        <v>0.05</v>
      </c>
      <c r="R2596" s="1123"/>
      <c r="S2596" s="1123"/>
      <c r="T2596" s="1123"/>
      <c r="U2596" s="1123"/>
      <c r="V2596" s="1123"/>
      <c r="W2596" s="1123"/>
      <c r="X2596" s="1123"/>
      <c r="Y2596" s="1123">
        <v>14.2</v>
      </c>
      <c r="Z2596" s="1123"/>
      <c r="AA2596" s="1123"/>
      <c r="AB2596" s="1124"/>
    </row>
    <row r="2597" spans="1:28">
      <c r="A2597" s="1154"/>
      <c r="B2597" s="1130"/>
      <c r="C2597" s="1130"/>
      <c r="D2597" s="1130"/>
      <c r="E2597" s="1130"/>
      <c r="F2597" s="1130"/>
      <c r="G2597" s="1130"/>
      <c r="H2597" s="1130"/>
      <c r="I2597" s="1130"/>
      <c r="J2597" s="1130"/>
      <c r="K2597" s="1130"/>
      <c r="L2597" s="1130"/>
      <c r="M2597" s="1130"/>
      <c r="N2597" s="1130"/>
      <c r="O2597" s="1130"/>
      <c r="P2597" s="1130"/>
      <c r="Q2597" s="1130"/>
      <c r="R2597" s="1130"/>
      <c r="S2597" s="1130"/>
      <c r="T2597" s="1130"/>
      <c r="U2597" s="1130"/>
      <c r="V2597" s="1130"/>
      <c r="W2597" s="1130"/>
      <c r="X2597" s="1130"/>
      <c r="AB2597" s="1044"/>
    </row>
    <row r="2598" ht="14.4" customHeight="1" spans="1:28">
      <c r="A2598" s="1240" t="s">
        <v>533</v>
      </c>
      <c r="B2598" s="1241"/>
      <c r="C2598" s="1241"/>
      <c r="D2598" s="1242"/>
      <c r="E2598" s="1051"/>
      <c r="F2598" s="1049"/>
      <c r="G2598" s="1049"/>
      <c r="H2598" s="1050"/>
      <c r="I2598" s="1051"/>
      <c r="J2598" s="1049"/>
      <c r="K2598" s="1049"/>
      <c r="L2598" s="1050"/>
      <c r="M2598" s="1051"/>
      <c r="N2598" s="1049"/>
      <c r="O2598" s="1049"/>
      <c r="P2598" s="1050"/>
      <c r="Q2598" s="1051"/>
      <c r="R2598" s="1049"/>
      <c r="S2598" s="1049"/>
      <c r="T2598" s="1050"/>
      <c r="U2598" s="1051"/>
      <c r="V2598" s="1049"/>
      <c r="W2598" s="1049"/>
      <c r="X2598" s="1050"/>
      <c r="Y2598" s="1180" t="s">
        <v>382</v>
      </c>
      <c r="Z2598" s="1181"/>
      <c r="AA2598" s="1181"/>
      <c r="AB2598" s="1212"/>
    </row>
    <row r="2599" spans="1:28">
      <c r="A2599" s="1243"/>
      <c r="B2599" s="1244"/>
      <c r="C2599" s="1244"/>
      <c r="D2599" s="1245"/>
      <c r="E2599" s="1061"/>
      <c r="F2599" s="1059"/>
      <c r="G2599" s="1059"/>
      <c r="H2599" s="1060"/>
      <c r="I2599" s="1061"/>
      <c r="J2599" s="1059"/>
      <c r="K2599" s="1059"/>
      <c r="L2599" s="1060"/>
      <c r="M2599" s="1061"/>
      <c r="N2599" s="1059"/>
      <c r="O2599" s="1059"/>
      <c r="P2599" s="1060"/>
      <c r="Q2599" s="1061"/>
      <c r="R2599" s="1059"/>
      <c r="S2599" s="1059"/>
      <c r="T2599" s="1060"/>
      <c r="U2599" s="1061"/>
      <c r="V2599" s="1059"/>
      <c r="W2599" s="1059"/>
      <c r="X2599" s="1060"/>
      <c r="Y2599" s="1065"/>
      <c r="Z2599" s="1066"/>
      <c r="AA2599" s="1066"/>
      <c r="AB2599" s="1067"/>
    </row>
    <row r="2600" ht="15.75" spans="1:28">
      <c r="A2600" s="1246">
        <v>4</v>
      </c>
      <c r="B2600" s="1217"/>
      <c r="C2600" s="1217"/>
      <c r="D2600" s="1218"/>
      <c r="E2600" s="1134"/>
      <c r="F2600" s="1134"/>
      <c r="G2600" s="1134"/>
      <c r="H2600" s="1134"/>
      <c r="I2600" s="1134"/>
      <c r="J2600" s="1134"/>
      <c r="K2600" s="1134"/>
      <c r="L2600" s="1134"/>
      <c r="M2600" s="1134"/>
      <c r="N2600" s="1134"/>
      <c r="O2600" s="1134"/>
      <c r="P2600" s="1134"/>
      <c r="Q2600" s="1134"/>
      <c r="R2600" s="1134"/>
      <c r="S2600" s="1134"/>
      <c r="T2600" s="1134"/>
      <c r="U2600" s="1134"/>
      <c r="V2600" s="1134"/>
      <c r="W2600" s="1134"/>
      <c r="X2600" s="1134"/>
      <c r="Y2600" s="1134">
        <f>ROUNDUP(((((A2596+E2596+I2596)*Q2596)+(E2596*M2596))*Y2596*A2600),2)</f>
        <v>21.65</v>
      </c>
      <c r="Z2600" s="1134"/>
      <c r="AA2600" s="1134"/>
      <c r="AB2600" s="1225"/>
    </row>
    <row r="2601" ht="15.75" spans="1:28">
      <c r="A2601" s="1079" t="s">
        <v>534</v>
      </c>
      <c r="B2601" s="1080"/>
      <c r="C2601" s="1080"/>
      <c r="D2601" s="1080"/>
      <c r="E2601" s="1080"/>
      <c r="F2601" s="1080"/>
      <c r="G2601" s="1080"/>
      <c r="H2601" s="1080"/>
      <c r="I2601" s="1080"/>
      <c r="J2601" s="1080"/>
      <c r="K2601" s="1080"/>
      <c r="L2601" s="1080"/>
      <c r="M2601" s="1080"/>
      <c r="N2601" s="1080"/>
      <c r="O2601" s="1080"/>
      <c r="P2601" s="1080"/>
      <c r="Q2601" s="1080"/>
      <c r="R2601" s="1080"/>
      <c r="S2601" s="1080"/>
      <c r="T2601" s="1080"/>
      <c r="U2601" s="1080"/>
      <c r="V2601" s="1080"/>
      <c r="W2601" s="1080"/>
      <c r="X2601" s="1080"/>
      <c r="Y2601" s="1080"/>
      <c r="Z2601" s="1080"/>
      <c r="AA2601" s="1080"/>
      <c r="AB2601" s="1081"/>
    </row>
    <row r="2602" ht="15.75" spans="1:28">
      <c r="A2602" s="1083"/>
      <c r="AB2602" s="1044"/>
    </row>
    <row r="2603" spans="1:28">
      <c r="A2603" s="1083"/>
      <c r="K2603" s="1084" t="s">
        <v>557</v>
      </c>
      <c r="L2603" s="1085"/>
      <c r="M2603" s="1085"/>
      <c r="N2603" s="1085"/>
      <c r="O2603" s="1085"/>
      <c r="P2603" s="1085"/>
      <c r="Q2603" s="1085"/>
      <c r="R2603" s="1086"/>
      <c r="AB2603" s="1044"/>
    </row>
    <row r="2604" spans="1:28">
      <c r="A2604" s="1083"/>
      <c r="K2604" s="1087" t="s">
        <v>384</v>
      </c>
      <c r="L2604" s="1088"/>
      <c r="M2604" s="1088"/>
      <c r="N2604" s="1088"/>
      <c r="O2604" s="1088"/>
      <c r="P2604" s="1088"/>
      <c r="Q2604" s="1088"/>
      <c r="R2604" s="1089"/>
      <c r="AB2604" s="1044"/>
    </row>
    <row r="2605" spans="1:28">
      <c r="A2605" s="1083"/>
      <c r="K2605" s="1090"/>
      <c r="L2605" s="1091"/>
      <c r="M2605" s="1091"/>
      <c r="N2605" s="1091"/>
      <c r="O2605" s="1091"/>
      <c r="P2605" s="1091"/>
      <c r="Q2605" s="1091"/>
      <c r="R2605" s="1092"/>
      <c r="AB2605" s="1044"/>
    </row>
    <row r="2606" ht="15.75" spans="1:28">
      <c r="A2606" s="1083"/>
      <c r="K2606" s="1093">
        <f>ROUNDUP(Y2600,2)</f>
        <v>21.65</v>
      </c>
      <c r="L2606" s="1094"/>
      <c r="M2606" s="1094"/>
      <c r="N2606" s="1094"/>
      <c r="O2606" s="1094"/>
      <c r="P2606" s="1094"/>
      <c r="Q2606" s="1094"/>
      <c r="R2606" s="1095"/>
      <c r="AB2606" s="1044"/>
    </row>
    <row r="2607" ht="15.75" spans="1:28">
      <c r="A2607" s="1096"/>
      <c r="B2607" s="389"/>
      <c r="C2607" s="389"/>
      <c r="D2607" s="389"/>
      <c r="E2607" s="389"/>
      <c r="F2607" s="389"/>
      <c r="G2607" s="389"/>
      <c r="H2607" s="389"/>
      <c r="I2607" s="1097"/>
      <c r="J2607" s="1097"/>
      <c r="K2607" s="1097"/>
      <c r="L2607" s="1097"/>
      <c r="M2607" s="1097"/>
      <c r="N2607" s="1097"/>
      <c r="O2607" s="1097"/>
      <c r="P2607" s="1097"/>
      <c r="Q2607" s="389"/>
      <c r="R2607" s="389"/>
      <c r="S2607" s="389"/>
      <c r="T2607" s="389"/>
      <c r="U2607" s="389"/>
      <c r="V2607" s="389"/>
      <c r="W2607" s="389"/>
      <c r="X2607" s="389"/>
      <c r="Y2607" s="389"/>
      <c r="Z2607" s="389"/>
      <c r="AA2607" s="389"/>
      <c r="AB2607" s="1098"/>
    </row>
    <row r="2608" s="437" customFormat="1" spans="1:28">
      <c r="A2608" s="1040" t="s">
        <v>558</v>
      </c>
      <c r="B2608" s="1114"/>
      <c r="C2608" s="1114"/>
      <c r="D2608" s="1114"/>
      <c r="E2608" s="1114"/>
      <c r="F2608" s="1114"/>
      <c r="G2608" s="1114"/>
      <c r="H2608" s="1129"/>
      <c r="I2608" s="1129"/>
      <c r="J2608" s="1129"/>
      <c r="K2608" s="1129"/>
      <c r="L2608" s="1129"/>
      <c r="M2608" s="1129"/>
      <c r="N2608" s="1129"/>
      <c r="O2608" s="1129"/>
      <c r="P2608" s="1129"/>
      <c r="Q2608" s="1129"/>
      <c r="R2608" s="1114"/>
      <c r="S2608" s="1114"/>
      <c r="T2608" s="1114"/>
      <c r="U2608" s="1114"/>
      <c r="V2608" s="1114"/>
      <c r="W2608" s="1114"/>
      <c r="X2608" s="1114"/>
      <c r="Y2608" s="1114"/>
      <c r="Z2608" s="1114"/>
      <c r="AA2608" s="1114"/>
      <c r="AB2608" s="1115"/>
    </row>
    <row r="2609" spans="1:28">
      <c r="A2609" s="1083"/>
      <c r="H2609" s="1130"/>
      <c r="I2609" s="1130"/>
      <c r="J2609" s="1130"/>
      <c r="K2609" s="1130"/>
      <c r="L2609" s="1130"/>
      <c r="M2609" s="1130"/>
      <c r="N2609" s="1130"/>
      <c r="O2609" s="1130"/>
      <c r="P2609" s="1130"/>
      <c r="Q2609" s="1130"/>
      <c r="AB2609" s="1044"/>
    </row>
    <row r="2610" spans="1:28">
      <c r="A2610" s="1083"/>
      <c r="H2610" s="1130"/>
      <c r="I2610" s="1130"/>
      <c r="J2610" s="1130"/>
      <c r="K2610" s="1130"/>
      <c r="L2610" s="1130"/>
      <c r="M2610" s="1130"/>
      <c r="N2610" s="1130"/>
      <c r="O2610" s="1130"/>
      <c r="P2610" s="1130"/>
      <c r="Q2610" s="1130"/>
      <c r="AB2610" s="1044"/>
    </row>
    <row r="2611" spans="1:28">
      <c r="A2611" s="1083"/>
      <c r="H2611" s="1130"/>
      <c r="I2611" s="1130"/>
      <c r="J2611" s="1130"/>
      <c r="K2611" s="1130"/>
      <c r="L2611" s="1130"/>
      <c r="M2611" s="1130"/>
      <c r="N2611" s="1130"/>
      <c r="O2611" s="1130"/>
      <c r="P2611" s="1130"/>
      <c r="Q2611" s="1130"/>
      <c r="AB2611" s="1044"/>
    </row>
    <row r="2612" spans="1:28">
      <c r="A2612" s="1083"/>
      <c r="H2612" s="1130"/>
      <c r="I2612" s="1130"/>
      <c r="J2612" s="1130"/>
      <c r="K2612" s="1130"/>
      <c r="L2612" s="1130"/>
      <c r="M2612" s="1130"/>
      <c r="N2612" s="1130"/>
      <c r="O2612" s="1130"/>
      <c r="P2612" s="1130"/>
      <c r="Q2612" s="1130"/>
      <c r="AB2612" s="1044"/>
    </row>
    <row r="2613" spans="1:28">
      <c r="A2613" s="1083"/>
      <c r="H2613" s="1130"/>
      <c r="I2613" s="1130"/>
      <c r="J2613" s="1130"/>
      <c r="K2613" s="1130"/>
      <c r="L2613" s="1130"/>
      <c r="M2613" s="1130"/>
      <c r="N2613" s="1130"/>
      <c r="O2613" s="1130"/>
      <c r="P2613" s="1130"/>
      <c r="Q2613" s="1130"/>
      <c r="AB2613" s="1044"/>
    </row>
    <row r="2614" spans="1:28">
      <c r="A2614" s="1083"/>
      <c r="H2614" s="1130"/>
      <c r="I2614" s="1130"/>
      <c r="J2614" s="1130"/>
      <c r="K2614" s="1130"/>
      <c r="L2614" s="1130"/>
      <c r="M2614" s="1130"/>
      <c r="N2614" s="1130"/>
      <c r="O2614" s="1130"/>
      <c r="P2614" s="1130"/>
      <c r="Q2614" s="1130"/>
      <c r="AB2614" s="1044"/>
    </row>
    <row r="2615" spans="1:28">
      <c r="A2615" s="1083"/>
      <c r="H2615" s="1130"/>
      <c r="I2615" s="1130"/>
      <c r="J2615" s="1130"/>
      <c r="K2615" s="1130"/>
      <c r="L2615" s="1130"/>
      <c r="M2615" s="1130"/>
      <c r="N2615" s="1130"/>
      <c r="O2615" s="1130"/>
      <c r="P2615" s="1130"/>
      <c r="Q2615" s="1130"/>
      <c r="AB2615" s="1044"/>
    </row>
    <row r="2616" spans="1:28">
      <c r="A2616" s="1083"/>
      <c r="H2616" s="1130"/>
      <c r="I2616" s="1130"/>
      <c r="J2616" s="1130"/>
      <c r="K2616" s="1130"/>
      <c r="L2616" s="1130"/>
      <c r="M2616" s="1130"/>
      <c r="N2616" s="1130"/>
      <c r="O2616" s="1130"/>
      <c r="P2616" s="1130"/>
      <c r="Q2616" s="1130"/>
      <c r="AB2616" s="1044"/>
    </row>
    <row r="2617" spans="1:28">
      <c r="A2617" s="1083"/>
      <c r="H2617" s="1130"/>
      <c r="I2617" s="1130"/>
      <c r="J2617" s="1130"/>
      <c r="K2617" s="1130"/>
      <c r="L2617" s="1130"/>
      <c r="M2617" s="1130"/>
      <c r="N2617" s="1130"/>
      <c r="O2617" s="1130"/>
      <c r="P2617" s="1130"/>
      <c r="Q2617" s="1130"/>
      <c r="AB2617" s="1044"/>
    </row>
    <row r="2618" spans="1:28">
      <c r="A2618" s="1083"/>
      <c r="H2618" s="1130"/>
      <c r="I2618" s="1130"/>
      <c r="J2618" s="1130"/>
      <c r="K2618" s="1130"/>
      <c r="L2618" s="1130"/>
      <c r="M2618" s="1130"/>
      <c r="N2618" s="1130"/>
      <c r="O2618" s="1130"/>
      <c r="P2618" s="1130"/>
      <c r="Q2618" s="1130"/>
      <c r="AB2618" s="1044"/>
    </row>
    <row r="2619" spans="1:28">
      <c r="A2619" s="1083"/>
      <c r="H2619" s="1130"/>
      <c r="I2619" s="1130"/>
      <c r="J2619" s="1130"/>
      <c r="K2619" s="1130"/>
      <c r="L2619" s="1130"/>
      <c r="M2619" s="1130"/>
      <c r="N2619" s="1130"/>
      <c r="O2619" s="1130"/>
      <c r="P2619" s="1130"/>
      <c r="Q2619" s="1130"/>
      <c r="AB2619" s="1044"/>
    </row>
    <row r="2620" spans="1:28">
      <c r="A2620" s="1083"/>
      <c r="H2620" s="1130"/>
      <c r="I2620" s="1130"/>
      <c r="J2620" s="1130"/>
      <c r="K2620" s="1130"/>
      <c r="L2620" s="1130"/>
      <c r="M2620" s="1130"/>
      <c r="N2620" s="1130"/>
      <c r="O2620" s="1130"/>
      <c r="P2620" s="1130"/>
      <c r="Q2620" s="1130"/>
      <c r="AB2620" s="1044"/>
    </row>
    <row r="2621" spans="1:28">
      <c r="A2621" s="1083"/>
      <c r="H2621" s="1130"/>
      <c r="I2621" s="1130"/>
      <c r="J2621" s="1130"/>
      <c r="K2621" s="1130"/>
      <c r="L2621" s="1130"/>
      <c r="M2621" s="1130"/>
      <c r="N2621" s="1130"/>
      <c r="O2621" s="1130"/>
      <c r="P2621" s="1130"/>
      <c r="Q2621" s="1130"/>
      <c r="AB2621" s="1044"/>
    </row>
    <row r="2622" spans="1:28">
      <c r="A2622" s="1083"/>
      <c r="H2622" s="1130"/>
      <c r="I2622" s="1130"/>
      <c r="J2622" s="1130"/>
      <c r="K2622" s="1130"/>
      <c r="L2622" s="1130"/>
      <c r="M2622" s="1130"/>
      <c r="N2622" s="1130"/>
      <c r="O2622" s="1130"/>
      <c r="P2622" s="1130"/>
      <c r="Q2622" s="1130"/>
      <c r="AB2622" s="1044"/>
    </row>
    <row r="2623" spans="1:28">
      <c r="A2623" s="1083"/>
      <c r="H2623" s="1130"/>
      <c r="I2623" s="1130"/>
      <c r="J2623" s="1130"/>
      <c r="K2623" s="1130"/>
      <c r="L2623" s="1130"/>
      <c r="M2623" s="1130"/>
      <c r="N2623" s="1130"/>
      <c r="O2623" s="1130"/>
      <c r="P2623" s="1130"/>
      <c r="Q2623" s="1130"/>
      <c r="AB2623" s="1044"/>
    </row>
    <row r="2624" spans="1:28">
      <c r="A2624" s="1083"/>
      <c r="H2624" s="1130"/>
      <c r="I2624" s="1130"/>
      <c r="J2624" s="1130"/>
      <c r="K2624" s="1130"/>
      <c r="L2624" s="1130"/>
      <c r="M2624" s="1130"/>
      <c r="N2624" s="1130"/>
      <c r="O2624" s="1130"/>
      <c r="P2624" s="1130"/>
      <c r="Q2624" s="1130"/>
      <c r="AB2624" s="1044"/>
    </row>
    <row r="2625" spans="1:28">
      <c r="A2625" s="1083"/>
      <c r="H2625" s="1130"/>
      <c r="I2625" s="1130"/>
      <c r="J2625" s="1130"/>
      <c r="K2625" s="1130"/>
      <c r="L2625" s="1130"/>
      <c r="M2625" s="1130"/>
      <c r="N2625" s="1130"/>
      <c r="O2625" s="1130"/>
      <c r="P2625" s="1130"/>
      <c r="Q2625" s="1130"/>
      <c r="AB2625" s="1044"/>
    </row>
    <row r="2626" ht="14.4" customHeight="1" spans="1:28">
      <c r="A2626" s="1048" t="s">
        <v>205</v>
      </c>
      <c r="B2626" s="1049"/>
      <c r="C2626" s="1049"/>
      <c r="D2626" s="1050"/>
      <c r="E2626" s="1051" t="s">
        <v>206</v>
      </c>
      <c r="F2626" s="1049"/>
      <c r="G2626" s="1049"/>
      <c r="H2626" s="1050"/>
      <c r="I2626" s="1051" t="s">
        <v>235</v>
      </c>
      <c r="J2626" s="1049"/>
      <c r="K2626" s="1049"/>
      <c r="L2626" s="1050"/>
      <c r="M2626" s="1051" t="s">
        <v>236</v>
      </c>
      <c r="N2626" s="1049"/>
      <c r="O2626" s="1049"/>
      <c r="P2626" s="1050"/>
      <c r="Q2626" s="1051" t="s">
        <v>237</v>
      </c>
      <c r="R2626" s="1049"/>
      <c r="S2626" s="1049"/>
      <c r="T2626" s="1050"/>
      <c r="U2626" s="1051" t="s">
        <v>238</v>
      </c>
      <c r="V2626" s="1049"/>
      <c r="W2626" s="1049"/>
      <c r="X2626" s="1050"/>
      <c r="Y2626" s="1051" t="s">
        <v>246</v>
      </c>
      <c r="Z2626" s="1049"/>
      <c r="AA2626" s="1049"/>
      <c r="AB2626" s="1222"/>
    </row>
    <row r="2627" ht="14.4" customHeight="1" spans="1:28">
      <c r="A2627" s="1058" t="s">
        <v>559</v>
      </c>
      <c r="B2627" s="1059"/>
      <c r="C2627" s="1059"/>
      <c r="D2627" s="1060"/>
      <c r="E2627" s="1061" t="s">
        <v>560</v>
      </c>
      <c r="F2627" s="1059"/>
      <c r="G2627" s="1059"/>
      <c r="H2627" s="1060"/>
      <c r="I2627" s="1061" t="s">
        <v>561</v>
      </c>
      <c r="J2627" s="1059"/>
      <c r="K2627" s="1059"/>
      <c r="L2627" s="1060"/>
      <c r="M2627" s="1061" t="s">
        <v>315</v>
      </c>
      <c r="N2627" s="1059"/>
      <c r="O2627" s="1059"/>
      <c r="P2627" s="1060"/>
      <c r="Q2627" s="1061" t="s">
        <v>417</v>
      </c>
      <c r="R2627" s="1059"/>
      <c r="S2627" s="1059"/>
      <c r="T2627" s="1060"/>
      <c r="U2627" s="1061" t="s">
        <v>418</v>
      </c>
      <c r="V2627" s="1059"/>
      <c r="W2627" s="1059"/>
      <c r="X2627" s="1060"/>
      <c r="Y2627" s="1061" t="s">
        <v>500</v>
      </c>
      <c r="Z2627" s="1059"/>
      <c r="AA2627" s="1059"/>
      <c r="AB2627" s="1108"/>
    </row>
    <row r="2628" spans="1:28">
      <c r="A2628" s="1122">
        <v>0.3</v>
      </c>
      <c r="B2628" s="1073"/>
      <c r="C2628" s="1073"/>
      <c r="D2628" s="1073"/>
      <c r="E2628" s="1073">
        <v>0.3</v>
      </c>
      <c r="F2628" s="1073"/>
      <c r="G2628" s="1073"/>
      <c r="H2628" s="1073"/>
      <c r="I2628" s="1073">
        <v>3.4</v>
      </c>
      <c r="J2628" s="1073"/>
      <c r="K2628" s="1073"/>
      <c r="L2628" s="1073"/>
      <c r="M2628" s="1073">
        <v>6</v>
      </c>
      <c r="N2628" s="1073"/>
      <c r="O2628" s="1073"/>
      <c r="P2628" s="1073"/>
      <c r="Q2628" s="1073">
        <v>0.25</v>
      </c>
      <c r="R2628" s="1073"/>
      <c r="S2628" s="1073"/>
      <c r="T2628" s="1073"/>
      <c r="U2628" s="1073">
        <v>0.3</v>
      </c>
      <c r="V2628" s="1073"/>
      <c r="W2628" s="1073"/>
      <c r="X2628" s="1073"/>
      <c r="Y2628" s="1073">
        <v>0.05</v>
      </c>
      <c r="Z2628" s="1073"/>
      <c r="AA2628" s="1073"/>
      <c r="AB2628" s="1193"/>
    </row>
    <row r="2629" spans="1:28">
      <c r="A2629" s="1154"/>
      <c r="B2629" s="1130"/>
      <c r="C2629" s="1130"/>
      <c r="D2629" s="1130"/>
      <c r="E2629" s="1130"/>
      <c r="F2629" s="1130"/>
      <c r="G2629" s="1130"/>
      <c r="H2629" s="1130"/>
      <c r="I2629" s="1130"/>
      <c r="J2629" s="1130"/>
      <c r="K2629" s="1130"/>
      <c r="L2629" s="1130"/>
      <c r="M2629" s="1130"/>
      <c r="N2629" s="1130"/>
      <c r="O2629" s="1130"/>
      <c r="P2629" s="1130"/>
      <c r="Q2629" s="1130"/>
      <c r="R2629" s="1130"/>
      <c r="S2629" s="1130"/>
      <c r="T2629" s="1130"/>
      <c r="U2629" s="1130"/>
      <c r="V2629" s="1130"/>
      <c r="W2629" s="1130"/>
      <c r="X2629" s="1130"/>
      <c r="AB2629" s="1044"/>
    </row>
    <row r="2630" ht="14.4" customHeight="1" spans="1:28">
      <c r="A2630" s="1048" t="s">
        <v>562</v>
      </c>
      <c r="B2630" s="1049"/>
      <c r="C2630" s="1049"/>
      <c r="D2630" s="1050"/>
      <c r="E2630" s="1051"/>
      <c r="F2630" s="1049"/>
      <c r="G2630" s="1049"/>
      <c r="H2630" s="1050"/>
      <c r="I2630" s="1051"/>
      <c r="J2630" s="1049"/>
      <c r="K2630" s="1049"/>
      <c r="L2630" s="1050"/>
      <c r="M2630" s="1051"/>
      <c r="N2630" s="1049"/>
      <c r="O2630" s="1049"/>
      <c r="P2630" s="1050"/>
      <c r="Q2630" s="1051"/>
      <c r="R2630" s="1049"/>
      <c r="S2630" s="1049"/>
      <c r="T2630" s="1050"/>
      <c r="U2630" s="1051"/>
      <c r="V2630" s="1049"/>
      <c r="W2630" s="1049"/>
      <c r="X2630" s="1050"/>
      <c r="Y2630" s="1051" t="s">
        <v>314</v>
      </c>
      <c r="Z2630" s="1049"/>
      <c r="AA2630" s="1049"/>
      <c r="AB2630" s="1222"/>
    </row>
    <row r="2631" spans="1:28">
      <c r="A2631" s="1058"/>
      <c r="B2631" s="1059"/>
      <c r="C2631" s="1059"/>
      <c r="D2631" s="1060"/>
      <c r="E2631" s="1061"/>
      <c r="F2631" s="1059"/>
      <c r="G2631" s="1059"/>
      <c r="H2631" s="1060"/>
      <c r="I2631" s="1061"/>
      <c r="J2631" s="1059"/>
      <c r="K2631" s="1059"/>
      <c r="L2631" s="1060"/>
      <c r="M2631" s="1061"/>
      <c r="N2631" s="1059"/>
      <c r="O2631" s="1059"/>
      <c r="P2631" s="1060"/>
      <c r="Q2631" s="1061"/>
      <c r="R2631" s="1059"/>
      <c r="S2631" s="1059"/>
      <c r="T2631" s="1060"/>
      <c r="U2631" s="1061"/>
      <c r="V2631" s="1059"/>
      <c r="W2631" s="1059"/>
      <c r="X2631" s="1060"/>
      <c r="Y2631" s="1061"/>
      <c r="Z2631" s="1059"/>
      <c r="AA2631" s="1059"/>
      <c r="AB2631" s="1108"/>
    </row>
    <row r="2632" ht="15.75" spans="1:28">
      <c r="A2632" s="1246">
        <v>2</v>
      </c>
      <c r="B2632" s="1217"/>
      <c r="C2632" s="1217"/>
      <c r="D2632" s="1218"/>
      <c r="E2632" s="1134"/>
      <c r="F2632" s="1134"/>
      <c r="G2632" s="1134"/>
      <c r="H2632" s="1134"/>
      <c r="I2632" s="1134"/>
      <c r="J2632" s="1134"/>
      <c r="K2632" s="1134"/>
      <c r="L2632" s="1134"/>
      <c r="M2632" s="1134"/>
      <c r="N2632" s="1134"/>
      <c r="O2632" s="1134"/>
      <c r="P2632" s="1134"/>
      <c r="Q2632" s="1134"/>
      <c r="R2632" s="1134"/>
      <c r="S2632" s="1134"/>
      <c r="T2632" s="1134"/>
      <c r="U2632" s="1134"/>
      <c r="V2632" s="1134"/>
      <c r="W2632" s="1134"/>
      <c r="X2632" s="1134"/>
      <c r="Y2632" s="1134">
        <f>ROUNDUP(((((A2628+E2628+I2628)*Q2628)+(A2628*U2628)+((E2628*U2628)/2))*M2628*A2632),2)</f>
        <v>13.62</v>
      </c>
      <c r="Z2632" s="1134"/>
      <c r="AA2632" s="1134"/>
      <c r="AB2632" s="1225"/>
    </row>
    <row r="2633" ht="15.75" spans="1:28">
      <c r="A2633" s="1079" t="s">
        <v>563</v>
      </c>
      <c r="B2633" s="1080"/>
      <c r="C2633" s="1080"/>
      <c r="D2633" s="1080"/>
      <c r="E2633" s="1080"/>
      <c r="F2633" s="1080"/>
      <c r="G2633" s="1080"/>
      <c r="H2633" s="1080"/>
      <c r="I2633" s="1080"/>
      <c r="J2633" s="1080"/>
      <c r="K2633" s="1080"/>
      <c r="L2633" s="1080"/>
      <c r="M2633" s="1080"/>
      <c r="N2633" s="1080"/>
      <c r="O2633" s="1080"/>
      <c r="P2633" s="1080"/>
      <c r="Q2633" s="1080"/>
      <c r="R2633" s="1080"/>
      <c r="S2633" s="1080"/>
      <c r="T2633" s="1080"/>
      <c r="U2633" s="1080"/>
      <c r="V2633" s="1080"/>
      <c r="W2633" s="1080"/>
      <c r="X2633" s="1080"/>
      <c r="Y2633" s="1080"/>
      <c r="Z2633" s="1080"/>
      <c r="AA2633" s="1080"/>
      <c r="AB2633" s="1081"/>
    </row>
    <row r="2634" ht="15.75" spans="1:28">
      <c r="A2634" s="1083"/>
      <c r="AB2634" s="1044"/>
    </row>
    <row r="2635" spans="1:28">
      <c r="A2635" s="1083"/>
      <c r="K2635" s="1084" t="s">
        <v>564</v>
      </c>
      <c r="L2635" s="1085"/>
      <c r="M2635" s="1085"/>
      <c r="N2635" s="1085"/>
      <c r="O2635" s="1085"/>
      <c r="P2635" s="1085"/>
      <c r="Q2635" s="1085"/>
      <c r="R2635" s="1086"/>
      <c r="AB2635" s="1044"/>
    </row>
    <row r="2636" spans="1:28">
      <c r="A2636" s="1083"/>
      <c r="K2636" s="1087" t="s">
        <v>324</v>
      </c>
      <c r="L2636" s="1088"/>
      <c r="M2636" s="1088"/>
      <c r="N2636" s="1088"/>
      <c r="O2636" s="1088"/>
      <c r="P2636" s="1088"/>
      <c r="Q2636" s="1088"/>
      <c r="R2636" s="1089"/>
      <c r="AB2636" s="1044"/>
    </row>
    <row r="2637" spans="1:28">
      <c r="A2637" s="1083"/>
      <c r="K2637" s="1090"/>
      <c r="L2637" s="1091"/>
      <c r="M2637" s="1091"/>
      <c r="N2637" s="1091"/>
      <c r="O2637" s="1091"/>
      <c r="P2637" s="1091"/>
      <c r="Q2637" s="1091"/>
      <c r="R2637" s="1092"/>
      <c r="AB2637" s="1044"/>
    </row>
    <row r="2638" ht="15.75" spans="1:28">
      <c r="A2638" s="1083"/>
      <c r="K2638" s="1093">
        <f>ROUNDUP(Y2632,2)</f>
        <v>13.62</v>
      </c>
      <c r="L2638" s="1094"/>
      <c r="M2638" s="1094"/>
      <c r="N2638" s="1094"/>
      <c r="O2638" s="1094"/>
      <c r="P2638" s="1094"/>
      <c r="Q2638" s="1094"/>
      <c r="R2638" s="1095"/>
      <c r="AB2638" s="1044"/>
    </row>
    <row r="2639" ht="15.75" spans="1:28">
      <c r="A2639" s="1096"/>
      <c r="B2639" s="389"/>
      <c r="C2639" s="389"/>
      <c r="D2639" s="389"/>
      <c r="E2639" s="389"/>
      <c r="F2639" s="389"/>
      <c r="G2639" s="389"/>
      <c r="H2639" s="389"/>
      <c r="I2639" s="1097"/>
      <c r="J2639" s="1097"/>
      <c r="K2639" s="1097"/>
      <c r="L2639" s="1097"/>
      <c r="M2639" s="1097"/>
      <c r="N2639" s="1097"/>
      <c r="O2639" s="1097"/>
      <c r="P2639" s="1097"/>
      <c r="Q2639" s="389"/>
      <c r="R2639" s="389"/>
      <c r="S2639" s="389"/>
      <c r="T2639" s="389"/>
      <c r="U2639" s="389"/>
      <c r="V2639" s="389"/>
      <c r="W2639" s="389"/>
      <c r="X2639" s="389"/>
      <c r="Y2639" s="389"/>
      <c r="Z2639" s="389"/>
      <c r="AA2639" s="389"/>
      <c r="AB2639" s="1098"/>
    </row>
    <row r="2640" s="437" customFormat="1" spans="1:28">
      <c r="A2640" s="1040" t="s">
        <v>565</v>
      </c>
      <c r="B2640" s="1114"/>
      <c r="C2640" s="1114"/>
      <c r="D2640" s="1114"/>
      <c r="E2640" s="1114"/>
      <c r="F2640" s="1114"/>
      <c r="G2640" s="1114"/>
      <c r="H2640" s="1129"/>
      <c r="I2640" s="1129"/>
      <c r="J2640" s="1129"/>
      <c r="K2640" s="1129"/>
      <c r="L2640" s="1129"/>
      <c r="M2640" s="1129"/>
      <c r="N2640" s="1129"/>
      <c r="O2640" s="1129"/>
      <c r="P2640" s="1129"/>
      <c r="Q2640" s="1129"/>
      <c r="R2640" s="1114"/>
      <c r="S2640" s="1114"/>
      <c r="T2640" s="1114"/>
      <c r="U2640" s="1114"/>
      <c r="V2640" s="1114"/>
      <c r="W2640" s="1114"/>
      <c r="X2640" s="1114"/>
      <c r="Y2640" s="1114"/>
      <c r="Z2640" s="1114"/>
      <c r="AA2640" s="1114"/>
      <c r="AB2640" s="1115"/>
    </row>
    <row r="2641" spans="1:28">
      <c r="A2641" s="1083"/>
      <c r="H2641" s="1130"/>
      <c r="I2641" s="1130"/>
      <c r="J2641" s="1130"/>
      <c r="K2641" s="1130"/>
      <c r="L2641" s="1130"/>
      <c r="M2641" s="1130"/>
      <c r="N2641" s="1130"/>
      <c r="O2641" s="1130"/>
      <c r="P2641" s="1130"/>
      <c r="Q2641" s="1130"/>
      <c r="AB2641" s="1044"/>
    </row>
    <row r="2642" spans="1:28">
      <c r="A2642" s="1083"/>
      <c r="H2642" s="1130"/>
      <c r="I2642" s="1130"/>
      <c r="J2642" s="1130"/>
      <c r="K2642" s="1130"/>
      <c r="L2642" s="1130"/>
      <c r="M2642" s="1130"/>
      <c r="N2642" s="1130"/>
      <c r="O2642" s="1130"/>
      <c r="P2642" s="1130"/>
      <c r="Q2642" s="1130"/>
      <c r="AB2642" s="1044"/>
    </row>
    <row r="2643" spans="1:28">
      <c r="A2643" s="1083"/>
      <c r="H2643" s="1130"/>
      <c r="I2643" s="1130"/>
      <c r="J2643" s="1130"/>
      <c r="K2643" s="1130"/>
      <c r="L2643" s="1130"/>
      <c r="M2643" s="1130"/>
      <c r="N2643" s="1130"/>
      <c r="O2643" s="1130"/>
      <c r="P2643" s="1130"/>
      <c r="Q2643" s="1130"/>
      <c r="AB2643" s="1044"/>
    </row>
    <row r="2644" spans="1:28">
      <c r="A2644" s="1083"/>
      <c r="H2644" s="1130"/>
      <c r="I2644" s="1130"/>
      <c r="J2644" s="1130"/>
      <c r="K2644" s="1130"/>
      <c r="L2644" s="1130"/>
      <c r="M2644" s="1130"/>
      <c r="N2644" s="1130"/>
      <c r="O2644" s="1130"/>
      <c r="P2644" s="1130"/>
      <c r="Q2644" s="1130"/>
      <c r="AB2644" s="1044"/>
    </row>
    <row r="2645" spans="1:28">
      <c r="A2645" s="1083"/>
      <c r="H2645" s="1130"/>
      <c r="I2645" s="1130"/>
      <c r="J2645" s="1130"/>
      <c r="K2645" s="1130"/>
      <c r="L2645" s="1130"/>
      <c r="M2645" s="1130"/>
      <c r="N2645" s="1130"/>
      <c r="O2645" s="1130"/>
      <c r="P2645" s="1130"/>
      <c r="Q2645" s="1130"/>
      <c r="AB2645" s="1044"/>
    </row>
    <row r="2646" spans="1:28">
      <c r="A2646" s="1083"/>
      <c r="H2646" s="1130"/>
      <c r="I2646" s="1130"/>
      <c r="J2646" s="1130"/>
      <c r="K2646" s="1130"/>
      <c r="L2646" s="1130"/>
      <c r="M2646" s="1130"/>
      <c r="N2646" s="1130"/>
      <c r="O2646" s="1130"/>
      <c r="P2646" s="1130"/>
      <c r="Q2646" s="1130"/>
      <c r="AB2646" s="1044"/>
    </row>
    <row r="2647" spans="1:28">
      <c r="A2647" s="1083"/>
      <c r="H2647" s="1130"/>
      <c r="I2647" s="1130"/>
      <c r="J2647" s="1130"/>
      <c r="K2647" s="1130"/>
      <c r="L2647" s="1130"/>
      <c r="M2647" s="1130"/>
      <c r="N2647" s="1130"/>
      <c r="O2647" s="1130"/>
      <c r="P2647" s="1130"/>
      <c r="Q2647" s="1130"/>
      <c r="AB2647" s="1044"/>
    </row>
    <row r="2648" spans="1:28">
      <c r="A2648" s="1083"/>
      <c r="H2648" s="1130"/>
      <c r="I2648" s="1130"/>
      <c r="J2648" s="1130"/>
      <c r="K2648" s="1130"/>
      <c r="L2648" s="1130"/>
      <c r="M2648" s="1130"/>
      <c r="N2648" s="1130"/>
      <c r="O2648" s="1130"/>
      <c r="P2648" s="1130"/>
      <c r="Q2648" s="1130"/>
      <c r="AB2648" s="1044"/>
    </row>
    <row r="2649" spans="1:28">
      <c r="A2649" s="1083"/>
      <c r="H2649" s="1130"/>
      <c r="I2649" s="1130"/>
      <c r="J2649" s="1130"/>
      <c r="K2649" s="1130"/>
      <c r="L2649" s="1130"/>
      <c r="M2649" s="1130"/>
      <c r="N2649" s="1130"/>
      <c r="O2649" s="1130"/>
      <c r="P2649" s="1130"/>
      <c r="Q2649" s="1130"/>
      <c r="AB2649" s="1044"/>
    </row>
    <row r="2650" spans="1:28">
      <c r="A2650" s="1083"/>
      <c r="H2650" s="1130"/>
      <c r="I2650" s="1130"/>
      <c r="J2650" s="1130"/>
      <c r="K2650" s="1130"/>
      <c r="L2650" s="1130"/>
      <c r="M2650" s="1130"/>
      <c r="N2650" s="1130"/>
      <c r="O2650" s="1130"/>
      <c r="P2650" s="1130"/>
      <c r="Q2650" s="1130"/>
      <c r="AB2650" s="1044"/>
    </row>
    <row r="2651" spans="1:28">
      <c r="A2651" s="1083"/>
      <c r="H2651" s="1130"/>
      <c r="I2651" s="1130"/>
      <c r="J2651" s="1130"/>
      <c r="K2651" s="1130"/>
      <c r="L2651" s="1130"/>
      <c r="M2651" s="1130"/>
      <c r="N2651" s="1130"/>
      <c r="O2651" s="1130"/>
      <c r="P2651" s="1130"/>
      <c r="Q2651" s="1130"/>
      <c r="AB2651" s="1044"/>
    </row>
    <row r="2652" spans="1:28">
      <c r="A2652" s="1083"/>
      <c r="H2652" s="1130"/>
      <c r="I2652" s="1130"/>
      <c r="J2652" s="1130"/>
      <c r="K2652" s="1130"/>
      <c r="L2652" s="1130"/>
      <c r="M2652" s="1130"/>
      <c r="N2652" s="1130"/>
      <c r="O2652" s="1130"/>
      <c r="P2652" s="1130"/>
      <c r="Q2652" s="1130"/>
      <c r="AB2652" s="1044"/>
    </row>
    <row r="2653" spans="1:28">
      <c r="A2653" s="1083"/>
      <c r="H2653" s="1130"/>
      <c r="I2653" s="1130"/>
      <c r="J2653" s="1130"/>
      <c r="K2653" s="1130"/>
      <c r="L2653" s="1130"/>
      <c r="M2653" s="1130"/>
      <c r="N2653" s="1130"/>
      <c r="O2653" s="1130"/>
      <c r="P2653" s="1130"/>
      <c r="Q2653" s="1130"/>
      <c r="AB2653" s="1044"/>
    </row>
    <row r="2654" spans="1:28">
      <c r="A2654" s="1083"/>
      <c r="H2654" s="1130"/>
      <c r="I2654" s="1130"/>
      <c r="J2654" s="1130"/>
      <c r="K2654" s="1130"/>
      <c r="L2654" s="1130"/>
      <c r="M2654" s="1130"/>
      <c r="N2654" s="1130"/>
      <c r="O2654" s="1130"/>
      <c r="P2654" s="1130"/>
      <c r="Q2654" s="1130"/>
      <c r="AB2654" s="1044"/>
    </row>
    <row r="2655" spans="1:28">
      <c r="A2655" s="1083"/>
      <c r="H2655" s="1130"/>
      <c r="I2655" s="1130"/>
      <c r="J2655" s="1130"/>
      <c r="K2655" s="1130"/>
      <c r="L2655" s="1130"/>
      <c r="M2655" s="1130"/>
      <c r="N2655" s="1130"/>
      <c r="O2655" s="1130"/>
      <c r="P2655" s="1130"/>
      <c r="Q2655" s="1130"/>
      <c r="AB2655" s="1044"/>
    </row>
    <row r="2656" spans="1:28">
      <c r="A2656" s="1083"/>
      <c r="H2656" s="1130"/>
      <c r="I2656" s="1130"/>
      <c r="J2656" s="1130"/>
      <c r="K2656" s="1130"/>
      <c r="L2656" s="1130"/>
      <c r="M2656" s="1130"/>
      <c r="N2656" s="1130"/>
      <c r="O2656" s="1130"/>
      <c r="P2656" s="1130"/>
      <c r="Q2656" s="1130"/>
      <c r="AB2656" s="1044"/>
    </row>
    <row r="2657" spans="1:28">
      <c r="A2657" s="1083"/>
      <c r="H2657" s="1130"/>
      <c r="I2657" s="1130"/>
      <c r="J2657" s="1130"/>
      <c r="K2657" s="1130"/>
      <c r="L2657" s="1130"/>
      <c r="M2657" s="1130"/>
      <c r="N2657" s="1130"/>
      <c r="O2657" s="1130"/>
      <c r="P2657" s="1130"/>
      <c r="Q2657" s="1130"/>
      <c r="AB2657" s="1044"/>
    </row>
    <row r="2658" ht="14.4" customHeight="1" spans="1:28">
      <c r="A2658" s="1048" t="s">
        <v>205</v>
      </c>
      <c r="B2658" s="1049"/>
      <c r="C2658" s="1049"/>
      <c r="D2658" s="1050"/>
      <c r="E2658" s="1051" t="s">
        <v>206</v>
      </c>
      <c r="F2658" s="1049"/>
      <c r="G2658" s="1049"/>
      <c r="H2658" s="1050"/>
      <c r="I2658" s="1051" t="s">
        <v>235</v>
      </c>
      <c r="J2658" s="1049"/>
      <c r="K2658" s="1049"/>
      <c r="L2658" s="1050"/>
      <c r="M2658" s="1051" t="s">
        <v>236</v>
      </c>
      <c r="N2658" s="1049"/>
      <c r="O2658" s="1049"/>
      <c r="P2658" s="1050"/>
      <c r="Q2658" s="1051" t="s">
        <v>237</v>
      </c>
      <c r="R2658" s="1049"/>
      <c r="S2658" s="1049"/>
      <c r="T2658" s="1050"/>
      <c r="U2658" s="1051" t="s">
        <v>238</v>
      </c>
      <c r="V2658" s="1049"/>
      <c r="W2658" s="1049"/>
      <c r="X2658" s="1050"/>
      <c r="Y2658" s="1051" t="s">
        <v>246</v>
      </c>
      <c r="Z2658" s="1049"/>
      <c r="AA2658" s="1049"/>
      <c r="AB2658" s="1222"/>
    </row>
    <row r="2659" ht="14.4" customHeight="1" spans="1:28">
      <c r="A2659" s="1058" t="s">
        <v>559</v>
      </c>
      <c r="B2659" s="1059"/>
      <c r="C2659" s="1059"/>
      <c r="D2659" s="1060"/>
      <c r="E2659" s="1061" t="s">
        <v>560</v>
      </c>
      <c r="F2659" s="1059"/>
      <c r="G2659" s="1059"/>
      <c r="H2659" s="1060"/>
      <c r="I2659" s="1061" t="s">
        <v>561</v>
      </c>
      <c r="J2659" s="1059"/>
      <c r="K2659" s="1059"/>
      <c r="L2659" s="1060"/>
      <c r="M2659" s="1061" t="s">
        <v>315</v>
      </c>
      <c r="N2659" s="1059"/>
      <c r="O2659" s="1059"/>
      <c r="P2659" s="1060"/>
      <c r="Q2659" s="1061" t="s">
        <v>417</v>
      </c>
      <c r="R2659" s="1059"/>
      <c r="S2659" s="1059"/>
      <c r="T2659" s="1060"/>
      <c r="U2659" s="1061" t="s">
        <v>418</v>
      </c>
      <c r="V2659" s="1059"/>
      <c r="W2659" s="1059"/>
      <c r="X2659" s="1060"/>
      <c r="Y2659" s="1061" t="s">
        <v>500</v>
      </c>
      <c r="Z2659" s="1059"/>
      <c r="AA2659" s="1059"/>
      <c r="AB2659" s="1108"/>
    </row>
    <row r="2660" spans="1:28">
      <c r="A2660" s="1122">
        <v>0.3</v>
      </c>
      <c r="B2660" s="1073"/>
      <c r="C2660" s="1073"/>
      <c r="D2660" s="1073"/>
      <c r="E2660" s="1073">
        <v>0.3</v>
      </c>
      <c r="F2660" s="1073"/>
      <c r="G2660" s="1073"/>
      <c r="H2660" s="1073"/>
      <c r="I2660" s="1073">
        <v>3.4</v>
      </c>
      <c r="J2660" s="1073"/>
      <c r="K2660" s="1073"/>
      <c r="L2660" s="1073"/>
      <c r="M2660" s="1073">
        <v>6</v>
      </c>
      <c r="N2660" s="1073"/>
      <c r="O2660" s="1073"/>
      <c r="P2660" s="1073"/>
      <c r="Q2660" s="1073">
        <v>0.25</v>
      </c>
      <c r="R2660" s="1073"/>
      <c r="S2660" s="1073"/>
      <c r="T2660" s="1073"/>
      <c r="U2660" s="1073">
        <v>0.3</v>
      </c>
      <c r="V2660" s="1073"/>
      <c r="W2660" s="1073"/>
      <c r="X2660" s="1073"/>
      <c r="Y2660" s="1073">
        <v>0.05</v>
      </c>
      <c r="Z2660" s="1073"/>
      <c r="AA2660" s="1073"/>
      <c r="AB2660" s="1193"/>
    </row>
    <row r="2661" spans="1:28">
      <c r="A2661" s="1154"/>
      <c r="B2661" s="1130"/>
      <c r="C2661" s="1130"/>
      <c r="D2661" s="1130"/>
      <c r="E2661" s="1130"/>
      <c r="F2661" s="1130"/>
      <c r="G2661" s="1130"/>
      <c r="H2661" s="1130"/>
      <c r="I2661" s="1130"/>
      <c r="J2661" s="1130"/>
      <c r="K2661" s="1130"/>
      <c r="L2661" s="1130"/>
      <c r="M2661" s="1130"/>
      <c r="N2661" s="1130"/>
      <c r="O2661" s="1130"/>
      <c r="P2661" s="1130"/>
      <c r="Q2661" s="1130"/>
      <c r="R2661" s="1130"/>
      <c r="S2661" s="1130"/>
      <c r="T2661" s="1130"/>
      <c r="U2661" s="1130"/>
      <c r="V2661" s="1130"/>
      <c r="W2661" s="1130"/>
      <c r="X2661" s="1130"/>
      <c r="AB2661" s="1044"/>
    </row>
    <row r="2662" ht="14.4" customHeight="1" spans="1:28">
      <c r="A2662" s="1048" t="s">
        <v>562</v>
      </c>
      <c r="B2662" s="1049"/>
      <c r="C2662" s="1049"/>
      <c r="D2662" s="1050"/>
      <c r="E2662" s="1051"/>
      <c r="F2662" s="1049"/>
      <c r="G2662" s="1049"/>
      <c r="H2662" s="1050"/>
      <c r="I2662" s="1051"/>
      <c r="J2662" s="1049"/>
      <c r="K2662" s="1049"/>
      <c r="L2662" s="1050"/>
      <c r="M2662" s="1051"/>
      <c r="N2662" s="1049"/>
      <c r="O2662" s="1049"/>
      <c r="P2662" s="1050"/>
      <c r="Q2662" s="1051"/>
      <c r="R2662" s="1049"/>
      <c r="S2662" s="1049"/>
      <c r="T2662" s="1050"/>
      <c r="U2662" s="1051"/>
      <c r="V2662" s="1049"/>
      <c r="W2662" s="1049"/>
      <c r="X2662" s="1050"/>
      <c r="Y2662" s="1051" t="s">
        <v>314</v>
      </c>
      <c r="Z2662" s="1049"/>
      <c r="AA2662" s="1049"/>
      <c r="AB2662" s="1222"/>
    </row>
    <row r="2663" spans="1:28">
      <c r="A2663" s="1058"/>
      <c r="B2663" s="1059"/>
      <c r="C2663" s="1059"/>
      <c r="D2663" s="1060"/>
      <c r="E2663" s="1061"/>
      <c r="F2663" s="1059"/>
      <c r="G2663" s="1059"/>
      <c r="H2663" s="1060"/>
      <c r="I2663" s="1061"/>
      <c r="J2663" s="1059"/>
      <c r="K2663" s="1059"/>
      <c r="L2663" s="1060"/>
      <c r="M2663" s="1061"/>
      <c r="N2663" s="1059"/>
      <c r="O2663" s="1059"/>
      <c r="P2663" s="1060"/>
      <c r="Q2663" s="1061"/>
      <c r="R2663" s="1059"/>
      <c r="S2663" s="1059"/>
      <c r="T2663" s="1060"/>
      <c r="U2663" s="1061"/>
      <c r="V2663" s="1059"/>
      <c r="W2663" s="1059"/>
      <c r="X2663" s="1060"/>
      <c r="Y2663" s="1061"/>
      <c r="Z2663" s="1059"/>
      <c r="AA2663" s="1059"/>
      <c r="AB2663" s="1108"/>
    </row>
    <row r="2664" ht="15.75" spans="1:28">
      <c r="A2664" s="1246">
        <v>2</v>
      </c>
      <c r="B2664" s="1217"/>
      <c r="C2664" s="1217"/>
      <c r="D2664" s="1218"/>
      <c r="E2664" s="1134"/>
      <c r="F2664" s="1134"/>
      <c r="G2664" s="1134"/>
      <c r="H2664" s="1134"/>
      <c r="I2664" s="1134"/>
      <c r="J2664" s="1134"/>
      <c r="K2664" s="1134"/>
      <c r="L2664" s="1134"/>
      <c r="M2664" s="1134"/>
      <c r="N2664" s="1134"/>
      <c r="O2664" s="1134"/>
      <c r="P2664" s="1134"/>
      <c r="Q2664" s="1134"/>
      <c r="R2664" s="1134"/>
      <c r="S2664" s="1134"/>
      <c r="T2664" s="1134"/>
      <c r="U2664" s="1134"/>
      <c r="V2664" s="1134"/>
      <c r="W2664" s="1134"/>
      <c r="X2664" s="1134"/>
      <c r="Y2664" s="1134">
        <f>ROUNDUP(((A2660+E2660+I2660)*Y2660*M2660*A2664),2)</f>
        <v>2.4</v>
      </c>
      <c r="Z2664" s="1134"/>
      <c r="AA2664" s="1134"/>
      <c r="AB2664" s="1225"/>
    </row>
    <row r="2665" ht="15.75" spans="1:28">
      <c r="A2665" s="1079" t="s">
        <v>566</v>
      </c>
      <c r="B2665" s="1080"/>
      <c r="C2665" s="1080"/>
      <c r="D2665" s="1080"/>
      <c r="E2665" s="1080"/>
      <c r="F2665" s="1080"/>
      <c r="G2665" s="1080"/>
      <c r="H2665" s="1080"/>
      <c r="I2665" s="1080"/>
      <c r="J2665" s="1080"/>
      <c r="K2665" s="1080"/>
      <c r="L2665" s="1080"/>
      <c r="M2665" s="1080"/>
      <c r="N2665" s="1080"/>
      <c r="O2665" s="1080"/>
      <c r="P2665" s="1080"/>
      <c r="Q2665" s="1080"/>
      <c r="R2665" s="1080"/>
      <c r="S2665" s="1080"/>
      <c r="T2665" s="1080"/>
      <c r="U2665" s="1080"/>
      <c r="V2665" s="1080"/>
      <c r="W2665" s="1080"/>
      <c r="X2665" s="1080"/>
      <c r="Y2665" s="1080"/>
      <c r="Z2665" s="1080"/>
      <c r="AA2665" s="1080"/>
      <c r="AB2665" s="1081"/>
    </row>
    <row r="2666" ht="15.75" spans="1:28">
      <c r="A2666" s="1083"/>
      <c r="AB2666" s="1044"/>
    </row>
    <row r="2667" spans="1:28">
      <c r="A2667" s="1083"/>
      <c r="K2667" s="1084" t="s">
        <v>567</v>
      </c>
      <c r="L2667" s="1085"/>
      <c r="M2667" s="1085"/>
      <c r="N2667" s="1085"/>
      <c r="O2667" s="1085"/>
      <c r="P2667" s="1085"/>
      <c r="Q2667" s="1085"/>
      <c r="R2667" s="1086"/>
      <c r="AB2667" s="1044"/>
    </row>
    <row r="2668" ht="14.4" customHeight="1" spans="1:28">
      <c r="A2668" s="1083"/>
      <c r="K2668" s="1087" t="s">
        <v>331</v>
      </c>
      <c r="L2668" s="1088"/>
      <c r="M2668" s="1088"/>
      <c r="N2668" s="1088"/>
      <c r="O2668" s="1088"/>
      <c r="P2668" s="1088"/>
      <c r="Q2668" s="1088"/>
      <c r="R2668" s="1089"/>
      <c r="AB2668" s="1044"/>
    </row>
    <row r="2669" spans="1:28">
      <c r="A2669" s="1083"/>
      <c r="K2669" s="1090"/>
      <c r="L2669" s="1091"/>
      <c r="M2669" s="1091"/>
      <c r="N2669" s="1091"/>
      <c r="O2669" s="1091"/>
      <c r="P2669" s="1091"/>
      <c r="Q2669" s="1091"/>
      <c r="R2669" s="1092"/>
      <c r="AB2669" s="1044"/>
    </row>
    <row r="2670" ht="15.75" spans="1:28">
      <c r="A2670" s="1083"/>
      <c r="K2670" s="1093">
        <f>ROUNDUP(Y2664,2)</f>
        <v>2.4</v>
      </c>
      <c r="L2670" s="1094"/>
      <c r="M2670" s="1094"/>
      <c r="N2670" s="1094"/>
      <c r="O2670" s="1094"/>
      <c r="P2670" s="1094"/>
      <c r="Q2670" s="1094"/>
      <c r="R2670" s="1095"/>
      <c r="AB2670" s="1044"/>
    </row>
    <row r="2671" ht="15.75" spans="1:28">
      <c r="A2671" s="1096"/>
      <c r="B2671" s="389"/>
      <c r="C2671" s="389"/>
      <c r="D2671" s="389"/>
      <c r="E2671" s="389"/>
      <c r="F2671" s="389"/>
      <c r="G2671" s="389"/>
      <c r="H2671" s="389"/>
      <c r="I2671" s="1097"/>
      <c r="J2671" s="1097"/>
      <c r="K2671" s="1097"/>
      <c r="L2671" s="1097"/>
      <c r="M2671" s="1097"/>
      <c r="N2671" s="1097"/>
      <c r="O2671" s="1097"/>
      <c r="P2671" s="1097"/>
      <c r="Q2671" s="389"/>
      <c r="R2671" s="389"/>
      <c r="S2671" s="389"/>
      <c r="T2671" s="389"/>
      <c r="U2671" s="389"/>
      <c r="V2671" s="389"/>
      <c r="W2671" s="389"/>
      <c r="X2671" s="389"/>
      <c r="Y2671" s="389"/>
      <c r="Z2671" s="389"/>
      <c r="AA2671" s="389"/>
      <c r="AB2671" s="1098"/>
    </row>
    <row r="2672" s="437" customFormat="1" spans="1:28">
      <c r="A2672" s="1040" t="s">
        <v>568</v>
      </c>
      <c r="B2672" s="1114"/>
      <c r="C2672" s="1114"/>
      <c r="D2672" s="1114"/>
      <c r="E2672" s="1114"/>
      <c r="F2672" s="1114"/>
      <c r="G2672" s="1114"/>
      <c r="H2672" s="1129"/>
      <c r="I2672" s="1129"/>
      <c r="J2672" s="1129"/>
      <c r="K2672" s="1129"/>
      <c r="L2672" s="1129"/>
      <c r="M2672" s="1129"/>
      <c r="N2672" s="1129"/>
      <c r="O2672" s="1129"/>
      <c r="P2672" s="1129"/>
      <c r="Q2672" s="1129"/>
      <c r="R2672" s="1114"/>
      <c r="S2672" s="1114"/>
      <c r="T2672" s="1114"/>
      <c r="U2672" s="1114"/>
      <c r="V2672" s="1114"/>
      <c r="W2672" s="1114"/>
      <c r="X2672" s="1114"/>
      <c r="Y2672" s="1114"/>
      <c r="Z2672" s="1114"/>
      <c r="AA2672" s="1114"/>
      <c r="AB2672" s="1115"/>
    </row>
    <row r="2673" spans="1:28">
      <c r="A2673" s="1083"/>
      <c r="H2673" s="1130"/>
      <c r="I2673" s="1130"/>
      <c r="J2673" s="1130"/>
      <c r="K2673" s="1130"/>
      <c r="L2673" s="1130"/>
      <c r="M2673" s="1130"/>
      <c r="N2673" s="1130"/>
      <c r="O2673" s="1130"/>
      <c r="P2673" s="1130"/>
      <c r="Q2673" s="1130"/>
      <c r="AB2673" s="1044"/>
    </row>
    <row r="2674" spans="1:28">
      <c r="A2674" s="1083"/>
      <c r="H2674" s="1130"/>
      <c r="I2674" s="1130"/>
      <c r="J2674" s="1130"/>
      <c r="K2674" s="1130"/>
      <c r="L2674" s="1130"/>
      <c r="M2674" s="1130"/>
      <c r="N2674" s="1130"/>
      <c r="O2674" s="1130"/>
      <c r="P2674" s="1130"/>
      <c r="Q2674" s="1130"/>
      <c r="AB2674" s="1044"/>
    </row>
    <row r="2675" spans="1:28">
      <c r="A2675" s="1083"/>
      <c r="H2675" s="1130"/>
      <c r="I2675" s="1130"/>
      <c r="J2675" s="1130"/>
      <c r="K2675" s="1130"/>
      <c r="L2675" s="1130"/>
      <c r="M2675" s="1130"/>
      <c r="N2675" s="1130"/>
      <c r="O2675" s="1130"/>
      <c r="P2675" s="1130"/>
      <c r="Q2675" s="1130"/>
      <c r="AB2675" s="1044"/>
    </row>
    <row r="2676" spans="1:28">
      <c r="A2676" s="1083"/>
      <c r="H2676" s="1130"/>
      <c r="I2676" s="1130"/>
      <c r="J2676" s="1130"/>
      <c r="K2676" s="1130"/>
      <c r="L2676" s="1130"/>
      <c r="M2676" s="1130"/>
      <c r="N2676" s="1130"/>
      <c r="O2676" s="1130"/>
      <c r="P2676" s="1130"/>
      <c r="Q2676" s="1130"/>
      <c r="AB2676" s="1044"/>
    </row>
    <row r="2677" spans="1:28">
      <c r="A2677" s="1083"/>
      <c r="H2677" s="1130"/>
      <c r="I2677" s="1130"/>
      <c r="J2677" s="1130"/>
      <c r="K2677" s="1130"/>
      <c r="L2677" s="1130"/>
      <c r="M2677" s="1130"/>
      <c r="N2677" s="1130"/>
      <c r="O2677" s="1130"/>
      <c r="P2677" s="1130"/>
      <c r="Q2677" s="1130"/>
      <c r="AB2677" s="1044"/>
    </row>
    <row r="2678" spans="1:28">
      <c r="A2678" s="1083"/>
      <c r="H2678" s="1130"/>
      <c r="I2678" s="1130"/>
      <c r="J2678" s="1130"/>
      <c r="K2678" s="1130"/>
      <c r="L2678" s="1130"/>
      <c r="M2678" s="1130"/>
      <c r="N2678" s="1130"/>
      <c r="O2678" s="1130"/>
      <c r="P2678" s="1130"/>
      <c r="Q2678" s="1130"/>
      <c r="AB2678" s="1044"/>
    </row>
    <row r="2679" spans="1:28">
      <c r="A2679" s="1083"/>
      <c r="H2679" s="1130"/>
      <c r="I2679" s="1130"/>
      <c r="J2679" s="1130"/>
      <c r="K2679" s="1130"/>
      <c r="L2679" s="1130"/>
      <c r="M2679" s="1130"/>
      <c r="N2679" s="1130"/>
      <c r="O2679" s="1130"/>
      <c r="P2679" s="1130"/>
      <c r="Q2679" s="1130"/>
      <c r="AB2679" s="1044"/>
    </row>
    <row r="2680" spans="1:28">
      <c r="A2680" s="1083"/>
      <c r="H2680" s="1130"/>
      <c r="I2680" s="1130"/>
      <c r="J2680" s="1130"/>
      <c r="K2680" s="1130"/>
      <c r="L2680" s="1130"/>
      <c r="M2680" s="1130"/>
      <c r="N2680" s="1130"/>
      <c r="O2680" s="1130"/>
      <c r="P2680" s="1130"/>
      <c r="Q2680" s="1130"/>
      <c r="AB2680" s="1044"/>
    </row>
    <row r="2681" spans="1:28">
      <c r="A2681" s="1083"/>
      <c r="H2681" s="1130"/>
      <c r="I2681" s="1130"/>
      <c r="J2681" s="1130"/>
      <c r="K2681" s="1130"/>
      <c r="L2681" s="1130"/>
      <c r="M2681" s="1130"/>
      <c r="N2681" s="1130"/>
      <c r="O2681" s="1130"/>
      <c r="P2681" s="1130"/>
      <c r="Q2681" s="1130"/>
      <c r="AB2681" s="1044"/>
    </row>
    <row r="2682" spans="1:28">
      <c r="A2682" s="1083"/>
      <c r="H2682" s="1130"/>
      <c r="I2682" s="1130"/>
      <c r="J2682" s="1130"/>
      <c r="K2682" s="1130"/>
      <c r="L2682" s="1130"/>
      <c r="M2682" s="1130"/>
      <c r="N2682" s="1130"/>
      <c r="O2682" s="1130"/>
      <c r="P2682" s="1130"/>
      <c r="Q2682" s="1130"/>
      <c r="AB2682" s="1044"/>
    </row>
    <row r="2683" spans="1:28">
      <c r="A2683" s="1083"/>
      <c r="H2683" s="1130"/>
      <c r="I2683" s="1130"/>
      <c r="J2683" s="1130"/>
      <c r="K2683" s="1130"/>
      <c r="L2683" s="1130"/>
      <c r="M2683" s="1130"/>
      <c r="N2683" s="1130"/>
      <c r="O2683" s="1130"/>
      <c r="P2683" s="1130"/>
      <c r="Q2683" s="1130"/>
      <c r="AB2683" s="1044"/>
    </row>
    <row r="2684" spans="1:28">
      <c r="A2684" s="1083"/>
      <c r="H2684" s="1130"/>
      <c r="I2684" s="1130"/>
      <c r="J2684" s="1130"/>
      <c r="K2684" s="1130"/>
      <c r="L2684" s="1130"/>
      <c r="M2684" s="1130"/>
      <c r="N2684" s="1130"/>
      <c r="O2684" s="1130"/>
      <c r="P2684" s="1130"/>
      <c r="Q2684" s="1130"/>
      <c r="AB2684" s="1044"/>
    </row>
    <row r="2685" spans="1:28">
      <c r="A2685" s="1083"/>
      <c r="H2685" s="1130"/>
      <c r="I2685" s="1130"/>
      <c r="J2685" s="1130"/>
      <c r="K2685" s="1130"/>
      <c r="L2685" s="1130"/>
      <c r="M2685" s="1130"/>
      <c r="N2685" s="1130"/>
      <c r="O2685" s="1130"/>
      <c r="P2685" s="1130"/>
      <c r="Q2685" s="1130"/>
      <c r="AB2685" s="1044"/>
    </row>
    <row r="2686" spans="1:28">
      <c r="A2686" s="1083"/>
      <c r="H2686" s="1130"/>
      <c r="I2686" s="1130"/>
      <c r="J2686" s="1130"/>
      <c r="K2686" s="1130"/>
      <c r="L2686" s="1130"/>
      <c r="M2686" s="1130"/>
      <c r="N2686" s="1130"/>
      <c r="O2686" s="1130"/>
      <c r="P2686" s="1130"/>
      <c r="Q2686" s="1130"/>
      <c r="AB2686" s="1044"/>
    </row>
    <row r="2687" spans="1:28">
      <c r="A2687" s="1083"/>
      <c r="H2687" s="1130"/>
      <c r="I2687" s="1130"/>
      <c r="J2687" s="1130"/>
      <c r="K2687" s="1130"/>
      <c r="L2687" s="1130"/>
      <c r="M2687" s="1130"/>
      <c r="N2687" s="1130"/>
      <c r="O2687" s="1130"/>
      <c r="P2687" s="1130"/>
      <c r="Q2687" s="1130"/>
      <c r="AB2687" s="1044"/>
    </row>
    <row r="2688" spans="1:28">
      <c r="A2688" s="1083"/>
      <c r="H2688" s="1130"/>
      <c r="I2688" s="1130"/>
      <c r="J2688" s="1130"/>
      <c r="K2688" s="1130"/>
      <c r="L2688" s="1130"/>
      <c r="M2688" s="1130"/>
      <c r="N2688" s="1130"/>
      <c r="O2688" s="1130"/>
      <c r="P2688" s="1130"/>
      <c r="Q2688" s="1130"/>
      <c r="AB2688" s="1044"/>
    </row>
    <row r="2689" spans="1:28">
      <c r="A2689" s="1083"/>
      <c r="H2689" s="1130"/>
      <c r="I2689" s="1130"/>
      <c r="J2689" s="1130"/>
      <c r="K2689" s="1130"/>
      <c r="L2689" s="1130"/>
      <c r="M2689" s="1130"/>
      <c r="N2689" s="1130"/>
      <c r="O2689" s="1130"/>
      <c r="P2689" s="1130"/>
      <c r="Q2689" s="1130"/>
      <c r="AB2689" s="1044"/>
    </row>
    <row r="2690" ht="14.4" customHeight="1" spans="1:28">
      <c r="A2690" s="1048" t="s">
        <v>205</v>
      </c>
      <c r="B2690" s="1049"/>
      <c r="C2690" s="1049"/>
      <c r="D2690" s="1050"/>
      <c r="E2690" s="1051" t="s">
        <v>206</v>
      </c>
      <c r="F2690" s="1049"/>
      <c r="G2690" s="1049"/>
      <c r="H2690" s="1050"/>
      <c r="I2690" s="1051" t="s">
        <v>235</v>
      </c>
      <c r="J2690" s="1049"/>
      <c r="K2690" s="1049"/>
      <c r="L2690" s="1050"/>
      <c r="M2690" s="1051" t="s">
        <v>236</v>
      </c>
      <c r="N2690" s="1049"/>
      <c r="O2690" s="1049"/>
      <c r="P2690" s="1050"/>
      <c r="Q2690" s="1051" t="s">
        <v>237</v>
      </c>
      <c r="R2690" s="1049"/>
      <c r="S2690" s="1049"/>
      <c r="T2690" s="1050"/>
      <c r="U2690" s="1051" t="s">
        <v>238</v>
      </c>
      <c r="V2690" s="1049"/>
      <c r="W2690" s="1049"/>
      <c r="X2690" s="1050"/>
      <c r="Y2690" s="1051" t="s">
        <v>246</v>
      </c>
      <c r="Z2690" s="1049"/>
      <c r="AA2690" s="1049"/>
      <c r="AB2690" s="1222"/>
    </row>
    <row r="2691" ht="14.4" customHeight="1" spans="1:28">
      <c r="A2691" s="1058" t="s">
        <v>559</v>
      </c>
      <c r="B2691" s="1059"/>
      <c r="C2691" s="1059"/>
      <c r="D2691" s="1060"/>
      <c r="E2691" s="1061" t="s">
        <v>560</v>
      </c>
      <c r="F2691" s="1059"/>
      <c r="G2691" s="1059"/>
      <c r="H2691" s="1060"/>
      <c r="I2691" s="1061" t="s">
        <v>561</v>
      </c>
      <c r="J2691" s="1059"/>
      <c r="K2691" s="1059"/>
      <c r="L2691" s="1060"/>
      <c r="M2691" s="1061" t="s">
        <v>315</v>
      </c>
      <c r="N2691" s="1059"/>
      <c r="O2691" s="1059"/>
      <c r="P2691" s="1060"/>
      <c r="Q2691" s="1061" t="s">
        <v>417</v>
      </c>
      <c r="R2691" s="1059"/>
      <c r="S2691" s="1059"/>
      <c r="T2691" s="1060"/>
      <c r="U2691" s="1061" t="s">
        <v>418</v>
      </c>
      <c r="V2691" s="1059"/>
      <c r="W2691" s="1059"/>
      <c r="X2691" s="1060"/>
      <c r="Y2691" s="1061" t="s">
        <v>500</v>
      </c>
      <c r="Z2691" s="1059"/>
      <c r="AA2691" s="1059"/>
      <c r="AB2691" s="1108"/>
    </row>
    <row r="2692" spans="1:28">
      <c r="A2692" s="1122">
        <v>0.3</v>
      </c>
      <c r="B2692" s="1073"/>
      <c r="C2692" s="1073"/>
      <c r="D2692" s="1073"/>
      <c r="E2692" s="1073">
        <v>0.3</v>
      </c>
      <c r="F2692" s="1073"/>
      <c r="G2692" s="1073"/>
      <c r="H2692" s="1073"/>
      <c r="I2692" s="1073">
        <v>3.4</v>
      </c>
      <c r="J2692" s="1073"/>
      <c r="K2692" s="1073"/>
      <c r="L2692" s="1073"/>
      <c r="M2692" s="1073">
        <v>6</v>
      </c>
      <c r="N2692" s="1073"/>
      <c r="O2692" s="1073"/>
      <c r="P2692" s="1073"/>
      <c r="Q2692" s="1073">
        <v>0.25</v>
      </c>
      <c r="R2692" s="1073"/>
      <c r="S2692" s="1073"/>
      <c r="T2692" s="1073"/>
      <c r="U2692" s="1073">
        <v>0.3</v>
      </c>
      <c r="V2692" s="1073"/>
      <c r="W2692" s="1073"/>
      <c r="X2692" s="1073"/>
      <c r="Y2692" s="1073">
        <v>0.05</v>
      </c>
      <c r="Z2692" s="1073"/>
      <c r="AA2692" s="1073"/>
      <c r="AB2692" s="1193"/>
    </row>
    <row r="2693" spans="1:28">
      <c r="A2693" s="1154"/>
      <c r="B2693" s="1130"/>
      <c r="C2693" s="1130"/>
      <c r="D2693" s="1130"/>
      <c r="E2693" s="1130"/>
      <c r="F2693" s="1130"/>
      <c r="G2693" s="1130"/>
      <c r="H2693" s="1130"/>
      <c r="I2693" s="1130"/>
      <c r="J2693" s="1130"/>
      <c r="K2693" s="1130"/>
      <c r="L2693" s="1130"/>
      <c r="M2693" s="1130"/>
      <c r="N2693" s="1130"/>
      <c r="O2693" s="1130"/>
      <c r="P2693" s="1130"/>
      <c r="Q2693" s="1130"/>
      <c r="R2693" s="1130"/>
      <c r="S2693" s="1130"/>
      <c r="T2693" s="1130"/>
      <c r="U2693" s="1130"/>
      <c r="V2693" s="1130"/>
      <c r="W2693" s="1130"/>
      <c r="X2693" s="1130"/>
      <c r="AB2693" s="1044"/>
    </row>
    <row r="2694" ht="14.4" customHeight="1" spans="1:28">
      <c r="A2694" s="1048" t="s">
        <v>562</v>
      </c>
      <c r="B2694" s="1049"/>
      <c r="C2694" s="1049"/>
      <c r="D2694" s="1050"/>
      <c r="E2694" s="1051"/>
      <c r="F2694" s="1049"/>
      <c r="G2694" s="1049"/>
      <c r="H2694" s="1050"/>
      <c r="I2694" s="1051"/>
      <c r="J2694" s="1049"/>
      <c r="K2694" s="1049"/>
      <c r="L2694" s="1050"/>
      <c r="M2694" s="1051"/>
      <c r="N2694" s="1049"/>
      <c r="O2694" s="1049"/>
      <c r="P2694" s="1050"/>
      <c r="Q2694" s="1051"/>
      <c r="R2694" s="1049"/>
      <c r="S2694" s="1049"/>
      <c r="T2694" s="1050"/>
      <c r="U2694" s="1051"/>
      <c r="V2694" s="1049"/>
      <c r="W2694" s="1049"/>
      <c r="X2694" s="1050"/>
      <c r="Y2694" s="1051" t="s">
        <v>314</v>
      </c>
      <c r="Z2694" s="1049"/>
      <c r="AA2694" s="1049"/>
      <c r="AB2694" s="1222"/>
    </row>
    <row r="2695" spans="1:28">
      <c r="A2695" s="1058"/>
      <c r="B2695" s="1059"/>
      <c r="C2695" s="1059"/>
      <c r="D2695" s="1060"/>
      <c r="E2695" s="1061"/>
      <c r="F2695" s="1059"/>
      <c r="G2695" s="1059"/>
      <c r="H2695" s="1060"/>
      <c r="I2695" s="1061"/>
      <c r="J2695" s="1059"/>
      <c r="K2695" s="1059"/>
      <c r="L2695" s="1060"/>
      <c r="M2695" s="1061"/>
      <c r="N2695" s="1059"/>
      <c r="O2695" s="1059"/>
      <c r="P2695" s="1060"/>
      <c r="Q2695" s="1061"/>
      <c r="R2695" s="1059"/>
      <c r="S2695" s="1059"/>
      <c r="T2695" s="1060"/>
      <c r="U2695" s="1061"/>
      <c r="V2695" s="1059"/>
      <c r="W2695" s="1059"/>
      <c r="X2695" s="1060"/>
      <c r="Y2695" s="1061"/>
      <c r="Z2695" s="1059"/>
      <c r="AA2695" s="1059"/>
      <c r="AB2695" s="1108"/>
    </row>
    <row r="2696" ht="15.75" spans="1:28">
      <c r="A2696" s="1246">
        <v>2</v>
      </c>
      <c r="B2696" s="1217"/>
      <c r="C2696" s="1217"/>
      <c r="D2696" s="1218"/>
      <c r="E2696" s="1134"/>
      <c r="F2696" s="1134"/>
      <c r="G2696" s="1134"/>
      <c r="H2696" s="1134"/>
      <c r="I2696" s="1134"/>
      <c r="J2696" s="1134"/>
      <c r="K2696" s="1134"/>
      <c r="L2696" s="1134"/>
      <c r="M2696" s="1134"/>
      <c r="N2696" s="1134"/>
      <c r="O2696" s="1134"/>
      <c r="P2696" s="1134"/>
      <c r="Q2696" s="1134"/>
      <c r="R2696" s="1134"/>
      <c r="S2696" s="1134"/>
      <c r="T2696" s="1134"/>
      <c r="U2696" s="1134"/>
      <c r="V2696" s="1134"/>
      <c r="W2696" s="1134"/>
      <c r="X2696" s="1134"/>
      <c r="Y2696" s="1134">
        <f>ROUNDUP(((((((A2692+E2692+I2692)*Q2692)+(A2692*U2692)+((E2692*U2692)/2))*2)+(((2*Q2692)+U2692)*M2692))*A2696),2)</f>
        <v>14.14</v>
      </c>
      <c r="Z2696" s="1134"/>
      <c r="AA2696" s="1134"/>
      <c r="AB2696" s="1225"/>
    </row>
    <row r="2697" ht="15.75" spans="1:28">
      <c r="A2697" s="1079" t="s">
        <v>569</v>
      </c>
      <c r="B2697" s="1080"/>
      <c r="C2697" s="1080"/>
      <c r="D2697" s="1080"/>
      <c r="E2697" s="1080"/>
      <c r="F2697" s="1080"/>
      <c r="G2697" s="1080"/>
      <c r="H2697" s="1080"/>
      <c r="I2697" s="1080"/>
      <c r="J2697" s="1080"/>
      <c r="K2697" s="1080"/>
      <c r="L2697" s="1080"/>
      <c r="M2697" s="1080"/>
      <c r="N2697" s="1080"/>
      <c r="O2697" s="1080"/>
      <c r="P2697" s="1080"/>
      <c r="Q2697" s="1080"/>
      <c r="R2697" s="1080"/>
      <c r="S2697" s="1080"/>
      <c r="T2697" s="1080"/>
      <c r="U2697" s="1080"/>
      <c r="V2697" s="1080"/>
      <c r="W2697" s="1080"/>
      <c r="X2697" s="1080"/>
      <c r="Y2697" s="1080"/>
      <c r="Z2697" s="1080"/>
      <c r="AA2697" s="1080"/>
      <c r="AB2697" s="1081"/>
    </row>
    <row r="2698" ht="15.75" spans="1:28">
      <c r="A2698" s="1083"/>
      <c r="AB2698" s="1044"/>
    </row>
    <row r="2699" spans="1:28">
      <c r="A2699" s="1083"/>
      <c r="K2699" s="1084" t="s">
        <v>570</v>
      </c>
      <c r="L2699" s="1085"/>
      <c r="M2699" s="1085"/>
      <c r="N2699" s="1085"/>
      <c r="O2699" s="1085"/>
      <c r="P2699" s="1085"/>
      <c r="Q2699" s="1085"/>
      <c r="R2699" s="1086"/>
      <c r="AB2699" s="1044"/>
    </row>
    <row r="2700" ht="14.4" customHeight="1" spans="1:28">
      <c r="A2700" s="1083"/>
      <c r="K2700" s="1087" t="s">
        <v>571</v>
      </c>
      <c r="L2700" s="1088"/>
      <c r="M2700" s="1088"/>
      <c r="N2700" s="1088"/>
      <c r="O2700" s="1088"/>
      <c r="P2700" s="1088"/>
      <c r="Q2700" s="1088"/>
      <c r="R2700" s="1089"/>
      <c r="AB2700" s="1044"/>
    </row>
    <row r="2701" spans="1:28">
      <c r="A2701" s="1083"/>
      <c r="K2701" s="1090"/>
      <c r="L2701" s="1091"/>
      <c r="M2701" s="1091"/>
      <c r="N2701" s="1091"/>
      <c r="O2701" s="1091"/>
      <c r="P2701" s="1091"/>
      <c r="Q2701" s="1091"/>
      <c r="R2701" s="1092"/>
      <c r="AB2701" s="1044"/>
    </row>
    <row r="2702" ht="15.75" spans="1:28">
      <c r="A2702" s="1083"/>
      <c r="K2702" s="1093">
        <f>ROUNDUP(Y2696,2)</f>
        <v>14.14</v>
      </c>
      <c r="L2702" s="1094"/>
      <c r="M2702" s="1094"/>
      <c r="N2702" s="1094"/>
      <c r="O2702" s="1094"/>
      <c r="P2702" s="1094"/>
      <c r="Q2702" s="1094"/>
      <c r="R2702" s="1095"/>
      <c r="AB2702" s="1044"/>
    </row>
    <row r="2703" ht="15.75" spans="1:28">
      <c r="A2703" s="1096"/>
      <c r="B2703" s="389"/>
      <c r="C2703" s="389"/>
      <c r="D2703" s="389"/>
      <c r="E2703" s="389"/>
      <c r="F2703" s="389"/>
      <c r="G2703" s="389"/>
      <c r="H2703" s="389"/>
      <c r="I2703" s="1097"/>
      <c r="J2703" s="1097"/>
      <c r="K2703" s="1097"/>
      <c r="L2703" s="1097"/>
      <c r="M2703" s="1097"/>
      <c r="N2703" s="1097"/>
      <c r="O2703" s="1097"/>
      <c r="P2703" s="1097"/>
      <c r="Q2703" s="389"/>
      <c r="R2703" s="389"/>
      <c r="S2703" s="389"/>
      <c r="T2703" s="389"/>
      <c r="U2703" s="389"/>
      <c r="V2703" s="389"/>
      <c r="W2703" s="389"/>
      <c r="X2703" s="389"/>
      <c r="Y2703" s="389"/>
      <c r="Z2703" s="389"/>
      <c r="AA2703" s="389"/>
      <c r="AB2703" s="1098"/>
    </row>
    <row r="2704" s="437" customFormat="1" spans="1:28">
      <c r="A2704" s="1040" t="s">
        <v>572</v>
      </c>
      <c r="B2704" s="1114"/>
      <c r="C2704" s="1114"/>
      <c r="D2704" s="1114"/>
      <c r="E2704" s="1114"/>
      <c r="F2704" s="1114"/>
      <c r="G2704" s="1114"/>
      <c r="H2704" s="1114"/>
      <c r="I2704" s="1129"/>
      <c r="J2704" s="1129"/>
      <c r="K2704" s="1129"/>
      <c r="L2704" s="1129"/>
      <c r="M2704" s="1129"/>
      <c r="N2704" s="1129"/>
      <c r="O2704" s="1129"/>
      <c r="P2704" s="1129"/>
      <c r="Q2704" s="1114"/>
      <c r="R2704" s="1114"/>
      <c r="S2704" s="1114"/>
      <c r="T2704" s="1114"/>
      <c r="U2704" s="1114"/>
      <c r="V2704" s="1114"/>
      <c r="W2704" s="1114"/>
      <c r="X2704" s="1114"/>
      <c r="Y2704" s="1114"/>
      <c r="Z2704" s="1114"/>
      <c r="AA2704" s="1114"/>
      <c r="AB2704" s="1115"/>
    </row>
    <row r="2705" spans="1:28">
      <c r="A2705" s="1083"/>
      <c r="I2705" s="1130"/>
      <c r="J2705" s="1130"/>
      <c r="K2705" s="1130"/>
      <c r="L2705" s="1130"/>
      <c r="M2705" s="1130"/>
      <c r="N2705" s="1130"/>
      <c r="O2705" s="1130"/>
      <c r="P2705" s="1130"/>
      <c r="AB2705" s="1044"/>
    </row>
    <row r="2706" spans="1:28">
      <c r="A2706" s="1083"/>
      <c r="I2706" s="1130"/>
      <c r="J2706" s="1130"/>
      <c r="K2706" s="1130"/>
      <c r="L2706" s="1130"/>
      <c r="M2706" s="1130"/>
      <c r="N2706" s="1130"/>
      <c r="O2706" s="1130"/>
      <c r="P2706" s="1130"/>
      <c r="AB2706" s="1044"/>
    </row>
    <row r="2707" spans="1:28">
      <c r="A2707" s="1083"/>
      <c r="I2707" s="1130"/>
      <c r="J2707" s="1130"/>
      <c r="K2707" s="1130"/>
      <c r="L2707" s="1130"/>
      <c r="M2707" s="1130"/>
      <c r="N2707" s="1130"/>
      <c r="O2707" s="1130"/>
      <c r="P2707" s="1130"/>
      <c r="AB2707" s="1044"/>
    </row>
    <row r="2708" spans="1:28">
      <c r="A2708" s="1083"/>
      <c r="I2708" s="1130"/>
      <c r="J2708" s="1130"/>
      <c r="K2708" s="1130"/>
      <c r="L2708" s="1130"/>
      <c r="M2708" s="1130"/>
      <c r="N2708" s="1130"/>
      <c r="O2708" s="1130"/>
      <c r="P2708" s="1130"/>
      <c r="AB2708" s="1044"/>
    </row>
    <row r="2709" spans="1:28">
      <c r="A2709" s="1083"/>
      <c r="I2709" s="1130"/>
      <c r="J2709" s="1130"/>
      <c r="K2709" s="1130"/>
      <c r="L2709" s="1130"/>
      <c r="M2709" s="1130"/>
      <c r="N2709" s="1130"/>
      <c r="O2709" s="1130"/>
      <c r="P2709" s="1130"/>
      <c r="AB2709" s="1044"/>
    </row>
    <row r="2710" spans="1:28">
      <c r="A2710" s="1083"/>
      <c r="I2710" s="1130"/>
      <c r="J2710" s="1130"/>
      <c r="K2710" s="1130"/>
      <c r="L2710" s="1130"/>
      <c r="M2710" s="1130"/>
      <c r="N2710" s="1130"/>
      <c r="O2710" s="1130"/>
      <c r="P2710" s="1130"/>
      <c r="AB2710" s="1044"/>
    </row>
    <row r="2711" spans="1:28">
      <c r="A2711" s="1083"/>
      <c r="I2711" s="1130"/>
      <c r="J2711" s="1130"/>
      <c r="K2711" s="1130"/>
      <c r="L2711" s="1130"/>
      <c r="M2711" s="1130"/>
      <c r="N2711" s="1130"/>
      <c r="O2711" s="1130"/>
      <c r="P2711" s="1130"/>
      <c r="AB2711" s="1044"/>
    </row>
    <row r="2712" spans="1:28">
      <c r="A2712" s="1083"/>
      <c r="I2712" s="1130"/>
      <c r="J2712" s="1130"/>
      <c r="K2712" s="1130"/>
      <c r="L2712" s="1130"/>
      <c r="M2712" s="1130"/>
      <c r="N2712" s="1130"/>
      <c r="O2712" s="1130"/>
      <c r="P2712" s="1130"/>
      <c r="AB2712" s="1044"/>
    </row>
    <row r="2713" spans="1:28">
      <c r="A2713" s="1083"/>
      <c r="I2713" s="1130"/>
      <c r="J2713" s="1130"/>
      <c r="K2713" s="1130"/>
      <c r="L2713" s="1130"/>
      <c r="M2713" s="1130"/>
      <c r="N2713" s="1130"/>
      <c r="O2713" s="1130"/>
      <c r="P2713" s="1130"/>
      <c r="AB2713" s="1044"/>
    </row>
    <row r="2714" spans="1:28">
      <c r="A2714" s="1083"/>
      <c r="I2714" s="1130"/>
      <c r="J2714" s="1130"/>
      <c r="K2714" s="1130"/>
      <c r="L2714" s="1130"/>
      <c r="M2714" s="1130"/>
      <c r="N2714" s="1130"/>
      <c r="O2714" s="1130"/>
      <c r="P2714" s="1130"/>
      <c r="AB2714" s="1044"/>
    </row>
    <row r="2715" spans="1:28">
      <c r="A2715" s="1083"/>
      <c r="I2715" s="1130"/>
      <c r="J2715" s="1130"/>
      <c r="K2715" s="1130"/>
      <c r="L2715" s="1130"/>
      <c r="M2715" s="1130"/>
      <c r="N2715" s="1130"/>
      <c r="O2715" s="1130"/>
      <c r="P2715" s="1130"/>
      <c r="AB2715" s="1044"/>
    </row>
    <row r="2716" spans="1:28">
      <c r="A2716" s="1083"/>
      <c r="I2716" s="1130"/>
      <c r="J2716" s="1130"/>
      <c r="K2716" s="1130"/>
      <c r="L2716" s="1130"/>
      <c r="M2716" s="1130"/>
      <c r="N2716" s="1130"/>
      <c r="O2716" s="1130"/>
      <c r="P2716" s="1130"/>
      <c r="AB2716" s="1044"/>
    </row>
    <row r="2717" spans="1:28">
      <c r="A2717" s="1083"/>
      <c r="I2717" s="1130"/>
      <c r="J2717" s="1130"/>
      <c r="K2717" s="1130"/>
      <c r="L2717" s="1130"/>
      <c r="M2717" s="1130"/>
      <c r="N2717" s="1130"/>
      <c r="O2717" s="1130"/>
      <c r="P2717" s="1130"/>
      <c r="AB2717" s="1044"/>
    </row>
    <row r="2718" spans="1:28">
      <c r="A2718" s="1083"/>
      <c r="I2718" s="1130"/>
      <c r="J2718" s="1130"/>
      <c r="K2718" s="1130"/>
      <c r="L2718" s="1130"/>
      <c r="M2718" s="1130"/>
      <c r="N2718" s="1130"/>
      <c r="O2718" s="1130"/>
      <c r="P2718" s="1130"/>
      <c r="AB2718" s="1044"/>
    </row>
    <row r="2719" spans="1:28">
      <c r="A2719" s="1083"/>
      <c r="I2719" s="1130"/>
      <c r="J2719" s="1130"/>
      <c r="K2719" s="1130"/>
      <c r="L2719" s="1130"/>
      <c r="M2719" s="1130"/>
      <c r="N2719" s="1130"/>
      <c r="O2719" s="1130"/>
      <c r="P2719" s="1130"/>
      <c r="AB2719" s="1044"/>
    </row>
    <row r="2720" spans="1:28">
      <c r="A2720" s="1083"/>
      <c r="I2720" s="1130"/>
      <c r="J2720" s="1130"/>
      <c r="K2720" s="1130"/>
      <c r="L2720" s="1130"/>
      <c r="M2720" s="1130"/>
      <c r="N2720" s="1130"/>
      <c r="O2720" s="1130"/>
      <c r="P2720" s="1130"/>
      <c r="AB2720" s="1044"/>
    </row>
    <row r="2721" spans="1:28">
      <c r="A2721" s="1083"/>
      <c r="I2721" s="1130"/>
      <c r="J2721" s="1130"/>
      <c r="K2721" s="1130"/>
      <c r="L2721" s="1130"/>
      <c r="M2721" s="1130"/>
      <c r="N2721" s="1130"/>
      <c r="O2721" s="1130"/>
      <c r="P2721" s="1130"/>
      <c r="AB2721" s="1044"/>
    </row>
    <row r="2722" spans="1:28">
      <c r="A2722" s="1083"/>
      <c r="I2722" s="1130"/>
      <c r="J2722" s="1130"/>
      <c r="K2722" s="1130"/>
      <c r="L2722" s="1130"/>
      <c r="M2722" s="1130"/>
      <c r="N2722" s="1130"/>
      <c r="O2722" s="1130"/>
      <c r="P2722" s="1130"/>
      <c r="AB2722" s="1044"/>
    </row>
    <row r="2723" spans="1:28">
      <c r="A2723" s="1083"/>
      <c r="I2723" s="1130"/>
      <c r="J2723" s="1130"/>
      <c r="K2723" s="1130"/>
      <c r="L2723" s="1130"/>
      <c r="M2723" s="1130"/>
      <c r="N2723" s="1130"/>
      <c r="O2723" s="1130"/>
      <c r="P2723" s="1130"/>
      <c r="AB2723" s="1044"/>
    </row>
    <row r="2724" spans="1:28">
      <c r="A2724" s="1083"/>
      <c r="I2724" s="1130"/>
      <c r="J2724" s="1130"/>
      <c r="K2724" s="1130"/>
      <c r="L2724" s="1130"/>
      <c r="M2724" s="1130"/>
      <c r="N2724" s="1130"/>
      <c r="O2724" s="1130"/>
      <c r="P2724" s="1130"/>
      <c r="AB2724" s="1044"/>
    </row>
    <row r="2725" spans="1:28">
      <c r="A2725" s="1083"/>
      <c r="I2725" s="1130"/>
      <c r="J2725" s="1130"/>
      <c r="K2725" s="1130"/>
      <c r="L2725" s="1130"/>
      <c r="M2725" s="1130"/>
      <c r="N2725" s="1130"/>
      <c r="O2725" s="1130"/>
      <c r="P2725" s="1130"/>
      <c r="AB2725" s="1044"/>
    </row>
    <row r="2726" spans="1:28">
      <c r="A2726" s="1083"/>
      <c r="I2726" s="1130"/>
      <c r="J2726" s="1130"/>
      <c r="K2726" s="1130"/>
      <c r="L2726" s="1130"/>
      <c r="M2726" s="1130"/>
      <c r="N2726" s="1130"/>
      <c r="O2726" s="1130"/>
      <c r="P2726" s="1130"/>
      <c r="AB2726" s="1044"/>
    </row>
    <row r="2727" spans="1:28">
      <c r="A2727" s="1083"/>
      <c r="I2727" s="1130"/>
      <c r="J2727" s="1130"/>
      <c r="K2727" s="1130"/>
      <c r="L2727" s="1130"/>
      <c r="M2727" s="1130"/>
      <c r="N2727" s="1130"/>
      <c r="O2727" s="1130"/>
      <c r="P2727" s="1130"/>
      <c r="AB2727" s="1044"/>
    </row>
    <row r="2728" spans="1:28">
      <c r="A2728" s="1083"/>
      <c r="I2728" s="1130"/>
      <c r="J2728" s="1130"/>
      <c r="K2728" s="1130"/>
      <c r="L2728" s="1130"/>
      <c r="M2728" s="1130"/>
      <c r="N2728" s="1130"/>
      <c r="O2728" s="1130"/>
      <c r="P2728" s="1130"/>
      <c r="AB2728" s="1044"/>
    </row>
    <row r="2729" spans="1:28">
      <c r="A2729" s="1083"/>
      <c r="I2729" s="1130"/>
      <c r="J2729" s="1130"/>
      <c r="K2729" s="1130"/>
      <c r="L2729" s="1130"/>
      <c r="M2729" s="1130"/>
      <c r="N2729" s="1130"/>
      <c r="O2729" s="1130"/>
      <c r="P2729" s="1130"/>
      <c r="AB2729" s="1044"/>
    </row>
    <row r="2730" spans="1:28">
      <c r="A2730" s="1083"/>
      <c r="I2730" s="1130"/>
      <c r="J2730" s="1130"/>
      <c r="K2730" s="1130"/>
      <c r="L2730" s="1130"/>
      <c r="M2730" s="1130"/>
      <c r="N2730" s="1130"/>
      <c r="O2730" s="1130"/>
      <c r="P2730" s="1130"/>
      <c r="AB2730" s="1044"/>
    </row>
    <row r="2731" spans="1:28">
      <c r="A2731" s="1083"/>
      <c r="I2731" s="1130"/>
      <c r="J2731" s="1130"/>
      <c r="K2731" s="1130"/>
      <c r="L2731" s="1130"/>
      <c r="M2731" s="1130"/>
      <c r="N2731" s="1130"/>
      <c r="O2731" s="1130"/>
      <c r="P2731" s="1130"/>
      <c r="AB2731" s="1044"/>
    </row>
    <row r="2732" spans="1:28">
      <c r="A2732" s="1083"/>
      <c r="I2732" s="1130"/>
      <c r="J2732" s="1130"/>
      <c r="K2732" s="1130"/>
      <c r="L2732" s="1130"/>
      <c r="M2732" s="1130"/>
      <c r="N2732" s="1130"/>
      <c r="O2732" s="1130"/>
      <c r="P2732" s="1130"/>
      <c r="AB2732" s="1044"/>
    </row>
    <row r="2733" spans="1:28">
      <c r="A2733" s="1083"/>
      <c r="I2733" s="1130"/>
      <c r="J2733" s="1130"/>
      <c r="K2733" s="1130"/>
      <c r="L2733" s="1130"/>
      <c r="M2733" s="1130"/>
      <c r="N2733" s="1130"/>
      <c r="O2733" s="1130"/>
      <c r="P2733" s="1130"/>
      <c r="AB2733" s="1044"/>
    </row>
    <row r="2734" spans="1:28">
      <c r="A2734" s="1083"/>
      <c r="I2734" s="1130"/>
      <c r="J2734" s="1130"/>
      <c r="K2734" s="1130"/>
      <c r="L2734" s="1130"/>
      <c r="M2734" s="1130"/>
      <c r="N2734" s="1130"/>
      <c r="O2734" s="1130"/>
      <c r="P2734" s="1130"/>
      <c r="AB2734" s="1044"/>
    </row>
    <row r="2735" spans="1:28">
      <c r="A2735" s="1083"/>
      <c r="I2735" s="1130"/>
      <c r="J2735" s="1130"/>
      <c r="K2735" s="1130"/>
      <c r="L2735" s="1130"/>
      <c r="M2735" s="1130"/>
      <c r="N2735" s="1130"/>
      <c r="O2735" s="1130"/>
      <c r="P2735" s="1130"/>
      <c r="AB2735" s="1044"/>
    </row>
    <row r="2736" spans="1:28">
      <c r="A2736" s="1083"/>
      <c r="I2736" s="1130"/>
      <c r="J2736" s="1130"/>
      <c r="K2736" s="1130"/>
      <c r="L2736" s="1130"/>
      <c r="M2736" s="1130"/>
      <c r="N2736" s="1130"/>
      <c r="O2736" s="1130"/>
      <c r="P2736" s="1130"/>
      <c r="AB2736" s="1044"/>
    </row>
    <row r="2737" spans="1:28">
      <c r="A2737" s="1083"/>
      <c r="I2737" s="1130"/>
      <c r="J2737" s="1130"/>
      <c r="K2737" s="1130"/>
      <c r="L2737" s="1130"/>
      <c r="M2737" s="1130"/>
      <c r="N2737" s="1130"/>
      <c r="O2737" s="1130"/>
      <c r="P2737" s="1130"/>
      <c r="AB2737" s="1044"/>
    </row>
    <row r="2738" spans="1:28">
      <c r="A2738" s="1083"/>
      <c r="I2738" s="1130"/>
      <c r="J2738" s="1130"/>
      <c r="K2738" s="1130"/>
      <c r="L2738" s="1130"/>
      <c r="M2738" s="1130"/>
      <c r="N2738" s="1130"/>
      <c r="O2738" s="1130"/>
      <c r="P2738" s="1130"/>
      <c r="AB2738" s="1044"/>
    </row>
    <row r="2739" spans="1:28">
      <c r="A2739" s="1083"/>
      <c r="I2739" s="1130"/>
      <c r="J2739" s="1130"/>
      <c r="K2739" s="1130"/>
      <c r="L2739" s="1130"/>
      <c r="M2739" s="1130"/>
      <c r="N2739" s="1130"/>
      <c r="O2739" s="1130"/>
      <c r="P2739" s="1130"/>
      <c r="AB2739" s="1044"/>
    </row>
    <row r="2740" spans="1:28">
      <c r="A2740" s="1083"/>
      <c r="I2740" s="1130"/>
      <c r="J2740" s="1130"/>
      <c r="K2740" s="1130"/>
      <c r="L2740" s="1130"/>
      <c r="M2740" s="1130"/>
      <c r="N2740" s="1130"/>
      <c r="O2740" s="1130"/>
      <c r="P2740" s="1130"/>
      <c r="AB2740" s="1044"/>
    </row>
    <row r="2741" spans="1:28">
      <c r="A2741" s="1083"/>
      <c r="I2741" s="1130"/>
      <c r="J2741" s="1130"/>
      <c r="K2741" s="1130"/>
      <c r="L2741" s="1130"/>
      <c r="M2741" s="1130"/>
      <c r="N2741" s="1130"/>
      <c r="O2741" s="1130"/>
      <c r="P2741" s="1130"/>
      <c r="AB2741" s="1044"/>
    </row>
    <row r="2742" spans="1:28">
      <c r="A2742" s="1083"/>
      <c r="I2742" s="1130"/>
      <c r="J2742" s="1130"/>
      <c r="K2742" s="1130"/>
      <c r="L2742" s="1130"/>
      <c r="M2742" s="1130"/>
      <c r="N2742" s="1130"/>
      <c r="O2742" s="1130"/>
      <c r="P2742" s="1130"/>
      <c r="AB2742" s="1044"/>
    </row>
    <row r="2743" spans="1:28">
      <c r="A2743" s="1083"/>
      <c r="I2743" s="1130"/>
      <c r="J2743" s="1130"/>
      <c r="K2743" s="1130"/>
      <c r="L2743" s="1130"/>
      <c r="M2743" s="1130"/>
      <c r="N2743" s="1130"/>
      <c r="O2743" s="1130"/>
      <c r="P2743" s="1130"/>
      <c r="AB2743" s="1044"/>
    </row>
    <row r="2744" spans="1:28">
      <c r="A2744" s="1083"/>
      <c r="I2744" s="1130"/>
      <c r="J2744" s="1130"/>
      <c r="K2744" s="1130"/>
      <c r="L2744" s="1130"/>
      <c r="M2744" s="1130"/>
      <c r="N2744" s="1130"/>
      <c r="O2744" s="1130"/>
      <c r="P2744" s="1130"/>
      <c r="AB2744" s="1044"/>
    </row>
    <row r="2745" spans="1:28">
      <c r="A2745" s="1083"/>
      <c r="I2745" s="1130"/>
      <c r="J2745" s="1130"/>
      <c r="K2745" s="1130"/>
      <c r="L2745" s="1130"/>
      <c r="M2745" s="1130"/>
      <c r="N2745" s="1130"/>
      <c r="O2745" s="1130"/>
      <c r="P2745" s="1130"/>
      <c r="AB2745" s="1044"/>
    </row>
    <row r="2746" spans="1:28">
      <c r="A2746" s="1083"/>
      <c r="I2746" s="1130"/>
      <c r="J2746" s="1130"/>
      <c r="K2746" s="1130"/>
      <c r="L2746" s="1130"/>
      <c r="M2746" s="1130"/>
      <c r="N2746" s="1130"/>
      <c r="O2746" s="1130"/>
      <c r="P2746" s="1130"/>
      <c r="AB2746" s="1044"/>
    </row>
    <row r="2747" spans="1:28">
      <c r="A2747" s="1083"/>
      <c r="I2747" s="1130"/>
      <c r="J2747" s="1130"/>
      <c r="K2747" s="1130"/>
      <c r="L2747" s="1130"/>
      <c r="M2747" s="1130"/>
      <c r="N2747" s="1130"/>
      <c r="O2747" s="1130"/>
      <c r="P2747" s="1130"/>
      <c r="AB2747" s="1044"/>
    </row>
    <row r="2748" spans="1:28">
      <c r="A2748" s="1083"/>
      <c r="I2748" s="1130"/>
      <c r="J2748" s="1130"/>
      <c r="K2748" s="1130"/>
      <c r="L2748" s="1130"/>
      <c r="M2748" s="1130"/>
      <c r="N2748" s="1130"/>
      <c r="O2748" s="1130"/>
      <c r="P2748" s="1130"/>
      <c r="AB2748" s="1044"/>
    </row>
    <row r="2749" spans="1:28">
      <c r="A2749" s="1083"/>
      <c r="I2749" s="1130"/>
      <c r="J2749" s="1130"/>
      <c r="K2749" s="1130"/>
      <c r="L2749" s="1130"/>
      <c r="M2749" s="1130"/>
      <c r="N2749" s="1130"/>
      <c r="O2749" s="1130"/>
      <c r="P2749" s="1130"/>
      <c r="AB2749" s="1044"/>
    </row>
    <row r="2750" spans="1:28">
      <c r="A2750" s="1083"/>
      <c r="I2750" s="1130"/>
      <c r="J2750" s="1130"/>
      <c r="K2750" s="1130"/>
      <c r="L2750" s="1130"/>
      <c r="M2750" s="1130"/>
      <c r="N2750" s="1130"/>
      <c r="O2750" s="1130"/>
      <c r="P2750" s="1130"/>
      <c r="AB2750" s="1044"/>
    </row>
    <row r="2751" spans="1:28">
      <c r="A2751" s="1083"/>
      <c r="I2751" s="1130"/>
      <c r="J2751" s="1130"/>
      <c r="K2751" s="1130"/>
      <c r="L2751" s="1130"/>
      <c r="M2751" s="1130"/>
      <c r="N2751" s="1130"/>
      <c r="O2751" s="1130"/>
      <c r="P2751" s="1130"/>
      <c r="AB2751" s="1044"/>
    </row>
    <row r="2752" spans="1:28">
      <c r="A2752" s="1083"/>
      <c r="I2752" s="1130"/>
      <c r="J2752" s="1130"/>
      <c r="K2752" s="1130"/>
      <c r="L2752" s="1130"/>
      <c r="M2752" s="1130"/>
      <c r="N2752" s="1130"/>
      <c r="O2752" s="1130"/>
      <c r="P2752" s="1130"/>
      <c r="AB2752" s="1044"/>
    </row>
    <row r="2753" spans="1:28">
      <c r="A2753" s="1083"/>
      <c r="I2753" s="1130"/>
      <c r="J2753" s="1130"/>
      <c r="K2753" s="1130"/>
      <c r="L2753" s="1130"/>
      <c r="M2753" s="1130"/>
      <c r="N2753" s="1130"/>
      <c r="O2753" s="1130"/>
      <c r="P2753" s="1130"/>
      <c r="AB2753" s="1044"/>
    </row>
    <row r="2754" spans="1:28">
      <c r="A2754" s="1083"/>
      <c r="I2754" s="1130"/>
      <c r="J2754" s="1130"/>
      <c r="K2754" s="1130"/>
      <c r="L2754" s="1130"/>
      <c r="M2754" s="1130"/>
      <c r="N2754" s="1130"/>
      <c r="O2754" s="1130"/>
      <c r="P2754" s="1130"/>
      <c r="AB2754" s="1044"/>
    </row>
    <row r="2755" spans="1:28">
      <c r="A2755" s="1083"/>
      <c r="I2755" s="1130"/>
      <c r="J2755" s="1130"/>
      <c r="K2755" s="1130"/>
      <c r="L2755" s="1130"/>
      <c r="M2755" s="1130"/>
      <c r="N2755" s="1130"/>
      <c r="O2755" s="1130"/>
      <c r="P2755" s="1130"/>
      <c r="AB2755" s="1044"/>
    </row>
    <row r="2756" spans="1:28">
      <c r="A2756" s="1083"/>
      <c r="I2756" s="1130"/>
      <c r="J2756" s="1130"/>
      <c r="K2756" s="1130"/>
      <c r="L2756" s="1130"/>
      <c r="M2756" s="1130"/>
      <c r="N2756" s="1130"/>
      <c r="O2756" s="1130"/>
      <c r="P2756" s="1130"/>
      <c r="AB2756" s="1044"/>
    </row>
    <row r="2757" spans="1:28">
      <c r="A2757" s="1083"/>
      <c r="I2757" s="1130"/>
      <c r="J2757" s="1130"/>
      <c r="K2757" s="1130"/>
      <c r="L2757" s="1130"/>
      <c r="M2757" s="1130"/>
      <c r="N2757" s="1130"/>
      <c r="O2757" s="1130"/>
      <c r="P2757" s="1130"/>
      <c r="AB2757" s="1044"/>
    </row>
    <row r="2758" spans="1:28">
      <c r="A2758" s="1083"/>
      <c r="I2758" s="1130"/>
      <c r="J2758" s="1130"/>
      <c r="K2758" s="1130"/>
      <c r="L2758" s="1130"/>
      <c r="M2758" s="1130"/>
      <c r="N2758" s="1130"/>
      <c r="O2758" s="1130"/>
      <c r="P2758" s="1130"/>
      <c r="AB2758" s="1044"/>
    </row>
    <row r="2759" spans="1:28">
      <c r="A2759" s="1083"/>
      <c r="I2759" s="1130"/>
      <c r="J2759" s="1130"/>
      <c r="K2759" s="1130"/>
      <c r="L2759" s="1130"/>
      <c r="M2759" s="1130"/>
      <c r="N2759" s="1130"/>
      <c r="O2759" s="1130"/>
      <c r="P2759" s="1130"/>
      <c r="AB2759" s="1044"/>
    </row>
    <row r="2760" spans="1:28">
      <c r="A2760" s="1083"/>
      <c r="I2760" s="1130"/>
      <c r="J2760" s="1130"/>
      <c r="K2760" s="1130"/>
      <c r="L2760" s="1130"/>
      <c r="M2760" s="1130"/>
      <c r="N2760" s="1130"/>
      <c r="O2760" s="1130"/>
      <c r="P2760" s="1130"/>
      <c r="AB2760" s="1044"/>
    </row>
    <row r="2761" spans="1:28">
      <c r="A2761" s="1083"/>
      <c r="I2761" s="1130"/>
      <c r="J2761" s="1130"/>
      <c r="K2761" s="1130"/>
      <c r="L2761" s="1130"/>
      <c r="M2761" s="1130"/>
      <c r="N2761" s="1130"/>
      <c r="O2761" s="1130"/>
      <c r="P2761" s="1130"/>
      <c r="AB2761" s="1044"/>
    </row>
    <row r="2762" spans="1:28">
      <c r="A2762" s="1083"/>
      <c r="I2762" s="1130"/>
      <c r="J2762" s="1130"/>
      <c r="K2762" s="1130"/>
      <c r="L2762" s="1130"/>
      <c r="M2762" s="1130"/>
      <c r="N2762" s="1130"/>
      <c r="O2762" s="1130"/>
      <c r="P2762" s="1130"/>
      <c r="AB2762" s="1044"/>
    </row>
    <row r="2763" spans="1:28">
      <c r="A2763" s="1083"/>
      <c r="I2763" s="1130"/>
      <c r="J2763" s="1130"/>
      <c r="K2763" s="1130"/>
      <c r="L2763" s="1130"/>
      <c r="M2763" s="1130"/>
      <c r="N2763" s="1130"/>
      <c r="O2763" s="1130"/>
      <c r="P2763" s="1130"/>
      <c r="AB2763" s="1044"/>
    </row>
    <row r="2764" spans="1:28">
      <c r="A2764" s="1083"/>
      <c r="I2764" s="1130"/>
      <c r="J2764" s="1130"/>
      <c r="K2764" s="1130"/>
      <c r="L2764" s="1130"/>
      <c r="M2764" s="1130"/>
      <c r="N2764" s="1130"/>
      <c r="O2764" s="1130"/>
      <c r="P2764" s="1130"/>
      <c r="AB2764" s="1044"/>
    </row>
    <row r="2765" spans="1:28">
      <c r="A2765" s="1083"/>
      <c r="I2765" s="1130"/>
      <c r="J2765" s="1130"/>
      <c r="K2765" s="1130"/>
      <c r="L2765" s="1130"/>
      <c r="M2765" s="1130"/>
      <c r="N2765" s="1130"/>
      <c r="O2765" s="1130"/>
      <c r="P2765" s="1130"/>
      <c r="AB2765" s="1044"/>
    </row>
    <row r="2766" spans="1:28">
      <c r="A2766" s="1083"/>
      <c r="I2766" s="1130"/>
      <c r="J2766" s="1130"/>
      <c r="K2766" s="1130"/>
      <c r="L2766" s="1130"/>
      <c r="M2766" s="1130"/>
      <c r="N2766" s="1130"/>
      <c r="O2766" s="1130"/>
      <c r="P2766" s="1130"/>
      <c r="AB2766" s="1044"/>
    </row>
    <row r="2767" spans="1:28">
      <c r="A2767" s="1083"/>
      <c r="I2767" s="1130"/>
      <c r="J2767" s="1130"/>
      <c r="K2767" s="1130"/>
      <c r="L2767" s="1130"/>
      <c r="M2767" s="1130"/>
      <c r="N2767" s="1130"/>
      <c r="O2767" s="1130"/>
      <c r="P2767" s="1130"/>
      <c r="AB2767" s="1044"/>
    </row>
    <row r="2768" spans="1:28">
      <c r="A2768" s="1083"/>
      <c r="I2768" s="1130"/>
      <c r="J2768" s="1130"/>
      <c r="K2768" s="1130"/>
      <c r="L2768" s="1130"/>
      <c r="M2768" s="1130"/>
      <c r="N2768" s="1130"/>
      <c r="O2768" s="1130"/>
      <c r="P2768" s="1130"/>
      <c r="AB2768" s="1044"/>
    </row>
    <row r="2769" spans="1:31">
      <c r="A2769" s="1083"/>
      <c r="I2769" s="1130"/>
      <c r="J2769" s="1130"/>
      <c r="K2769" s="1130"/>
      <c r="L2769" s="1130"/>
      <c r="M2769" s="1130"/>
      <c r="N2769" s="1130"/>
      <c r="O2769" s="1130"/>
      <c r="P2769" s="1130"/>
      <c r="AB2769" s="1044"/>
    </row>
    <row r="2770" spans="1:31">
      <c r="A2770" s="1083"/>
      <c r="I2770" s="1130"/>
      <c r="J2770" s="1130"/>
      <c r="K2770" s="1130"/>
      <c r="L2770" s="1130"/>
      <c r="M2770" s="1130"/>
      <c r="N2770" s="1130"/>
      <c r="O2770" s="1130"/>
      <c r="P2770" s="1130"/>
      <c r="AB2770" s="1044"/>
    </row>
    <row r="2771" spans="1:31">
      <c r="A2771" s="1083"/>
      <c r="I2771" s="1130"/>
      <c r="J2771" s="1130"/>
      <c r="K2771" s="1130"/>
      <c r="L2771" s="1130"/>
      <c r="M2771" s="1130"/>
      <c r="N2771" s="1130"/>
      <c r="O2771" s="1130"/>
      <c r="P2771" s="1130"/>
      <c r="AB2771" s="1044"/>
    </row>
    <row r="2772" spans="1:31">
      <c r="A2772" s="1045" t="s">
        <v>132</v>
      </c>
      <c r="B2772" s="1046"/>
      <c r="C2772" s="1046"/>
      <c r="D2772" s="1046"/>
      <c r="E2772" s="1046"/>
      <c r="F2772" s="1046"/>
      <c r="G2772" s="1046"/>
      <c r="H2772" s="1046"/>
      <c r="I2772" s="1046"/>
      <c r="J2772" s="1046"/>
      <c r="K2772" s="1046"/>
      <c r="L2772" s="1046"/>
      <c r="M2772" s="1046"/>
      <c r="N2772" s="1046"/>
      <c r="O2772" s="1046"/>
      <c r="P2772" s="1046"/>
      <c r="Q2772" s="1046"/>
      <c r="R2772" s="1046"/>
      <c r="S2772" s="1046"/>
      <c r="T2772" s="1046"/>
      <c r="U2772" s="1046"/>
      <c r="V2772" s="1046"/>
      <c r="W2772" s="1046"/>
      <c r="X2772" s="1046"/>
      <c r="Y2772" s="1046"/>
      <c r="Z2772" s="1046"/>
      <c r="AA2772" s="1046"/>
      <c r="AB2772" s="1047"/>
    </row>
    <row r="2773" ht="14.4" customHeight="1" spans="1:31">
      <c r="A2773" s="1048" t="s">
        <v>269</v>
      </c>
      <c r="B2773" s="1049"/>
      <c r="C2773" s="1049"/>
      <c r="D2773" s="1050"/>
      <c r="E2773" s="1051" t="s">
        <v>270</v>
      </c>
      <c r="F2773" s="1049"/>
      <c r="G2773" s="1049"/>
      <c r="H2773" s="1050"/>
      <c r="I2773" s="1051" t="s">
        <v>271</v>
      </c>
      <c r="J2773" s="1049"/>
      <c r="K2773" s="1049"/>
      <c r="L2773" s="1050"/>
      <c r="M2773" s="1051" t="s">
        <v>272</v>
      </c>
      <c r="N2773" s="1049"/>
      <c r="O2773" s="1049"/>
      <c r="P2773" s="1050"/>
      <c r="Q2773" s="1051" t="s">
        <v>273</v>
      </c>
      <c r="R2773" s="1049"/>
      <c r="S2773" s="1049"/>
      <c r="T2773" s="1050"/>
      <c r="U2773" s="1051" t="s">
        <v>274</v>
      </c>
      <c r="V2773" s="1049"/>
      <c r="W2773" s="1049"/>
      <c r="X2773" s="1050"/>
      <c r="Y2773" s="1051" t="s">
        <v>274</v>
      </c>
      <c r="Z2773" s="1049"/>
      <c r="AA2773" s="1049"/>
      <c r="AB2773" s="1222"/>
    </row>
    <row r="2774" spans="1:31">
      <c r="A2774" s="1058"/>
      <c r="B2774" s="1059"/>
      <c r="C2774" s="1059"/>
      <c r="D2774" s="1060"/>
      <c r="E2774" s="1061"/>
      <c r="F2774" s="1059"/>
      <c r="G2774" s="1059"/>
      <c r="H2774" s="1060"/>
      <c r="I2774" s="1061" t="s">
        <v>275</v>
      </c>
      <c r="J2774" s="1059"/>
      <c r="K2774" s="1059"/>
      <c r="L2774" s="1060"/>
      <c r="M2774" s="1061" t="s">
        <v>276</v>
      </c>
      <c r="N2774" s="1059"/>
      <c r="O2774" s="1059"/>
      <c r="P2774" s="1060"/>
      <c r="Q2774" s="1061" t="s">
        <v>277</v>
      </c>
      <c r="R2774" s="1059"/>
      <c r="S2774" s="1059"/>
      <c r="T2774" s="1060"/>
      <c r="U2774" s="1061" t="s">
        <v>277</v>
      </c>
      <c r="V2774" s="1059"/>
      <c r="W2774" s="1059"/>
      <c r="X2774" s="1060"/>
      <c r="Y2774" s="1061" t="s">
        <v>278</v>
      </c>
      <c r="Z2774" s="1059"/>
      <c r="AA2774" s="1059"/>
      <c r="AB2774" s="1108"/>
    </row>
    <row r="2775" spans="1:31">
      <c r="A2775" s="1122" t="s">
        <v>279</v>
      </c>
      <c r="B2775" s="1073"/>
      <c r="C2775" s="1073"/>
      <c r="D2775" s="1073"/>
      <c r="E2775" s="1069">
        <v>4</v>
      </c>
      <c r="F2775" s="1069"/>
      <c r="G2775" s="1069"/>
      <c r="H2775" s="1069"/>
      <c r="I2775" s="1160">
        <v>10</v>
      </c>
      <c r="J2775" s="1160"/>
      <c r="K2775" s="1160"/>
      <c r="L2775" s="1160"/>
      <c r="M2775" s="1160">
        <v>62</v>
      </c>
      <c r="N2775" s="1160"/>
      <c r="O2775" s="1160"/>
      <c r="P2775" s="1160"/>
      <c r="Q2775" s="1160">
        <v>420</v>
      </c>
      <c r="R2775" s="1160"/>
      <c r="S2775" s="1160"/>
      <c r="T2775" s="1160"/>
      <c r="U2775" s="1161">
        <f t="shared" ref="U2775:U2778" si="24">M2775*Q2775</f>
        <v>26040</v>
      </c>
      <c r="V2775" s="1161"/>
      <c r="W2775" s="1161"/>
      <c r="X2775" s="1161"/>
      <c r="Y2775" s="1162">
        <f>U2775/100</f>
        <v>260.4</v>
      </c>
      <c r="Z2775" s="1162"/>
      <c r="AA2775" s="1162"/>
      <c r="AB2775" s="1163"/>
      <c r="AE2775" s="1164"/>
    </row>
    <row r="2776" spans="1:31">
      <c r="A2776" s="1122" t="s">
        <v>279</v>
      </c>
      <c r="B2776" s="1073"/>
      <c r="C2776" s="1073"/>
      <c r="D2776" s="1073"/>
      <c r="E2776" s="1069">
        <v>5</v>
      </c>
      <c r="F2776" s="1069"/>
      <c r="G2776" s="1069"/>
      <c r="H2776" s="1069"/>
      <c r="I2776" s="1160">
        <v>10</v>
      </c>
      <c r="J2776" s="1160"/>
      <c r="K2776" s="1160"/>
      <c r="L2776" s="1160"/>
      <c r="M2776" s="1160">
        <v>112</v>
      </c>
      <c r="N2776" s="1160"/>
      <c r="O2776" s="1160"/>
      <c r="P2776" s="1160"/>
      <c r="Q2776" s="1160">
        <v>590</v>
      </c>
      <c r="R2776" s="1160"/>
      <c r="S2776" s="1160"/>
      <c r="T2776" s="1160"/>
      <c r="U2776" s="1161">
        <f t="shared" si="24"/>
        <v>66080</v>
      </c>
      <c r="V2776" s="1161"/>
      <c r="W2776" s="1161"/>
      <c r="X2776" s="1161"/>
      <c r="Y2776" s="1162">
        <f>U2776/100</f>
        <v>660.8</v>
      </c>
      <c r="Z2776" s="1162"/>
      <c r="AA2776" s="1162"/>
      <c r="AB2776" s="1163"/>
      <c r="AE2776" s="1164"/>
    </row>
    <row r="2777" spans="1:31">
      <c r="A2777" s="1122" t="s">
        <v>279</v>
      </c>
      <c r="B2777" s="1073"/>
      <c r="C2777" s="1073"/>
      <c r="D2777" s="1073"/>
      <c r="E2777" s="1069">
        <v>6</v>
      </c>
      <c r="F2777" s="1069"/>
      <c r="G2777" s="1069"/>
      <c r="H2777" s="1069"/>
      <c r="I2777" s="1160">
        <v>12.5</v>
      </c>
      <c r="J2777" s="1160"/>
      <c r="K2777" s="1160"/>
      <c r="L2777" s="1160"/>
      <c r="M2777" s="1160">
        <v>136</v>
      </c>
      <c r="N2777" s="1160"/>
      <c r="O2777" s="1160"/>
      <c r="P2777" s="1160"/>
      <c r="Q2777" s="1160">
        <v>537</v>
      </c>
      <c r="R2777" s="1160"/>
      <c r="S2777" s="1160"/>
      <c r="T2777" s="1160"/>
      <c r="U2777" s="1161">
        <f t="shared" si="24"/>
        <v>73032</v>
      </c>
      <c r="V2777" s="1161"/>
      <c r="W2777" s="1161"/>
      <c r="X2777" s="1161"/>
      <c r="Y2777" s="1162">
        <f t="shared" ref="Y2777:Y2778" si="25">U2777/100</f>
        <v>730.32</v>
      </c>
      <c r="Z2777" s="1162"/>
      <c r="AA2777" s="1162"/>
      <c r="AB2777" s="1163"/>
      <c r="AE2777" s="1164"/>
    </row>
    <row r="2778" ht="15.75" spans="1:31">
      <c r="A2778" s="1133" t="s">
        <v>279</v>
      </c>
      <c r="B2778" s="1134"/>
      <c r="C2778" s="1134"/>
      <c r="D2778" s="1134"/>
      <c r="E2778" s="1137">
        <v>7</v>
      </c>
      <c r="F2778" s="1137"/>
      <c r="G2778" s="1137"/>
      <c r="H2778" s="1137"/>
      <c r="I2778" s="1138">
        <v>25</v>
      </c>
      <c r="J2778" s="1138"/>
      <c r="K2778" s="1138"/>
      <c r="L2778" s="1138"/>
      <c r="M2778" s="1138">
        <v>24</v>
      </c>
      <c r="N2778" s="1138"/>
      <c r="O2778" s="1138"/>
      <c r="P2778" s="1138"/>
      <c r="Q2778" s="1138">
        <v>450</v>
      </c>
      <c r="R2778" s="1138"/>
      <c r="S2778" s="1138"/>
      <c r="T2778" s="1138"/>
      <c r="U2778" s="1142">
        <f t="shared" si="24"/>
        <v>10800</v>
      </c>
      <c r="V2778" s="1142"/>
      <c r="W2778" s="1142"/>
      <c r="X2778" s="1142"/>
      <c r="Y2778" s="1169">
        <f t="shared" si="25"/>
        <v>108</v>
      </c>
      <c r="Z2778" s="1169"/>
      <c r="AA2778" s="1169"/>
      <c r="AB2778" s="1170"/>
      <c r="AE2778" s="1164"/>
    </row>
    <row r="2779" ht="15.75" spans="1:31">
      <c r="A2779" s="1083"/>
      <c r="AB2779" s="1044"/>
    </row>
    <row r="2780" spans="1:31">
      <c r="A2780" s="1083"/>
      <c r="K2780" s="1084" t="s">
        <v>573</v>
      </c>
      <c r="L2780" s="1085"/>
      <c r="M2780" s="1085"/>
      <c r="N2780" s="1085"/>
      <c r="O2780" s="1085"/>
      <c r="P2780" s="1085"/>
      <c r="Q2780" s="1085"/>
      <c r="R2780" s="1086"/>
      <c r="AB2780" s="1044"/>
    </row>
    <row r="2781" spans="1:31">
      <c r="A2781" s="1083"/>
      <c r="K2781" s="1087" t="s">
        <v>281</v>
      </c>
      <c r="L2781" s="1088"/>
      <c r="M2781" s="1088"/>
      <c r="N2781" s="1088"/>
      <c r="O2781" s="1088"/>
      <c r="P2781" s="1088"/>
      <c r="Q2781" s="1088"/>
      <c r="R2781" s="1089"/>
      <c r="AB2781" s="1044"/>
    </row>
    <row r="2782" spans="1:31">
      <c r="A2782" s="1083"/>
      <c r="K2782" s="1090"/>
      <c r="L2782" s="1091"/>
      <c r="M2782" s="1091"/>
      <c r="N2782" s="1091"/>
      <c r="O2782" s="1091"/>
      <c r="P2782" s="1091"/>
      <c r="Q2782" s="1091"/>
      <c r="R2782" s="1092"/>
      <c r="AB2782" s="1044"/>
    </row>
    <row r="2783" ht="15.75" spans="1:31">
      <c r="A2783" s="1083"/>
      <c r="K2783" s="1171">
        <f>ROUNDUP(ROUNDUP((((Y2775+Y2776)*((PI()*((I2775^2)/4))*7851))+((Y2777)*((PI()*((I2777^2)/4))*7851))+((Y2778)*((PI()*((I2778^2)/4))*7851)))/1000000,1)/0.05,0)*0.05</f>
        <v>1687.9</v>
      </c>
      <c r="L2783" s="1172"/>
      <c r="M2783" s="1172"/>
      <c r="N2783" s="1172"/>
      <c r="O2783" s="1172"/>
      <c r="P2783" s="1172"/>
      <c r="Q2783" s="1172"/>
      <c r="R2783" s="1173"/>
      <c r="AB2783" s="1044"/>
    </row>
    <row r="2784" ht="15.75" spans="1:31">
      <c r="A2784" s="1096"/>
      <c r="B2784" s="389"/>
      <c r="C2784" s="389"/>
      <c r="D2784" s="389"/>
      <c r="E2784" s="389"/>
      <c r="F2784" s="389"/>
      <c r="G2784" s="389"/>
      <c r="H2784" s="389"/>
      <c r="I2784" s="1097"/>
      <c r="J2784" s="1097"/>
      <c r="K2784" s="1097"/>
      <c r="L2784" s="1097"/>
      <c r="M2784" s="1097"/>
      <c r="N2784" s="1097"/>
      <c r="O2784" s="1097"/>
      <c r="P2784" s="1097"/>
      <c r="Q2784" s="389"/>
      <c r="R2784" s="389"/>
      <c r="S2784" s="389"/>
      <c r="T2784" s="389"/>
      <c r="U2784" s="389"/>
      <c r="V2784" s="389"/>
      <c r="W2784" s="389"/>
      <c r="X2784" s="389"/>
      <c r="Y2784" s="389"/>
      <c r="Z2784" s="389"/>
      <c r="AA2784" s="389"/>
      <c r="AB2784" s="1098"/>
    </row>
    <row r="2785" s="437" customFormat="1" spans="1:28">
      <c r="A2785" s="1040" t="s">
        <v>574</v>
      </c>
      <c r="B2785" s="1114"/>
      <c r="C2785" s="1114"/>
      <c r="D2785" s="1114"/>
      <c r="E2785" s="1114"/>
      <c r="F2785" s="1114"/>
      <c r="G2785" s="1114"/>
      <c r="H2785" s="1129"/>
      <c r="I2785" s="1129"/>
      <c r="J2785" s="1129"/>
      <c r="K2785" s="1129"/>
      <c r="L2785" s="1129"/>
      <c r="M2785" s="1129"/>
      <c r="N2785" s="1129"/>
      <c r="O2785" s="1129"/>
      <c r="P2785" s="1129"/>
      <c r="Q2785" s="1129"/>
      <c r="R2785" s="1114"/>
      <c r="S2785" s="1114"/>
      <c r="T2785" s="1114"/>
      <c r="U2785" s="1114"/>
      <c r="V2785" s="1114"/>
      <c r="W2785" s="1114"/>
      <c r="X2785" s="1114"/>
      <c r="Y2785" s="1114"/>
      <c r="Z2785" s="1114"/>
      <c r="AA2785" s="1114"/>
      <c r="AB2785" s="1115"/>
    </row>
    <row r="2786" spans="1:28">
      <c r="A2786" s="1083"/>
      <c r="H2786" s="1130"/>
      <c r="I2786" s="1130"/>
      <c r="J2786" s="1130"/>
      <c r="K2786" s="1130"/>
      <c r="L2786" s="1130"/>
      <c r="M2786" s="1130"/>
      <c r="N2786" s="1130"/>
      <c r="O2786" s="1130"/>
      <c r="P2786" s="1130"/>
      <c r="Q2786" s="1130"/>
      <c r="AB2786" s="1044"/>
    </row>
    <row r="2787" spans="1:28">
      <c r="A2787" s="1083"/>
      <c r="H2787" s="1130"/>
      <c r="I2787" s="1130"/>
      <c r="J2787" s="1130"/>
      <c r="K2787" s="1130"/>
      <c r="L2787" s="1130"/>
      <c r="M2787" s="1130"/>
      <c r="N2787" s="1130"/>
      <c r="O2787" s="1130"/>
      <c r="P2787" s="1130"/>
      <c r="Q2787" s="1130"/>
      <c r="AB2787" s="1044"/>
    </row>
    <row r="2788" spans="1:28">
      <c r="A2788" s="1083"/>
      <c r="H2788" s="1130"/>
      <c r="I2788" s="1130"/>
      <c r="J2788" s="1130"/>
      <c r="K2788" s="1130"/>
      <c r="L2788" s="1130"/>
      <c r="M2788" s="1130"/>
      <c r="N2788" s="1130"/>
      <c r="O2788" s="1130"/>
      <c r="P2788" s="1130"/>
      <c r="Q2788" s="1130"/>
      <c r="AB2788" s="1044"/>
    </row>
    <row r="2789" spans="1:28">
      <c r="A2789" s="1083"/>
      <c r="H2789" s="1130"/>
      <c r="I2789" s="1130"/>
      <c r="J2789" s="1130"/>
      <c r="K2789" s="1130"/>
      <c r="L2789" s="1130"/>
      <c r="M2789" s="1130"/>
      <c r="N2789" s="1130"/>
      <c r="O2789" s="1130"/>
      <c r="P2789" s="1130"/>
      <c r="Q2789" s="1130"/>
      <c r="AB2789" s="1044"/>
    </row>
    <row r="2790" spans="1:28">
      <c r="A2790" s="1083"/>
      <c r="H2790" s="1130"/>
      <c r="I2790" s="1130"/>
      <c r="J2790" s="1130"/>
      <c r="K2790" s="1130"/>
      <c r="L2790" s="1130"/>
      <c r="M2790" s="1130"/>
      <c r="N2790" s="1130"/>
      <c r="O2790" s="1130"/>
      <c r="P2790" s="1130"/>
      <c r="Q2790" s="1130"/>
      <c r="AB2790" s="1044"/>
    </row>
    <row r="2791" spans="1:28">
      <c r="A2791" s="1083"/>
      <c r="H2791" s="1130"/>
      <c r="I2791" s="1130"/>
      <c r="J2791" s="1130"/>
      <c r="K2791" s="1130"/>
      <c r="L2791" s="1130"/>
      <c r="M2791" s="1130"/>
      <c r="N2791" s="1130"/>
      <c r="O2791" s="1130"/>
      <c r="P2791" s="1130"/>
      <c r="Q2791" s="1130"/>
      <c r="AB2791" s="1044"/>
    </row>
    <row r="2792" spans="1:28">
      <c r="A2792" s="1083"/>
      <c r="H2792" s="1130"/>
      <c r="I2792" s="1130"/>
      <c r="J2792" s="1130"/>
      <c r="K2792" s="1130"/>
      <c r="L2792" s="1130"/>
      <c r="M2792" s="1130"/>
      <c r="N2792" s="1130"/>
      <c r="O2792" s="1130"/>
      <c r="P2792" s="1130"/>
      <c r="Q2792" s="1130"/>
      <c r="AB2792" s="1044"/>
    </row>
    <row r="2793" spans="1:28">
      <c r="A2793" s="1083"/>
      <c r="H2793" s="1130"/>
      <c r="I2793" s="1130"/>
      <c r="J2793" s="1130"/>
      <c r="K2793" s="1130"/>
      <c r="L2793" s="1130"/>
      <c r="M2793" s="1130"/>
      <c r="N2793" s="1130"/>
      <c r="O2793" s="1130"/>
      <c r="P2793" s="1130"/>
      <c r="Q2793" s="1130"/>
      <c r="AB2793" s="1044"/>
    </row>
    <row r="2794" spans="1:28">
      <c r="A2794" s="1083"/>
      <c r="H2794" s="1130"/>
      <c r="I2794" s="1130"/>
      <c r="J2794" s="1130"/>
      <c r="K2794" s="1130"/>
      <c r="L2794" s="1130"/>
      <c r="M2794" s="1130"/>
      <c r="N2794" s="1130"/>
      <c r="O2794" s="1130"/>
      <c r="P2794" s="1130"/>
      <c r="Q2794" s="1130"/>
      <c r="AB2794" s="1044"/>
    </row>
    <row r="2795" spans="1:28">
      <c r="A2795" s="1083"/>
      <c r="H2795" s="1130"/>
      <c r="I2795" s="1130"/>
      <c r="J2795" s="1130"/>
      <c r="K2795" s="1130"/>
      <c r="L2795" s="1130"/>
      <c r="M2795" s="1130"/>
      <c r="N2795" s="1130"/>
      <c r="O2795" s="1130"/>
      <c r="P2795" s="1130"/>
      <c r="Q2795" s="1130"/>
      <c r="AB2795" s="1044"/>
    </row>
    <row r="2796" spans="1:28">
      <c r="A2796" s="1083"/>
      <c r="H2796" s="1130"/>
      <c r="I2796" s="1130"/>
      <c r="J2796" s="1130"/>
      <c r="K2796" s="1130"/>
      <c r="L2796" s="1130"/>
      <c r="M2796" s="1130"/>
      <c r="N2796" s="1130"/>
      <c r="O2796" s="1130"/>
      <c r="P2796" s="1130"/>
      <c r="Q2796" s="1130"/>
      <c r="AB2796" s="1044"/>
    </row>
    <row r="2797" spans="1:28">
      <c r="A2797" s="1083"/>
      <c r="H2797" s="1130"/>
      <c r="I2797" s="1130"/>
      <c r="J2797" s="1130"/>
      <c r="K2797" s="1130"/>
      <c r="L2797" s="1130"/>
      <c r="M2797" s="1130"/>
      <c r="N2797" s="1130"/>
      <c r="O2797" s="1130"/>
      <c r="P2797" s="1130"/>
      <c r="Q2797" s="1130"/>
      <c r="AB2797" s="1044"/>
    </row>
    <row r="2798" spans="1:28">
      <c r="A2798" s="1083"/>
      <c r="H2798" s="1130"/>
      <c r="I2798" s="1130"/>
      <c r="J2798" s="1130"/>
      <c r="K2798" s="1130"/>
      <c r="L2798" s="1130"/>
      <c r="M2798" s="1130"/>
      <c r="N2798" s="1130"/>
      <c r="O2798" s="1130"/>
      <c r="P2798" s="1130"/>
      <c r="Q2798" s="1130"/>
      <c r="AB2798" s="1044"/>
    </row>
    <row r="2799" spans="1:28">
      <c r="A2799" s="1083"/>
      <c r="H2799" s="1130"/>
      <c r="I2799" s="1130"/>
      <c r="J2799" s="1130"/>
      <c r="K2799" s="1130"/>
      <c r="L2799" s="1130"/>
      <c r="M2799" s="1130"/>
      <c r="N2799" s="1130"/>
      <c r="O2799" s="1130"/>
      <c r="P2799" s="1130"/>
      <c r="Q2799" s="1130"/>
      <c r="AB2799" s="1044"/>
    </row>
    <row r="2800" spans="1:28">
      <c r="A2800" s="1083"/>
      <c r="H2800" s="1130"/>
      <c r="I2800" s="1130"/>
      <c r="J2800" s="1130"/>
      <c r="K2800" s="1130"/>
      <c r="L2800" s="1130"/>
      <c r="M2800" s="1130"/>
      <c r="N2800" s="1130"/>
      <c r="O2800" s="1130"/>
      <c r="P2800" s="1130"/>
      <c r="Q2800" s="1130"/>
      <c r="AB2800" s="1044"/>
    </row>
    <row r="2801" spans="1:28">
      <c r="A2801" s="1083"/>
      <c r="H2801" s="1130"/>
      <c r="I2801" s="1130"/>
      <c r="J2801" s="1130"/>
      <c r="K2801" s="1130"/>
      <c r="L2801" s="1130"/>
      <c r="M2801" s="1130"/>
      <c r="N2801" s="1130"/>
      <c r="O2801" s="1130"/>
      <c r="P2801" s="1130"/>
      <c r="Q2801" s="1130"/>
      <c r="AB2801" s="1044"/>
    </row>
    <row r="2802" spans="1:28">
      <c r="A2802" s="1083"/>
      <c r="H2802" s="1130"/>
      <c r="I2802" s="1130"/>
      <c r="J2802" s="1130"/>
      <c r="K2802" s="1130"/>
      <c r="L2802" s="1130"/>
      <c r="M2802" s="1130"/>
      <c r="N2802" s="1130"/>
      <c r="O2802" s="1130"/>
      <c r="P2802" s="1130"/>
      <c r="Q2802" s="1130"/>
      <c r="AB2802" s="1044"/>
    </row>
    <row r="2803" ht="14.4" customHeight="1" spans="1:28">
      <c r="A2803" s="1048" t="s">
        <v>205</v>
      </c>
      <c r="B2803" s="1049"/>
      <c r="C2803" s="1049"/>
      <c r="D2803" s="1050"/>
      <c r="E2803" s="1051" t="s">
        <v>206</v>
      </c>
      <c r="F2803" s="1049"/>
      <c r="G2803" s="1049"/>
      <c r="H2803" s="1050"/>
      <c r="I2803" s="1051" t="s">
        <v>235</v>
      </c>
      <c r="J2803" s="1049"/>
      <c r="K2803" s="1049"/>
      <c r="L2803" s="1050"/>
      <c r="M2803" s="1051" t="s">
        <v>236</v>
      </c>
      <c r="N2803" s="1049"/>
      <c r="O2803" s="1049"/>
      <c r="P2803" s="1050"/>
      <c r="Q2803" s="1051" t="s">
        <v>237</v>
      </c>
      <c r="R2803" s="1049"/>
      <c r="S2803" s="1049"/>
      <c r="T2803" s="1050"/>
      <c r="U2803" s="1051" t="s">
        <v>238</v>
      </c>
      <c r="V2803" s="1049"/>
      <c r="W2803" s="1049"/>
      <c r="X2803" s="1050"/>
      <c r="Y2803" s="1051" t="s">
        <v>246</v>
      </c>
      <c r="Z2803" s="1049"/>
      <c r="AA2803" s="1049"/>
      <c r="AB2803" s="1222"/>
    </row>
    <row r="2804" ht="14.4" customHeight="1" spans="1:28">
      <c r="A2804" s="1058" t="s">
        <v>559</v>
      </c>
      <c r="B2804" s="1059"/>
      <c r="C2804" s="1059"/>
      <c r="D2804" s="1060"/>
      <c r="E2804" s="1061" t="s">
        <v>560</v>
      </c>
      <c r="F2804" s="1059"/>
      <c r="G2804" s="1059"/>
      <c r="H2804" s="1060"/>
      <c r="I2804" s="1061" t="s">
        <v>561</v>
      </c>
      <c r="J2804" s="1059"/>
      <c r="K2804" s="1059"/>
      <c r="L2804" s="1060"/>
      <c r="M2804" s="1061" t="s">
        <v>315</v>
      </c>
      <c r="N2804" s="1059"/>
      <c r="O2804" s="1059"/>
      <c r="P2804" s="1060"/>
      <c r="Q2804" s="1061" t="s">
        <v>417</v>
      </c>
      <c r="R2804" s="1059"/>
      <c r="S2804" s="1059"/>
      <c r="T2804" s="1060"/>
      <c r="U2804" s="1061" t="s">
        <v>418</v>
      </c>
      <c r="V2804" s="1059"/>
      <c r="W2804" s="1059"/>
      <c r="X2804" s="1060"/>
      <c r="Y2804" s="1061" t="s">
        <v>500</v>
      </c>
      <c r="Z2804" s="1059"/>
      <c r="AA2804" s="1059"/>
      <c r="AB2804" s="1108"/>
    </row>
    <row r="2805" spans="1:28">
      <c r="A2805" s="1122">
        <v>0.3</v>
      </c>
      <c r="B2805" s="1073"/>
      <c r="C2805" s="1073"/>
      <c r="D2805" s="1073"/>
      <c r="E2805" s="1073">
        <v>0.3</v>
      </c>
      <c r="F2805" s="1073"/>
      <c r="G2805" s="1073"/>
      <c r="H2805" s="1073"/>
      <c r="I2805" s="1073">
        <v>3.4</v>
      </c>
      <c r="J2805" s="1073"/>
      <c r="K2805" s="1073"/>
      <c r="L2805" s="1073"/>
      <c r="M2805" s="1073">
        <v>6</v>
      </c>
      <c r="N2805" s="1073"/>
      <c r="O2805" s="1073"/>
      <c r="P2805" s="1073"/>
      <c r="Q2805" s="1073">
        <v>0.25</v>
      </c>
      <c r="R2805" s="1073"/>
      <c r="S2805" s="1073"/>
      <c r="T2805" s="1073"/>
      <c r="U2805" s="1073">
        <v>0.3</v>
      </c>
      <c r="V2805" s="1073"/>
      <c r="W2805" s="1073"/>
      <c r="X2805" s="1073"/>
      <c r="Y2805" s="1073">
        <v>0.05</v>
      </c>
      <c r="Z2805" s="1073"/>
      <c r="AA2805" s="1073"/>
      <c r="AB2805" s="1193"/>
    </row>
    <row r="2806" spans="1:28">
      <c r="A2806" s="1154"/>
      <c r="B2806" s="1130"/>
      <c r="C2806" s="1130"/>
      <c r="D2806" s="1130"/>
      <c r="E2806" s="1130"/>
      <c r="F2806" s="1130"/>
      <c r="G2806" s="1130"/>
      <c r="H2806" s="1130"/>
      <c r="I2806" s="1130"/>
      <c r="J2806" s="1130"/>
      <c r="K2806" s="1130"/>
      <c r="L2806" s="1130"/>
      <c r="M2806" s="1130"/>
      <c r="N2806" s="1130"/>
      <c r="O2806" s="1130"/>
      <c r="P2806" s="1130"/>
      <c r="Q2806" s="1130"/>
      <c r="R2806" s="1130"/>
      <c r="S2806" s="1130"/>
      <c r="T2806" s="1130"/>
      <c r="U2806" s="1130"/>
      <c r="V2806" s="1130"/>
      <c r="W2806" s="1130"/>
      <c r="X2806" s="1130"/>
      <c r="AB2806" s="1044"/>
    </row>
    <row r="2807" ht="14.4" customHeight="1" spans="1:28">
      <c r="A2807" s="1048" t="s">
        <v>562</v>
      </c>
      <c r="B2807" s="1049"/>
      <c r="C2807" s="1049"/>
      <c r="D2807" s="1050"/>
      <c r="E2807" s="1051"/>
      <c r="F2807" s="1049"/>
      <c r="G2807" s="1049"/>
      <c r="H2807" s="1050"/>
      <c r="I2807" s="1051"/>
      <c r="J2807" s="1049"/>
      <c r="K2807" s="1049"/>
      <c r="L2807" s="1050"/>
      <c r="M2807" s="1051"/>
      <c r="N2807" s="1049"/>
      <c r="O2807" s="1049"/>
      <c r="P2807" s="1050"/>
      <c r="Q2807" s="1051"/>
      <c r="R2807" s="1049"/>
      <c r="S2807" s="1049"/>
      <c r="T2807" s="1050"/>
      <c r="U2807" s="1051"/>
      <c r="V2807" s="1049"/>
      <c r="W2807" s="1049"/>
      <c r="X2807" s="1050"/>
      <c r="Y2807" s="1180" t="s">
        <v>382</v>
      </c>
      <c r="Z2807" s="1181"/>
      <c r="AA2807" s="1181"/>
      <c r="AB2807" s="1212"/>
    </row>
    <row r="2808" spans="1:28">
      <c r="A2808" s="1058"/>
      <c r="B2808" s="1059"/>
      <c r="C2808" s="1059"/>
      <c r="D2808" s="1060"/>
      <c r="E2808" s="1061"/>
      <c r="F2808" s="1059"/>
      <c r="G2808" s="1059"/>
      <c r="H2808" s="1060"/>
      <c r="I2808" s="1061"/>
      <c r="J2808" s="1059"/>
      <c r="K2808" s="1059"/>
      <c r="L2808" s="1060"/>
      <c r="M2808" s="1061"/>
      <c r="N2808" s="1059"/>
      <c r="O2808" s="1059"/>
      <c r="P2808" s="1060"/>
      <c r="Q2808" s="1061"/>
      <c r="R2808" s="1059"/>
      <c r="S2808" s="1059"/>
      <c r="T2808" s="1060"/>
      <c r="U2808" s="1061"/>
      <c r="V2808" s="1059"/>
      <c r="W2808" s="1059"/>
      <c r="X2808" s="1060"/>
      <c r="Y2808" s="1065"/>
      <c r="Z2808" s="1066"/>
      <c r="AA2808" s="1066"/>
      <c r="AB2808" s="1067"/>
    </row>
    <row r="2809" ht="15.75" spans="1:28">
      <c r="A2809" s="1246">
        <v>2</v>
      </c>
      <c r="B2809" s="1217"/>
      <c r="C2809" s="1217"/>
      <c r="D2809" s="1218"/>
      <c r="E2809" s="1134"/>
      <c r="F2809" s="1134"/>
      <c r="G2809" s="1134"/>
      <c r="H2809" s="1134"/>
      <c r="I2809" s="1134"/>
      <c r="J2809" s="1134"/>
      <c r="K2809" s="1134"/>
      <c r="L2809" s="1134"/>
      <c r="M2809" s="1134"/>
      <c r="N2809" s="1134"/>
      <c r="O2809" s="1134"/>
      <c r="P2809" s="1134"/>
      <c r="Q2809" s="1134"/>
      <c r="R2809" s="1134"/>
      <c r="S2809" s="1134"/>
      <c r="T2809" s="1134"/>
      <c r="U2809" s="1134"/>
      <c r="V2809" s="1134"/>
      <c r="W2809" s="1134"/>
      <c r="X2809" s="1134"/>
      <c r="Y2809" s="1134">
        <f>ROUNDUP(((((A2805+E2805+I2805)*Q2805)+(A2805*U2805)+((E2805*U2805)/2))*M2805*A2809),2)</f>
        <v>13.62</v>
      </c>
      <c r="Z2809" s="1134"/>
      <c r="AA2809" s="1134"/>
      <c r="AB2809" s="1225"/>
    </row>
    <row r="2810" ht="15.75" spans="1:28">
      <c r="A2810" s="1079" t="s">
        <v>563</v>
      </c>
      <c r="B2810" s="1080"/>
      <c r="C2810" s="1080"/>
      <c r="D2810" s="1080"/>
      <c r="E2810" s="1080"/>
      <c r="F2810" s="1080"/>
      <c r="G2810" s="1080"/>
      <c r="H2810" s="1080"/>
      <c r="I2810" s="1080"/>
      <c r="J2810" s="1080"/>
      <c r="K2810" s="1080"/>
      <c r="L2810" s="1080"/>
      <c r="M2810" s="1080"/>
      <c r="N2810" s="1080"/>
      <c r="O2810" s="1080"/>
      <c r="P2810" s="1080"/>
      <c r="Q2810" s="1080"/>
      <c r="R2810" s="1080"/>
      <c r="S2810" s="1080"/>
      <c r="T2810" s="1080"/>
      <c r="U2810" s="1080"/>
      <c r="V2810" s="1080"/>
      <c r="W2810" s="1080"/>
      <c r="X2810" s="1080"/>
      <c r="Y2810" s="1080"/>
      <c r="Z2810" s="1080"/>
      <c r="AA2810" s="1080"/>
      <c r="AB2810" s="1081"/>
    </row>
    <row r="2811" ht="15.75" spans="1:28">
      <c r="A2811" s="1083"/>
      <c r="AB2811" s="1044"/>
    </row>
    <row r="2812" spans="1:28">
      <c r="A2812" s="1083"/>
      <c r="K2812" s="1084" t="s">
        <v>575</v>
      </c>
      <c r="L2812" s="1085"/>
      <c r="M2812" s="1085"/>
      <c r="N2812" s="1085"/>
      <c r="O2812" s="1085"/>
      <c r="P2812" s="1085"/>
      <c r="Q2812" s="1085"/>
      <c r="R2812" s="1086"/>
      <c r="AB2812" s="1044"/>
    </row>
    <row r="2813" spans="1:28">
      <c r="A2813" s="1083"/>
      <c r="K2813" s="1087" t="s">
        <v>384</v>
      </c>
      <c r="L2813" s="1088"/>
      <c r="M2813" s="1088"/>
      <c r="N2813" s="1088"/>
      <c r="O2813" s="1088"/>
      <c r="P2813" s="1088"/>
      <c r="Q2813" s="1088"/>
      <c r="R2813" s="1089"/>
      <c r="AB2813" s="1044"/>
    </row>
    <row r="2814" spans="1:28">
      <c r="A2814" s="1083"/>
      <c r="K2814" s="1090"/>
      <c r="L2814" s="1091"/>
      <c r="M2814" s="1091"/>
      <c r="N2814" s="1091"/>
      <c r="O2814" s="1091"/>
      <c r="P2814" s="1091"/>
      <c r="Q2814" s="1091"/>
      <c r="R2814" s="1092"/>
      <c r="AB2814" s="1044"/>
    </row>
    <row r="2815" ht="15.75" spans="1:28">
      <c r="A2815" s="1083"/>
      <c r="K2815" s="1093">
        <f>ROUNDUP(Y2809,2)</f>
        <v>13.62</v>
      </c>
      <c r="L2815" s="1094"/>
      <c r="M2815" s="1094"/>
      <c r="N2815" s="1094"/>
      <c r="O2815" s="1094"/>
      <c r="P2815" s="1094"/>
      <c r="Q2815" s="1094"/>
      <c r="R2815" s="1095"/>
      <c r="AB2815" s="1044"/>
    </row>
    <row r="2816" ht="15.75" spans="1:28">
      <c r="A2816" s="1096"/>
      <c r="B2816" s="389"/>
      <c r="C2816" s="389"/>
      <c r="D2816" s="389"/>
      <c r="E2816" s="389"/>
      <c r="F2816" s="389"/>
      <c r="G2816" s="389"/>
      <c r="H2816" s="389"/>
      <c r="I2816" s="1097"/>
      <c r="J2816" s="1097"/>
      <c r="K2816" s="1097"/>
      <c r="L2816" s="1097"/>
      <c r="M2816" s="1097"/>
      <c r="N2816" s="1097"/>
      <c r="O2816" s="1097"/>
      <c r="P2816" s="1097"/>
      <c r="Q2816" s="389"/>
      <c r="R2816" s="389"/>
      <c r="S2816" s="389"/>
      <c r="T2816" s="389"/>
      <c r="U2816" s="389"/>
      <c r="V2816" s="389"/>
      <c r="W2816" s="389"/>
      <c r="X2816" s="389"/>
      <c r="Y2816" s="389"/>
      <c r="Z2816" s="389"/>
      <c r="AA2816" s="389"/>
      <c r="AB2816" s="1098"/>
    </row>
    <row r="2817" spans="1:28">
      <c r="A2817" s="1040" t="s">
        <v>576</v>
      </c>
      <c r="B2817" s="1041"/>
      <c r="C2817" s="1041"/>
      <c r="D2817" s="1041"/>
      <c r="E2817" s="1041"/>
      <c r="F2817" s="1041"/>
      <c r="G2817" s="1041"/>
      <c r="H2817" s="1041"/>
      <c r="I2817" s="1041"/>
      <c r="J2817" s="1041"/>
      <c r="K2817" s="1041"/>
      <c r="L2817" s="1041"/>
      <c r="M2817" s="1041"/>
      <c r="N2817" s="1041"/>
      <c r="O2817" s="1041"/>
      <c r="P2817" s="1041"/>
      <c r="Q2817" s="1041"/>
      <c r="R2817" s="1041"/>
      <c r="S2817" s="1041"/>
      <c r="T2817" s="1041"/>
      <c r="U2817" s="1041"/>
      <c r="V2817" s="1041"/>
      <c r="W2817" s="1041"/>
      <c r="X2817" s="1041"/>
      <c r="Y2817" s="1041"/>
      <c r="Z2817" s="1041"/>
      <c r="AA2817" s="1041"/>
      <c r="AB2817" s="1042"/>
    </row>
    <row r="2818" spans="1:28">
      <c r="A2818" s="1083"/>
      <c r="AB2818" s="1044"/>
    </row>
    <row r="2819" spans="1:28">
      <c r="A2819" s="1083"/>
      <c r="AB2819" s="1044"/>
    </row>
    <row r="2820" spans="1:28">
      <c r="A2820" s="1083"/>
      <c r="AB2820" s="1044"/>
    </row>
    <row r="2821" spans="1:28">
      <c r="A2821" s="1083"/>
      <c r="AB2821" s="1044"/>
    </row>
    <row r="2822" spans="1:28">
      <c r="A2822" s="1083"/>
      <c r="AB2822" s="1044"/>
    </row>
    <row r="2823" spans="1:28">
      <c r="A2823" s="1083"/>
      <c r="AB2823" s="1044"/>
    </row>
    <row r="2824" spans="1:28">
      <c r="A2824" s="1083"/>
      <c r="AB2824" s="1044"/>
    </row>
    <row r="2825" spans="1:28">
      <c r="A2825" s="1083"/>
      <c r="AB2825" s="1044"/>
    </row>
    <row r="2826" spans="1:28">
      <c r="A2826" s="1083"/>
      <c r="AB2826" s="1044"/>
    </row>
    <row r="2827" spans="1:28">
      <c r="A2827" s="1099" t="s">
        <v>133</v>
      </c>
      <c r="B2827" s="424"/>
      <c r="C2827" s="424"/>
      <c r="D2827" s="424"/>
      <c r="E2827" s="424"/>
      <c r="F2827" s="424"/>
      <c r="G2827" s="424"/>
      <c r="H2827" s="424"/>
      <c r="I2827" s="424"/>
      <c r="J2827" s="424"/>
      <c r="K2827" s="424"/>
      <c r="L2827" s="424"/>
      <c r="M2827" s="424"/>
      <c r="N2827" s="424"/>
      <c r="O2827" s="424"/>
      <c r="P2827" s="424"/>
      <c r="Q2827" s="424"/>
      <c r="R2827" s="424"/>
      <c r="S2827" s="424"/>
      <c r="T2827" s="424"/>
      <c r="U2827" s="424"/>
      <c r="V2827" s="424"/>
      <c r="W2827" s="424"/>
      <c r="X2827" s="424"/>
      <c r="Y2827" s="424"/>
      <c r="Z2827" s="424"/>
      <c r="AA2827" s="424"/>
      <c r="AB2827" s="1100"/>
    </row>
    <row r="2828" ht="14.4" customHeight="1" spans="1:28">
      <c r="A2828" s="1048" t="s">
        <v>205</v>
      </c>
      <c r="B2828" s="1049"/>
      <c r="C2828" s="1049"/>
      <c r="D2828" s="1050"/>
      <c r="E2828" s="1051" t="s">
        <v>206</v>
      </c>
      <c r="F2828" s="1049"/>
      <c r="G2828" s="1049"/>
      <c r="H2828" s="1050"/>
      <c r="I2828" s="1051" t="s">
        <v>235</v>
      </c>
      <c r="J2828" s="1049"/>
      <c r="K2828" s="1049"/>
      <c r="L2828" s="1050"/>
      <c r="M2828" s="1051" t="s">
        <v>577</v>
      </c>
      <c r="N2828" s="1049"/>
      <c r="O2828" s="1049"/>
      <c r="P2828" s="1050"/>
      <c r="Q2828" s="1051"/>
      <c r="R2828" s="1049"/>
      <c r="S2828" s="1049"/>
      <c r="T2828" s="1050"/>
      <c r="U2828" s="1052"/>
      <c r="V2828" s="1053"/>
      <c r="W2828" s="1053"/>
      <c r="X2828" s="1054"/>
      <c r="Y2828" s="1104" t="s">
        <v>314</v>
      </c>
      <c r="Z2828" s="1102"/>
      <c r="AA2828" s="1102"/>
      <c r="AB2828" s="1106"/>
    </row>
    <row r="2829" ht="14.4" customHeight="1" spans="1:28">
      <c r="A2829" s="1058" t="s">
        <v>209</v>
      </c>
      <c r="B2829" s="1059"/>
      <c r="C2829" s="1059"/>
      <c r="D2829" s="1060"/>
      <c r="E2829" s="1061" t="s">
        <v>315</v>
      </c>
      <c r="F2829" s="1059"/>
      <c r="G2829" s="1059"/>
      <c r="H2829" s="1060"/>
      <c r="I2829" s="1061" t="s">
        <v>210</v>
      </c>
      <c r="J2829" s="1059"/>
      <c r="K2829" s="1059"/>
      <c r="L2829" s="1060"/>
      <c r="M2829" s="1061"/>
      <c r="N2829" s="1059"/>
      <c r="O2829" s="1059"/>
      <c r="P2829" s="1060"/>
      <c r="Q2829" s="1061"/>
      <c r="R2829" s="1059"/>
      <c r="S2829" s="1059"/>
      <c r="T2829" s="1060"/>
      <c r="U2829" s="1062"/>
      <c r="V2829" s="1063"/>
      <c r="W2829" s="1063"/>
      <c r="X2829" s="1064"/>
      <c r="Y2829" s="1061"/>
      <c r="Z2829" s="1059"/>
      <c r="AA2829" s="1059"/>
      <c r="AB2829" s="1108"/>
    </row>
    <row r="2830" ht="15.75" spans="1:28">
      <c r="A2830" s="1133">
        <v>14.5</v>
      </c>
      <c r="B2830" s="1134"/>
      <c r="C2830" s="1134"/>
      <c r="D2830" s="1134"/>
      <c r="E2830" s="1134">
        <v>0.5</v>
      </c>
      <c r="F2830" s="1134"/>
      <c r="G2830" s="1134"/>
      <c r="H2830" s="1134"/>
      <c r="I2830" s="1134">
        <v>0.1</v>
      </c>
      <c r="J2830" s="1134"/>
      <c r="K2830" s="1134"/>
      <c r="L2830" s="1134"/>
      <c r="M2830" s="1134">
        <v>4</v>
      </c>
      <c r="N2830" s="1134"/>
      <c r="O2830" s="1134"/>
      <c r="P2830" s="1134"/>
      <c r="Q2830" s="1216"/>
      <c r="R2830" s="1217"/>
      <c r="S2830" s="1217"/>
      <c r="T2830" s="1218"/>
      <c r="U2830" s="1219"/>
      <c r="V2830" s="1220"/>
      <c r="W2830" s="1220"/>
      <c r="X2830" s="1221"/>
      <c r="Y2830" s="1135">
        <f>ROUNDUP($A2830*$E2830*$I2830*$M2830,2)</f>
        <v>2.9</v>
      </c>
      <c r="Z2830" s="1135"/>
      <c r="AA2830" s="1135"/>
      <c r="AB2830" s="1136"/>
    </row>
    <row r="2831" ht="15.75" spans="1:28">
      <c r="A2831" s="1079" t="s">
        <v>578</v>
      </c>
      <c r="B2831" s="1080"/>
      <c r="C2831" s="1080"/>
      <c r="D2831" s="1080"/>
      <c r="E2831" s="1080"/>
      <c r="F2831" s="1080"/>
      <c r="G2831" s="1080"/>
      <c r="H2831" s="1080"/>
      <c r="I2831" s="1080"/>
      <c r="J2831" s="1080"/>
      <c r="K2831" s="1080"/>
      <c r="L2831" s="1080"/>
      <c r="M2831" s="1080"/>
      <c r="N2831" s="1080"/>
      <c r="O2831" s="1080"/>
      <c r="P2831" s="1080"/>
      <c r="Q2831" s="1080"/>
      <c r="R2831" s="1080"/>
      <c r="S2831" s="1080"/>
      <c r="T2831" s="1080"/>
      <c r="U2831" s="1080"/>
      <c r="V2831" s="1080"/>
      <c r="W2831" s="1080"/>
      <c r="X2831" s="1080"/>
      <c r="Y2831" s="1080"/>
      <c r="Z2831" s="1080"/>
      <c r="AA2831" s="1080"/>
      <c r="AB2831" s="1081"/>
    </row>
    <row r="2832" ht="15.75" spans="1:28">
      <c r="A2832" s="1083"/>
      <c r="AB2832" s="1044"/>
    </row>
    <row r="2833" spans="1:28">
      <c r="A2833" s="1083"/>
      <c r="K2833" s="1084" t="s">
        <v>579</v>
      </c>
      <c r="L2833" s="1085"/>
      <c r="M2833" s="1085"/>
      <c r="N2833" s="1085"/>
      <c r="O2833" s="1085"/>
      <c r="P2833" s="1085"/>
      <c r="Q2833" s="1085"/>
      <c r="R2833" s="1086"/>
      <c r="AB2833" s="1044"/>
    </row>
    <row r="2834" spans="1:28">
      <c r="A2834" s="1083"/>
      <c r="K2834" s="1087" t="s">
        <v>331</v>
      </c>
      <c r="L2834" s="1088"/>
      <c r="M2834" s="1088"/>
      <c r="N2834" s="1088"/>
      <c r="O2834" s="1088"/>
      <c r="P2834" s="1088"/>
      <c r="Q2834" s="1088"/>
      <c r="R2834" s="1089"/>
      <c r="AB2834" s="1044"/>
    </row>
    <row r="2835" spans="1:28">
      <c r="A2835" s="1083"/>
      <c r="K2835" s="1090"/>
      <c r="L2835" s="1091"/>
      <c r="M2835" s="1091"/>
      <c r="N2835" s="1091"/>
      <c r="O2835" s="1091"/>
      <c r="P2835" s="1091"/>
      <c r="Q2835" s="1091"/>
      <c r="R2835" s="1092"/>
      <c r="AB2835" s="1044"/>
    </row>
    <row r="2836" ht="15.75" spans="1:28">
      <c r="A2836" s="1083"/>
      <c r="K2836" s="1093">
        <f>ROUNDUP(Y2830,2)</f>
        <v>2.9</v>
      </c>
      <c r="L2836" s="1094"/>
      <c r="M2836" s="1094"/>
      <c r="N2836" s="1094"/>
      <c r="O2836" s="1094"/>
      <c r="P2836" s="1094"/>
      <c r="Q2836" s="1094"/>
      <c r="R2836" s="1095"/>
      <c r="AB2836" s="1044"/>
    </row>
    <row r="2837" ht="15.75" spans="1:28">
      <c r="A2837" s="1096"/>
      <c r="B2837" s="389"/>
      <c r="C2837" s="389"/>
      <c r="D2837" s="389"/>
      <c r="E2837" s="389"/>
      <c r="F2837" s="389"/>
      <c r="G2837" s="389"/>
      <c r="H2837" s="389"/>
      <c r="I2837" s="1097"/>
      <c r="J2837" s="1097"/>
      <c r="K2837" s="1097"/>
      <c r="L2837" s="1097"/>
      <c r="M2837" s="1097"/>
      <c r="N2837" s="1097"/>
      <c r="O2837" s="1097"/>
      <c r="P2837" s="1097"/>
      <c r="Q2837" s="389"/>
      <c r="R2837" s="389"/>
      <c r="S2837" s="389"/>
      <c r="T2837" s="389"/>
      <c r="U2837" s="389"/>
      <c r="V2837" s="389"/>
      <c r="W2837" s="389"/>
      <c r="X2837" s="389"/>
      <c r="Y2837" s="389"/>
      <c r="Z2837" s="389"/>
      <c r="AA2837" s="389"/>
      <c r="AB2837" s="1098"/>
    </row>
    <row r="2838" spans="1:28">
      <c r="A2838" s="1040" t="s">
        <v>580</v>
      </c>
      <c r="B2838" s="1041"/>
      <c r="C2838" s="1041"/>
      <c r="D2838" s="1041"/>
      <c r="E2838" s="1041"/>
      <c r="F2838" s="1041"/>
      <c r="G2838" s="1041"/>
      <c r="H2838" s="1041"/>
      <c r="I2838" s="1041"/>
      <c r="J2838" s="1041"/>
      <c r="K2838" s="1041"/>
      <c r="L2838" s="1041"/>
      <c r="M2838" s="1041"/>
      <c r="N2838" s="1041"/>
      <c r="O2838" s="1041"/>
      <c r="P2838" s="1041"/>
      <c r="Q2838" s="1041"/>
      <c r="R2838" s="1041"/>
      <c r="S2838" s="1041"/>
      <c r="T2838" s="1041"/>
      <c r="U2838" s="1041"/>
      <c r="V2838" s="1041"/>
      <c r="W2838" s="1041"/>
      <c r="X2838" s="1041"/>
      <c r="Y2838" s="1041"/>
      <c r="Z2838" s="1041"/>
      <c r="AA2838" s="1041"/>
      <c r="AB2838" s="1042"/>
    </row>
    <row r="2839" spans="1:28">
      <c r="A2839" s="1083"/>
      <c r="AB2839" s="1044"/>
    </row>
    <row r="2840" spans="1:28">
      <c r="A2840" s="1083"/>
      <c r="AB2840" s="1044"/>
    </row>
    <row r="2841" spans="1:28">
      <c r="A2841" s="1083"/>
      <c r="AB2841" s="1044"/>
    </row>
    <row r="2842" spans="1:28">
      <c r="A2842" s="1083"/>
      <c r="AB2842" s="1044"/>
    </row>
    <row r="2843" spans="1:28">
      <c r="A2843" s="1083"/>
      <c r="AB2843" s="1044"/>
    </row>
    <row r="2844" spans="1:28">
      <c r="A2844" s="1083"/>
      <c r="AB2844" s="1044"/>
    </row>
    <row r="2845" spans="1:28">
      <c r="A2845" s="1083"/>
      <c r="AB2845" s="1044"/>
    </row>
    <row r="2846" spans="1:28">
      <c r="A2846" s="1083"/>
      <c r="AB2846" s="1044"/>
    </row>
    <row r="2847" spans="1:28">
      <c r="A2847" s="1083"/>
      <c r="AB2847" s="1044"/>
    </row>
    <row r="2848" spans="1:28">
      <c r="A2848" s="1099" t="s">
        <v>133</v>
      </c>
      <c r="B2848" s="424"/>
      <c r="C2848" s="424"/>
      <c r="D2848" s="424"/>
      <c r="E2848" s="424"/>
      <c r="F2848" s="424"/>
      <c r="G2848" s="424"/>
      <c r="H2848" s="424"/>
      <c r="I2848" s="424"/>
      <c r="J2848" s="424"/>
      <c r="K2848" s="424"/>
      <c r="L2848" s="424"/>
      <c r="M2848" s="424"/>
      <c r="N2848" s="424"/>
      <c r="O2848" s="424"/>
      <c r="P2848" s="424"/>
      <c r="Q2848" s="424"/>
      <c r="R2848" s="424"/>
      <c r="S2848" s="424"/>
      <c r="T2848" s="424"/>
      <c r="U2848" s="424"/>
      <c r="V2848" s="424"/>
      <c r="W2848" s="424"/>
      <c r="X2848" s="424"/>
      <c r="Y2848" s="424"/>
      <c r="Z2848" s="424"/>
      <c r="AA2848" s="424"/>
      <c r="AB2848" s="1100"/>
    </row>
    <row r="2849" ht="14.4" customHeight="1" spans="1:28">
      <c r="A2849" s="1048" t="s">
        <v>205</v>
      </c>
      <c r="B2849" s="1049"/>
      <c r="C2849" s="1049"/>
      <c r="D2849" s="1050"/>
      <c r="E2849" s="1051" t="s">
        <v>206</v>
      </c>
      <c r="F2849" s="1049"/>
      <c r="G2849" s="1049"/>
      <c r="H2849" s="1050"/>
      <c r="I2849" s="1051" t="s">
        <v>235</v>
      </c>
      <c r="J2849" s="1049"/>
      <c r="K2849" s="1049"/>
      <c r="L2849" s="1050"/>
      <c r="M2849" s="1051" t="s">
        <v>577</v>
      </c>
      <c r="N2849" s="1049"/>
      <c r="O2849" s="1049"/>
      <c r="P2849" s="1050"/>
      <c r="Q2849" s="1051"/>
      <c r="R2849" s="1049"/>
      <c r="S2849" s="1049"/>
      <c r="T2849" s="1050"/>
      <c r="U2849" s="1052"/>
      <c r="V2849" s="1053"/>
      <c r="W2849" s="1053"/>
      <c r="X2849" s="1054"/>
      <c r="Y2849" s="1051" t="s">
        <v>333</v>
      </c>
      <c r="Z2849" s="1049"/>
      <c r="AA2849" s="1049"/>
      <c r="AB2849" s="1222"/>
    </row>
    <row r="2850" ht="14.4" customHeight="1" spans="1:28">
      <c r="A2850" s="1058" t="s">
        <v>209</v>
      </c>
      <c r="B2850" s="1059"/>
      <c r="C2850" s="1059"/>
      <c r="D2850" s="1060"/>
      <c r="E2850" s="1061" t="s">
        <v>315</v>
      </c>
      <c r="F2850" s="1059"/>
      <c r="G2850" s="1059"/>
      <c r="H2850" s="1060"/>
      <c r="I2850" s="1061" t="s">
        <v>210</v>
      </c>
      <c r="J2850" s="1059"/>
      <c r="K2850" s="1059"/>
      <c r="L2850" s="1060"/>
      <c r="M2850" s="1061"/>
      <c r="N2850" s="1059"/>
      <c r="O2850" s="1059"/>
      <c r="P2850" s="1060"/>
      <c r="Q2850" s="1061"/>
      <c r="R2850" s="1059"/>
      <c r="S2850" s="1059"/>
      <c r="T2850" s="1060"/>
      <c r="U2850" s="1062"/>
      <c r="V2850" s="1063"/>
      <c r="W2850" s="1063"/>
      <c r="X2850" s="1064"/>
      <c r="Y2850" s="1061"/>
      <c r="Z2850" s="1059"/>
      <c r="AA2850" s="1059"/>
      <c r="AB2850" s="1108"/>
    </row>
    <row r="2851" ht="15.75" spans="1:28">
      <c r="A2851" s="1133">
        <v>14.5</v>
      </c>
      <c r="B2851" s="1134"/>
      <c r="C2851" s="1134"/>
      <c r="D2851" s="1134"/>
      <c r="E2851" s="1134">
        <v>0.5</v>
      </c>
      <c r="F2851" s="1134"/>
      <c r="G2851" s="1134"/>
      <c r="H2851" s="1134"/>
      <c r="I2851" s="1134">
        <v>0.1</v>
      </c>
      <c r="J2851" s="1134"/>
      <c r="K2851" s="1134"/>
      <c r="L2851" s="1134"/>
      <c r="M2851" s="1134">
        <v>4</v>
      </c>
      <c r="N2851" s="1134"/>
      <c r="O2851" s="1134"/>
      <c r="P2851" s="1134"/>
      <c r="Q2851" s="1216"/>
      <c r="R2851" s="1217"/>
      <c r="S2851" s="1217"/>
      <c r="T2851" s="1218"/>
      <c r="U2851" s="1219"/>
      <c r="V2851" s="1220"/>
      <c r="W2851" s="1220"/>
      <c r="X2851" s="1221"/>
      <c r="Y2851" s="1135">
        <f>ROUNDUP((((E2851+A2851)*2)*I2851*M2851),2)</f>
        <v>12</v>
      </c>
      <c r="Z2851" s="1135"/>
      <c r="AA2851" s="1135"/>
      <c r="AB2851" s="1136"/>
    </row>
    <row r="2852" ht="15.75" spans="1:28">
      <c r="A2852" s="1079" t="s">
        <v>581</v>
      </c>
      <c r="B2852" s="1080"/>
      <c r="C2852" s="1080"/>
      <c r="D2852" s="1080"/>
      <c r="E2852" s="1080"/>
      <c r="F2852" s="1080"/>
      <c r="G2852" s="1080"/>
      <c r="H2852" s="1080"/>
      <c r="I2852" s="1080"/>
      <c r="J2852" s="1080"/>
      <c r="K2852" s="1080"/>
      <c r="L2852" s="1080"/>
      <c r="M2852" s="1080"/>
      <c r="N2852" s="1080"/>
      <c r="O2852" s="1080"/>
      <c r="P2852" s="1080"/>
      <c r="Q2852" s="1080"/>
      <c r="R2852" s="1080"/>
      <c r="S2852" s="1080"/>
      <c r="T2852" s="1080"/>
      <c r="U2852" s="1080"/>
      <c r="V2852" s="1080"/>
      <c r="W2852" s="1080"/>
      <c r="X2852" s="1080"/>
      <c r="Y2852" s="1080"/>
      <c r="Z2852" s="1080"/>
      <c r="AA2852" s="1080"/>
      <c r="AB2852" s="1081"/>
    </row>
    <row r="2853" ht="15.75" spans="1:28">
      <c r="A2853" s="1083"/>
      <c r="AB2853" s="1044"/>
    </row>
    <row r="2854" spans="1:28">
      <c r="A2854" s="1083"/>
      <c r="K2854" s="1084" t="s">
        <v>582</v>
      </c>
      <c r="L2854" s="1085"/>
      <c r="M2854" s="1085"/>
      <c r="N2854" s="1085"/>
      <c r="O2854" s="1085"/>
      <c r="P2854" s="1085"/>
      <c r="Q2854" s="1085"/>
      <c r="R2854" s="1086"/>
      <c r="AB2854" s="1044"/>
    </row>
    <row r="2855" spans="1:28">
      <c r="A2855" s="1083"/>
      <c r="K2855" s="1087" t="s">
        <v>583</v>
      </c>
      <c r="L2855" s="1088"/>
      <c r="M2855" s="1088"/>
      <c r="N2855" s="1088"/>
      <c r="O2855" s="1088"/>
      <c r="P2855" s="1088"/>
      <c r="Q2855" s="1088"/>
      <c r="R2855" s="1089"/>
      <c r="AB2855" s="1044"/>
    </row>
    <row r="2856" spans="1:28">
      <c r="A2856" s="1083"/>
      <c r="K2856" s="1090"/>
      <c r="L2856" s="1091"/>
      <c r="M2856" s="1091"/>
      <c r="N2856" s="1091"/>
      <c r="O2856" s="1091"/>
      <c r="P2856" s="1091"/>
      <c r="Q2856" s="1091"/>
      <c r="R2856" s="1092"/>
      <c r="AB2856" s="1044"/>
    </row>
    <row r="2857" ht="15.75" spans="1:28">
      <c r="A2857" s="1083"/>
      <c r="K2857" s="1093">
        <f>ROUNDUP(Y2851,2)</f>
        <v>12</v>
      </c>
      <c r="L2857" s="1094"/>
      <c r="M2857" s="1094"/>
      <c r="N2857" s="1094"/>
      <c r="O2857" s="1094"/>
      <c r="P2857" s="1094"/>
      <c r="Q2857" s="1094"/>
      <c r="R2857" s="1095"/>
      <c r="AB2857" s="1044"/>
    </row>
    <row r="2858" ht="15.75" spans="1:28">
      <c r="A2858" s="1096"/>
      <c r="B2858" s="389"/>
      <c r="C2858" s="389"/>
      <c r="D2858" s="389"/>
      <c r="E2858" s="389"/>
      <c r="F2858" s="389"/>
      <c r="G2858" s="389"/>
      <c r="H2858" s="389"/>
      <c r="I2858" s="1097"/>
      <c r="J2858" s="1097"/>
      <c r="K2858" s="1097"/>
      <c r="L2858" s="1097"/>
      <c r="M2858" s="1097"/>
      <c r="N2858" s="1097"/>
      <c r="O2858" s="1097"/>
      <c r="P2858" s="1097"/>
      <c r="Q2858" s="389"/>
      <c r="R2858" s="389"/>
      <c r="S2858" s="389"/>
      <c r="T2858" s="389"/>
      <c r="U2858" s="389"/>
      <c r="V2858" s="389"/>
      <c r="W2858" s="389"/>
      <c r="X2858" s="389"/>
      <c r="Y2858" s="389"/>
      <c r="Z2858" s="389"/>
      <c r="AA2858" s="389"/>
      <c r="AB2858" s="1098"/>
    </row>
    <row r="2859" spans="1:28">
      <c r="A2859" s="1040" t="s">
        <v>584</v>
      </c>
      <c r="B2859" s="1041"/>
      <c r="C2859" s="1041"/>
      <c r="D2859" s="1041"/>
      <c r="E2859" s="1041"/>
      <c r="F2859" s="1041"/>
      <c r="G2859" s="1041"/>
      <c r="H2859" s="1041"/>
      <c r="I2859" s="1041"/>
      <c r="J2859" s="1041"/>
      <c r="K2859" s="1041"/>
      <c r="L2859" s="1041"/>
      <c r="M2859" s="1041"/>
      <c r="N2859" s="1041"/>
      <c r="O2859" s="1041"/>
      <c r="P2859" s="1041"/>
      <c r="Q2859" s="1041"/>
      <c r="R2859" s="1041"/>
      <c r="S2859" s="1041"/>
      <c r="T2859" s="1041"/>
      <c r="U2859" s="1041"/>
      <c r="V2859" s="1041"/>
      <c r="W2859" s="1041"/>
      <c r="X2859" s="1041"/>
      <c r="Y2859" s="1041"/>
      <c r="Z2859" s="1041"/>
      <c r="AA2859" s="1041"/>
      <c r="AB2859" s="1042"/>
    </row>
    <row r="2860" spans="1:28">
      <c r="A2860" s="1043"/>
      <c r="AB2860" s="1044"/>
    </row>
    <row r="2861" spans="1:28">
      <c r="A2861" s="1043"/>
      <c r="AB2861" s="1044"/>
    </row>
    <row r="2862" spans="1:28">
      <c r="A2862" s="1043"/>
      <c r="AB2862" s="1044"/>
    </row>
    <row r="2863" spans="1:28">
      <c r="A2863" s="1043"/>
      <c r="AB2863" s="1044"/>
    </row>
    <row r="2864" spans="1:28">
      <c r="A2864" s="1043"/>
      <c r="AB2864" s="1044"/>
    </row>
    <row r="2865" spans="1:28">
      <c r="A2865" s="1043"/>
      <c r="AB2865" s="1044"/>
    </row>
    <row r="2866" spans="1:28">
      <c r="A2866" s="1043"/>
      <c r="AB2866" s="1044"/>
    </row>
    <row r="2867" spans="1:28">
      <c r="A2867" s="1043"/>
      <c r="AB2867" s="1044"/>
    </row>
    <row r="2868" spans="1:28">
      <c r="A2868" s="1043"/>
      <c r="AB2868" s="1044"/>
    </row>
    <row r="2869" spans="1:28">
      <c r="A2869" s="1043"/>
      <c r="AB2869" s="1044"/>
    </row>
    <row r="2870" spans="1:28">
      <c r="A2870" s="1043"/>
      <c r="AB2870" s="1044"/>
    </row>
    <row r="2871" spans="1:28">
      <c r="A2871" s="1043"/>
      <c r="AB2871" s="1044"/>
    </row>
    <row r="2872" spans="1:28">
      <c r="A2872" s="1043"/>
      <c r="AB2872" s="1044"/>
    </row>
    <row r="2873" spans="1:28">
      <c r="A2873" s="1043"/>
      <c r="AB2873" s="1044"/>
    </row>
    <row r="2874" spans="1:28">
      <c r="A2874" s="1043"/>
      <c r="AB2874" s="1044"/>
    </row>
    <row r="2875" spans="1:28">
      <c r="A2875" s="1043"/>
      <c r="AB2875" s="1044"/>
    </row>
    <row r="2876" spans="1:28">
      <c r="A2876" s="1043"/>
      <c r="AB2876" s="1044"/>
    </row>
    <row r="2877" spans="1:28">
      <c r="A2877" s="1043"/>
      <c r="AB2877" s="1044"/>
    </row>
    <row r="2878" spans="1:28">
      <c r="A2878" s="1043"/>
      <c r="AB2878" s="1044"/>
    </row>
    <row r="2879" spans="1:28">
      <c r="A2879" s="1043"/>
      <c r="AB2879" s="1044"/>
    </row>
    <row r="2880" spans="1:28">
      <c r="A2880" s="1043"/>
      <c r="AB2880" s="1044"/>
    </row>
    <row r="2881" spans="1:28">
      <c r="A2881" s="1043"/>
      <c r="AB2881" s="1044"/>
    </row>
    <row r="2882" spans="1:28">
      <c r="A2882" s="1043"/>
      <c r="AB2882" s="1044"/>
    </row>
    <row r="2883" spans="1:28">
      <c r="A2883" s="1043"/>
      <c r="AB2883" s="1044"/>
    </row>
    <row r="2884" spans="1:28">
      <c r="A2884" s="1043"/>
      <c r="AB2884" s="1044"/>
    </row>
    <row r="2885" spans="1:28">
      <c r="A2885" s="1043"/>
      <c r="AB2885" s="1044"/>
    </row>
    <row r="2886" spans="1:28">
      <c r="A2886" s="1043"/>
      <c r="AB2886" s="1044"/>
    </row>
    <row r="2887" spans="1:28">
      <c r="A2887" s="1043"/>
      <c r="AB2887" s="1044"/>
    </row>
    <row r="2888" spans="1:28">
      <c r="A2888" s="1043"/>
      <c r="AB2888" s="1044"/>
    </row>
    <row r="2889" spans="1:28">
      <c r="A2889" s="1043"/>
      <c r="AB2889" s="1044"/>
    </row>
    <row r="2890" spans="1:28">
      <c r="A2890" s="1043"/>
      <c r="AB2890" s="1044"/>
    </row>
    <row r="2891" spans="1:28">
      <c r="A2891" s="1043"/>
      <c r="AB2891" s="1044"/>
    </row>
    <row r="2892" spans="1:28">
      <c r="A2892" s="1043"/>
      <c r="AB2892" s="1044"/>
    </row>
    <row r="2893" spans="1:28">
      <c r="A2893" s="1043"/>
      <c r="AB2893" s="1044"/>
    </row>
    <row r="2894" spans="1:28">
      <c r="A2894" s="1043"/>
      <c r="AB2894" s="1044"/>
    </row>
    <row r="2895" spans="1:28">
      <c r="A2895" s="1043"/>
      <c r="AB2895" s="1044"/>
    </row>
    <row r="2896" spans="1:28">
      <c r="A2896" s="1043"/>
      <c r="AB2896" s="1044"/>
    </row>
    <row r="2897" spans="1:28">
      <c r="A2897" s="1043"/>
      <c r="AB2897" s="1044"/>
    </row>
    <row r="2898" spans="1:28">
      <c r="A2898" s="1043"/>
      <c r="AB2898" s="1044"/>
    </row>
    <row r="2899" spans="1:28">
      <c r="A2899" s="1043"/>
      <c r="AB2899" s="1044"/>
    </row>
    <row r="2900" spans="1:28">
      <c r="A2900" s="1043"/>
      <c r="AB2900" s="1044"/>
    </row>
    <row r="2901" spans="1:28">
      <c r="A2901" s="1043"/>
      <c r="AB2901" s="1044"/>
    </row>
    <row r="2902" spans="1:28">
      <c r="A2902" s="1043"/>
      <c r="AB2902" s="1044"/>
    </row>
    <row r="2903" spans="1:28">
      <c r="A2903" s="1043"/>
      <c r="AB2903" s="1044"/>
    </row>
    <row r="2904" spans="1:28">
      <c r="A2904" s="1043"/>
      <c r="AB2904" s="1044"/>
    </row>
    <row r="2905" spans="1:28">
      <c r="A2905" s="1043"/>
      <c r="AB2905" s="1044"/>
    </row>
    <row r="2906" spans="1:28">
      <c r="A2906" s="1043"/>
      <c r="AB2906" s="1044"/>
    </row>
    <row r="2907" spans="1:28">
      <c r="A2907" s="1043"/>
      <c r="AB2907" s="1044"/>
    </row>
    <row r="2908" spans="1:28">
      <c r="A2908" s="1043"/>
      <c r="AB2908" s="1044"/>
    </row>
    <row r="2909" spans="1:28">
      <c r="A2909" s="1043"/>
      <c r="AB2909" s="1044"/>
    </row>
    <row r="2910" spans="1:28">
      <c r="A2910" s="1043"/>
      <c r="AB2910" s="1044"/>
    </row>
    <row r="2911" spans="1:28">
      <c r="A2911" s="1043"/>
      <c r="AB2911" s="1044"/>
    </row>
    <row r="2912" spans="1:28">
      <c r="A2912" s="1043"/>
      <c r="AB2912" s="1044"/>
    </row>
    <row r="2913" spans="1:28">
      <c r="A2913" s="1043"/>
      <c r="AB2913" s="1044"/>
    </row>
    <row r="2914" spans="1:28">
      <c r="A2914" s="1043"/>
      <c r="AB2914" s="1044"/>
    </row>
    <row r="2915" spans="1:28">
      <c r="A2915" s="1043"/>
      <c r="AB2915" s="1044"/>
    </row>
    <row r="2916" spans="1:28">
      <c r="A2916" s="1043"/>
      <c r="AB2916" s="1044"/>
    </row>
    <row r="2917" spans="1:28">
      <c r="A2917" s="1043"/>
      <c r="AB2917" s="1044"/>
    </row>
    <row r="2918" spans="1:28">
      <c r="A2918" s="1043"/>
      <c r="AB2918" s="1044"/>
    </row>
    <row r="2919" spans="1:28">
      <c r="A2919" s="1043"/>
      <c r="AB2919" s="1044"/>
    </row>
    <row r="2920" spans="1:28">
      <c r="A2920" s="1043"/>
      <c r="AB2920" s="1044"/>
    </row>
    <row r="2921" spans="1:28">
      <c r="A2921" s="1043"/>
      <c r="AB2921" s="1044"/>
    </row>
    <row r="2922" spans="1:28">
      <c r="A2922" s="1043"/>
      <c r="AB2922" s="1044"/>
    </row>
    <row r="2923" spans="1:28">
      <c r="A2923" s="1043"/>
      <c r="AB2923" s="1044"/>
    </row>
    <row r="2924" spans="1:28">
      <c r="A2924" s="1043"/>
      <c r="AB2924" s="1044"/>
    </row>
    <row r="2925" spans="1:28">
      <c r="A2925" s="1043"/>
      <c r="AB2925" s="1044"/>
    </row>
    <row r="2926" spans="1:28">
      <c r="A2926" s="1043"/>
      <c r="AB2926" s="1044"/>
    </row>
    <row r="2927" spans="1:28">
      <c r="A2927" s="1043"/>
      <c r="AB2927" s="1044"/>
    </row>
    <row r="2928" spans="1:28">
      <c r="A2928" s="1043"/>
      <c r="AB2928" s="1044"/>
    </row>
    <row r="2929" spans="1:28">
      <c r="A2929" s="1043"/>
      <c r="AB2929" s="1044"/>
    </row>
    <row r="2930" spans="1:28">
      <c r="A2930" s="1099" t="s">
        <v>585</v>
      </c>
      <c r="B2930" s="424"/>
      <c r="C2930" s="424"/>
      <c r="D2930" s="424"/>
      <c r="E2930" s="424"/>
      <c r="F2930" s="424"/>
      <c r="G2930" s="424"/>
      <c r="H2930" s="424"/>
      <c r="I2930" s="424"/>
      <c r="J2930" s="424"/>
      <c r="K2930" s="424"/>
      <c r="L2930" s="424"/>
      <c r="M2930" s="424"/>
      <c r="N2930" s="424"/>
      <c r="O2930" s="424"/>
      <c r="P2930" s="424"/>
      <c r="Q2930" s="1247"/>
      <c r="R2930" s="1247"/>
      <c r="S2930" s="1247"/>
      <c r="T2930" s="1247"/>
      <c r="U2930" s="1247"/>
      <c r="V2930" s="1247"/>
      <c r="W2930" s="1247"/>
      <c r="X2930" s="1247"/>
      <c r="Y2930" s="424"/>
      <c r="Z2930" s="424"/>
      <c r="AA2930" s="424"/>
      <c r="AB2930" s="1100"/>
    </row>
    <row r="2931" ht="14.4" customHeight="1" spans="1:28">
      <c r="A2931" s="1248" t="s">
        <v>586</v>
      </c>
      <c r="B2931" s="1210"/>
      <c r="C2931" s="1210"/>
      <c r="D2931" s="1210"/>
      <c r="E2931" s="1210" t="s">
        <v>586</v>
      </c>
      <c r="F2931" s="1210"/>
      <c r="G2931" s="1210"/>
      <c r="H2931" s="1210"/>
      <c r="I2931" s="1210" t="s">
        <v>56</v>
      </c>
      <c r="J2931" s="1210"/>
      <c r="K2931" s="1210"/>
      <c r="L2931" s="1210"/>
      <c r="M2931" s="1210" t="s">
        <v>587</v>
      </c>
      <c r="N2931" s="1210"/>
      <c r="O2931" s="1210"/>
      <c r="P2931" s="1249"/>
      <c r="Q2931" s="1051" t="s">
        <v>205</v>
      </c>
      <c r="R2931" s="1049"/>
      <c r="S2931" s="1049"/>
      <c r="T2931" s="1050"/>
      <c r="U2931" s="1049" t="s">
        <v>206</v>
      </c>
      <c r="V2931" s="1049"/>
      <c r="W2931" s="1049"/>
      <c r="X2931" s="1050"/>
      <c r="Y2931" s="1250" t="s">
        <v>588</v>
      </c>
      <c r="Z2931" s="1210"/>
      <c r="AA2931" s="1210"/>
      <c r="AB2931" s="1211"/>
    </row>
    <row r="2932" ht="14.4" customHeight="1" spans="1:28">
      <c r="A2932" s="1248"/>
      <c r="B2932" s="1210"/>
      <c r="C2932" s="1210"/>
      <c r="D2932" s="1210"/>
      <c r="E2932" s="1210"/>
      <c r="F2932" s="1210"/>
      <c r="G2932" s="1210"/>
      <c r="H2932" s="1210"/>
      <c r="I2932" s="1210"/>
      <c r="J2932" s="1210"/>
      <c r="K2932" s="1210"/>
      <c r="L2932" s="1210"/>
      <c r="M2932" s="1210"/>
      <c r="N2932" s="1210"/>
      <c r="O2932" s="1210"/>
      <c r="P2932" s="1249"/>
      <c r="Q2932" s="1061" t="s">
        <v>209</v>
      </c>
      <c r="R2932" s="1059"/>
      <c r="S2932" s="1059"/>
      <c r="T2932" s="1060"/>
      <c r="U2932" s="1059" t="s">
        <v>315</v>
      </c>
      <c r="V2932" s="1059"/>
      <c r="W2932" s="1059"/>
      <c r="X2932" s="1060"/>
      <c r="Y2932" s="1250"/>
      <c r="Z2932" s="1210"/>
      <c r="AA2932" s="1210"/>
      <c r="AB2932" s="1211"/>
    </row>
    <row r="2933" ht="64.2" customHeight="1" spans="1:28">
      <c r="A2933" s="1122"/>
      <c r="B2933" s="1073"/>
      <c r="C2933" s="1073"/>
      <c r="D2933" s="1073"/>
      <c r="E2933" s="1073" t="s">
        <v>589</v>
      </c>
      <c r="F2933" s="1073"/>
      <c r="G2933" s="1073"/>
      <c r="H2933" s="1073"/>
      <c r="I2933" s="1073" t="s">
        <v>590</v>
      </c>
      <c r="J2933" s="1073"/>
      <c r="K2933" s="1073"/>
      <c r="L2933" s="1073"/>
      <c r="M2933" s="1073">
        <v>2</v>
      </c>
      <c r="N2933" s="1073"/>
      <c r="O2933" s="1073"/>
      <c r="P2933" s="1073"/>
      <c r="Q2933" s="1251">
        <v>0.8</v>
      </c>
      <c r="R2933" s="1251"/>
      <c r="S2933" s="1251"/>
      <c r="T2933" s="1251"/>
      <c r="U2933" s="1251">
        <v>0.8</v>
      </c>
      <c r="V2933" s="1251"/>
      <c r="W2933" s="1251"/>
      <c r="X2933" s="1251"/>
      <c r="Y2933" s="1123">
        <f>ROUNDUP((U2933*Q2933*M2933),2)</f>
        <v>1.28</v>
      </c>
      <c r="Z2933" s="1123"/>
      <c r="AA2933" s="1123"/>
      <c r="AB2933" s="1124"/>
    </row>
    <row r="2934" ht="32.4" customHeight="1" spans="1:28">
      <c r="A2934" s="1122"/>
      <c r="B2934" s="1073"/>
      <c r="C2934" s="1073"/>
      <c r="D2934" s="1073"/>
      <c r="E2934" s="1073"/>
      <c r="F2934" s="1073"/>
      <c r="G2934" s="1073"/>
      <c r="H2934" s="1073"/>
      <c r="I2934" s="1073" t="s">
        <v>591</v>
      </c>
      <c r="J2934" s="1073"/>
      <c r="K2934" s="1073"/>
      <c r="L2934" s="1073"/>
      <c r="M2934" s="1073">
        <v>2</v>
      </c>
      <c r="N2934" s="1073"/>
      <c r="O2934" s="1073"/>
      <c r="P2934" s="1073"/>
      <c r="Q2934" s="1073">
        <v>1.1</v>
      </c>
      <c r="R2934" s="1073"/>
      <c r="S2934" s="1073"/>
      <c r="T2934" s="1073"/>
      <c r="U2934" s="1073">
        <v>0.4</v>
      </c>
      <c r="V2934" s="1073"/>
      <c r="W2934" s="1073"/>
      <c r="X2934" s="1073"/>
      <c r="Y2934" s="1123">
        <f>ROUNDUP((U2934*Q2934*M2934),2)</f>
        <v>0.88</v>
      </c>
      <c r="Z2934" s="1123"/>
      <c r="AA2934" s="1123"/>
      <c r="AB2934" s="1124"/>
    </row>
    <row r="2935" ht="70.2" customHeight="1" spans="1:28">
      <c r="A2935" s="1122"/>
      <c r="B2935" s="1073"/>
      <c r="C2935" s="1073"/>
      <c r="D2935" s="1073"/>
      <c r="E2935" s="1073" t="s">
        <v>592</v>
      </c>
      <c r="F2935" s="1073"/>
      <c r="G2935" s="1073"/>
      <c r="H2935" s="1073"/>
      <c r="I2935" s="1073" t="s">
        <v>593</v>
      </c>
      <c r="J2935" s="1073"/>
      <c r="K2935" s="1073"/>
      <c r="L2935" s="1073"/>
      <c r="M2935" s="1073">
        <v>2</v>
      </c>
      <c r="N2935" s="1073"/>
      <c r="O2935" s="1073"/>
      <c r="P2935" s="1073"/>
      <c r="Q2935" s="1073">
        <v>0.8</v>
      </c>
      <c r="R2935" s="1073"/>
      <c r="S2935" s="1073"/>
      <c r="T2935" s="1073"/>
      <c r="U2935" s="1073">
        <v>0.8</v>
      </c>
      <c r="V2935" s="1073"/>
      <c r="W2935" s="1073"/>
      <c r="X2935" s="1073"/>
      <c r="Y2935" s="1123">
        <f>ROUNDUP(((PI()*(Q2935^2))/4)*M2935,2)</f>
        <v>1.01</v>
      </c>
      <c r="Z2935" s="1123"/>
      <c r="AA2935" s="1123"/>
      <c r="AB2935" s="1124"/>
    </row>
    <row r="2936" ht="38.4" customHeight="1" spans="1:28">
      <c r="A2936" s="1122"/>
      <c r="B2936" s="1073"/>
      <c r="C2936" s="1073"/>
      <c r="D2936" s="1073"/>
      <c r="E2936" s="1073" t="s">
        <v>594</v>
      </c>
      <c r="F2936" s="1073"/>
      <c r="G2936" s="1073"/>
      <c r="H2936" s="1073"/>
      <c r="I2936" s="1073" t="s">
        <v>595</v>
      </c>
      <c r="J2936" s="1073"/>
      <c r="K2936" s="1073"/>
      <c r="L2936" s="1073"/>
      <c r="M2936" s="1073">
        <v>2</v>
      </c>
      <c r="N2936" s="1073"/>
      <c r="O2936" s="1073"/>
      <c r="P2936" s="1073"/>
      <c r="Q2936" s="1073">
        <v>1</v>
      </c>
      <c r="R2936" s="1073"/>
      <c r="S2936" s="1073"/>
      <c r="T2936" s="1073"/>
      <c r="U2936" s="1073">
        <v>2</v>
      </c>
      <c r="V2936" s="1073"/>
      <c r="W2936" s="1073"/>
      <c r="X2936" s="1073"/>
      <c r="Y2936" s="1123">
        <f t="shared" ref="Y2936:Y2937" si="26">ROUNDUP((U2936*Q2936*M2936),2)</f>
        <v>4</v>
      </c>
      <c r="Z2936" s="1123"/>
      <c r="AA2936" s="1123"/>
      <c r="AB2936" s="1124"/>
    </row>
    <row r="2937" ht="63.6" customHeight="1" spans="1:28">
      <c r="A2937" s="1109"/>
      <c r="B2937" s="1110"/>
      <c r="C2937" s="1110"/>
      <c r="D2937" s="1110"/>
      <c r="E2937" s="1110" t="s">
        <v>596</v>
      </c>
      <c r="F2937" s="1110"/>
      <c r="G2937" s="1110"/>
      <c r="H2937" s="1110"/>
      <c r="I2937" s="1110" t="s">
        <v>597</v>
      </c>
      <c r="J2937" s="1110"/>
      <c r="K2937" s="1110"/>
      <c r="L2937" s="1110"/>
      <c r="M2937" s="1110">
        <v>10</v>
      </c>
      <c r="N2937" s="1110"/>
      <c r="O2937" s="1110"/>
      <c r="P2937" s="1110"/>
      <c r="Q2937" s="1110">
        <v>0.5</v>
      </c>
      <c r="R2937" s="1110"/>
      <c r="S2937" s="1110"/>
      <c r="T2937" s="1110"/>
      <c r="U2937" s="1110">
        <v>0.6</v>
      </c>
      <c r="V2937" s="1110"/>
      <c r="W2937" s="1110"/>
      <c r="X2937" s="1110"/>
      <c r="Y2937" s="1077">
        <f t="shared" si="26"/>
        <v>3</v>
      </c>
      <c r="Z2937" s="1077"/>
      <c r="AA2937" s="1077"/>
      <c r="AB2937" s="1078"/>
    </row>
    <row r="2938" ht="15.75" spans="1:28">
      <c r="A2938" s="1079" t="s">
        <v>598</v>
      </c>
      <c r="B2938" s="1080"/>
      <c r="C2938" s="1080"/>
      <c r="D2938" s="1080"/>
      <c r="E2938" s="1080"/>
      <c r="F2938" s="1080"/>
      <c r="G2938" s="1080"/>
      <c r="H2938" s="1080"/>
      <c r="I2938" s="1080"/>
      <c r="J2938" s="1080"/>
      <c r="K2938" s="1080"/>
      <c r="L2938" s="1080"/>
      <c r="M2938" s="1080"/>
      <c r="N2938" s="1080"/>
      <c r="O2938" s="1080"/>
      <c r="P2938" s="1080"/>
      <c r="Q2938" s="1080"/>
      <c r="R2938" s="1080"/>
      <c r="S2938" s="1080"/>
      <c r="T2938" s="1080"/>
      <c r="U2938" s="1080"/>
      <c r="V2938" s="1080"/>
      <c r="W2938" s="1080"/>
      <c r="X2938" s="1080"/>
      <c r="Y2938" s="1080"/>
      <c r="Z2938" s="1080"/>
      <c r="AA2938" s="1080"/>
      <c r="AB2938" s="1081"/>
    </row>
    <row r="2939" ht="15.75" spans="1:28">
      <c r="A2939" s="1083"/>
      <c r="AB2939" s="1044"/>
    </row>
    <row r="2940" spans="1:28">
      <c r="A2940" s="1083"/>
      <c r="K2940" s="1084" t="s">
        <v>599</v>
      </c>
      <c r="L2940" s="1085"/>
      <c r="M2940" s="1085"/>
      <c r="N2940" s="1085"/>
      <c r="O2940" s="1085"/>
      <c r="P2940" s="1085"/>
      <c r="Q2940" s="1085"/>
      <c r="R2940" s="1086"/>
      <c r="AB2940" s="1044"/>
    </row>
    <row r="2941" spans="1:28">
      <c r="A2941" s="1083"/>
      <c r="K2941" s="1087" t="s">
        <v>600</v>
      </c>
      <c r="L2941" s="1088"/>
      <c r="M2941" s="1088"/>
      <c r="N2941" s="1088"/>
      <c r="O2941" s="1088"/>
      <c r="P2941" s="1088"/>
      <c r="Q2941" s="1088"/>
      <c r="R2941" s="1089"/>
      <c r="AB2941" s="1044"/>
    </row>
    <row r="2942" spans="1:28">
      <c r="A2942" s="1083"/>
      <c r="K2942" s="1090"/>
      <c r="L2942" s="1091"/>
      <c r="M2942" s="1091"/>
      <c r="N2942" s="1091"/>
      <c r="O2942" s="1091"/>
      <c r="P2942" s="1091"/>
      <c r="Q2942" s="1091"/>
      <c r="R2942" s="1092"/>
      <c r="AB2942" s="1044"/>
    </row>
    <row r="2943" ht="15.75" spans="1:28">
      <c r="A2943" s="1083"/>
      <c r="K2943" s="1093">
        <f>ROUNDUP(Y2933+Y2934+Y2935+Y2936+Y2937,2)</f>
        <v>10.17</v>
      </c>
      <c r="L2943" s="1094"/>
      <c r="M2943" s="1094"/>
      <c r="N2943" s="1094"/>
      <c r="O2943" s="1094"/>
      <c r="P2943" s="1094"/>
      <c r="Q2943" s="1094"/>
      <c r="R2943" s="1095"/>
      <c r="AB2943" s="1044"/>
    </row>
    <row r="2944" ht="15.75" spans="1:28">
      <c r="A2944" s="1096"/>
      <c r="B2944" s="389"/>
      <c r="C2944" s="389"/>
      <c r="D2944" s="389"/>
      <c r="E2944" s="389"/>
      <c r="F2944" s="389"/>
      <c r="G2944" s="389"/>
      <c r="H2944" s="389"/>
      <c r="I2944" s="1097"/>
      <c r="J2944" s="1097"/>
      <c r="K2944" s="1097"/>
      <c r="L2944" s="1097"/>
      <c r="M2944" s="1097"/>
      <c r="N2944" s="1097"/>
      <c r="O2944" s="1097"/>
      <c r="P2944" s="1097"/>
      <c r="Q2944" s="389"/>
      <c r="R2944" s="389"/>
      <c r="S2944" s="389"/>
      <c r="T2944" s="389"/>
      <c r="U2944" s="389"/>
      <c r="V2944" s="389"/>
      <c r="W2944" s="389"/>
      <c r="X2944" s="389"/>
      <c r="Y2944" s="389"/>
      <c r="Z2944" s="389"/>
      <c r="AA2944" s="389"/>
      <c r="AB2944" s="1098"/>
    </row>
    <row r="2945" spans="1:28">
      <c r="A2945" s="1040" t="s">
        <v>601</v>
      </c>
      <c r="B2945" s="1041"/>
      <c r="C2945" s="1041"/>
      <c r="D2945" s="1041"/>
      <c r="E2945" s="1041"/>
      <c r="F2945" s="1041"/>
      <c r="G2945" s="1041"/>
      <c r="H2945" s="1041"/>
      <c r="I2945" s="1041"/>
      <c r="J2945" s="1041"/>
      <c r="K2945" s="1041"/>
      <c r="L2945" s="1041"/>
      <c r="M2945" s="1041"/>
      <c r="N2945" s="1041"/>
      <c r="O2945" s="1041"/>
      <c r="P2945" s="1041"/>
      <c r="Q2945" s="1041"/>
      <c r="R2945" s="1041"/>
      <c r="S2945" s="1041"/>
      <c r="T2945" s="1041"/>
      <c r="U2945" s="1041"/>
      <c r="V2945" s="1041"/>
      <c r="W2945" s="1041"/>
      <c r="X2945" s="1041"/>
      <c r="Y2945" s="1041"/>
      <c r="Z2945" s="1041"/>
      <c r="AA2945" s="1041"/>
      <c r="AB2945" s="1042"/>
    </row>
    <row r="2946" spans="1:28">
      <c r="A2946" s="1043"/>
      <c r="AB2946" s="1044"/>
    </row>
    <row r="2947" spans="1:28">
      <c r="A2947" s="1043"/>
      <c r="AB2947" s="1044"/>
    </row>
    <row r="2948" spans="1:28">
      <c r="A2948" s="1043"/>
      <c r="AB2948" s="1044"/>
    </row>
    <row r="2949" spans="1:28">
      <c r="A2949" s="1043"/>
      <c r="AB2949" s="1044"/>
    </row>
    <row r="2950" spans="1:28">
      <c r="A2950" s="1043"/>
      <c r="AB2950" s="1044"/>
    </row>
    <row r="2951" spans="1:28">
      <c r="A2951" s="1043"/>
      <c r="AB2951" s="1044"/>
    </row>
    <row r="2952" spans="1:28">
      <c r="A2952" s="1043"/>
      <c r="AB2952" s="1044"/>
    </row>
    <row r="2953" spans="1:28">
      <c r="A2953" s="1043"/>
      <c r="AB2953" s="1044"/>
    </row>
    <row r="2954" spans="1:28">
      <c r="A2954" s="1043"/>
      <c r="AB2954" s="1044"/>
    </row>
    <row r="2955" spans="1:28">
      <c r="A2955" s="1043"/>
      <c r="AB2955" s="1044"/>
    </row>
    <row r="2956" spans="1:28">
      <c r="A2956" s="1043"/>
      <c r="AB2956" s="1044"/>
    </row>
    <row r="2957" spans="1:28">
      <c r="A2957" s="1043"/>
      <c r="AB2957" s="1044"/>
    </row>
    <row r="2958" spans="1:28">
      <c r="A2958" s="1043"/>
      <c r="AB2958" s="1044"/>
    </row>
    <row r="2959" spans="1:28">
      <c r="A2959" s="1043"/>
      <c r="AB2959" s="1044"/>
    </row>
    <row r="2960" spans="1:28">
      <c r="A2960" s="1043"/>
      <c r="AB2960" s="1044"/>
    </row>
    <row r="2961" spans="1:28">
      <c r="A2961" s="1043"/>
      <c r="AB2961" s="1044"/>
    </row>
    <row r="2962" spans="1:28">
      <c r="A2962" s="1043"/>
      <c r="AB2962" s="1044"/>
    </row>
    <row r="2963" spans="1:28">
      <c r="A2963" s="1043"/>
      <c r="AB2963" s="1044"/>
    </row>
    <row r="2964" spans="1:28">
      <c r="A2964" s="1043"/>
      <c r="AB2964" s="1044"/>
    </row>
    <row r="2965" spans="1:28">
      <c r="A2965" s="1043"/>
      <c r="AB2965" s="1044"/>
    </row>
    <row r="2966" spans="1:28">
      <c r="A2966" s="1043"/>
      <c r="AB2966" s="1044"/>
    </row>
    <row r="2967" spans="1:28">
      <c r="A2967" s="1043"/>
      <c r="AB2967" s="1044"/>
    </row>
    <row r="2968" spans="1:28">
      <c r="A2968" s="1043"/>
      <c r="AB2968" s="1044"/>
    </row>
    <row r="2969" spans="1:28">
      <c r="A2969" s="1043"/>
      <c r="AB2969" s="1044"/>
    </row>
    <row r="2970" spans="1:28">
      <c r="A2970" s="1043"/>
      <c r="AB2970" s="1044"/>
    </row>
    <row r="2971" spans="1:28">
      <c r="A2971" s="1043"/>
      <c r="AB2971" s="1044"/>
    </row>
    <row r="2972" spans="1:28">
      <c r="A2972" s="1043"/>
      <c r="AB2972" s="1044"/>
    </row>
    <row r="2973" spans="1:28">
      <c r="A2973" s="1043"/>
      <c r="AB2973" s="1044"/>
    </row>
    <row r="2974" spans="1:28">
      <c r="A2974" s="1043"/>
      <c r="AB2974" s="1044"/>
    </row>
    <row r="2975" spans="1:28">
      <c r="A2975" s="1043"/>
      <c r="AB2975" s="1044"/>
    </row>
    <row r="2976" spans="1:28">
      <c r="A2976" s="1043"/>
      <c r="AB2976" s="1044"/>
    </row>
    <row r="2977" spans="1:28">
      <c r="A2977" s="1043"/>
      <c r="AB2977" s="1044"/>
    </row>
    <row r="2978" spans="1:28">
      <c r="A2978" s="1043"/>
      <c r="AB2978" s="1044"/>
    </row>
    <row r="2979" spans="1:28">
      <c r="A2979" s="1043"/>
      <c r="AB2979" s="1044"/>
    </row>
    <row r="2980" spans="1:28">
      <c r="A2980" s="1043"/>
      <c r="AB2980" s="1044"/>
    </row>
    <row r="2981" spans="1:28">
      <c r="A2981" s="1043"/>
      <c r="AB2981" s="1044"/>
    </row>
    <row r="2982" spans="1:28">
      <c r="A2982" s="1043"/>
      <c r="AB2982" s="1044"/>
    </row>
    <row r="2983" spans="1:28">
      <c r="A2983" s="1043"/>
      <c r="AB2983" s="1044"/>
    </row>
    <row r="2984" spans="1:28">
      <c r="A2984" s="1043"/>
      <c r="AB2984" s="1044"/>
    </row>
    <row r="2985" spans="1:28">
      <c r="A2985" s="1043"/>
      <c r="AB2985" s="1044"/>
    </row>
    <row r="2986" spans="1:28">
      <c r="A2986" s="1043"/>
      <c r="AB2986" s="1044"/>
    </row>
    <row r="2987" spans="1:28">
      <c r="A2987" s="1043"/>
      <c r="AB2987" s="1044"/>
    </row>
    <row r="2988" spans="1:28">
      <c r="A2988" s="1043"/>
      <c r="AB2988" s="1044"/>
    </row>
    <row r="2989" spans="1:28">
      <c r="A2989" s="1043"/>
      <c r="AB2989" s="1044"/>
    </row>
    <row r="2990" spans="1:28">
      <c r="A2990" s="1043"/>
      <c r="AB2990" s="1044"/>
    </row>
    <row r="2991" spans="1:28">
      <c r="A2991" s="1043"/>
      <c r="AB2991" s="1044"/>
    </row>
    <row r="2992" spans="1:28">
      <c r="A2992" s="1043"/>
      <c r="AB2992" s="1044"/>
    </row>
    <row r="2993" spans="1:28">
      <c r="A2993" s="1043"/>
      <c r="AB2993" s="1044"/>
    </row>
    <row r="2994" spans="1:28">
      <c r="A2994" s="1043"/>
      <c r="AB2994" s="1044"/>
    </row>
    <row r="2995" spans="1:28">
      <c r="A2995" s="1043"/>
      <c r="AB2995" s="1044"/>
    </row>
    <row r="2996" spans="1:28">
      <c r="A2996" s="1043"/>
      <c r="AB2996" s="1044"/>
    </row>
    <row r="2997" spans="1:28">
      <c r="A2997" s="1043"/>
      <c r="AB2997" s="1044"/>
    </row>
    <row r="2998" spans="1:28">
      <c r="A2998" s="1043"/>
      <c r="AB2998" s="1044"/>
    </row>
    <row r="2999" spans="1:28">
      <c r="A2999" s="1043"/>
      <c r="AB2999" s="1044"/>
    </row>
    <row r="3000" spans="1:28">
      <c r="A3000" s="1043"/>
      <c r="AB3000" s="1044"/>
    </row>
    <row r="3001" spans="1:28">
      <c r="A3001" s="1043"/>
      <c r="AB3001" s="1044"/>
    </row>
    <row r="3002" spans="1:28">
      <c r="A3002" s="1043"/>
      <c r="AB3002" s="1044"/>
    </row>
    <row r="3003" spans="1:28">
      <c r="A3003" s="1043"/>
      <c r="AB3003" s="1044"/>
    </row>
    <row r="3004" spans="1:28">
      <c r="A3004" s="1043"/>
      <c r="AB3004" s="1044"/>
    </row>
    <row r="3005" spans="1:28">
      <c r="A3005" s="1043"/>
      <c r="AB3005" s="1044"/>
    </row>
    <row r="3006" spans="1:28">
      <c r="A3006" s="1043"/>
      <c r="AB3006" s="1044"/>
    </row>
    <row r="3007" spans="1:28">
      <c r="A3007" s="1043"/>
      <c r="AB3007" s="1044"/>
    </row>
    <row r="3008" spans="1:28">
      <c r="A3008" s="1043"/>
      <c r="AB3008" s="1044"/>
    </row>
    <row r="3009" spans="1:28">
      <c r="A3009" s="1043"/>
      <c r="AB3009" s="1044"/>
    </row>
    <row r="3010" spans="1:28">
      <c r="A3010" s="1043"/>
      <c r="AB3010" s="1044"/>
    </row>
    <row r="3011" spans="1:28">
      <c r="A3011" s="1043"/>
      <c r="AB3011" s="1044"/>
    </row>
    <row r="3012" spans="1:28">
      <c r="A3012" s="1043"/>
      <c r="AB3012" s="1044"/>
    </row>
    <row r="3013" spans="1:28">
      <c r="A3013" s="1043"/>
      <c r="AB3013" s="1044"/>
    </row>
    <row r="3014" spans="1:28">
      <c r="A3014" s="1043"/>
      <c r="AB3014" s="1044"/>
    </row>
    <row r="3015" spans="1:28">
      <c r="A3015" s="1043"/>
      <c r="AB3015" s="1044"/>
    </row>
    <row r="3016" spans="1:28">
      <c r="A3016" s="1099" t="s">
        <v>585</v>
      </c>
      <c r="B3016" s="424"/>
      <c r="C3016" s="424"/>
      <c r="D3016" s="424"/>
      <c r="E3016" s="424"/>
      <c r="F3016" s="424"/>
      <c r="G3016" s="424"/>
      <c r="H3016" s="424"/>
      <c r="I3016" s="424"/>
      <c r="J3016" s="424"/>
      <c r="K3016" s="424"/>
      <c r="L3016" s="424"/>
      <c r="M3016" s="424"/>
      <c r="N3016" s="424"/>
      <c r="O3016" s="424"/>
      <c r="P3016" s="424"/>
      <c r="Q3016" s="1247"/>
      <c r="R3016" s="1247"/>
      <c r="S3016" s="1247"/>
      <c r="T3016" s="1247"/>
      <c r="U3016" s="1247"/>
      <c r="V3016" s="1247"/>
      <c r="W3016" s="1247"/>
      <c r="X3016" s="1247"/>
      <c r="Y3016" s="424"/>
      <c r="Z3016" s="424"/>
      <c r="AA3016" s="424"/>
      <c r="AB3016" s="1100"/>
    </row>
    <row r="3017" ht="14.4" customHeight="1" spans="1:28">
      <c r="A3017" s="1248" t="s">
        <v>586</v>
      </c>
      <c r="B3017" s="1210"/>
      <c r="C3017" s="1210"/>
      <c r="D3017" s="1210"/>
      <c r="E3017" s="1210" t="s">
        <v>586</v>
      </c>
      <c r="F3017" s="1210"/>
      <c r="G3017" s="1210"/>
      <c r="H3017" s="1210"/>
      <c r="I3017" s="1210" t="s">
        <v>56</v>
      </c>
      <c r="J3017" s="1210"/>
      <c r="K3017" s="1210"/>
      <c r="L3017" s="1210"/>
      <c r="M3017" s="1210" t="s">
        <v>587</v>
      </c>
      <c r="N3017" s="1210"/>
      <c r="O3017" s="1210"/>
      <c r="P3017" s="1249"/>
      <c r="Q3017" s="1210" t="s">
        <v>602</v>
      </c>
      <c r="R3017" s="1210"/>
      <c r="S3017" s="1210"/>
      <c r="T3017" s="1249"/>
      <c r="U3017" s="1210"/>
      <c r="V3017" s="1210"/>
      <c r="W3017" s="1210"/>
      <c r="X3017" s="1210"/>
      <c r="Y3017" s="1250" t="s">
        <v>588</v>
      </c>
      <c r="Z3017" s="1210"/>
      <c r="AA3017" s="1210"/>
      <c r="AB3017" s="1211"/>
    </row>
    <row r="3018" ht="14.4" customHeight="1" spans="1:28">
      <c r="A3018" s="1248"/>
      <c r="B3018" s="1210"/>
      <c r="C3018" s="1210"/>
      <c r="D3018" s="1210"/>
      <c r="E3018" s="1210"/>
      <c r="F3018" s="1210"/>
      <c r="G3018" s="1210"/>
      <c r="H3018" s="1210"/>
      <c r="I3018" s="1210"/>
      <c r="J3018" s="1210"/>
      <c r="K3018" s="1210"/>
      <c r="L3018" s="1210"/>
      <c r="M3018" s="1210"/>
      <c r="N3018" s="1210"/>
      <c r="O3018" s="1210"/>
      <c r="P3018" s="1249"/>
      <c r="Q3018" s="1210"/>
      <c r="R3018" s="1210"/>
      <c r="S3018" s="1210"/>
      <c r="T3018" s="1249"/>
      <c r="U3018" s="1210"/>
      <c r="V3018" s="1210"/>
      <c r="W3018" s="1210"/>
      <c r="X3018" s="1210"/>
      <c r="Y3018" s="1250"/>
      <c r="Z3018" s="1210"/>
      <c r="AA3018" s="1210"/>
      <c r="AB3018" s="1211"/>
    </row>
    <row r="3019" ht="64.2" customHeight="1" spans="1:28">
      <c r="A3019" s="1122"/>
      <c r="B3019" s="1073"/>
      <c r="C3019" s="1073"/>
      <c r="D3019" s="1073"/>
      <c r="E3019" s="1073" t="s">
        <v>589</v>
      </c>
      <c r="F3019" s="1073"/>
      <c r="G3019" s="1073"/>
      <c r="H3019" s="1073"/>
      <c r="I3019" s="1073" t="s">
        <v>590</v>
      </c>
      <c r="J3019" s="1073"/>
      <c r="K3019" s="1073"/>
      <c r="L3019" s="1073"/>
      <c r="M3019" s="1073">
        <v>2</v>
      </c>
      <c r="N3019" s="1073"/>
      <c r="O3019" s="1073"/>
      <c r="P3019" s="1073"/>
      <c r="Q3019" s="1251">
        <v>1</v>
      </c>
      <c r="R3019" s="1251"/>
      <c r="S3019" s="1251"/>
      <c r="T3019" s="1251"/>
      <c r="U3019" s="1251"/>
      <c r="V3019" s="1251"/>
      <c r="W3019" s="1251"/>
      <c r="X3019" s="1251"/>
      <c r="Y3019" s="1123">
        <f>ROUNDUP((Q3019*M3019),2)</f>
        <v>2</v>
      </c>
      <c r="Z3019" s="1123"/>
      <c r="AA3019" s="1123"/>
      <c r="AB3019" s="1124"/>
    </row>
    <row r="3020" ht="32.4" customHeight="1" spans="1:28">
      <c r="A3020" s="1122"/>
      <c r="B3020" s="1073"/>
      <c r="C3020" s="1073"/>
      <c r="D3020" s="1073"/>
      <c r="E3020" s="1073"/>
      <c r="F3020" s="1073"/>
      <c r="G3020" s="1073"/>
      <c r="H3020" s="1073"/>
      <c r="I3020" s="1073" t="s">
        <v>591</v>
      </c>
      <c r="J3020" s="1073"/>
      <c r="K3020" s="1073"/>
      <c r="L3020" s="1073"/>
      <c r="M3020" s="1073">
        <v>2</v>
      </c>
      <c r="N3020" s="1073"/>
      <c r="O3020" s="1073"/>
      <c r="P3020" s="1073"/>
      <c r="Q3020" s="1073">
        <v>0</v>
      </c>
      <c r="R3020" s="1073"/>
      <c r="S3020" s="1073"/>
      <c r="T3020" s="1073"/>
      <c r="U3020" s="1073"/>
      <c r="V3020" s="1073"/>
      <c r="W3020" s="1073"/>
      <c r="X3020" s="1073"/>
      <c r="Y3020" s="1123">
        <f t="shared" ref="Y3020:Y3023" si="27">ROUNDUP((Q3020*M3020),2)</f>
        <v>0</v>
      </c>
      <c r="Z3020" s="1123"/>
      <c r="AA3020" s="1123"/>
      <c r="AB3020" s="1124"/>
    </row>
    <row r="3021" ht="70.2" customHeight="1" spans="1:28">
      <c r="A3021" s="1122"/>
      <c r="B3021" s="1073"/>
      <c r="C3021" s="1073"/>
      <c r="D3021" s="1073"/>
      <c r="E3021" s="1073" t="s">
        <v>592</v>
      </c>
      <c r="F3021" s="1073"/>
      <c r="G3021" s="1073"/>
      <c r="H3021" s="1073"/>
      <c r="I3021" s="1073" t="s">
        <v>593</v>
      </c>
      <c r="J3021" s="1073"/>
      <c r="K3021" s="1073"/>
      <c r="L3021" s="1073"/>
      <c r="M3021" s="1073">
        <v>2</v>
      </c>
      <c r="N3021" s="1073"/>
      <c r="O3021" s="1073"/>
      <c r="P3021" s="1073"/>
      <c r="Q3021" s="1073">
        <v>1</v>
      </c>
      <c r="R3021" s="1073"/>
      <c r="S3021" s="1073"/>
      <c r="T3021" s="1073"/>
      <c r="U3021" s="1073"/>
      <c r="V3021" s="1073"/>
      <c r="W3021" s="1073"/>
      <c r="X3021" s="1073"/>
      <c r="Y3021" s="1123">
        <f t="shared" si="27"/>
        <v>2</v>
      </c>
      <c r="Z3021" s="1123"/>
      <c r="AA3021" s="1123"/>
      <c r="AB3021" s="1124"/>
    </row>
    <row r="3022" ht="38.4" customHeight="1" spans="1:28">
      <c r="A3022" s="1122"/>
      <c r="B3022" s="1073"/>
      <c r="C3022" s="1073"/>
      <c r="D3022" s="1073"/>
      <c r="E3022" s="1073" t="s">
        <v>594</v>
      </c>
      <c r="F3022" s="1073"/>
      <c r="G3022" s="1073"/>
      <c r="H3022" s="1073"/>
      <c r="I3022" s="1073" t="s">
        <v>595</v>
      </c>
      <c r="J3022" s="1073"/>
      <c r="K3022" s="1073"/>
      <c r="L3022" s="1073"/>
      <c r="M3022" s="1073">
        <v>2</v>
      </c>
      <c r="N3022" s="1073"/>
      <c r="O3022" s="1073"/>
      <c r="P3022" s="1073"/>
      <c r="Q3022" s="1073">
        <v>2</v>
      </c>
      <c r="R3022" s="1073"/>
      <c r="S3022" s="1073"/>
      <c r="T3022" s="1073"/>
      <c r="U3022" s="1073"/>
      <c r="V3022" s="1073"/>
      <c r="W3022" s="1073"/>
      <c r="X3022" s="1073"/>
      <c r="Y3022" s="1123">
        <f t="shared" si="27"/>
        <v>4</v>
      </c>
      <c r="Z3022" s="1123"/>
      <c r="AA3022" s="1123"/>
      <c r="AB3022" s="1124"/>
    </row>
    <row r="3023" ht="63.6" customHeight="1" spans="1:28">
      <c r="A3023" s="1109"/>
      <c r="B3023" s="1110"/>
      <c r="C3023" s="1110"/>
      <c r="D3023" s="1110"/>
      <c r="E3023" s="1110" t="s">
        <v>596</v>
      </c>
      <c r="F3023" s="1110"/>
      <c r="G3023" s="1110"/>
      <c r="H3023" s="1110"/>
      <c r="I3023" s="1110" t="s">
        <v>597</v>
      </c>
      <c r="J3023" s="1110"/>
      <c r="K3023" s="1110"/>
      <c r="L3023" s="1110"/>
      <c r="M3023" s="1110">
        <v>10</v>
      </c>
      <c r="N3023" s="1110"/>
      <c r="O3023" s="1110"/>
      <c r="P3023" s="1110"/>
      <c r="Q3023" s="1110">
        <v>1</v>
      </c>
      <c r="R3023" s="1110"/>
      <c r="S3023" s="1110"/>
      <c r="T3023" s="1110"/>
      <c r="U3023" s="1110"/>
      <c r="V3023" s="1110"/>
      <c r="W3023" s="1110"/>
      <c r="X3023" s="1110"/>
      <c r="Y3023" s="1123">
        <f t="shared" si="27"/>
        <v>10</v>
      </c>
      <c r="Z3023" s="1123"/>
      <c r="AA3023" s="1123"/>
      <c r="AB3023" s="1124"/>
    </row>
    <row r="3024" ht="15.75" spans="1:28">
      <c r="A3024" s="1079" t="s">
        <v>603</v>
      </c>
      <c r="B3024" s="1080"/>
      <c r="C3024" s="1080"/>
      <c r="D3024" s="1080"/>
      <c r="E3024" s="1080"/>
      <c r="F3024" s="1080"/>
      <c r="G3024" s="1080"/>
      <c r="H3024" s="1080"/>
      <c r="I3024" s="1080"/>
      <c r="J3024" s="1080"/>
      <c r="K3024" s="1080"/>
      <c r="L3024" s="1080"/>
      <c r="M3024" s="1080"/>
      <c r="N3024" s="1080"/>
      <c r="O3024" s="1080"/>
      <c r="P3024" s="1080"/>
      <c r="Q3024" s="1080"/>
      <c r="R3024" s="1080"/>
      <c r="S3024" s="1080"/>
      <c r="T3024" s="1080"/>
      <c r="U3024" s="1080"/>
      <c r="V3024" s="1080"/>
      <c r="W3024" s="1080"/>
      <c r="X3024" s="1080"/>
      <c r="Y3024" s="1080"/>
      <c r="Z3024" s="1080"/>
      <c r="AA3024" s="1080"/>
      <c r="AB3024" s="1081"/>
    </row>
    <row r="3025" ht="15.75" spans="1:28">
      <c r="A3025" s="1083"/>
      <c r="AB3025" s="1044"/>
    </row>
    <row r="3026" spans="1:28">
      <c r="A3026" s="1083"/>
      <c r="K3026" s="1084" t="s">
        <v>604</v>
      </c>
      <c r="L3026" s="1085"/>
      <c r="M3026" s="1085"/>
      <c r="N3026" s="1085"/>
      <c r="O3026" s="1085"/>
      <c r="P3026" s="1085"/>
      <c r="Q3026" s="1085"/>
      <c r="R3026" s="1086"/>
      <c r="AB3026" s="1044"/>
    </row>
    <row r="3027" spans="1:28">
      <c r="A3027" s="1083"/>
      <c r="K3027" s="1087" t="s">
        <v>605</v>
      </c>
      <c r="L3027" s="1088"/>
      <c r="M3027" s="1088"/>
      <c r="N3027" s="1088"/>
      <c r="O3027" s="1088"/>
      <c r="P3027" s="1088"/>
      <c r="Q3027" s="1088"/>
      <c r="R3027" s="1089"/>
      <c r="AB3027" s="1044"/>
    </row>
    <row r="3028" spans="1:28">
      <c r="A3028" s="1083"/>
      <c r="K3028" s="1090"/>
      <c r="L3028" s="1091"/>
      <c r="M3028" s="1091"/>
      <c r="N3028" s="1091"/>
      <c r="O3028" s="1091"/>
      <c r="P3028" s="1091"/>
      <c r="Q3028" s="1091"/>
      <c r="R3028" s="1092"/>
      <c r="AB3028" s="1044"/>
    </row>
    <row r="3029" ht="15.75" spans="1:28">
      <c r="A3029" s="1083"/>
      <c r="K3029" s="1093">
        <f>ROUNDUP(Y3019+Y3020+Y3021+Y3022+Y3023,2)</f>
        <v>18</v>
      </c>
      <c r="L3029" s="1094"/>
      <c r="M3029" s="1094"/>
      <c r="N3029" s="1094"/>
      <c r="O3029" s="1094"/>
      <c r="P3029" s="1094"/>
      <c r="Q3029" s="1094"/>
      <c r="R3029" s="1095"/>
      <c r="AB3029" s="1044"/>
    </row>
    <row r="3030" ht="15.75" spans="1:28">
      <c r="A3030" s="1096"/>
      <c r="B3030" s="389"/>
      <c r="C3030" s="389"/>
      <c r="D3030" s="389"/>
      <c r="E3030" s="389"/>
      <c r="F3030" s="389"/>
      <c r="G3030" s="389"/>
      <c r="H3030" s="389"/>
      <c r="I3030" s="1097"/>
      <c r="J3030" s="1097"/>
      <c r="K3030" s="1097"/>
      <c r="L3030" s="1097"/>
      <c r="M3030" s="1097"/>
      <c r="N3030" s="1097"/>
      <c r="O3030" s="1097"/>
      <c r="P3030" s="1097"/>
      <c r="Q3030" s="389"/>
      <c r="R3030" s="389"/>
      <c r="S3030" s="389"/>
      <c r="T3030" s="389"/>
      <c r="U3030" s="389"/>
      <c r="V3030" s="389"/>
      <c r="W3030" s="389"/>
      <c r="X3030" s="389"/>
      <c r="Y3030" s="389"/>
      <c r="Z3030" s="389"/>
      <c r="AA3030" s="389"/>
      <c r="AB3030" s="1098"/>
    </row>
    <row r="3031" spans="1:28">
      <c r="A3031" s="1040" t="s">
        <v>606</v>
      </c>
      <c r="B3031" s="1041"/>
      <c r="C3031" s="1041"/>
      <c r="D3031" s="1041"/>
      <c r="E3031" s="1041"/>
      <c r="F3031" s="1041"/>
      <c r="G3031" s="1041"/>
      <c r="H3031" s="1041"/>
      <c r="I3031" s="1041"/>
      <c r="J3031" s="1041"/>
      <c r="K3031" s="1041"/>
      <c r="L3031" s="1041"/>
      <c r="M3031" s="1041"/>
      <c r="N3031" s="1041"/>
      <c r="O3031" s="1041"/>
      <c r="P3031" s="1041"/>
      <c r="Q3031" s="1041"/>
      <c r="R3031" s="1041"/>
      <c r="S3031" s="1041"/>
      <c r="T3031" s="1041"/>
      <c r="U3031" s="1041"/>
      <c r="V3031" s="1041"/>
      <c r="W3031" s="1041"/>
      <c r="X3031" s="1041"/>
      <c r="Y3031" s="1041"/>
      <c r="Z3031" s="1041"/>
      <c r="AA3031" s="1041"/>
      <c r="AB3031" s="1042"/>
    </row>
    <row r="3032" s="1037" customFormat="1" spans="1:28">
      <c r="A3032" s="1214" t="s">
        <v>607</v>
      </c>
      <c r="AB3032" s="1215"/>
    </row>
    <row r="3033" spans="1:28">
      <c r="A3033" s="1099" t="s">
        <v>608</v>
      </c>
      <c r="B3033" s="424"/>
      <c r="C3033" s="424"/>
      <c r="D3033" s="424"/>
      <c r="E3033" s="424"/>
      <c r="F3033" s="424"/>
      <c r="G3033" s="424"/>
      <c r="H3033" s="424"/>
      <c r="I3033" s="424"/>
      <c r="J3033" s="424"/>
      <c r="K3033" s="424"/>
      <c r="L3033" s="424"/>
      <c r="M3033" s="424"/>
      <c r="N3033" s="424"/>
      <c r="O3033" s="424"/>
      <c r="P3033" s="424"/>
      <c r="Q3033" s="424"/>
      <c r="R3033" s="424"/>
      <c r="S3033" s="424"/>
      <c r="T3033" s="424"/>
      <c r="U3033" s="424"/>
      <c r="V3033" s="424"/>
      <c r="W3033" s="424"/>
      <c r="X3033" s="424"/>
      <c r="Y3033" s="424"/>
      <c r="Z3033" s="424"/>
      <c r="AA3033" s="424"/>
      <c r="AB3033" s="1100"/>
    </row>
    <row r="3034" ht="14.4" customHeight="1" spans="1:28">
      <c r="A3034" s="1051" t="s">
        <v>205</v>
      </c>
      <c r="B3034" s="1049"/>
      <c r="C3034" s="1049"/>
      <c r="D3034" s="1049"/>
      <c r="E3034" s="1051" t="s">
        <v>206</v>
      </c>
      <c r="F3034" s="1049"/>
      <c r="G3034" s="1049"/>
      <c r="H3034" s="1050"/>
      <c r="I3034" s="1051"/>
      <c r="J3034" s="1049"/>
      <c r="K3034" s="1049"/>
      <c r="L3034" s="1050"/>
      <c r="M3034" s="1051" t="s">
        <v>609</v>
      </c>
      <c r="N3034" s="1049"/>
      <c r="O3034" s="1049"/>
      <c r="P3034" s="1050"/>
      <c r="Q3034" s="1051"/>
      <c r="R3034" s="1049"/>
      <c r="S3034" s="1049"/>
      <c r="T3034" s="1050"/>
      <c r="U3034" s="1052"/>
      <c r="V3034" s="1053"/>
      <c r="W3034" s="1053"/>
      <c r="X3034" s="1054"/>
      <c r="Y3034" s="1055" t="s">
        <v>382</v>
      </c>
      <c r="Z3034" s="1056"/>
      <c r="AA3034" s="1056"/>
      <c r="AB3034" s="1057"/>
    </row>
    <row r="3035" ht="14.4" customHeight="1" spans="1:28">
      <c r="A3035" s="1061" t="s">
        <v>610</v>
      </c>
      <c r="B3035" s="1059"/>
      <c r="C3035" s="1059"/>
      <c r="D3035" s="1059"/>
      <c r="E3035" s="1065" t="s">
        <v>611</v>
      </c>
      <c r="F3035" s="1066"/>
      <c r="G3035" s="1066"/>
      <c r="H3035" s="1107"/>
      <c r="I3035" s="1061"/>
      <c r="J3035" s="1059"/>
      <c r="K3035" s="1059"/>
      <c r="L3035" s="1060"/>
      <c r="M3035" s="1061"/>
      <c r="N3035" s="1059"/>
      <c r="O3035" s="1059"/>
      <c r="P3035" s="1060"/>
      <c r="Q3035" s="1061"/>
      <c r="R3035" s="1059"/>
      <c r="S3035" s="1059"/>
      <c r="T3035" s="1060"/>
      <c r="U3035" s="1062"/>
      <c r="V3035" s="1063"/>
      <c r="W3035" s="1063"/>
      <c r="X3035" s="1064"/>
      <c r="Y3035" s="1065"/>
      <c r="Z3035" s="1066"/>
      <c r="AA3035" s="1066"/>
      <c r="AB3035" s="1067"/>
    </row>
    <row r="3036" ht="15.75" spans="1:28">
      <c r="A3036" s="1073">
        <v>0.15</v>
      </c>
      <c r="B3036" s="1073"/>
      <c r="C3036" s="1073"/>
      <c r="D3036" s="1073"/>
      <c r="E3036" s="1134">
        <v>15</v>
      </c>
      <c r="F3036" s="1134"/>
      <c r="G3036" s="1134"/>
      <c r="H3036" s="1134"/>
      <c r="I3036" s="1134"/>
      <c r="J3036" s="1134"/>
      <c r="K3036" s="1134"/>
      <c r="L3036" s="1134"/>
      <c r="M3036" s="1134">
        <v>2</v>
      </c>
      <c r="N3036" s="1134"/>
      <c r="O3036" s="1134"/>
      <c r="P3036" s="1134"/>
      <c r="Q3036" s="1216"/>
      <c r="R3036" s="1217"/>
      <c r="S3036" s="1217"/>
      <c r="T3036" s="1218"/>
      <c r="U3036" s="1219"/>
      <c r="V3036" s="1220"/>
      <c r="W3036" s="1220"/>
      <c r="X3036" s="1221"/>
      <c r="Y3036" s="1135">
        <f>ROUNDUP($A3036*$E3036*$M3036,2)</f>
        <v>4.5</v>
      </c>
      <c r="Z3036" s="1135"/>
      <c r="AA3036" s="1135"/>
      <c r="AB3036" s="1136"/>
    </row>
    <row r="3037" ht="15.75" spans="1:28">
      <c r="A3037" s="1079" t="s">
        <v>612</v>
      </c>
      <c r="B3037" s="1080"/>
      <c r="C3037" s="1080"/>
      <c r="D3037" s="1080"/>
      <c r="E3037" s="1080"/>
      <c r="F3037" s="1080"/>
      <c r="G3037" s="1080"/>
      <c r="H3037" s="1080"/>
      <c r="I3037" s="1080"/>
      <c r="J3037" s="1080"/>
      <c r="K3037" s="1080"/>
      <c r="L3037" s="1080"/>
      <c r="M3037" s="1080"/>
      <c r="N3037" s="1080"/>
      <c r="O3037" s="1080"/>
      <c r="P3037" s="1080"/>
      <c r="Q3037" s="1080"/>
      <c r="R3037" s="1080"/>
      <c r="S3037" s="1080"/>
      <c r="T3037" s="1080"/>
      <c r="U3037" s="1080"/>
      <c r="V3037" s="1080"/>
      <c r="W3037" s="1080"/>
      <c r="X3037" s="1080"/>
      <c r="Y3037" s="1080"/>
      <c r="Z3037" s="1080"/>
      <c r="AA3037" s="1080"/>
      <c r="AB3037" s="1081"/>
    </row>
    <row r="3038" s="1037" customFormat="1" spans="1:28">
      <c r="A3038" s="1214" t="s">
        <v>613</v>
      </c>
      <c r="AB3038" s="1215"/>
    </row>
    <row r="3039" spans="1:28">
      <c r="A3039" s="1099" t="s">
        <v>614</v>
      </c>
      <c r="B3039" s="424"/>
      <c r="C3039" s="424"/>
      <c r="D3039" s="424"/>
      <c r="E3039" s="424"/>
      <c r="F3039" s="424"/>
      <c r="G3039" s="424"/>
      <c r="H3039" s="424"/>
      <c r="I3039" s="424"/>
      <c r="J3039" s="424"/>
      <c r="K3039" s="424"/>
      <c r="L3039" s="424"/>
      <c r="M3039" s="424"/>
      <c r="N3039" s="424"/>
      <c r="O3039" s="424"/>
      <c r="P3039" s="424"/>
      <c r="Q3039" s="424"/>
      <c r="R3039" s="424"/>
      <c r="S3039" s="424"/>
      <c r="T3039" s="424"/>
      <c r="U3039" s="424"/>
      <c r="V3039" s="424"/>
      <c r="W3039" s="424"/>
      <c r="X3039" s="424"/>
      <c r="Y3039" s="424"/>
      <c r="Z3039" s="424"/>
      <c r="AA3039" s="424"/>
      <c r="AB3039" s="1100"/>
    </row>
    <row r="3040" ht="14.4" customHeight="1" spans="1:28">
      <c r="A3040" s="1051" t="s">
        <v>205</v>
      </c>
      <c r="B3040" s="1049"/>
      <c r="C3040" s="1049"/>
      <c r="D3040" s="1049"/>
      <c r="E3040" s="1051" t="s">
        <v>206</v>
      </c>
      <c r="F3040" s="1049"/>
      <c r="G3040" s="1049"/>
      <c r="H3040" s="1050"/>
      <c r="I3040" s="1051"/>
      <c r="J3040" s="1049"/>
      <c r="K3040" s="1049"/>
      <c r="L3040" s="1050"/>
      <c r="M3040" s="1051" t="s">
        <v>609</v>
      </c>
      <c r="N3040" s="1049"/>
      <c r="O3040" s="1049"/>
      <c r="P3040" s="1050"/>
      <c r="Q3040" s="1051"/>
      <c r="R3040" s="1049"/>
      <c r="S3040" s="1049"/>
      <c r="T3040" s="1050"/>
      <c r="U3040" s="1052"/>
      <c r="V3040" s="1053"/>
      <c r="W3040" s="1053"/>
      <c r="X3040" s="1054"/>
      <c r="Y3040" s="1055" t="s">
        <v>382</v>
      </c>
      <c r="Z3040" s="1056"/>
      <c r="AA3040" s="1056"/>
      <c r="AB3040" s="1057"/>
    </row>
    <row r="3041" ht="14.4" customHeight="1" spans="1:28">
      <c r="A3041" s="1061" t="s">
        <v>610</v>
      </c>
      <c r="B3041" s="1059"/>
      <c r="C3041" s="1059"/>
      <c r="D3041" s="1059"/>
      <c r="E3041" s="1065" t="s">
        <v>611</v>
      </c>
      <c r="F3041" s="1066"/>
      <c r="G3041" s="1066"/>
      <c r="H3041" s="1107"/>
      <c r="I3041" s="1061"/>
      <c r="J3041" s="1059"/>
      <c r="K3041" s="1059"/>
      <c r="L3041" s="1060"/>
      <c r="M3041" s="1061"/>
      <c r="N3041" s="1059"/>
      <c r="O3041" s="1059"/>
      <c r="P3041" s="1060"/>
      <c r="Q3041" s="1061"/>
      <c r="R3041" s="1059"/>
      <c r="S3041" s="1059"/>
      <c r="T3041" s="1060"/>
      <c r="U3041" s="1062"/>
      <c r="V3041" s="1063"/>
      <c r="W3041" s="1063"/>
      <c r="X3041" s="1064"/>
      <c r="Y3041" s="1065"/>
      <c r="Z3041" s="1066"/>
      <c r="AA3041" s="1066"/>
      <c r="AB3041" s="1067"/>
    </row>
    <row r="3042" ht="15.75" spans="1:28">
      <c r="A3042" s="1073">
        <v>0.1</v>
      </c>
      <c r="B3042" s="1073"/>
      <c r="C3042" s="1073"/>
      <c r="D3042" s="1073"/>
      <c r="E3042" s="1134">
        <v>15</v>
      </c>
      <c r="F3042" s="1134"/>
      <c r="G3042" s="1134"/>
      <c r="H3042" s="1134"/>
      <c r="I3042" s="1134"/>
      <c r="J3042" s="1134"/>
      <c r="K3042" s="1134"/>
      <c r="L3042" s="1134"/>
      <c r="M3042" s="1134">
        <v>2</v>
      </c>
      <c r="N3042" s="1134"/>
      <c r="O3042" s="1134"/>
      <c r="P3042" s="1134"/>
      <c r="Q3042" s="1216"/>
      <c r="R3042" s="1217"/>
      <c r="S3042" s="1217"/>
      <c r="T3042" s="1218"/>
      <c r="U3042" s="1219"/>
      <c r="V3042" s="1220"/>
      <c r="W3042" s="1220"/>
      <c r="X3042" s="1221"/>
      <c r="Y3042" s="1135">
        <f>ROUNDUP($A3042*$E3042*$M3042,2)</f>
        <v>3</v>
      </c>
      <c r="Z3042" s="1135"/>
      <c r="AA3042" s="1135"/>
      <c r="AB3042" s="1136"/>
    </row>
    <row r="3043" ht="15.75" spans="1:28">
      <c r="A3043" s="1079" t="s">
        <v>615</v>
      </c>
      <c r="B3043" s="1080"/>
      <c r="C3043" s="1080"/>
      <c r="D3043" s="1080"/>
      <c r="E3043" s="1080"/>
      <c r="F3043" s="1080"/>
      <c r="G3043" s="1080"/>
      <c r="H3043" s="1080"/>
      <c r="I3043" s="1080"/>
      <c r="J3043" s="1080"/>
      <c r="K3043" s="1080"/>
      <c r="L3043" s="1080"/>
      <c r="M3043" s="1080"/>
      <c r="N3043" s="1080"/>
      <c r="O3043" s="1080"/>
      <c r="P3043" s="1080"/>
      <c r="Q3043" s="1080"/>
      <c r="R3043" s="1080"/>
      <c r="S3043" s="1080"/>
      <c r="T3043" s="1080"/>
      <c r="U3043" s="1080"/>
      <c r="V3043" s="1080"/>
      <c r="W3043" s="1080"/>
      <c r="X3043" s="1080"/>
      <c r="Y3043" s="1080"/>
      <c r="Z3043" s="1080"/>
      <c r="AA3043" s="1080"/>
      <c r="AB3043" s="1081"/>
    </row>
    <row r="3044" ht="15.75" spans="1:28">
      <c r="A3044" s="1083"/>
      <c r="AB3044" s="1044"/>
    </row>
    <row r="3045" spans="1:28">
      <c r="A3045" s="1083"/>
      <c r="K3045" s="1084" t="s">
        <v>616</v>
      </c>
      <c r="L3045" s="1085"/>
      <c r="M3045" s="1085"/>
      <c r="N3045" s="1085"/>
      <c r="O3045" s="1085"/>
      <c r="P3045" s="1085"/>
      <c r="Q3045" s="1085"/>
      <c r="R3045" s="1086"/>
      <c r="AB3045" s="1044"/>
    </row>
    <row r="3046" spans="1:28">
      <c r="A3046" s="1083"/>
      <c r="K3046" s="1087" t="s">
        <v>617</v>
      </c>
      <c r="L3046" s="1088"/>
      <c r="M3046" s="1088"/>
      <c r="N3046" s="1088"/>
      <c r="O3046" s="1088"/>
      <c r="P3046" s="1088"/>
      <c r="Q3046" s="1088"/>
      <c r="R3046" s="1089"/>
      <c r="AB3046" s="1044"/>
    </row>
    <row r="3047" spans="1:28">
      <c r="A3047" s="1083"/>
      <c r="K3047" s="1090"/>
      <c r="L3047" s="1091"/>
      <c r="M3047" s="1091"/>
      <c r="N3047" s="1091"/>
      <c r="O3047" s="1091"/>
      <c r="P3047" s="1091"/>
      <c r="Q3047" s="1091"/>
      <c r="R3047" s="1092"/>
      <c r="AB3047" s="1044"/>
    </row>
    <row r="3048" ht="15.75" spans="1:28">
      <c r="A3048" s="1083"/>
      <c r="K3048" s="1093">
        <f>ROUNDUP(Y3036+Y3042,2)</f>
        <v>7.5</v>
      </c>
      <c r="L3048" s="1094"/>
      <c r="M3048" s="1094"/>
      <c r="N3048" s="1094"/>
      <c r="O3048" s="1094"/>
      <c r="P3048" s="1094"/>
      <c r="Q3048" s="1094"/>
      <c r="R3048" s="1095"/>
      <c r="AB3048" s="1044"/>
    </row>
    <row r="3049" ht="15.75" spans="1:28">
      <c r="A3049" s="1096"/>
      <c r="B3049" s="389"/>
      <c r="C3049" s="389"/>
      <c r="D3049" s="389"/>
      <c r="E3049" s="389"/>
      <c r="F3049" s="389"/>
      <c r="G3049" s="389"/>
      <c r="H3049" s="389"/>
      <c r="I3049" s="1097"/>
      <c r="J3049" s="1097"/>
      <c r="K3049" s="1097"/>
      <c r="L3049" s="1097"/>
      <c r="M3049" s="1097"/>
      <c r="N3049" s="1097"/>
      <c r="O3049" s="1097"/>
      <c r="P3049" s="1097"/>
      <c r="Q3049" s="389"/>
      <c r="R3049" s="389"/>
      <c r="S3049" s="389"/>
      <c r="T3049" s="389"/>
      <c r="U3049" s="389"/>
      <c r="V3049" s="389"/>
      <c r="W3049" s="389"/>
      <c r="X3049" s="389"/>
      <c r="Y3049" s="389"/>
      <c r="Z3049" s="389"/>
      <c r="AA3049" s="389"/>
      <c r="AB3049" s="1098"/>
    </row>
    <row r="3050" spans="1:28">
      <c r="A3050" s="1040" t="s">
        <v>618</v>
      </c>
      <c r="B3050" s="1041"/>
      <c r="C3050" s="1041"/>
      <c r="D3050" s="1041"/>
      <c r="E3050" s="1041"/>
      <c r="F3050" s="1041"/>
      <c r="G3050" s="1041"/>
      <c r="H3050" s="1041"/>
      <c r="I3050" s="1041"/>
      <c r="J3050" s="1041"/>
      <c r="K3050" s="1041"/>
      <c r="L3050" s="1041"/>
      <c r="M3050" s="1041"/>
      <c r="N3050" s="1041"/>
      <c r="O3050" s="1041"/>
      <c r="P3050" s="1041"/>
      <c r="Q3050" s="1041"/>
      <c r="R3050" s="1041"/>
      <c r="S3050" s="1041"/>
      <c r="T3050" s="1041"/>
      <c r="U3050" s="1041"/>
      <c r="V3050" s="1041"/>
      <c r="W3050" s="1041"/>
      <c r="X3050" s="1041"/>
      <c r="Y3050" s="1041"/>
      <c r="Z3050" s="1041"/>
      <c r="AA3050" s="1041"/>
      <c r="AB3050" s="1042"/>
    </row>
    <row r="3051" spans="1:28">
      <c r="A3051" s="1083"/>
      <c r="AB3051" s="1044"/>
    </row>
    <row r="3052" spans="1:28">
      <c r="A3052" s="1083"/>
      <c r="AB3052" s="1044"/>
    </row>
    <row r="3053" spans="1:28">
      <c r="A3053" s="1083"/>
      <c r="AB3053" s="1044"/>
    </row>
    <row r="3054" spans="1:28">
      <c r="A3054" s="1083"/>
      <c r="AB3054" s="1044"/>
    </row>
    <row r="3055" spans="1:28">
      <c r="A3055" s="1083"/>
      <c r="AB3055" s="1044"/>
    </row>
    <row r="3056" spans="1:28">
      <c r="A3056" s="1083"/>
      <c r="AB3056" s="1044"/>
    </row>
    <row r="3057" spans="1:28">
      <c r="A3057" s="1083"/>
      <c r="AB3057" s="1044"/>
    </row>
    <row r="3058" spans="1:28">
      <c r="A3058" s="1083"/>
      <c r="AB3058" s="1044"/>
    </row>
    <row r="3059" spans="1:28">
      <c r="A3059" s="1083"/>
      <c r="AB3059" s="1044"/>
    </row>
    <row r="3060" spans="1:28">
      <c r="A3060" s="1083"/>
      <c r="AB3060" s="1044"/>
    </row>
    <row r="3061" spans="1:28">
      <c r="A3061" s="1083"/>
      <c r="AB3061" s="1044"/>
    </row>
    <row r="3062" spans="1:28">
      <c r="A3062" s="1083"/>
      <c r="AB3062" s="1044"/>
    </row>
    <row r="3063" spans="1:28">
      <c r="A3063" s="1083"/>
      <c r="AB3063" s="1044"/>
    </row>
    <row r="3064" spans="1:28">
      <c r="A3064" s="1083"/>
      <c r="AB3064" s="1044"/>
    </row>
    <row r="3065" spans="1:28">
      <c r="A3065" s="1083"/>
      <c r="AB3065" s="1044"/>
    </row>
    <row r="3066" spans="1:28">
      <c r="A3066" s="1083"/>
      <c r="AB3066" s="1044"/>
    </row>
    <row r="3067" spans="1:28">
      <c r="A3067" s="1083"/>
      <c r="AB3067" s="1044"/>
    </row>
    <row r="3068" spans="1:28">
      <c r="A3068" s="1083"/>
      <c r="AB3068" s="1044"/>
    </row>
    <row r="3069" spans="1:28">
      <c r="A3069" s="1083"/>
      <c r="AB3069" s="1044"/>
    </row>
    <row r="3070" spans="1:28">
      <c r="A3070" s="1083"/>
      <c r="AB3070" s="1044"/>
    </row>
    <row r="3071" spans="1:28">
      <c r="A3071" s="1083"/>
      <c r="AB3071" s="1044"/>
    </row>
    <row r="3072" spans="1:28">
      <c r="A3072" s="1083"/>
      <c r="AB3072" s="1044"/>
    </row>
    <row r="3073" spans="1:28">
      <c r="A3073" s="1083"/>
      <c r="AB3073" s="1044"/>
    </row>
    <row r="3074" spans="1:28">
      <c r="A3074" s="1083"/>
      <c r="AB3074" s="1044"/>
    </row>
    <row r="3075" spans="1:28">
      <c r="A3075" s="1083"/>
      <c r="AB3075" s="1044"/>
    </row>
    <row r="3076" spans="1:28">
      <c r="A3076" s="1083"/>
      <c r="AB3076" s="1044"/>
    </row>
    <row r="3077" spans="1:28">
      <c r="A3077" s="1083"/>
      <c r="AB3077" s="1044"/>
    </row>
    <row r="3078" spans="1:28">
      <c r="A3078" s="1083"/>
      <c r="AB3078" s="1044"/>
    </row>
    <row r="3079" spans="1:28">
      <c r="A3079" s="1083"/>
      <c r="AB3079" s="1044"/>
    </row>
    <row r="3080" spans="1:28">
      <c r="A3080" s="1083"/>
      <c r="AB3080" s="1044"/>
    </row>
    <row r="3081" spans="1:28">
      <c r="A3081" s="1083"/>
      <c r="AB3081" s="1044"/>
    </row>
    <row r="3082" spans="1:28">
      <c r="A3082" s="1083"/>
      <c r="AB3082" s="1044"/>
    </row>
    <row r="3083" spans="1:28">
      <c r="A3083" s="1083"/>
      <c r="AB3083" s="1044"/>
    </row>
    <row r="3084" spans="1:28">
      <c r="A3084" s="1083"/>
      <c r="AB3084" s="1044"/>
    </row>
    <row r="3085" spans="1:28">
      <c r="A3085" s="1083"/>
      <c r="AB3085" s="1044"/>
    </row>
    <row r="3086" spans="1:28">
      <c r="A3086" s="1083"/>
      <c r="AB3086" s="1044"/>
    </row>
    <row r="3087" spans="1:28">
      <c r="A3087" s="1083"/>
      <c r="AB3087" s="1044"/>
    </row>
    <row r="3088" spans="1:28">
      <c r="A3088" s="1083"/>
      <c r="AB3088" s="1044"/>
    </row>
    <row r="3089" spans="1:28">
      <c r="A3089" s="1083"/>
      <c r="AB3089" s="1044"/>
    </row>
    <row r="3090" spans="1:28">
      <c r="A3090" s="1083"/>
      <c r="AB3090" s="1044"/>
    </row>
    <row r="3091" spans="1:28">
      <c r="A3091" s="1083"/>
      <c r="AB3091" s="1044"/>
    </row>
    <row r="3092" spans="1:28">
      <c r="A3092" s="1083"/>
      <c r="AB3092" s="1044"/>
    </row>
    <row r="3093" spans="1:28">
      <c r="A3093" s="1083"/>
      <c r="AB3093" s="1044"/>
    </row>
    <row r="3094" spans="1:28">
      <c r="A3094" s="1083"/>
      <c r="AB3094" s="1044"/>
    </row>
    <row r="3095" spans="1:28">
      <c r="A3095" s="1083"/>
      <c r="AB3095" s="1044"/>
    </row>
    <row r="3096" spans="1:28">
      <c r="A3096" s="1083"/>
      <c r="AB3096" s="1044"/>
    </row>
    <row r="3097" spans="1:28">
      <c r="A3097" s="1083"/>
      <c r="AB3097" s="1044"/>
    </row>
    <row r="3098" spans="1:28">
      <c r="A3098" s="1083"/>
      <c r="AB3098" s="1044"/>
    </row>
    <row r="3099" spans="1:28">
      <c r="A3099" s="1083"/>
      <c r="AB3099" s="1044"/>
    </row>
    <row r="3100" spans="1:28">
      <c r="A3100" s="1083"/>
      <c r="AB3100" s="1044"/>
    </row>
    <row r="3101" spans="1:28">
      <c r="A3101" s="1083"/>
      <c r="AB3101" s="1044"/>
    </row>
    <row r="3102" spans="1:28">
      <c r="A3102" s="1083"/>
      <c r="AB3102" s="1044"/>
    </row>
    <row r="3103" spans="1:28">
      <c r="A3103" s="1083"/>
      <c r="AB3103" s="1044"/>
    </row>
    <row r="3104" spans="1:28">
      <c r="A3104" s="1099" t="s">
        <v>619</v>
      </c>
      <c r="B3104" s="424"/>
      <c r="C3104" s="424"/>
      <c r="D3104" s="424"/>
      <c r="E3104" s="424"/>
      <c r="F3104" s="424"/>
      <c r="G3104" s="424"/>
      <c r="H3104" s="424"/>
      <c r="I3104" s="424"/>
      <c r="J3104" s="424"/>
      <c r="K3104" s="424"/>
      <c r="L3104" s="424"/>
      <c r="M3104" s="424"/>
      <c r="N3104" s="424"/>
      <c r="O3104" s="424"/>
      <c r="P3104" s="424"/>
      <c r="Q3104" s="424"/>
      <c r="R3104" s="424"/>
      <c r="S3104" s="424"/>
      <c r="T3104" s="424"/>
      <c r="U3104" s="424"/>
      <c r="V3104" s="424"/>
      <c r="W3104" s="424"/>
      <c r="X3104" s="424"/>
      <c r="Y3104" s="424"/>
      <c r="Z3104" s="424"/>
      <c r="AA3104" s="424"/>
      <c r="AB3104" s="1100"/>
    </row>
    <row r="3105" ht="14.4" customHeight="1" spans="1:28">
      <c r="A3105" s="1048" t="s">
        <v>205</v>
      </c>
      <c r="B3105" s="1049"/>
      <c r="C3105" s="1049"/>
      <c r="D3105" s="1050"/>
      <c r="E3105" s="1051" t="s">
        <v>206</v>
      </c>
      <c r="F3105" s="1049"/>
      <c r="G3105" s="1049"/>
      <c r="H3105" s="1050"/>
      <c r="I3105" s="1051"/>
      <c r="J3105" s="1049"/>
      <c r="K3105" s="1049"/>
      <c r="L3105" s="1050"/>
      <c r="M3105" s="1051" t="s">
        <v>620</v>
      </c>
      <c r="N3105" s="1049"/>
      <c r="O3105" s="1049"/>
      <c r="P3105" s="1050"/>
      <c r="Q3105" s="1051"/>
      <c r="R3105" s="1049"/>
      <c r="S3105" s="1049"/>
      <c r="T3105" s="1050"/>
      <c r="U3105" s="1052"/>
      <c r="V3105" s="1053"/>
      <c r="W3105" s="1053"/>
      <c r="X3105" s="1054"/>
      <c r="Y3105" s="1051" t="s">
        <v>620</v>
      </c>
      <c r="Z3105" s="1049"/>
      <c r="AA3105" s="1049"/>
      <c r="AB3105" s="1222"/>
    </row>
    <row r="3106" ht="14.4" customHeight="1" spans="1:28">
      <c r="A3106" s="1058" t="s">
        <v>209</v>
      </c>
      <c r="B3106" s="1059"/>
      <c r="C3106" s="1059"/>
      <c r="D3106" s="1060"/>
      <c r="E3106" s="1061" t="s">
        <v>621</v>
      </c>
      <c r="F3106" s="1059"/>
      <c r="G3106" s="1059"/>
      <c r="H3106" s="1060"/>
      <c r="I3106" s="1061"/>
      <c r="J3106" s="1059"/>
      <c r="K3106" s="1059"/>
      <c r="L3106" s="1060"/>
      <c r="M3106" s="1061"/>
      <c r="N3106" s="1059"/>
      <c r="O3106" s="1059"/>
      <c r="P3106" s="1060"/>
      <c r="Q3106" s="1061"/>
      <c r="R3106" s="1059"/>
      <c r="S3106" s="1059"/>
      <c r="T3106" s="1060"/>
      <c r="U3106" s="1062"/>
      <c r="V3106" s="1063"/>
      <c r="W3106" s="1063"/>
      <c r="X3106" s="1064"/>
      <c r="Y3106" s="1061"/>
      <c r="Z3106" s="1059"/>
      <c r="AA3106" s="1059"/>
      <c r="AB3106" s="1108"/>
    </row>
    <row r="3107" ht="15.75" spans="1:28">
      <c r="A3107" s="1133">
        <v>0.5</v>
      </c>
      <c r="B3107" s="1134"/>
      <c r="C3107" s="1134"/>
      <c r="D3107" s="1134"/>
      <c r="E3107" s="1134">
        <v>1</v>
      </c>
      <c r="F3107" s="1134"/>
      <c r="G3107" s="1134"/>
      <c r="H3107" s="1134"/>
      <c r="I3107" s="1070"/>
      <c r="J3107" s="1071"/>
      <c r="K3107" s="1071"/>
      <c r="L3107" s="1072"/>
      <c r="M3107" s="1134">
        <v>10</v>
      </c>
      <c r="N3107" s="1134"/>
      <c r="O3107" s="1134"/>
      <c r="P3107" s="1134"/>
      <c r="Q3107" s="1216"/>
      <c r="R3107" s="1217"/>
      <c r="S3107" s="1217"/>
      <c r="T3107" s="1218"/>
      <c r="U3107" s="1219"/>
      <c r="V3107" s="1220"/>
      <c r="W3107" s="1220"/>
      <c r="X3107" s="1221"/>
      <c r="Y3107" s="1135">
        <f>ROUNDUP($M3107,2)</f>
        <v>10</v>
      </c>
      <c r="Z3107" s="1135"/>
      <c r="AA3107" s="1135"/>
      <c r="AB3107" s="1136"/>
    </row>
    <row r="3108" ht="15.75" spans="1:28">
      <c r="A3108" s="1079" t="s">
        <v>622</v>
      </c>
      <c r="B3108" s="1080"/>
      <c r="C3108" s="1080"/>
      <c r="D3108" s="1080"/>
      <c r="E3108" s="1080"/>
      <c r="F3108" s="1080"/>
      <c r="G3108" s="1080"/>
      <c r="H3108" s="1080"/>
      <c r="I3108" s="1080"/>
      <c r="J3108" s="1080"/>
      <c r="K3108" s="1080"/>
      <c r="L3108" s="1080"/>
      <c r="M3108" s="1080"/>
      <c r="N3108" s="1080"/>
      <c r="O3108" s="1080"/>
      <c r="P3108" s="1080"/>
      <c r="Q3108" s="1080"/>
      <c r="R3108" s="1080"/>
      <c r="S3108" s="1080"/>
      <c r="T3108" s="1080"/>
      <c r="U3108" s="1080"/>
      <c r="V3108" s="1080"/>
      <c r="W3108" s="1080"/>
      <c r="X3108" s="1080"/>
      <c r="Y3108" s="1080"/>
      <c r="Z3108" s="1080"/>
      <c r="AA3108" s="1080"/>
      <c r="AB3108" s="1081"/>
    </row>
    <row r="3109" ht="15.75" spans="1:28">
      <c r="A3109" s="1083"/>
      <c r="AB3109" s="1044"/>
    </row>
    <row r="3110" spans="1:28">
      <c r="A3110" s="1083"/>
      <c r="K3110" s="1084" t="s">
        <v>623</v>
      </c>
      <c r="L3110" s="1085"/>
      <c r="M3110" s="1085"/>
      <c r="N3110" s="1085"/>
      <c r="O3110" s="1085"/>
      <c r="P3110" s="1085"/>
      <c r="Q3110" s="1085"/>
      <c r="R3110" s="1086"/>
      <c r="AB3110" s="1044"/>
    </row>
    <row r="3111" spans="1:28">
      <c r="A3111" s="1083"/>
      <c r="K3111" s="1087" t="s">
        <v>624</v>
      </c>
      <c r="L3111" s="1088"/>
      <c r="M3111" s="1088"/>
      <c r="N3111" s="1088"/>
      <c r="O3111" s="1088"/>
      <c r="P3111" s="1088"/>
      <c r="Q3111" s="1088"/>
      <c r="R3111" s="1089"/>
      <c r="AB3111" s="1044"/>
    </row>
    <row r="3112" spans="1:28">
      <c r="A3112" s="1083"/>
      <c r="K3112" s="1090"/>
      <c r="L3112" s="1091"/>
      <c r="M3112" s="1091"/>
      <c r="N3112" s="1091"/>
      <c r="O3112" s="1091"/>
      <c r="P3112" s="1091"/>
      <c r="Q3112" s="1091"/>
      <c r="R3112" s="1092"/>
      <c r="AB3112" s="1044"/>
    </row>
    <row r="3113" ht="15.75" spans="1:28">
      <c r="A3113" s="1083"/>
      <c r="K3113" s="1093">
        <f>ROUNDUP(Y3107,2)</f>
        <v>10</v>
      </c>
      <c r="L3113" s="1094"/>
      <c r="M3113" s="1094"/>
      <c r="N3113" s="1094"/>
      <c r="O3113" s="1094"/>
      <c r="P3113" s="1094"/>
      <c r="Q3113" s="1094"/>
      <c r="R3113" s="1095"/>
      <c r="AB3113" s="1044"/>
    </row>
    <row r="3114" ht="15.75" spans="1:28">
      <c r="A3114" s="1096"/>
      <c r="B3114" s="389"/>
      <c r="C3114" s="389"/>
      <c r="D3114" s="389"/>
      <c r="E3114" s="389"/>
      <c r="F3114" s="389"/>
      <c r="G3114" s="389"/>
      <c r="H3114" s="389"/>
      <c r="I3114" s="1097"/>
      <c r="J3114" s="1097"/>
      <c r="K3114" s="1097"/>
      <c r="L3114" s="1097"/>
      <c r="M3114" s="1097"/>
      <c r="N3114" s="1097"/>
      <c r="O3114" s="1097"/>
      <c r="P3114" s="1097"/>
      <c r="Q3114" s="389"/>
      <c r="R3114" s="389"/>
      <c r="S3114" s="389"/>
      <c r="T3114" s="389"/>
      <c r="U3114" s="389"/>
      <c r="V3114" s="389"/>
      <c r="W3114" s="389"/>
      <c r="X3114" s="389"/>
      <c r="Y3114" s="389"/>
      <c r="Z3114" s="389"/>
      <c r="AA3114" s="389"/>
      <c r="AB3114" s="1098"/>
    </row>
    <row r="3115" s="437" customFormat="1" spans="1:28">
      <c r="A3115" s="1040" t="s">
        <v>625</v>
      </c>
      <c r="B3115" s="1114"/>
      <c r="C3115" s="1114"/>
      <c r="D3115" s="1114"/>
      <c r="E3115" s="1114"/>
      <c r="F3115" s="1114"/>
      <c r="G3115" s="1114"/>
      <c r="H3115" s="1114"/>
      <c r="I3115" s="1129"/>
      <c r="J3115" s="1129"/>
      <c r="K3115" s="1129"/>
      <c r="L3115" s="1129"/>
      <c r="M3115" s="1129"/>
      <c r="N3115" s="1129"/>
      <c r="O3115" s="1129"/>
      <c r="P3115" s="1129"/>
      <c r="Q3115" s="1114"/>
      <c r="R3115" s="1114"/>
      <c r="S3115" s="1114"/>
      <c r="T3115" s="1114"/>
      <c r="U3115" s="1114"/>
      <c r="V3115" s="1114"/>
      <c r="W3115" s="1114"/>
      <c r="X3115" s="1114"/>
      <c r="Y3115" s="1114"/>
      <c r="Z3115" s="1114"/>
      <c r="AA3115" s="1114"/>
      <c r="AB3115" s="1115"/>
    </row>
    <row r="3116" spans="1:28">
      <c r="A3116" s="1083"/>
      <c r="AB3116" s="1044"/>
    </row>
    <row r="3117" spans="1:28">
      <c r="A3117" s="1083"/>
      <c r="AB3117" s="1044"/>
    </row>
    <row r="3118" spans="1:28">
      <c r="A3118" s="1083"/>
      <c r="AB3118" s="1044"/>
    </row>
    <row r="3119" spans="1:28">
      <c r="A3119" s="1083"/>
      <c r="AB3119" s="1044"/>
    </row>
    <row r="3120" spans="1:28">
      <c r="A3120" s="1083"/>
      <c r="AB3120" s="1044"/>
    </row>
    <row r="3121" spans="1:28">
      <c r="A3121" s="1083"/>
      <c r="AB3121" s="1044"/>
    </row>
    <row r="3122" spans="1:28">
      <c r="A3122" s="1083"/>
      <c r="AB3122" s="1044"/>
    </row>
    <row r="3123" spans="1:28">
      <c r="A3123" s="1083"/>
      <c r="AB3123" s="1044"/>
    </row>
    <row r="3124" spans="1:28">
      <c r="A3124" s="1083"/>
      <c r="AB3124" s="1044"/>
    </row>
    <row r="3125" spans="1:28">
      <c r="A3125" s="1083"/>
      <c r="AB3125" s="1044"/>
    </row>
    <row r="3126" spans="1:28">
      <c r="A3126" s="1083"/>
      <c r="AB3126" s="1044"/>
    </row>
    <row r="3127" spans="1:28">
      <c r="A3127" s="1083"/>
      <c r="AB3127" s="1044"/>
    </row>
    <row r="3128" spans="1:28">
      <c r="A3128" s="1083"/>
      <c r="AB3128" s="1044"/>
    </row>
    <row r="3129" spans="1:28">
      <c r="A3129" s="1083"/>
      <c r="AB3129" s="1044"/>
    </row>
    <row r="3130" spans="1:28">
      <c r="A3130" s="1083"/>
      <c r="AB3130" s="1044"/>
    </row>
    <row r="3131" spans="1:28">
      <c r="A3131" s="1083"/>
      <c r="AB3131" s="1044"/>
    </row>
    <row r="3132" spans="1:28">
      <c r="A3132" s="1083"/>
      <c r="AB3132" s="1044"/>
    </row>
    <row r="3133" spans="1:28">
      <c r="A3133" s="1083"/>
      <c r="AB3133" s="1044"/>
    </row>
    <row r="3134" spans="1:28">
      <c r="A3134" s="1083"/>
      <c r="AB3134" s="1044"/>
    </row>
    <row r="3135" spans="1:28">
      <c r="A3135" s="1083"/>
      <c r="AB3135" s="1044"/>
    </row>
    <row r="3136" spans="1:28">
      <c r="A3136" s="1083"/>
      <c r="AB3136" s="1044"/>
    </row>
    <row r="3137" spans="1:28">
      <c r="A3137" s="1083"/>
      <c r="AB3137" s="1044"/>
    </row>
    <row r="3138" spans="1:28">
      <c r="A3138" s="1083"/>
      <c r="AB3138" s="1044"/>
    </row>
    <row r="3139" spans="1:28">
      <c r="A3139" s="1083"/>
      <c r="AB3139" s="1044"/>
    </row>
    <row r="3140" spans="1:28">
      <c r="A3140" s="1099" t="s">
        <v>626</v>
      </c>
      <c r="B3140" s="424"/>
      <c r="C3140" s="424"/>
      <c r="D3140" s="424"/>
      <c r="E3140" s="424"/>
      <c r="F3140" s="424"/>
      <c r="G3140" s="424"/>
      <c r="H3140" s="424"/>
      <c r="I3140" s="424"/>
      <c r="J3140" s="424"/>
      <c r="K3140" s="424"/>
      <c r="L3140" s="424"/>
      <c r="M3140" s="424"/>
      <c r="N3140" s="424"/>
      <c r="O3140" s="424"/>
      <c r="P3140" s="424"/>
      <c r="Q3140" s="424"/>
      <c r="R3140" s="424"/>
      <c r="S3140" s="424"/>
      <c r="T3140" s="424"/>
      <c r="U3140" s="424"/>
      <c r="V3140" s="424"/>
      <c r="W3140" s="424"/>
      <c r="X3140" s="424"/>
      <c r="Y3140" s="424"/>
      <c r="Z3140" s="424"/>
      <c r="AA3140" s="424"/>
      <c r="AB3140" s="1100"/>
    </row>
    <row r="3141" ht="14.4" customHeight="1" spans="1:28">
      <c r="A3141" s="1048" t="s">
        <v>627</v>
      </c>
      <c r="B3141" s="1049"/>
      <c r="C3141" s="1049"/>
      <c r="D3141" s="1049"/>
      <c r="E3141" s="1051" t="s">
        <v>206</v>
      </c>
      <c r="F3141" s="1049"/>
      <c r="G3141" s="1049"/>
      <c r="H3141" s="1050"/>
      <c r="I3141" s="1051"/>
      <c r="J3141" s="1049"/>
      <c r="K3141" s="1049"/>
      <c r="L3141" s="1050"/>
      <c r="M3141" s="1051"/>
      <c r="N3141" s="1049"/>
      <c r="O3141" s="1049"/>
      <c r="P3141" s="1050"/>
      <c r="Q3141" s="1051"/>
      <c r="R3141" s="1049"/>
      <c r="S3141" s="1049"/>
      <c r="T3141" s="1050"/>
      <c r="U3141" s="1052"/>
      <c r="V3141" s="1053"/>
      <c r="W3141" s="1053"/>
      <c r="X3141" s="1054"/>
      <c r="Y3141" s="1055" t="s">
        <v>382</v>
      </c>
      <c r="Z3141" s="1056"/>
      <c r="AA3141" s="1056"/>
      <c r="AB3141" s="1057"/>
    </row>
    <row r="3142" ht="14.4" customHeight="1" spans="1:28">
      <c r="A3142" s="1058" t="s">
        <v>628</v>
      </c>
      <c r="B3142" s="1059"/>
      <c r="C3142" s="1059"/>
      <c r="D3142" s="1059"/>
      <c r="E3142" s="1061" t="s">
        <v>629</v>
      </c>
      <c r="F3142" s="1059"/>
      <c r="G3142" s="1059"/>
      <c r="H3142" s="1059"/>
      <c r="I3142" s="1061"/>
      <c r="J3142" s="1059"/>
      <c r="K3142" s="1059"/>
      <c r="L3142" s="1060"/>
      <c r="M3142" s="1061"/>
      <c r="N3142" s="1059"/>
      <c r="O3142" s="1059"/>
      <c r="P3142" s="1060"/>
      <c r="Q3142" s="1061"/>
      <c r="R3142" s="1059"/>
      <c r="S3142" s="1059"/>
      <c r="T3142" s="1060"/>
      <c r="U3142" s="1062"/>
      <c r="V3142" s="1063"/>
      <c r="W3142" s="1063"/>
      <c r="X3142" s="1064"/>
      <c r="Y3142" s="1065"/>
      <c r="Z3142" s="1066"/>
      <c r="AA3142" s="1066"/>
      <c r="AB3142" s="1067"/>
    </row>
    <row r="3143" ht="15.75" spans="1:28">
      <c r="A3143" s="1239">
        <v>12.9852</v>
      </c>
      <c r="B3143" s="1123"/>
      <c r="C3143" s="1123"/>
      <c r="D3143" s="1123"/>
      <c r="E3143" s="1134">
        <v>14</v>
      </c>
      <c r="F3143" s="1134"/>
      <c r="G3143" s="1134"/>
      <c r="H3143" s="1134"/>
      <c r="I3143" s="1134"/>
      <c r="J3143" s="1134"/>
      <c r="K3143" s="1134"/>
      <c r="L3143" s="1134"/>
      <c r="M3143" s="1134"/>
      <c r="N3143" s="1134"/>
      <c r="O3143" s="1134"/>
      <c r="P3143" s="1134"/>
      <c r="Q3143" s="1216"/>
      <c r="R3143" s="1217"/>
      <c r="S3143" s="1217"/>
      <c r="T3143" s="1218"/>
      <c r="U3143" s="1219"/>
      <c r="V3143" s="1220"/>
      <c r="W3143" s="1220"/>
      <c r="X3143" s="1221"/>
      <c r="Y3143" s="1135">
        <f>ROUND($A3143*$E3143,2)</f>
        <v>181.79</v>
      </c>
      <c r="Z3143" s="1135"/>
      <c r="AA3143" s="1135"/>
      <c r="AB3143" s="1136"/>
    </row>
    <row r="3144" ht="15.75" spans="1:28">
      <c r="A3144" s="1079" t="s">
        <v>630</v>
      </c>
      <c r="B3144" s="1080"/>
      <c r="C3144" s="1080"/>
      <c r="D3144" s="1080"/>
      <c r="E3144" s="1080"/>
      <c r="F3144" s="1080"/>
      <c r="G3144" s="1080"/>
      <c r="H3144" s="1080"/>
      <c r="I3144" s="1080"/>
      <c r="J3144" s="1080"/>
      <c r="K3144" s="1080"/>
      <c r="L3144" s="1080"/>
      <c r="M3144" s="1080"/>
      <c r="N3144" s="1080"/>
      <c r="O3144" s="1080"/>
      <c r="P3144" s="1080"/>
      <c r="Q3144" s="1080"/>
      <c r="R3144" s="1080"/>
      <c r="S3144" s="1080"/>
      <c r="T3144" s="1080"/>
      <c r="U3144" s="1080"/>
      <c r="V3144" s="1080"/>
      <c r="W3144" s="1080"/>
      <c r="X3144" s="1080"/>
      <c r="Y3144" s="1080"/>
      <c r="Z3144" s="1080"/>
      <c r="AA3144" s="1080"/>
      <c r="AB3144" s="1081"/>
    </row>
    <row r="3145" ht="15.75" spans="1:28">
      <c r="A3145" s="1083"/>
      <c r="AB3145" s="1044"/>
    </row>
    <row r="3146" spans="1:28">
      <c r="A3146" s="1083"/>
      <c r="K3146" s="1084" t="s">
        <v>631</v>
      </c>
      <c r="L3146" s="1085"/>
      <c r="M3146" s="1085"/>
      <c r="N3146" s="1085"/>
      <c r="O3146" s="1085"/>
      <c r="P3146" s="1085"/>
      <c r="Q3146" s="1085"/>
      <c r="R3146" s="1086"/>
      <c r="AB3146" s="1044"/>
    </row>
    <row r="3147" ht="14.4" customHeight="1" spans="1:28">
      <c r="A3147" s="1083"/>
      <c r="K3147" s="1087" t="s">
        <v>266</v>
      </c>
      <c r="L3147" s="1088"/>
      <c r="M3147" s="1088"/>
      <c r="N3147" s="1088"/>
      <c r="O3147" s="1088"/>
      <c r="P3147" s="1088"/>
      <c r="Q3147" s="1088"/>
      <c r="R3147" s="1089"/>
      <c r="AB3147" s="1044"/>
    </row>
    <row r="3148" spans="1:28">
      <c r="A3148" s="1083"/>
      <c r="K3148" s="1090"/>
      <c r="L3148" s="1091"/>
      <c r="M3148" s="1091"/>
      <c r="N3148" s="1091"/>
      <c r="O3148" s="1091"/>
      <c r="P3148" s="1091"/>
      <c r="Q3148" s="1091"/>
      <c r="R3148" s="1092"/>
      <c r="AB3148" s="1044"/>
    </row>
    <row r="3149" ht="15.75" spans="1:28">
      <c r="A3149" s="1083"/>
      <c r="K3149" s="1093">
        <f>ROUNDUP(Y3143,3)</f>
        <v>181.79</v>
      </c>
      <c r="L3149" s="1094"/>
      <c r="M3149" s="1094"/>
      <c r="N3149" s="1094"/>
      <c r="O3149" s="1094"/>
      <c r="P3149" s="1094"/>
      <c r="Q3149" s="1094"/>
      <c r="R3149" s="1095"/>
      <c r="AB3149" s="1044"/>
    </row>
    <row r="3150" ht="15.75" spans="1:28">
      <c r="A3150" s="1096"/>
      <c r="B3150" s="389"/>
      <c r="C3150" s="389"/>
      <c r="D3150" s="389"/>
      <c r="E3150" s="389"/>
      <c r="F3150" s="389"/>
      <c r="G3150" s="389"/>
      <c r="H3150" s="389"/>
      <c r="I3150" s="1097"/>
      <c r="J3150" s="1097"/>
      <c r="K3150" s="1097"/>
      <c r="L3150" s="1097"/>
      <c r="M3150" s="1097"/>
      <c r="N3150" s="1097"/>
      <c r="O3150" s="1097"/>
      <c r="P3150" s="1097"/>
      <c r="Q3150" s="389"/>
      <c r="R3150" s="389"/>
      <c r="S3150" s="389"/>
      <c r="T3150" s="389"/>
      <c r="U3150" s="389"/>
      <c r="V3150" s="389"/>
      <c r="W3150" s="389"/>
      <c r="X3150" s="389"/>
      <c r="Y3150" s="389"/>
      <c r="Z3150" s="389"/>
      <c r="AA3150" s="389"/>
      <c r="AB3150" s="1098"/>
    </row>
  </sheetData>
  <mergeCells count="3256">
    <mergeCell ref="A2:F2"/>
    <mergeCell ref="G2:AB2"/>
    <mergeCell ref="A3:F3"/>
    <mergeCell ref="G3:AB3"/>
    <mergeCell ref="A4:F4"/>
    <mergeCell ref="G4:AB4"/>
    <mergeCell ref="A5:F5"/>
    <mergeCell ref="G5:AB5"/>
    <mergeCell ref="A6:F6"/>
    <mergeCell ref="G6:AB6"/>
    <mergeCell ref="A8:AB8"/>
    <mergeCell ref="A12:AB12"/>
    <mergeCell ref="I13:L13"/>
    <mergeCell ref="M13:P13"/>
    <mergeCell ref="Q13:T13"/>
    <mergeCell ref="I14:L14"/>
    <mergeCell ref="M14:P14"/>
    <mergeCell ref="Q14:T14"/>
    <mergeCell ref="A15:D15"/>
    <mergeCell ref="E15:H15"/>
    <mergeCell ref="I15:L15"/>
    <mergeCell ref="M15:P15"/>
    <mergeCell ref="Q15:T15"/>
    <mergeCell ref="U15:X15"/>
    <mergeCell ref="Y15:AB15"/>
    <mergeCell ref="A16:AB16"/>
    <mergeCell ref="K18:R18"/>
    <mergeCell ref="K21:R21"/>
    <mergeCell ref="A25:AB25"/>
    <mergeCell ref="A26:D26"/>
    <mergeCell ref="E26:H26"/>
    <mergeCell ref="A27:D27"/>
    <mergeCell ref="E27:H27"/>
    <mergeCell ref="A28:D28"/>
    <mergeCell ref="E28:H28"/>
    <mergeCell ref="I28:L28"/>
    <mergeCell ref="M28:P28"/>
    <mergeCell ref="Q28:T28"/>
    <mergeCell ref="U28:X28"/>
    <mergeCell ref="Y28:AB28"/>
    <mergeCell ref="A29:AB29"/>
    <mergeCell ref="K31:R31"/>
    <mergeCell ref="K34:R34"/>
    <mergeCell ref="A38:AB38"/>
    <mergeCell ref="I39:L39"/>
    <mergeCell ref="M39:P39"/>
    <mergeCell ref="Q39:T39"/>
    <mergeCell ref="I40:L40"/>
    <mergeCell ref="M40:P40"/>
    <mergeCell ref="Q40:T40"/>
    <mergeCell ref="A41:D41"/>
    <mergeCell ref="E41:H41"/>
    <mergeCell ref="I41:L41"/>
    <mergeCell ref="M41:P41"/>
    <mergeCell ref="Q41:T41"/>
    <mergeCell ref="U41:X41"/>
    <mergeCell ref="Y41:AB41"/>
    <mergeCell ref="A42:AB42"/>
    <mergeCell ref="K44:R44"/>
    <mergeCell ref="K47:R47"/>
    <mergeCell ref="A51:AB51"/>
    <mergeCell ref="I52:L52"/>
    <mergeCell ref="M52:P52"/>
    <mergeCell ref="Q52:T52"/>
    <mergeCell ref="I53:L53"/>
    <mergeCell ref="M53:P53"/>
    <mergeCell ref="Q53:T53"/>
    <mergeCell ref="A54:D54"/>
    <mergeCell ref="E54:H54"/>
    <mergeCell ref="I54:L54"/>
    <mergeCell ref="M54:P54"/>
    <mergeCell ref="Q54:T54"/>
    <mergeCell ref="U54:X54"/>
    <mergeCell ref="Y54:AB54"/>
    <mergeCell ref="A55:AB55"/>
    <mergeCell ref="K57:R57"/>
    <mergeCell ref="K60:R60"/>
    <mergeCell ref="A64:AB64"/>
    <mergeCell ref="I65:L65"/>
    <mergeCell ref="M65:P65"/>
    <mergeCell ref="Q65:T65"/>
    <mergeCell ref="I66:L66"/>
    <mergeCell ref="M66:P66"/>
    <mergeCell ref="Q66:T66"/>
    <mergeCell ref="A67:D67"/>
    <mergeCell ref="E67:H67"/>
    <mergeCell ref="I67:L67"/>
    <mergeCell ref="M67:P67"/>
    <mergeCell ref="Q67:T67"/>
    <mergeCell ref="U67:X67"/>
    <mergeCell ref="Y67:AB67"/>
    <mergeCell ref="A68:AB68"/>
    <mergeCell ref="K70:R70"/>
    <mergeCell ref="K73:R73"/>
    <mergeCell ref="A98:AB98"/>
    <mergeCell ref="A99:D99"/>
    <mergeCell ref="E99:H99"/>
    <mergeCell ref="I99:L99"/>
    <mergeCell ref="M99:P99"/>
    <mergeCell ref="Q99:T99"/>
    <mergeCell ref="U99:X99"/>
    <mergeCell ref="A100:D100"/>
    <mergeCell ref="E100:H100"/>
    <mergeCell ref="I100:L100"/>
    <mergeCell ref="M100:P100"/>
    <mergeCell ref="Q100:T100"/>
    <mergeCell ref="U100:X100"/>
    <mergeCell ref="A101:D101"/>
    <mergeCell ref="E101:H101"/>
    <mergeCell ref="I101:L101"/>
    <mergeCell ref="M101:P101"/>
    <mergeCell ref="Q101:T101"/>
    <mergeCell ref="U101:X101"/>
    <mergeCell ref="Y101:AB101"/>
    <mergeCell ref="A102:AB102"/>
    <mergeCell ref="A104:AB104"/>
    <mergeCell ref="A105:D105"/>
    <mergeCell ref="E105:H105"/>
    <mergeCell ref="I105:L105"/>
    <mergeCell ref="M105:P105"/>
    <mergeCell ref="Q105:T105"/>
    <mergeCell ref="U105:X105"/>
    <mergeCell ref="A106:D106"/>
    <mergeCell ref="E106:H106"/>
    <mergeCell ref="I106:L106"/>
    <mergeCell ref="M106:P106"/>
    <mergeCell ref="Q106:T106"/>
    <mergeCell ref="U106:X106"/>
    <mergeCell ref="A107:D107"/>
    <mergeCell ref="E107:H107"/>
    <mergeCell ref="I107:L107"/>
    <mergeCell ref="M107:P107"/>
    <mergeCell ref="Q107:T107"/>
    <mergeCell ref="U107:X107"/>
    <mergeCell ref="Y107:AB107"/>
    <mergeCell ref="A108:AB108"/>
    <mergeCell ref="A110:AB110"/>
    <mergeCell ref="A111:D111"/>
    <mergeCell ref="E111:H111"/>
    <mergeCell ref="I111:L111"/>
    <mergeCell ref="M111:P111"/>
    <mergeCell ref="Q111:T111"/>
    <mergeCell ref="A112:D112"/>
    <mergeCell ref="E112:H112"/>
    <mergeCell ref="I112:L112"/>
    <mergeCell ref="M112:P112"/>
    <mergeCell ref="Q112:T112"/>
    <mergeCell ref="A113:D113"/>
    <mergeCell ref="E113:H113"/>
    <mergeCell ref="I113:L113"/>
    <mergeCell ref="M113:P113"/>
    <mergeCell ref="Q113:T113"/>
    <mergeCell ref="U113:X113"/>
    <mergeCell ref="Y113:AB113"/>
    <mergeCell ref="A114:AB114"/>
    <mergeCell ref="K116:R116"/>
    <mergeCell ref="K119:R119"/>
    <mergeCell ref="A149:AB149"/>
    <mergeCell ref="A150:D150"/>
    <mergeCell ref="E150:H150"/>
    <mergeCell ref="I150:L150"/>
    <mergeCell ref="M150:P150"/>
    <mergeCell ref="Q150:T150"/>
    <mergeCell ref="U150:X150"/>
    <mergeCell ref="A151:D151"/>
    <mergeCell ref="E151:H151"/>
    <mergeCell ref="I151:L151"/>
    <mergeCell ref="M151:P151"/>
    <mergeCell ref="Q151:T151"/>
    <mergeCell ref="U151:X151"/>
    <mergeCell ref="A152:D152"/>
    <mergeCell ref="E152:H152"/>
    <mergeCell ref="I152:L152"/>
    <mergeCell ref="M152:P152"/>
    <mergeCell ref="Q152:T152"/>
    <mergeCell ref="U152:X152"/>
    <mergeCell ref="Y152:AB152"/>
    <mergeCell ref="A153:AB153"/>
    <mergeCell ref="A155:AB155"/>
    <mergeCell ref="A156:D156"/>
    <mergeCell ref="E156:H156"/>
    <mergeCell ref="I156:L156"/>
    <mergeCell ref="M156:P156"/>
    <mergeCell ref="Q156:T156"/>
    <mergeCell ref="U156:X156"/>
    <mergeCell ref="A157:D157"/>
    <mergeCell ref="E157:H157"/>
    <mergeCell ref="I157:L157"/>
    <mergeCell ref="M157:P157"/>
    <mergeCell ref="Q157:T157"/>
    <mergeCell ref="U157:X157"/>
    <mergeCell ref="A158:D158"/>
    <mergeCell ref="E158:H158"/>
    <mergeCell ref="I158:L158"/>
    <mergeCell ref="M158:P158"/>
    <mergeCell ref="Q158:T158"/>
    <mergeCell ref="U158:X158"/>
    <mergeCell ref="Y158:AB158"/>
    <mergeCell ref="A159:AB159"/>
    <mergeCell ref="A161:AB161"/>
    <mergeCell ref="A162:D162"/>
    <mergeCell ref="E162:H162"/>
    <mergeCell ref="I162:L162"/>
    <mergeCell ref="M162:P162"/>
    <mergeCell ref="Q162:T162"/>
    <mergeCell ref="A163:D163"/>
    <mergeCell ref="E163:H163"/>
    <mergeCell ref="I163:L163"/>
    <mergeCell ref="M163:P163"/>
    <mergeCell ref="Q163:T163"/>
    <mergeCell ref="A164:D164"/>
    <mergeCell ref="E164:H164"/>
    <mergeCell ref="I164:L164"/>
    <mergeCell ref="M164:P164"/>
    <mergeCell ref="Q164:T164"/>
    <mergeCell ref="U164:X164"/>
    <mergeCell ref="Y164:AB164"/>
    <mergeCell ref="A165:AB165"/>
    <mergeCell ref="K167:R167"/>
    <mergeCell ref="K170:R170"/>
    <mergeCell ref="A194:AB194"/>
    <mergeCell ref="I195:L195"/>
    <mergeCell ref="M195:P195"/>
    <mergeCell ref="Q195:T195"/>
    <mergeCell ref="U195:X195"/>
    <mergeCell ref="Y195:AB195"/>
    <mergeCell ref="I196:L196"/>
    <mergeCell ref="M196:P196"/>
    <mergeCell ref="Q196:T196"/>
    <mergeCell ref="U196:X196"/>
    <mergeCell ref="Y196:AB196"/>
    <mergeCell ref="A197:D197"/>
    <mergeCell ref="E197:H197"/>
    <mergeCell ref="I197:L197"/>
    <mergeCell ref="M197:P197"/>
    <mergeCell ref="Q197:T197"/>
    <mergeCell ref="U197:X197"/>
    <mergeCell ref="Y197:AB197"/>
    <mergeCell ref="K199:R199"/>
    <mergeCell ref="K202:R202"/>
    <mergeCell ref="A206:AB206"/>
    <mergeCell ref="I207:L207"/>
    <mergeCell ref="M207:P207"/>
    <mergeCell ref="Q207:T207"/>
    <mergeCell ref="I208:L208"/>
    <mergeCell ref="M208:P208"/>
    <mergeCell ref="Q208:T208"/>
    <mergeCell ref="I209:L209"/>
    <mergeCell ref="M209:P209"/>
    <mergeCell ref="Q209:T209"/>
    <mergeCell ref="K211:R211"/>
    <mergeCell ref="K214:R214"/>
    <mergeCell ref="A218:AB218"/>
    <mergeCell ref="I219:L219"/>
    <mergeCell ref="M219:P219"/>
    <mergeCell ref="Q219:T219"/>
    <mergeCell ref="I220:L220"/>
    <mergeCell ref="M220:P220"/>
    <mergeCell ref="Q220:T220"/>
    <mergeCell ref="I221:L221"/>
    <mergeCell ref="M221:P221"/>
    <mergeCell ref="Q221:T221"/>
    <mergeCell ref="K223:R223"/>
    <mergeCell ref="K226:R226"/>
    <mergeCell ref="A254:AB254"/>
    <mergeCell ref="A255:D255"/>
    <mergeCell ref="E255:H255"/>
    <mergeCell ref="I255:L255"/>
    <mergeCell ref="M255:P255"/>
    <mergeCell ref="Q255:T255"/>
    <mergeCell ref="U255:X255"/>
    <mergeCell ref="A256:D256"/>
    <mergeCell ref="E256:H256"/>
    <mergeCell ref="I256:L256"/>
    <mergeCell ref="M256:P256"/>
    <mergeCell ref="Q256:T256"/>
    <mergeCell ref="U256:X256"/>
    <mergeCell ref="A257:D257"/>
    <mergeCell ref="E257:H257"/>
    <mergeCell ref="I257:L257"/>
    <mergeCell ref="M257:P257"/>
    <mergeCell ref="Q257:T257"/>
    <mergeCell ref="U257:X257"/>
    <mergeCell ref="Y257:AB257"/>
    <mergeCell ref="A258:AB258"/>
    <mergeCell ref="A260:AB260"/>
    <mergeCell ref="A261:D261"/>
    <mergeCell ref="E261:H261"/>
    <mergeCell ref="I261:L261"/>
    <mergeCell ref="M261:P261"/>
    <mergeCell ref="Q261:T261"/>
    <mergeCell ref="U261:X261"/>
    <mergeCell ref="A262:D262"/>
    <mergeCell ref="E262:H262"/>
    <mergeCell ref="I262:L262"/>
    <mergeCell ref="M262:P262"/>
    <mergeCell ref="Q262:T262"/>
    <mergeCell ref="U262:X262"/>
    <mergeCell ref="A263:D263"/>
    <mergeCell ref="E263:H263"/>
    <mergeCell ref="I263:L263"/>
    <mergeCell ref="M263:P263"/>
    <mergeCell ref="Q263:T263"/>
    <mergeCell ref="U263:X263"/>
    <mergeCell ref="Y263:AB263"/>
    <mergeCell ref="A264:AB264"/>
    <mergeCell ref="A266:AB266"/>
    <mergeCell ref="A267:D267"/>
    <mergeCell ref="E267:H267"/>
    <mergeCell ref="I267:L267"/>
    <mergeCell ref="M267:P267"/>
    <mergeCell ref="Q267:T267"/>
    <mergeCell ref="A268:D268"/>
    <mergeCell ref="E268:H268"/>
    <mergeCell ref="I268:L268"/>
    <mergeCell ref="M268:P268"/>
    <mergeCell ref="Q268:T268"/>
    <mergeCell ref="A269:D269"/>
    <mergeCell ref="E269:H269"/>
    <mergeCell ref="I269:L269"/>
    <mergeCell ref="M269:P269"/>
    <mergeCell ref="Q269:T269"/>
    <mergeCell ref="U269:X269"/>
    <mergeCell ref="Y269:AB269"/>
    <mergeCell ref="A270:AB270"/>
    <mergeCell ref="K272:R272"/>
    <mergeCell ref="K275:R275"/>
    <mergeCell ref="A305:AB305"/>
    <mergeCell ref="A306:D306"/>
    <mergeCell ref="E306:H306"/>
    <mergeCell ref="I306:L306"/>
    <mergeCell ref="M306:P306"/>
    <mergeCell ref="Q306:T306"/>
    <mergeCell ref="U306:X306"/>
    <mergeCell ref="A307:D307"/>
    <mergeCell ref="E307:H307"/>
    <mergeCell ref="I307:L307"/>
    <mergeCell ref="M307:P307"/>
    <mergeCell ref="Q307:T307"/>
    <mergeCell ref="U307:X307"/>
    <mergeCell ref="A308:D308"/>
    <mergeCell ref="E308:H308"/>
    <mergeCell ref="I308:L308"/>
    <mergeCell ref="M308:P308"/>
    <mergeCell ref="Q308:T308"/>
    <mergeCell ref="U308:X308"/>
    <mergeCell ref="Y308:AB308"/>
    <mergeCell ref="A309:AB309"/>
    <mergeCell ref="A311:AB311"/>
    <mergeCell ref="A312:D312"/>
    <mergeCell ref="E312:H312"/>
    <mergeCell ref="I312:L312"/>
    <mergeCell ref="M312:P312"/>
    <mergeCell ref="Q312:T312"/>
    <mergeCell ref="U312:X312"/>
    <mergeCell ref="A313:D313"/>
    <mergeCell ref="E313:H313"/>
    <mergeCell ref="I313:L313"/>
    <mergeCell ref="M313:P313"/>
    <mergeCell ref="Q313:T313"/>
    <mergeCell ref="U313:X313"/>
    <mergeCell ref="A314:D314"/>
    <mergeCell ref="E314:H314"/>
    <mergeCell ref="I314:L314"/>
    <mergeCell ref="M314:P314"/>
    <mergeCell ref="Q314:T314"/>
    <mergeCell ref="U314:X314"/>
    <mergeCell ref="Y314:AB314"/>
    <mergeCell ref="A315:AB315"/>
    <mergeCell ref="A317:AB317"/>
    <mergeCell ref="A318:D318"/>
    <mergeCell ref="E318:H318"/>
    <mergeCell ref="I318:L318"/>
    <mergeCell ref="M318:P318"/>
    <mergeCell ref="Q318:T318"/>
    <mergeCell ref="A319:D319"/>
    <mergeCell ref="E319:H319"/>
    <mergeCell ref="I319:L319"/>
    <mergeCell ref="M319:P319"/>
    <mergeCell ref="Q319:T319"/>
    <mergeCell ref="A320:D320"/>
    <mergeCell ref="E320:H320"/>
    <mergeCell ref="I320:L320"/>
    <mergeCell ref="M320:P320"/>
    <mergeCell ref="Q320:T320"/>
    <mergeCell ref="U320:X320"/>
    <mergeCell ref="Y320:AB320"/>
    <mergeCell ref="A321:AB321"/>
    <mergeCell ref="K323:R323"/>
    <mergeCell ref="K326:R326"/>
    <mergeCell ref="A350:AB350"/>
    <mergeCell ref="I351:L351"/>
    <mergeCell ref="M351:P351"/>
    <mergeCell ref="Q351:T351"/>
    <mergeCell ref="U351:X351"/>
    <mergeCell ref="Y351:AB351"/>
    <mergeCell ref="I352:L352"/>
    <mergeCell ref="M352:P352"/>
    <mergeCell ref="Q352:T352"/>
    <mergeCell ref="U352:X352"/>
    <mergeCell ref="Y352:AB352"/>
    <mergeCell ref="A353:D353"/>
    <mergeCell ref="E353:H353"/>
    <mergeCell ref="I353:L353"/>
    <mergeCell ref="M353:P353"/>
    <mergeCell ref="Q353:T353"/>
    <mergeCell ref="U353:X353"/>
    <mergeCell ref="Y353:AB353"/>
    <mergeCell ref="K355:R355"/>
    <mergeCell ref="K358:R358"/>
    <mergeCell ref="A362:AB362"/>
    <mergeCell ref="I363:L363"/>
    <mergeCell ref="M363:P363"/>
    <mergeCell ref="Q363:T363"/>
    <mergeCell ref="I364:L364"/>
    <mergeCell ref="M364:P364"/>
    <mergeCell ref="Q364:T364"/>
    <mergeCell ref="I365:L365"/>
    <mergeCell ref="M365:P365"/>
    <mergeCell ref="Q365:T365"/>
    <mergeCell ref="K367:R367"/>
    <mergeCell ref="K370:R370"/>
    <mergeCell ref="A374:AB374"/>
    <mergeCell ref="I375:L375"/>
    <mergeCell ref="M375:P375"/>
    <mergeCell ref="Q375:T375"/>
    <mergeCell ref="I376:L376"/>
    <mergeCell ref="M376:P376"/>
    <mergeCell ref="Q376:T376"/>
    <mergeCell ref="I377:L377"/>
    <mergeCell ref="M377:P377"/>
    <mergeCell ref="Q377:T377"/>
    <mergeCell ref="K379:R379"/>
    <mergeCell ref="K382:R382"/>
    <mergeCell ref="A401:AB401"/>
    <mergeCell ref="A402:D402"/>
    <mergeCell ref="E402:H402"/>
    <mergeCell ref="I402:L402"/>
    <mergeCell ref="A403:D403"/>
    <mergeCell ref="E403:H403"/>
    <mergeCell ref="I403:L403"/>
    <mergeCell ref="A404:D404"/>
    <mergeCell ref="E404:H404"/>
    <mergeCell ref="I404:L404"/>
    <mergeCell ref="M404:P404"/>
    <mergeCell ref="Q404:T404"/>
    <mergeCell ref="U404:X404"/>
    <mergeCell ref="Y404:AB404"/>
    <mergeCell ref="A405:AB405"/>
    <mergeCell ref="A407:AB407"/>
    <mergeCell ref="A408:D408"/>
    <mergeCell ref="E408:H408"/>
    <mergeCell ref="I408:L408"/>
    <mergeCell ref="A409:D409"/>
    <mergeCell ref="E409:H409"/>
    <mergeCell ref="I409:L409"/>
    <mergeCell ref="A410:D410"/>
    <mergeCell ref="E410:H410"/>
    <mergeCell ref="I410:L410"/>
    <mergeCell ref="M410:P410"/>
    <mergeCell ref="Q410:T410"/>
    <mergeCell ref="U410:X410"/>
    <mergeCell ref="Y410:AB410"/>
    <mergeCell ref="A411:AB411"/>
    <mergeCell ref="A413:AB413"/>
    <mergeCell ref="A414:D414"/>
    <mergeCell ref="E414:H414"/>
    <mergeCell ref="I414:L414"/>
    <mergeCell ref="A415:D415"/>
    <mergeCell ref="E415:H415"/>
    <mergeCell ref="I415:L415"/>
    <mergeCell ref="A416:D416"/>
    <mergeCell ref="E416:H416"/>
    <mergeCell ref="I416:L416"/>
    <mergeCell ref="M416:P416"/>
    <mergeCell ref="Q416:T416"/>
    <mergeCell ref="U416:X416"/>
    <mergeCell ref="Y416:AB416"/>
    <mergeCell ref="A417:AB417"/>
    <mergeCell ref="A419:AB419"/>
    <mergeCell ref="A420:D420"/>
    <mergeCell ref="E420:H420"/>
    <mergeCell ref="I420:L420"/>
    <mergeCell ref="M420:P420"/>
    <mergeCell ref="A421:D421"/>
    <mergeCell ref="E421:H421"/>
    <mergeCell ref="I421:L421"/>
    <mergeCell ref="M421:P421"/>
    <mergeCell ref="A422:D422"/>
    <mergeCell ref="E422:H422"/>
    <mergeCell ref="I422:L422"/>
    <mergeCell ref="M422:P422"/>
    <mergeCell ref="Q422:T422"/>
    <mergeCell ref="U422:X422"/>
    <mergeCell ref="Y422:AB422"/>
    <mergeCell ref="A423:AB423"/>
    <mergeCell ref="K425:R425"/>
    <mergeCell ref="K428:R428"/>
    <mergeCell ref="A447:AB447"/>
    <mergeCell ref="A448:D448"/>
    <mergeCell ref="E448:H448"/>
    <mergeCell ref="I448:L448"/>
    <mergeCell ref="A449:D449"/>
    <mergeCell ref="E449:H449"/>
    <mergeCell ref="I449:L449"/>
    <mergeCell ref="A450:D450"/>
    <mergeCell ref="E450:H450"/>
    <mergeCell ref="I450:L450"/>
    <mergeCell ref="M450:P450"/>
    <mergeCell ref="Q450:T450"/>
    <mergeCell ref="U450:X450"/>
    <mergeCell ref="Y450:AB450"/>
    <mergeCell ref="A451:AB451"/>
    <mergeCell ref="A453:AB453"/>
    <mergeCell ref="A454:D454"/>
    <mergeCell ref="E454:H454"/>
    <mergeCell ref="I454:L454"/>
    <mergeCell ref="A455:D455"/>
    <mergeCell ref="E455:H455"/>
    <mergeCell ref="I455:L455"/>
    <mergeCell ref="A456:D456"/>
    <mergeCell ref="E456:H456"/>
    <mergeCell ref="I456:L456"/>
    <mergeCell ref="M456:P456"/>
    <mergeCell ref="Q456:T456"/>
    <mergeCell ref="U456:X456"/>
    <mergeCell ref="Y456:AB456"/>
    <mergeCell ref="A457:AB457"/>
    <mergeCell ref="A459:AB459"/>
    <mergeCell ref="A460:D460"/>
    <mergeCell ref="E460:H460"/>
    <mergeCell ref="I460:L460"/>
    <mergeCell ref="A461:D461"/>
    <mergeCell ref="E461:H461"/>
    <mergeCell ref="I461:L461"/>
    <mergeCell ref="A462:D462"/>
    <mergeCell ref="E462:H462"/>
    <mergeCell ref="I462:L462"/>
    <mergeCell ref="M462:P462"/>
    <mergeCell ref="Q462:T462"/>
    <mergeCell ref="U462:X462"/>
    <mergeCell ref="Y462:AB462"/>
    <mergeCell ref="A463:AB463"/>
    <mergeCell ref="K465:R465"/>
    <mergeCell ref="K468:R468"/>
    <mergeCell ref="A487:AB487"/>
    <mergeCell ref="A488:D488"/>
    <mergeCell ref="E488:H488"/>
    <mergeCell ref="I488:L488"/>
    <mergeCell ref="A489:D489"/>
    <mergeCell ref="E489:H489"/>
    <mergeCell ref="I489:L489"/>
    <mergeCell ref="A490:D490"/>
    <mergeCell ref="E490:H490"/>
    <mergeCell ref="I490:L490"/>
    <mergeCell ref="M490:P490"/>
    <mergeCell ref="Q490:T490"/>
    <mergeCell ref="U490:X490"/>
    <mergeCell ref="Y490:AB490"/>
    <mergeCell ref="A491:AB491"/>
    <mergeCell ref="A493:AB493"/>
    <mergeCell ref="A494:D494"/>
    <mergeCell ref="E494:H494"/>
    <mergeCell ref="I494:L494"/>
    <mergeCell ref="A495:D495"/>
    <mergeCell ref="E495:H495"/>
    <mergeCell ref="I495:L495"/>
    <mergeCell ref="A496:D496"/>
    <mergeCell ref="E496:H496"/>
    <mergeCell ref="I496:L496"/>
    <mergeCell ref="M496:P496"/>
    <mergeCell ref="Q496:T496"/>
    <mergeCell ref="U496:X496"/>
    <mergeCell ref="Y496:AB496"/>
    <mergeCell ref="A497:AB497"/>
    <mergeCell ref="A499:AB499"/>
    <mergeCell ref="A500:D500"/>
    <mergeCell ref="E500:H500"/>
    <mergeCell ref="I500:L500"/>
    <mergeCell ref="A501:D501"/>
    <mergeCell ref="E501:H501"/>
    <mergeCell ref="I501:L501"/>
    <mergeCell ref="A502:D502"/>
    <mergeCell ref="E502:H502"/>
    <mergeCell ref="I502:L502"/>
    <mergeCell ref="M502:P502"/>
    <mergeCell ref="Q502:T502"/>
    <mergeCell ref="U502:X502"/>
    <mergeCell ref="Y502:AB502"/>
    <mergeCell ref="A503:AB503"/>
    <mergeCell ref="A505:AB505"/>
    <mergeCell ref="A506:D506"/>
    <mergeCell ref="E506:H506"/>
    <mergeCell ref="I506:L506"/>
    <mergeCell ref="M506:P506"/>
    <mergeCell ref="A507:D507"/>
    <mergeCell ref="E507:H507"/>
    <mergeCell ref="I507:L507"/>
    <mergeCell ref="M507:P507"/>
    <mergeCell ref="A508:D508"/>
    <mergeCell ref="E508:H508"/>
    <mergeCell ref="I508:L508"/>
    <mergeCell ref="M508:P508"/>
    <mergeCell ref="Q508:T508"/>
    <mergeCell ref="U508:X508"/>
    <mergeCell ref="Y508:AB508"/>
    <mergeCell ref="A509:AB509"/>
    <mergeCell ref="K511:R511"/>
    <mergeCell ref="K514:R514"/>
    <mergeCell ref="A596:AB596"/>
    <mergeCell ref="I597:L597"/>
    <mergeCell ref="M597:P597"/>
    <mergeCell ref="Q597:T597"/>
    <mergeCell ref="U597:X597"/>
    <mergeCell ref="Y597:AB597"/>
    <mergeCell ref="I598:L598"/>
    <mergeCell ref="M598:P598"/>
    <mergeCell ref="Q598:T598"/>
    <mergeCell ref="U598:X598"/>
    <mergeCell ref="Y598:AB598"/>
    <mergeCell ref="A599:D599"/>
    <mergeCell ref="E599:H599"/>
    <mergeCell ref="I599:L599"/>
    <mergeCell ref="M599:P599"/>
    <mergeCell ref="Q599:T599"/>
    <mergeCell ref="U599:X599"/>
    <mergeCell ref="Y599:AB599"/>
    <mergeCell ref="A600:D600"/>
    <mergeCell ref="E600:H600"/>
    <mergeCell ref="I600:L600"/>
    <mergeCell ref="M600:P600"/>
    <mergeCell ref="Q600:T600"/>
    <mergeCell ref="U600:X600"/>
    <mergeCell ref="Y600:AB600"/>
    <mergeCell ref="A601:D601"/>
    <mergeCell ref="E601:H601"/>
    <mergeCell ref="I601:L601"/>
    <mergeCell ref="M601:P601"/>
    <mergeCell ref="Q601:T601"/>
    <mergeCell ref="U601:X601"/>
    <mergeCell ref="Y601:AB601"/>
    <mergeCell ref="A602:D602"/>
    <mergeCell ref="E602:H602"/>
    <mergeCell ref="I602:L602"/>
    <mergeCell ref="M602:P602"/>
    <mergeCell ref="Q602:T602"/>
    <mergeCell ref="U602:X602"/>
    <mergeCell ref="Y602:AB602"/>
    <mergeCell ref="A603:D603"/>
    <mergeCell ref="E603:H603"/>
    <mergeCell ref="I603:L603"/>
    <mergeCell ref="M603:P603"/>
    <mergeCell ref="Q603:T603"/>
    <mergeCell ref="U603:X603"/>
    <mergeCell ref="Y603:AB603"/>
    <mergeCell ref="A604:D604"/>
    <mergeCell ref="E604:H604"/>
    <mergeCell ref="I604:L604"/>
    <mergeCell ref="M604:P604"/>
    <mergeCell ref="Q604:T604"/>
    <mergeCell ref="U604:X604"/>
    <mergeCell ref="Y604:AB604"/>
    <mergeCell ref="A605:D605"/>
    <mergeCell ref="E605:H605"/>
    <mergeCell ref="I605:L605"/>
    <mergeCell ref="M605:P605"/>
    <mergeCell ref="Q605:T605"/>
    <mergeCell ref="U605:X605"/>
    <mergeCell ref="Y605:AB605"/>
    <mergeCell ref="A606:D606"/>
    <mergeCell ref="E606:H606"/>
    <mergeCell ref="I606:L606"/>
    <mergeCell ref="M606:P606"/>
    <mergeCell ref="Q606:T606"/>
    <mergeCell ref="U606:X606"/>
    <mergeCell ref="Y606:AB606"/>
    <mergeCell ref="A607:D607"/>
    <mergeCell ref="E607:H607"/>
    <mergeCell ref="I607:L607"/>
    <mergeCell ref="M607:P607"/>
    <mergeCell ref="Q607:T607"/>
    <mergeCell ref="U607:X607"/>
    <mergeCell ref="Y607:AB607"/>
    <mergeCell ref="A608:D608"/>
    <mergeCell ref="E608:H608"/>
    <mergeCell ref="I608:L608"/>
    <mergeCell ref="M608:P608"/>
    <mergeCell ref="Q608:T608"/>
    <mergeCell ref="U608:X608"/>
    <mergeCell ref="Y608:AB608"/>
    <mergeCell ref="K610:R610"/>
    <mergeCell ref="K613:R613"/>
    <mergeCell ref="A644:AB644"/>
    <mergeCell ref="A645:D645"/>
    <mergeCell ref="E645:H645"/>
    <mergeCell ref="I645:L645"/>
    <mergeCell ref="M645:P645"/>
    <mergeCell ref="Q645:T645"/>
    <mergeCell ref="U645:X645"/>
    <mergeCell ref="A646:D646"/>
    <mergeCell ref="E646:H646"/>
    <mergeCell ref="I646:L646"/>
    <mergeCell ref="M646:P646"/>
    <mergeCell ref="Q646:T646"/>
    <mergeCell ref="U646:X646"/>
    <mergeCell ref="A647:D647"/>
    <mergeCell ref="E647:H647"/>
    <mergeCell ref="I647:L647"/>
    <mergeCell ref="M647:P647"/>
    <mergeCell ref="Q647:T647"/>
    <mergeCell ref="U647:X647"/>
    <mergeCell ref="Y647:AB647"/>
    <mergeCell ref="A648:AB648"/>
    <mergeCell ref="A650:AB650"/>
    <mergeCell ref="A651:D651"/>
    <mergeCell ref="E651:H651"/>
    <mergeCell ref="I651:L651"/>
    <mergeCell ref="M651:P651"/>
    <mergeCell ref="Q651:T651"/>
    <mergeCell ref="U651:X651"/>
    <mergeCell ref="A652:D652"/>
    <mergeCell ref="E652:H652"/>
    <mergeCell ref="I652:L652"/>
    <mergeCell ref="M652:P652"/>
    <mergeCell ref="Q652:T652"/>
    <mergeCell ref="U652:X652"/>
    <mergeCell ref="A653:D653"/>
    <mergeCell ref="E653:H653"/>
    <mergeCell ref="I653:L653"/>
    <mergeCell ref="M653:P653"/>
    <mergeCell ref="Q653:T653"/>
    <mergeCell ref="U653:X653"/>
    <mergeCell ref="Y653:AB653"/>
    <mergeCell ref="A654:AB654"/>
    <mergeCell ref="A656:AB656"/>
    <mergeCell ref="A657:D657"/>
    <mergeCell ref="E657:H657"/>
    <mergeCell ref="I657:L657"/>
    <mergeCell ref="M657:P657"/>
    <mergeCell ref="Q657:T657"/>
    <mergeCell ref="A658:D658"/>
    <mergeCell ref="E658:H658"/>
    <mergeCell ref="I658:L658"/>
    <mergeCell ref="M658:P658"/>
    <mergeCell ref="Q658:T658"/>
    <mergeCell ref="A659:D659"/>
    <mergeCell ref="E659:H659"/>
    <mergeCell ref="I659:L659"/>
    <mergeCell ref="M659:P659"/>
    <mergeCell ref="Q659:T659"/>
    <mergeCell ref="U659:X659"/>
    <mergeCell ref="Y659:AB659"/>
    <mergeCell ref="A660:AB660"/>
    <mergeCell ref="K662:S662"/>
    <mergeCell ref="K665:S665"/>
    <mergeCell ref="A694:AB694"/>
    <mergeCell ref="A695:D695"/>
    <mergeCell ref="E695:H695"/>
    <mergeCell ref="I695:L695"/>
    <mergeCell ref="M695:P695"/>
    <mergeCell ref="Q695:T695"/>
    <mergeCell ref="U695:X695"/>
    <mergeCell ref="A696:D696"/>
    <mergeCell ref="E696:H696"/>
    <mergeCell ref="I696:L696"/>
    <mergeCell ref="M696:P696"/>
    <mergeCell ref="Q696:T696"/>
    <mergeCell ref="U696:X696"/>
    <mergeCell ref="A697:D697"/>
    <mergeCell ref="E697:H697"/>
    <mergeCell ref="I697:L697"/>
    <mergeCell ref="M697:P697"/>
    <mergeCell ref="Q697:T697"/>
    <mergeCell ref="U697:X697"/>
    <mergeCell ref="Y697:AB697"/>
    <mergeCell ref="A699:AB699"/>
    <mergeCell ref="A701:AB701"/>
    <mergeCell ref="A702:D702"/>
    <mergeCell ref="E702:H702"/>
    <mergeCell ref="I702:L702"/>
    <mergeCell ref="M702:P702"/>
    <mergeCell ref="Q702:T702"/>
    <mergeCell ref="U702:X702"/>
    <mergeCell ref="A703:D703"/>
    <mergeCell ref="E703:H703"/>
    <mergeCell ref="I703:L703"/>
    <mergeCell ref="M703:P703"/>
    <mergeCell ref="Q703:T703"/>
    <mergeCell ref="U703:X703"/>
    <mergeCell ref="A704:D704"/>
    <mergeCell ref="E704:H704"/>
    <mergeCell ref="I704:L704"/>
    <mergeCell ref="M704:P704"/>
    <mergeCell ref="Q704:T704"/>
    <mergeCell ref="U704:X704"/>
    <mergeCell ref="Y704:AB704"/>
    <mergeCell ref="A706:AB706"/>
    <mergeCell ref="A708:AB708"/>
    <mergeCell ref="A709:D709"/>
    <mergeCell ref="E709:H709"/>
    <mergeCell ref="I709:L709"/>
    <mergeCell ref="M709:P709"/>
    <mergeCell ref="Q709:T709"/>
    <mergeCell ref="A710:D710"/>
    <mergeCell ref="E710:H710"/>
    <mergeCell ref="I710:L710"/>
    <mergeCell ref="M710:P710"/>
    <mergeCell ref="Q710:T710"/>
    <mergeCell ref="A711:D711"/>
    <mergeCell ref="E711:H711"/>
    <mergeCell ref="I711:L711"/>
    <mergeCell ref="M711:P711"/>
    <mergeCell ref="Q711:T711"/>
    <mergeCell ref="U711:X711"/>
    <mergeCell ref="Y711:AB711"/>
    <mergeCell ref="A713:AB713"/>
    <mergeCell ref="K715:S715"/>
    <mergeCell ref="K718:S718"/>
    <mergeCell ref="A747:AB747"/>
    <mergeCell ref="A748:D748"/>
    <mergeCell ref="E748:H748"/>
    <mergeCell ref="I748:L748"/>
    <mergeCell ref="M748:P748"/>
    <mergeCell ref="Q748:T748"/>
    <mergeCell ref="A749:D749"/>
    <mergeCell ref="E749:H749"/>
    <mergeCell ref="I749:L749"/>
    <mergeCell ref="M749:P749"/>
    <mergeCell ref="Q749:T749"/>
    <mergeCell ref="A750:D750"/>
    <mergeCell ref="E750:H750"/>
    <mergeCell ref="I750:L750"/>
    <mergeCell ref="M750:P750"/>
    <mergeCell ref="Q750:T750"/>
    <mergeCell ref="U750:X750"/>
    <mergeCell ref="Y750:AB750"/>
    <mergeCell ref="A752:AB752"/>
    <mergeCell ref="A754:AB754"/>
    <mergeCell ref="A755:D755"/>
    <mergeCell ref="E755:H755"/>
    <mergeCell ref="I755:L755"/>
    <mergeCell ref="M755:P755"/>
    <mergeCell ref="Q755:T755"/>
    <mergeCell ref="A756:D756"/>
    <mergeCell ref="E756:H756"/>
    <mergeCell ref="I756:L756"/>
    <mergeCell ref="M756:P756"/>
    <mergeCell ref="Q756:T756"/>
    <mergeCell ref="A757:D757"/>
    <mergeCell ref="E757:H757"/>
    <mergeCell ref="I757:L757"/>
    <mergeCell ref="M757:P757"/>
    <mergeCell ref="Q757:T757"/>
    <mergeCell ref="U757:X757"/>
    <mergeCell ref="Y757:AB757"/>
    <mergeCell ref="A759:AB759"/>
    <mergeCell ref="A761:X761"/>
    <mergeCell ref="A762:D762"/>
    <mergeCell ref="E762:H762"/>
    <mergeCell ref="I762:L762"/>
    <mergeCell ref="M762:P762"/>
    <mergeCell ref="A763:D763"/>
    <mergeCell ref="E763:H763"/>
    <mergeCell ref="I763:L763"/>
    <mergeCell ref="M763:P763"/>
    <mergeCell ref="A764:D764"/>
    <mergeCell ref="E764:H764"/>
    <mergeCell ref="I764:L764"/>
    <mergeCell ref="M764:P764"/>
    <mergeCell ref="Q764:T764"/>
    <mergeCell ref="U764:X764"/>
    <mergeCell ref="Y764:AB764"/>
    <mergeCell ref="A766:AB766"/>
    <mergeCell ref="K768:S768"/>
    <mergeCell ref="K771:S771"/>
    <mergeCell ref="A790:AB790"/>
    <mergeCell ref="A791:D791"/>
    <mergeCell ref="E791:H791"/>
    <mergeCell ref="I791:L791"/>
    <mergeCell ref="A792:D792"/>
    <mergeCell ref="E792:H792"/>
    <mergeCell ref="I792:L792"/>
    <mergeCell ref="A793:D793"/>
    <mergeCell ref="E793:H793"/>
    <mergeCell ref="I793:L793"/>
    <mergeCell ref="M793:P793"/>
    <mergeCell ref="Q793:T793"/>
    <mergeCell ref="U793:X793"/>
    <mergeCell ref="Y793:AB793"/>
    <mergeCell ref="A794:AB794"/>
    <mergeCell ref="A796:AB796"/>
    <mergeCell ref="A797:D797"/>
    <mergeCell ref="E797:H797"/>
    <mergeCell ref="I797:L797"/>
    <mergeCell ref="A798:D798"/>
    <mergeCell ref="E798:H798"/>
    <mergeCell ref="I798:L798"/>
    <mergeCell ref="A799:D799"/>
    <mergeCell ref="E799:H799"/>
    <mergeCell ref="I799:L799"/>
    <mergeCell ref="M799:P799"/>
    <mergeCell ref="Q799:T799"/>
    <mergeCell ref="U799:X799"/>
    <mergeCell ref="Y799:AB799"/>
    <mergeCell ref="A800:AB800"/>
    <mergeCell ref="A802:AB802"/>
    <mergeCell ref="A803:D803"/>
    <mergeCell ref="E803:H803"/>
    <mergeCell ref="I803:L803"/>
    <mergeCell ref="A804:D804"/>
    <mergeCell ref="E804:H804"/>
    <mergeCell ref="I804:L804"/>
    <mergeCell ref="A805:D805"/>
    <mergeCell ref="E805:H805"/>
    <mergeCell ref="I805:L805"/>
    <mergeCell ref="M805:P805"/>
    <mergeCell ref="Q805:T805"/>
    <mergeCell ref="U805:X805"/>
    <mergeCell ref="Y805:AB805"/>
    <mergeCell ref="A806:AB806"/>
    <mergeCell ref="A808:AB808"/>
    <mergeCell ref="A809:D809"/>
    <mergeCell ref="E809:H809"/>
    <mergeCell ref="I809:L809"/>
    <mergeCell ref="M809:P809"/>
    <mergeCell ref="A810:D810"/>
    <mergeCell ref="E810:H810"/>
    <mergeCell ref="I810:L810"/>
    <mergeCell ref="M810:P810"/>
    <mergeCell ref="A811:D811"/>
    <mergeCell ref="E811:H811"/>
    <mergeCell ref="I811:L811"/>
    <mergeCell ref="M811:P811"/>
    <mergeCell ref="Q811:T811"/>
    <mergeCell ref="U811:X811"/>
    <mergeCell ref="Y811:AB811"/>
    <mergeCell ref="A812:AB812"/>
    <mergeCell ref="K814:R814"/>
    <mergeCell ref="K817:R817"/>
    <mergeCell ref="A836:AB836"/>
    <mergeCell ref="A837:D837"/>
    <mergeCell ref="E837:H837"/>
    <mergeCell ref="I837:L837"/>
    <mergeCell ref="A838:D838"/>
    <mergeCell ref="E838:H838"/>
    <mergeCell ref="I838:L838"/>
    <mergeCell ref="A839:D839"/>
    <mergeCell ref="E839:H839"/>
    <mergeCell ref="I839:L839"/>
    <mergeCell ref="M839:P839"/>
    <mergeCell ref="Q839:T839"/>
    <mergeCell ref="U839:X839"/>
    <mergeCell ref="Y839:AB839"/>
    <mergeCell ref="A840:AB840"/>
    <mergeCell ref="A842:AB842"/>
    <mergeCell ref="A843:D843"/>
    <mergeCell ref="E843:H843"/>
    <mergeCell ref="I843:L843"/>
    <mergeCell ref="A844:D844"/>
    <mergeCell ref="E844:H844"/>
    <mergeCell ref="I844:L844"/>
    <mergeCell ref="A845:D845"/>
    <mergeCell ref="E845:H845"/>
    <mergeCell ref="I845:L845"/>
    <mergeCell ref="M845:P845"/>
    <mergeCell ref="Q845:T845"/>
    <mergeCell ref="U845:X845"/>
    <mergeCell ref="Y845:AB845"/>
    <mergeCell ref="A846:AB846"/>
    <mergeCell ref="A848:AB848"/>
    <mergeCell ref="A849:D849"/>
    <mergeCell ref="E849:H849"/>
    <mergeCell ref="I849:L849"/>
    <mergeCell ref="A850:D850"/>
    <mergeCell ref="E850:H850"/>
    <mergeCell ref="I850:L850"/>
    <mergeCell ref="A851:D851"/>
    <mergeCell ref="E851:H851"/>
    <mergeCell ref="I851:L851"/>
    <mergeCell ref="M851:P851"/>
    <mergeCell ref="Q851:T851"/>
    <mergeCell ref="U851:X851"/>
    <mergeCell ref="Y851:AB851"/>
    <mergeCell ref="A852:AB852"/>
    <mergeCell ref="A854:AB854"/>
    <mergeCell ref="A855:D855"/>
    <mergeCell ref="E855:H855"/>
    <mergeCell ref="I855:L855"/>
    <mergeCell ref="M855:P855"/>
    <mergeCell ref="A856:D856"/>
    <mergeCell ref="E856:H856"/>
    <mergeCell ref="I856:L856"/>
    <mergeCell ref="M856:P856"/>
    <mergeCell ref="A857:D857"/>
    <mergeCell ref="E857:H857"/>
    <mergeCell ref="I857:L857"/>
    <mergeCell ref="M857:P857"/>
    <mergeCell ref="Q857:T857"/>
    <mergeCell ref="U857:X857"/>
    <mergeCell ref="Y857:AB857"/>
    <mergeCell ref="A858:AB858"/>
    <mergeCell ref="K860:R860"/>
    <mergeCell ref="K863:R863"/>
    <mergeCell ref="A882:AB882"/>
    <mergeCell ref="A883:D883"/>
    <mergeCell ref="E883:H883"/>
    <mergeCell ref="I883:L883"/>
    <mergeCell ref="A884:D884"/>
    <mergeCell ref="E884:H884"/>
    <mergeCell ref="I884:L884"/>
    <mergeCell ref="A885:D885"/>
    <mergeCell ref="E885:H885"/>
    <mergeCell ref="I885:L885"/>
    <mergeCell ref="M885:P885"/>
    <mergeCell ref="Q885:T885"/>
    <mergeCell ref="U885:X885"/>
    <mergeCell ref="Y885:AB885"/>
    <mergeCell ref="A886:AB886"/>
    <mergeCell ref="A888:AB888"/>
    <mergeCell ref="A889:D889"/>
    <mergeCell ref="E889:H889"/>
    <mergeCell ref="I889:L889"/>
    <mergeCell ref="A890:D890"/>
    <mergeCell ref="E890:H890"/>
    <mergeCell ref="I890:L890"/>
    <mergeCell ref="A891:D891"/>
    <mergeCell ref="E891:H891"/>
    <mergeCell ref="I891:L891"/>
    <mergeCell ref="M891:P891"/>
    <mergeCell ref="Q891:T891"/>
    <mergeCell ref="U891:X891"/>
    <mergeCell ref="Y891:AB891"/>
    <mergeCell ref="A892:AB892"/>
    <mergeCell ref="A894:AB894"/>
    <mergeCell ref="A895:D895"/>
    <mergeCell ref="E895:H895"/>
    <mergeCell ref="I895:L895"/>
    <mergeCell ref="A896:D896"/>
    <mergeCell ref="E896:H896"/>
    <mergeCell ref="I896:L896"/>
    <mergeCell ref="A897:D897"/>
    <mergeCell ref="E897:H897"/>
    <mergeCell ref="I897:L897"/>
    <mergeCell ref="M897:P897"/>
    <mergeCell ref="Q897:T897"/>
    <mergeCell ref="U897:X897"/>
    <mergeCell ref="Y897:AB897"/>
    <mergeCell ref="A898:AB898"/>
    <mergeCell ref="K900:R900"/>
    <mergeCell ref="K903:R903"/>
    <mergeCell ref="A922:AB922"/>
    <mergeCell ref="A923:D923"/>
    <mergeCell ref="E923:H923"/>
    <mergeCell ref="I923:L923"/>
    <mergeCell ref="A924:D924"/>
    <mergeCell ref="E924:H924"/>
    <mergeCell ref="I924:L924"/>
    <mergeCell ref="A925:D925"/>
    <mergeCell ref="E925:H925"/>
    <mergeCell ref="I925:L925"/>
    <mergeCell ref="M925:P925"/>
    <mergeCell ref="Q925:T925"/>
    <mergeCell ref="U925:X925"/>
    <mergeCell ref="Y925:AB925"/>
    <mergeCell ref="A926:AB926"/>
    <mergeCell ref="A928:AB928"/>
    <mergeCell ref="A929:D929"/>
    <mergeCell ref="E929:H929"/>
    <mergeCell ref="I929:L929"/>
    <mergeCell ref="A930:D930"/>
    <mergeCell ref="E930:H930"/>
    <mergeCell ref="I930:L930"/>
    <mergeCell ref="A931:D931"/>
    <mergeCell ref="E931:H931"/>
    <mergeCell ref="I931:L931"/>
    <mergeCell ref="M931:P931"/>
    <mergeCell ref="Q931:T931"/>
    <mergeCell ref="U931:X931"/>
    <mergeCell ref="Y931:AB931"/>
    <mergeCell ref="A932:AB932"/>
    <mergeCell ref="A934:AB934"/>
    <mergeCell ref="A935:D935"/>
    <mergeCell ref="E935:H935"/>
    <mergeCell ref="I935:L935"/>
    <mergeCell ref="A936:D936"/>
    <mergeCell ref="E936:H936"/>
    <mergeCell ref="I936:L936"/>
    <mergeCell ref="A937:D937"/>
    <mergeCell ref="E937:H937"/>
    <mergeCell ref="I937:L937"/>
    <mergeCell ref="M937:P937"/>
    <mergeCell ref="Q937:T937"/>
    <mergeCell ref="U937:X937"/>
    <mergeCell ref="Y937:AB937"/>
    <mergeCell ref="A938:AB938"/>
    <mergeCell ref="A940:AB940"/>
    <mergeCell ref="A941:D941"/>
    <mergeCell ref="E941:H941"/>
    <mergeCell ref="I941:L941"/>
    <mergeCell ref="M941:P941"/>
    <mergeCell ref="A942:D942"/>
    <mergeCell ref="E942:H942"/>
    <mergeCell ref="I942:L942"/>
    <mergeCell ref="M942:P942"/>
    <mergeCell ref="A943:D943"/>
    <mergeCell ref="E943:H943"/>
    <mergeCell ref="I943:L943"/>
    <mergeCell ref="M943:P943"/>
    <mergeCell ref="Q943:T943"/>
    <mergeCell ref="U943:X943"/>
    <mergeCell ref="Y943:AB943"/>
    <mergeCell ref="A944:AB944"/>
    <mergeCell ref="K946:R946"/>
    <mergeCell ref="K949:R949"/>
    <mergeCell ref="A1031:AB1031"/>
    <mergeCell ref="I1032:L1032"/>
    <mergeCell ref="M1032:P1032"/>
    <mergeCell ref="Q1032:T1032"/>
    <mergeCell ref="U1032:X1032"/>
    <mergeCell ref="Y1032:AB1032"/>
    <mergeCell ref="I1033:L1033"/>
    <mergeCell ref="M1033:P1033"/>
    <mergeCell ref="Q1033:T1033"/>
    <mergeCell ref="U1033:X1033"/>
    <mergeCell ref="Y1033:AB1033"/>
    <mergeCell ref="A1034:D1034"/>
    <mergeCell ref="E1034:H1034"/>
    <mergeCell ref="I1034:L1034"/>
    <mergeCell ref="M1034:P1034"/>
    <mergeCell ref="Q1034:T1034"/>
    <mergeCell ref="U1034:X1034"/>
    <mergeCell ref="Y1034:AB1034"/>
    <mergeCell ref="A1035:D1035"/>
    <mergeCell ref="E1035:H1035"/>
    <mergeCell ref="I1035:L1035"/>
    <mergeCell ref="M1035:P1035"/>
    <mergeCell ref="Q1035:T1035"/>
    <mergeCell ref="U1035:X1035"/>
    <mergeCell ref="Y1035:AB1035"/>
    <mergeCell ref="A1036:D1036"/>
    <mergeCell ref="E1036:H1036"/>
    <mergeCell ref="I1036:L1036"/>
    <mergeCell ref="M1036:P1036"/>
    <mergeCell ref="Q1036:T1036"/>
    <mergeCell ref="U1036:X1036"/>
    <mergeCell ref="Y1036:AB1036"/>
    <mergeCell ref="A1037:D1037"/>
    <mergeCell ref="E1037:H1037"/>
    <mergeCell ref="I1037:L1037"/>
    <mergeCell ref="M1037:P1037"/>
    <mergeCell ref="Q1037:T1037"/>
    <mergeCell ref="U1037:X1037"/>
    <mergeCell ref="Y1037:AB1037"/>
    <mergeCell ref="A1038:D1038"/>
    <mergeCell ref="E1038:H1038"/>
    <mergeCell ref="I1038:L1038"/>
    <mergeCell ref="M1038:P1038"/>
    <mergeCell ref="Q1038:T1038"/>
    <mergeCell ref="U1038:X1038"/>
    <mergeCell ref="Y1038:AB1038"/>
    <mergeCell ref="A1039:D1039"/>
    <mergeCell ref="E1039:H1039"/>
    <mergeCell ref="I1039:L1039"/>
    <mergeCell ref="M1039:P1039"/>
    <mergeCell ref="Q1039:T1039"/>
    <mergeCell ref="U1039:X1039"/>
    <mergeCell ref="Y1039:AB1039"/>
    <mergeCell ref="A1040:D1040"/>
    <mergeCell ref="E1040:H1040"/>
    <mergeCell ref="I1040:L1040"/>
    <mergeCell ref="M1040:P1040"/>
    <mergeCell ref="Q1040:T1040"/>
    <mergeCell ref="U1040:X1040"/>
    <mergeCell ref="Y1040:AB1040"/>
    <mergeCell ref="A1041:D1041"/>
    <mergeCell ref="E1041:H1041"/>
    <mergeCell ref="I1041:L1041"/>
    <mergeCell ref="M1041:P1041"/>
    <mergeCell ref="Q1041:T1041"/>
    <mergeCell ref="U1041:X1041"/>
    <mergeCell ref="Y1041:AB1041"/>
    <mergeCell ref="A1042:D1042"/>
    <mergeCell ref="E1042:H1042"/>
    <mergeCell ref="I1042:L1042"/>
    <mergeCell ref="M1042:P1042"/>
    <mergeCell ref="Q1042:T1042"/>
    <mergeCell ref="U1042:X1042"/>
    <mergeCell ref="Y1042:AB1042"/>
    <mergeCell ref="A1043:D1043"/>
    <mergeCell ref="E1043:H1043"/>
    <mergeCell ref="I1043:L1043"/>
    <mergeCell ref="M1043:P1043"/>
    <mergeCell ref="Q1043:T1043"/>
    <mergeCell ref="U1043:X1043"/>
    <mergeCell ref="Y1043:AB1043"/>
    <mergeCell ref="K1045:R1045"/>
    <mergeCell ref="K1048:R1048"/>
    <mergeCell ref="A1079:AB1079"/>
    <mergeCell ref="A1080:D1080"/>
    <mergeCell ref="E1080:H1080"/>
    <mergeCell ref="I1080:L1080"/>
    <mergeCell ref="M1080:P1080"/>
    <mergeCell ref="Q1080:T1080"/>
    <mergeCell ref="U1080:X1080"/>
    <mergeCell ref="A1081:D1081"/>
    <mergeCell ref="E1081:H1081"/>
    <mergeCell ref="I1081:L1081"/>
    <mergeCell ref="M1081:P1081"/>
    <mergeCell ref="Q1081:T1081"/>
    <mergeCell ref="U1081:X1081"/>
    <mergeCell ref="A1082:D1082"/>
    <mergeCell ref="E1082:H1082"/>
    <mergeCell ref="I1082:L1082"/>
    <mergeCell ref="M1082:P1082"/>
    <mergeCell ref="Q1082:T1082"/>
    <mergeCell ref="U1082:X1082"/>
    <mergeCell ref="Y1082:AB1082"/>
    <mergeCell ref="A1083:AB1083"/>
    <mergeCell ref="A1085:AB1085"/>
    <mergeCell ref="A1086:D1086"/>
    <mergeCell ref="E1086:H1086"/>
    <mergeCell ref="I1086:L1086"/>
    <mergeCell ref="M1086:P1086"/>
    <mergeCell ref="Q1086:T1086"/>
    <mergeCell ref="U1086:X1086"/>
    <mergeCell ref="A1087:D1087"/>
    <mergeCell ref="E1087:H1087"/>
    <mergeCell ref="I1087:L1087"/>
    <mergeCell ref="M1087:P1087"/>
    <mergeCell ref="Q1087:T1087"/>
    <mergeCell ref="U1087:X1087"/>
    <mergeCell ref="A1088:D1088"/>
    <mergeCell ref="E1088:H1088"/>
    <mergeCell ref="I1088:L1088"/>
    <mergeCell ref="M1088:P1088"/>
    <mergeCell ref="Q1088:T1088"/>
    <mergeCell ref="U1088:X1088"/>
    <mergeCell ref="Y1088:AB1088"/>
    <mergeCell ref="A1089:AB1089"/>
    <mergeCell ref="A1091:AB1091"/>
    <mergeCell ref="A1092:D1092"/>
    <mergeCell ref="E1092:H1092"/>
    <mergeCell ref="I1092:L1092"/>
    <mergeCell ref="M1092:P1092"/>
    <mergeCell ref="Q1092:T1092"/>
    <mergeCell ref="A1093:D1093"/>
    <mergeCell ref="E1093:H1093"/>
    <mergeCell ref="I1093:L1093"/>
    <mergeCell ref="M1093:P1093"/>
    <mergeCell ref="Q1093:T1093"/>
    <mergeCell ref="A1094:D1094"/>
    <mergeCell ref="E1094:H1094"/>
    <mergeCell ref="I1094:L1094"/>
    <mergeCell ref="M1094:P1094"/>
    <mergeCell ref="Q1094:T1094"/>
    <mergeCell ref="U1094:X1094"/>
    <mergeCell ref="Y1094:AB1094"/>
    <mergeCell ref="A1095:AB1095"/>
    <mergeCell ref="K1097:S1097"/>
    <mergeCell ref="K1100:S1100"/>
    <mergeCell ref="A1129:AB1129"/>
    <mergeCell ref="A1130:D1130"/>
    <mergeCell ref="E1130:H1130"/>
    <mergeCell ref="I1130:L1130"/>
    <mergeCell ref="M1130:P1130"/>
    <mergeCell ref="Q1130:T1130"/>
    <mergeCell ref="U1130:X1130"/>
    <mergeCell ref="A1131:D1131"/>
    <mergeCell ref="E1131:H1131"/>
    <mergeCell ref="I1131:L1131"/>
    <mergeCell ref="M1131:P1131"/>
    <mergeCell ref="Q1131:T1131"/>
    <mergeCell ref="U1131:X1131"/>
    <mergeCell ref="A1132:D1132"/>
    <mergeCell ref="E1132:H1132"/>
    <mergeCell ref="I1132:L1132"/>
    <mergeCell ref="M1132:P1132"/>
    <mergeCell ref="Q1132:T1132"/>
    <mergeCell ref="U1132:X1132"/>
    <mergeCell ref="Y1132:AB1132"/>
    <mergeCell ref="A1134:AB1134"/>
    <mergeCell ref="A1136:AB1136"/>
    <mergeCell ref="A1137:D1137"/>
    <mergeCell ref="E1137:H1137"/>
    <mergeCell ref="I1137:L1137"/>
    <mergeCell ref="M1137:P1137"/>
    <mergeCell ref="Q1137:T1137"/>
    <mergeCell ref="U1137:X1137"/>
    <mergeCell ref="A1138:D1138"/>
    <mergeCell ref="E1138:H1138"/>
    <mergeCell ref="I1138:L1138"/>
    <mergeCell ref="M1138:P1138"/>
    <mergeCell ref="Q1138:T1138"/>
    <mergeCell ref="U1138:X1138"/>
    <mergeCell ref="A1139:D1139"/>
    <mergeCell ref="E1139:H1139"/>
    <mergeCell ref="I1139:L1139"/>
    <mergeCell ref="M1139:P1139"/>
    <mergeCell ref="Q1139:T1139"/>
    <mergeCell ref="U1139:X1139"/>
    <mergeCell ref="Y1139:AB1139"/>
    <mergeCell ref="A1141:AB1141"/>
    <mergeCell ref="A1143:AB1143"/>
    <mergeCell ref="A1144:D1144"/>
    <mergeCell ref="E1144:H1144"/>
    <mergeCell ref="I1144:L1144"/>
    <mergeCell ref="M1144:P1144"/>
    <mergeCell ref="Q1144:T1144"/>
    <mergeCell ref="A1145:D1145"/>
    <mergeCell ref="E1145:H1145"/>
    <mergeCell ref="I1145:L1145"/>
    <mergeCell ref="M1145:P1145"/>
    <mergeCell ref="Q1145:T1145"/>
    <mergeCell ref="A1146:D1146"/>
    <mergeCell ref="E1146:H1146"/>
    <mergeCell ref="I1146:L1146"/>
    <mergeCell ref="M1146:P1146"/>
    <mergeCell ref="Q1146:T1146"/>
    <mergeCell ref="U1146:X1146"/>
    <mergeCell ref="Y1146:AB1146"/>
    <mergeCell ref="A1148:AB1148"/>
    <mergeCell ref="K1150:S1150"/>
    <mergeCell ref="K1153:S1153"/>
    <mergeCell ref="A1182:AB1182"/>
    <mergeCell ref="A1183:D1183"/>
    <mergeCell ref="E1183:H1183"/>
    <mergeCell ref="I1183:L1183"/>
    <mergeCell ref="M1183:P1183"/>
    <mergeCell ref="Q1183:T1183"/>
    <mergeCell ref="A1184:D1184"/>
    <mergeCell ref="E1184:H1184"/>
    <mergeCell ref="I1184:L1184"/>
    <mergeCell ref="M1184:P1184"/>
    <mergeCell ref="Q1184:T1184"/>
    <mergeCell ref="A1185:D1185"/>
    <mergeCell ref="E1185:H1185"/>
    <mergeCell ref="I1185:L1185"/>
    <mergeCell ref="M1185:P1185"/>
    <mergeCell ref="Q1185:T1185"/>
    <mergeCell ref="U1185:X1185"/>
    <mergeCell ref="Y1185:AB1185"/>
    <mergeCell ref="A1187:AB1187"/>
    <mergeCell ref="A1189:AB1189"/>
    <mergeCell ref="A1190:D1190"/>
    <mergeCell ref="E1190:H1190"/>
    <mergeCell ref="I1190:L1190"/>
    <mergeCell ref="M1190:P1190"/>
    <mergeCell ref="Q1190:T1190"/>
    <mergeCell ref="A1191:D1191"/>
    <mergeCell ref="E1191:H1191"/>
    <mergeCell ref="I1191:L1191"/>
    <mergeCell ref="M1191:P1191"/>
    <mergeCell ref="Q1191:T1191"/>
    <mergeCell ref="A1192:D1192"/>
    <mergeCell ref="E1192:H1192"/>
    <mergeCell ref="I1192:L1192"/>
    <mergeCell ref="M1192:P1192"/>
    <mergeCell ref="Q1192:T1192"/>
    <mergeCell ref="U1192:X1192"/>
    <mergeCell ref="Y1192:AB1192"/>
    <mergeCell ref="A1194:AB1194"/>
    <mergeCell ref="A1196:X1196"/>
    <mergeCell ref="A1197:D1197"/>
    <mergeCell ref="E1197:H1197"/>
    <mergeCell ref="I1197:L1197"/>
    <mergeCell ref="M1197:P1197"/>
    <mergeCell ref="A1198:D1198"/>
    <mergeCell ref="E1198:H1198"/>
    <mergeCell ref="I1198:L1198"/>
    <mergeCell ref="M1198:P1198"/>
    <mergeCell ref="A1199:D1199"/>
    <mergeCell ref="E1199:H1199"/>
    <mergeCell ref="I1199:L1199"/>
    <mergeCell ref="M1199:P1199"/>
    <mergeCell ref="Q1199:T1199"/>
    <mergeCell ref="U1199:X1199"/>
    <mergeCell ref="Y1199:AB1199"/>
    <mergeCell ref="A1201:AB1201"/>
    <mergeCell ref="K1203:S1203"/>
    <mergeCell ref="K1206:S1206"/>
    <mergeCell ref="A1225:AB1225"/>
    <mergeCell ref="A1226:D1226"/>
    <mergeCell ref="E1226:H1226"/>
    <mergeCell ref="I1226:L1226"/>
    <mergeCell ref="A1227:D1227"/>
    <mergeCell ref="E1227:H1227"/>
    <mergeCell ref="I1227:L1227"/>
    <mergeCell ref="A1228:D1228"/>
    <mergeCell ref="E1228:H1228"/>
    <mergeCell ref="I1228:L1228"/>
    <mergeCell ref="M1228:P1228"/>
    <mergeCell ref="Q1228:T1228"/>
    <mergeCell ref="U1228:X1228"/>
    <mergeCell ref="Y1228:AB1228"/>
    <mergeCell ref="A1229:AB1229"/>
    <mergeCell ref="A1231:AB1231"/>
    <mergeCell ref="A1232:D1232"/>
    <mergeCell ref="E1232:H1232"/>
    <mergeCell ref="I1232:L1232"/>
    <mergeCell ref="A1233:D1233"/>
    <mergeCell ref="E1233:H1233"/>
    <mergeCell ref="I1233:L1233"/>
    <mergeCell ref="A1234:D1234"/>
    <mergeCell ref="E1234:H1234"/>
    <mergeCell ref="I1234:L1234"/>
    <mergeCell ref="M1234:P1234"/>
    <mergeCell ref="Q1234:T1234"/>
    <mergeCell ref="U1234:X1234"/>
    <mergeCell ref="Y1234:AB1234"/>
    <mergeCell ref="A1235:AB1235"/>
    <mergeCell ref="A1237:AB1237"/>
    <mergeCell ref="A1238:D1238"/>
    <mergeCell ref="E1238:H1238"/>
    <mergeCell ref="I1238:L1238"/>
    <mergeCell ref="A1239:D1239"/>
    <mergeCell ref="E1239:H1239"/>
    <mergeCell ref="I1239:L1239"/>
    <mergeCell ref="A1240:D1240"/>
    <mergeCell ref="E1240:H1240"/>
    <mergeCell ref="I1240:L1240"/>
    <mergeCell ref="M1240:P1240"/>
    <mergeCell ref="Q1240:T1240"/>
    <mergeCell ref="U1240:X1240"/>
    <mergeCell ref="Y1240:AB1240"/>
    <mergeCell ref="A1241:AB1241"/>
    <mergeCell ref="A1243:AB1243"/>
    <mergeCell ref="A1244:D1244"/>
    <mergeCell ref="E1244:H1244"/>
    <mergeCell ref="I1244:L1244"/>
    <mergeCell ref="M1244:P1244"/>
    <mergeCell ref="A1245:D1245"/>
    <mergeCell ref="E1245:H1245"/>
    <mergeCell ref="I1245:L1245"/>
    <mergeCell ref="M1245:P1245"/>
    <mergeCell ref="A1246:D1246"/>
    <mergeCell ref="E1246:H1246"/>
    <mergeCell ref="I1246:L1246"/>
    <mergeCell ref="M1246:P1246"/>
    <mergeCell ref="Q1246:T1246"/>
    <mergeCell ref="U1246:X1246"/>
    <mergeCell ref="Y1246:AB1246"/>
    <mergeCell ref="A1247:AB1247"/>
    <mergeCell ref="K1249:R1249"/>
    <mergeCell ref="K1252:R1252"/>
    <mergeCell ref="A1275:AB1275"/>
    <mergeCell ref="A1276:D1276"/>
    <mergeCell ref="E1276:H1276"/>
    <mergeCell ref="I1276:L1276"/>
    <mergeCell ref="M1276:P1276"/>
    <mergeCell ref="A1277:D1277"/>
    <mergeCell ref="E1277:H1277"/>
    <mergeCell ref="I1277:L1277"/>
    <mergeCell ref="M1277:P1277"/>
    <mergeCell ref="A1278:D1278"/>
    <mergeCell ref="E1278:H1278"/>
    <mergeCell ref="I1278:L1278"/>
    <mergeCell ref="M1278:P1278"/>
    <mergeCell ref="Q1278:T1278"/>
    <mergeCell ref="U1278:X1278"/>
    <mergeCell ref="Y1278:AB1278"/>
    <mergeCell ref="A1279:AB1279"/>
    <mergeCell ref="K1281:R1281"/>
    <mergeCell ref="K1284:R1284"/>
    <mergeCell ref="A1307:AB1307"/>
    <mergeCell ref="A1308:D1308"/>
    <mergeCell ref="E1308:H1308"/>
    <mergeCell ref="I1308:L1308"/>
    <mergeCell ref="M1308:P1308"/>
    <mergeCell ref="A1309:D1309"/>
    <mergeCell ref="E1309:H1309"/>
    <mergeCell ref="I1309:L1309"/>
    <mergeCell ref="M1309:P1309"/>
    <mergeCell ref="A1310:D1310"/>
    <mergeCell ref="E1310:H1310"/>
    <mergeCell ref="I1310:L1310"/>
    <mergeCell ref="M1310:P1310"/>
    <mergeCell ref="Q1310:T1310"/>
    <mergeCell ref="U1310:X1310"/>
    <mergeCell ref="Y1310:AB1310"/>
    <mergeCell ref="A1311:AB1311"/>
    <mergeCell ref="K1313:R1313"/>
    <mergeCell ref="K1316:R1316"/>
    <mergeCell ref="A1339:AB1339"/>
    <mergeCell ref="A1340:D1340"/>
    <mergeCell ref="E1340:H1340"/>
    <mergeCell ref="I1340:L1340"/>
    <mergeCell ref="M1340:P1340"/>
    <mergeCell ref="A1341:D1341"/>
    <mergeCell ref="E1341:H1341"/>
    <mergeCell ref="I1341:L1341"/>
    <mergeCell ref="M1341:P1341"/>
    <mergeCell ref="A1342:D1342"/>
    <mergeCell ref="E1342:H1342"/>
    <mergeCell ref="I1342:L1342"/>
    <mergeCell ref="M1342:P1342"/>
    <mergeCell ref="Q1342:T1342"/>
    <mergeCell ref="U1342:X1342"/>
    <mergeCell ref="Y1342:AB1342"/>
    <mergeCell ref="A1343:AB1343"/>
    <mergeCell ref="K1345:R1345"/>
    <mergeCell ref="K1348:R1348"/>
    <mergeCell ref="A1393:AB1393"/>
    <mergeCell ref="I1394:L1394"/>
    <mergeCell ref="M1394:P1394"/>
    <mergeCell ref="Q1394:T1394"/>
    <mergeCell ref="U1394:X1394"/>
    <mergeCell ref="Y1394:AB1394"/>
    <mergeCell ref="I1395:L1395"/>
    <mergeCell ref="M1395:P1395"/>
    <mergeCell ref="Q1395:T1395"/>
    <mergeCell ref="U1395:X1395"/>
    <mergeCell ref="Y1395:AB1395"/>
    <mergeCell ref="A1396:D1396"/>
    <mergeCell ref="E1396:H1396"/>
    <mergeCell ref="I1396:L1396"/>
    <mergeCell ref="M1396:P1396"/>
    <mergeCell ref="Q1396:T1396"/>
    <mergeCell ref="U1396:X1396"/>
    <mergeCell ref="Y1396:AB1396"/>
    <mergeCell ref="A1397:D1397"/>
    <mergeCell ref="E1397:H1397"/>
    <mergeCell ref="I1397:L1397"/>
    <mergeCell ref="M1397:P1397"/>
    <mergeCell ref="Q1397:T1397"/>
    <mergeCell ref="U1397:X1397"/>
    <mergeCell ref="Y1397:AB1397"/>
    <mergeCell ref="K1399:R1399"/>
    <mergeCell ref="K1402:R1402"/>
    <mergeCell ref="A1421:AB1421"/>
    <mergeCell ref="A1422:D1422"/>
    <mergeCell ref="E1422:H1422"/>
    <mergeCell ref="I1422:L1422"/>
    <mergeCell ref="M1422:P1422"/>
    <mergeCell ref="Q1422:T1422"/>
    <mergeCell ref="U1422:X1422"/>
    <mergeCell ref="A1423:D1423"/>
    <mergeCell ref="E1423:H1423"/>
    <mergeCell ref="I1423:L1423"/>
    <mergeCell ref="M1423:P1423"/>
    <mergeCell ref="Q1423:T1423"/>
    <mergeCell ref="U1423:X1423"/>
    <mergeCell ref="A1424:D1424"/>
    <mergeCell ref="E1424:H1424"/>
    <mergeCell ref="I1424:L1424"/>
    <mergeCell ref="M1424:P1424"/>
    <mergeCell ref="Q1424:T1424"/>
    <mergeCell ref="U1424:X1424"/>
    <mergeCell ref="Y1424:AB1424"/>
    <mergeCell ref="A1425:AB1425"/>
    <mergeCell ref="K1427:R1427"/>
    <mergeCell ref="K1430:R1430"/>
    <mergeCell ref="A1453:AB1453"/>
    <mergeCell ref="A1454:D1454"/>
    <mergeCell ref="E1454:H1454"/>
    <mergeCell ref="I1454:L1454"/>
    <mergeCell ref="M1454:P1454"/>
    <mergeCell ref="A1455:D1455"/>
    <mergeCell ref="E1455:H1455"/>
    <mergeCell ref="I1455:L1455"/>
    <mergeCell ref="M1455:P1455"/>
    <mergeCell ref="A1456:D1456"/>
    <mergeCell ref="E1456:H1456"/>
    <mergeCell ref="I1456:L1456"/>
    <mergeCell ref="M1456:P1456"/>
    <mergeCell ref="Q1456:T1456"/>
    <mergeCell ref="U1456:X1456"/>
    <mergeCell ref="Y1456:AB1456"/>
    <mergeCell ref="A1457:AB1457"/>
    <mergeCell ref="K1459:R1459"/>
    <mergeCell ref="K1462:R1462"/>
    <mergeCell ref="A1485:AB1485"/>
    <mergeCell ref="A1486:D1486"/>
    <mergeCell ref="E1486:H1486"/>
    <mergeCell ref="I1486:L1486"/>
    <mergeCell ref="M1486:P1486"/>
    <mergeCell ref="A1487:D1487"/>
    <mergeCell ref="E1487:H1487"/>
    <mergeCell ref="I1487:L1487"/>
    <mergeCell ref="M1487:P1487"/>
    <mergeCell ref="A1488:D1488"/>
    <mergeCell ref="E1488:H1488"/>
    <mergeCell ref="I1488:L1488"/>
    <mergeCell ref="M1488:P1488"/>
    <mergeCell ref="Q1488:T1488"/>
    <mergeCell ref="U1488:X1488"/>
    <mergeCell ref="Y1488:AB1488"/>
    <mergeCell ref="A1489:AB1489"/>
    <mergeCell ref="K1491:R1491"/>
    <mergeCell ref="K1494:R1494"/>
    <mergeCell ref="A1517:AB1517"/>
    <mergeCell ref="A1518:D1518"/>
    <mergeCell ref="E1518:H1518"/>
    <mergeCell ref="I1518:L1518"/>
    <mergeCell ref="M1518:P1518"/>
    <mergeCell ref="A1519:D1519"/>
    <mergeCell ref="E1519:H1519"/>
    <mergeCell ref="I1519:L1519"/>
    <mergeCell ref="M1519:P1519"/>
    <mergeCell ref="A1520:D1520"/>
    <mergeCell ref="E1520:H1520"/>
    <mergeCell ref="I1520:L1520"/>
    <mergeCell ref="M1520:P1520"/>
    <mergeCell ref="Q1520:T1520"/>
    <mergeCell ref="U1520:X1520"/>
    <mergeCell ref="Y1520:AB1520"/>
    <mergeCell ref="A1521:AB1521"/>
    <mergeCell ref="K1523:R1523"/>
    <mergeCell ref="K1526:R1526"/>
    <mergeCell ref="A1549:AB1549"/>
    <mergeCell ref="A1550:D1550"/>
    <mergeCell ref="E1550:H1550"/>
    <mergeCell ref="I1550:L1550"/>
    <mergeCell ref="M1550:P1550"/>
    <mergeCell ref="A1551:D1551"/>
    <mergeCell ref="E1551:H1551"/>
    <mergeCell ref="I1551:L1551"/>
    <mergeCell ref="M1551:P1551"/>
    <mergeCell ref="A1552:D1552"/>
    <mergeCell ref="E1552:H1552"/>
    <mergeCell ref="I1552:L1552"/>
    <mergeCell ref="M1552:P1552"/>
    <mergeCell ref="Q1552:T1552"/>
    <mergeCell ref="U1552:X1552"/>
    <mergeCell ref="Y1552:AB1552"/>
    <mergeCell ref="A1553:AB1553"/>
    <mergeCell ref="K1555:R1555"/>
    <mergeCell ref="K1558:R1558"/>
    <mergeCell ref="A1603:AB1603"/>
    <mergeCell ref="I1604:L1604"/>
    <mergeCell ref="M1604:P1604"/>
    <mergeCell ref="Q1604:T1604"/>
    <mergeCell ref="U1604:X1604"/>
    <mergeCell ref="Y1604:AB1604"/>
    <mergeCell ref="I1605:L1605"/>
    <mergeCell ref="M1605:P1605"/>
    <mergeCell ref="Q1605:T1605"/>
    <mergeCell ref="U1605:X1605"/>
    <mergeCell ref="Y1605:AB1605"/>
    <mergeCell ref="A1606:D1606"/>
    <mergeCell ref="E1606:H1606"/>
    <mergeCell ref="I1606:L1606"/>
    <mergeCell ref="M1606:P1606"/>
    <mergeCell ref="Q1606:T1606"/>
    <mergeCell ref="U1606:X1606"/>
    <mergeCell ref="Y1606:AB1606"/>
    <mergeCell ref="A1607:D1607"/>
    <mergeCell ref="E1607:H1607"/>
    <mergeCell ref="I1607:L1607"/>
    <mergeCell ref="M1607:P1607"/>
    <mergeCell ref="Q1607:T1607"/>
    <mergeCell ref="U1607:X1607"/>
    <mergeCell ref="Y1607:AB1607"/>
    <mergeCell ref="K1609:R1609"/>
    <mergeCell ref="K1612:R1612"/>
    <mergeCell ref="A1631:AB1631"/>
    <mergeCell ref="A1632:D1632"/>
    <mergeCell ref="E1632:H1632"/>
    <mergeCell ref="I1632:L1632"/>
    <mergeCell ref="M1632:P1632"/>
    <mergeCell ref="Q1632:T1632"/>
    <mergeCell ref="U1632:X1632"/>
    <mergeCell ref="A1633:D1633"/>
    <mergeCell ref="E1633:H1633"/>
    <mergeCell ref="I1633:L1633"/>
    <mergeCell ref="M1633:P1633"/>
    <mergeCell ref="Q1633:T1633"/>
    <mergeCell ref="U1633:X1633"/>
    <mergeCell ref="A1634:D1634"/>
    <mergeCell ref="E1634:H1634"/>
    <mergeCell ref="I1634:L1634"/>
    <mergeCell ref="M1634:P1634"/>
    <mergeCell ref="Q1634:T1634"/>
    <mergeCell ref="U1634:X1634"/>
    <mergeCell ref="Y1634:AB1634"/>
    <mergeCell ref="A1635:AB1635"/>
    <mergeCell ref="K1637:R1637"/>
    <mergeCell ref="K1640:R1640"/>
    <mergeCell ref="A1663:AB1663"/>
    <mergeCell ref="A1664:D1664"/>
    <mergeCell ref="E1664:H1664"/>
    <mergeCell ref="I1664:L1664"/>
    <mergeCell ref="M1664:P1664"/>
    <mergeCell ref="A1665:D1665"/>
    <mergeCell ref="E1665:H1665"/>
    <mergeCell ref="I1665:L1665"/>
    <mergeCell ref="M1665:P1665"/>
    <mergeCell ref="A1666:D1666"/>
    <mergeCell ref="E1666:H1666"/>
    <mergeCell ref="I1666:L1666"/>
    <mergeCell ref="M1666:P1666"/>
    <mergeCell ref="Q1666:T1666"/>
    <mergeCell ref="U1666:X1666"/>
    <mergeCell ref="Y1666:AB1666"/>
    <mergeCell ref="A1667:AB1667"/>
    <mergeCell ref="K1669:R1669"/>
    <mergeCell ref="K1672:R1672"/>
    <mergeCell ref="A1703:AB1703"/>
    <mergeCell ref="I1704:L1704"/>
    <mergeCell ref="M1704:P1704"/>
    <mergeCell ref="Q1704:T1704"/>
    <mergeCell ref="I1705:L1705"/>
    <mergeCell ref="M1705:P1705"/>
    <mergeCell ref="Q1705:T1705"/>
    <mergeCell ref="A1706:D1706"/>
    <mergeCell ref="E1706:H1706"/>
    <mergeCell ref="I1706:L1706"/>
    <mergeCell ref="M1706:P1706"/>
    <mergeCell ref="Q1706:T1706"/>
    <mergeCell ref="U1706:X1706"/>
    <mergeCell ref="Y1706:AB1706"/>
    <mergeCell ref="A1707:AB1707"/>
    <mergeCell ref="K1709:R1709"/>
    <mergeCell ref="K1712:R1712"/>
    <mergeCell ref="A1743:AB1743"/>
    <mergeCell ref="I1744:L1744"/>
    <mergeCell ref="M1744:P1744"/>
    <mergeCell ref="Q1744:T1744"/>
    <mergeCell ref="I1745:L1745"/>
    <mergeCell ref="M1745:P1745"/>
    <mergeCell ref="Q1745:T1745"/>
    <mergeCell ref="A1746:D1746"/>
    <mergeCell ref="E1746:H1746"/>
    <mergeCell ref="I1746:L1746"/>
    <mergeCell ref="M1746:P1746"/>
    <mergeCell ref="Q1746:T1746"/>
    <mergeCell ref="U1746:X1746"/>
    <mergeCell ref="Y1746:AB1746"/>
    <mergeCell ref="A1747:AB1747"/>
    <mergeCell ref="K1749:R1749"/>
    <mergeCell ref="K1752:R1752"/>
    <mergeCell ref="A1765:AB1765"/>
    <mergeCell ref="A1766:D1766"/>
    <mergeCell ref="E1766:H1766"/>
    <mergeCell ref="I1766:L1766"/>
    <mergeCell ref="A1767:D1767"/>
    <mergeCell ref="E1767:H1767"/>
    <mergeCell ref="I1767:L1767"/>
    <mergeCell ref="A1768:D1768"/>
    <mergeCell ref="E1768:H1768"/>
    <mergeCell ref="I1768:L1768"/>
    <mergeCell ref="M1768:P1768"/>
    <mergeCell ref="Q1768:T1768"/>
    <mergeCell ref="U1768:X1768"/>
    <mergeCell ref="Y1768:AB1768"/>
    <mergeCell ref="A1769:AB1769"/>
    <mergeCell ref="A1780:AB1780"/>
    <mergeCell ref="A1781:D1781"/>
    <mergeCell ref="E1781:H1781"/>
    <mergeCell ref="I1781:L1781"/>
    <mergeCell ref="A1782:D1782"/>
    <mergeCell ref="E1782:H1782"/>
    <mergeCell ref="I1782:L1782"/>
    <mergeCell ref="A1783:D1783"/>
    <mergeCell ref="E1783:H1783"/>
    <mergeCell ref="I1783:L1783"/>
    <mergeCell ref="M1783:P1783"/>
    <mergeCell ref="Q1783:T1783"/>
    <mergeCell ref="U1783:X1783"/>
    <mergeCell ref="Y1783:AB1783"/>
    <mergeCell ref="A1784:AB1784"/>
    <mergeCell ref="K1786:R1786"/>
    <mergeCell ref="K1789:R1789"/>
    <mergeCell ref="A1802:AB1802"/>
    <mergeCell ref="A1803:D1803"/>
    <mergeCell ref="E1803:H1803"/>
    <mergeCell ref="I1803:L1803"/>
    <mergeCell ref="A1804:D1804"/>
    <mergeCell ref="E1804:H1804"/>
    <mergeCell ref="I1804:L1804"/>
    <mergeCell ref="A1805:D1805"/>
    <mergeCell ref="E1805:H1805"/>
    <mergeCell ref="I1805:L1805"/>
    <mergeCell ref="M1805:P1805"/>
    <mergeCell ref="Q1805:T1805"/>
    <mergeCell ref="U1805:X1805"/>
    <mergeCell ref="Y1805:AB1805"/>
    <mergeCell ref="A1806:AB1806"/>
    <mergeCell ref="A1817:AB1817"/>
    <mergeCell ref="A1818:D1818"/>
    <mergeCell ref="E1818:H1818"/>
    <mergeCell ref="I1818:L1818"/>
    <mergeCell ref="A1819:D1819"/>
    <mergeCell ref="E1819:H1819"/>
    <mergeCell ref="I1819:L1819"/>
    <mergeCell ref="A1820:D1820"/>
    <mergeCell ref="E1820:H1820"/>
    <mergeCell ref="I1820:L1820"/>
    <mergeCell ref="M1820:P1820"/>
    <mergeCell ref="Q1820:T1820"/>
    <mergeCell ref="U1820:X1820"/>
    <mergeCell ref="Y1820:AB1820"/>
    <mergeCell ref="A1821:AB1821"/>
    <mergeCell ref="K1823:R1823"/>
    <mergeCell ref="K1826:R1826"/>
    <mergeCell ref="A1868:AB1868"/>
    <mergeCell ref="I1869:L1869"/>
    <mergeCell ref="M1869:P1869"/>
    <mergeCell ref="Q1869:T1869"/>
    <mergeCell ref="U1869:X1869"/>
    <mergeCell ref="Y1869:AB1869"/>
    <mergeCell ref="I1870:L1870"/>
    <mergeCell ref="M1870:P1870"/>
    <mergeCell ref="Q1870:T1870"/>
    <mergeCell ref="U1870:X1870"/>
    <mergeCell ref="Y1870:AB1870"/>
    <mergeCell ref="A1871:D1871"/>
    <mergeCell ref="E1871:H1871"/>
    <mergeCell ref="I1871:L1871"/>
    <mergeCell ref="M1871:P1871"/>
    <mergeCell ref="Q1871:T1871"/>
    <mergeCell ref="U1871:X1871"/>
    <mergeCell ref="Y1871:AB1871"/>
    <mergeCell ref="A1872:D1872"/>
    <mergeCell ref="E1872:H1872"/>
    <mergeCell ref="I1872:L1872"/>
    <mergeCell ref="M1872:P1872"/>
    <mergeCell ref="Q1872:T1872"/>
    <mergeCell ref="U1872:X1872"/>
    <mergeCell ref="Y1872:AB1872"/>
    <mergeCell ref="K1874:R1874"/>
    <mergeCell ref="K1877:R1877"/>
    <mergeCell ref="A1890:AB1890"/>
    <mergeCell ref="A1891:D1891"/>
    <mergeCell ref="E1891:H1891"/>
    <mergeCell ref="I1891:L1891"/>
    <mergeCell ref="A1892:D1892"/>
    <mergeCell ref="E1892:H1892"/>
    <mergeCell ref="I1892:L1892"/>
    <mergeCell ref="A1893:D1893"/>
    <mergeCell ref="E1893:H1893"/>
    <mergeCell ref="I1893:L1893"/>
    <mergeCell ref="M1893:P1893"/>
    <mergeCell ref="Q1893:T1893"/>
    <mergeCell ref="U1893:X1893"/>
    <mergeCell ref="Y1893:AB1893"/>
    <mergeCell ref="A1894:AB1894"/>
    <mergeCell ref="A1905:AB1905"/>
    <mergeCell ref="A1906:D1906"/>
    <mergeCell ref="E1906:H1906"/>
    <mergeCell ref="I1906:L1906"/>
    <mergeCell ref="A1907:D1907"/>
    <mergeCell ref="E1907:H1907"/>
    <mergeCell ref="I1907:L1907"/>
    <mergeCell ref="A1908:D1908"/>
    <mergeCell ref="E1908:H1908"/>
    <mergeCell ref="I1908:L1908"/>
    <mergeCell ref="M1908:P1908"/>
    <mergeCell ref="Q1908:T1908"/>
    <mergeCell ref="U1908:X1908"/>
    <mergeCell ref="Y1908:AB1908"/>
    <mergeCell ref="A1909:AB1909"/>
    <mergeCell ref="K1911:R1911"/>
    <mergeCell ref="K1914:R1914"/>
    <mergeCell ref="A1931:AB1931"/>
    <mergeCell ref="A1932:D1932"/>
    <mergeCell ref="E1932:H1932"/>
    <mergeCell ref="I1932:L1932"/>
    <mergeCell ref="M1932:P1932"/>
    <mergeCell ref="A1933:D1933"/>
    <mergeCell ref="E1933:H1933"/>
    <mergeCell ref="I1933:L1933"/>
    <mergeCell ref="M1933:P1933"/>
    <mergeCell ref="A1934:D1934"/>
    <mergeCell ref="E1934:H1934"/>
    <mergeCell ref="I1934:L1934"/>
    <mergeCell ref="M1934:P1934"/>
    <mergeCell ref="Q1934:T1934"/>
    <mergeCell ref="U1934:X1934"/>
    <mergeCell ref="Y1934:AB1934"/>
    <mergeCell ref="A1935:AB1935"/>
    <mergeCell ref="K1937:R1937"/>
    <mergeCell ref="K1940:R1940"/>
    <mergeCell ref="A1957:AB1957"/>
    <mergeCell ref="A1958:D1958"/>
    <mergeCell ref="E1958:H1958"/>
    <mergeCell ref="I1958:L1958"/>
    <mergeCell ref="M1958:P1958"/>
    <mergeCell ref="A1959:D1959"/>
    <mergeCell ref="E1959:H1959"/>
    <mergeCell ref="I1959:L1959"/>
    <mergeCell ref="M1959:P1959"/>
    <mergeCell ref="A1960:D1960"/>
    <mergeCell ref="E1960:H1960"/>
    <mergeCell ref="I1960:L1960"/>
    <mergeCell ref="M1960:P1960"/>
    <mergeCell ref="Q1960:T1960"/>
    <mergeCell ref="U1960:X1960"/>
    <mergeCell ref="Y1960:AB1960"/>
    <mergeCell ref="A1961:AB1961"/>
    <mergeCell ref="K1963:R1963"/>
    <mergeCell ref="K1966:R1966"/>
    <mergeCell ref="A2004:AB2004"/>
    <mergeCell ref="I2005:L2005"/>
    <mergeCell ref="M2005:P2005"/>
    <mergeCell ref="Q2005:T2005"/>
    <mergeCell ref="U2005:X2005"/>
    <mergeCell ref="Y2005:AB2005"/>
    <mergeCell ref="I2006:L2006"/>
    <mergeCell ref="M2006:P2006"/>
    <mergeCell ref="Q2006:T2006"/>
    <mergeCell ref="U2006:X2006"/>
    <mergeCell ref="Y2006:AB2006"/>
    <mergeCell ref="A2007:D2007"/>
    <mergeCell ref="E2007:H2007"/>
    <mergeCell ref="I2007:L2007"/>
    <mergeCell ref="M2007:P2007"/>
    <mergeCell ref="Q2007:T2007"/>
    <mergeCell ref="U2007:X2007"/>
    <mergeCell ref="Y2007:AB2007"/>
    <mergeCell ref="A2008:D2008"/>
    <mergeCell ref="E2008:H2008"/>
    <mergeCell ref="I2008:L2008"/>
    <mergeCell ref="M2008:P2008"/>
    <mergeCell ref="Q2008:T2008"/>
    <mergeCell ref="U2008:X2008"/>
    <mergeCell ref="Y2008:AB2008"/>
    <mergeCell ref="A2009:D2009"/>
    <mergeCell ref="E2009:H2009"/>
    <mergeCell ref="I2009:L2009"/>
    <mergeCell ref="M2009:P2009"/>
    <mergeCell ref="Q2009:T2009"/>
    <mergeCell ref="U2009:X2009"/>
    <mergeCell ref="Y2009:AB2009"/>
    <mergeCell ref="A2010:D2010"/>
    <mergeCell ref="E2010:H2010"/>
    <mergeCell ref="I2010:L2010"/>
    <mergeCell ref="M2010:P2010"/>
    <mergeCell ref="Q2010:T2010"/>
    <mergeCell ref="U2010:X2010"/>
    <mergeCell ref="Y2010:AB2010"/>
    <mergeCell ref="K2012:R2012"/>
    <mergeCell ref="K2015:R2015"/>
    <mergeCell ref="A2032:AB2032"/>
    <mergeCell ref="A2033:D2033"/>
    <mergeCell ref="E2033:H2033"/>
    <mergeCell ref="I2033:L2033"/>
    <mergeCell ref="M2033:P2033"/>
    <mergeCell ref="A2034:D2034"/>
    <mergeCell ref="E2034:H2034"/>
    <mergeCell ref="I2034:L2034"/>
    <mergeCell ref="M2034:P2034"/>
    <mergeCell ref="A2035:D2035"/>
    <mergeCell ref="E2035:H2035"/>
    <mergeCell ref="I2035:L2035"/>
    <mergeCell ref="M2035:P2035"/>
    <mergeCell ref="Q2035:T2035"/>
    <mergeCell ref="U2035:X2035"/>
    <mergeCell ref="Y2035:AB2035"/>
    <mergeCell ref="A2036:AB2036"/>
    <mergeCell ref="K2038:R2038"/>
    <mergeCell ref="K2041:R2041"/>
    <mergeCell ref="A2056:D2056"/>
    <mergeCell ref="E2056:H2056"/>
    <mergeCell ref="I2056:L2056"/>
    <mergeCell ref="M2056:P2056"/>
    <mergeCell ref="Q2056:T2056"/>
    <mergeCell ref="U2056:X2056"/>
    <mergeCell ref="Y2056:AB2056"/>
    <mergeCell ref="A2057:D2057"/>
    <mergeCell ref="E2057:H2057"/>
    <mergeCell ref="I2057:L2057"/>
    <mergeCell ref="M2057:P2057"/>
    <mergeCell ref="Q2057:T2057"/>
    <mergeCell ref="U2057:X2057"/>
    <mergeCell ref="Y2057:AB2057"/>
    <mergeCell ref="A2058:D2058"/>
    <mergeCell ref="E2058:H2058"/>
    <mergeCell ref="I2058:L2058"/>
    <mergeCell ref="M2058:P2058"/>
    <mergeCell ref="Q2058:T2058"/>
    <mergeCell ref="U2058:X2058"/>
    <mergeCell ref="Y2058:AB2058"/>
    <mergeCell ref="A2062:H2062"/>
    <mergeCell ref="I2062:L2062"/>
    <mergeCell ref="M2062:P2062"/>
    <mergeCell ref="Q2062:T2062"/>
    <mergeCell ref="U2062:X2062"/>
    <mergeCell ref="Y2062:AB2062"/>
    <mergeCell ref="A2063:AB2063"/>
    <mergeCell ref="K2065:R2065"/>
    <mergeCell ref="K2068:R2068"/>
    <mergeCell ref="A2083:D2083"/>
    <mergeCell ref="E2083:H2083"/>
    <mergeCell ref="I2083:L2083"/>
    <mergeCell ref="M2083:P2083"/>
    <mergeCell ref="Q2083:T2083"/>
    <mergeCell ref="U2083:X2083"/>
    <mergeCell ref="Y2083:AB2083"/>
    <mergeCell ref="A2084:D2084"/>
    <mergeCell ref="E2084:H2084"/>
    <mergeCell ref="I2084:L2084"/>
    <mergeCell ref="M2084:P2084"/>
    <mergeCell ref="Q2084:T2084"/>
    <mergeCell ref="U2084:X2084"/>
    <mergeCell ref="Y2084:AB2084"/>
    <mergeCell ref="A2085:D2085"/>
    <mergeCell ref="E2085:H2085"/>
    <mergeCell ref="I2085:L2085"/>
    <mergeCell ref="M2085:P2085"/>
    <mergeCell ref="Q2085:T2085"/>
    <mergeCell ref="U2085:X2085"/>
    <mergeCell ref="Y2085:AB2085"/>
    <mergeCell ref="A2089:H2089"/>
    <mergeCell ref="I2089:L2089"/>
    <mergeCell ref="M2089:P2089"/>
    <mergeCell ref="Q2089:T2089"/>
    <mergeCell ref="U2089:X2089"/>
    <mergeCell ref="Y2089:AB2089"/>
    <mergeCell ref="A2090:AB2090"/>
    <mergeCell ref="A2091:AB2091"/>
    <mergeCell ref="K2093:R2093"/>
    <mergeCell ref="K2096:R2096"/>
    <mergeCell ref="A2138:AB2138"/>
    <mergeCell ref="I2139:L2139"/>
    <mergeCell ref="M2139:P2139"/>
    <mergeCell ref="Q2139:T2139"/>
    <mergeCell ref="U2139:X2139"/>
    <mergeCell ref="Y2139:AB2139"/>
    <mergeCell ref="I2140:L2140"/>
    <mergeCell ref="M2140:P2140"/>
    <mergeCell ref="Q2140:T2140"/>
    <mergeCell ref="U2140:X2140"/>
    <mergeCell ref="Y2140:AB2140"/>
    <mergeCell ref="A2141:D2141"/>
    <mergeCell ref="E2141:H2141"/>
    <mergeCell ref="I2141:L2141"/>
    <mergeCell ref="M2141:P2141"/>
    <mergeCell ref="Q2141:T2141"/>
    <mergeCell ref="U2141:X2141"/>
    <mergeCell ref="Y2141:AB2141"/>
    <mergeCell ref="A2142:D2142"/>
    <mergeCell ref="E2142:H2142"/>
    <mergeCell ref="I2142:L2142"/>
    <mergeCell ref="M2142:P2142"/>
    <mergeCell ref="Q2142:T2142"/>
    <mergeCell ref="U2142:X2142"/>
    <mergeCell ref="Y2142:AB2142"/>
    <mergeCell ref="A2143:D2143"/>
    <mergeCell ref="E2143:H2143"/>
    <mergeCell ref="I2143:L2143"/>
    <mergeCell ref="M2143:P2143"/>
    <mergeCell ref="Q2143:T2143"/>
    <mergeCell ref="U2143:X2143"/>
    <mergeCell ref="Y2143:AB2143"/>
    <mergeCell ref="A2144:D2144"/>
    <mergeCell ref="E2144:H2144"/>
    <mergeCell ref="I2144:L2144"/>
    <mergeCell ref="M2144:P2144"/>
    <mergeCell ref="Q2144:T2144"/>
    <mergeCell ref="U2144:X2144"/>
    <mergeCell ref="Y2144:AB2144"/>
    <mergeCell ref="K2146:R2146"/>
    <mergeCell ref="K2149:R2149"/>
    <mergeCell ref="A2164:D2164"/>
    <mergeCell ref="E2164:H2164"/>
    <mergeCell ref="I2164:L2164"/>
    <mergeCell ref="M2164:P2164"/>
    <mergeCell ref="Q2164:T2164"/>
    <mergeCell ref="U2164:X2164"/>
    <mergeCell ref="Y2164:AB2164"/>
    <mergeCell ref="A2165:D2165"/>
    <mergeCell ref="E2165:H2165"/>
    <mergeCell ref="I2165:L2165"/>
    <mergeCell ref="M2165:P2165"/>
    <mergeCell ref="Q2165:T2165"/>
    <mergeCell ref="U2165:X2165"/>
    <mergeCell ref="Y2165:AB2165"/>
    <mergeCell ref="A2166:D2166"/>
    <mergeCell ref="E2166:H2166"/>
    <mergeCell ref="I2166:L2166"/>
    <mergeCell ref="M2166:P2166"/>
    <mergeCell ref="Q2166:T2166"/>
    <mergeCell ref="U2166:X2166"/>
    <mergeCell ref="Y2166:AB2166"/>
    <mergeCell ref="A2170:H2170"/>
    <mergeCell ref="I2170:L2170"/>
    <mergeCell ref="M2170:P2170"/>
    <mergeCell ref="Q2170:T2170"/>
    <mergeCell ref="U2170:X2170"/>
    <mergeCell ref="Y2170:AB2170"/>
    <mergeCell ref="A2171:AB2171"/>
    <mergeCell ref="K2173:R2173"/>
    <mergeCell ref="K2176:R2176"/>
    <mergeCell ref="A2192:D2192"/>
    <mergeCell ref="E2192:H2192"/>
    <mergeCell ref="I2192:L2192"/>
    <mergeCell ref="M2192:P2192"/>
    <mergeCell ref="Q2192:T2192"/>
    <mergeCell ref="U2192:X2192"/>
    <mergeCell ref="Y2192:AB2192"/>
    <mergeCell ref="A2193:D2193"/>
    <mergeCell ref="E2193:H2193"/>
    <mergeCell ref="I2193:L2193"/>
    <mergeCell ref="M2193:P2193"/>
    <mergeCell ref="Q2193:T2193"/>
    <mergeCell ref="U2193:X2193"/>
    <mergeCell ref="Y2193:AB2193"/>
    <mergeCell ref="A2194:D2194"/>
    <mergeCell ref="E2194:H2194"/>
    <mergeCell ref="I2194:L2194"/>
    <mergeCell ref="M2194:P2194"/>
    <mergeCell ref="Q2194:T2194"/>
    <mergeCell ref="U2194:X2194"/>
    <mergeCell ref="Y2194:AB2194"/>
    <mergeCell ref="A2198:D2198"/>
    <mergeCell ref="E2198:H2198"/>
    <mergeCell ref="I2198:L2198"/>
    <mergeCell ref="M2198:P2198"/>
    <mergeCell ref="Q2198:T2198"/>
    <mergeCell ref="U2198:X2198"/>
    <mergeCell ref="Y2198:AB2198"/>
    <mergeCell ref="A2199:AB2199"/>
    <mergeCell ref="K2201:R2201"/>
    <mergeCell ref="K2204:R2204"/>
    <mergeCell ref="A2206:AB2206"/>
    <mergeCell ref="A2219:D2219"/>
    <mergeCell ref="E2219:H2219"/>
    <mergeCell ref="I2219:L2219"/>
    <mergeCell ref="M2219:P2219"/>
    <mergeCell ref="Q2219:T2219"/>
    <mergeCell ref="U2219:X2219"/>
    <mergeCell ref="Y2219:AB2219"/>
    <mergeCell ref="A2220:D2220"/>
    <mergeCell ref="E2220:H2220"/>
    <mergeCell ref="I2220:L2220"/>
    <mergeCell ref="M2220:P2220"/>
    <mergeCell ref="Q2220:T2220"/>
    <mergeCell ref="U2220:X2220"/>
    <mergeCell ref="Y2220:AB2220"/>
    <mergeCell ref="A2221:D2221"/>
    <mergeCell ref="E2221:H2221"/>
    <mergeCell ref="I2221:L2221"/>
    <mergeCell ref="M2221:P2221"/>
    <mergeCell ref="Q2221:T2221"/>
    <mergeCell ref="U2221:X2221"/>
    <mergeCell ref="Y2221:AB2221"/>
    <mergeCell ref="A2225:D2225"/>
    <mergeCell ref="E2225:H2225"/>
    <mergeCell ref="I2225:L2225"/>
    <mergeCell ref="M2225:P2225"/>
    <mergeCell ref="Q2225:T2225"/>
    <mergeCell ref="U2225:X2225"/>
    <mergeCell ref="Y2225:AB2225"/>
    <mergeCell ref="A2226:AB2226"/>
    <mergeCell ref="K2228:R2228"/>
    <mergeCell ref="K2231:R2231"/>
    <mergeCell ref="A2251:AB2251"/>
    <mergeCell ref="I2252:L2252"/>
    <mergeCell ref="M2252:P2252"/>
    <mergeCell ref="Q2252:T2252"/>
    <mergeCell ref="U2252:X2252"/>
    <mergeCell ref="Y2252:AB2252"/>
    <mergeCell ref="I2253:L2253"/>
    <mergeCell ref="M2253:P2253"/>
    <mergeCell ref="Q2253:T2253"/>
    <mergeCell ref="U2253:X2253"/>
    <mergeCell ref="Y2253:AB2253"/>
    <mergeCell ref="A2254:D2254"/>
    <mergeCell ref="E2254:H2254"/>
    <mergeCell ref="I2254:L2254"/>
    <mergeCell ref="M2254:P2254"/>
    <mergeCell ref="Q2254:T2254"/>
    <mergeCell ref="U2254:X2254"/>
    <mergeCell ref="Y2254:AB2254"/>
    <mergeCell ref="A2255:D2255"/>
    <mergeCell ref="E2255:H2255"/>
    <mergeCell ref="I2255:L2255"/>
    <mergeCell ref="M2255:P2255"/>
    <mergeCell ref="Q2255:T2255"/>
    <mergeCell ref="U2255:X2255"/>
    <mergeCell ref="Y2255:AB2255"/>
    <mergeCell ref="K2257:R2257"/>
    <mergeCell ref="K2260:R2260"/>
    <mergeCell ref="A2276:D2276"/>
    <mergeCell ref="E2276:H2276"/>
    <mergeCell ref="I2276:L2276"/>
    <mergeCell ref="M2276:P2276"/>
    <mergeCell ref="Q2276:T2276"/>
    <mergeCell ref="U2276:X2276"/>
    <mergeCell ref="Y2276:AB2276"/>
    <mergeCell ref="A2277:D2277"/>
    <mergeCell ref="E2277:H2277"/>
    <mergeCell ref="I2277:L2277"/>
    <mergeCell ref="M2277:P2277"/>
    <mergeCell ref="Q2277:T2277"/>
    <mergeCell ref="U2277:X2277"/>
    <mergeCell ref="Y2277:AB2277"/>
    <mergeCell ref="A2278:D2278"/>
    <mergeCell ref="E2278:H2278"/>
    <mergeCell ref="I2278:L2278"/>
    <mergeCell ref="M2278:P2278"/>
    <mergeCell ref="Q2278:T2278"/>
    <mergeCell ref="U2278:X2278"/>
    <mergeCell ref="Y2278:AB2278"/>
    <mergeCell ref="A2282:D2282"/>
    <mergeCell ref="E2282:H2282"/>
    <mergeCell ref="I2282:L2282"/>
    <mergeCell ref="M2282:P2282"/>
    <mergeCell ref="Q2282:T2282"/>
    <mergeCell ref="U2282:X2282"/>
    <mergeCell ref="Y2282:AB2282"/>
    <mergeCell ref="A2283:AB2283"/>
    <mergeCell ref="K2285:R2285"/>
    <mergeCell ref="K2288:R2288"/>
    <mergeCell ref="A2301:D2301"/>
    <mergeCell ref="E2301:H2301"/>
    <mergeCell ref="I2301:L2301"/>
    <mergeCell ref="M2301:P2301"/>
    <mergeCell ref="Q2301:T2301"/>
    <mergeCell ref="U2301:X2301"/>
    <mergeCell ref="Y2301:AB2301"/>
    <mergeCell ref="A2302:D2302"/>
    <mergeCell ref="E2302:H2302"/>
    <mergeCell ref="I2302:L2302"/>
    <mergeCell ref="M2302:P2302"/>
    <mergeCell ref="Q2302:T2302"/>
    <mergeCell ref="U2302:X2302"/>
    <mergeCell ref="Y2302:AB2302"/>
    <mergeCell ref="A2303:D2303"/>
    <mergeCell ref="E2303:H2303"/>
    <mergeCell ref="I2303:L2303"/>
    <mergeCell ref="M2303:P2303"/>
    <mergeCell ref="Q2303:T2303"/>
    <mergeCell ref="U2303:X2303"/>
    <mergeCell ref="Y2303:AB2303"/>
    <mergeCell ref="A2307:D2307"/>
    <mergeCell ref="E2307:H2307"/>
    <mergeCell ref="I2307:L2307"/>
    <mergeCell ref="M2307:P2307"/>
    <mergeCell ref="Q2307:T2307"/>
    <mergeCell ref="U2307:X2307"/>
    <mergeCell ref="Y2307:AB2307"/>
    <mergeCell ref="A2308:AB2308"/>
    <mergeCell ref="K2310:R2310"/>
    <mergeCell ref="K2313:R2313"/>
    <mergeCell ref="A2326:D2326"/>
    <mergeCell ref="E2326:H2326"/>
    <mergeCell ref="I2326:L2326"/>
    <mergeCell ref="M2326:P2326"/>
    <mergeCell ref="Q2326:T2326"/>
    <mergeCell ref="U2326:X2326"/>
    <mergeCell ref="Y2326:AB2326"/>
    <mergeCell ref="A2327:D2327"/>
    <mergeCell ref="E2327:H2327"/>
    <mergeCell ref="I2327:L2327"/>
    <mergeCell ref="M2327:P2327"/>
    <mergeCell ref="Q2327:T2327"/>
    <mergeCell ref="U2327:X2327"/>
    <mergeCell ref="Y2327:AB2327"/>
    <mergeCell ref="A2328:D2328"/>
    <mergeCell ref="E2328:H2328"/>
    <mergeCell ref="I2328:L2328"/>
    <mergeCell ref="M2328:P2328"/>
    <mergeCell ref="Q2328:T2328"/>
    <mergeCell ref="U2328:X2328"/>
    <mergeCell ref="Y2328:AB2328"/>
    <mergeCell ref="A2332:D2332"/>
    <mergeCell ref="E2332:H2332"/>
    <mergeCell ref="I2332:L2332"/>
    <mergeCell ref="M2332:P2332"/>
    <mergeCell ref="Q2332:T2332"/>
    <mergeCell ref="U2332:X2332"/>
    <mergeCell ref="Y2332:AB2332"/>
    <mergeCell ref="A2333:AB2333"/>
    <mergeCell ref="K2335:R2335"/>
    <mergeCell ref="K2338:R2338"/>
    <mergeCell ref="A2413:AB2413"/>
    <mergeCell ref="I2414:L2414"/>
    <mergeCell ref="M2414:P2414"/>
    <mergeCell ref="Q2414:T2414"/>
    <mergeCell ref="U2414:X2414"/>
    <mergeCell ref="Y2414:AB2414"/>
    <mergeCell ref="I2415:L2415"/>
    <mergeCell ref="M2415:P2415"/>
    <mergeCell ref="Q2415:T2415"/>
    <mergeCell ref="U2415:X2415"/>
    <mergeCell ref="Y2415:AB2415"/>
    <mergeCell ref="A2416:D2416"/>
    <mergeCell ref="E2416:H2416"/>
    <mergeCell ref="I2416:L2416"/>
    <mergeCell ref="M2416:P2416"/>
    <mergeCell ref="Q2416:T2416"/>
    <mergeCell ref="U2416:X2416"/>
    <mergeCell ref="Y2416:AB2416"/>
    <mergeCell ref="A2417:D2417"/>
    <mergeCell ref="E2417:H2417"/>
    <mergeCell ref="I2417:L2417"/>
    <mergeCell ref="M2417:P2417"/>
    <mergeCell ref="Q2417:T2417"/>
    <mergeCell ref="U2417:X2417"/>
    <mergeCell ref="Y2417:AB2417"/>
    <mergeCell ref="A2418:D2418"/>
    <mergeCell ref="E2418:H2418"/>
    <mergeCell ref="I2418:L2418"/>
    <mergeCell ref="M2418:P2418"/>
    <mergeCell ref="Q2418:T2418"/>
    <mergeCell ref="U2418:X2418"/>
    <mergeCell ref="Y2418:AB2418"/>
    <mergeCell ref="A2419:D2419"/>
    <mergeCell ref="E2419:H2419"/>
    <mergeCell ref="I2419:L2419"/>
    <mergeCell ref="M2419:P2419"/>
    <mergeCell ref="Q2419:T2419"/>
    <mergeCell ref="U2419:X2419"/>
    <mergeCell ref="Y2419:AB2419"/>
    <mergeCell ref="A2420:D2420"/>
    <mergeCell ref="E2420:H2420"/>
    <mergeCell ref="I2420:L2420"/>
    <mergeCell ref="M2420:P2420"/>
    <mergeCell ref="Q2420:T2420"/>
    <mergeCell ref="U2420:X2420"/>
    <mergeCell ref="Y2420:AB2420"/>
    <mergeCell ref="A2421:D2421"/>
    <mergeCell ref="E2421:H2421"/>
    <mergeCell ref="I2421:L2421"/>
    <mergeCell ref="M2421:P2421"/>
    <mergeCell ref="Q2421:T2421"/>
    <mergeCell ref="U2421:X2421"/>
    <mergeCell ref="Y2421:AB2421"/>
    <mergeCell ref="A2422:D2422"/>
    <mergeCell ref="E2422:H2422"/>
    <mergeCell ref="I2422:L2422"/>
    <mergeCell ref="M2422:P2422"/>
    <mergeCell ref="Q2422:T2422"/>
    <mergeCell ref="U2422:X2422"/>
    <mergeCell ref="Y2422:AB2422"/>
    <mergeCell ref="A2423:D2423"/>
    <mergeCell ref="E2423:H2423"/>
    <mergeCell ref="I2423:L2423"/>
    <mergeCell ref="M2423:P2423"/>
    <mergeCell ref="Q2423:T2423"/>
    <mergeCell ref="U2423:X2423"/>
    <mergeCell ref="Y2423:AB2423"/>
    <mergeCell ref="K2425:R2425"/>
    <mergeCell ref="K2428:R2428"/>
    <mergeCell ref="A2503:AB2503"/>
    <mergeCell ref="I2504:L2504"/>
    <mergeCell ref="M2504:P2504"/>
    <mergeCell ref="Q2504:T2504"/>
    <mergeCell ref="U2504:X2504"/>
    <mergeCell ref="Y2504:AB2504"/>
    <mergeCell ref="I2505:L2505"/>
    <mergeCell ref="M2505:P2505"/>
    <mergeCell ref="Q2505:T2505"/>
    <mergeCell ref="U2505:X2505"/>
    <mergeCell ref="Y2505:AB2505"/>
    <mergeCell ref="A2506:D2506"/>
    <mergeCell ref="E2506:H2506"/>
    <mergeCell ref="I2506:L2506"/>
    <mergeCell ref="M2506:P2506"/>
    <mergeCell ref="Q2506:T2506"/>
    <mergeCell ref="U2506:X2506"/>
    <mergeCell ref="Y2506:AB2506"/>
    <mergeCell ref="K2508:R2508"/>
    <mergeCell ref="K2511:R2511"/>
    <mergeCell ref="A2529:AB2529"/>
    <mergeCell ref="I2530:L2530"/>
    <mergeCell ref="M2530:P2530"/>
    <mergeCell ref="Q2530:T2530"/>
    <mergeCell ref="U2530:X2530"/>
    <mergeCell ref="Y2530:AB2530"/>
    <mergeCell ref="I2531:L2531"/>
    <mergeCell ref="M2531:P2531"/>
    <mergeCell ref="Q2531:T2531"/>
    <mergeCell ref="U2531:X2531"/>
    <mergeCell ref="Y2531:AB2531"/>
    <mergeCell ref="A2532:D2532"/>
    <mergeCell ref="E2532:H2532"/>
    <mergeCell ref="I2532:L2532"/>
    <mergeCell ref="M2532:P2532"/>
    <mergeCell ref="Q2532:T2532"/>
    <mergeCell ref="U2532:X2532"/>
    <mergeCell ref="Y2532:AB2532"/>
    <mergeCell ref="K2534:R2534"/>
    <mergeCell ref="K2537:R2537"/>
    <mergeCell ref="A2572:AB2572"/>
    <mergeCell ref="I2573:L2573"/>
    <mergeCell ref="M2573:P2573"/>
    <mergeCell ref="Q2573:T2573"/>
    <mergeCell ref="I2574:L2574"/>
    <mergeCell ref="M2574:P2574"/>
    <mergeCell ref="Q2574:T2574"/>
    <mergeCell ref="A2575:D2575"/>
    <mergeCell ref="E2575:H2575"/>
    <mergeCell ref="I2575:L2575"/>
    <mergeCell ref="M2575:P2575"/>
    <mergeCell ref="Q2575:T2575"/>
    <mergeCell ref="U2575:X2575"/>
    <mergeCell ref="Y2575:AB2575"/>
    <mergeCell ref="A2576:AB2576"/>
    <mergeCell ref="K2578:R2578"/>
    <mergeCell ref="K2581:R2581"/>
    <mergeCell ref="A2594:D2594"/>
    <mergeCell ref="E2594:H2594"/>
    <mergeCell ref="I2594:L2594"/>
    <mergeCell ref="M2594:P2594"/>
    <mergeCell ref="Q2594:T2594"/>
    <mergeCell ref="U2594:X2594"/>
    <mergeCell ref="Y2594:AB2594"/>
    <mergeCell ref="A2595:D2595"/>
    <mergeCell ref="E2595:H2595"/>
    <mergeCell ref="I2595:L2595"/>
    <mergeCell ref="M2595:P2595"/>
    <mergeCell ref="Q2595:T2595"/>
    <mergeCell ref="U2595:X2595"/>
    <mergeCell ref="Y2595:AB2595"/>
    <mergeCell ref="A2596:D2596"/>
    <mergeCell ref="E2596:H2596"/>
    <mergeCell ref="I2596:L2596"/>
    <mergeCell ref="M2596:P2596"/>
    <mergeCell ref="Q2596:T2596"/>
    <mergeCell ref="U2596:X2596"/>
    <mergeCell ref="Y2596:AB2596"/>
    <mergeCell ref="A2600:D2600"/>
    <mergeCell ref="E2600:H2600"/>
    <mergeCell ref="I2600:L2600"/>
    <mergeCell ref="M2600:P2600"/>
    <mergeCell ref="Q2600:T2600"/>
    <mergeCell ref="U2600:X2600"/>
    <mergeCell ref="Y2600:AB2600"/>
    <mergeCell ref="A2601:AB2601"/>
    <mergeCell ref="K2603:R2603"/>
    <mergeCell ref="K2606:R2606"/>
    <mergeCell ref="A2626:D2626"/>
    <mergeCell ref="E2626:H2626"/>
    <mergeCell ref="I2626:L2626"/>
    <mergeCell ref="M2626:P2626"/>
    <mergeCell ref="Q2626:T2626"/>
    <mergeCell ref="U2626:X2626"/>
    <mergeCell ref="Y2626:AB2626"/>
    <mergeCell ref="A2627:D2627"/>
    <mergeCell ref="E2627:H2627"/>
    <mergeCell ref="I2627:L2627"/>
    <mergeCell ref="M2627:P2627"/>
    <mergeCell ref="Q2627:T2627"/>
    <mergeCell ref="U2627:X2627"/>
    <mergeCell ref="Y2627:AB2627"/>
    <mergeCell ref="A2628:D2628"/>
    <mergeCell ref="E2628:H2628"/>
    <mergeCell ref="I2628:L2628"/>
    <mergeCell ref="M2628:P2628"/>
    <mergeCell ref="Q2628:T2628"/>
    <mergeCell ref="U2628:X2628"/>
    <mergeCell ref="Y2628:AB2628"/>
    <mergeCell ref="A2632:D2632"/>
    <mergeCell ref="E2632:H2632"/>
    <mergeCell ref="I2632:L2632"/>
    <mergeCell ref="M2632:P2632"/>
    <mergeCell ref="Q2632:T2632"/>
    <mergeCell ref="U2632:X2632"/>
    <mergeCell ref="Y2632:AB2632"/>
    <mergeCell ref="A2633:AB2633"/>
    <mergeCell ref="K2635:R2635"/>
    <mergeCell ref="K2638:R2638"/>
    <mergeCell ref="A2658:D2658"/>
    <mergeCell ref="E2658:H2658"/>
    <mergeCell ref="I2658:L2658"/>
    <mergeCell ref="M2658:P2658"/>
    <mergeCell ref="Q2658:T2658"/>
    <mergeCell ref="U2658:X2658"/>
    <mergeCell ref="Y2658:AB2658"/>
    <mergeCell ref="A2659:D2659"/>
    <mergeCell ref="E2659:H2659"/>
    <mergeCell ref="I2659:L2659"/>
    <mergeCell ref="M2659:P2659"/>
    <mergeCell ref="Q2659:T2659"/>
    <mergeCell ref="U2659:X2659"/>
    <mergeCell ref="Y2659:AB2659"/>
    <mergeCell ref="A2660:D2660"/>
    <mergeCell ref="E2660:H2660"/>
    <mergeCell ref="I2660:L2660"/>
    <mergeCell ref="M2660:P2660"/>
    <mergeCell ref="Q2660:T2660"/>
    <mergeCell ref="U2660:X2660"/>
    <mergeCell ref="Y2660:AB2660"/>
    <mergeCell ref="A2664:D2664"/>
    <mergeCell ref="E2664:H2664"/>
    <mergeCell ref="I2664:L2664"/>
    <mergeCell ref="M2664:P2664"/>
    <mergeCell ref="Q2664:T2664"/>
    <mergeCell ref="U2664:X2664"/>
    <mergeCell ref="Y2664:AB2664"/>
    <mergeCell ref="A2665:AB2665"/>
    <mergeCell ref="K2667:R2667"/>
    <mergeCell ref="K2670:R2670"/>
    <mergeCell ref="A2690:D2690"/>
    <mergeCell ref="E2690:H2690"/>
    <mergeCell ref="I2690:L2690"/>
    <mergeCell ref="M2690:P2690"/>
    <mergeCell ref="Q2690:T2690"/>
    <mergeCell ref="U2690:X2690"/>
    <mergeCell ref="Y2690:AB2690"/>
    <mergeCell ref="A2691:D2691"/>
    <mergeCell ref="E2691:H2691"/>
    <mergeCell ref="I2691:L2691"/>
    <mergeCell ref="M2691:P2691"/>
    <mergeCell ref="Q2691:T2691"/>
    <mergeCell ref="U2691:X2691"/>
    <mergeCell ref="Y2691:AB2691"/>
    <mergeCell ref="A2692:D2692"/>
    <mergeCell ref="E2692:H2692"/>
    <mergeCell ref="I2692:L2692"/>
    <mergeCell ref="M2692:P2692"/>
    <mergeCell ref="Q2692:T2692"/>
    <mergeCell ref="U2692:X2692"/>
    <mergeCell ref="Y2692:AB2692"/>
    <mergeCell ref="A2696:D2696"/>
    <mergeCell ref="E2696:H2696"/>
    <mergeCell ref="I2696:L2696"/>
    <mergeCell ref="M2696:P2696"/>
    <mergeCell ref="Q2696:T2696"/>
    <mergeCell ref="U2696:X2696"/>
    <mergeCell ref="Y2696:AB2696"/>
    <mergeCell ref="A2697:AB2697"/>
    <mergeCell ref="K2699:R2699"/>
    <mergeCell ref="K2702:R2702"/>
    <mergeCell ref="A2772:AB2772"/>
    <mergeCell ref="I2773:L2773"/>
    <mergeCell ref="M2773:P2773"/>
    <mergeCell ref="Q2773:T2773"/>
    <mergeCell ref="U2773:X2773"/>
    <mergeCell ref="Y2773:AB2773"/>
    <mergeCell ref="I2774:L2774"/>
    <mergeCell ref="M2774:P2774"/>
    <mergeCell ref="Q2774:T2774"/>
    <mergeCell ref="U2774:X2774"/>
    <mergeCell ref="Y2774:AB2774"/>
    <mergeCell ref="A2775:D2775"/>
    <mergeCell ref="E2775:H2775"/>
    <mergeCell ref="I2775:L2775"/>
    <mergeCell ref="M2775:P2775"/>
    <mergeCell ref="Q2775:T2775"/>
    <mergeCell ref="U2775:X2775"/>
    <mergeCell ref="Y2775:AB2775"/>
    <mergeCell ref="A2776:D2776"/>
    <mergeCell ref="E2776:H2776"/>
    <mergeCell ref="I2776:L2776"/>
    <mergeCell ref="M2776:P2776"/>
    <mergeCell ref="Q2776:T2776"/>
    <mergeCell ref="U2776:X2776"/>
    <mergeCell ref="Y2776:AB2776"/>
    <mergeCell ref="A2777:D2777"/>
    <mergeCell ref="E2777:H2777"/>
    <mergeCell ref="I2777:L2777"/>
    <mergeCell ref="M2777:P2777"/>
    <mergeCell ref="Q2777:T2777"/>
    <mergeCell ref="U2777:X2777"/>
    <mergeCell ref="Y2777:AB2777"/>
    <mergeCell ref="A2778:D2778"/>
    <mergeCell ref="E2778:H2778"/>
    <mergeCell ref="I2778:L2778"/>
    <mergeCell ref="M2778:P2778"/>
    <mergeCell ref="Q2778:T2778"/>
    <mergeCell ref="U2778:X2778"/>
    <mergeCell ref="Y2778:AB2778"/>
    <mergeCell ref="K2780:R2780"/>
    <mergeCell ref="K2783:R2783"/>
    <mergeCell ref="A2803:D2803"/>
    <mergeCell ref="E2803:H2803"/>
    <mergeCell ref="I2803:L2803"/>
    <mergeCell ref="M2803:P2803"/>
    <mergeCell ref="Q2803:T2803"/>
    <mergeCell ref="U2803:X2803"/>
    <mergeCell ref="Y2803:AB2803"/>
    <mergeCell ref="A2804:D2804"/>
    <mergeCell ref="E2804:H2804"/>
    <mergeCell ref="I2804:L2804"/>
    <mergeCell ref="M2804:P2804"/>
    <mergeCell ref="Q2804:T2804"/>
    <mergeCell ref="U2804:X2804"/>
    <mergeCell ref="Y2804:AB2804"/>
    <mergeCell ref="A2805:D2805"/>
    <mergeCell ref="E2805:H2805"/>
    <mergeCell ref="I2805:L2805"/>
    <mergeCell ref="M2805:P2805"/>
    <mergeCell ref="Q2805:T2805"/>
    <mergeCell ref="U2805:X2805"/>
    <mergeCell ref="Y2805:AB2805"/>
    <mergeCell ref="A2809:D2809"/>
    <mergeCell ref="E2809:H2809"/>
    <mergeCell ref="I2809:L2809"/>
    <mergeCell ref="M2809:P2809"/>
    <mergeCell ref="Q2809:T2809"/>
    <mergeCell ref="U2809:X2809"/>
    <mergeCell ref="Y2809:AB2809"/>
    <mergeCell ref="A2810:AB2810"/>
    <mergeCell ref="K2812:R2812"/>
    <mergeCell ref="K2815:R2815"/>
    <mergeCell ref="A2827:AB2827"/>
    <mergeCell ref="A2828:D2828"/>
    <mergeCell ref="E2828:H2828"/>
    <mergeCell ref="I2828:L2828"/>
    <mergeCell ref="A2829:D2829"/>
    <mergeCell ref="E2829:H2829"/>
    <mergeCell ref="I2829:L2829"/>
    <mergeCell ref="A2830:D2830"/>
    <mergeCell ref="E2830:H2830"/>
    <mergeCell ref="I2830:L2830"/>
    <mergeCell ref="M2830:P2830"/>
    <mergeCell ref="Q2830:T2830"/>
    <mergeCell ref="U2830:X2830"/>
    <mergeCell ref="Y2830:AB2830"/>
    <mergeCell ref="A2831:AB2831"/>
    <mergeCell ref="K2833:R2833"/>
    <mergeCell ref="K2836:R2836"/>
    <mergeCell ref="A2848:AB2848"/>
    <mergeCell ref="A2849:D2849"/>
    <mergeCell ref="E2849:H2849"/>
    <mergeCell ref="I2849:L2849"/>
    <mergeCell ref="A2850:D2850"/>
    <mergeCell ref="E2850:H2850"/>
    <mergeCell ref="I2850:L2850"/>
    <mergeCell ref="A2851:D2851"/>
    <mergeCell ref="E2851:H2851"/>
    <mergeCell ref="I2851:L2851"/>
    <mergeCell ref="M2851:P2851"/>
    <mergeCell ref="Q2851:T2851"/>
    <mergeCell ref="U2851:X2851"/>
    <mergeCell ref="Y2851:AB2851"/>
    <mergeCell ref="A2852:AB2852"/>
    <mergeCell ref="K2854:R2854"/>
    <mergeCell ref="K2857:R2857"/>
    <mergeCell ref="A2930:AB2930"/>
    <mergeCell ref="Q2931:T2931"/>
    <mergeCell ref="U2931:X2931"/>
    <mergeCell ref="Q2932:T2932"/>
    <mergeCell ref="U2932:X2932"/>
    <mergeCell ref="A2933:D2933"/>
    <mergeCell ref="E2933:H2933"/>
    <mergeCell ref="I2933:L2933"/>
    <mergeCell ref="M2933:P2933"/>
    <mergeCell ref="Q2933:T2933"/>
    <mergeCell ref="U2933:X2933"/>
    <mergeCell ref="Y2933:AB2933"/>
    <mergeCell ref="A2934:D2934"/>
    <mergeCell ref="E2934:H2934"/>
    <mergeCell ref="I2934:L2934"/>
    <mergeCell ref="M2934:P2934"/>
    <mergeCell ref="Q2934:T2934"/>
    <mergeCell ref="U2934:X2934"/>
    <mergeCell ref="Y2934:AB2934"/>
    <mergeCell ref="A2935:D2935"/>
    <mergeCell ref="E2935:H2935"/>
    <mergeCell ref="I2935:L2935"/>
    <mergeCell ref="M2935:P2935"/>
    <mergeCell ref="Q2935:T2935"/>
    <mergeCell ref="U2935:X2935"/>
    <mergeCell ref="Y2935:AB2935"/>
    <mergeCell ref="A2936:D2936"/>
    <mergeCell ref="E2936:H2936"/>
    <mergeCell ref="I2936:L2936"/>
    <mergeCell ref="M2936:P2936"/>
    <mergeCell ref="Q2936:T2936"/>
    <mergeCell ref="U2936:X2936"/>
    <mergeCell ref="Y2936:AB2936"/>
    <mergeCell ref="A2937:D2937"/>
    <mergeCell ref="E2937:H2937"/>
    <mergeCell ref="I2937:L2937"/>
    <mergeCell ref="M2937:P2937"/>
    <mergeCell ref="Q2937:T2937"/>
    <mergeCell ref="U2937:X2937"/>
    <mergeCell ref="Y2937:AB2937"/>
    <mergeCell ref="A2938:AB2938"/>
    <mergeCell ref="K2940:R2940"/>
    <mergeCell ref="K2943:R2943"/>
    <mergeCell ref="A3016:AB3016"/>
    <mergeCell ref="A3019:D3019"/>
    <mergeCell ref="E3019:H3019"/>
    <mergeCell ref="I3019:L3019"/>
    <mergeCell ref="M3019:P3019"/>
    <mergeCell ref="Q3019:T3019"/>
    <mergeCell ref="U3019:X3019"/>
    <mergeCell ref="Y3019:AB3019"/>
    <mergeCell ref="A3020:D3020"/>
    <mergeCell ref="E3020:H3020"/>
    <mergeCell ref="I3020:L3020"/>
    <mergeCell ref="M3020:P3020"/>
    <mergeCell ref="Q3020:T3020"/>
    <mergeCell ref="U3020:X3020"/>
    <mergeCell ref="Y3020:AB3020"/>
    <mergeCell ref="A3021:D3021"/>
    <mergeCell ref="E3021:H3021"/>
    <mergeCell ref="I3021:L3021"/>
    <mergeCell ref="M3021:P3021"/>
    <mergeCell ref="Q3021:T3021"/>
    <mergeCell ref="U3021:X3021"/>
    <mergeCell ref="Y3021:AB3021"/>
    <mergeCell ref="A3022:D3022"/>
    <mergeCell ref="E3022:H3022"/>
    <mergeCell ref="I3022:L3022"/>
    <mergeCell ref="M3022:P3022"/>
    <mergeCell ref="Q3022:T3022"/>
    <mergeCell ref="U3022:X3022"/>
    <mergeCell ref="Y3022:AB3022"/>
    <mergeCell ref="A3023:D3023"/>
    <mergeCell ref="E3023:H3023"/>
    <mergeCell ref="I3023:L3023"/>
    <mergeCell ref="M3023:P3023"/>
    <mergeCell ref="Q3023:T3023"/>
    <mergeCell ref="U3023:X3023"/>
    <mergeCell ref="Y3023:AB3023"/>
    <mergeCell ref="A3024:AB3024"/>
    <mergeCell ref="K3026:R3026"/>
    <mergeCell ref="K3029:R3029"/>
    <mergeCell ref="A3033:AB3033"/>
    <mergeCell ref="A3034:D3034"/>
    <mergeCell ref="E3034:H3034"/>
    <mergeCell ref="I3034:L3034"/>
    <mergeCell ref="A3035:D3035"/>
    <mergeCell ref="E3035:H3035"/>
    <mergeCell ref="I3035:L3035"/>
    <mergeCell ref="A3036:D3036"/>
    <mergeCell ref="E3036:H3036"/>
    <mergeCell ref="I3036:L3036"/>
    <mergeCell ref="M3036:P3036"/>
    <mergeCell ref="Q3036:T3036"/>
    <mergeCell ref="U3036:X3036"/>
    <mergeCell ref="Y3036:AB3036"/>
    <mergeCell ref="A3037:AB3037"/>
    <mergeCell ref="A3039:AB3039"/>
    <mergeCell ref="A3040:D3040"/>
    <mergeCell ref="E3040:H3040"/>
    <mergeCell ref="I3040:L3040"/>
    <mergeCell ref="A3041:D3041"/>
    <mergeCell ref="E3041:H3041"/>
    <mergeCell ref="I3041:L3041"/>
    <mergeCell ref="A3042:D3042"/>
    <mergeCell ref="E3042:H3042"/>
    <mergeCell ref="I3042:L3042"/>
    <mergeCell ref="M3042:P3042"/>
    <mergeCell ref="Q3042:T3042"/>
    <mergeCell ref="U3042:X3042"/>
    <mergeCell ref="Y3042:AB3042"/>
    <mergeCell ref="A3043:AB3043"/>
    <mergeCell ref="K3045:R3045"/>
    <mergeCell ref="K3048:R3048"/>
    <mergeCell ref="A3104:AB3104"/>
    <mergeCell ref="A3105:D3105"/>
    <mergeCell ref="E3105:H3105"/>
    <mergeCell ref="I3105:L3105"/>
    <mergeCell ref="A3106:D3106"/>
    <mergeCell ref="E3106:H3106"/>
    <mergeCell ref="I3106:L3106"/>
    <mergeCell ref="A3107:D3107"/>
    <mergeCell ref="E3107:H3107"/>
    <mergeCell ref="I3107:L3107"/>
    <mergeCell ref="M3107:P3107"/>
    <mergeCell ref="Q3107:T3107"/>
    <mergeCell ref="U3107:X3107"/>
    <mergeCell ref="Y3107:AB3107"/>
    <mergeCell ref="A3108:AB3108"/>
    <mergeCell ref="K3110:R3110"/>
    <mergeCell ref="K3113:R3113"/>
    <mergeCell ref="A3140:AB3140"/>
    <mergeCell ref="A3141:D3141"/>
    <mergeCell ref="E3141:H3141"/>
    <mergeCell ref="I3141:L3141"/>
    <mergeCell ref="A3142:D3142"/>
    <mergeCell ref="E3142:H3142"/>
    <mergeCell ref="I3142:L3142"/>
    <mergeCell ref="A3143:D3143"/>
    <mergeCell ref="E3143:H3143"/>
    <mergeCell ref="I3143:L3143"/>
    <mergeCell ref="M3143:P3143"/>
    <mergeCell ref="Q3143:T3143"/>
    <mergeCell ref="U3143:X3143"/>
    <mergeCell ref="Y3143:AB3143"/>
    <mergeCell ref="A3144:AB3144"/>
    <mergeCell ref="K3146:R3146"/>
    <mergeCell ref="K3149:R3149"/>
    <mergeCell ref="U162:X163"/>
    <mergeCell ref="Y162:AB163"/>
    <mergeCell ref="K168:R169"/>
    <mergeCell ref="Y150:AB151"/>
    <mergeCell ref="K117:R118"/>
    <mergeCell ref="Y156:AB157"/>
    <mergeCell ref="K1964:R1965"/>
    <mergeCell ref="I2060:L2061"/>
    <mergeCell ref="M2060:P2061"/>
    <mergeCell ref="Q2060:T2061"/>
    <mergeCell ref="U2060:X2061"/>
    <mergeCell ref="Y2060:AB2061"/>
    <mergeCell ref="M1766:P1767"/>
    <mergeCell ref="Q1766:T1767"/>
    <mergeCell ref="U1766:X1767"/>
    <mergeCell ref="Y1766:AB1767"/>
    <mergeCell ref="Q420:T421"/>
    <mergeCell ref="U420:X421"/>
    <mergeCell ref="Y420:AB421"/>
    <mergeCell ref="M414:P415"/>
    <mergeCell ref="Q414:T415"/>
    <mergeCell ref="U414:X415"/>
    <mergeCell ref="Y414:AB415"/>
    <mergeCell ref="M408:P409"/>
    <mergeCell ref="Q408:T409"/>
    <mergeCell ref="U408:X409"/>
    <mergeCell ref="Y408:AB409"/>
    <mergeCell ref="K380:R381"/>
    <mergeCell ref="M402:P403"/>
    <mergeCell ref="Q402:T403"/>
    <mergeCell ref="U402:X403"/>
    <mergeCell ref="Y402:AB403"/>
    <mergeCell ref="K324:R325"/>
    <mergeCell ref="U318:X319"/>
    <mergeCell ref="Y318:AB319"/>
    <mergeCell ref="Y312:AB313"/>
    <mergeCell ref="U267:X268"/>
    <mergeCell ref="Y267:AB268"/>
    <mergeCell ref="Y306:AB307"/>
    <mergeCell ref="K273:R274"/>
    <mergeCell ref="Y261:AB262"/>
    <mergeCell ref="K200:R201"/>
    <mergeCell ref="Y255:AB256"/>
    <mergeCell ref="U111:X112"/>
    <mergeCell ref="Y111:AB112"/>
    <mergeCell ref="Y105:AB106"/>
    <mergeCell ref="Y99:AB100"/>
    <mergeCell ref="A195:D196"/>
    <mergeCell ref="E195:H196"/>
    <mergeCell ref="A351:D352"/>
    <mergeCell ref="E351:H352"/>
    <mergeCell ref="K224:R225"/>
    <mergeCell ref="K356:R357"/>
    <mergeCell ref="K212:R213"/>
    <mergeCell ref="K368:R369"/>
    <mergeCell ref="M448:P449"/>
    <mergeCell ref="Q448:T449"/>
    <mergeCell ref="U448:X449"/>
    <mergeCell ref="Y448:AB449"/>
    <mergeCell ref="K1750:R1751"/>
    <mergeCell ref="M494:P495"/>
    <mergeCell ref="Q494:T495"/>
    <mergeCell ref="U494:X495"/>
    <mergeCell ref="Y494:AB495"/>
    <mergeCell ref="M460:P461"/>
    <mergeCell ref="Q460:T461"/>
    <mergeCell ref="U460:X461"/>
    <mergeCell ref="Y460:AB461"/>
    <mergeCell ref="K466:R467"/>
    <mergeCell ref="M488:P489"/>
    <mergeCell ref="Q488:T489"/>
    <mergeCell ref="U488:X489"/>
    <mergeCell ref="Y488:AB489"/>
    <mergeCell ref="M454:P455"/>
    <mergeCell ref="Q454:T455"/>
    <mergeCell ref="U454:X455"/>
    <mergeCell ref="Y454:AB455"/>
    <mergeCell ref="Q506:T507"/>
    <mergeCell ref="U506:X507"/>
    <mergeCell ref="Y506:AB507"/>
    <mergeCell ref="M500:P501"/>
    <mergeCell ref="Q500:T501"/>
    <mergeCell ref="U500:X501"/>
    <mergeCell ref="Y500:AB501"/>
    <mergeCell ref="K1710:R1711"/>
    <mergeCell ref="K512:R513"/>
    <mergeCell ref="A597:D598"/>
    <mergeCell ref="E597:H598"/>
    <mergeCell ref="Y645:AB646"/>
    <mergeCell ref="K611:R612"/>
    <mergeCell ref="Y651:AB652"/>
    <mergeCell ref="U657:X658"/>
    <mergeCell ref="Y657:AB658"/>
    <mergeCell ref="Y702:AB703"/>
    <mergeCell ref="K663:S664"/>
    <mergeCell ref="Y695:AB696"/>
    <mergeCell ref="U748:X749"/>
    <mergeCell ref="Y748:AB749"/>
    <mergeCell ref="U709:X710"/>
    <mergeCell ref="Y709:AB710"/>
    <mergeCell ref="K716:S717"/>
    <mergeCell ref="Q762:T763"/>
    <mergeCell ref="U762:X763"/>
    <mergeCell ref="Y762:AB763"/>
    <mergeCell ref="M791:P792"/>
    <mergeCell ref="Q791:T792"/>
    <mergeCell ref="U791:X792"/>
    <mergeCell ref="Y791:AB792"/>
    <mergeCell ref="Q809:T810"/>
    <mergeCell ref="U809:X810"/>
    <mergeCell ref="Y809:AB810"/>
    <mergeCell ref="M803:P804"/>
    <mergeCell ref="Q803:T804"/>
    <mergeCell ref="U803:X804"/>
    <mergeCell ref="Y803:AB804"/>
    <mergeCell ref="M797:P798"/>
    <mergeCell ref="Q797:T798"/>
    <mergeCell ref="U797:X798"/>
    <mergeCell ref="Y797:AB798"/>
    <mergeCell ref="K426:R427"/>
    <mergeCell ref="U755:X756"/>
    <mergeCell ref="Y755:AB756"/>
    <mergeCell ref="K769:S770"/>
    <mergeCell ref="M837:P838"/>
    <mergeCell ref="Q837:T838"/>
    <mergeCell ref="U837:X838"/>
    <mergeCell ref="Y837:AB838"/>
    <mergeCell ref="K815:R816"/>
    <mergeCell ref="M843:P844"/>
    <mergeCell ref="Q843:T844"/>
    <mergeCell ref="U843:X844"/>
    <mergeCell ref="Y843:AB844"/>
    <mergeCell ref="M849:P850"/>
    <mergeCell ref="Q849:T850"/>
    <mergeCell ref="U849:X850"/>
    <mergeCell ref="Y849:AB850"/>
    <mergeCell ref="Q855:T856"/>
    <mergeCell ref="U855:X856"/>
    <mergeCell ref="Y855:AB856"/>
    <mergeCell ref="K861:R862"/>
    <mergeCell ref="M883:P884"/>
    <mergeCell ref="Q883:T884"/>
    <mergeCell ref="U883:X884"/>
    <mergeCell ref="Y883:AB884"/>
    <mergeCell ref="M889:P890"/>
    <mergeCell ref="Q889:T890"/>
    <mergeCell ref="U889:X890"/>
    <mergeCell ref="Y889:AB890"/>
    <mergeCell ref="M895:P896"/>
    <mergeCell ref="Q895:T896"/>
    <mergeCell ref="U895:X896"/>
    <mergeCell ref="Y895:AB896"/>
    <mergeCell ref="K901:R902"/>
    <mergeCell ref="M923:P924"/>
    <mergeCell ref="Q923:T924"/>
    <mergeCell ref="U923:X924"/>
    <mergeCell ref="Y923:AB924"/>
    <mergeCell ref="M929:P930"/>
    <mergeCell ref="Q929:T930"/>
    <mergeCell ref="U929:X930"/>
    <mergeCell ref="Y929:AB930"/>
    <mergeCell ref="M935:P936"/>
    <mergeCell ref="Q935:T936"/>
    <mergeCell ref="U935:X936"/>
    <mergeCell ref="Y935:AB936"/>
    <mergeCell ref="Q941:T942"/>
    <mergeCell ref="U941:X942"/>
    <mergeCell ref="Y941:AB942"/>
    <mergeCell ref="K947:R948"/>
    <mergeCell ref="A1032:D1033"/>
    <mergeCell ref="E1032:H1033"/>
    <mergeCell ref="K1046:R1047"/>
    <mergeCell ref="Y1080:AB1081"/>
    <mergeCell ref="Y1086:AB1087"/>
    <mergeCell ref="U1092:X1093"/>
    <mergeCell ref="Y1092:AB1093"/>
    <mergeCell ref="K1098:S1099"/>
    <mergeCell ref="Y1130:AB1131"/>
    <mergeCell ref="Y1137:AB1138"/>
    <mergeCell ref="U1144:X1145"/>
    <mergeCell ref="Y1144:AB1145"/>
    <mergeCell ref="K1151:S1152"/>
    <mergeCell ref="U1183:X1184"/>
    <mergeCell ref="Y1183:AB1184"/>
    <mergeCell ref="U1190:X1191"/>
    <mergeCell ref="Y1190:AB1191"/>
    <mergeCell ref="Q1197:T1198"/>
    <mergeCell ref="U1197:X1198"/>
    <mergeCell ref="Y1197:AB1198"/>
    <mergeCell ref="K1204:S1205"/>
    <mergeCell ref="M1226:P1227"/>
    <mergeCell ref="Q1226:T1227"/>
    <mergeCell ref="U1226:X1227"/>
    <mergeCell ref="Y1226:AB1227"/>
    <mergeCell ref="M1232:P1233"/>
    <mergeCell ref="Q1232:T1233"/>
    <mergeCell ref="U1232:X1233"/>
    <mergeCell ref="Y1232:AB1233"/>
    <mergeCell ref="M1238:P1239"/>
    <mergeCell ref="Q1238:T1239"/>
    <mergeCell ref="U1238:X1239"/>
    <mergeCell ref="Y1238:AB1239"/>
    <mergeCell ref="Q1244:T1245"/>
    <mergeCell ref="U1244:X1245"/>
    <mergeCell ref="Y1244:AB1245"/>
    <mergeCell ref="K1250:R1251"/>
    <mergeCell ref="Q1276:T1277"/>
    <mergeCell ref="U1276:X1277"/>
    <mergeCell ref="Y1276:AB1277"/>
    <mergeCell ref="K1282:R1283"/>
    <mergeCell ref="Q1308:T1309"/>
    <mergeCell ref="U1308:X1309"/>
    <mergeCell ref="Y1308:AB1309"/>
    <mergeCell ref="K1314:R1315"/>
    <mergeCell ref="Q1340:T1341"/>
    <mergeCell ref="U1340:X1341"/>
    <mergeCell ref="Y1340:AB1341"/>
    <mergeCell ref="K1346:R1347"/>
    <mergeCell ref="A1394:D1395"/>
    <mergeCell ref="E1394:H1395"/>
    <mergeCell ref="K1400:R1401"/>
    <mergeCell ref="K1460:R1461"/>
    <mergeCell ref="Q1454:T1455"/>
    <mergeCell ref="U1454:X1455"/>
    <mergeCell ref="Y1454:AB1455"/>
    <mergeCell ref="K1428:R1429"/>
    <mergeCell ref="Y1422:AB1423"/>
    <mergeCell ref="Q1486:T1487"/>
    <mergeCell ref="U1486:X1487"/>
    <mergeCell ref="Y1486:AB1487"/>
    <mergeCell ref="K1492:R1493"/>
    <mergeCell ref="Q1518:T1519"/>
    <mergeCell ref="U1518:X1519"/>
    <mergeCell ref="Y1518:AB1519"/>
    <mergeCell ref="K1524:R1525"/>
    <mergeCell ref="Q1550:T1551"/>
    <mergeCell ref="U1550:X1551"/>
    <mergeCell ref="Y1550:AB1551"/>
    <mergeCell ref="K1556:R1557"/>
    <mergeCell ref="A1604:D1605"/>
    <mergeCell ref="E1604:H1605"/>
    <mergeCell ref="K1610:R1611"/>
    <mergeCell ref="Y1632:AB1633"/>
    <mergeCell ref="K1638:R1639"/>
    <mergeCell ref="Q1664:T1665"/>
    <mergeCell ref="U1664:X1665"/>
    <mergeCell ref="Y1664:AB1665"/>
    <mergeCell ref="K1670:R1671"/>
    <mergeCell ref="A1704:D1705"/>
    <mergeCell ref="E1704:H1705"/>
    <mergeCell ref="U1704:X1705"/>
    <mergeCell ref="Y1704:AB1705"/>
    <mergeCell ref="A1744:D1745"/>
    <mergeCell ref="E1744:H1745"/>
    <mergeCell ref="U1744:X1745"/>
    <mergeCell ref="Y1744:AB1745"/>
    <mergeCell ref="K1787:R1788"/>
    <mergeCell ref="M1781:P1782"/>
    <mergeCell ref="Q1781:T1782"/>
    <mergeCell ref="U1781:X1782"/>
    <mergeCell ref="Y1781:AB1782"/>
    <mergeCell ref="M1803:P1804"/>
    <mergeCell ref="Q1803:T1804"/>
    <mergeCell ref="U1803:X1804"/>
    <mergeCell ref="Y1803:AB1804"/>
    <mergeCell ref="M1818:P1819"/>
    <mergeCell ref="Q1818:T1819"/>
    <mergeCell ref="U1818:X1819"/>
    <mergeCell ref="Y1818:AB1819"/>
    <mergeCell ref="K1824:R1825"/>
    <mergeCell ref="A1869:D1870"/>
    <mergeCell ref="E1869:H1870"/>
    <mergeCell ref="K1875:R1876"/>
    <mergeCell ref="M1891:P1892"/>
    <mergeCell ref="Q1891:T1892"/>
    <mergeCell ref="U1891:X1892"/>
    <mergeCell ref="Y1891:AB1892"/>
    <mergeCell ref="M1906:P1907"/>
    <mergeCell ref="Q1906:T1907"/>
    <mergeCell ref="U1906:X1907"/>
    <mergeCell ref="Y1906:AB1907"/>
    <mergeCell ref="K1912:R1913"/>
    <mergeCell ref="Q1932:T1933"/>
    <mergeCell ref="U1932:X1933"/>
    <mergeCell ref="Y1932:AB1933"/>
    <mergeCell ref="K1938:R1939"/>
    <mergeCell ref="Q1958:T1959"/>
    <mergeCell ref="U1958:X1959"/>
    <mergeCell ref="Y1958:AB1959"/>
    <mergeCell ref="A2005:D2006"/>
    <mergeCell ref="E2005:H2006"/>
    <mergeCell ref="K2013:R2014"/>
    <mergeCell ref="Q2033:T2034"/>
    <mergeCell ref="U2033:X2034"/>
    <mergeCell ref="Y2033:AB2034"/>
    <mergeCell ref="K2039:R2040"/>
    <mergeCell ref="A2060:H2061"/>
    <mergeCell ref="K2066:R2067"/>
    <mergeCell ref="A2087:H2088"/>
    <mergeCell ref="I2087:L2088"/>
    <mergeCell ref="M2087:P2088"/>
    <mergeCell ref="Q2087:T2088"/>
    <mergeCell ref="U2087:X2088"/>
    <mergeCell ref="Y2087:AB2088"/>
    <mergeCell ref="K2094:R2095"/>
    <mergeCell ref="A2139:D2140"/>
    <mergeCell ref="E2139:H2140"/>
    <mergeCell ref="K2147:R2148"/>
    <mergeCell ref="A2168:H2169"/>
    <mergeCell ref="I2168:L2169"/>
    <mergeCell ref="M2168:P2169"/>
    <mergeCell ref="Q2168:T2169"/>
    <mergeCell ref="U2168:X2169"/>
    <mergeCell ref="Y2168:AB2169"/>
    <mergeCell ref="A2196:D2197"/>
    <mergeCell ref="E2196:H2197"/>
    <mergeCell ref="I2196:L2197"/>
    <mergeCell ref="M2196:P2197"/>
    <mergeCell ref="Q2196:T2197"/>
    <mergeCell ref="U2196:X2197"/>
    <mergeCell ref="Y2196:AB2197"/>
    <mergeCell ref="K2174:R2175"/>
    <mergeCell ref="K2202:R2203"/>
    <mergeCell ref="A2178:AB2179"/>
    <mergeCell ref="A2223:D2224"/>
    <mergeCell ref="E2223:H2224"/>
    <mergeCell ref="I2223:L2224"/>
    <mergeCell ref="M2223:P2224"/>
    <mergeCell ref="Q2223:T2224"/>
    <mergeCell ref="U2223:X2224"/>
    <mergeCell ref="Y2223:AB2224"/>
    <mergeCell ref="K2229:R2230"/>
    <mergeCell ref="A2252:D2253"/>
    <mergeCell ref="E2252:H2253"/>
    <mergeCell ref="K2258:R2259"/>
    <mergeCell ref="A2262:AB2263"/>
    <mergeCell ref="K2286:R2287"/>
    <mergeCell ref="A2280:D2281"/>
    <mergeCell ref="E2280:H2281"/>
    <mergeCell ref="I2280:L2281"/>
    <mergeCell ref="M2280:P2281"/>
    <mergeCell ref="Q2280:T2281"/>
    <mergeCell ref="U2280:X2281"/>
    <mergeCell ref="Y2280:AB2281"/>
    <mergeCell ref="K2311:R2312"/>
    <mergeCell ref="A2305:D2306"/>
    <mergeCell ref="E2305:H2306"/>
    <mergeCell ref="I2305:L2306"/>
    <mergeCell ref="M2305:P2306"/>
    <mergeCell ref="Q2305:T2306"/>
    <mergeCell ref="U2305:X2306"/>
    <mergeCell ref="Y2305:AB2306"/>
    <mergeCell ref="A2330:D2331"/>
    <mergeCell ref="E2330:H2331"/>
    <mergeCell ref="I2330:L2331"/>
    <mergeCell ref="M2330:P2331"/>
    <mergeCell ref="Q2330:T2331"/>
    <mergeCell ref="U2330:X2331"/>
    <mergeCell ref="Y2330:AB2331"/>
    <mergeCell ref="K2336:R2337"/>
    <mergeCell ref="A2414:D2415"/>
    <mergeCell ref="E2414:H2415"/>
    <mergeCell ref="K2509:R2510"/>
    <mergeCell ref="A2530:D2531"/>
    <mergeCell ref="E2530:H2531"/>
    <mergeCell ref="K2426:R2427"/>
    <mergeCell ref="A2504:D2505"/>
    <mergeCell ref="E2504:H2505"/>
    <mergeCell ref="K2535:R2536"/>
    <mergeCell ref="A2573:D2574"/>
    <mergeCell ref="E2573:H2574"/>
    <mergeCell ref="U2573:X2574"/>
    <mergeCell ref="Y2573:AB2574"/>
    <mergeCell ref="K2579:R2580"/>
    <mergeCell ref="A2598:D2599"/>
    <mergeCell ref="E2598:H2599"/>
    <mergeCell ref="I2598:L2599"/>
    <mergeCell ref="M2598:P2599"/>
    <mergeCell ref="Q2598:T2599"/>
    <mergeCell ref="U2598:X2599"/>
    <mergeCell ref="Y2598:AB2599"/>
    <mergeCell ref="K2604:R2605"/>
    <mergeCell ref="A2630:D2631"/>
    <mergeCell ref="E2630:H2631"/>
    <mergeCell ref="I2630:L2631"/>
    <mergeCell ref="M2630:P2631"/>
    <mergeCell ref="Q2630:T2631"/>
    <mergeCell ref="U2630:X2631"/>
    <mergeCell ref="Y2630:AB2631"/>
    <mergeCell ref="K2636:R2637"/>
    <mergeCell ref="A2662:D2663"/>
    <mergeCell ref="E2662:H2663"/>
    <mergeCell ref="I2662:L2663"/>
    <mergeCell ref="M2662:P2663"/>
    <mergeCell ref="Q2662:T2663"/>
    <mergeCell ref="U2662:X2663"/>
    <mergeCell ref="Y2662:AB2663"/>
    <mergeCell ref="K2668:R2669"/>
    <mergeCell ref="A2694:D2695"/>
    <mergeCell ref="E2694:H2695"/>
    <mergeCell ref="I2694:L2695"/>
    <mergeCell ref="M2694:P2695"/>
    <mergeCell ref="Q2694:T2695"/>
    <mergeCell ref="U2694:X2695"/>
    <mergeCell ref="Y2694:AB2695"/>
    <mergeCell ref="K2700:R2701"/>
    <mergeCell ref="A2773:D2774"/>
    <mergeCell ref="E2773:H2774"/>
    <mergeCell ref="K2781:R2782"/>
    <mergeCell ref="A2807:D2808"/>
    <mergeCell ref="E2807:H2808"/>
    <mergeCell ref="I2807:L2808"/>
    <mergeCell ref="M2807:P2808"/>
    <mergeCell ref="Q2807:T2808"/>
    <mergeCell ref="U2807:X2808"/>
    <mergeCell ref="Y2807:AB2808"/>
    <mergeCell ref="K2813:R2814"/>
    <mergeCell ref="K2834:R2835"/>
    <mergeCell ref="M2828:P2829"/>
    <mergeCell ref="Q2828:T2829"/>
    <mergeCell ref="U2828:X2829"/>
    <mergeCell ref="Y2828:AB2829"/>
    <mergeCell ref="M2849:P2850"/>
    <mergeCell ref="Q2849:T2850"/>
    <mergeCell ref="U2849:X2850"/>
    <mergeCell ref="Y2849:AB2850"/>
    <mergeCell ref="K2855:R2856"/>
    <mergeCell ref="A2931:D2932"/>
    <mergeCell ref="E2931:H2932"/>
    <mergeCell ref="I2931:L2932"/>
    <mergeCell ref="M2931:P2932"/>
    <mergeCell ref="Y2931:AB2932"/>
    <mergeCell ref="K2941:R2942"/>
    <mergeCell ref="A3017:D3018"/>
    <mergeCell ref="E3017:H3018"/>
    <mergeCell ref="I3017:L3018"/>
    <mergeCell ref="M3017:P3018"/>
    <mergeCell ref="Q3017:T3018"/>
    <mergeCell ref="U3017:X3018"/>
    <mergeCell ref="Y3017:AB3018"/>
    <mergeCell ref="K3027:R3028"/>
    <mergeCell ref="M3034:P3035"/>
    <mergeCell ref="Q3034:T3035"/>
    <mergeCell ref="U3034:X3035"/>
    <mergeCell ref="Y3034:AB3035"/>
    <mergeCell ref="M3040:P3041"/>
    <mergeCell ref="Q3040:T3041"/>
    <mergeCell ref="U3040:X3041"/>
    <mergeCell ref="Y3040:AB3041"/>
    <mergeCell ref="K3046:R3047"/>
    <mergeCell ref="M3105:P3106"/>
    <mergeCell ref="Q3105:T3106"/>
    <mergeCell ref="U3105:X3106"/>
    <mergeCell ref="Y3105:AB3106"/>
    <mergeCell ref="K3111:R3112"/>
    <mergeCell ref="M3141:P3142"/>
    <mergeCell ref="Q3141:T3142"/>
    <mergeCell ref="U3141:X3142"/>
    <mergeCell ref="Y3141:AB3142"/>
    <mergeCell ref="A39:D40"/>
    <mergeCell ref="E39:H40"/>
    <mergeCell ref="U39:X40"/>
    <mergeCell ref="Y39:AB40"/>
    <mergeCell ref="K3147:R3148"/>
    <mergeCell ref="A13:D14"/>
    <mergeCell ref="E13:H14"/>
    <mergeCell ref="U13:X14"/>
    <mergeCell ref="Y13:AB14"/>
    <mergeCell ref="K19:R20"/>
    <mergeCell ref="I26:L27"/>
    <mergeCell ref="M26:P27"/>
    <mergeCell ref="Q26:T27"/>
    <mergeCell ref="U26:X27"/>
    <mergeCell ref="Y26:AB27"/>
    <mergeCell ref="K32:R33"/>
    <mergeCell ref="A52:D53"/>
    <mergeCell ref="E52:H53"/>
    <mergeCell ref="U52:X53"/>
    <mergeCell ref="Y52:AB53"/>
    <mergeCell ref="K45:R46"/>
    <mergeCell ref="K71:R72"/>
    <mergeCell ref="K58:R59"/>
    <mergeCell ref="A65:D66"/>
    <mergeCell ref="E65:H66"/>
    <mergeCell ref="U65:X66"/>
    <mergeCell ref="Y65:AB66"/>
  </mergeCells>
  <pageMargins left="0.511811023622047" right="0.511811023622047" top="0.708661417322835" bottom="0.708661417322835" header="0.31496062992126" footer="0.275590551181102"/>
  <pageSetup paperSize="9" scale="93" fitToHeight="99" orientation="portrait"/>
  <headerFooter scaleWithDoc="0">
    <oddHeader>&amp;L&amp;G&amp;R&amp;G</oddHeader>
    <oddFooter>&amp;L&amp;8Volume 3 - Memória Justifivativa do Projeto
&amp;R&amp;G</oddFooter>
  </headerFooter>
  <rowBreaks count="56" manualBreakCount="56">
    <brk id="97" max="27" man="1"/>
    <brk id="120" max="27" man="1"/>
    <brk id="165" max="27" man="1"/>
    <brk id="203" max="27" man="1"/>
    <brk id="227" max="27" man="1"/>
    <brk id="270" max="27" man="1"/>
    <brk id="316" max="27" man="1"/>
    <brk id="359" max="27" man="1"/>
    <brk id="573" max="27" man="1"/>
    <brk id="614" max="27" man="1"/>
    <brk id="706" max="27" man="1"/>
    <brk id="795" max="27" man="1"/>
    <brk id="840" max="27" man="1"/>
    <brk id="1008" max="27" man="1"/>
    <brk id="1049" max="27" man="1"/>
    <brk id="1141" max="27" man="1"/>
    <brk id="1230" max="27" man="1"/>
    <brk id="1274" max="27" man="1"/>
    <brk id="1317" max="27" man="1"/>
    <brk id="1349" max="27" man="1"/>
    <brk id="1392" max="27" man="1"/>
    <brk id="1431" max="27" man="1"/>
    <brk id="1463" max="27" man="1"/>
    <brk id="1495" max="27" man="1"/>
    <brk id="1527" max="27" man="1"/>
    <brk id="1559" max="27" man="1"/>
    <brk id="1602" max="27" man="1"/>
    <brk id="1641" max="27" man="1"/>
    <brk id="1673" max="27" man="1"/>
    <brk id="1713" max="27" man="1"/>
    <brk id="1753" max="27" man="1"/>
    <brk id="1790" max="27" man="1"/>
    <brk id="1827" max="27" man="1"/>
    <brk id="1867" max="27" man="1"/>
    <brk id="1909" max="27" man="1"/>
    <brk id="2042" max="27" man="1"/>
    <brk id="2082" max="27" man="1"/>
    <brk id="2126" max="27" man="1"/>
    <brk id="2171" max="27" man="1"/>
    <brk id="2261" max="27" man="1"/>
    <brk id="2387" max="27" man="1"/>
    <brk id="2429" max="27" man="1"/>
    <brk id="2458" max="27" man="1"/>
    <brk id="2502" max="27" man="1"/>
    <brk id="2538" max="27" man="1"/>
    <brk id="2582" max="27" man="1"/>
    <brk id="2671" max="27" man="1"/>
    <brk id="2711" max="27" man="1"/>
    <brk id="2746" max="27" man="1"/>
    <brk id="2784" max="27" man="1"/>
    <brk id="2869" max="27" man="1"/>
    <brk id="2944" max="27" man="1"/>
    <brk id="2982" max="27" man="1"/>
    <brk id="3015" max="27" man="1"/>
    <brk id="3081" max="27" man="1"/>
    <brk id="3114" max="27" man="1"/>
  </rowBreaks>
  <drawing r:id="rId1"/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T48"/>
  <sheetViews>
    <sheetView showGridLines="0" view="pageBreakPreview" zoomScale="150" zoomScaleNormal="160" workbookViewId="0">
      <selection activeCell="A1" sqref="A1"/>
    </sheetView>
  </sheetViews>
  <sheetFormatPr defaultColWidth="9.1047619047619" defaultRowHeight="17.4" customHeight="1"/>
  <cols>
    <col min="1" max="72" width="2.1047619047619" style="29" customWidth="1"/>
    <col min="73" max="73" width="9.1047619047619" style="29"/>
    <col min="74" max="106" width="2.1047619047619" style="29" customWidth="1"/>
    <col min="107" max="107" width="9.1047619047619" style="29" customWidth="1"/>
    <col min="108" max="16384" width="9.1047619047619" style="29"/>
  </cols>
  <sheetData>
    <row r="1" ht="12.6" customHeight="1"/>
    <row r="2" ht="12.6" customHeight="1"/>
    <row r="3" ht="12.6" customHeight="1"/>
    <row r="4" ht="12.75" customHeight="1" spans="1:72">
      <c r="A4" s="40" t="s">
        <v>17</v>
      </c>
      <c r="B4" s="41"/>
      <c r="C4" s="41"/>
      <c r="D4" s="41"/>
      <c r="E4" s="41"/>
      <c r="F4" s="41"/>
      <c r="G4" s="41"/>
      <c r="H4" s="41"/>
      <c r="I4" s="42" t="str">
        <f>IF(Dados!I4="","",Dados!I4)</f>
        <v>CONSTRUÇÃO DE PONTE RODOVIÁRIA EM CONCRETO ARMADO</v>
      </c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3"/>
    </row>
    <row r="5" ht="12.75" customHeight="1" spans="1:72">
      <c r="A5" s="44" t="str">
        <f>Dados!A5</f>
        <v>MUNICÍPIO:</v>
      </c>
      <c r="B5" s="45"/>
      <c r="C5" s="45"/>
      <c r="D5" s="45"/>
      <c r="E5" s="45"/>
      <c r="F5" s="45"/>
      <c r="G5" s="45"/>
      <c r="H5" s="45"/>
      <c r="I5" s="46" t="str">
        <f>IF(Dados!I5="","",Dados!I5)</f>
        <v>DEODÁPOLIS/MS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7"/>
    </row>
    <row r="6" ht="12.75" customHeight="1" spans="1:72">
      <c r="A6" s="44" t="str">
        <f>Dados!A6</f>
        <v>RODOVIA/ESTRADA:</v>
      </c>
      <c r="B6" s="45"/>
      <c r="C6" s="45"/>
      <c r="D6" s="45"/>
      <c r="E6" s="45"/>
      <c r="F6" s="45"/>
      <c r="G6" s="45"/>
      <c r="H6" s="45"/>
      <c r="I6" s="46" t="str">
        <f>IF(Dados!I6="","",Dados!I6)</f>
        <v>ESTRADA VICINAL 14ª LINHA (LADO NASCENTE)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7"/>
    </row>
    <row r="7" ht="12.75" customHeight="1" spans="1:72">
      <c r="A7" s="44" t="str">
        <f>Dados!A7</f>
        <v>LOCAL:</v>
      </c>
      <c r="B7" s="45"/>
      <c r="C7" s="45"/>
      <c r="D7" s="45"/>
      <c r="E7" s="45"/>
      <c r="F7" s="45"/>
      <c r="G7" s="45"/>
      <c r="H7" s="45"/>
      <c r="I7" s="46" t="str">
        <f>IF(Dados!I7="","",Dados!I7)</f>
        <v>PONTE SOBRE O CÓRREGO IRETAN</v>
      </c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7"/>
    </row>
    <row r="8" ht="12.75" customHeight="1" spans="1:72">
      <c r="A8" s="44" t="str">
        <f>Dados!A8</f>
        <v>COORDENADAS:</v>
      </c>
      <c r="B8" s="45"/>
      <c r="C8" s="45"/>
      <c r="D8" s="45"/>
      <c r="E8" s="45"/>
      <c r="F8" s="45"/>
      <c r="G8" s="45"/>
      <c r="H8" s="45"/>
      <c r="I8" s="46" t="str">
        <f>IF(Dados!I8="","",Dados!I8)</f>
        <v>22°14'28.18"S, 54º04'37.28"O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5" t="s">
        <v>6</v>
      </c>
      <c r="BK8" s="45"/>
      <c r="BL8" s="45"/>
      <c r="BM8" s="45"/>
      <c r="BN8" s="45"/>
      <c r="BO8" s="45"/>
      <c r="BP8" s="45"/>
      <c r="BQ8" s="51">
        <f>IF(Dados!AO8="","",Dados!AO8)</f>
        <v>90</v>
      </c>
      <c r="BR8" s="51"/>
      <c r="BS8" s="52" t="s">
        <v>7</v>
      </c>
      <c r="BT8" s="53"/>
    </row>
    <row r="9" ht="12.75" customHeight="1" spans="1:72">
      <c r="A9" s="44" t="str">
        <f>Dados!A9</f>
        <v>COMPRIMENTO:</v>
      </c>
      <c r="B9" s="45"/>
      <c r="C9" s="45"/>
      <c r="D9" s="45"/>
      <c r="E9" s="45"/>
      <c r="F9" s="45"/>
      <c r="G9" s="45"/>
      <c r="H9" s="45"/>
      <c r="I9" s="54">
        <f>IF(Dados!I9="","",Dados!I9)</f>
        <v>15</v>
      </c>
      <c r="J9" s="54"/>
      <c r="K9" s="52" t="s">
        <v>9</v>
      </c>
      <c r="L9" s="52"/>
      <c r="M9" s="55"/>
      <c r="N9" s="55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 s="56"/>
    </row>
    <row r="10" ht="12.75" customHeight="1" spans="1:72">
      <c r="A10" s="44" t="str">
        <f>Dados!A10</f>
        <v>LARGURA:</v>
      </c>
      <c r="B10" s="45"/>
      <c r="C10" s="45"/>
      <c r="D10" s="45"/>
      <c r="E10" s="45"/>
      <c r="F10" s="45"/>
      <c r="G10" s="45"/>
      <c r="H10" s="45"/>
      <c r="I10" s="54">
        <f>IF(Dados!I10="","",Dados!I10)</f>
        <v>6</v>
      </c>
      <c r="J10" s="54"/>
      <c r="K10" s="52" t="s">
        <v>9</v>
      </c>
      <c r="L10" s="52"/>
      <c r="M10" s="55"/>
      <c r="N10" s="55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 s="56"/>
    </row>
    <row r="11" ht="12.75" customHeight="1" spans="1:72">
      <c r="A11" s="44" t="s">
        <v>11</v>
      </c>
      <c r="B11" s="45"/>
      <c r="C11" s="45"/>
      <c r="D11" s="45"/>
      <c r="E11" s="45"/>
      <c r="F11" s="45"/>
      <c r="G11" s="45"/>
      <c r="H11" s="45"/>
      <c r="I11" s="45" t="str">
        <f>Dados!I11</f>
        <v>INSUMO</v>
      </c>
      <c r="J11" s="45"/>
      <c r="K11" s="45"/>
      <c r="L11" s="57">
        <f>IF(Dados!L11="","",Dados!L11)</f>
        <v>0.1527</v>
      </c>
      <c r="M11" s="57"/>
      <c r="N11" s="57"/>
      <c r="O11" s="45" t="str">
        <f>Dados!O11</f>
        <v>SERVIÇO</v>
      </c>
      <c r="P11" s="45"/>
      <c r="Q11" s="45"/>
      <c r="R11" s="57">
        <f>IF(Dados!R11="","",Dados!R11)</f>
        <v>0.2391</v>
      </c>
      <c r="S11" s="57"/>
      <c r="T11" s="57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 s="45" t="s">
        <v>14</v>
      </c>
      <c r="BK11" s="45"/>
      <c r="BL11" s="45"/>
      <c r="BM11" s="45"/>
      <c r="BN11" s="45"/>
      <c r="BO11" s="45"/>
      <c r="BP11" s="45"/>
      <c r="BQ11" s="1013">
        <f>IF(Dados!AO11="","",Dados!AO11)</f>
        <v>120</v>
      </c>
      <c r="BR11" s="1013"/>
      <c r="BS11" s="52" t="s">
        <v>15</v>
      </c>
      <c r="BT11" s="53"/>
    </row>
    <row r="12" ht="12.75" customHeight="1" spans="1:72">
      <c r="A12" s="59" t="s">
        <v>16</v>
      </c>
      <c r="B12" s="60"/>
      <c r="C12" s="60"/>
      <c r="D12" s="60"/>
      <c r="E12" s="60"/>
      <c r="F12" s="60"/>
      <c r="G12" s="60"/>
      <c r="H12" s="60"/>
      <c r="I12" s="61" t="str">
        <f>IF(Dados!I12="","",Dados!I12)</f>
        <v>SEM DESONERAÇÃO SICRO (JANEIRO/2026)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tr">
        <f>IF(Dados!U12="","",Dados!U12)</f>
        <v>NÃO DESONERADO SINAPI (JANEIRO/2026)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2"/>
      <c r="AJ12" s="62"/>
      <c r="AK12" s="62"/>
      <c r="AL12" s="62"/>
      <c r="AT12" s="62"/>
      <c r="AU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4"/>
    </row>
    <row r="13" ht="6" customHeight="1" spans="1:72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</row>
    <row r="14" ht="12.75" customHeight="1" spans="1:72">
      <c r="A14" s="533" t="s">
        <v>632</v>
      </c>
      <c r="B14" s="534"/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4"/>
      <c r="AS14" s="534"/>
      <c r="AT14" s="534"/>
      <c r="AU14" s="534"/>
      <c r="AV14" s="534"/>
      <c r="AW14" s="534"/>
      <c r="AX14" s="534"/>
      <c r="AY14" s="534"/>
      <c r="AZ14" s="534"/>
      <c r="BA14" s="534"/>
      <c r="BB14" s="534"/>
      <c r="BC14" s="534"/>
      <c r="BD14" s="534"/>
      <c r="BE14" s="534"/>
      <c r="BF14" s="534"/>
      <c r="BG14" s="534"/>
      <c r="BH14" s="534"/>
      <c r="BI14" s="534"/>
      <c r="BJ14" s="534"/>
      <c r="BK14" s="534"/>
      <c r="BL14" s="534"/>
      <c r="BM14" s="534"/>
      <c r="BN14" s="534"/>
      <c r="BO14" s="534"/>
      <c r="BP14" s="534"/>
      <c r="BQ14" s="534"/>
      <c r="BR14" s="534"/>
      <c r="BS14" s="534"/>
      <c r="BT14" s="535"/>
    </row>
    <row r="15" ht="17.7" customHeight="1" spans="1:72">
      <c r="A15" s="69" t="s">
        <v>31</v>
      </c>
      <c r="B15" s="69"/>
      <c r="C15" s="69" t="s">
        <v>633</v>
      </c>
      <c r="D15" s="69"/>
      <c r="E15" s="69"/>
      <c r="F15" s="69" t="s">
        <v>634</v>
      </c>
      <c r="G15" s="69"/>
      <c r="H15" s="69"/>
      <c r="I15" s="70" t="s">
        <v>635</v>
      </c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66" t="s">
        <v>636</v>
      </c>
      <c r="AC15" s="67"/>
      <c r="AD15" s="67"/>
      <c r="AE15" s="67"/>
      <c r="AF15" s="67"/>
      <c r="AG15" s="67"/>
      <c r="AH15" s="69" t="s">
        <v>637</v>
      </c>
      <c r="AI15" s="69"/>
      <c r="AJ15" s="69"/>
      <c r="AK15" s="66" t="s">
        <v>638</v>
      </c>
      <c r="AL15" s="67"/>
      <c r="AM15" s="67"/>
      <c r="AN15" s="67"/>
      <c r="AO15" s="67"/>
      <c r="AP15" s="67"/>
      <c r="AQ15" s="69" t="s">
        <v>637</v>
      </c>
      <c r="AR15" s="69"/>
      <c r="AS15" s="69"/>
      <c r="AT15" s="66" t="s">
        <v>639</v>
      </c>
      <c r="AU15" s="67"/>
      <c r="AV15" s="67"/>
      <c r="AW15" s="67"/>
      <c r="AX15" s="67"/>
      <c r="AY15" s="67"/>
      <c r="AZ15" s="69" t="s">
        <v>637</v>
      </c>
      <c r="BA15" s="69"/>
      <c r="BB15" s="69"/>
      <c r="BC15" s="66" t="s">
        <v>640</v>
      </c>
      <c r="BD15" s="67"/>
      <c r="BE15" s="67"/>
      <c r="BF15" s="67"/>
      <c r="BG15" s="67"/>
      <c r="BH15" s="67"/>
      <c r="BI15" s="69" t="s">
        <v>637</v>
      </c>
      <c r="BJ15" s="69"/>
      <c r="BK15" s="69"/>
      <c r="BL15" s="66" t="s">
        <v>641</v>
      </c>
      <c r="BM15" s="67"/>
      <c r="BN15" s="67"/>
      <c r="BO15" s="67"/>
      <c r="BP15" s="67"/>
      <c r="BQ15" s="67"/>
      <c r="BR15" s="69" t="s">
        <v>637</v>
      </c>
      <c r="BS15" s="69"/>
      <c r="BT15" s="69"/>
    </row>
    <row r="16" ht="12.75" customHeight="1" spans="1:72">
      <c r="A16" s="533">
        <v>6</v>
      </c>
      <c r="B16" s="534"/>
      <c r="C16" s="1014"/>
      <c r="D16" s="1014"/>
      <c r="E16" s="1014"/>
      <c r="F16" s="1014"/>
      <c r="G16" s="1014"/>
      <c r="H16" s="1014"/>
      <c r="I16" s="482" t="str">
        <f>Orçamento!I16</f>
        <v>SERVIÇOS PRELIMINARES</v>
      </c>
      <c r="J16" s="482"/>
      <c r="K16" s="482"/>
      <c r="L16" s="482"/>
      <c r="M16" s="482"/>
      <c r="N16" s="482"/>
      <c r="O16" s="482"/>
      <c r="P16" s="482"/>
      <c r="Q16" s="482"/>
      <c r="R16" s="482"/>
      <c r="S16" s="482"/>
      <c r="T16" s="482"/>
      <c r="U16" s="482"/>
      <c r="V16" s="482"/>
      <c r="W16" s="482"/>
      <c r="X16" s="482"/>
      <c r="Y16" s="482"/>
      <c r="Z16" s="482"/>
      <c r="AA16" s="483"/>
      <c r="AB16" s="1015">
        <f ca="1">SUM(AB17:AG18)</f>
        <v>39778.03</v>
      </c>
      <c r="AC16" s="1016"/>
      <c r="AD16" s="1016"/>
      <c r="AE16" s="1016"/>
      <c r="AF16" s="1016"/>
      <c r="AG16" s="1017"/>
      <c r="AH16" s="1018">
        <v>1</v>
      </c>
      <c r="AI16" s="1018"/>
      <c r="AJ16" s="1018"/>
      <c r="AK16" s="1015">
        <f ca="1">SUM(AK17:AP18)</f>
        <v>39778.03</v>
      </c>
      <c r="AL16" s="1016"/>
      <c r="AM16" s="1016"/>
      <c r="AN16" s="1016"/>
      <c r="AO16" s="1016"/>
      <c r="AP16" s="1017"/>
      <c r="AQ16" s="1018">
        <f ca="1">AK16/$AB16</f>
        <v>1</v>
      </c>
      <c r="AR16" s="1018"/>
      <c r="AS16" s="1018"/>
      <c r="AT16" s="1015">
        <f ca="1">SUM(AT17:AY18)</f>
        <v>0</v>
      </c>
      <c r="AU16" s="1016"/>
      <c r="AV16" s="1016"/>
      <c r="AW16" s="1016"/>
      <c r="AX16" s="1016"/>
      <c r="AY16" s="1017"/>
      <c r="AZ16" s="1018">
        <f ca="1">AT16/$AB16</f>
        <v>0</v>
      </c>
      <c r="BA16" s="1018"/>
      <c r="BB16" s="1018"/>
      <c r="BC16" s="1015">
        <f ca="1">SUM(BC17:BH18)</f>
        <v>0</v>
      </c>
      <c r="BD16" s="1016"/>
      <c r="BE16" s="1016"/>
      <c r="BF16" s="1016"/>
      <c r="BG16" s="1016"/>
      <c r="BH16" s="1017"/>
      <c r="BI16" s="1018">
        <f ca="1">BC16/$AB16</f>
        <v>0</v>
      </c>
      <c r="BJ16" s="1018"/>
      <c r="BK16" s="1018"/>
      <c r="BL16" s="1015">
        <f ca="1">SUM(BL17:BQ18)</f>
        <v>0</v>
      </c>
      <c r="BM16" s="1016"/>
      <c r="BN16" s="1016"/>
      <c r="BO16" s="1016"/>
      <c r="BP16" s="1016"/>
      <c r="BQ16" s="1017"/>
      <c r="BR16" s="1018">
        <f ca="1">BL16/$AB16</f>
        <v>0</v>
      </c>
      <c r="BS16" s="1018"/>
      <c r="BT16" s="1018"/>
    </row>
    <row r="17" customHeight="1" spans="1:72">
      <c r="A17" s="540" t="s">
        <v>642</v>
      </c>
      <c r="B17" s="541"/>
      <c r="C17" s="89"/>
      <c r="D17" s="91"/>
      <c r="E17" s="90"/>
      <c r="F17" s="518"/>
      <c r="G17" s="518"/>
      <c r="H17" s="518"/>
      <c r="I17" s="700" t="str">
        <f>Orçamento!I17</f>
        <v>CANTEIRO DE OBRAS</v>
      </c>
      <c r="J17" s="701"/>
      <c r="K17" s="701"/>
      <c r="L17" s="701"/>
      <c r="M17" s="701"/>
      <c r="N17" s="701"/>
      <c r="O17" s="701"/>
      <c r="P17" s="701"/>
      <c r="Q17" s="701"/>
      <c r="R17" s="701"/>
      <c r="S17" s="701"/>
      <c r="T17" s="701"/>
      <c r="U17" s="701"/>
      <c r="V17" s="701"/>
      <c r="W17" s="701"/>
      <c r="X17" s="701"/>
      <c r="Y17" s="701"/>
      <c r="Z17" s="701"/>
      <c r="AA17" s="773"/>
      <c r="AB17" s="108">
        <f ca="1">Orçamento!AO17</f>
        <v>35230.43</v>
      </c>
      <c r="AC17" s="109"/>
      <c r="AD17" s="109"/>
      <c r="AE17" s="109"/>
      <c r="AF17" s="109"/>
      <c r="AG17" s="110"/>
      <c r="AH17" s="987"/>
      <c r="AI17" s="988"/>
      <c r="AJ17" s="989"/>
      <c r="AK17" s="990">
        <f ca="1">IF(AQ17="","",$AB17*AQ17)</f>
        <v>35230.43</v>
      </c>
      <c r="AL17" s="991"/>
      <c r="AM17" s="991"/>
      <c r="AN17" s="991"/>
      <c r="AO17" s="991"/>
      <c r="AP17" s="992"/>
      <c r="AQ17" s="742">
        <v>1</v>
      </c>
      <c r="AR17" s="743"/>
      <c r="AS17" s="744"/>
      <c r="AT17" s="990" t="str">
        <f ca="1">IF(AZ17="","",$AB17*AZ17)</f>
        <v/>
      </c>
      <c r="AU17" s="991"/>
      <c r="AV17" s="991"/>
      <c r="AW17" s="991"/>
      <c r="AX17" s="991"/>
      <c r="AY17" s="992"/>
      <c r="AZ17" s="742"/>
      <c r="BA17" s="743"/>
      <c r="BB17" s="744"/>
      <c r="BC17" s="990" t="str">
        <f ca="1">IF(BI17="","",$AB17*BI17)</f>
        <v/>
      </c>
      <c r="BD17" s="991"/>
      <c r="BE17" s="991"/>
      <c r="BF17" s="991"/>
      <c r="BG17" s="991"/>
      <c r="BH17" s="992"/>
      <c r="BI17" s="742"/>
      <c r="BJ17" s="743"/>
      <c r="BK17" s="744"/>
      <c r="BL17" s="990" t="str">
        <f ca="1">IF(BR17="","",$AB17*BR17)</f>
        <v/>
      </c>
      <c r="BM17" s="991"/>
      <c r="BN17" s="991"/>
      <c r="BO17" s="991"/>
      <c r="BP17" s="991"/>
      <c r="BQ17" s="992"/>
      <c r="BR17" s="742"/>
      <c r="BS17" s="743"/>
      <c r="BT17" s="744"/>
    </row>
    <row r="18" customHeight="1" spans="1:72">
      <c r="A18" s="540" t="s">
        <v>643</v>
      </c>
      <c r="B18" s="541"/>
      <c r="C18" s="89"/>
      <c r="D18" s="91"/>
      <c r="E18" s="90"/>
      <c r="F18" s="518"/>
      <c r="G18" s="518"/>
      <c r="H18" s="518"/>
      <c r="I18" s="700" t="str">
        <f>Orçamento!I19</f>
        <v>PLACA DA OBRA</v>
      </c>
      <c r="J18" s="701"/>
      <c r="K18" s="701"/>
      <c r="L18" s="701"/>
      <c r="M18" s="701"/>
      <c r="N18" s="701"/>
      <c r="O18" s="701"/>
      <c r="P18" s="701"/>
      <c r="Q18" s="701"/>
      <c r="R18" s="701"/>
      <c r="S18" s="701"/>
      <c r="T18" s="701"/>
      <c r="U18" s="701"/>
      <c r="V18" s="701"/>
      <c r="W18" s="701"/>
      <c r="X18" s="701"/>
      <c r="Y18" s="701"/>
      <c r="Z18" s="701"/>
      <c r="AA18" s="773"/>
      <c r="AB18" s="108">
        <f>Orçamento!AO19</f>
        <v>4547.6</v>
      </c>
      <c r="AC18" s="109"/>
      <c r="AD18" s="109"/>
      <c r="AE18" s="109"/>
      <c r="AF18" s="109"/>
      <c r="AG18" s="110"/>
      <c r="AH18" s="987"/>
      <c r="AI18" s="988"/>
      <c r="AJ18" s="989"/>
      <c r="AK18" s="990">
        <f>IF(AQ18="","",$AB18*AQ18)</f>
        <v>4547.6</v>
      </c>
      <c r="AL18" s="991"/>
      <c r="AM18" s="991"/>
      <c r="AN18" s="991"/>
      <c r="AO18" s="991"/>
      <c r="AP18" s="992"/>
      <c r="AQ18" s="742">
        <v>1</v>
      </c>
      <c r="AR18" s="743"/>
      <c r="AS18" s="744"/>
      <c r="AT18" s="990" t="str">
        <f>IF(AZ18="","",$AB18*AZ18)</f>
        <v/>
      </c>
      <c r="AU18" s="991"/>
      <c r="AV18" s="991"/>
      <c r="AW18" s="991"/>
      <c r="AX18" s="991"/>
      <c r="AY18" s="992"/>
      <c r="AZ18" s="742"/>
      <c r="BA18" s="743"/>
      <c r="BB18" s="744"/>
      <c r="BC18" s="990" t="str">
        <f>IF(BI18="","",$AB18*BI18)</f>
        <v/>
      </c>
      <c r="BD18" s="991"/>
      <c r="BE18" s="991"/>
      <c r="BF18" s="991"/>
      <c r="BG18" s="991"/>
      <c r="BH18" s="992"/>
      <c r="BI18" s="742"/>
      <c r="BJ18" s="743"/>
      <c r="BK18" s="744"/>
      <c r="BL18" s="990" t="str">
        <f>IF(BR18="","",$AB18*BR18)</f>
        <v/>
      </c>
      <c r="BM18" s="991"/>
      <c r="BN18" s="991"/>
      <c r="BO18" s="991"/>
      <c r="BP18" s="991"/>
      <c r="BQ18" s="992"/>
      <c r="BR18" s="742"/>
      <c r="BS18" s="743"/>
      <c r="BT18" s="744"/>
    </row>
    <row r="19" ht="12.75" customHeight="1" spans="1:72">
      <c r="A19" s="1019" t="s">
        <v>59</v>
      </c>
      <c r="B19" s="1020"/>
      <c r="C19" s="1014"/>
      <c r="D19" s="1014"/>
      <c r="E19" s="1014"/>
      <c r="F19" s="1014"/>
      <c r="G19" s="1014"/>
      <c r="H19" s="1014"/>
      <c r="I19" s="482" t="str">
        <f>Orçamento!I21</f>
        <v>MOBILIZAÇÃO E DESMOBILIZAÇÃO</v>
      </c>
      <c r="J19" s="482"/>
      <c r="K19" s="482"/>
      <c r="L19" s="482"/>
      <c r="M19" s="482"/>
      <c r="N19" s="482"/>
      <c r="O19" s="482"/>
      <c r="P19" s="482"/>
      <c r="Q19" s="482"/>
      <c r="R19" s="482"/>
      <c r="S19" s="482"/>
      <c r="T19" s="482"/>
      <c r="U19" s="482"/>
      <c r="V19" s="482"/>
      <c r="W19" s="482"/>
      <c r="X19" s="482"/>
      <c r="Y19" s="482"/>
      <c r="Z19" s="482"/>
      <c r="AA19" s="483"/>
      <c r="AB19" s="1015">
        <f ca="1">SUM(AB20)</f>
        <v>119515.07</v>
      </c>
      <c r="AC19" s="1016"/>
      <c r="AD19" s="1016"/>
      <c r="AE19" s="1016"/>
      <c r="AF19" s="1016"/>
      <c r="AG19" s="1017"/>
      <c r="AH19" s="1018">
        <v>1</v>
      </c>
      <c r="AI19" s="1018"/>
      <c r="AJ19" s="1018"/>
      <c r="AK19" s="1015">
        <f ca="1">SUM(AK20)</f>
        <v>54472.715</v>
      </c>
      <c r="AL19" s="1016"/>
      <c r="AM19" s="1016"/>
      <c r="AN19" s="1016"/>
      <c r="AO19" s="1016"/>
      <c r="AP19" s="1017"/>
      <c r="AQ19" s="1018">
        <f ca="1">AK19/$AB19</f>
        <v>0.45578114124018</v>
      </c>
      <c r="AR19" s="1018"/>
      <c r="AS19" s="1018"/>
      <c r="AT19" s="1015">
        <f ca="1">SUM(AT20)</f>
        <v>5284.82</v>
      </c>
      <c r="AU19" s="1016"/>
      <c r="AV19" s="1016"/>
      <c r="AW19" s="1016"/>
      <c r="AX19" s="1016"/>
      <c r="AY19" s="1017"/>
      <c r="AZ19" s="1018">
        <f ca="1">AT19/$AB19</f>
        <v>0.04421885875982</v>
      </c>
      <c r="BA19" s="1018"/>
      <c r="BB19" s="1018"/>
      <c r="BC19" s="1015">
        <f ca="1">SUM(BC20)</f>
        <v>5284.82</v>
      </c>
      <c r="BD19" s="1016"/>
      <c r="BE19" s="1016"/>
      <c r="BF19" s="1016"/>
      <c r="BG19" s="1016"/>
      <c r="BH19" s="1017"/>
      <c r="BI19" s="1018">
        <f ca="1">BC19/$AB19</f>
        <v>0.04421885875982</v>
      </c>
      <c r="BJ19" s="1018"/>
      <c r="BK19" s="1018"/>
      <c r="BL19" s="1015">
        <f ca="1">SUM(BL20)</f>
        <v>54472.715</v>
      </c>
      <c r="BM19" s="1016"/>
      <c r="BN19" s="1016"/>
      <c r="BO19" s="1016"/>
      <c r="BP19" s="1016"/>
      <c r="BQ19" s="1017"/>
      <c r="BR19" s="1018">
        <f ca="1">BL19/$AB19</f>
        <v>0.45578114124018</v>
      </c>
      <c r="BS19" s="1018"/>
      <c r="BT19" s="1018"/>
    </row>
    <row r="20" customHeight="1" spans="1:72">
      <c r="A20" s="540" t="s">
        <v>644</v>
      </c>
      <c r="B20" s="541"/>
      <c r="C20" s="89"/>
      <c r="D20" s="91"/>
      <c r="E20" s="90"/>
      <c r="F20" s="518"/>
      <c r="G20" s="518"/>
      <c r="H20" s="518"/>
      <c r="I20" s="700" t="str">
        <f>Orçamento!I22</f>
        <v>MOBILIZAÇÃO E DESMOBILIZAÇÃO</v>
      </c>
      <c r="J20" s="701"/>
      <c r="K20" s="701"/>
      <c r="L20" s="701"/>
      <c r="M20" s="701"/>
      <c r="N20" s="701"/>
      <c r="O20" s="701"/>
      <c r="P20" s="701"/>
      <c r="Q20" s="701"/>
      <c r="R20" s="701"/>
      <c r="S20" s="701"/>
      <c r="T20" s="701"/>
      <c r="U20" s="701"/>
      <c r="V20" s="701"/>
      <c r="W20" s="701"/>
      <c r="X20" s="701"/>
      <c r="Y20" s="701"/>
      <c r="Z20" s="701"/>
      <c r="AA20" s="773"/>
      <c r="AB20" s="108">
        <f ca="1">Orçamento!AO22</f>
        <v>119515.07</v>
      </c>
      <c r="AC20" s="109"/>
      <c r="AD20" s="109"/>
      <c r="AE20" s="109"/>
      <c r="AF20" s="109"/>
      <c r="AG20" s="110"/>
      <c r="AH20" s="987"/>
      <c r="AI20" s="988"/>
      <c r="AJ20" s="989"/>
      <c r="AK20" s="990">
        <f ca="1">IF(AQ20="","",$AB20*AQ20)</f>
        <v>54472.715</v>
      </c>
      <c r="AL20" s="991"/>
      <c r="AM20" s="991"/>
      <c r="AN20" s="991"/>
      <c r="AO20" s="991"/>
      <c r="AP20" s="992"/>
      <c r="AQ20" s="742">
        <f ca="1">(1-AZ20-BI20)/2</f>
        <v>0.45578114124018</v>
      </c>
      <c r="AR20" s="743"/>
      <c r="AS20" s="744"/>
      <c r="AT20" s="990">
        <f ca="1">IF(AZ20="","",$AB20*AZ20)</f>
        <v>5284.82</v>
      </c>
      <c r="AU20" s="991"/>
      <c r="AV20" s="991"/>
      <c r="AW20" s="991"/>
      <c r="AX20" s="991"/>
      <c r="AY20" s="992"/>
      <c r="AZ20" s="742">
        <f ca="1">(Orçamento!AY25+Orçamento!AX24)/Cronograma!AB20</f>
        <v>0.04421885875982</v>
      </c>
      <c r="BA20" s="743"/>
      <c r="BB20" s="744"/>
      <c r="BC20" s="990">
        <f ca="1">IF(BI20="","",$AB20*BI20)</f>
        <v>5284.82</v>
      </c>
      <c r="BD20" s="991"/>
      <c r="BE20" s="991"/>
      <c r="BF20" s="991"/>
      <c r="BG20" s="991"/>
      <c r="BH20" s="992"/>
      <c r="BI20" s="742">
        <f ca="1">AZ20</f>
        <v>0.04421885875982</v>
      </c>
      <c r="BJ20" s="743"/>
      <c r="BK20" s="744"/>
      <c r="BL20" s="990">
        <f ca="1">IF(BR20="","",$AB20*BR20)</f>
        <v>54472.715</v>
      </c>
      <c r="BM20" s="991"/>
      <c r="BN20" s="991"/>
      <c r="BO20" s="991"/>
      <c r="BP20" s="991"/>
      <c r="BQ20" s="992"/>
      <c r="BR20" s="742">
        <f ca="1">AQ20</f>
        <v>0.45578114124018</v>
      </c>
      <c r="BS20" s="743"/>
      <c r="BT20" s="744"/>
    </row>
    <row r="21" ht="12.75" customHeight="1" spans="1:72">
      <c r="A21" s="1019"/>
      <c r="B21" s="1020"/>
      <c r="C21" s="1014"/>
      <c r="D21" s="1014"/>
      <c r="E21" s="1014"/>
      <c r="F21" s="1014"/>
      <c r="G21" s="1014"/>
      <c r="H21" s="1014"/>
      <c r="I21" s="482" t="str">
        <f>Orçamento!I26</f>
        <v>PONTE SOBRE O CÓRREGO IRETAN</v>
      </c>
      <c r="J21" s="482"/>
      <c r="K21" s="482"/>
      <c r="L21" s="482"/>
      <c r="M21" s="482"/>
      <c r="N21" s="482"/>
      <c r="O21" s="482"/>
      <c r="P21" s="482"/>
      <c r="Q21" s="482"/>
      <c r="R21" s="482"/>
      <c r="S21" s="482"/>
      <c r="T21" s="482"/>
      <c r="U21" s="482"/>
      <c r="V21" s="482"/>
      <c r="W21" s="482"/>
      <c r="X21" s="482"/>
      <c r="Y21" s="482"/>
      <c r="Z21" s="482"/>
      <c r="AA21" s="483"/>
      <c r="AB21" s="1015">
        <f ca="1">AB22+AB25+AB33+AB40</f>
        <v>664918.39</v>
      </c>
      <c r="AC21" s="1016"/>
      <c r="AD21" s="1016"/>
      <c r="AE21" s="1016"/>
      <c r="AF21" s="1016"/>
      <c r="AG21" s="1017"/>
      <c r="AH21" s="1018">
        <v>1</v>
      </c>
      <c r="AI21" s="1018"/>
      <c r="AJ21" s="1018"/>
      <c r="AK21" s="1015">
        <f ca="1">AK22+AK25+AK33+AK40</f>
        <v>103206.8675</v>
      </c>
      <c r="AL21" s="1016"/>
      <c r="AM21" s="1016"/>
      <c r="AN21" s="1016"/>
      <c r="AO21" s="1016"/>
      <c r="AP21" s="1017"/>
      <c r="AQ21" s="1018">
        <f ca="1">AK21/$AB21</f>
        <v>0.155217345545218</v>
      </c>
      <c r="AR21" s="1018"/>
      <c r="AS21" s="1018"/>
      <c r="AT21" s="1015">
        <f ca="1">AT22+AT25+AT33+AT40</f>
        <v>235671.4475</v>
      </c>
      <c r="AU21" s="1016"/>
      <c r="AV21" s="1016"/>
      <c r="AW21" s="1016"/>
      <c r="AX21" s="1016"/>
      <c r="AY21" s="1017"/>
      <c r="AZ21" s="1018">
        <f ca="1">AT21/$AB21</f>
        <v>0.354436651240764</v>
      </c>
      <c r="BA21" s="1018"/>
      <c r="BB21" s="1018"/>
      <c r="BC21" s="1015">
        <f ca="1">BC22+BC25+BC33+BC40</f>
        <v>221063.209</v>
      </c>
      <c r="BD21" s="1016"/>
      <c r="BE21" s="1016"/>
      <c r="BF21" s="1016"/>
      <c r="BG21" s="1016"/>
      <c r="BH21" s="1017"/>
      <c r="BI21" s="1018">
        <f ca="1">BC21/$AB21</f>
        <v>0.332466679106289</v>
      </c>
      <c r="BJ21" s="1018"/>
      <c r="BK21" s="1018"/>
      <c r="BL21" s="1015">
        <f ca="1">BL22+BL25+BL33+BL40</f>
        <v>104976.866</v>
      </c>
      <c r="BM21" s="1016"/>
      <c r="BN21" s="1016"/>
      <c r="BO21" s="1016"/>
      <c r="BP21" s="1016"/>
      <c r="BQ21" s="1017"/>
      <c r="BR21" s="1018">
        <f ca="1">BL21/$AB21</f>
        <v>0.15787932410773</v>
      </c>
      <c r="BS21" s="1018"/>
      <c r="BT21" s="1018"/>
    </row>
    <row r="22" ht="12.75" customHeight="1" spans="1:72">
      <c r="A22" s="1019" t="s">
        <v>62</v>
      </c>
      <c r="B22" s="1020"/>
      <c r="C22" s="1014"/>
      <c r="D22" s="1014"/>
      <c r="E22" s="1014"/>
      <c r="F22" s="1014"/>
      <c r="G22" s="1014"/>
      <c r="H22" s="1014"/>
      <c r="I22" s="482" t="str">
        <f>Orçamento!I27</f>
        <v>INFRAESTRUTURA</v>
      </c>
      <c r="J22" s="482"/>
      <c r="K22" s="482"/>
      <c r="L22" s="482"/>
      <c r="M22" s="482"/>
      <c r="N22" s="482"/>
      <c r="O22" s="482"/>
      <c r="P22" s="482"/>
      <c r="Q22" s="482"/>
      <c r="R22" s="482"/>
      <c r="S22" s="482"/>
      <c r="T22" s="482"/>
      <c r="U22" s="482"/>
      <c r="V22" s="482"/>
      <c r="W22" s="482"/>
      <c r="X22" s="482"/>
      <c r="Y22" s="482"/>
      <c r="Z22" s="482"/>
      <c r="AA22" s="483"/>
      <c r="AB22" s="1015">
        <f ca="1">SUM(AB23:AG24)</f>
        <v>124150.6</v>
      </c>
      <c r="AC22" s="1016"/>
      <c r="AD22" s="1016"/>
      <c r="AE22" s="1016"/>
      <c r="AF22" s="1016"/>
      <c r="AG22" s="1017"/>
      <c r="AH22" s="1018">
        <v>1</v>
      </c>
      <c r="AI22" s="1018"/>
      <c r="AJ22" s="1018"/>
      <c r="AK22" s="1015">
        <f ca="1">SUM(AK23:AP24)</f>
        <v>77554.6975</v>
      </c>
      <c r="AL22" s="1016"/>
      <c r="AM22" s="1016"/>
      <c r="AN22" s="1016"/>
      <c r="AO22" s="1016"/>
      <c r="AP22" s="1017"/>
      <c r="AQ22" s="1018">
        <f ca="1">AK22/$AB22</f>
        <v>0.624682421993933</v>
      </c>
      <c r="AR22" s="1018"/>
      <c r="AS22" s="1018"/>
      <c r="AT22" s="1015">
        <f ca="1">SUM(AT23:AY24)</f>
        <v>46595.9025</v>
      </c>
      <c r="AU22" s="1016"/>
      <c r="AV22" s="1016"/>
      <c r="AW22" s="1016"/>
      <c r="AX22" s="1016"/>
      <c r="AY22" s="1017"/>
      <c r="AZ22" s="1018">
        <f ca="1">AT22/$AB22</f>
        <v>0.375317578006067</v>
      </c>
      <c r="BA22" s="1018"/>
      <c r="BB22" s="1018"/>
      <c r="BC22" s="1015">
        <f ca="1">SUM(BC23:BH24)</f>
        <v>0</v>
      </c>
      <c r="BD22" s="1016"/>
      <c r="BE22" s="1016"/>
      <c r="BF22" s="1016"/>
      <c r="BG22" s="1016"/>
      <c r="BH22" s="1017"/>
      <c r="BI22" s="1018">
        <f ca="1">BC22/$AB22</f>
        <v>0</v>
      </c>
      <c r="BJ22" s="1018"/>
      <c r="BK22" s="1018"/>
      <c r="BL22" s="1015">
        <f ca="1">SUM(BL23:BQ24)</f>
        <v>0</v>
      </c>
      <c r="BM22" s="1016"/>
      <c r="BN22" s="1016"/>
      <c r="BO22" s="1016"/>
      <c r="BP22" s="1016"/>
      <c r="BQ22" s="1017"/>
      <c r="BR22" s="1018">
        <f ca="1">BL22/$AB22</f>
        <v>0</v>
      </c>
      <c r="BS22" s="1018"/>
      <c r="BT22" s="1018"/>
    </row>
    <row r="23" customHeight="1" spans="1:72">
      <c r="A23" s="540" t="s">
        <v>645</v>
      </c>
      <c r="B23" s="541"/>
      <c r="C23" s="203"/>
      <c r="D23" s="204"/>
      <c r="E23" s="205"/>
      <c r="F23" s="518"/>
      <c r="G23" s="518"/>
      <c r="H23" s="518"/>
      <c r="I23" s="556" t="str">
        <f>Orçamento!I28</f>
        <v>FUNDAÇÃO - ESTACAS METÁLICAS + REFORÇO DAS ESTACAS (ENCONTRO 01 E ALAS)</v>
      </c>
      <c r="J23" s="556"/>
      <c r="K23" s="556"/>
      <c r="L23" s="556"/>
      <c r="M23" s="556"/>
      <c r="N23" s="556"/>
      <c r="O23" s="556"/>
      <c r="P23" s="556"/>
      <c r="Q23" s="556"/>
      <c r="R23" s="556"/>
      <c r="S23" s="556"/>
      <c r="T23" s="556"/>
      <c r="U23" s="556"/>
      <c r="V23" s="556"/>
      <c r="W23" s="556"/>
      <c r="X23" s="556"/>
      <c r="Y23" s="556"/>
      <c r="Z23" s="556"/>
      <c r="AA23" s="556"/>
      <c r="AB23" s="108">
        <f>Orçamento!AO28</f>
        <v>62022.73</v>
      </c>
      <c r="AC23" s="109"/>
      <c r="AD23" s="109"/>
      <c r="AE23" s="109"/>
      <c r="AF23" s="109"/>
      <c r="AG23" s="110"/>
      <c r="AH23" s="987"/>
      <c r="AI23" s="988"/>
      <c r="AJ23" s="989"/>
      <c r="AK23" s="990">
        <f>IF(AQ23="","",$AB23*AQ23)</f>
        <v>62022.73</v>
      </c>
      <c r="AL23" s="991"/>
      <c r="AM23" s="991"/>
      <c r="AN23" s="991"/>
      <c r="AO23" s="991"/>
      <c r="AP23" s="992"/>
      <c r="AQ23" s="742">
        <v>1</v>
      </c>
      <c r="AR23" s="743"/>
      <c r="AS23" s="744"/>
      <c r="AT23" s="990" t="str">
        <f>IF(AZ23="","",$AB23*AZ23)</f>
        <v/>
      </c>
      <c r="AU23" s="991"/>
      <c r="AV23" s="991"/>
      <c r="AW23" s="991"/>
      <c r="AX23" s="991"/>
      <c r="AY23" s="992"/>
      <c r="AZ23" s="742"/>
      <c r="BA23" s="743"/>
      <c r="BB23" s="744"/>
      <c r="BC23" s="990" t="str">
        <f>IF(BI23="","",$AB23*BI23)</f>
        <v/>
      </c>
      <c r="BD23" s="991"/>
      <c r="BE23" s="991"/>
      <c r="BF23" s="991"/>
      <c r="BG23" s="991"/>
      <c r="BH23" s="992"/>
      <c r="BI23" s="742"/>
      <c r="BJ23" s="743"/>
      <c r="BK23" s="744"/>
      <c r="BL23" s="990" t="str">
        <f>IF(BR23="","",$AB23*BR23)</f>
        <v/>
      </c>
      <c r="BM23" s="991"/>
      <c r="BN23" s="991"/>
      <c r="BO23" s="991"/>
      <c r="BP23" s="991"/>
      <c r="BQ23" s="992"/>
      <c r="BR23" s="742"/>
      <c r="BS23" s="743"/>
      <c r="BT23" s="744"/>
    </row>
    <row r="24" customHeight="1" spans="1:72">
      <c r="A24" s="540" t="s">
        <v>646</v>
      </c>
      <c r="B24" s="541"/>
      <c r="C24" s="203"/>
      <c r="D24" s="204"/>
      <c r="E24" s="205"/>
      <c r="F24" s="518"/>
      <c r="G24" s="518"/>
      <c r="H24" s="518"/>
      <c r="I24" s="556" t="str">
        <f>VLOOKUP(A24,Orçamento!A$16:AC$149,9)</f>
        <v>FUNDAÇÃO - ESTACAS METÁLICAS + REFORÇO DAS ESTACAS (ENCONTRO 02 E ALAS)</v>
      </c>
      <c r="J24" s="556"/>
      <c r="K24" s="556"/>
      <c r="L24" s="556"/>
      <c r="M24" s="556"/>
      <c r="N24" s="556"/>
      <c r="O24" s="556"/>
      <c r="P24" s="556"/>
      <c r="Q24" s="556"/>
      <c r="R24" s="556"/>
      <c r="S24" s="556"/>
      <c r="T24" s="556"/>
      <c r="U24" s="556"/>
      <c r="V24" s="556"/>
      <c r="W24" s="556"/>
      <c r="X24" s="556"/>
      <c r="Y24" s="556"/>
      <c r="Z24" s="556"/>
      <c r="AA24" s="556"/>
      <c r="AB24" s="108">
        <f ca="1">VLOOKUP(A24,Orçamento!A$16:AR$149,41)</f>
        <v>62127.87</v>
      </c>
      <c r="AC24" s="109"/>
      <c r="AD24" s="109"/>
      <c r="AE24" s="109"/>
      <c r="AF24" s="109"/>
      <c r="AG24" s="110"/>
      <c r="AH24" s="987"/>
      <c r="AI24" s="988"/>
      <c r="AJ24" s="989"/>
      <c r="AK24" s="990">
        <f ca="1" t="shared" ref="AK24:AK32" si="0">IF(AQ24="","",$AB24*AQ24)</f>
        <v>15531.9675</v>
      </c>
      <c r="AL24" s="991"/>
      <c r="AM24" s="991"/>
      <c r="AN24" s="991"/>
      <c r="AO24" s="991"/>
      <c r="AP24" s="992"/>
      <c r="AQ24" s="742">
        <v>0.25</v>
      </c>
      <c r="AR24" s="743"/>
      <c r="AS24" s="744"/>
      <c r="AT24" s="990">
        <f ca="1">IF(AZ24="","",$AB24*AZ24)</f>
        <v>46595.9025</v>
      </c>
      <c r="AU24" s="991"/>
      <c r="AV24" s="991"/>
      <c r="AW24" s="991"/>
      <c r="AX24" s="991"/>
      <c r="AY24" s="992"/>
      <c r="AZ24" s="742">
        <f>1-AQ24</f>
        <v>0.75</v>
      </c>
      <c r="BA24" s="743"/>
      <c r="BB24" s="744"/>
      <c r="BC24" s="990" t="str">
        <f ca="1" t="shared" ref="BC24:BC32" si="1">IF(BI24="","",$AB24*BI24)</f>
        <v/>
      </c>
      <c r="BD24" s="991"/>
      <c r="BE24" s="991"/>
      <c r="BF24" s="991"/>
      <c r="BG24" s="991"/>
      <c r="BH24" s="992"/>
      <c r="BI24" s="742"/>
      <c r="BJ24" s="743"/>
      <c r="BK24" s="744"/>
      <c r="BL24" s="990" t="str">
        <f ca="1" t="shared" ref="BL24:BL32" si="2">IF(BR24="","",$AB24*BR24)</f>
        <v/>
      </c>
      <c r="BM24" s="991"/>
      <c r="BN24" s="991"/>
      <c r="BO24" s="991"/>
      <c r="BP24" s="991"/>
      <c r="BQ24" s="992"/>
      <c r="BR24" s="742"/>
      <c r="BS24" s="743"/>
      <c r="BT24" s="744"/>
    </row>
    <row r="25" s="1012" customFormat="1" ht="12.6" customHeight="1" spans="1:72">
      <c r="A25" s="1021">
        <v>2</v>
      </c>
      <c r="B25" s="1022"/>
      <c r="C25" s="533"/>
      <c r="D25" s="534"/>
      <c r="E25" s="535"/>
      <c r="F25" s="880"/>
      <c r="G25" s="880"/>
      <c r="H25" s="880"/>
      <c r="I25" s="482" t="str">
        <f>VLOOKUP(A25,Orçamento!A$16:AC$149,9)</f>
        <v>MESOESTRUTURA</v>
      </c>
      <c r="J25" s="482"/>
      <c r="K25" s="482"/>
      <c r="L25" s="482"/>
      <c r="M25" s="482"/>
      <c r="N25" s="482"/>
      <c r="O25" s="482"/>
      <c r="P25" s="482"/>
      <c r="Q25" s="482"/>
      <c r="R25" s="482"/>
      <c r="S25" s="482"/>
      <c r="T25" s="482"/>
      <c r="U25" s="482"/>
      <c r="V25" s="482"/>
      <c r="W25" s="482"/>
      <c r="X25" s="482"/>
      <c r="Y25" s="482"/>
      <c r="Z25" s="482"/>
      <c r="AA25" s="482"/>
      <c r="AB25" s="1015">
        <f ca="1">SUM(AB26:AG32)</f>
        <v>285180.89</v>
      </c>
      <c r="AC25" s="1016"/>
      <c r="AD25" s="1016"/>
      <c r="AE25" s="1016"/>
      <c r="AF25" s="1016"/>
      <c r="AG25" s="1017"/>
      <c r="AH25" s="1018">
        <v>1</v>
      </c>
      <c r="AI25" s="1018"/>
      <c r="AJ25" s="1018"/>
      <c r="AK25" s="1015">
        <f ca="1">SUM(AK26:AP32)</f>
        <v>0</v>
      </c>
      <c r="AL25" s="1016"/>
      <c r="AM25" s="1016"/>
      <c r="AN25" s="1016"/>
      <c r="AO25" s="1016"/>
      <c r="AP25" s="1017"/>
      <c r="AQ25" s="1018">
        <f ca="1">AK25/$AB25</f>
        <v>0</v>
      </c>
      <c r="AR25" s="1018"/>
      <c r="AS25" s="1018"/>
      <c r="AT25" s="1015">
        <f ca="1">SUM(AT26:AY32)</f>
        <v>123459.9</v>
      </c>
      <c r="AU25" s="1016"/>
      <c r="AV25" s="1016"/>
      <c r="AW25" s="1016"/>
      <c r="AX25" s="1016"/>
      <c r="AY25" s="1017"/>
      <c r="AZ25" s="1018">
        <f ca="1">AT25/$AB25</f>
        <v>0.432917857855062</v>
      </c>
      <c r="BA25" s="1018"/>
      <c r="BB25" s="1018"/>
      <c r="BC25" s="1015">
        <f ca="1">SUM(BC26:BH32)</f>
        <v>161720.99</v>
      </c>
      <c r="BD25" s="1016"/>
      <c r="BE25" s="1016"/>
      <c r="BF25" s="1016"/>
      <c r="BG25" s="1016"/>
      <c r="BH25" s="1017"/>
      <c r="BI25" s="1018">
        <f ca="1">BC25/$AB25</f>
        <v>0.567082142144938</v>
      </c>
      <c r="BJ25" s="1018"/>
      <c r="BK25" s="1018"/>
      <c r="BL25" s="1015">
        <f ca="1">SUM(BL26:BQ32)</f>
        <v>0</v>
      </c>
      <c r="BM25" s="1016"/>
      <c r="BN25" s="1016"/>
      <c r="BO25" s="1016"/>
      <c r="BP25" s="1016"/>
      <c r="BQ25" s="1017"/>
      <c r="BR25" s="1018">
        <f ca="1">BL25/$AB25</f>
        <v>0</v>
      </c>
      <c r="BS25" s="1018"/>
      <c r="BT25" s="1018"/>
    </row>
    <row r="26" customHeight="1" spans="1:72">
      <c r="A26" s="540" t="s">
        <v>647</v>
      </c>
      <c r="B26" s="541"/>
      <c r="C26" s="203"/>
      <c r="D26" s="204"/>
      <c r="E26" s="205"/>
      <c r="F26" s="518"/>
      <c r="G26" s="518"/>
      <c r="H26" s="518"/>
      <c r="I26" s="701" t="str">
        <f>VLOOKUP(A26,Orçamento!A$16:AC$149,9)</f>
        <v>ENCONTROS/CORTINAS 01 + ALAS + CONSOLOS</v>
      </c>
      <c r="J26" s="701"/>
      <c r="K26" s="701"/>
      <c r="L26" s="701"/>
      <c r="M26" s="701"/>
      <c r="N26" s="701"/>
      <c r="O26" s="701"/>
      <c r="P26" s="701"/>
      <c r="Q26" s="701"/>
      <c r="R26" s="701"/>
      <c r="S26" s="701"/>
      <c r="T26" s="701"/>
      <c r="U26" s="701"/>
      <c r="V26" s="701"/>
      <c r="W26" s="701"/>
      <c r="X26" s="701"/>
      <c r="Y26" s="701"/>
      <c r="Z26" s="701"/>
      <c r="AA26" s="701"/>
      <c r="AB26" s="108">
        <f ca="1">VLOOKUP(A26,Orçamento!A$16:AR$149,41)</f>
        <v>123459.9</v>
      </c>
      <c r="AC26" s="109"/>
      <c r="AD26" s="109"/>
      <c r="AE26" s="109"/>
      <c r="AF26" s="109"/>
      <c r="AG26" s="110"/>
      <c r="AH26" s="987"/>
      <c r="AI26" s="988"/>
      <c r="AJ26" s="989"/>
      <c r="AK26" s="990" t="str">
        <f ca="1" t="shared" si="0"/>
        <v/>
      </c>
      <c r="AL26" s="991"/>
      <c r="AM26" s="991"/>
      <c r="AN26" s="991"/>
      <c r="AO26" s="991"/>
      <c r="AP26" s="992"/>
      <c r="AQ26" s="742"/>
      <c r="AR26" s="743"/>
      <c r="AS26" s="744"/>
      <c r="AT26" s="990">
        <f ca="1" t="shared" ref="AT26:AT32" si="3">IF(AZ26="","",$AB26*AZ26)</f>
        <v>123459.9</v>
      </c>
      <c r="AU26" s="991"/>
      <c r="AV26" s="991"/>
      <c r="AW26" s="991"/>
      <c r="AX26" s="991"/>
      <c r="AY26" s="992"/>
      <c r="AZ26" s="742">
        <v>1</v>
      </c>
      <c r="BA26" s="743"/>
      <c r="BB26" s="744"/>
      <c r="BC26" s="990" t="str">
        <f ca="1" t="shared" si="1"/>
        <v/>
      </c>
      <c r="BD26" s="991"/>
      <c r="BE26" s="991"/>
      <c r="BF26" s="991"/>
      <c r="BG26" s="991"/>
      <c r="BH26" s="992"/>
      <c r="BI26" s="742"/>
      <c r="BJ26" s="743"/>
      <c r="BK26" s="744"/>
      <c r="BL26" s="990" t="str">
        <f ca="1" t="shared" si="2"/>
        <v/>
      </c>
      <c r="BM26" s="991"/>
      <c r="BN26" s="991"/>
      <c r="BO26" s="991"/>
      <c r="BP26" s="991"/>
      <c r="BQ26" s="992"/>
      <c r="BR26" s="742"/>
      <c r="BS26" s="743"/>
      <c r="BT26" s="744"/>
    </row>
    <row r="27" customHeight="1" spans="1:72">
      <c r="A27" s="540" t="s">
        <v>648</v>
      </c>
      <c r="B27" s="541"/>
      <c r="C27" s="203"/>
      <c r="D27" s="204"/>
      <c r="E27" s="205"/>
      <c r="F27" s="518"/>
      <c r="G27" s="518"/>
      <c r="H27" s="518"/>
      <c r="I27" s="701" t="str">
        <f>VLOOKUP(A27,Orçamento!A$16:AC$149,9)</f>
        <v>ENCONTROS/CORTINAS 02 + ALAS + CONSOLOS</v>
      </c>
      <c r="J27" s="701"/>
      <c r="K27" s="701"/>
      <c r="L27" s="701"/>
      <c r="M27" s="701"/>
      <c r="N27" s="701"/>
      <c r="O27" s="701"/>
      <c r="P27" s="701"/>
      <c r="Q27" s="701"/>
      <c r="R27" s="701"/>
      <c r="S27" s="701"/>
      <c r="T27" s="701"/>
      <c r="U27" s="701"/>
      <c r="V27" s="701"/>
      <c r="W27" s="701"/>
      <c r="X27" s="701"/>
      <c r="Y27" s="701"/>
      <c r="Z27" s="701"/>
      <c r="AA27" s="701"/>
      <c r="AB27" s="108">
        <f ca="1">VLOOKUP(A27,Orçamento!A$16:AR$149,41)</f>
        <v>123606.44</v>
      </c>
      <c r="AC27" s="109"/>
      <c r="AD27" s="109"/>
      <c r="AE27" s="109"/>
      <c r="AF27" s="109"/>
      <c r="AG27" s="110"/>
      <c r="AH27" s="987"/>
      <c r="AI27" s="988"/>
      <c r="AJ27" s="989"/>
      <c r="AK27" s="990" t="str">
        <f ca="1" t="shared" si="0"/>
        <v/>
      </c>
      <c r="AL27" s="991"/>
      <c r="AM27" s="991"/>
      <c r="AN27" s="991"/>
      <c r="AO27" s="991"/>
      <c r="AP27" s="992"/>
      <c r="AQ27" s="742"/>
      <c r="AR27" s="743"/>
      <c r="AS27" s="744"/>
      <c r="AT27" s="990" t="str">
        <f ca="1" t="shared" si="3"/>
        <v/>
      </c>
      <c r="AU27" s="991"/>
      <c r="AV27" s="991"/>
      <c r="AW27" s="991"/>
      <c r="AX27" s="991"/>
      <c r="AY27" s="992"/>
      <c r="AZ27" s="742"/>
      <c r="BA27" s="743"/>
      <c r="BB27" s="744"/>
      <c r="BC27" s="990">
        <f ca="1" t="shared" si="1"/>
        <v>123606.44</v>
      </c>
      <c r="BD27" s="991"/>
      <c r="BE27" s="991"/>
      <c r="BF27" s="991"/>
      <c r="BG27" s="991"/>
      <c r="BH27" s="992"/>
      <c r="BI27" s="742">
        <f>1-AZ27</f>
        <v>1</v>
      </c>
      <c r="BJ27" s="743"/>
      <c r="BK27" s="744"/>
      <c r="BL27" s="990" t="str">
        <f ca="1" t="shared" si="2"/>
        <v/>
      </c>
      <c r="BM27" s="991"/>
      <c r="BN27" s="991"/>
      <c r="BO27" s="991"/>
      <c r="BP27" s="991"/>
      <c r="BQ27" s="992"/>
      <c r="BR27" s="742"/>
      <c r="BS27" s="743"/>
      <c r="BT27" s="744"/>
    </row>
    <row r="28" customHeight="1" spans="1:72">
      <c r="A28" s="540" t="s">
        <v>649</v>
      </c>
      <c r="B28" s="541"/>
      <c r="C28" s="203"/>
      <c r="D28" s="204"/>
      <c r="E28" s="205"/>
      <c r="F28" s="518"/>
      <c r="G28" s="518"/>
      <c r="H28" s="518"/>
      <c r="I28" s="701" t="str">
        <f>VLOOKUP(A28,Orçamento!A$16:AC$149,9)</f>
        <v>PLACA DE ATRITO 01</v>
      </c>
      <c r="J28" s="701"/>
      <c r="K28" s="701"/>
      <c r="L28" s="701"/>
      <c r="M28" s="701"/>
      <c r="N28" s="701"/>
      <c r="O28" s="701"/>
      <c r="P28" s="701"/>
      <c r="Q28" s="701"/>
      <c r="R28" s="701"/>
      <c r="S28" s="701"/>
      <c r="T28" s="701"/>
      <c r="U28" s="701"/>
      <c r="V28" s="701"/>
      <c r="W28" s="701"/>
      <c r="X28" s="701"/>
      <c r="Y28" s="701"/>
      <c r="Z28" s="701"/>
      <c r="AA28" s="701"/>
      <c r="AB28" s="108">
        <f ca="1">VLOOKUP(A28,Orçamento!A$16:AR$149,41)</f>
        <v>12622.98</v>
      </c>
      <c r="AC28" s="109"/>
      <c r="AD28" s="109"/>
      <c r="AE28" s="109"/>
      <c r="AF28" s="109"/>
      <c r="AG28" s="110"/>
      <c r="AH28" s="987"/>
      <c r="AI28" s="988"/>
      <c r="AJ28" s="989"/>
      <c r="AK28" s="990" t="str">
        <f ca="1" t="shared" si="0"/>
        <v/>
      </c>
      <c r="AL28" s="991"/>
      <c r="AM28" s="991"/>
      <c r="AN28" s="991"/>
      <c r="AO28" s="991"/>
      <c r="AP28" s="992"/>
      <c r="AQ28" s="742"/>
      <c r="AR28" s="743"/>
      <c r="AS28" s="744"/>
      <c r="AT28" s="990" t="str">
        <f ca="1" t="shared" si="3"/>
        <v/>
      </c>
      <c r="AU28" s="991"/>
      <c r="AV28" s="991"/>
      <c r="AW28" s="991"/>
      <c r="AX28" s="991"/>
      <c r="AY28" s="992"/>
      <c r="AZ28" s="742"/>
      <c r="BA28" s="743"/>
      <c r="BB28" s="744"/>
      <c r="BC28" s="990">
        <f ca="1" t="shared" si="1"/>
        <v>12622.98</v>
      </c>
      <c r="BD28" s="991"/>
      <c r="BE28" s="991"/>
      <c r="BF28" s="991"/>
      <c r="BG28" s="991"/>
      <c r="BH28" s="992"/>
      <c r="BI28" s="742">
        <f>1-AZ28</f>
        <v>1</v>
      </c>
      <c r="BJ28" s="743"/>
      <c r="BK28" s="744"/>
      <c r="BL28" s="990" t="str">
        <f ca="1" t="shared" si="2"/>
        <v/>
      </c>
      <c r="BM28" s="991"/>
      <c r="BN28" s="991"/>
      <c r="BO28" s="991"/>
      <c r="BP28" s="991"/>
      <c r="BQ28" s="992"/>
      <c r="BR28" s="742"/>
      <c r="BS28" s="743"/>
      <c r="BT28" s="744"/>
    </row>
    <row r="29" customHeight="1" spans="1:72">
      <c r="A29" s="540" t="s">
        <v>650</v>
      </c>
      <c r="B29" s="541"/>
      <c r="C29" s="203"/>
      <c r="D29" s="204"/>
      <c r="E29" s="205"/>
      <c r="F29" s="518"/>
      <c r="G29" s="518"/>
      <c r="H29" s="518"/>
      <c r="I29" s="701" t="str">
        <f>VLOOKUP(A29,Orçamento!A$16:AC$149,9)</f>
        <v>PLACA DE ATRITO 02</v>
      </c>
      <c r="J29" s="701"/>
      <c r="K29" s="701"/>
      <c r="L29" s="701"/>
      <c r="M29" s="701"/>
      <c r="N29" s="701"/>
      <c r="O29" s="701"/>
      <c r="P29" s="701"/>
      <c r="Q29" s="701"/>
      <c r="R29" s="701"/>
      <c r="S29" s="701"/>
      <c r="T29" s="701"/>
      <c r="U29" s="701"/>
      <c r="V29" s="701"/>
      <c r="W29" s="701"/>
      <c r="X29" s="701"/>
      <c r="Y29" s="701"/>
      <c r="Z29" s="701"/>
      <c r="AA29" s="701"/>
      <c r="AB29" s="108">
        <f ca="1">VLOOKUP(A29,Orçamento!A$16:AR$149,41)</f>
        <v>12879.6</v>
      </c>
      <c r="AC29" s="109"/>
      <c r="AD29" s="109"/>
      <c r="AE29" s="109"/>
      <c r="AF29" s="109"/>
      <c r="AG29" s="110"/>
      <c r="AH29" s="987"/>
      <c r="AI29" s="988"/>
      <c r="AJ29" s="989"/>
      <c r="AK29" s="990" t="str">
        <f ca="1" t="shared" si="0"/>
        <v/>
      </c>
      <c r="AL29" s="991"/>
      <c r="AM29" s="991"/>
      <c r="AN29" s="991"/>
      <c r="AO29" s="991"/>
      <c r="AP29" s="992"/>
      <c r="AQ29" s="742"/>
      <c r="AR29" s="743"/>
      <c r="AS29" s="744"/>
      <c r="AT29" s="990" t="str">
        <f ca="1" t="shared" si="3"/>
        <v/>
      </c>
      <c r="AU29" s="991"/>
      <c r="AV29" s="991"/>
      <c r="AW29" s="991"/>
      <c r="AX29" s="991"/>
      <c r="AY29" s="992"/>
      <c r="AZ29" s="742"/>
      <c r="BA29" s="743"/>
      <c r="BB29" s="744"/>
      <c r="BC29" s="990">
        <f ca="1" t="shared" si="1"/>
        <v>12879.6</v>
      </c>
      <c r="BD29" s="991"/>
      <c r="BE29" s="991"/>
      <c r="BF29" s="991"/>
      <c r="BG29" s="991"/>
      <c r="BH29" s="992"/>
      <c r="BI29" s="742">
        <f>1-AZ29</f>
        <v>1</v>
      </c>
      <c r="BJ29" s="743"/>
      <c r="BK29" s="744"/>
      <c r="BL29" s="990" t="str">
        <f ca="1" t="shared" si="2"/>
        <v/>
      </c>
      <c r="BM29" s="991"/>
      <c r="BN29" s="991"/>
      <c r="BO29" s="991"/>
      <c r="BP29" s="991"/>
      <c r="BQ29" s="992"/>
      <c r="BR29" s="742"/>
      <c r="BS29" s="743"/>
      <c r="BT29" s="744"/>
    </row>
    <row r="30" customHeight="1" spans="1:72">
      <c r="A30" s="540" t="s">
        <v>651</v>
      </c>
      <c r="B30" s="541"/>
      <c r="C30" s="203"/>
      <c r="D30" s="204"/>
      <c r="E30" s="205"/>
      <c r="F30" s="518"/>
      <c r="G30" s="518"/>
      <c r="H30" s="518"/>
      <c r="I30" s="701" t="str">
        <f>VLOOKUP(A30,Orçamento!A$16:AC$149,9)</f>
        <v>TIRANTES (PLACA DE ATRITO 01)</v>
      </c>
      <c r="J30" s="701"/>
      <c r="K30" s="701"/>
      <c r="L30" s="701"/>
      <c r="M30" s="701"/>
      <c r="N30" s="701"/>
      <c r="O30" s="701"/>
      <c r="P30" s="701"/>
      <c r="Q30" s="701"/>
      <c r="R30" s="701"/>
      <c r="S30" s="701"/>
      <c r="T30" s="701"/>
      <c r="U30" s="701"/>
      <c r="V30" s="701"/>
      <c r="W30" s="701"/>
      <c r="X30" s="701"/>
      <c r="Y30" s="701"/>
      <c r="Z30" s="701"/>
      <c r="AA30" s="701"/>
      <c r="AB30" s="108">
        <f ca="1">VLOOKUP(A30,Orçamento!A$16:AR$149,41)</f>
        <v>4843.5</v>
      </c>
      <c r="AC30" s="109"/>
      <c r="AD30" s="109"/>
      <c r="AE30" s="109"/>
      <c r="AF30" s="109"/>
      <c r="AG30" s="110"/>
      <c r="AH30" s="987"/>
      <c r="AI30" s="988"/>
      <c r="AJ30" s="989"/>
      <c r="AK30" s="990" t="str">
        <f ca="1" t="shared" si="0"/>
        <v/>
      </c>
      <c r="AL30" s="991"/>
      <c r="AM30" s="991"/>
      <c r="AN30" s="991"/>
      <c r="AO30" s="991"/>
      <c r="AP30" s="992"/>
      <c r="AQ30" s="742"/>
      <c r="AR30" s="743"/>
      <c r="AS30" s="744"/>
      <c r="AT30" s="990" t="str">
        <f ca="1" t="shared" si="3"/>
        <v/>
      </c>
      <c r="AU30" s="991"/>
      <c r="AV30" s="991"/>
      <c r="AW30" s="991"/>
      <c r="AX30" s="991"/>
      <c r="AY30" s="992"/>
      <c r="AZ30" s="742"/>
      <c r="BA30" s="743"/>
      <c r="BB30" s="744"/>
      <c r="BC30" s="990">
        <f ca="1" t="shared" si="1"/>
        <v>4843.5</v>
      </c>
      <c r="BD30" s="991"/>
      <c r="BE30" s="991"/>
      <c r="BF30" s="991"/>
      <c r="BG30" s="991"/>
      <c r="BH30" s="992"/>
      <c r="BI30" s="742">
        <f>1-AZ30</f>
        <v>1</v>
      </c>
      <c r="BJ30" s="743"/>
      <c r="BK30" s="744"/>
      <c r="BL30" s="990" t="str">
        <f ca="1" t="shared" si="2"/>
        <v/>
      </c>
      <c r="BM30" s="991"/>
      <c r="BN30" s="991"/>
      <c r="BO30" s="991"/>
      <c r="BP30" s="991"/>
      <c r="BQ30" s="992"/>
      <c r="BR30" s="742"/>
      <c r="BS30" s="743"/>
      <c r="BT30" s="744"/>
    </row>
    <row r="31" customHeight="1" spans="1:72">
      <c r="A31" s="540" t="s">
        <v>652</v>
      </c>
      <c r="B31" s="541"/>
      <c r="C31" s="203"/>
      <c r="D31" s="204"/>
      <c r="E31" s="205"/>
      <c r="F31" s="518"/>
      <c r="G31" s="518"/>
      <c r="H31" s="518"/>
      <c r="I31" s="701" t="str">
        <f>VLOOKUP(A31,Orçamento!A$16:AC$149,9)</f>
        <v>TIRANTES (PLACA DE ATRITO 02)</v>
      </c>
      <c r="J31" s="701"/>
      <c r="K31" s="701"/>
      <c r="L31" s="701"/>
      <c r="M31" s="701"/>
      <c r="N31" s="701"/>
      <c r="O31" s="701"/>
      <c r="P31" s="701"/>
      <c r="Q31" s="701"/>
      <c r="R31" s="701"/>
      <c r="S31" s="701"/>
      <c r="T31" s="701"/>
      <c r="U31" s="701"/>
      <c r="V31" s="701"/>
      <c r="W31" s="701"/>
      <c r="X31" s="701"/>
      <c r="Y31" s="701"/>
      <c r="Z31" s="701"/>
      <c r="AA31" s="701"/>
      <c r="AB31" s="108">
        <f ca="1">VLOOKUP(A31,Orçamento!A$16:AR$149,41)</f>
        <v>4843.5</v>
      </c>
      <c r="AC31" s="109"/>
      <c r="AD31" s="109"/>
      <c r="AE31" s="109"/>
      <c r="AF31" s="109"/>
      <c r="AG31" s="110"/>
      <c r="AH31" s="987"/>
      <c r="AI31" s="988"/>
      <c r="AJ31" s="989"/>
      <c r="AK31" s="990" t="str">
        <f ca="1" t="shared" si="0"/>
        <v/>
      </c>
      <c r="AL31" s="991"/>
      <c r="AM31" s="991"/>
      <c r="AN31" s="991"/>
      <c r="AO31" s="991"/>
      <c r="AP31" s="992"/>
      <c r="AQ31" s="742"/>
      <c r="AR31" s="743"/>
      <c r="AS31" s="744"/>
      <c r="AT31" s="990" t="str">
        <f ca="1" t="shared" si="3"/>
        <v/>
      </c>
      <c r="AU31" s="991"/>
      <c r="AV31" s="991"/>
      <c r="AW31" s="991"/>
      <c r="AX31" s="991"/>
      <c r="AY31" s="992"/>
      <c r="AZ31" s="742"/>
      <c r="BA31" s="743"/>
      <c r="BB31" s="744"/>
      <c r="BC31" s="990">
        <f ca="1" t="shared" si="1"/>
        <v>4843.5</v>
      </c>
      <c r="BD31" s="991"/>
      <c r="BE31" s="991"/>
      <c r="BF31" s="991"/>
      <c r="BG31" s="991"/>
      <c r="BH31" s="992"/>
      <c r="BI31" s="742">
        <f>BI28</f>
        <v>1</v>
      </c>
      <c r="BJ31" s="743"/>
      <c r="BK31" s="744"/>
      <c r="BL31" s="990" t="str">
        <f ca="1" t="shared" si="2"/>
        <v/>
      </c>
      <c r="BM31" s="991"/>
      <c r="BN31" s="991"/>
      <c r="BO31" s="991"/>
      <c r="BP31" s="991"/>
      <c r="BQ31" s="992"/>
      <c r="BR31" s="742"/>
      <c r="BS31" s="743"/>
      <c r="BT31" s="744"/>
    </row>
    <row r="32" customHeight="1" spans="1:72">
      <c r="A32" s="540" t="s">
        <v>653</v>
      </c>
      <c r="B32" s="541"/>
      <c r="C32" s="203"/>
      <c r="D32" s="204"/>
      <c r="E32" s="205"/>
      <c r="F32" s="518"/>
      <c r="G32" s="518"/>
      <c r="H32" s="518"/>
      <c r="I32" s="701" t="str">
        <f>VLOOKUP(A32,Orçamento!A$16:AC$149,9)</f>
        <v>ARTICULAÇÃO FREYSSINET</v>
      </c>
      <c r="J32" s="701"/>
      <c r="K32" s="701"/>
      <c r="L32" s="701"/>
      <c r="M32" s="701"/>
      <c r="N32" s="701"/>
      <c r="O32" s="701"/>
      <c r="P32" s="701"/>
      <c r="Q32" s="701"/>
      <c r="R32" s="701"/>
      <c r="S32" s="701"/>
      <c r="T32" s="701"/>
      <c r="U32" s="701"/>
      <c r="V32" s="701"/>
      <c r="W32" s="701"/>
      <c r="X32" s="701"/>
      <c r="Y32" s="701"/>
      <c r="Z32" s="701"/>
      <c r="AA32" s="701"/>
      <c r="AB32" s="108">
        <f ca="1">VLOOKUP(A32,Orçamento!A$16:AR$149,41)</f>
        <v>2924.97</v>
      </c>
      <c r="AC32" s="109"/>
      <c r="AD32" s="109"/>
      <c r="AE32" s="109"/>
      <c r="AF32" s="109"/>
      <c r="AG32" s="110"/>
      <c r="AH32" s="987"/>
      <c r="AI32" s="988"/>
      <c r="AJ32" s="989"/>
      <c r="AK32" s="990" t="str">
        <f ca="1" t="shared" si="0"/>
        <v/>
      </c>
      <c r="AL32" s="991"/>
      <c r="AM32" s="991"/>
      <c r="AN32" s="991"/>
      <c r="AO32" s="991"/>
      <c r="AP32" s="992"/>
      <c r="AQ32" s="742"/>
      <c r="AR32" s="743"/>
      <c r="AS32" s="744"/>
      <c r="AT32" s="990" t="str">
        <f ca="1" t="shared" si="3"/>
        <v/>
      </c>
      <c r="AU32" s="991"/>
      <c r="AV32" s="991"/>
      <c r="AW32" s="991"/>
      <c r="AX32" s="991"/>
      <c r="AY32" s="992"/>
      <c r="AZ32" s="742"/>
      <c r="BA32" s="743"/>
      <c r="BB32" s="744"/>
      <c r="BC32" s="990">
        <f ca="1" t="shared" si="1"/>
        <v>2924.97</v>
      </c>
      <c r="BD32" s="991"/>
      <c r="BE32" s="991"/>
      <c r="BF32" s="991"/>
      <c r="BG32" s="991"/>
      <c r="BH32" s="992"/>
      <c r="BI32" s="742">
        <f>BI31</f>
        <v>1</v>
      </c>
      <c r="BJ32" s="743"/>
      <c r="BK32" s="744"/>
      <c r="BL32" s="990" t="str">
        <f ca="1" t="shared" si="2"/>
        <v/>
      </c>
      <c r="BM32" s="991"/>
      <c r="BN32" s="991"/>
      <c r="BO32" s="991"/>
      <c r="BP32" s="991"/>
      <c r="BQ32" s="992"/>
      <c r="BR32" s="742"/>
      <c r="BS32" s="743"/>
      <c r="BT32" s="744"/>
    </row>
    <row r="33" s="1012" customFormat="1" ht="12.6" customHeight="1" spans="1:72">
      <c r="A33" s="1021">
        <v>3</v>
      </c>
      <c r="B33" s="1022"/>
      <c r="C33" s="533"/>
      <c r="D33" s="534"/>
      <c r="E33" s="535"/>
      <c r="F33" s="880"/>
      <c r="G33" s="880"/>
      <c r="H33" s="880"/>
      <c r="I33" s="482" t="str">
        <f>VLOOKUP(A33,Orçamento!A$16:AC$149,9)</f>
        <v>SUPERESTRUTURA</v>
      </c>
      <c r="J33" s="482"/>
      <c r="K33" s="482"/>
      <c r="L33" s="482"/>
      <c r="M33" s="482"/>
      <c r="N33" s="482"/>
      <c r="O33" s="482"/>
      <c r="P33" s="482"/>
      <c r="Q33" s="482"/>
      <c r="R33" s="482"/>
      <c r="S33" s="482"/>
      <c r="T33" s="482"/>
      <c r="U33" s="482"/>
      <c r="V33" s="482"/>
      <c r="W33" s="482"/>
      <c r="X33" s="482"/>
      <c r="Y33" s="482"/>
      <c r="Z33" s="482"/>
      <c r="AA33" s="482"/>
      <c r="AB33" s="1015">
        <f ca="1">SUM(AB34:AG39)</f>
        <v>243729.62</v>
      </c>
      <c r="AC33" s="1016"/>
      <c r="AD33" s="1016"/>
      <c r="AE33" s="1016"/>
      <c r="AF33" s="1016"/>
      <c r="AG33" s="1017"/>
      <c r="AH33" s="1018">
        <v>1</v>
      </c>
      <c r="AI33" s="1018"/>
      <c r="AJ33" s="1018"/>
      <c r="AK33" s="1015">
        <f ca="1">SUM(AK34:AP39)</f>
        <v>25652.17</v>
      </c>
      <c r="AL33" s="1016"/>
      <c r="AM33" s="1016"/>
      <c r="AN33" s="1016"/>
      <c r="AO33" s="1016"/>
      <c r="AP33" s="1017"/>
      <c r="AQ33" s="1018">
        <f ca="1">AK33/$AB33</f>
        <v>0.105248471646573</v>
      </c>
      <c r="AR33" s="1018"/>
      <c r="AS33" s="1018"/>
      <c r="AT33" s="1015">
        <f ca="1">SUM(AT34:AY39)</f>
        <v>64130.425</v>
      </c>
      <c r="AU33" s="1016"/>
      <c r="AV33" s="1016"/>
      <c r="AW33" s="1016"/>
      <c r="AX33" s="1016"/>
      <c r="AY33" s="1017"/>
      <c r="AZ33" s="1018">
        <f ca="1">AT33/$AB33</f>
        <v>0.263121179116432</v>
      </c>
      <c r="BA33" s="1018"/>
      <c r="BB33" s="1018"/>
      <c r="BC33" s="1015">
        <f ca="1">SUM(BC34:BH39)</f>
        <v>55654.435</v>
      </c>
      <c r="BD33" s="1016"/>
      <c r="BE33" s="1016"/>
      <c r="BF33" s="1016"/>
      <c r="BG33" s="1016"/>
      <c r="BH33" s="1017"/>
      <c r="BI33" s="1018">
        <f ca="1">BC33/$AB33</f>
        <v>0.228344979161745</v>
      </c>
      <c r="BJ33" s="1018"/>
      <c r="BK33" s="1018"/>
      <c r="BL33" s="1015">
        <f ca="1">SUM(BL34:BQ39)</f>
        <v>98292.59</v>
      </c>
      <c r="BM33" s="1016"/>
      <c r="BN33" s="1016"/>
      <c r="BO33" s="1016"/>
      <c r="BP33" s="1016"/>
      <c r="BQ33" s="1017"/>
      <c r="BR33" s="1018">
        <f ca="1">BL33/$AB33</f>
        <v>0.40328537007525</v>
      </c>
      <c r="BS33" s="1018"/>
      <c r="BT33" s="1018"/>
    </row>
    <row r="34" customHeight="1" spans="1:72">
      <c r="A34" s="540" t="s">
        <v>654</v>
      </c>
      <c r="B34" s="541"/>
      <c r="C34" s="203"/>
      <c r="D34" s="204"/>
      <c r="E34" s="205"/>
      <c r="F34" s="518"/>
      <c r="G34" s="518"/>
      <c r="H34" s="518"/>
      <c r="I34" s="701" t="str">
        <f>VLOOKUP(A34,Orçamento!A$16:AC$149,9)</f>
        <v>LAJE DO TABULEIRO</v>
      </c>
      <c r="J34" s="701"/>
      <c r="K34" s="701"/>
      <c r="L34" s="701"/>
      <c r="M34" s="701"/>
      <c r="N34" s="701"/>
      <c r="O34" s="701"/>
      <c r="P34" s="701"/>
      <c r="Q34" s="701"/>
      <c r="R34" s="701"/>
      <c r="S34" s="701"/>
      <c r="T34" s="701"/>
      <c r="U34" s="701"/>
      <c r="V34" s="701"/>
      <c r="W34" s="701"/>
      <c r="X34" s="701"/>
      <c r="Y34" s="701"/>
      <c r="Z34" s="701"/>
      <c r="AA34" s="701"/>
      <c r="AB34" s="108">
        <f ca="1">VLOOKUP(A34,Orçamento!A$16:AR$149,41)</f>
        <v>38202.3</v>
      </c>
      <c r="AC34" s="109"/>
      <c r="AD34" s="109"/>
      <c r="AE34" s="109"/>
      <c r="AF34" s="109"/>
      <c r="AG34" s="110"/>
      <c r="AH34" s="987"/>
      <c r="AI34" s="988"/>
      <c r="AJ34" s="989"/>
      <c r="AK34" s="990" t="str">
        <f ca="1" t="shared" ref="AK34:AK39" si="4">IF(AQ34="","",$AB34*AQ34)</f>
        <v/>
      </c>
      <c r="AL34" s="991"/>
      <c r="AM34" s="991"/>
      <c r="AN34" s="991"/>
      <c r="AO34" s="991"/>
      <c r="AP34" s="992"/>
      <c r="AQ34" s="742"/>
      <c r="AR34" s="743"/>
      <c r="AS34" s="744"/>
      <c r="AT34" s="990" t="str">
        <f ca="1" t="shared" ref="AT34:AT39" si="5">IF(AZ34="","",$AB34*AZ34)</f>
        <v/>
      </c>
      <c r="AU34" s="991"/>
      <c r="AV34" s="991"/>
      <c r="AW34" s="991"/>
      <c r="AX34" s="991"/>
      <c r="AY34" s="992"/>
      <c r="AZ34" s="742"/>
      <c r="BA34" s="743"/>
      <c r="BB34" s="744"/>
      <c r="BC34" s="990" t="str">
        <f ca="1" t="shared" ref="BC34:BC39" si="6">IF(BI34="","",$AB34*BI34)</f>
        <v/>
      </c>
      <c r="BD34" s="991"/>
      <c r="BE34" s="991"/>
      <c r="BF34" s="991"/>
      <c r="BG34" s="991"/>
      <c r="BH34" s="992"/>
      <c r="BI34" s="742"/>
      <c r="BJ34" s="743"/>
      <c r="BK34" s="744"/>
      <c r="BL34" s="990">
        <f ca="1" t="shared" ref="BL34:BL39" si="7">IF(BR34="","",$AB34*BR34)</f>
        <v>38202.3</v>
      </c>
      <c r="BM34" s="991"/>
      <c r="BN34" s="991"/>
      <c r="BO34" s="991"/>
      <c r="BP34" s="991"/>
      <c r="BQ34" s="992"/>
      <c r="BR34" s="742">
        <v>1</v>
      </c>
      <c r="BS34" s="743"/>
      <c r="BT34" s="744"/>
    </row>
    <row r="35" customHeight="1" spans="1:72">
      <c r="A35" s="540" t="s">
        <v>655</v>
      </c>
      <c r="B35" s="541"/>
      <c r="C35" s="203"/>
      <c r="D35" s="204"/>
      <c r="E35" s="205"/>
      <c r="F35" s="518"/>
      <c r="G35" s="518"/>
      <c r="H35" s="518"/>
      <c r="I35" s="701" t="str">
        <f>VLOOKUP(A35,Orçamento!A$16:AC$149,9)</f>
        <v>TRANSVERSINA DOS ENCONTROS + CONSOLOS</v>
      </c>
      <c r="J35" s="701"/>
      <c r="K35" s="701"/>
      <c r="L35" s="701"/>
      <c r="M35" s="701"/>
      <c r="N35" s="701"/>
      <c r="O35" s="701"/>
      <c r="P35" s="701"/>
      <c r="Q35" s="701"/>
      <c r="R35" s="701"/>
      <c r="S35" s="701"/>
      <c r="T35" s="701"/>
      <c r="U35" s="701"/>
      <c r="V35" s="701"/>
      <c r="W35" s="701"/>
      <c r="X35" s="701"/>
      <c r="Y35" s="701"/>
      <c r="Z35" s="701"/>
      <c r="AA35" s="701"/>
      <c r="AB35" s="108">
        <f ca="1">VLOOKUP(A35,Orçamento!A$16:AR$149,41)</f>
        <v>17176.18</v>
      </c>
      <c r="AC35" s="109"/>
      <c r="AD35" s="109"/>
      <c r="AE35" s="109"/>
      <c r="AF35" s="109"/>
      <c r="AG35" s="110"/>
      <c r="AH35" s="987"/>
      <c r="AI35" s="988"/>
      <c r="AJ35" s="989"/>
      <c r="AK35" s="990" t="str">
        <f ca="1" t="shared" si="4"/>
        <v/>
      </c>
      <c r="AL35" s="991"/>
      <c r="AM35" s="991"/>
      <c r="AN35" s="991"/>
      <c r="AO35" s="991"/>
      <c r="AP35" s="992"/>
      <c r="AQ35" s="742"/>
      <c r="AR35" s="743"/>
      <c r="AS35" s="744"/>
      <c r="AT35" s="990" t="str">
        <f ca="1" t="shared" si="5"/>
        <v/>
      </c>
      <c r="AU35" s="991"/>
      <c r="AV35" s="991"/>
      <c r="AW35" s="991"/>
      <c r="AX35" s="991"/>
      <c r="AY35" s="992"/>
      <c r="AZ35" s="742"/>
      <c r="BA35" s="743"/>
      <c r="BB35" s="744"/>
      <c r="BC35" s="990">
        <f ca="1" t="shared" si="6"/>
        <v>17176.18</v>
      </c>
      <c r="BD35" s="991"/>
      <c r="BE35" s="991"/>
      <c r="BF35" s="991"/>
      <c r="BG35" s="991"/>
      <c r="BH35" s="992"/>
      <c r="BI35" s="742">
        <v>1</v>
      </c>
      <c r="BJ35" s="743"/>
      <c r="BK35" s="744"/>
      <c r="BL35" s="990" t="str">
        <f ca="1" t="shared" si="7"/>
        <v/>
      </c>
      <c r="BM35" s="991"/>
      <c r="BN35" s="991"/>
      <c r="BO35" s="991"/>
      <c r="BP35" s="991"/>
      <c r="BQ35" s="992"/>
      <c r="BR35" s="742"/>
      <c r="BS35" s="743"/>
      <c r="BT35" s="744"/>
    </row>
    <row r="36" customHeight="1" spans="1:72">
      <c r="A36" s="540" t="s">
        <v>656</v>
      </c>
      <c r="B36" s="541"/>
      <c r="C36" s="203"/>
      <c r="D36" s="204"/>
      <c r="E36" s="205"/>
      <c r="F36" s="518"/>
      <c r="G36" s="518"/>
      <c r="H36" s="518"/>
      <c r="I36" s="701" t="str">
        <f>VLOOKUP(A36,Orçamento!A$16:AC$149,9)</f>
        <v>BARREIRAS DE CONCRETO (TIPO NEW JERSEY)</v>
      </c>
      <c r="J36" s="701"/>
      <c r="K36" s="701"/>
      <c r="L36" s="701"/>
      <c r="M36" s="701"/>
      <c r="N36" s="701"/>
      <c r="O36" s="701"/>
      <c r="P36" s="701"/>
      <c r="Q36" s="701"/>
      <c r="R36" s="701"/>
      <c r="S36" s="701"/>
      <c r="T36" s="701"/>
      <c r="U36" s="701"/>
      <c r="V36" s="701"/>
      <c r="W36" s="701"/>
      <c r="X36" s="701"/>
      <c r="Y36" s="701"/>
      <c r="Z36" s="701"/>
      <c r="AA36" s="701"/>
      <c r="AB36" s="108">
        <f ca="1">VLOOKUP(A36,Orçamento!A$16:AR$149,41)</f>
        <v>10783.61</v>
      </c>
      <c r="AC36" s="109"/>
      <c r="AD36" s="109"/>
      <c r="AE36" s="109"/>
      <c r="AF36" s="109"/>
      <c r="AG36" s="110"/>
      <c r="AH36" s="987"/>
      <c r="AI36" s="988"/>
      <c r="AJ36" s="989"/>
      <c r="AK36" s="990" t="str">
        <f ca="1" t="shared" si="4"/>
        <v/>
      </c>
      <c r="AL36" s="991"/>
      <c r="AM36" s="991"/>
      <c r="AN36" s="991"/>
      <c r="AO36" s="991"/>
      <c r="AP36" s="992"/>
      <c r="AQ36" s="742"/>
      <c r="AR36" s="743"/>
      <c r="AS36" s="744"/>
      <c r="AT36" s="990" t="str">
        <f ca="1" t="shared" si="5"/>
        <v/>
      </c>
      <c r="AU36" s="991"/>
      <c r="AV36" s="991"/>
      <c r="AW36" s="991"/>
      <c r="AX36" s="991"/>
      <c r="AY36" s="992"/>
      <c r="AZ36" s="742"/>
      <c r="BA36" s="743"/>
      <c r="BB36" s="744"/>
      <c r="BC36" s="990" t="str">
        <f ca="1" t="shared" si="6"/>
        <v/>
      </c>
      <c r="BD36" s="991"/>
      <c r="BE36" s="991"/>
      <c r="BF36" s="991"/>
      <c r="BG36" s="991"/>
      <c r="BH36" s="992"/>
      <c r="BI36" s="742"/>
      <c r="BJ36" s="743"/>
      <c r="BK36" s="744"/>
      <c r="BL36" s="990">
        <f ca="1" t="shared" si="7"/>
        <v>10783.61</v>
      </c>
      <c r="BM36" s="991"/>
      <c r="BN36" s="991"/>
      <c r="BO36" s="991"/>
      <c r="BP36" s="991"/>
      <c r="BQ36" s="992"/>
      <c r="BR36" s="742">
        <v>1</v>
      </c>
      <c r="BS36" s="743"/>
      <c r="BT36" s="744"/>
    </row>
    <row r="37" customHeight="1" spans="1:72">
      <c r="A37" s="540" t="s">
        <v>657</v>
      </c>
      <c r="B37" s="541"/>
      <c r="C37" s="203"/>
      <c r="D37" s="204"/>
      <c r="E37" s="205"/>
      <c r="F37" s="518"/>
      <c r="G37" s="518"/>
      <c r="H37" s="518"/>
      <c r="I37" s="701" t="str">
        <f>VLOOKUP(A37,Orçamento!A$16:AC$149,9)</f>
        <v>VIGA LONGARINA PRÉ-MOLDADA</v>
      </c>
      <c r="J37" s="701"/>
      <c r="K37" s="701"/>
      <c r="L37" s="701"/>
      <c r="M37" s="701"/>
      <c r="N37" s="701"/>
      <c r="O37" s="701"/>
      <c r="P37" s="701"/>
      <c r="Q37" s="701"/>
      <c r="R37" s="701"/>
      <c r="S37" s="701"/>
      <c r="T37" s="701"/>
      <c r="U37" s="701"/>
      <c r="V37" s="701"/>
      <c r="W37" s="701"/>
      <c r="X37" s="701"/>
      <c r="Y37" s="701"/>
      <c r="Z37" s="701"/>
      <c r="AA37" s="701"/>
      <c r="AB37" s="108">
        <f ca="1">VLOOKUP(A37,Orçamento!A$16:AR$149,41)</f>
        <v>123437.25</v>
      </c>
      <c r="AC37" s="109"/>
      <c r="AD37" s="109"/>
      <c r="AE37" s="109"/>
      <c r="AF37" s="109"/>
      <c r="AG37" s="110"/>
      <c r="AH37" s="987"/>
      <c r="AI37" s="988"/>
      <c r="AJ37" s="989"/>
      <c r="AK37" s="990">
        <f ca="1" t="shared" si="4"/>
        <v>24687.45</v>
      </c>
      <c r="AL37" s="991"/>
      <c r="AM37" s="991"/>
      <c r="AN37" s="991"/>
      <c r="AO37" s="991"/>
      <c r="AP37" s="992"/>
      <c r="AQ37" s="742">
        <v>0.2</v>
      </c>
      <c r="AR37" s="743"/>
      <c r="AS37" s="744"/>
      <c r="AT37" s="990">
        <f ca="1" t="shared" si="5"/>
        <v>61718.625</v>
      </c>
      <c r="AU37" s="991"/>
      <c r="AV37" s="991"/>
      <c r="AW37" s="991"/>
      <c r="AX37" s="991"/>
      <c r="AY37" s="992"/>
      <c r="AZ37" s="742">
        <v>0.5</v>
      </c>
      <c r="BA37" s="743"/>
      <c r="BB37" s="744"/>
      <c r="BC37" s="990">
        <f ca="1" t="shared" si="6"/>
        <v>37031.175</v>
      </c>
      <c r="BD37" s="991"/>
      <c r="BE37" s="991"/>
      <c r="BF37" s="991"/>
      <c r="BG37" s="991"/>
      <c r="BH37" s="992"/>
      <c r="BI37" s="742">
        <v>0.3</v>
      </c>
      <c r="BJ37" s="743"/>
      <c r="BK37" s="744"/>
      <c r="BL37" s="990" t="str">
        <f ca="1" t="shared" si="7"/>
        <v/>
      </c>
      <c r="BM37" s="991"/>
      <c r="BN37" s="991"/>
      <c r="BO37" s="991"/>
      <c r="BP37" s="991"/>
      <c r="BQ37" s="992"/>
      <c r="BR37" s="742"/>
      <c r="BS37" s="743"/>
      <c r="BT37" s="744"/>
    </row>
    <row r="38" customHeight="1" spans="1:72">
      <c r="A38" s="540" t="s">
        <v>658</v>
      </c>
      <c r="B38" s="541"/>
      <c r="C38" s="203"/>
      <c r="D38" s="204"/>
      <c r="E38" s="205"/>
      <c r="F38" s="518"/>
      <c r="G38" s="518"/>
      <c r="H38" s="518"/>
      <c r="I38" s="701" t="str">
        <f>VLOOKUP(A38,Orçamento!A$16:AC$149,9)</f>
        <v>PLACA DE APROXIMAÇÃO</v>
      </c>
      <c r="J38" s="701"/>
      <c r="K38" s="701"/>
      <c r="L38" s="701"/>
      <c r="M38" s="701"/>
      <c r="N38" s="701"/>
      <c r="O38" s="701"/>
      <c r="P38" s="701"/>
      <c r="Q38" s="701"/>
      <c r="R38" s="701"/>
      <c r="S38" s="701"/>
      <c r="T38" s="701"/>
      <c r="U38" s="701"/>
      <c r="V38" s="701"/>
      <c r="W38" s="701"/>
      <c r="X38" s="701"/>
      <c r="Y38" s="701"/>
      <c r="Z38" s="701"/>
      <c r="AA38" s="701"/>
      <c r="AB38" s="108">
        <f ca="1">VLOOKUP(A38,Orçamento!A$16:AR$149,41)</f>
        <v>49306.68</v>
      </c>
      <c r="AC38" s="109"/>
      <c r="AD38" s="109"/>
      <c r="AE38" s="109"/>
      <c r="AF38" s="109"/>
      <c r="AG38" s="110"/>
      <c r="AH38" s="987"/>
      <c r="AI38" s="988"/>
      <c r="AJ38" s="989"/>
      <c r="AK38" s="990" t="str">
        <f ca="1" t="shared" si="4"/>
        <v/>
      </c>
      <c r="AL38" s="991"/>
      <c r="AM38" s="991"/>
      <c r="AN38" s="991"/>
      <c r="AO38" s="991"/>
      <c r="AP38" s="992"/>
      <c r="AQ38" s="742"/>
      <c r="AR38" s="743"/>
      <c r="AS38" s="744"/>
      <c r="AT38" s="990" t="str">
        <f ca="1" t="shared" si="5"/>
        <v/>
      </c>
      <c r="AU38" s="991"/>
      <c r="AV38" s="991"/>
      <c r="AW38" s="991"/>
      <c r="AX38" s="991"/>
      <c r="AY38" s="992"/>
      <c r="AZ38" s="742"/>
      <c r="BA38" s="743"/>
      <c r="BB38" s="744"/>
      <c r="BC38" s="990" t="str">
        <f ca="1" t="shared" si="6"/>
        <v/>
      </c>
      <c r="BD38" s="991"/>
      <c r="BE38" s="991"/>
      <c r="BF38" s="991"/>
      <c r="BG38" s="991"/>
      <c r="BH38" s="992"/>
      <c r="BI38" s="742"/>
      <c r="BJ38" s="743"/>
      <c r="BK38" s="744"/>
      <c r="BL38" s="990">
        <f ca="1" t="shared" si="7"/>
        <v>49306.68</v>
      </c>
      <c r="BM38" s="991"/>
      <c r="BN38" s="991"/>
      <c r="BO38" s="991"/>
      <c r="BP38" s="991"/>
      <c r="BQ38" s="992"/>
      <c r="BR38" s="742">
        <v>1</v>
      </c>
      <c r="BS38" s="743"/>
      <c r="BT38" s="744"/>
    </row>
    <row r="39" customHeight="1" spans="1:72">
      <c r="A39" s="540" t="s">
        <v>659</v>
      </c>
      <c r="B39" s="541"/>
      <c r="C39" s="203"/>
      <c r="D39" s="204"/>
      <c r="E39" s="205"/>
      <c r="F39" s="518"/>
      <c r="G39" s="518"/>
      <c r="H39" s="518"/>
      <c r="I39" s="701" t="str">
        <f>VLOOKUP(A39,Orçamento!A$16:AC$149,9)</f>
        <v>BERÇO DE CONCRETO PARA VIGA LONGARINA</v>
      </c>
      <c r="J39" s="701"/>
      <c r="K39" s="701"/>
      <c r="L39" s="701"/>
      <c r="M39" s="701"/>
      <c r="N39" s="701"/>
      <c r="O39" s="701"/>
      <c r="P39" s="701"/>
      <c r="Q39" s="701"/>
      <c r="R39" s="701"/>
      <c r="S39" s="701"/>
      <c r="T39" s="701"/>
      <c r="U39" s="701"/>
      <c r="V39" s="701"/>
      <c r="W39" s="701"/>
      <c r="X39" s="701"/>
      <c r="Y39" s="701"/>
      <c r="Z39" s="701"/>
      <c r="AA39" s="701"/>
      <c r="AB39" s="108">
        <f ca="1">VLOOKUP(A39,Orçamento!A$16:AR$149,41)</f>
        <v>4823.6</v>
      </c>
      <c r="AC39" s="109"/>
      <c r="AD39" s="109"/>
      <c r="AE39" s="109"/>
      <c r="AF39" s="109"/>
      <c r="AG39" s="110"/>
      <c r="AH39" s="987"/>
      <c r="AI39" s="988"/>
      <c r="AJ39" s="989"/>
      <c r="AK39" s="990">
        <f ca="1" t="shared" si="4"/>
        <v>964.72</v>
      </c>
      <c r="AL39" s="991"/>
      <c r="AM39" s="991"/>
      <c r="AN39" s="991"/>
      <c r="AO39" s="991"/>
      <c r="AP39" s="992"/>
      <c r="AQ39" s="742">
        <v>0.2</v>
      </c>
      <c r="AR39" s="743"/>
      <c r="AS39" s="744"/>
      <c r="AT39" s="990">
        <f ca="1" t="shared" si="5"/>
        <v>2411.8</v>
      </c>
      <c r="AU39" s="991"/>
      <c r="AV39" s="991"/>
      <c r="AW39" s="991"/>
      <c r="AX39" s="991"/>
      <c r="AY39" s="992"/>
      <c r="AZ39" s="742">
        <v>0.5</v>
      </c>
      <c r="BA39" s="743"/>
      <c r="BB39" s="744"/>
      <c r="BC39" s="990">
        <f ca="1" t="shared" si="6"/>
        <v>1447.08</v>
      </c>
      <c r="BD39" s="991"/>
      <c r="BE39" s="991"/>
      <c r="BF39" s="991"/>
      <c r="BG39" s="991"/>
      <c r="BH39" s="992"/>
      <c r="BI39" s="742">
        <v>0.3</v>
      </c>
      <c r="BJ39" s="743"/>
      <c r="BK39" s="744"/>
      <c r="BL39" s="990" t="str">
        <f ca="1" t="shared" si="7"/>
        <v/>
      </c>
      <c r="BM39" s="991"/>
      <c r="BN39" s="991"/>
      <c r="BO39" s="991"/>
      <c r="BP39" s="991"/>
      <c r="BQ39" s="992"/>
      <c r="BR39" s="742"/>
      <c r="BS39" s="743"/>
      <c r="BT39" s="744"/>
    </row>
    <row r="40" s="1012" customFormat="1" ht="12.6" customHeight="1" spans="1:72">
      <c r="A40" s="1021">
        <v>4</v>
      </c>
      <c r="B40" s="1022"/>
      <c r="C40" s="533"/>
      <c r="D40" s="534"/>
      <c r="E40" s="535"/>
      <c r="F40" s="880"/>
      <c r="G40" s="880"/>
      <c r="H40" s="880"/>
      <c r="I40" s="482" t="str">
        <f>VLOOKUP(A40,Orçamento!A$16:AC$149,9)</f>
        <v>SERVIÇOS COMPLEMENTARES</v>
      </c>
      <c r="J40" s="482"/>
      <c r="K40" s="482"/>
      <c r="L40" s="482"/>
      <c r="M40" s="482"/>
      <c r="N40" s="482"/>
      <c r="O40" s="482"/>
      <c r="P40" s="482"/>
      <c r="Q40" s="482"/>
      <c r="R40" s="482"/>
      <c r="S40" s="482"/>
      <c r="T40" s="482"/>
      <c r="U40" s="482"/>
      <c r="V40" s="482"/>
      <c r="W40" s="482"/>
      <c r="X40" s="482"/>
      <c r="Y40" s="482"/>
      <c r="Z40" s="482"/>
      <c r="AA40" s="482"/>
      <c r="AB40" s="1015">
        <f ca="1">SUM(AB41:AG43)</f>
        <v>11857.28</v>
      </c>
      <c r="AC40" s="1016"/>
      <c r="AD40" s="1016"/>
      <c r="AE40" s="1016"/>
      <c r="AF40" s="1016"/>
      <c r="AG40" s="1017"/>
      <c r="AH40" s="1018">
        <v>1</v>
      </c>
      <c r="AI40" s="1018"/>
      <c r="AJ40" s="1018"/>
      <c r="AK40" s="1015">
        <f ca="1">SUM(AK41:AP43)</f>
        <v>0</v>
      </c>
      <c r="AL40" s="1016"/>
      <c r="AM40" s="1016"/>
      <c r="AN40" s="1016"/>
      <c r="AO40" s="1016"/>
      <c r="AP40" s="1017"/>
      <c r="AQ40" s="1018">
        <f ca="1">AK40/$AB40</f>
        <v>0</v>
      </c>
      <c r="AR40" s="1018"/>
      <c r="AS40" s="1018"/>
      <c r="AT40" s="1015">
        <f ca="1">SUM(AT41:AY43)</f>
        <v>1485.22</v>
      </c>
      <c r="AU40" s="1016"/>
      <c r="AV40" s="1016"/>
      <c r="AW40" s="1016"/>
      <c r="AX40" s="1016"/>
      <c r="AY40" s="1017"/>
      <c r="AZ40" s="1018">
        <f ca="1">AT40/$AB40</f>
        <v>0.125258069304259</v>
      </c>
      <c r="BA40" s="1018"/>
      <c r="BB40" s="1018"/>
      <c r="BC40" s="1015">
        <f ca="1">SUM(BC41:BH43)</f>
        <v>3687.784</v>
      </c>
      <c r="BD40" s="1016"/>
      <c r="BE40" s="1016"/>
      <c r="BF40" s="1016"/>
      <c r="BG40" s="1016"/>
      <c r="BH40" s="1017"/>
      <c r="BI40" s="1018">
        <f ca="1">BC40/$AB40</f>
        <v>0.31101433043666</v>
      </c>
      <c r="BJ40" s="1018"/>
      <c r="BK40" s="1018"/>
      <c r="BL40" s="1015">
        <f ca="1">SUM(BL41:BQ43)</f>
        <v>6684.276</v>
      </c>
      <c r="BM40" s="1016"/>
      <c r="BN40" s="1016"/>
      <c r="BO40" s="1016"/>
      <c r="BP40" s="1016"/>
      <c r="BQ40" s="1017"/>
      <c r="BR40" s="1018">
        <f ca="1">BL40/$AB40</f>
        <v>0.563727600259081</v>
      </c>
      <c r="BS40" s="1018"/>
      <c r="BT40" s="1018"/>
    </row>
    <row r="41" customHeight="1" spans="1:72">
      <c r="A41" s="540" t="s">
        <v>660</v>
      </c>
      <c r="B41" s="541"/>
      <c r="C41" s="203"/>
      <c r="D41" s="204"/>
      <c r="E41" s="205"/>
      <c r="F41" s="518"/>
      <c r="G41" s="518"/>
      <c r="H41" s="518"/>
      <c r="I41" s="701" t="str">
        <f>VLOOKUP(A41,Orçamento!A$16:AC$149,9)</f>
        <v>SINALIZAÇÃO E SEGURANÇA</v>
      </c>
      <c r="J41" s="701"/>
      <c r="K41" s="701"/>
      <c r="L41" s="701"/>
      <c r="M41" s="701"/>
      <c r="N41" s="701"/>
      <c r="O41" s="701"/>
      <c r="P41" s="701"/>
      <c r="Q41" s="701"/>
      <c r="R41" s="701"/>
      <c r="S41" s="701"/>
      <c r="T41" s="701"/>
      <c r="U41" s="701"/>
      <c r="V41" s="701"/>
      <c r="W41" s="701"/>
      <c r="X41" s="701"/>
      <c r="Y41" s="701"/>
      <c r="Z41" s="701"/>
      <c r="AA41" s="701"/>
      <c r="AB41" s="108">
        <f ca="1">VLOOKUP(A41,Orçamento!A$16:AR$149,41)</f>
        <v>9219.46</v>
      </c>
      <c r="AC41" s="109"/>
      <c r="AD41" s="109"/>
      <c r="AE41" s="109"/>
      <c r="AF41" s="109"/>
      <c r="AG41" s="110"/>
      <c r="AH41" s="987"/>
      <c r="AI41" s="988"/>
      <c r="AJ41" s="989"/>
      <c r="AK41" s="990" t="str">
        <f ca="1">IF(AQ41="","",$AB41*AQ41)</f>
        <v/>
      </c>
      <c r="AL41" s="991"/>
      <c r="AM41" s="991"/>
      <c r="AN41" s="991"/>
      <c r="AO41" s="991"/>
      <c r="AP41" s="992"/>
      <c r="AQ41" s="742"/>
      <c r="AR41" s="743"/>
      <c r="AS41" s="744"/>
      <c r="AT41" s="990" t="str">
        <f ca="1">IF(AZ41="","",$AB41*AZ41)</f>
        <v/>
      </c>
      <c r="AU41" s="991"/>
      <c r="AV41" s="991"/>
      <c r="AW41" s="991"/>
      <c r="AX41" s="991"/>
      <c r="AY41" s="992"/>
      <c r="AZ41" s="742"/>
      <c r="BA41" s="743"/>
      <c r="BB41" s="744"/>
      <c r="BC41" s="990">
        <f ca="1">IF(BI41="","",$AB41*BI41)</f>
        <v>3687.784</v>
      </c>
      <c r="BD41" s="991"/>
      <c r="BE41" s="991"/>
      <c r="BF41" s="991"/>
      <c r="BG41" s="991"/>
      <c r="BH41" s="992"/>
      <c r="BI41" s="742">
        <v>0.4</v>
      </c>
      <c r="BJ41" s="743"/>
      <c r="BK41" s="744"/>
      <c r="BL41" s="990">
        <f ca="1">IF(BR41="","",$AB41*BR41)</f>
        <v>5531.676</v>
      </c>
      <c r="BM41" s="991"/>
      <c r="BN41" s="991"/>
      <c r="BO41" s="991"/>
      <c r="BP41" s="991"/>
      <c r="BQ41" s="992"/>
      <c r="BR41" s="742">
        <f>1-BI41</f>
        <v>0.6</v>
      </c>
      <c r="BS41" s="743"/>
      <c r="BT41" s="744"/>
    </row>
    <row r="42" customHeight="1" spans="1:72">
      <c r="A42" s="540" t="s">
        <v>661</v>
      </c>
      <c r="B42" s="541"/>
      <c r="C42" s="203"/>
      <c r="D42" s="204"/>
      <c r="E42" s="205"/>
      <c r="F42" s="518"/>
      <c r="G42" s="518"/>
      <c r="H42" s="518"/>
      <c r="I42" s="701" t="str">
        <f>VLOOKUP(A42,Orçamento!A$16:AC$149,9)</f>
        <v>DRENAGEM</v>
      </c>
      <c r="J42" s="701"/>
      <c r="K42" s="701"/>
      <c r="L42" s="701"/>
      <c r="M42" s="701"/>
      <c r="N42" s="701"/>
      <c r="O42" s="701"/>
      <c r="P42" s="701"/>
      <c r="Q42" s="701"/>
      <c r="R42" s="701"/>
      <c r="S42" s="701"/>
      <c r="T42" s="701"/>
      <c r="U42" s="701"/>
      <c r="V42" s="701"/>
      <c r="W42" s="701"/>
      <c r="X42" s="701"/>
      <c r="Y42" s="701"/>
      <c r="Z42" s="701"/>
      <c r="AA42" s="701"/>
      <c r="AB42" s="108">
        <f ca="1">VLOOKUP(A42,Orçamento!A$16:AR$149,41)</f>
        <v>1152.6</v>
      </c>
      <c r="AC42" s="109"/>
      <c r="AD42" s="109"/>
      <c r="AE42" s="109"/>
      <c r="AF42" s="109"/>
      <c r="AG42" s="110"/>
      <c r="AH42" s="987"/>
      <c r="AI42" s="988"/>
      <c r="AJ42" s="989"/>
      <c r="AK42" s="990" t="str">
        <f ca="1">IF(AQ42="","",$AB42*AQ42)</f>
        <v/>
      </c>
      <c r="AL42" s="991"/>
      <c r="AM42" s="991"/>
      <c r="AN42" s="991"/>
      <c r="AO42" s="991"/>
      <c r="AP42" s="992"/>
      <c r="AQ42" s="742"/>
      <c r="AR42" s="743"/>
      <c r="AS42" s="744"/>
      <c r="AT42" s="990" t="str">
        <f ca="1">IF(AZ42="","",$AB42*AZ42)</f>
        <v/>
      </c>
      <c r="AU42" s="991"/>
      <c r="AV42" s="991"/>
      <c r="AW42" s="991"/>
      <c r="AX42" s="991"/>
      <c r="AY42" s="992"/>
      <c r="AZ42" s="742"/>
      <c r="BA42" s="743"/>
      <c r="BB42" s="744"/>
      <c r="BC42" s="990" t="str">
        <f ca="1">IF(BI42="","",$AB42*BI42)</f>
        <v/>
      </c>
      <c r="BD42" s="991"/>
      <c r="BE42" s="991"/>
      <c r="BF42" s="991"/>
      <c r="BG42" s="991"/>
      <c r="BH42" s="992"/>
      <c r="BI42" s="742"/>
      <c r="BJ42" s="743"/>
      <c r="BK42" s="744"/>
      <c r="BL42" s="990">
        <f ca="1">IF(BR42="","",$AB42*BR42)</f>
        <v>1152.6</v>
      </c>
      <c r="BM42" s="991"/>
      <c r="BN42" s="991"/>
      <c r="BO42" s="991"/>
      <c r="BP42" s="991"/>
      <c r="BQ42" s="992"/>
      <c r="BR42" s="742">
        <v>1</v>
      </c>
      <c r="BS42" s="743"/>
      <c r="BT42" s="744"/>
    </row>
    <row r="43" customHeight="1" spans="1:72">
      <c r="A43" s="540" t="s">
        <v>662</v>
      </c>
      <c r="B43" s="541"/>
      <c r="C43" s="203"/>
      <c r="D43" s="204"/>
      <c r="E43" s="205"/>
      <c r="F43" s="518"/>
      <c r="G43" s="518"/>
      <c r="H43" s="518"/>
      <c r="I43" s="701" t="str">
        <f>VLOOKUP(A43,Orçamento!A$16:AC$149,9)</f>
        <v>ESCAVAÇÃO (ABERTURA DO CANAL DO RIO)</v>
      </c>
      <c r="J43" s="701"/>
      <c r="K43" s="701"/>
      <c r="L43" s="701"/>
      <c r="M43" s="701"/>
      <c r="N43" s="701"/>
      <c r="O43" s="701"/>
      <c r="P43" s="701"/>
      <c r="Q43" s="701"/>
      <c r="R43" s="701"/>
      <c r="S43" s="701"/>
      <c r="T43" s="701"/>
      <c r="U43" s="701"/>
      <c r="V43" s="701"/>
      <c r="W43" s="701"/>
      <c r="X43" s="701"/>
      <c r="Y43" s="701"/>
      <c r="Z43" s="701"/>
      <c r="AA43" s="701"/>
      <c r="AB43" s="108">
        <f ca="1">VLOOKUP(A43,Orçamento!A$16:AR$149,41)</f>
        <v>1485.22</v>
      </c>
      <c r="AC43" s="109"/>
      <c r="AD43" s="109"/>
      <c r="AE43" s="109"/>
      <c r="AF43" s="109"/>
      <c r="AG43" s="110"/>
      <c r="AH43" s="987"/>
      <c r="AI43" s="988"/>
      <c r="AJ43" s="989"/>
      <c r="AK43" s="990" t="str">
        <f ca="1">IF(AQ43="","",$AB43*AQ43)</f>
        <v/>
      </c>
      <c r="AL43" s="991"/>
      <c r="AM43" s="991"/>
      <c r="AN43" s="991"/>
      <c r="AO43" s="991"/>
      <c r="AP43" s="992"/>
      <c r="AQ43" s="742"/>
      <c r="AR43" s="743"/>
      <c r="AS43" s="744"/>
      <c r="AT43" s="990">
        <f ca="1">IF(AZ43="","",$AB43*AZ43)</f>
        <v>1485.22</v>
      </c>
      <c r="AU43" s="991"/>
      <c r="AV43" s="991"/>
      <c r="AW43" s="991"/>
      <c r="AX43" s="991"/>
      <c r="AY43" s="992"/>
      <c r="AZ43" s="742">
        <v>1</v>
      </c>
      <c r="BA43" s="743"/>
      <c r="BB43" s="744"/>
      <c r="BC43" s="990" t="str">
        <f ca="1">IF(BI43="","",$AB43*BI43)</f>
        <v/>
      </c>
      <c r="BD43" s="991"/>
      <c r="BE43" s="991"/>
      <c r="BF43" s="991"/>
      <c r="BG43" s="991"/>
      <c r="BH43" s="992"/>
      <c r="BI43" s="742"/>
      <c r="BJ43" s="743"/>
      <c r="BK43" s="744"/>
      <c r="BL43" s="990" t="str">
        <f ca="1">IF(BR43="","",$AB43*BR43)</f>
        <v/>
      </c>
      <c r="BM43" s="991"/>
      <c r="BN43" s="991"/>
      <c r="BO43" s="991"/>
      <c r="BP43" s="991"/>
      <c r="BQ43" s="992"/>
      <c r="BR43" s="742"/>
      <c r="BS43" s="743"/>
      <c r="BT43" s="744"/>
    </row>
    <row r="44" ht="12.75" customHeight="1" spans="1:72">
      <c r="A44" s="1019" t="s">
        <v>66</v>
      </c>
      <c r="B44" s="1020"/>
      <c r="C44" s="1014"/>
      <c r="D44" s="1014"/>
      <c r="E44" s="1014"/>
      <c r="F44" s="1014"/>
      <c r="G44" s="1014"/>
      <c r="H44" s="1014"/>
      <c r="I44" s="482" t="str">
        <f>Orçamento!I124</f>
        <v>ADMINISTRAÇÃO LOCAL</v>
      </c>
      <c r="J44" s="482"/>
      <c r="K44" s="482"/>
      <c r="L44" s="482"/>
      <c r="M44" s="482"/>
      <c r="N44" s="482"/>
      <c r="O44" s="482"/>
      <c r="P44" s="482"/>
      <c r="Q44" s="482"/>
      <c r="R44" s="482"/>
      <c r="S44" s="482"/>
      <c r="T44" s="482"/>
      <c r="U44" s="482"/>
      <c r="V44" s="482"/>
      <c r="W44" s="482"/>
      <c r="X44" s="482"/>
      <c r="Y44" s="482"/>
      <c r="Z44" s="482"/>
      <c r="AA44" s="483"/>
      <c r="AB44" s="1015">
        <f ca="1">SUM(AB45)</f>
        <v>92461.63</v>
      </c>
      <c r="AC44" s="1016"/>
      <c r="AD44" s="1016"/>
      <c r="AE44" s="1016"/>
      <c r="AF44" s="1016"/>
      <c r="AG44" s="1017"/>
      <c r="AH44" s="1018">
        <v>1</v>
      </c>
      <c r="AI44" s="1018"/>
      <c r="AJ44" s="1018"/>
      <c r="AK44" s="1015">
        <f ca="1">SUM(AK45)</f>
        <v>25907.748726</v>
      </c>
      <c r="AL44" s="1016"/>
      <c r="AM44" s="1016"/>
      <c r="AN44" s="1016"/>
      <c r="AO44" s="1016"/>
      <c r="AP44" s="1017"/>
      <c r="AQ44" s="1018">
        <f ca="1">AK44/$AB44</f>
        <v>0.2802</v>
      </c>
      <c r="AR44" s="1018"/>
      <c r="AS44" s="1018"/>
      <c r="AT44" s="1015">
        <f ca="1">SUM(AT45)</f>
        <v>24881.424633</v>
      </c>
      <c r="AU44" s="1016"/>
      <c r="AV44" s="1016"/>
      <c r="AW44" s="1016"/>
      <c r="AX44" s="1016"/>
      <c r="AY44" s="1017"/>
      <c r="AZ44" s="1018">
        <f ca="1">AT44/$AB44</f>
        <v>0.2691</v>
      </c>
      <c r="BA44" s="1018"/>
      <c r="BB44" s="1018"/>
      <c r="BC44" s="1015">
        <f ca="1">SUM(BC45)</f>
        <v>23855.10054</v>
      </c>
      <c r="BD44" s="1016"/>
      <c r="BE44" s="1016"/>
      <c r="BF44" s="1016"/>
      <c r="BG44" s="1016"/>
      <c r="BH44" s="1017"/>
      <c r="BI44" s="1018">
        <f ca="1">BC44/$AB44</f>
        <v>0.258</v>
      </c>
      <c r="BJ44" s="1018"/>
      <c r="BK44" s="1018"/>
      <c r="BL44" s="1015">
        <f ca="1">SUM(BL45)</f>
        <v>17817.356101</v>
      </c>
      <c r="BM44" s="1016"/>
      <c r="BN44" s="1016"/>
      <c r="BO44" s="1016"/>
      <c r="BP44" s="1016"/>
      <c r="BQ44" s="1017"/>
      <c r="BR44" s="1018">
        <f ca="1">BL44/$AB44</f>
        <v>0.1927</v>
      </c>
      <c r="BS44" s="1018"/>
      <c r="BT44" s="1018"/>
    </row>
    <row r="45" customHeight="1" spans="1:72">
      <c r="A45" s="540" t="s">
        <v>663</v>
      </c>
      <c r="B45" s="541"/>
      <c r="C45" s="203"/>
      <c r="D45" s="204"/>
      <c r="E45" s="205"/>
      <c r="F45" s="518"/>
      <c r="G45" s="518"/>
      <c r="H45" s="518"/>
      <c r="I45" s="701" t="str">
        <f>Orçamento!I124</f>
        <v>ADMINISTRAÇÃO LOCAL</v>
      </c>
      <c r="J45" s="701"/>
      <c r="K45" s="701"/>
      <c r="L45" s="701"/>
      <c r="M45" s="701"/>
      <c r="N45" s="701"/>
      <c r="O45" s="701"/>
      <c r="P45" s="701"/>
      <c r="Q45" s="701"/>
      <c r="R45" s="701"/>
      <c r="S45" s="701"/>
      <c r="T45" s="701"/>
      <c r="U45" s="701"/>
      <c r="V45" s="701"/>
      <c r="W45" s="701"/>
      <c r="X45" s="701"/>
      <c r="Y45" s="701"/>
      <c r="Z45" s="701"/>
      <c r="AA45" s="701"/>
      <c r="AB45" s="108">
        <f ca="1">Orçamento!AO124</f>
        <v>92461.63</v>
      </c>
      <c r="AC45" s="109"/>
      <c r="AD45" s="109"/>
      <c r="AE45" s="109"/>
      <c r="AF45" s="109"/>
      <c r="AG45" s="110"/>
      <c r="AH45" s="1023"/>
      <c r="AI45" s="1024"/>
      <c r="AJ45" s="1025"/>
      <c r="AK45" s="990">
        <f ca="1">IF(AQ45="","",$AB45*AQ45)</f>
        <v>25907.748726</v>
      </c>
      <c r="AL45" s="991"/>
      <c r="AM45" s="991"/>
      <c r="AN45" s="991"/>
      <c r="AO45" s="991"/>
      <c r="AP45" s="992"/>
      <c r="AQ45" s="742">
        <v>0.2802</v>
      </c>
      <c r="AR45" s="743"/>
      <c r="AS45" s="744"/>
      <c r="AT45" s="990">
        <f ca="1">IF(AZ45="","",$AB45*AZ45)</f>
        <v>24881.424633</v>
      </c>
      <c r="AU45" s="991"/>
      <c r="AV45" s="991"/>
      <c r="AW45" s="991"/>
      <c r="AX45" s="991"/>
      <c r="AY45" s="992"/>
      <c r="AZ45" s="742">
        <v>0.2691</v>
      </c>
      <c r="BA45" s="743"/>
      <c r="BB45" s="744"/>
      <c r="BC45" s="990">
        <f ca="1">IF(BI45="","",$AB45*BI45)</f>
        <v>23855.10054</v>
      </c>
      <c r="BD45" s="991"/>
      <c r="BE45" s="991"/>
      <c r="BF45" s="991"/>
      <c r="BG45" s="991"/>
      <c r="BH45" s="992"/>
      <c r="BI45" s="742">
        <v>0.258</v>
      </c>
      <c r="BJ45" s="743"/>
      <c r="BK45" s="744"/>
      <c r="BL45" s="990">
        <f ca="1">IF(BR45="","",$AB45*BR45)</f>
        <v>17817.356101</v>
      </c>
      <c r="BM45" s="991"/>
      <c r="BN45" s="991"/>
      <c r="BO45" s="991"/>
      <c r="BP45" s="991"/>
      <c r="BQ45" s="992"/>
      <c r="BR45" s="742">
        <f>1-AQ45-AZ45-BI45</f>
        <v>0.1927</v>
      </c>
      <c r="BS45" s="743"/>
      <c r="BT45" s="744"/>
    </row>
    <row r="46" customHeight="1" spans="1:72">
      <c r="A46" s="1005" t="s">
        <v>664</v>
      </c>
      <c r="B46" s="522"/>
      <c r="C46" s="522"/>
      <c r="D46" s="522"/>
      <c r="E46" s="522"/>
      <c r="F46" s="522"/>
      <c r="G46" s="522"/>
      <c r="H46" s="522"/>
      <c r="I46" s="522"/>
      <c r="J46" s="522"/>
      <c r="K46" s="522"/>
      <c r="L46" s="522"/>
      <c r="M46" s="522"/>
      <c r="N46" s="522"/>
      <c r="O46" s="522"/>
      <c r="P46" s="522"/>
      <c r="Q46" s="522"/>
      <c r="R46" s="522"/>
      <c r="S46" s="522"/>
      <c r="T46" s="522"/>
      <c r="U46" s="522"/>
      <c r="V46" s="522"/>
      <c r="W46" s="522"/>
      <c r="X46" s="522"/>
      <c r="Y46" s="522"/>
      <c r="Z46" s="522"/>
      <c r="AA46" s="522"/>
      <c r="AB46" s="1026"/>
      <c r="AC46" s="1026"/>
      <c r="AD46" s="1026"/>
      <c r="AE46" s="1026"/>
      <c r="AF46" s="1026"/>
      <c r="AG46" s="1026"/>
      <c r="AH46" s="1027"/>
      <c r="AI46" s="1027"/>
      <c r="AJ46" s="1027"/>
      <c r="AK46" s="1028">
        <f ca="1">SUM(AK16,AK19,AK21,AK44)</f>
        <v>223365.361226</v>
      </c>
      <c r="AL46" s="1029"/>
      <c r="AM46" s="1029"/>
      <c r="AN46" s="1029"/>
      <c r="AO46" s="1029"/>
      <c r="AP46" s="1030"/>
      <c r="AQ46" s="1031">
        <f ca="1">AK46/$AB$48</f>
        <v>0.243669587721739</v>
      </c>
      <c r="AR46" s="1032"/>
      <c r="AS46" s="1033"/>
      <c r="AT46" s="1028">
        <f ca="1">SUM(AT16,AT19,AT21,AT44)</f>
        <v>265837.692133</v>
      </c>
      <c r="AU46" s="1029"/>
      <c r="AV46" s="1029"/>
      <c r="AW46" s="1029"/>
      <c r="AX46" s="1029"/>
      <c r="AY46" s="1030"/>
      <c r="AZ46" s="1031">
        <f ca="1">AT46/$AB$48</f>
        <v>0.290002713435079</v>
      </c>
      <c r="BA46" s="1032"/>
      <c r="BB46" s="1033"/>
      <c r="BC46" s="1028">
        <f ca="1">SUM(BC16,BC19,BC21,BC44)</f>
        <v>250203.12954</v>
      </c>
      <c r="BD46" s="1029"/>
      <c r="BE46" s="1029"/>
      <c r="BF46" s="1029"/>
      <c r="BG46" s="1029"/>
      <c r="BH46" s="1030"/>
      <c r="BI46" s="1031">
        <f ca="1">BC46/$AB$48</f>
        <v>0.272946947042584</v>
      </c>
      <c r="BJ46" s="1032"/>
      <c r="BK46" s="1033"/>
      <c r="BL46" s="1028">
        <f ca="1">SUM(BL16,BL19,BL21,BL44)</f>
        <v>177266.937101</v>
      </c>
      <c r="BM46" s="1029"/>
      <c r="BN46" s="1029"/>
      <c r="BO46" s="1029"/>
      <c r="BP46" s="1029"/>
      <c r="BQ46" s="1030"/>
      <c r="BR46" s="1031">
        <f ca="1">BL46/$AB$48</f>
        <v>0.193380751800598</v>
      </c>
      <c r="BS46" s="1032"/>
      <c r="BT46" s="1033"/>
    </row>
    <row r="47" customHeight="1" spans="1:72">
      <c r="A47" s="1005" t="s">
        <v>665</v>
      </c>
      <c r="B47" s="522"/>
      <c r="C47" s="522"/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2"/>
      <c r="T47" s="522"/>
      <c r="U47" s="522"/>
      <c r="V47" s="522"/>
      <c r="W47" s="522"/>
      <c r="X47" s="522"/>
      <c r="Y47" s="522"/>
      <c r="Z47" s="522"/>
      <c r="AA47" s="522"/>
      <c r="AB47" s="1026"/>
      <c r="AC47" s="1026"/>
      <c r="AD47" s="1026"/>
      <c r="AE47" s="1026"/>
      <c r="AF47" s="1026"/>
      <c r="AG47" s="1026"/>
      <c r="AH47" s="1027"/>
      <c r="AI47" s="1027"/>
      <c r="AJ47" s="1027"/>
      <c r="AK47" s="1029">
        <f ca="1">AK46</f>
        <v>223365.361226</v>
      </c>
      <c r="AL47" s="1029"/>
      <c r="AM47" s="1029"/>
      <c r="AN47" s="1029"/>
      <c r="AO47" s="1029"/>
      <c r="AP47" s="1030"/>
      <c r="AQ47" s="1031">
        <f ca="1">AK47/$AB$48</f>
        <v>0.243669587721739</v>
      </c>
      <c r="AR47" s="1032"/>
      <c r="AS47" s="1033"/>
      <c r="AT47" s="1029">
        <f ca="1">AT46+AK47</f>
        <v>489203.053359</v>
      </c>
      <c r="AU47" s="1029"/>
      <c r="AV47" s="1029"/>
      <c r="AW47" s="1029"/>
      <c r="AX47" s="1029"/>
      <c r="AY47" s="1030"/>
      <c r="AZ47" s="1031">
        <f ca="1">AT47/$AB$48</f>
        <v>0.533672301156818</v>
      </c>
      <c r="BA47" s="1032"/>
      <c r="BB47" s="1033"/>
      <c r="BC47" s="1029">
        <f ca="1">BC46+AT47</f>
        <v>739406.182899</v>
      </c>
      <c r="BD47" s="1029"/>
      <c r="BE47" s="1029"/>
      <c r="BF47" s="1029"/>
      <c r="BG47" s="1029"/>
      <c r="BH47" s="1030"/>
      <c r="BI47" s="1031">
        <f ca="1">BC47/$AB$48</f>
        <v>0.806619248199402</v>
      </c>
      <c r="BJ47" s="1032"/>
      <c r="BK47" s="1033"/>
      <c r="BL47" s="1029">
        <f ca="1">BL46+BC47</f>
        <v>916673.12</v>
      </c>
      <c r="BM47" s="1029"/>
      <c r="BN47" s="1029"/>
      <c r="BO47" s="1029"/>
      <c r="BP47" s="1029"/>
      <c r="BQ47" s="1030"/>
      <c r="BR47" s="1031">
        <f ca="1">BL47/$AB$48</f>
        <v>1</v>
      </c>
      <c r="BS47" s="1032"/>
      <c r="BT47" s="1033"/>
    </row>
    <row r="48" customHeight="1" spans="1:72">
      <c r="A48" s="1005" t="s">
        <v>68</v>
      </c>
      <c r="B48" s="522"/>
      <c r="C48" s="522"/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2"/>
      <c r="Q48" s="522"/>
      <c r="R48" s="522"/>
      <c r="S48" s="522"/>
      <c r="T48" s="522"/>
      <c r="U48" s="522"/>
      <c r="V48" s="522"/>
      <c r="W48" s="522"/>
      <c r="X48" s="522"/>
      <c r="Y48" s="522"/>
      <c r="Z48" s="522"/>
      <c r="AA48" s="735"/>
      <c r="AB48" s="1028">
        <f ca="1">SUM(AB16,AB19,AB21,AB44)</f>
        <v>916673.12</v>
      </c>
      <c r="AC48" s="1029"/>
      <c r="AD48" s="1029"/>
      <c r="AE48" s="1029"/>
      <c r="AF48" s="1029"/>
      <c r="AG48" s="1030"/>
      <c r="AH48" s="1009">
        <v>1</v>
      </c>
      <c r="AI48" s="1010"/>
      <c r="AJ48" s="1011"/>
      <c r="AK48" s="1034"/>
      <c r="AL48" s="1035"/>
      <c r="AM48" s="1035"/>
      <c r="AN48" s="1035"/>
      <c r="AO48" s="1035"/>
      <c r="AP48" s="1035"/>
      <c r="AQ48" s="1035"/>
      <c r="AR48" s="1035"/>
      <c r="AS48" s="1035"/>
      <c r="AT48" s="1035"/>
      <c r="AU48" s="1035"/>
      <c r="AV48" s="1035"/>
      <c r="AW48" s="1035"/>
      <c r="AX48" s="1035"/>
      <c r="AY48" s="1035"/>
      <c r="AZ48" s="1035"/>
      <c r="BA48" s="1035"/>
      <c r="BB48" s="1035"/>
      <c r="BC48" s="1035"/>
      <c r="BD48" s="1035"/>
      <c r="BE48" s="1035"/>
      <c r="BF48" s="1035"/>
      <c r="BG48" s="1035"/>
      <c r="BH48" s="1035"/>
      <c r="BI48" s="1035"/>
      <c r="BJ48" s="1035"/>
      <c r="BK48" s="1035"/>
      <c r="BL48" s="1035"/>
      <c r="BM48" s="1035"/>
      <c r="BN48" s="1035"/>
      <c r="BO48" s="1035"/>
      <c r="BP48" s="1035"/>
      <c r="BQ48" s="1035"/>
      <c r="BR48" s="1035"/>
      <c r="BS48" s="1035"/>
      <c r="BT48" s="1036"/>
    </row>
  </sheetData>
  <mergeCells count="482">
    <mergeCell ref="A4:H4"/>
    <mergeCell ref="I4:BT4"/>
    <mergeCell ref="A5:H5"/>
    <mergeCell ref="I5:BT5"/>
    <mergeCell ref="A6:H6"/>
    <mergeCell ref="I6:BT6"/>
    <mergeCell ref="A7:H7"/>
    <mergeCell ref="I7:BT7"/>
    <mergeCell ref="A8:H8"/>
    <mergeCell ref="I8:AA8"/>
    <mergeCell ref="BJ8:BP8"/>
    <mergeCell ref="BQ8:BR8"/>
    <mergeCell ref="BS8:BT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BJ11:BP11"/>
    <mergeCell ref="BQ11:BR11"/>
    <mergeCell ref="BS11:BT11"/>
    <mergeCell ref="A12:H12"/>
    <mergeCell ref="I12:U12"/>
    <mergeCell ref="V12:AH12"/>
    <mergeCell ref="A13:BT13"/>
    <mergeCell ref="A14:BT14"/>
    <mergeCell ref="A15:B15"/>
    <mergeCell ref="C15:E15"/>
    <mergeCell ref="F15:H15"/>
    <mergeCell ref="I15:AA15"/>
    <mergeCell ref="AB15:AG15"/>
    <mergeCell ref="AH15:AJ15"/>
    <mergeCell ref="AK15:AP15"/>
    <mergeCell ref="AQ15:AS15"/>
    <mergeCell ref="AT15:AY15"/>
    <mergeCell ref="AZ15:BB15"/>
    <mergeCell ref="BC15:BH15"/>
    <mergeCell ref="BI15:BK15"/>
    <mergeCell ref="BL15:BQ15"/>
    <mergeCell ref="BR15:BT15"/>
    <mergeCell ref="A16:B16"/>
    <mergeCell ref="I16:AA16"/>
    <mergeCell ref="AB16:AG16"/>
    <mergeCell ref="AH16:AJ16"/>
    <mergeCell ref="AK16:AP16"/>
    <mergeCell ref="AQ16:AS16"/>
    <mergeCell ref="AT16:AY16"/>
    <mergeCell ref="AZ16:BB16"/>
    <mergeCell ref="BC16:BH16"/>
    <mergeCell ref="BI16:BK16"/>
    <mergeCell ref="BL16:BQ16"/>
    <mergeCell ref="BR16:BT16"/>
    <mergeCell ref="A17:B17"/>
    <mergeCell ref="C17:E17"/>
    <mergeCell ref="F17:H17"/>
    <mergeCell ref="I17:AA17"/>
    <mergeCell ref="AB17:AG17"/>
    <mergeCell ref="AH17:AJ17"/>
    <mergeCell ref="AK17:AP17"/>
    <mergeCell ref="AQ17:AS17"/>
    <mergeCell ref="AT17:AY17"/>
    <mergeCell ref="AZ17:BB17"/>
    <mergeCell ref="BC17:BH17"/>
    <mergeCell ref="BI17:BK17"/>
    <mergeCell ref="BL17:BQ17"/>
    <mergeCell ref="BR17:BT17"/>
    <mergeCell ref="A18:B18"/>
    <mergeCell ref="C18:E18"/>
    <mergeCell ref="F18:H18"/>
    <mergeCell ref="I18:AA18"/>
    <mergeCell ref="AB18:AG18"/>
    <mergeCell ref="AH18:AJ18"/>
    <mergeCell ref="AK18:AP18"/>
    <mergeCell ref="AQ18:AS18"/>
    <mergeCell ref="AT18:AY18"/>
    <mergeCell ref="AZ18:BB18"/>
    <mergeCell ref="BC18:BH18"/>
    <mergeCell ref="BI18:BK18"/>
    <mergeCell ref="BL18:BQ18"/>
    <mergeCell ref="BR18:BT18"/>
    <mergeCell ref="A19:B19"/>
    <mergeCell ref="I19:AA19"/>
    <mergeCell ref="AB19:AG19"/>
    <mergeCell ref="AH19:AJ19"/>
    <mergeCell ref="AK19:AP19"/>
    <mergeCell ref="AQ19:AS19"/>
    <mergeCell ref="AT19:AY19"/>
    <mergeCell ref="AZ19:BB19"/>
    <mergeCell ref="BC19:BH19"/>
    <mergeCell ref="BI19:BK19"/>
    <mergeCell ref="BL19:BQ19"/>
    <mergeCell ref="BR19:BT19"/>
    <mergeCell ref="A20:B20"/>
    <mergeCell ref="C20:E20"/>
    <mergeCell ref="F20:H20"/>
    <mergeCell ref="I20:AA20"/>
    <mergeCell ref="AB20:AG20"/>
    <mergeCell ref="AH20:AJ20"/>
    <mergeCell ref="AK20:AP20"/>
    <mergeCell ref="AQ20:AS20"/>
    <mergeCell ref="AT20:AY20"/>
    <mergeCell ref="AZ20:BB20"/>
    <mergeCell ref="BC20:BH20"/>
    <mergeCell ref="BI20:BK20"/>
    <mergeCell ref="BL20:BQ20"/>
    <mergeCell ref="BR20:BT20"/>
    <mergeCell ref="A21:B21"/>
    <mergeCell ref="I21:AA21"/>
    <mergeCell ref="AB21:AG21"/>
    <mergeCell ref="AH21:AJ21"/>
    <mergeCell ref="AK21:AP21"/>
    <mergeCell ref="AQ21:AS21"/>
    <mergeCell ref="AT21:AY21"/>
    <mergeCell ref="AZ21:BB21"/>
    <mergeCell ref="BC21:BH21"/>
    <mergeCell ref="BI21:BK21"/>
    <mergeCell ref="BL21:BQ21"/>
    <mergeCell ref="BR21:BT21"/>
    <mergeCell ref="A22:B22"/>
    <mergeCell ref="I22:AA22"/>
    <mergeCell ref="AB22:AG22"/>
    <mergeCell ref="AH22:AJ22"/>
    <mergeCell ref="AK22:AP22"/>
    <mergeCell ref="AQ22:AS22"/>
    <mergeCell ref="AT22:AY22"/>
    <mergeCell ref="AZ22:BB22"/>
    <mergeCell ref="BC22:BH22"/>
    <mergeCell ref="BI22:BK22"/>
    <mergeCell ref="BL22:BQ22"/>
    <mergeCell ref="BR22:BT22"/>
    <mergeCell ref="A23:B23"/>
    <mergeCell ref="C23:E23"/>
    <mergeCell ref="F23:H23"/>
    <mergeCell ref="I23:AA23"/>
    <mergeCell ref="AB23:AG23"/>
    <mergeCell ref="AH23:AJ23"/>
    <mergeCell ref="AK23:AP23"/>
    <mergeCell ref="AQ23:AS23"/>
    <mergeCell ref="AT23:AY23"/>
    <mergeCell ref="AZ23:BB23"/>
    <mergeCell ref="BC23:BH23"/>
    <mergeCell ref="BI23:BK23"/>
    <mergeCell ref="BL23:BQ23"/>
    <mergeCell ref="BR23:BT23"/>
    <mergeCell ref="A24:B24"/>
    <mergeCell ref="C24:E24"/>
    <mergeCell ref="F24:H24"/>
    <mergeCell ref="I24:AA24"/>
    <mergeCell ref="AB24:AG24"/>
    <mergeCell ref="AH24:AJ24"/>
    <mergeCell ref="AK24:AP24"/>
    <mergeCell ref="AQ24:AS24"/>
    <mergeCell ref="AT24:AY24"/>
    <mergeCell ref="AZ24:BB24"/>
    <mergeCell ref="BC24:BH24"/>
    <mergeCell ref="BI24:BK24"/>
    <mergeCell ref="BL24:BQ24"/>
    <mergeCell ref="BR24:BT24"/>
    <mergeCell ref="A25:B25"/>
    <mergeCell ref="C25:E25"/>
    <mergeCell ref="F25:H25"/>
    <mergeCell ref="I25:AA25"/>
    <mergeCell ref="AB25:AG25"/>
    <mergeCell ref="AH25:AJ25"/>
    <mergeCell ref="AK25:AP25"/>
    <mergeCell ref="AQ25:AS25"/>
    <mergeCell ref="AT25:AY25"/>
    <mergeCell ref="AZ25:BB25"/>
    <mergeCell ref="BC25:BH25"/>
    <mergeCell ref="BI25:BK25"/>
    <mergeCell ref="BL25:BQ25"/>
    <mergeCell ref="BR25:BT25"/>
    <mergeCell ref="A26:B26"/>
    <mergeCell ref="C26:E26"/>
    <mergeCell ref="F26:H26"/>
    <mergeCell ref="I26:AA26"/>
    <mergeCell ref="AB26:AG26"/>
    <mergeCell ref="AH26:AJ26"/>
    <mergeCell ref="AK26:AP26"/>
    <mergeCell ref="AQ26:AS26"/>
    <mergeCell ref="AT26:AY26"/>
    <mergeCell ref="AZ26:BB26"/>
    <mergeCell ref="BC26:BH26"/>
    <mergeCell ref="BI26:BK26"/>
    <mergeCell ref="BL26:BQ26"/>
    <mergeCell ref="BR26:BT26"/>
    <mergeCell ref="A27:B27"/>
    <mergeCell ref="C27:E27"/>
    <mergeCell ref="F27:H27"/>
    <mergeCell ref="I27:AA27"/>
    <mergeCell ref="AB27:AG27"/>
    <mergeCell ref="AH27:AJ27"/>
    <mergeCell ref="AK27:AP27"/>
    <mergeCell ref="AQ27:AS27"/>
    <mergeCell ref="AT27:AY27"/>
    <mergeCell ref="AZ27:BB27"/>
    <mergeCell ref="BC27:BH27"/>
    <mergeCell ref="BI27:BK27"/>
    <mergeCell ref="BL27:BQ27"/>
    <mergeCell ref="BR27:BT27"/>
    <mergeCell ref="A28:B28"/>
    <mergeCell ref="C28:E28"/>
    <mergeCell ref="F28:H28"/>
    <mergeCell ref="I28:AA28"/>
    <mergeCell ref="AB28:AG28"/>
    <mergeCell ref="AH28:AJ28"/>
    <mergeCell ref="AK28:AP28"/>
    <mergeCell ref="AQ28:AS28"/>
    <mergeCell ref="AT28:AY28"/>
    <mergeCell ref="AZ28:BB28"/>
    <mergeCell ref="BC28:BH28"/>
    <mergeCell ref="BI28:BK28"/>
    <mergeCell ref="BL28:BQ28"/>
    <mergeCell ref="BR28:BT28"/>
    <mergeCell ref="A29:B29"/>
    <mergeCell ref="C29:E29"/>
    <mergeCell ref="F29:H29"/>
    <mergeCell ref="I29:AA29"/>
    <mergeCell ref="AB29:AG29"/>
    <mergeCell ref="AH29:AJ29"/>
    <mergeCell ref="AK29:AP29"/>
    <mergeCell ref="AQ29:AS29"/>
    <mergeCell ref="AT29:AY29"/>
    <mergeCell ref="AZ29:BB29"/>
    <mergeCell ref="BC29:BH29"/>
    <mergeCell ref="BI29:BK29"/>
    <mergeCell ref="BL29:BQ29"/>
    <mergeCell ref="BR29:BT29"/>
    <mergeCell ref="A30:B30"/>
    <mergeCell ref="C30:E30"/>
    <mergeCell ref="F30:H30"/>
    <mergeCell ref="I30:AA30"/>
    <mergeCell ref="AB30:AG30"/>
    <mergeCell ref="AH30:AJ30"/>
    <mergeCell ref="AK30:AP30"/>
    <mergeCell ref="AQ30:AS30"/>
    <mergeCell ref="AT30:AY30"/>
    <mergeCell ref="AZ30:BB30"/>
    <mergeCell ref="BC30:BH30"/>
    <mergeCell ref="BI30:BK30"/>
    <mergeCell ref="BL30:BQ30"/>
    <mergeCell ref="BR30:BT30"/>
    <mergeCell ref="A31:B31"/>
    <mergeCell ref="C31:E31"/>
    <mergeCell ref="F31:H31"/>
    <mergeCell ref="I31:AA31"/>
    <mergeCell ref="AB31:AG31"/>
    <mergeCell ref="AH31:AJ31"/>
    <mergeCell ref="AK31:AP31"/>
    <mergeCell ref="AQ31:AS31"/>
    <mergeCell ref="AT31:AY31"/>
    <mergeCell ref="AZ31:BB31"/>
    <mergeCell ref="BC31:BH31"/>
    <mergeCell ref="BI31:BK31"/>
    <mergeCell ref="BL31:BQ31"/>
    <mergeCell ref="BR31:BT31"/>
    <mergeCell ref="A32:B32"/>
    <mergeCell ref="C32:E32"/>
    <mergeCell ref="F32:H32"/>
    <mergeCell ref="I32:AA32"/>
    <mergeCell ref="AB32:AG32"/>
    <mergeCell ref="AH32:AJ32"/>
    <mergeCell ref="AK32:AP32"/>
    <mergeCell ref="AQ32:AS32"/>
    <mergeCell ref="AT32:AY32"/>
    <mergeCell ref="AZ32:BB32"/>
    <mergeCell ref="BC32:BH32"/>
    <mergeCell ref="BI32:BK32"/>
    <mergeCell ref="BL32:BQ32"/>
    <mergeCell ref="BR32:BT32"/>
    <mergeCell ref="A33:B33"/>
    <mergeCell ref="C33:E33"/>
    <mergeCell ref="F33:H33"/>
    <mergeCell ref="I33:AA33"/>
    <mergeCell ref="AB33:AG33"/>
    <mergeCell ref="AH33:AJ33"/>
    <mergeCell ref="AK33:AP33"/>
    <mergeCell ref="AQ33:AS33"/>
    <mergeCell ref="AT33:AY33"/>
    <mergeCell ref="AZ33:BB33"/>
    <mergeCell ref="BC33:BH33"/>
    <mergeCell ref="BI33:BK33"/>
    <mergeCell ref="BL33:BQ33"/>
    <mergeCell ref="BR33:BT33"/>
    <mergeCell ref="A34:B34"/>
    <mergeCell ref="C34:E34"/>
    <mergeCell ref="F34:H34"/>
    <mergeCell ref="I34:AA34"/>
    <mergeCell ref="AB34:AG34"/>
    <mergeCell ref="AH34:AJ34"/>
    <mergeCell ref="AK34:AP34"/>
    <mergeCell ref="AQ34:AS34"/>
    <mergeCell ref="AT34:AY34"/>
    <mergeCell ref="AZ34:BB34"/>
    <mergeCell ref="BC34:BH34"/>
    <mergeCell ref="BI34:BK34"/>
    <mergeCell ref="BL34:BQ34"/>
    <mergeCell ref="BR34:BT34"/>
    <mergeCell ref="A35:B35"/>
    <mergeCell ref="C35:E35"/>
    <mergeCell ref="F35:H35"/>
    <mergeCell ref="I35:AA35"/>
    <mergeCell ref="AB35:AG35"/>
    <mergeCell ref="AH35:AJ35"/>
    <mergeCell ref="AK35:AP35"/>
    <mergeCell ref="AQ35:AS35"/>
    <mergeCell ref="AT35:AY35"/>
    <mergeCell ref="AZ35:BB35"/>
    <mergeCell ref="BC35:BH35"/>
    <mergeCell ref="BI35:BK35"/>
    <mergeCell ref="BL35:BQ35"/>
    <mergeCell ref="BR35:BT35"/>
    <mergeCell ref="A36:B36"/>
    <mergeCell ref="C36:E36"/>
    <mergeCell ref="F36:H36"/>
    <mergeCell ref="I36:AA36"/>
    <mergeCell ref="AB36:AG36"/>
    <mergeCell ref="AH36:AJ36"/>
    <mergeCell ref="AK36:AP36"/>
    <mergeCell ref="AQ36:AS36"/>
    <mergeCell ref="AT36:AY36"/>
    <mergeCell ref="AZ36:BB36"/>
    <mergeCell ref="BC36:BH36"/>
    <mergeCell ref="BI36:BK36"/>
    <mergeCell ref="BL36:BQ36"/>
    <mergeCell ref="BR36:BT36"/>
    <mergeCell ref="A37:B37"/>
    <mergeCell ref="C37:E37"/>
    <mergeCell ref="F37:H37"/>
    <mergeCell ref="I37:AA37"/>
    <mergeCell ref="AB37:AG37"/>
    <mergeCell ref="AH37:AJ37"/>
    <mergeCell ref="AK37:AP37"/>
    <mergeCell ref="AQ37:AS37"/>
    <mergeCell ref="AT37:AY37"/>
    <mergeCell ref="AZ37:BB37"/>
    <mergeCell ref="BC37:BH37"/>
    <mergeCell ref="BI37:BK37"/>
    <mergeCell ref="BL37:BQ37"/>
    <mergeCell ref="BR37:BT37"/>
    <mergeCell ref="A38:B38"/>
    <mergeCell ref="C38:E38"/>
    <mergeCell ref="F38:H38"/>
    <mergeCell ref="I38:AA38"/>
    <mergeCell ref="AB38:AG38"/>
    <mergeCell ref="AH38:AJ38"/>
    <mergeCell ref="AK38:AP38"/>
    <mergeCell ref="AQ38:AS38"/>
    <mergeCell ref="AT38:AY38"/>
    <mergeCell ref="AZ38:BB38"/>
    <mergeCell ref="BC38:BH38"/>
    <mergeCell ref="BI38:BK38"/>
    <mergeCell ref="BL38:BQ38"/>
    <mergeCell ref="BR38:BT38"/>
    <mergeCell ref="A39:B39"/>
    <mergeCell ref="C39:E39"/>
    <mergeCell ref="F39:H39"/>
    <mergeCell ref="I39:AA39"/>
    <mergeCell ref="AB39:AG39"/>
    <mergeCell ref="AH39:AJ39"/>
    <mergeCell ref="AK39:AP39"/>
    <mergeCell ref="AQ39:AS39"/>
    <mergeCell ref="AT39:AY39"/>
    <mergeCell ref="AZ39:BB39"/>
    <mergeCell ref="BC39:BH39"/>
    <mergeCell ref="BI39:BK39"/>
    <mergeCell ref="BL39:BQ39"/>
    <mergeCell ref="BR39:BT39"/>
    <mergeCell ref="A40:B40"/>
    <mergeCell ref="C40:E40"/>
    <mergeCell ref="F40:H40"/>
    <mergeCell ref="I40:AA40"/>
    <mergeCell ref="AB40:AG40"/>
    <mergeCell ref="AH40:AJ40"/>
    <mergeCell ref="AK40:AP40"/>
    <mergeCell ref="AQ40:AS40"/>
    <mergeCell ref="AT40:AY40"/>
    <mergeCell ref="AZ40:BB40"/>
    <mergeCell ref="BC40:BH40"/>
    <mergeCell ref="BI40:BK40"/>
    <mergeCell ref="BL40:BQ40"/>
    <mergeCell ref="BR40:BT40"/>
    <mergeCell ref="A41:B41"/>
    <mergeCell ref="C41:E41"/>
    <mergeCell ref="F41:H41"/>
    <mergeCell ref="I41:AA41"/>
    <mergeCell ref="AB41:AG41"/>
    <mergeCell ref="AH41:AJ41"/>
    <mergeCell ref="AK41:AP41"/>
    <mergeCell ref="AQ41:AS41"/>
    <mergeCell ref="AT41:AY41"/>
    <mergeCell ref="AZ41:BB41"/>
    <mergeCell ref="BC41:BH41"/>
    <mergeCell ref="BI41:BK41"/>
    <mergeCell ref="BL41:BQ41"/>
    <mergeCell ref="BR41:BT41"/>
    <mergeCell ref="A42:B42"/>
    <mergeCell ref="C42:E42"/>
    <mergeCell ref="F42:H42"/>
    <mergeCell ref="I42:AA42"/>
    <mergeCell ref="AB42:AG42"/>
    <mergeCell ref="AH42:AJ42"/>
    <mergeCell ref="AK42:AP42"/>
    <mergeCell ref="AQ42:AS42"/>
    <mergeCell ref="AT42:AY42"/>
    <mergeCell ref="AZ42:BB42"/>
    <mergeCell ref="BC42:BH42"/>
    <mergeCell ref="BI42:BK42"/>
    <mergeCell ref="BL42:BQ42"/>
    <mergeCell ref="BR42:BT42"/>
    <mergeCell ref="A43:B43"/>
    <mergeCell ref="C43:E43"/>
    <mergeCell ref="F43:H43"/>
    <mergeCell ref="I43:AA43"/>
    <mergeCell ref="AB43:AG43"/>
    <mergeCell ref="AH43:AJ43"/>
    <mergeCell ref="AK43:AP43"/>
    <mergeCell ref="AQ43:AS43"/>
    <mergeCell ref="AT43:AY43"/>
    <mergeCell ref="AZ43:BB43"/>
    <mergeCell ref="BC43:BH43"/>
    <mergeCell ref="BI43:BK43"/>
    <mergeCell ref="BL43:BQ43"/>
    <mergeCell ref="BR43:BT43"/>
    <mergeCell ref="A44:B44"/>
    <mergeCell ref="I44:AA44"/>
    <mergeCell ref="AB44:AG44"/>
    <mergeCell ref="AH44:AJ44"/>
    <mergeCell ref="AK44:AP44"/>
    <mergeCell ref="AQ44:AS44"/>
    <mergeCell ref="AT44:AY44"/>
    <mergeCell ref="AZ44:BB44"/>
    <mergeCell ref="BC44:BH44"/>
    <mergeCell ref="BI44:BK44"/>
    <mergeCell ref="BL44:BQ44"/>
    <mergeCell ref="BR44:BT44"/>
    <mergeCell ref="A45:B45"/>
    <mergeCell ref="C45:E45"/>
    <mergeCell ref="F45:H45"/>
    <mergeCell ref="I45:AA45"/>
    <mergeCell ref="AB45:AG45"/>
    <mergeCell ref="AH45:AJ45"/>
    <mergeCell ref="AK45:AP45"/>
    <mergeCell ref="AQ45:AS45"/>
    <mergeCell ref="AT45:AY45"/>
    <mergeCell ref="AZ45:BB45"/>
    <mergeCell ref="BC45:BH45"/>
    <mergeCell ref="BI45:BK45"/>
    <mergeCell ref="BL45:BQ45"/>
    <mergeCell ref="BR45:BT45"/>
    <mergeCell ref="A46:AA46"/>
    <mergeCell ref="AB46:AG46"/>
    <mergeCell ref="AH46:AJ46"/>
    <mergeCell ref="AK46:AP46"/>
    <mergeCell ref="AQ46:AS46"/>
    <mergeCell ref="AT46:AY46"/>
    <mergeCell ref="AZ46:BB46"/>
    <mergeCell ref="BC46:BH46"/>
    <mergeCell ref="BI46:BK46"/>
    <mergeCell ref="BL46:BQ46"/>
    <mergeCell ref="BR46:BT46"/>
    <mergeCell ref="A47:AA47"/>
    <mergeCell ref="AB47:AG47"/>
    <mergeCell ref="AH47:AJ47"/>
    <mergeCell ref="AK47:AP47"/>
    <mergeCell ref="AQ47:AS47"/>
    <mergeCell ref="AT47:AY47"/>
    <mergeCell ref="AZ47:BB47"/>
    <mergeCell ref="BC47:BH47"/>
    <mergeCell ref="BI47:BK47"/>
    <mergeCell ref="BL47:BQ47"/>
    <mergeCell ref="BR47:BT47"/>
    <mergeCell ref="A48:AA48"/>
    <mergeCell ref="AB48:AG48"/>
    <mergeCell ref="AH48:AJ48"/>
    <mergeCell ref="AK48:BT48"/>
  </mergeCells>
  <printOptions horizontalCentered="1"/>
  <pageMargins left="0.393700787401575" right="0.393700787401575" top="0.196850393700787" bottom="0.393700787401575" header="0" footer="0.078740157480315"/>
  <pageSetup paperSize="9" scale="91" fitToHeight="5" orientation="landscape"/>
  <headerFooter>
    <oddFooter>&amp;L&amp;G&amp;R&amp;9Projeto Executivo de Engenharia, Estudos e
Orçamentos para a Construção de Ponte Rodoviária
em Concreto Armado - Rodovia Vicinal</oddFooter>
  </headerFooter>
  <rowBreaks count="1" manualBreakCount="1">
    <brk id="39" max="71" man="1"/>
  </rowBreaks>
  <ignoredErrors>
    <ignoredError sqref="I44" formula="1"/>
  </ignoredErrors>
  <drawing r:id="rId1"/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K53"/>
  <sheetViews>
    <sheetView showGridLines="0" view="pageBreakPreview" zoomScale="150" zoomScaleNormal="160" topLeftCell="A7" workbookViewId="0">
      <selection activeCell="I16" sqref="I16:AD52"/>
    </sheetView>
  </sheetViews>
  <sheetFormatPr defaultColWidth="9.1047619047619" defaultRowHeight="17.4" customHeight="1"/>
  <cols>
    <col min="1" max="63" width="2.1047619047619" style="29" customWidth="1"/>
    <col min="64" max="65" width="9.1047619047619" style="29" customWidth="1"/>
    <col min="66" max="85" width="2.1047619047619" style="29" customWidth="1"/>
    <col min="86" max="86" width="9.1047619047619" style="29" customWidth="1"/>
    <col min="87" max="16384" width="9.1047619047619" style="29"/>
  </cols>
  <sheetData>
    <row r="1" ht="12.6" customHeight="1"/>
    <row r="2" ht="12.6" customHeight="1"/>
    <row r="3" ht="12.6" customHeight="1"/>
    <row r="4" ht="12.75" customHeight="1" spans="1:63">
      <c r="A4" s="40" t="s">
        <v>17</v>
      </c>
      <c r="B4" s="41"/>
      <c r="C4" s="41"/>
      <c r="D4" s="41"/>
      <c r="E4" s="41"/>
      <c r="F4" s="41"/>
      <c r="G4" s="41"/>
      <c r="H4" s="41"/>
      <c r="I4" s="42" t="str">
        <f>IF(Dados!I4="","",Dados!I4)</f>
        <v>CONSTRUÇÃO DE PONTE RODOVIÁRIA EM CONCRETO ARMADO</v>
      </c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3"/>
    </row>
    <row r="5" ht="12.75" customHeight="1" spans="1:63">
      <c r="A5" s="44" t="str">
        <f>Dados!A5</f>
        <v>MUNICÍPIO:</v>
      </c>
      <c r="B5" s="45"/>
      <c r="C5" s="45"/>
      <c r="D5" s="45"/>
      <c r="E5" s="45"/>
      <c r="F5" s="45"/>
      <c r="G5" s="45"/>
      <c r="H5" s="45"/>
      <c r="I5" s="46" t="str">
        <f>IF(Dados!I5="","",Dados!I5)</f>
        <v>DEODÁPOLIS/MS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7"/>
    </row>
    <row r="6" ht="12.75" customHeight="1" spans="1:63">
      <c r="A6" s="44" t="str">
        <f>Dados!A6</f>
        <v>RODOVIA/ESTRADA:</v>
      </c>
      <c r="B6" s="45"/>
      <c r="C6" s="45"/>
      <c r="D6" s="45"/>
      <c r="E6" s="45"/>
      <c r="F6" s="45"/>
      <c r="G6" s="45"/>
      <c r="H6" s="45"/>
      <c r="I6" s="46" t="str">
        <f>IF(Dados!I6="","",Dados!I6)</f>
        <v>ESTRADA VICINAL 14ª LINHA (LADO NASCENTE)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7"/>
    </row>
    <row r="7" ht="15" spans="1:63">
      <c r="A7" s="44" t="str">
        <f>Dados!A7</f>
        <v>LOCAL:</v>
      </c>
      <c r="B7" s="45"/>
      <c r="C7" s="45"/>
      <c r="D7" s="45"/>
      <c r="E7" s="45"/>
      <c r="F7" s="45"/>
      <c r="G7" s="45"/>
      <c r="H7" s="45"/>
      <c r="I7" s="674" t="str">
        <f>IF(Dados!I7="","",Dados!I7)</f>
        <v>PONTE SOBRE O CÓRREGO IRETAN</v>
      </c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  <c r="AZ7" s="674"/>
      <c r="BA7" s="674"/>
      <c r="BB7" s="674"/>
      <c r="BC7" s="674"/>
      <c r="BD7" s="674"/>
      <c r="BE7" s="674"/>
      <c r="BF7" s="674"/>
      <c r="BG7" s="674"/>
      <c r="BH7" s="674"/>
      <c r="BI7" s="674"/>
      <c r="BJ7" s="674"/>
      <c r="BK7" s="675"/>
    </row>
    <row r="8" ht="12.75" customHeight="1" spans="1:63">
      <c r="A8" s="44" t="str">
        <f>Dados!A8</f>
        <v>COORDENADAS:</v>
      </c>
      <c r="B8" s="45"/>
      <c r="C8" s="45"/>
      <c r="D8" s="45"/>
      <c r="E8" s="45"/>
      <c r="F8" s="45"/>
      <c r="G8" s="45"/>
      <c r="H8" s="45"/>
      <c r="I8" s="49" t="str">
        <f>IF(Dados!I8="","",Dados!I8)</f>
        <v>22°14'28.18"S, 54º04'37.28"O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5" t="str">
        <f>Dados!AI8</f>
        <v>ÁREA:</v>
      </c>
      <c r="BB8" s="45"/>
      <c r="BC8" s="45"/>
      <c r="BD8" s="45"/>
      <c r="BE8" s="45"/>
      <c r="BF8" s="45"/>
      <c r="BG8" s="45"/>
      <c r="BH8" s="51">
        <f>IF(Dados!AO8="","",Dados!AO8)</f>
        <v>90</v>
      </c>
      <c r="BI8" s="51"/>
      <c r="BJ8" s="52" t="s">
        <v>7</v>
      </c>
      <c r="BK8" s="53"/>
    </row>
    <row r="9" ht="12.75" customHeight="1" spans="1:63">
      <c r="A9" s="44" t="str">
        <f>Dados!A9</f>
        <v>COMPRIMENTO:</v>
      </c>
      <c r="B9" s="45"/>
      <c r="C9" s="45"/>
      <c r="D9" s="45"/>
      <c r="E9" s="45"/>
      <c r="F9" s="45"/>
      <c r="G9" s="45"/>
      <c r="H9" s="45"/>
      <c r="I9" s="54">
        <f>IF(Dados!I9="","",Dados!I9)</f>
        <v>15</v>
      </c>
      <c r="J9" s="54"/>
      <c r="K9" s="52" t="s">
        <v>9</v>
      </c>
      <c r="L9" s="52"/>
      <c r="M9" s="55"/>
      <c r="N9" s="55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 s="56"/>
    </row>
    <row r="10" ht="12.75" customHeight="1" spans="1:63">
      <c r="A10" s="44" t="str">
        <f>Dados!A10</f>
        <v>LARGURA:</v>
      </c>
      <c r="B10" s="45"/>
      <c r="C10" s="45"/>
      <c r="D10" s="45"/>
      <c r="E10" s="45"/>
      <c r="F10" s="45"/>
      <c r="G10" s="45"/>
      <c r="H10" s="45"/>
      <c r="I10" s="54">
        <f>IF(Dados!I10="","",Dados!I10)</f>
        <v>6</v>
      </c>
      <c r="J10" s="54"/>
      <c r="K10" s="52" t="s">
        <v>9</v>
      </c>
      <c r="L10" s="52"/>
      <c r="M10" s="55"/>
      <c r="N10" s="55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 s="56"/>
    </row>
    <row r="11" ht="12.75" customHeight="1" spans="1:63">
      <c r="A11" s="44" t="s">
        <v>11</v>
      </c>
      <c r="B11" s="45"/>
      <c r="C11" s="45"/>
      <c r="D11" s="45"/>
      <c r="E11" s="45"/>
      <c r="F11" s="45"/>
      <c r="G11" s="45"/>
      <c r="H11" s="45"/>
      <c r="I11" s="45" t="str">
        <f>Dados!I11</f>
        <v>INSUMO</v>
      </c>
      <c r="J11" s="45"/>
      <c r="K11" s="45"/>
      <c r="L11" s="57">
        <f>IF(Dados!L11="","",Dados!L11)</f>
        <v>0.1527</v>
      </c>
      <c r="M11" s="57"/>
      <c r="N11" s="57"/>
      <c r="O11" s="45" t="str">
        <f>Dados!O11</f>
        <v>SERVIÇO</v>
      </c>
      <c r="P11" s="45"/>
      <c r="Q11" s="45"/>
      <c r="R11" s="57">
        <f>IF(Dados!R11="","",Dados!R11)</f>
        <v>0.2391</v>
      </c>
      <c r="S11" s="57"/>
      <c r="T11" s="57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 s="45" t="str">
        <f>Dados!AI11</f>
        <v>PRAZO DE EXECUÇÃO:</v>
      </c>
      <c r="BB11" s="45"/>
      <c r="BC11" s="45"/>
      <c r="BD11" s="45"/>
      <c r="BE11" s="45"/>
      <c r="BF11" s="45"/>
      <c r="BG11" s="45"/>
      <c r="BH11" s="58">
        <f>IF(Dados!AO11="","",Dados!AO11)</f>
        <v>120</v>
      </c>
      <c r="BI11" s="58"/>
      <c r="BJ11" s="52" t="s">
        <v>15</v>
      </c>
      <c r="BK11" s="53"/>
    </row>
    <row r="12" ht="12.75" customHeight="1" spans="1:63">
      <c r="A12" s="59" t="s">
        <v>16</v>
      </c>
      <c r="B12" s="60"/>
      <c r="C12" s="60"/>
      <c r="D12" s="60"/>
      <c r="E12" s="60"/>
      <c r="F12" s="60"/>
      <c r="G12" s="60"/>
      <c r="H12" s="60"/>
      <c r="I12" s="61" t="str">
        <f>IF(Dados!I12="","",Dados!I12)</f>
        <v>SEM DESONERAÇÃO SICRO (JANEIRO/2026)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tr">
        <f>IF(Dados!U12="","",Dados!U12)</f>
        <v>NÃO DESONERADO SINAPI (JANEIRO/2026)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4"/>
    </row>
    <row r="13" ht="6" customHeight="1" spans="1:63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</row>
    <row r="14" ht="12.75" customHeight="1" spans="1:63">
      <c r="A14" s="533" t="s">
        <v>632</v>
      </c>
      <c r="B14" s="534"/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4"/>
      <c r="AS14" s="534"/>
      <c r="AT14" s="534"/>
      <c r="AU14" s="534"/>
      <c r="AV14" s="534"/>
      <c r="AW14" s="534"/>
      <c r="AX14" s="534"/>
      <c r="AY14" s="534"/>
      <c r="AZ14" s="534"/>
      <c r="BA14" s="534"/>
      <c r="BB14" s="534"/>
      <c r="BC14" s="534"/>
      <c r="BD14" s="534"/>
      <c r="BE14" s="534"/>
      <c r="BF14" s="534"/>
      <c r="BG14" s="534"/>
      <c r="BH14" s="534"/>
      <c r="BI14" s="534"/>
      <c r="BJ14" s="534"/>
      <c r="BK14" s="535"/>
    </row>
    <row r="15" ht="17.7" customHeight="1" spans="1:63">
      <c r="A15" s="69" t="s">
        <v>31</v>
      </c>
      <c r="B15" s="69"/>
      <c r="C15" s="69" t="s">
        <v>633</v>
      </c>
      <c r="D15" s="69"/>
      <c r="E15" s="69"/>
      <c r="F15" s="69" t="s">
        <v>634</v>
      </c>
      <c r="G15" s="69"/>
      <c r="H15" s="69"/>
      <c r="I15" s="70" t="s">
        <v>635</v>
      </c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69" t="s">
        <v>666</v>
      </c>
      <c r="AC15" s="69"/>
      <c r="AD15" s="69"/>
      <c r="AE15" s="66" t="s">
        <v>667</v>
      </c>
      <c r="AF15" s="67"/>
      <c r="AG15" s="67"/>
      <c r="AH15" s="67"/>
      <c r="AI15" s="67"/>
      <c r="AJ15" s="67"/>
      <c r="AK15" s="66" t="s">
        <v>668</v>
      </c>
      <c r="AL15" s="67"/>
      <c r="AM15" s="67"/>
      <c r="AN15" s="67"/>
      <c r="AO15" s="67"/>
      <c r="AP15" s="68"/>
      <c r="AQ15" s="66" t="s">
        <v>636</v>
      </c>
      <c r="AR15" s="67"/>
      <c r="AS15" s="67"/>
      <c r="AT15" s="67"/>
      <c r="AU15" s="67"/>
      <c r="AV15" s="68"/>
      <c r="AW15" s="69" t="s">
        <v>637</v>
      </c>
      <c r="AX15" s="69"/>
      <c r="AY15" s="69"/>
      <c r="AZ15" s="72" t="s">
        <v>669</v>
      </c>
      <c r="BA15" s="72"/>
      <c r="BB15" s="72"/>
      <c r="BC15" s="981" t="s">
        <v>670</v>
      </c>
      <c r="BD15" s="982"/>
      <c r="BE15" s="982"/>
      <c r="BF15" s="982"/>
      <c r="BG15" s="982"/>
      <c r="BH15" s="982"/>
      <c r="BI15" s="982"/>
      <c r="BJ15" s="982"/>
      <c r="BK15" s="983"/>
    </row>
    <row r="16" customHeight="1" spans="1:63">
      <c r="A16" s="518" t="s">
        <v>645</v>
      </c>
      <c r="B16" s="518"/>
      <c r="C16" s="203"/>
      <c r="D16" s="204"/>
      <c r="E16" s="205"/>
      <c r="F16" s="984">
        <v>407819</v>
      </c>
      <c r="G16" s="985"/>
      <c r="H16" s="986"/>
      <c r="I16" s="556" t="s">
        <v>100</v>
      </c>
      <c r="J16" s="556"/>
      <c r="K16" s="556"/>
      <c r="L16" s="556"/>
      <c r="M16" s="556"/>
      <c r="N16" s="556"/>
      <c r="O16" s="556"/>
      <c r="P16" s="556"/>
      <c r="Q16" s="556"/>
      <c r="R16" s="556"/>
      <c r="S16" s="556"/>
      <c r="T16" s="556"/>
      <c r="U16" s="556"/>
      <c r="V16" s="556"/>
      <c r="W16" s="556"/>
      <c r="X16" s="556"/>
      <c r="Y16" s="556"/>
      <c r="Z16" s="556"/>
      <c r="AA16" s="556"/>
      <c r="AB16" s="987" t="s">
        <v>99</v>
      </c>
      <c r="AC16" s="988"/>
      <c r="AD16" s="989"/>
      <c r="AE16" s="108">
        <f>SUMIF(Orçamento!F$18:F$149,'Curva ABC Serviços'!F16:F16,Orçamento!AH$18:AH$149)</f>
        <v>13606.7</v>
      </c>
      <c r="AF16" s="109"/>
      <c r="AG16" s="109"/>
      <c r="AH16" s="109"/>
      <c r="AI16" s="109"/>
      <c r="AJ16" s="110"/>
      <c r="AK16" s="990">
        <f ca="1" t="shared" ref="AK16:AK29" si="0">AQ16/AE16</f>
        <v>15.9599983831495</v>
      </c>
      <c r="AL16" s="991"/>
      <c r="AM16" s="991"/>
      <c r="AN16" s="991"/>
      <c r="AO16" s="991"/>
      <c r="AP16" s="992"/>
      <c r="AQ16" s="990">
        <f ca="1">SUMIF(Orçamento!F:H,F16,Orçamento!AO:AO)</f>
        <v>217162.91</v>
      </c>
      <c r="AR16" s="991"/>
      <c r="AS16" s="991"/>
      <c r="AT16" s="991"/>
      <c r="AU16" s="991"/>
      <c r="AV16" s="992"/>
      <c r="AW16" s="987">
        <f ca="1" t="shared" ref="AW16:AW52" si="1">AQ16/$AQ$53</f>
        <v>0.236903324927865</v>
      </c>
      <c r="AX16" s="988"/>
      <c r="AY16" s="989"/>
      <c r="AZ16" s="987">
        <f ca="1">AW16</f>
        <v>0.236903324927865</v>
      </c>
      <c r="BA16" s="988"/>
      <c r="BB16" s="989"/>
      <c r="BC16" s="993" t="str">
        <f ca="1" t="shared" ref="BC16:BC31" si="2">IF(AZ16&lt;0.8,"A",IF(AZ16&lt;0.95,"B","C"))</f>
        <v>A</v>
      </c>
      <c r="BD16" s="994"/>
      <c r="BE16" s="994"/>
      <c r="BF16" s="994"/>
      <c r="BG16" s="994"/>
      <c r="BH16" s="994"/>
      <c r="BI16" s="994"/>
      <c r="BJ16" s="994"/>
      <c r="BK16" s="995"/>
    </row>
    <row r="17" customHeight="1" spans="1:63">
      <c r="A17" s="518" t="s">
        <v>646</v>
      </c>
      <c r="B17" s="518"/>
      <c r="C17" s="89"/>
      <c r="D17" s="91"/>
      <c r="E17" s="90"/>
      <c r="F17" s="996">
        <v>1107900</v>
      </c>
      <c r="G17" s="997"/>
      <c r="H17" s="998"/>
      <c r="I17" s="556" t="s">
        <v>108</v>
      </c>
      <c r="J17" s="556"/>
      <c r="K17" s="556"/>
      <c r="L17" s="556"/>
      <c r="M17" s="556"/>
      <c r="N17" s="556"/>
      <c r="O17" s="556"/>
      <c r="P17" s="556"/>
      <c r="Q17" s="556"/>
      <c r="R17" s="556"/>
      <c r="S17" s="556"/>
      <c r="T17" s="556"/>
      <c r="U17" s="556"/>
      <c r="V17" s="556"/>
      <c r="W17" s="556"/>
      <c r="X17" s="556"/>
      <c r="Y17" s="556"/>
      <c r="Z17" s="556"/>
      <c r="AA17" s="556"/>
      <c r="AB17" s="987" t="s">
        <v>99</v>
      </c>
      <c r="AC17" s="988"/>
      <c r="AD17" s="989"/>
      <c r="AE17" s="108">
        <f>SUMIF(Orçamento!F$18:F$149,'Curva ABC Serviços'!F17:F17,Orçamento!AH$18:AH$149)</f>
        <v>116.24</v>
      </c>
      <c r="AF17" s="109"/>
      <c r="AG17" s="109"/>
      <c r="AH17" s="109"/>
      <c r="AI17" s="109"/>
      <c r="AJ17" s="110"/>
      <c r="AK17" s="990">
        <f ca="1" t="shared" si="0"/>
        <v>1310.98984858913</v>
      </c>
      <c r="AL17" s="991"/>
      <c r="AM17" s="991"/>
      <c r="AN17" s="991"/>
      <c r="AO17" s="991"/>
      <c r="AP17" s="992"/>
      <c r="AQ17" s="990">
        <f ca="1">SUMIF(Orçamento!F:H,F17,Orçamento!AO:AO)</f>
        <v>152389.46</v>
      </c>
      <c r="AR17" s="991"/>
      <c r="AS17" s="991"/>
      <c r="AT17" s="991"/>
      <c r="AU17" s="991"/>
      <c r="AV17" s="992"/>
      <c r="AW17" s="987">
        <f ca="1" t="shared" si="1"/>
        <v>0.166241876929914</v>
      </c>
      <c r="AX17" s="988"/>
      <c r="AY17" s="989"/>
      <c r="AZ17" s="987">
        <f ca="1">AW17+AZ16</f>
        <v>0.403145201857779</v>
      </c>
      <c r="BA17" s="988"/>
      <c r="BB17" s="989"/>
      <c r="BC17" s="993" t="str">
        <f ca="1" t="shared" si="2"/>
        <v>A</v>
      </c>
      <c r="BD17" s="994"/>
      <c r="BE17" s="994"/>
      <c r="BF17" s="994"/>
      <c r="BG17" s="994"/>
      <c r="BH17" s="994"/>
      <c r="BI17" s="994"/>
      <c r="BJ17" s="994"/>
      <c r="BK17" s="995"/>
    </row>
    <row r="18" customHeight="1" spans="1:63">
      <c r="A18" s="518" t="s">
        <v>671</v>
      </c>
      <c r="B18" s="518"/>
      <c r="C18" s="89"/>
      <c r="D18" s="91"/>
      <c r="E18" s="90"/>
      <c r="F18" s="996">
        <v>2306113</v>
      </c>
      <c r="G18" s="997"/>
      <c r="H18" s="998"/>
      <c r="I18" s="556" t="s">
        <v>102</v>
      </c>
      <c r="J18" s="556"/>
      <c r="K18" s="556"/>
      <c r="L18" s="556"/>
      <c r="M18" s="556"/>
      <c r="N18" s="556"/>
      <c r="O18" s="556"/>
      <c r="P18" s="556"/>
      <c r="Q18" s="556"/>
      <c r="R18" s="556"/>
      <c r="S18" s="556"/>
      <c r="T18" s="556"/>
      <c r="U18" s="556"/>
      <c r="V18" s="556"/>
      <c r="W18" s="556"/>
      <c r="X18" s="556"/>
      <c r="Y18" s="556"/>
      <c r="Z18" s="556"/>
      <c r="AA18" s="556"/>
      <c r="AB18" s="987" t="s">
        <v>9</v>
      </c>
      <c r="AC18" s="988"/>
      <c r="AD18" s="989"/>
      <c r="AE18" s="108">
        <f>SUMIF(Orçamento!F$18:F$149,'Curva ABC Serviços'!F18:F18,Orçamento!AH$18:AH$149)</f>
        <v>240</v>
      </c>
      <c r="AF18" s="109"/>
      <c r="AG18" s="109"/>
      <c r="AH18" s="109"/>
      <c r="AI18" s="109"/>
      <c r="AJ18" s="110"/>
      <c r="AK18" s="990">
        <f ca="1" t="shared" si="0"/>
        <v>486.85</v>
      </c>
      <c r="AL18" s="991"/>
      <c r="AM18" s="991"/>
      <c r="AN18" s="991"/>
      <c r="AO18" s="991"/>
      <c r="AP18" s="992"/>
      <c r="AQ18" s="990">
        <f ca="1">SUMIF(Orçamento!F:H,F18,Orçamento!AO:AO)</f>
        <v>116844</v>
      </c>
      <c r="AR18" s="991"/>
      <c r="AS18" s="991"/>
      <c r="AT18" s="991"/>
      <c r="AU18" s="991"/>
      <c r="AV18" s="992"/>
      <c r="AW18" s="987">
        <f ca="1" t="shared" si="1"/>
        <v>0.127465284462579</v>
      </c>
      <c r="AX18" s="988"/>
      <c r="AY18" s="989"/>
      <c r="AZ18" s="987">
        <f ca="1" t="shared" ref="AZ18:AZ52" si="3">AW18+AZ17</f>
        <v>0.530610486320358</v>
      </c>
      <c r="BA18" s="988"/>
      <c r="BB18" s="989"/>
      <c r="BC18" s="993" t="str">
        <f ca="1" t="shared" si="2"/>
        <v>A</v>
      </c>
      <c r="BD18" s="994"/>
      <c r="BE18" s="994"/>
      <c r="BF18" s="994"/>
      <c r="BG18" s="994"/>
      <c r="BH18" s="994"/>
      <c r="BI18" s="994"/>
      <c r="BJ18" s="994"/>
      <c r="BK18" s="995"/>
    </row>
    <row r="19" customHeight="1" spans="1:63">
      <c r="A19" s="518" t="s">
        <v>672</v>
      </c>
      <c r="B19" s="518"/>
      <c r="C19" s="203"/>
      <c r="D19" s="204"/>
      <c r="E19" s="205"/>
      <c r="F19" s="999" t="s">
        <v>88</v>
      </c>
      <c r="G19" s="1000"/>
      <c r="H19" s="1001"/>
      <c r="I19" s="556" t="s">
        <v>89</v>
      </c>
      <c r="J19" s="556"/>
      <c r="K19" s="556"/>
      <c r="L19" s="556"/>
      <c r="M19" s="556"/>
      <c r="N19" s="556"/>
      <c r="O19" s="556"/>
      <c r="P19" s="556"/>
      <c r="Q19" s="556"/>
      <c r="R19" s="556"/>
      <c r="S19" s="556"/>
      <c r="T19" s="556"/>
      <c r="U19" s="556"/>
      <c r="V19" s="556"/>
      <c r="W19" s="556"/>
      <c r="X19" s="556"/>
      <c r="Y19" s="556"/>
      <c r="Z19" s="556"/>
      <c r="AA19" s="556"/>
      <c r="AB19" s="987" t="s">
        <v>82</v>
      </c>
      <c r="AC19" s="988"/>
      <c r="AD19" s="989"/>
      <c r="AE19" s="108">
        <f>SUMIF(Orçamento!F$18:F$149,'Curva ABC Serviços'!F19:F19,Orçamento!AH$18:AH$149)</f>
        <v>1</v>
      </c>
      <c r="AF19" s="109"/>
      <c r="AG19" s="109"/>
      <c r="AH19" s="109"/>
      <c r="AI19" s="109"/>
      <c r="AJ19" s="110"/>
      <c r="AK19" s="990">
        <f ca="1" t="shared" si="0"/>
        <v>98375.79</v>
      </c>
      <c r="AL19" s="991"/>
      <c r="AM19" s="991"/>
      <c r="AN19" s="991"/>
      <c r="AO19" s="991"/>
      <c r="AP19" s="992"/>
      <c r="AQ19" s="990">
        <f ca="1">SUMIF(Orçamento!F:H,F19,Orçamento!AO:AO)</f>
        <v>98375.79</v>
      </c>
      <c r="AR19" s="991"/>
      <c r="AS19" s="991"/>
      <c r="AT19" s="991"/>
      <c r="AU19" s="991"/>
      <c r="AV19" s="992"/>
      <c r="AW19" s="987">
        <f ca="1" t="shared" si="1"/>
        <v>0.107318288115615</v>
      </c>
      <c r="AX19" s="988"/>
      <c r="AY19" s="989"/>
      <c r="AZ19" s="987">
        <f ca="1" t="shared" si="3"/>
        <v>0.637928774435973</v>
      </c>
      <c r="BA19" s="988"/>
      <c r="BB19" s="989"/>
      <c r="BC19" s="993" t="str">
        <f ca="1" t="shared" si="2"/>
        <v>A</v>
      </c>
      <c r="BD19" s="994"/>
      <c r="BE19" s="994"/>
      <c r="BF19" s="994"/>
      <c r="BG19" s="994"/>
      <c r="BH19" s="994"/>
      <c r="BI19" s="994"/>
      <c r="BJ19" s="994"/>
      <c r="BK19" s="995"/>
    </row>
    <row r="20" customHeight="1" spans="1:63">
      <c r="A20" s="518" t="s">
        <v>673</v>
      </c>
      <c r="B20" s="518"/>
      <c r="C20" s="203"/>
      <c r="D20" s="204"/>
      <c r="E20" s="205"/>
      <c r="F20" s="996">
        <v>3108000</v>
      </c>
      <c r="G20" s="997"/>
      <c r="H20" s="998"/>
      <c r="I20" s="556" t="s">
        <v>110</v>
      </c>
      <c r="J20" s="556"/>
      <c r="K20" s="556"/>
      <c r="L20" s="556"/>
      <c r="M20" s="556"/>
      <c r="N20" s="556"/>
      <c r="O20" s="556"/>
      <c r="P20" s="556"/>
      <c r="Q20" s="556"/>
      <c r="R20" s="556"/>
      <c r="S20" s="556"/>
      <c r="T20" s="556"/>
      <c r="U20" s="556"/>
      <c r="V20" s="556"/>
      <c r="W20" s="556"/>
      <c r="X20" s="556"/>
      <c r="Y20" s="556"/>
      <c r="Z20" s="556"/>
      <c r="AA20" s="556"/>
      <c r="AB20" s="987" t="s">
        <v>7</v>
      </c>
      <c r="AC20" s="988"/>
      <c r="AD20" s="989"/>
      <c r="AE20" s="108">
        <f>SUMIF(Orçamento!F$18:F$149,'Curva ABC Serviços'!F20:F20,Orçamento!AH$18:AH$149)</f>
        <v>647.66</v>
      </c>
      <c r="AF20" s="109"/>
      <c r="AG20" s="109"/>
      <c r="AH20" s="109"/>
      <c r="AI20" s="109"/>
      <c r="AJ20" s="110"/>
      <c r="AK20" s="990">
        <f ca="1" t="shared" si="0"/>
        <v>108.670012043356</v>
      </c>
      <c r="AL20" s="991"/>
      <c r="AM20" s="991"/>
      <c r="AN20" s="991"/>
      <c r="AO20" s="991"/>
      <c r="AP20" s="992"/>
      <c r="AQ20" s="990">
        <f ca="1">SUMIF(Orçamento!F:H,F20,Orçamento!AO:AO)</f>
        <v>70381.22</v>
      </c>
      <c r="AR20" s="991"/>
      <c r="AS20" s="991"/>
      <c r="AT20" s="991"/>
      <c r="AU20" s="991"/>
      <c r="AV20" s="992"/>
      <c r="AW20" s="987">
        <f ca="1" t="shared" si="1"/>
        <v>0.0767789722033084</v>
      </c>
      <c r="AX20" s="988"/>
      <c r="AY20" s="989"/>
      <c r="AZ20" s="987">
        <f ca="1" t="shared" si="3"/>
        <v>0.714707746639282</v>
      </c>
      <c r="BA20" s="988"/>
      <c r="BB20" s="989"/>
      <c r="BC20" s="993" t="str">
        <f ca="1" t="shared" si="2"/>
        <v>A</v>
      </c>
      <c r="BD20" s="994"/>
      <c r="BE20" s="994"/>
      <c r="BF20" s="994"/>
      <c r="BG20" s="994"/>
      <c r="BH20" s="994"/>
      <c r="BI20" s="994"/>
      <c r="BJ20" s="994"/>
      <c r="BK20" s="995"/>
    </row>
    <row r="21" customHeight="1" spans="1:63">
      <c r="A21" s="518" t="s">
        <v>674</v>
      </c>
      <c r="B21" s="518"/>
      <c r="C21" s="203"/>
      <c r="D21" s="204"/>
      <c r="E21" s="205"/>
      <c r="F21" s="984" t="s">
        <v>80</v>
      </c>
      <c r="G21" s="985"/>
      <c r="H21" s="986"/>
      <c r="I21" s="556" t="s">
        <v>81</v>
      </c>
      <c r="J21" s="556"/>
      <c r="K21" s="556"/>
      <c r="L21" s="556"/>
      <c r="M21" s="556"/>
      <c r="N21" s="556"/>
      <c r="O21" s="556"/>
      <c r="P21" s="556"/>
      <c r="Q21" s="556"/>
      <c r="R21" s="556"/>
      <c r="S21" s="556"/>
      <c r="T21" s="556"/>
      <c r="U21" s="556"/>
      <c r="V21" s="556"/>
      <c r="W21" s="556"/>
      <c r="X21" s="556"/>
      <c r="Y21" s="556"/>
      <c r="Z21" s="556"/>
      <c r="AA21" s="556"/>
      <c r="AB21" s="987" t="s">
        <v>82</v>
      </c>
      <c r="AC21" s="988"/>
      <c r="AD21" s="989"/>
      <c r="AE21" s="108">
        <f>SUMIF(Orçamento!F$18:F$149,'Curva ABC Serviços'!F21:F21,Orçamento!AH$18:AH$149)</f>
        <v>1</v>
      </c>
      <c r="AF21" s="109"/>
      <c r="AG21" s="109"/>
      <c r="AH21" s="109"/>
      <c r="AI21" s="109"/>
      <c r="AJ21" s="110"/>
      <c r="AK21" s="990">
        <f ca="1" t="shared" si="0"/>
        <v>35230.43</v>
      </c>
      <c r="AL21" s="991"/>
      <c r="AM21" s="991"/>
      <c r="AN21" s="991"/>
      <c r="AO21" s="991"/>
      <c r="AP21" s="992"/>
      <c r="AQ21" s="990">
        <f ca="1">SUMIF(Orçamento!F:H,F21,Orçamento!AO:AO)</f>
        <v>35230.43</v>
      </c>
      <c r="AR21" s="991"/>
      <c r="AS21" s="991"/>
      <c r="AT21" s="991"/>
      <c r="AU21" s="991"/>
      <c r="AV21" s="992"/>
      <c r="AW21" s="987">
        <f ca="1" t="shared" si="1"/>
        <v>0.0384329257958387</v>
      </c>
      <c r="AX21" s="988"/>
      <c r="AY21" s="989"/>
      <c r="AZ21" s="987">
        <f ca="1" t="shared" si="3"/>
        <v>0.753140672435121</v>
      </c>
      <c r="BA21" s="988"/>
      <c r="BB21" s="989"/>
      <c r="BC21" s="993" t="str">
        <f ca="1" t="shared" si="2"/>
        <v>A</v>
      </c>
      <c r="BD21" s="994"/>
      <c r="BE21" s="994"/>
      <c r="BF21" s="994"/>
      <c r="BG21" s="994"/>
      <c r="BH21" s="994"/>
      <c r="BI21" s="994"/>
      <c r="BJ21" s="994"/>
      <c r="BK21" s="995"/>
    </row>
    <row r="22" customHeight="1" spans="1:63">
      <c r="A22" s="518" t="s">
        <v>675</v>
      </c>
      <c r="B22" s="518"/>
      <c r="C22" s="89"/>
      <c r="D22" s="91"/>
      <c r="E22" s="90"/>
      <c r="F22" s="999">
        <v>1107908</v>
      </c>
      <c r="G22" s="1000"/>
      <c r="H22" s="1001"/>
      <c r="I22" s="556" t="s">
        <v>128</v>
      </c>
      <c r="J22" s="556"/>
      <c r="K22" s="556"/>
      <c r="L22" s="556"/>
      <c r="M22" s="556"/>
      <c r="N22" s="556"/>
      <c r="O22" s="556"/>
      <c r="P22" s="556"/>
      <c r="Q22" s="556"/>
      <c r="R22" s="556"/>
      <c r="S22" s="556"/>
      <c r="T22" s="556"/>
      <c r="U22" s="556"/>
      <c r="V22" s="556"/>
      <c r="W22" s="556"/>
      <c r="X22" s="556"/>
      <c r="Y22" s="556"/>
      <c r="Z22" s="556"/>
      <c r="AA22" s="556"/>
      <c r="AB22" s="987" t="s">
        <v>99</v>
      </c>
      <c r="AC22" s="988"/>
      <c r="AD22" s="989"/>
      <c r="AE22" s="108">
        <f>SUMIF(Orçamento!F$18:F$149,'Curva ABC Serviços'!F22:F22,Orçamento!AH$18:AH$149)</f>
        <v>21.65</v>
      </c>
      <c r="AF22" s="109"/>
      <c r="AG22" s="109"/>
      <c r="AH22" s="109"/>
      <c r="AI22" s="109"/>
      <c r="AJ22" s="110"/>
      <c r="AK22" s="990">
        <f ca="1" t="shared" si="0"/>
        <v>1399.63002309469</v>
      </c>
      <c r="AL22" s="991"/>
      <c r="AM22" s="991"/>
      <c r="AN22" s="991"/>
      <c r="AO22" s="991"/>
      <c r="AP22" s="992"/>
      <c r="AQ22" s="990">
        <f ca="1">SUMIF(Orçamento!F:H,F22,Orçamento!AO:AO)</f>
        <v>30301.99</v>
      </c>
      <c r="AR22" s="991"/>
      <c r="AS22" s="991"/>
      <c r="AT22" s="991"/>
      <c r="AU22" s="991"/>
      <c r="AV22" s="992"/>
      <c r="AW22" s="987">
        <f ca="1" t="shared" si="1"/>
        <v>0.0330564836459915</v>
      </c>
      <c r="AX22" s="988"/>
      <c r="AY22" s="989"/>
      <c r="AZ22" s="987">
        <f ca="1" t="shared" si="3"/>
        <v>0.786197156081112</v>
      </c>
      <c r="BA22" s="988"/>
      <c r="BB22" s="989"/>
      <c r="BC22" s="993" t="str">
        <f ca="1" t="shared" si="2"/>
        <v>A</v>
      </c>
      <c r="BD22" s="994"/>
      <c r="BE22" s="994"/>
      <c r="BF22" s="994"/>
      <c r="BG22" s="994"/>
      <c r="BH22" s="994"/>
      <c r="BI22" s="994"/>
      <c r="BJ22" s="994"/>
      <c r="BK22" s="995"/>
    </row>
    <row r="23" customHeight="1" spans="1:63">
      <c r="A23" s="518" t="s">
        <v>676</v>
      </c>
      <c r="B23" s="518"/>
      <c r="C23" s="203"/>
      <c r="D23" s="204"/>
      <c r="E23" s="205"/>
      <c r="F23" s="996" t="s">
        <v>677</v>
      </c>
      <c r="G23" s="997"/>
      <c r="H23" s="998"/>
      <c r="I23" s="556" t="s">
        <v>149</v>
      </c>
      <c r="J23" s="556"/>
      <c r="K23" s="556"/>
      <c r="L23" s="556"/>
      <c r="M23" s="556"/>
      <c r="N23" s="556"/>
      <c r="O23" s="556"/>
      <c r="P23" s="556"/>
      <c r="Q23" s="556"/>
      <c r="R23" s="556"/>
      <c r="S23" s="556"/>
      <c r="T23" s="556"/>
      <c r="U23" s="556"/>
      <c r="V23" s="556"/>
      <c r="W23" s="556"/>
      <c r="X23" s="556"/>
      <c r="Y23" s="556"/>
      <c r="Z23" s="556"/>
      <c r="AA23" s="556"/>
      <c r="AB23" s="987" t="s">
        <v>146</v>
      </c>
      <c r="AC23" s="988"/>
      <c r="AD23" s="989"/>
      <c r="AE23" s="108">
        <f>SUMIF(Orçamento!F$18:F$149,'Curva ABC Serviços'!F23:F23,Orçamento!AH$18:AH$149)</f>
        <v>4</v>
      </c>
      <c r="AF23" s="109"/>
      <c r="AG23" s="109"/>
      <c r="AH23" s="109"/>
      <c r="AI23" s="109"/>
      <c r="AJ23" s="110"/>
      <c r="AK23" s="990">
        <f ca="1" t="shared" si="0"/>
        <v>6645.69</v>
      </c>
      <c r="AL23" s="991"/>
      <c r="AM23" s="991"/>
      <c r="AN23" s="991"/>
      <c r="AO23" s="991"/>
      <c r="AP23" s="992"/>
      <c r="AQ23" s="990">
        <f ca="1">SUMIF(Orçamento!F:H,F23,Orçamento!AO:AO)</f>
        <v>26582.76</v>
      </c>
      <c r="AR23" s="991"/>
      <c r="AS23" s="991"/>
      <c r="AT23" s="991"/>
      <c r="AU23" s="991"/>
      <c r="AV23" s="992"/>
      <c r="AW23" s="987">
        <f ca="1" t="shared" si="1"/>
        <v>0.028999170391295</v>
      </c>
      <c r="AX23" s="988"/>
      <c r="AY23" s="989"/>
      <c r="AZ23" s="987">
        <f ca="1" t="shared" si="3"/>
        <v>0.815196326472407</v>
      </c>
      <c r="BA23" s="988"/>
      <c r="BB23" s="989"/>
      <c r="BC23" s="993" t="str">
        <f ca="1" t="shared" si="2"/>
        <v>B</v>
      </c>
      <c r="BD23" s="994"/>
      <c r="BE23" s="994"/>
      <c r="BF23" s="994"/>
      <c r="BG23" s="994"/>
      <c r="BH23" s="994"/>
      <c r="BI23" s="994"/>
      <c r="BJ23" s="994"/>
      <c r="BK23" s="995"/>
    </row>
    <row r="24" customHeight="1" spans="1:63">
      <c r="A24" s="518" t="s">
        <v>678</v>
      </c>
      <c r="B24" s="518"/>
      <c r="C24" s="203"/>
      <c r="D24" s="204"/>
      <c r="E24" s="205"/>
      <c r="F24" s="996">
        <v>3806420</v>
      </c>
      <c r="G24" s="997"/>
      <c r="H24" s="998"/>
      <c r="I24" s="556" t="s">
        <v>131</v>
      </c>
      <c r="J24" s="556"/>
      <c r="K24" s="556"/>
      <c r="L24" s="556"/>
      <c r="M24" s="556"/>
      <c r="N24" s="556"/>
      <c r="O24" s="556"/>
      <c r="P24" s="556"/>
      <c r="Q24" s="556"/>
      <c r="R24" s="556"/>
      <c r="S24" s="556"/>
      <c r="T24" s="556"/>
      <c r="U24" s="556"/>
      <c r="V24" s="556"/>
      <c r="W24" s="556"/>
      <c r="X24" s="556"/>
      <c r="Y24" s="556"/>
      <c r="Z24" s="556"/>
      <c r="AA24" s="556"/>
      <c r="AB24" s="987" t="s">
        <v>82</v>
      </c>
      <c r="AC24" s="988"/>
      <c r="AD24" s="989"/>
      <c r="AE24" s="108">
        <f>SUMIF(Orçamento!F$18:F$149,'Curva ABC Serviços'!F24:F24,Orçamento!AH$18:AH$149)</f>
        <v>4</v>
      </c>
      <c r="AF24" s="109"/>
      <c r="AG24" s="109"/>
      <c r="AH24" s="109"/>
      <c r="AI24" s="109"/>
      <c r="AJ24" s="110"/>
      <c r="AK24" s="990">
        <f ca="1" t="shared" si="0"/>
        <v>5233.09</v>
      </c>
      <c r="AL24" s="991"/>
      <c r="AM24" s="991"/>
      <c r="AN24" s="991"/>
      <c r="AO24" s="991"/>
      <c r="AP24" s="992"/>
      <c r="AQ24" s="990">
        <f ca="1">SUMIF(Orçamento!F:H,F24,Orçamento!AO:AO)</f>
        <v>20932.36</v>
      </c>
      <c r="AR24" s="991"/>
      <c r="AS24" s="991"/>
      <c r="AT24" s="991"/>
      <c r="AU24" s="991"/>
      <c r="AV24" s="992"/>
      <c r="AW24" s="987">
        <f ca="1" t="shared" si="1"/>
        <v>0.0228351410587888</v>
      </c>
      <c r="AX24" s="988"/>
      <c r="AY24" s="989"/>
      <c r="AZ24" s="987">
        <f ca="1" t="shared" si="3"/>
        <v>0.838031467531196</v>
      </c>
      <c r="BA24" s="988"/>
      <c r="BB24" s="989"/>
      <c r="BC24" s="993" t="str">
        <f ca="1" t="shared" si="2"/>
        <v>B</v>
      </c>
      <c r="BD24" s="994"/>
      <c r="BE24" s="994"/>
      <c r="BF24" s="994"/>
      <c r="BG24" s="994"/>
      <c r="BH24" s="994"/>
      <c r="BI24" s="994"/>
      <c r="BJ24" s="994"/>
      <c r="BK24" s="995"/>
    </row>
    <row r="25" customHeight="1" spans="1:63">
      <c r="A25" s="518" t="s">
        <v>679</v>
      </c>
      <c r="B25" s="518"/>
      <c r="C25" s="203"/>
      <c r="D25" s="204"/>
      <c r="E25" s="205"/>
      <c r="F25" s="996" t="s">
        <v>680</v>
      </c>
      <c r="G25" s="997"/>
      <c r="H25" s="998"/>
      <c r="I25" s="556" t="s">
        <v>156</v>
      </c>
      <c r="J25" s="556"/>
      <c r="K25" s="556"/>
      <c r="L25" s="556"/>
      <c r="M25" s="556"/>
      <c r="N25" s="556"/>
      <c r="O25" s="556"/>
      <c r="P25" s="556"/>
      <c r="Q25" s="556"/>
      <c r="R25" s="556"/>
      <c r="S25" s="556"/>
      <c r="T25" s="556"/>
      <c r="U25" s="556"/>
      <c r="V25" s="556"/>
      <c r="W25" s="556"/>
      <c r="X25" s="556"/>
      <c r="Y25" s="556"/>
      <c r="Z25" s="556"/>
      <c r="AA25" s="556"/>
      <c r="AB25" s="987" t="s">
        <v>146</v>
      </c>
      <c r="AC25" s="988"/>
      <c r="AD25" s="989"/>
      <c r="AE25" s="108">
        <f>SUMIF(Orçamento!F$18:F$149,'Curva ABC Serviços'!F25:F25,Orçamento!AH$18:AH$149)</f>
        <v>2</v>
      </c>
      <c r="AF25" s="109"/>
      <c r="AG25" s="109"/>
      <c r="AH25" s="109"/>
      <c r="AI25" s="109"/>
      <c r="AJ25" s="110"/>
      <c r="AK25" s="990">
        <f ca="1" t="shared" si="0"/>
        <v>9710.84</v>
      </c>
      <c r="AL25" s="991"/>
      <c r="AM25" s="991"/>
      <c r="AN25" s="991"/>
      <c r="AO25" s="991"/>
      <c r="AP25" s="992"/>
      <c r="AQ25" s="990">
        <f ca="1">SUMIF(Orçamento!F:H,F25,Orçamento!AO:AO)</f>
        <v>19421.68</v>
      </c>
      <c r="AR25" s="991"/>
      <c r="AS25" s="991"/>
      <c r="AT25" s="991"/>
      <c r="AU25" s="991"/>
      <c r="AV25" s="992"/>
      <c r="AW25" s="987">
        <f ca="1" t="shared" si="1"/>
        <v>0.0211871381152749</v>
      </c>
      <c r="AX25" s="988"/>
      <c r="AY25" s="989"/>
      <c r="AZ25" s="987">
        <f ca="1" t="shared" si="3"/>
        <v>0.859218605646471</v>
      </c>
      <c r="BA25" s="988"/>
      <c r="BB25" s="989"/>
      <c r="BC25" s="993" t="str">
        <f ca="1" t="shared" si="2"/>
        <v>B</v>
      </c>
      <c r="BD25" s="994"/>
      <c r="BE25" s="994"/>
      <c r="BF25" s="994"/>
      <c r="BG25" s="994"/>
      <c r="BH25" s="994"/>
      <c r="BI25" s="994"/>
      <c r="BJ25" s="994"/>
      <c r="BK25" s="995"/>
    </row>
    <row r="26" customHeight="1" spans="1:63">
      <c r="A26" s="518" t="s">
        <v>681</v>
      </c>
      <c r="B26" s="518"/>
      <c r="C26" s="203"/>
      <c r="D26" s="204"/>
      <c r="E26" s="205"/>
      <c r="F26" s="996" t="s">
        <v>682</v>
      </c>
      <c r="G26" s="997"/>
      <c r="H26" s="998"/>
      <c r="I26" s="555" t="s">
        <v>147</v>
      </c>
      <c r="J26" s="556"/>
      <c r="K26" s="556"/>
      <c r="L26" s="556"/>
      <c r="M26" s="556"/>
      <c r="N26" s="556"/>
      <c r="O26" s="556"/>
      <c r="P26" s="556"/>
      <c r="Q26" s="556"/>
      <c r="R26" s="556"/>
      <c r="S26" s="556"/>
      <c r="T26" s="556"/>
      <c r="U26" s="556"/>
      <c r="V26" s="556"/>
      <c r="W26" s="556"/>
      <c r="X26" s="556"/>
      <c r="Y26" s="556"/>
      <c r="Z26" s="556"/>
      <c r="AA26" s="557"/>
      <c r="AB26" s="987" t="s">
        <v>146</v>
      </c>
      <c r="AC26" s="988"/>
      <c r="AD26" s="989"/>
      <c r="AE26" s="108">
        <f>SUMIF(Orçamento!F$18:F$149,'Curva ABC Serviços'!F26:F26,Orçamento!AH$18:AH$149)</f>
        <v>4</v>
      </c>
      <c r="AF26" s="109"/>
      <c r="AG26" s="109"/>
      <c r="AH26" s="109"/>
      <c r="AI26" s="109"/>
      <c r="AJ26" s="110"/>
      <c r="AK26" s="990">
        <f ca="1" t="shared" si="0"/>
        <v>3215.9</v>
      </c>
      <c r="AL26" s="991"/>
      <c r="AM26" s="991"/>
      <c r="AN26" s="991"/>
      <c r="AO26" s="991"/>
      <c r="AP26" s="992"/>
      <c r="AQ26" s="990">
        <f ca="1">SUMIF(Orçamento!F:H,F26,Orçamento!AO:AO)</f>
        <v>12863.6</v>
      </c>
      <c r="AR26" s="991"/>
      <c r="AS26" s="991"/>
      <c r="AT26" s="991"/>
      <c r="AU26" s="991"/>
      <c r="AV26" s="992"/>
      <c r="AW26" s="987">
        <f ca="1" t="shared" si="1"/>
        <v>0.0140329193900657</v>
      </c>
      <c r="AX26" s="988"/>
      <c r="AY26" s="989"/>
      <c r="AZ26" s="987">
        <f ca="1" t="shared" si="3"/>
        <v>0.873251525036536</v>
      </c>
      <c r="BA26" s="988"/>
      <c r="BB26" s="989"/>
      <c r="BC26" s="993" t="str">
        <f ca="1" t="shared" si="2"/>
        <v>B</v>
      </c>
      <c r="BD26" s="994"/>
      <c r="BE26" s="994"/>
      <c r="BF26" s="994"/>
      <c r="BG26" s="994"/>
      <c r="BH26" s="994"/>
      <c r="BI26" s="994"/>
      <c r="BJ26" s="994"/>
      <c r="BK26" s="995"/>
    </row>
    <row r="27" customHeight="1" spans="1:63">
      <c r="A27" s="518" t="s">
        <v>683</v>
      </c>
      <c r="B27" s="518"/>
      <c r="C27" s="203"/>
      <c r="D27" s="204"/>
      <c r="E27" s="205"/>
      <c r="F27" s="984" t="s">
        <v>90</v>
      </c>
      <c r="G27" s="985"/>
      <c r="H27" s="986"/>
      <c r="I27" s="556" t="s">
        <v>91</v>
      </c>
      <c r="J27" s="556"/>
      <c r="K27" s="556"/>
      <c r="L27" s="556"/>
      <c r="M27" s="556"/>
      <c r="N27" s="556"/>
      <c r="O27" s="556"/>
      <c r="P27" s="556"/>
      <c r="Q27" s="556"/>
      <c r="R27" s="556"/>
      <c r="S27" s="556"/>
      <c r="T27" s="556"/>
      <c r="U27" s="556"/>
      <c r="V27" s="556"/>
      <c r="W27" s="556"/>
      <c r="X27" s="556"/>
      <c r="Y27" s="556"/>
      <c r="Z27" s="556"/>
      <c r="AA27" s="556"/>
      <c r="AB27" s="987" t="s">
        <v>82</v>
      </c>
      <c r="AC27" s="988"/>
      <c r="AD27" s="989"/>
      <c r="AE27" s="108">
        <f>SUMIF(Orçamento!F$18:F$149,'Curva ABC Serviços'!F27:F27,Orçamento!AH$18:AH$149)</f>
        <v>4</v>
      </c>
      <c r="AF27" s="109"/>
      <c r="AG27" s="109"/>
      <c r="AH27" s="109"/>
      <c r="AI27" s="109"/>
      <c r="AJ27" s="110"/>
      <c r="AK27" s="990">
        <f ca="1" t="shared" si="0"/>
        <v>2642.41</v>
      </c>
      <c r="AL27" s="991"/>
      <c r="AM27" s="991"/>
      <c r="AN27" s="991"/>
      <c r="AO27" s="991"/>
      <c r="AP27" s="992"/>
      <c r="AQ27" s="990">
        <f ca="1">SUMIF(Orçamento!F:H,F27,Orçamento!AO:AO)</f>
        <v>10569.64</v>
      </c>
      <c r="AR27" s="991"/>
      <c r="AS27" s="991"/>
      <c r="AT27" s="991"/>
      <c r="AU27" s="991"/>
      <c r="AV27" s="992"/>
      <c r="AW27" s="987">
        <f ca="1" t="shared" si="1"/>
        <v>0.0115304351893726</v>
      </c>
      <c r="AX27" s="988"/>
      <c r="AY27" s="989"/>
      <c r="AZ27" s="987">
        <f ca="1" t="shared" si="3"/>
        <v>0.884781960225909</v>
      </c>
      <c r="BA27" s="988"/>
      <c r="BB27" s="989"/>
      <c r="BC27" s="993" t="str">
        <f ca="1" t="shared" si="2"/>
        <v>B</v>
      </c>
      <c r="BD27" s="994"/>
      <c r="BE27" s="994"/>
      <c r="BF27" s="994"/>
      <c r="BG27" s="994"/>
      <c r="BH27" s="994"/>
      <c r="BI27" s="994"/>
      <c r="BJ27" s="994"/>
      <c r="BK27" s="995"/>
    </row>
    <row r="28" customHeight="1" spans="1:63">
      <c r="A28" s="518" t="s">
        <v>684</v>
      </c>
      <c r="B28" s="518"/>
      <c r="C28" s="203"/>
      <c r="D28" s="204"/>
      <c r="E28" s="205"/>
      <c r="F28" s="984" t="s">
        <v>92</v>
      </c>
      <c r="G28" s="985"/>
      <c r="H28" s="986"/>
      <c r="I28" s="556" t="s">
        <v>93</v>
      </c>
      <c r="J28" s="556"/>
      <c r="K28" s="556"/>
      <c r="L28" s="556"/>
      <c r="M28" s="556"/>
      <c r="N28" s="556"/>
      <c r="O28" s="556"/>
      <c r="P28" s="556"/>
      <c r="Q28" s="556"/>
      <c r="R28" s="556"/>
      <c r="S28" s="556"/>
      <c r="T28" s="556"/>
      <c r="U28" s="556"/>
      <c r="V28" s="556"/>
      <c r="W28" s="556"/>
      <c r="X28" s="556"/>
      <c r="Y28" s="556"/>
      <c r="Z28" s="556"/>
      <c r="AA28" s="556"/>
      <c r="AB28" s="987" t="s">
        <v>82</v>
      </c>
      <c r="AC28" s="988"/>
      <c r="AD28" s="989"/>
      <c r="AE28" s="108">
        <f>SUMIF(Orçamento!F$18:F$149,'Curva ABC Serviços'!F28:F28,Orçamento!AH$18:AH$149)</f>
        <v>4</v>
      </c>
      <c r="AF28" s="109"/>
      <c r="AG28" s="109"/>
      <c r="AH28" s="109"/>
      <c r="AI28" s="109"/>
      <c r="AJ28" s="110"/>
      <c r="AK28" s="990">
        <f ca="1" t="shared" si="0"/>
        <v>2642.41</v>
      </c>
      <c r="AL28" s="991"/>
      <c r="AM28" s="991"/>
      <c r="AN28" s="991"/>
      <c r="AO28" s="991"/>
      <c r="AP28" s="992"/>
      <c r="AQ28" s="990">
        <f ca="1">SUMIF(Orçamento!F:H,F28,Orçamento!AO:AO)</f>
        <v>10569.64</v>
      </c>
      <c r="AR28" s="991"/>
      <c r="AS28" s="991"/>
      <c r="AT28" s="991"/>
      <c r="AU28" s="991"/>
      <c r="AV28" s="992"/>
      <c r="AW28" s="987">
        <f ca="1" t="shared" si="1"/>
        <v>0.0115304351893726</v>
      </c>
      <c r="AX28" s="988"/>
      <c r="AY28" s="989"/>
      <c r="AZ28" s="987">
        <f ca="1" t="shared" si="3"/>
        <v>0.896312395415282</v>
      </c>
      <c r="BA28" s="988"/>
      <c r="BB28" s="989"/>
      <c r="BC28" s="993" t="str">
        <f ca="1" t="shared" si="2"/>
        <v>B</v>
      </c>
      <c r="BD28" s="994"/>
      <c r="BE28" s="994"/>
      <c r="BF28" s="994"/>
      <c r="BG28" s="994"/>
      <c r="BH28" s="994"/>
      <c r="BI28" s="994"/>
      <c r="BJ28" s="994"/>
      <c r="BK28" s="995"/>
    </row>
    <row r="29" customHeight="1" spans="1:63">
      <c r="A29" s="518" t="s">
        <v>685</v>
      </c>
      <c r="B29" s="518"/>
      <c r="C29" s="203"/>
      <c r="D29" s="204"/>
      <c r="E29" s="205"/>
      <c r="F29" s="996">
        <v>1106057</v>
      </c>
      <c r="G29" s="997"/>
      <c r="H29" s="998"/>
      <c r="I29" s="556" t="s">
        <v>109</v>
      </c>
      <c r="J29" s="556"/>
      <c r="K29" s="556"/>
      <c r="L29" s="556"/>
      <c r="M29" s="556"/>
      <c r="N29" s="556"/>
      <c r="O29" s="556"/>
      <c r="P29" s="556"/>
      <c r="Q29" s="556"/>
      <c r="R29" s="556"/>
      <c r="S29" s="556"/>
      <c r="T29" s="556"/>
      <c r="U29" s="556"/>
      <c r="V29" s="556"/>
      <c r="W29" s="556"/>
      <c r="X29" s="556"/>
      <c r="Y29" s="556"/>
      <c r="Z29" s="556"/>
      <c r="AA29" s="556"/>
      <c r="AB29" s="987" t="s">
        <v>99</v>
      </c>
      <c r="AC29" s="988"/>
      <c r="AD29" s="989"/>
      <c r="AE29" s="108">
        <f>SUMIF(Orçamento!F$18:F$149,'Curva ABC Serviços'!F29:F29,Orçamento!AH$18:AH$149)</f>
        <v>8.54</v>
      </c>
      <c r="AF29" s="109"/>
      <c r="AG29" s="109"/>
      <c r="AH29" s="109"/>
      <c r="AI29" s="109"/>
      <c r="AJ29" s="110"/>
      <c r="AK29" s="990">
        <f ca="1" t="shared" si="0"/>
        <v>1213.64168618267</v>
      </c>
      <c r="AL29" s="991"/>
      <c r="AM29" s="991"/>
      <c r="AN29" s="991"/>
      <c r="AO29" s="991"/>
      <c r="AP29" s="992"/>
      <c r="AQ29" s="990">
        <f ca="1">SUMIF(Orçamento!F:H,F29,Orçamento!AO:AO)</f>
        <v>10364.5</v>
      </c>
      <c r="AR29" s="991"/>
      <c r="AS29" s="991"/>
      <c r="AT29" s="991"/>
      <c r="AU29" s="991"/>
      <c r="AV29" s="992"/>
      <c r="AW29" s="987">
        <f ca="1" t="shared" si="1"/>
        <v>0.0113066476739276</v>
      </c>
      <c r="AX29" s="988"/>
      <c r="AY29" s="989"/>
      <c r="AZ29" s="987">
        <f ca="1" t="shared" si="3"/>
        <v>0.907619043089209</v>
      </c>
      <c r="BA29" s="988"/>
      <c r="BB29" s="989"/>
      <c r="BC29" s="993" t="str">
        <f ca="1" t="shared" si="2"/>
        <v>B</v>
      </c>
      <c r="BD29" s="994"/>
      <c r="BE29" s="994"/>
      <c r="BF29" s="994"/>
      <c r="BG29" s="994"/>
      <c r="BH29" s="994"/>
      <c r="BI29" s="994"/>
      <c r="BJ29" s="994"/>
      <c r="BK29" s="995"/>
    </row>
    <row r="30" customHeight="1" spans="1:63">
      <c r="A30" s="518" t="s">
        <v>686</v>
      </c>
      <c r="B30" s="518"/>
      <c r="C30" s="203"/>
      <c r="D30" s="204"/>
      <c r="E30" s="205"/>
      <c r="F30" s="984" t="s">
        <v>119</v>
      </c>
      <c r="G30" s="985"/>
      <c r="H30" s="986"/>
      <c r="I30" s="556" t="s">
        <v>120</v>
      </c>
      <c r="J30" s="556"/>
      <c r="K30" s="556"/>
      <c r="L30" s="556"/>
      <c r="M30" s="556"/>
      <c r="N30" s="556"/>
      <c r="O30" s="556"/>
      <c r="P30" s="556"/>
      <c r="Q30" s="556"/>
      <c r="R30" s="556"/>
      <c r="S30" s="556"/>
      <c r="T30" s="556"/>
      <c r="U30" s="556"/>
      <c r="V30" s="556"/>
      <c r="W30" s="556"/>
      <c r="X30" s="556"/>
      <c r="Y30" s="556"/>
      <c r="Z30" s="556"/>
      <c r="AA30" s="556"/>
      <c r="AB30" s="987" t="s">
        <v>82</v>
      </c>
      <c r="AC30" s="988"/>
      <c r="AD30" s="989"/>
      <c r="AE30" s="108">
        <f>SUMIF(Orçamento!F$18:F$149,'Curva ABC Serviços'!F30:F30,Orçamento!AH$18:AH$149)</f>
        <v>10</v>
      </c>
      <c r="AF30" s="109"/>
      <c r="AG30" s="109"/>
      <c r="AH30" s="109"/>
      <c r="AI30" s="109"/>
      <c r="AJ30" s="110"/>
      <c r="AK30" s="990">
        <f ca="1" t="shared" ref="AK30:AK35" si="4">AQ30/AE30</f>
        <v>968.7</v>
      </c>
      <c r="AL30" s="991"/>
      <c r="AM30" s="991"/>
      <c r="AN30" s="991"/>
      <c r="AO30" s="991"/>
      <c r="AP30" s="992"/>
      <c r="AQ30" s="990">
        <f ca="1">SUMIF(Orçamento!F:H,F30,Orçamento!AO:AO)</f>
        <v>9687</v>
      </c>
      <c r="AR30" s="991"/>
      <c r="AS30" s="991"/>
      <c r="AT30" s="991"/>
      <c r="AU30" s="991"/>
      <c r="AV30" s="992"/>
      <c r="AW30" s="987">
        <f ca="1" t="shared" si="1"/>
        <v>0.0105675619680001</v>
      </c>
      <c r="AX30" s="988"/>
      <c r="AY30" s="989"/>
      <c r="AZ30" s="987">
        <f ca="1" t="shared" si="3"/>
        <v>0.918186605057209</v>
      </c>
      <c r="BA30" s="988"/>
      <c r="BB30" s="989"/>
      <c r="BC30" s="993" t="str">
        <f ca="1" t="shared" si="2"/>
        <v>B</v>
      </c>
      <c r="BD30" s="994"/>
      <c r="BE30" s="994"/>
      <c r="BF30" s="994"/>
      <c r="BG30" s="994"/>
      <c r="BH30" s="994"/>
      <c r="BI30" s="994"/>
      <c r="BJ30" s="994"/>
      <c r="BK30" s="995"/>
    </row>
    <row r="31" customHeight="1" spans="1:63">
      <c r="A31" s="518" t="s">
        <v>687</v>
      </c>
      <c r="B31" s="518"/>
      <c r="C31" s="203"/>
      <c r="D31" s="204"/>
      <c r="E31" s="205"/>
      <c r="F31" s="996">
        <v>3806429</v>
      </c>
      <c r="G31" s="997"/>
      <c r="H31" s="998"/>
      <c r="I31" s="556" t="s">
        <v>111</v>
      </c>
      <c r="J31" s="556"/>
      <c r="K31" s="556"/>
      <c r="L31" s="556"/>
      <c r="M31" s="556"/>
      <c r="N31" s="556"/>
      <c r="O31" s="556"/>
      <c r="P31" s="556"/>
      <c r="Q31" s="556"/>
      <c r="R31" s="556"/>
      <c r="S31" s="556"/>
      <c r="T31" s="556"/>
      <c r="U31" s="556"/>
      <c r="V31" s="556"/>
      <c r="W31" s="556"/>
      <c r="X31" s="556"/>
      <c r="Y31" s="556"/>
      <c r="Z31" s="556"/>
      <c r="AA31" s="556"/>
      <c r="AB31" s="987" t="s">
        <v>99</v>
      </c>
      <c r="AC31" s="988"/>
      <c r="AD31" s="989"/>
      <c r="AE31" s="108">
        <f>SUMIF(Orçamento!F$18:F$149,'Curva ABC Serviços'!F31:F31,Orçamento!AH$18:AH$149)</f>
        <v>379.68</v>
      </c>
      <c r="AF31" s="109"/>
      <c r="AG31" s="109"/>
      <c r="AH31" s="109"/>
      <c r="AI31" s="109"/>
      <c r="AJ31" s="110"/>
      <c r="AK31" s="990">
        <f ca="1" t="shared" si="4"/>
        <v>24.76000842815</v>
      </c>
      <c r="AL31" s="991"/>
      <c r="AM31" s="991"/>
      <c r="AN31" s="991"/>
      <c r="AO31" s="991"/>
      <c r="AP31" s="992"/>
      <c r="AQ31" s="990">
        <f ca="1">SUMIF(Orçamento!F:H,F31,Orçamento!AO:AO)</f>
        <v>9400.88</v>
      </c>
      <c r="AR31" s="991"/>
      <c r="AS31" s="991"/>
      <c r="AT31" s="991"/>
      <c r="AU31" s="991"/>
      <c r="AV31" s="992"/>
      <c r="AW31" s="987">
        <f ca="1" t="shared" si="1"/>
        <v>0.0102554332562953</v>
      </c>
      <c r="AX31" s="988"/>
      <c r="AY31" s="989"/>
      <c r="AZ31" s="987">
        <f ca="1" t="shared" si="3"/>
        <v>0.928442038313505</v>
      </c>
      <c r="BA31" s="988"/>
      <c r="BB31" s="989"/>
      <c r="BC31" s="993" t="str">
        <f ca="1" t="shared" si="2"/>
        <v>B</v>
      </c>
      <c r="BD31" s="994"/>
      <c r="BE31" s="994"/>
      <c r="BF31" s="994"/>
      <c r="BG31" s="994"/>
      <c r="BH31" s="994"/>
      <c r="BI31" s="994"/>
      <c r="BJ31" s="994"/>
      <c r="BK31" s="995"/>
    </row>
    <row r="32" customHeight="1" spans="1:63">
      <c r="A32" s="518" t="s">
        <v>688</v>
      </c>
      <c r="B32" s="518"/>
      <c r="C32" s="203"/>
      <c r="D32" s="204"/>
      <c r="E32" s="205"/>
      <c r="F32" s="996" t="s">
        <v>689</v>
      </c>
      <c r="G32" s="997"/>
      <c r="H32" s="998"/>
      <c r="I32" s="556" t="s">
        <v>145</v>
      </c>
      <c r="J32" s="556"/>
      <c r="K32" s="556"/>
      <c r="L32" s="556"/>
      <c r="M32" s="556"/>
      <c r="N32" s="556"/>
      <c r="O32" s="556"/>
      <c r="P32" s="556"/>
      <c r="Q32" s="556"/>
      <c r="R32" s="556"/>
      <c r="S32" s="556"/>
      <c r="T32" s="556"/>
      <c r="U32" s="556"/>
      <c r="V32" s="556"/>
      <c r="W32" s="556"/>
      <c r="X32" s="556"/>
      <c r="Y32" s="556"/>
      <c r="Z32" s="556"/>
      <c r="AA32" s="556"/>
      <c r="AB32" s="987" t="s">
        <v>146</v>
      </c>
      <c r="AC32" s="988"/>
      <c r="AD32" s="989"/>
      <c r="AE32" s="108">
        <f>SUMIF(Orçamento!F$18:F$149,'Curva ABC Serviços'!F32:F32,Orçamento!AH$18:AH$149)</f>
        <v>0.25</v>
      </c>
      <c r="AF32" s="109"/>
      <c r="AG32" s="109"/>
      <c r="AH32" s="109"/>
      <c r="AI32" s="109"/>
      <c r="AJ32" s="110"/>
      <c r="AK32" s="990">
        <f ca="1" t="shared" si="4"/>
        <v>34344.12</v>
      </c>
      <c r="AL32" s="991"/>
      <c r="AM32" s="991"/>
      <c r="AN32" s="991"/>
      <c r="AO32" s="991"/>
      <c r="AP32" s="992"/>
      <c r="AQ32" s="990">
        <f ca="1">SUMIF(Orçamento!F:H,F32,Orçamento!AO:AO)</f>
        <v>8586.03</v>
      </c>
      <c r="AR32" s="991"/>
      <c r="AS32" s="991"/>
      <c r="AT32" s="991"/>
      <c r="AU32" s="991"/>
      <c r="AV32" s="992"/>
      <c r="AW32" s="987">
        <f ca="1" t="shared" si="1"/>
        <v>0.009366512241572</v>
      </c>
      <c r="AX32" s="988"/>
      <c r="AY32" s="989"/>
      <c r="AZ32" s="987">
        <f ca="1" t="shared" si="3"/>
        <v>0.937808550555077</v>
      </c>
      <c r="BA32" s="988"/>
      <c r="BB32" s="989"/>
      <c r="BC32" s="993" t="str">
        <f ca="1" t="shared" ref="BC32:BC43" si="5">IF(AZ32&lt;0.8,"A",IF(AZ32&lt;0.95,"B","C"))</f>
        <v>B</v>
      </c>
      <c r="BD32" s="994"/>
      <c r="BE32" s="994"/>
      <c r="BF32" s="994"/>
      <c r="BG32" s="994"/>
      <c r="BH32" s="994"/>
      <c r="BI32" s="994"/>
      <c r="BJ32" s="994"/>
      <c r="BK32" s="995"/>
    </row>
    <row r="33" customHeight="1" spans="1:63">
      <c r="A33" s="518" t="s">
        <v>690</v>
      </c>
      <c r="B33" s="518"/>
      <c r="C33" s="203"/>
      <c r="D33" s="204"/>
      <c r="E33" s="205"/>
      <c r="F33" s="996" t="s">
        <v>691</v>
      </c>
      <c r="G33" s="997"/>
      <c r="H33" s="998"/>
      <c r="I33" s="556" t="s">
        <v>159</v>
      </c>
      <c r="J33" s="556"/>
      <c r="K33" s="556"/>
      <c r="L33" s="556"/>
      <c r="M33" s="556"/>
      <c r="N33" s="556"/>
      <c r="O33" s="556"/>
      <c r="P33" s="556"/>
      <c r="Q33" s="556"/>
      <c r="R33" s="556"/>
      <c r="S33" s="556"/>
      <c r="T33" s="556"/>
      <c r="U33" s="556"/>
      <c r="V33" s="556"/>
      <c r="W33" s="556"/>
      <c r="X33" s="556"/>
      <c r="Y33" s="556"/>
      <c r="Z33" s="556"/>
      <c r="AA33" s="556"/>
      <c r="AB33" s="987" t="s">
        <v>146</v>
      </c>
      <c r="AC33" s="988"/>
      <c r="AD33" s="989"/>
      <c r="AE33" s="108">
        <f>SUMIF(Orçamento!F$18:F$149,'Curva ABC Serviços'!F33:F33,Orçamento!AH$18:AH$149)</f>
        <v>1</v>
      </c>
      <c r="AF33" s="109"/>
      <c r="AG33" s="109"/>
      <c r="AH33" s="109"/>
      <c r="AI33" s="109"/>
      <c r="AJ33" s="110"/>
      <c r="AK33" s="990">
        <f ca="1" t="shared" si="4"/>
        <v>6401.81</v>
      </c>
      <c r="AL33" s="991"/>
      <c r="AM33" s="991"/>
      <c r="AN33" s="991"/>
      <c r="AO33" s="991"/>
      <c r="AP33" s="992"/>
      <c r="AQ33" s="990">
        <f ca="1">SUMIF(Orçamento!F:H,F33,Orçamento!AO:AO)</f>
        <v>6401.81</v>
      </c>
      <c r="AR33" s="991"/>
      <c r="AS33" s="991"/>
      <c r="AT33" s="991"/>
      <c r="AU33" s="991"/>
      <c r="AV33" s="992"/>
      <c r="AW33" s="987">
        <f ca="1" t="shared" si="1"/>
        <v>0.00698374356171805</v>
      </c>
      <c r="AX33" s="988"/>
      <c r="AY33" s="989"/>
      <c r="AZ33" s="987">
        <f ca="1" t="shared" si="3"/>
        <v>0.944792294116795</v>
      </c>
      <c r="BA33" s="988"/>
      <c r="BB33" s="989"/>
      <c r="BC33" s="993" t="str">
        <f ca="1" t="shared" si="5"/>
        <v>B</v>
      </c>
      <c r="BD33" s="994"/>
      <c r="BE33" s="994"/>
      <c r="BF33" s="994"/>
      <c r="BG33" s="994"/>
      <c r="BH33" s="994"/>
      <c r="BI33" s="994"/>
      <c r="BJ33" s="994"/>
      <c r="BK33" s="995"/>
    </row>
    <row r="34" customHeight="1" spans="1:63">
      <c r="A34" s="518" t="s">
        <v>692</v>
      </c>
      <c r="B34" s="518"/>
      <c r="C34" s="203"/>
      <c r="D34" s="204"/>
      <c r="E34" s="205"/>
      <c r="F34" s="996">
        <v>5213571</v>
      </c>
      <c r="G34" s="997"/>
      <c r="H34" s="998"/>
      <c r="I34" s="556" t="s">
        <v>136</v>
      </c>
      <c r="J34" s="556"/>
      <c r="K34" s="556"/>
      <c r="L34" s="556"/>
      <c r="M34" s="556"/>
      <c r="N34" s="556"/>
      <c r="O34" s="556"/>
      <c r="P34" s="556"/>
      <c r="Q34" s="556"/>
      <c r="R34" s="556"/>
      <c r="S34" s="556"/>
      <c r="T34" s="556"/>
      <c r="U34" s="556"/>
      <c r="V34" s="556"/>
      <c r="W34" s="556"/>
      <c r="X34" s="556"/>
      <c r="Y34" s="556"/>
      <c r="Z34" s="556"/>
      <c r="AA34" s="556"/>
      <c r="AB34" s="987" t="s">
        <v>7</v>
      </c>
      <c r="AC34" s="988"/>
      <c r="AD34" s="989"/>
      <c r="AE34" s="108">
        <f>SUMIF(Orçamento!F$18:F$149,'Curva ABC Serviços'!F34:F34,Orçamento!AH$18:AH$149)</f>
        <v>10.17</v>
      </c>
      <c r="AF34" s="109"/>
      <c r="AG34" s="109"/>
      <c r="AH34" s="109"/>
      <c r="AI34" s="109"/>
      <c r="AJ34" s="110"/>
      <c r="AK34" s="990">
        <f ca="1" t="shared" si="4"/>
        <v>601.930186823992</v>
      </c>
      <c r="AL34" s="991"/>
      <c r="AM34" s="991"/>
      <c r="AN34" s="991"/>
      <c r="AO34" s="991"/>
      <c r="AP34" s="992"/>
      <c r="AQ34" s="990">
        <f ca="1">SUMIF(Orçamento!F:H,F34,Orçamento!AO:AO)</f>
        <v>6121.63</v>
      </c>
      <c r="AR34" s="991"/>
      <c r="AS34" s="991"/>
      <c r="AT34" s="991"/>
      <c r="AU34" s="991"/>
      <c r="AV34" s="992"/>
      <c r="AW34" s="987">
        <f ca="1" t="shared" si="1"/>
        <v>0.00667809480439439</v>
      </c>
      <c r="AX34" s="988"/>
      <c r="AY34" s="989"/>
      <c r="AZ34" s="987">
        <f ca="1" t="shared" si="3"/>
        <v>0.951470388921189</v>
      </c>
      <c r="BA34" s="988"/>
      <c r="BB34" s="989"/>
      <c r="BC34" s="993" t="str">
        <f ca="1" t="shared" si="5"/>
        <v>C</v>
      </c>
      <c r="BD34" s="994"/>
      <c r="BE34" s="994"/>
      <c r="BF34" s="994"/>
      <c r="BG34" s="994"/>
      <c r="BH34" s="994"/>
      <c r="BI34" s="994"/>
      <c r="BJ34" s="994"/>
      <c r="BK34" s="995"/>
    </row>
    <row r="35" customHeight="1" spans="1:63">
      <c r="A35" s="518" t="s">
        <v>693</v>
      </c>
      <c r="B35" s="518"/>
      <c r="C35" s="203"/>
      <c r="D35" s="204"/>
      <c r="E35" s="205"/>
      <c r="F35" s="996">
        <v>407820</v>
      </c>
      <c r="G35" s="997"/>
      <c r="H35" s="998"/>
      <c r="I35" s="556" t="s">
        <v>129</v>
      </c>
      <c r="J35" s="556"/>
      <c r="K35" s="556"/>
      <c r="L35" s="556"/>
      <c r="M35" s="556"/>
      <c r="N35" s="556"/>
      <c r="O35" s="556"/>
      <c r="P35" s="556"/>
      <c r="Q35" s="556"/>
      <c r="R35" s="556"/>
      <c r="S35" s="556"/>
      <c r="T35" s="556"/>
      <c r="U35" s="556"/>
      <c r="V35" s="556"/>
      <c r="W35" s="556"/>
      <c r="X35" s="556"/>
      <c r="Y35" s="556"/>
      <c r="Z35" s="556"/>
      <c r="AA35" s="556"/>
      <c r="AB35" s="987" t="s">
        <v>101</v>
      </c>
      <c r="AC35" s="988"/>
      <c r="AD35" s="989"/>
      <c r="AE35" s="108">
        <f>SUMIF(Orçamento!F$18:F$149,'Curva ABC Serviços'!F35:F35,Orçamento!AH$18:AH$149)</f>
        <v>260.8</v>
      </c>
      <c r="AF35" s="109"/>
      <c r="AG35" s="109"/>
      <c r="AH35" s="109"/>
      <c r="AI35" s="109"/>
      <c r="AJ35" s="110"/>
      <c r="AK35" s="990">
        <f ca="1" t="shared" si="4"/>
        <v>18.4100076687117</v>
      </c>
      <c r="AL35" s="991"/>
      <c r="AM35" s="991"/>
      <c r="AN35" s="991"/>
      <c r="AO35" s="991"/>
      <c r="AP35" s="992"/>
      <c r="AQ35" s="990">
        <f ca="1">SUMIF(Orçamento!F:H,F35,Orçamento!AO:AO)</f>
        <v>4801.33</v>
      </c>
      <c r="AR35" s="991"/>
      <c r="AS35" s="991"/>
      <c r="AT35" s="991"/>
      <c r="AU35" s="991"/>
      <c r="AV35" s="992"/>
      <c r="AW35" s="987">
        <f ca="1" t="shared" si="1"/>
        <v>0.00523777767149974</v>
      </c>
      <c r="AX35" s="988"/>
      <c r="AY35" s="989"/>
      <c r="AZ35" s="987">
        <f ca="1" t="shared" si="3"/>
        <v>0.956708166592689</v>
      </c>
      <c r="BA35" s="988"/>
      <c r="BB35" s="989"/>
      <c r="BC35" s="993" t="str">
        <f ca="1" t="shared" si="5"/>
        <v>C</v>
      </c>
      <c r="BD35" s="994"/>
      <c r="BE35" s="994"/>
      <c r="BF35" s="994"/>
      <c r="BG35" s="994"/>
      <c r="BH35" s="994"/>
      <c r="BI35" s="994"/>
      <c r="BJ35" s="994"/>
      <c r="BK35" s="995"/>
    </row>
    <row r="36" customHeight="1" spans="1:63">
      <c r="A36" s="518" t="s">
        <v>694</v>
      </c>
      <c r="B36" s="518"/>
      <c r="C36" s="203"/>
      <c r="D36" s="204"/>
      <c r="E36" s="205"/>
      <c r="F36" s="996">
        <v>5502109</v>
      </c>
      <c r="G36" s="997"/>
      <c r="H36" s="998"/>
      <c r="I36" s="556" t="s">
        <v>98</v>
      </c>
      <c r="J36" s="556"/>
      <c r="K36" s="556"/>
      <c r="L36" s="556"/>
      <c r="M36" s="556"/>
      <c r="N36" s="556"/>
      <c r="O36" s="556"/>
      <c r="P36" s="556"/>
      <c r="Q36" s="556"/>
      <c r="R36" s="556"/>
      <c r="S36" s="556"/>
      <c r="T36" s="556"/>
      <c r="U36" s="556"/>
      <c r="V36" s="556"/>
      <c r="W36" s="556"/>
      <c r="X36" s="556"/>
      <c r="Y36" s="556"/>
      <c r="Z36" s="556"/>
      <c r="AA36" s="556"/>
      <c r="AB36" s="987" t="s">
        <v>99</v>
      </c>
      <c r="AC36" s="988"/>
      <c r="AD36" s="989"/>
      <c r="AE36" s="108">
        <f>SUMIF(Orçamento!F$18:F$149,'Curva ABC Serviços'!F36:F36,Orçamento!AH$18:AH$149)</f>
        <v>579.25</v>
      </c>
      <c r="AF36" s="109"/>
      <c r="AG36" s="109"/>
      <c r="AH36" s="109"/>
      <c r="AI36" s="109"/>
      <c r="AJ36" s="110"/>
      <c r="AK36" s="990">
        <f ca="1" t="shared" ref="AK36:AK43" si="6">AQ36/AE36</f>
        <v>8.16997842037117</v>
      </c>
      <c r="AL36" s="991"/>
      <c r="AM36" s="991"/>
      <c r="AN36" s="991"/>
      <c r="AO36" s="991"/>
      <c r="AP36" s="992"/>
      <c r="AQ36" s="990">
        <f ca="1">SUMIF(Orçamento!F:H,F36,Orçamento!AO:AO)</f>
        <v>4732.46</v>
      </c>
      <c r="AR36" s="991"/>
      <c r="AS36" s="991"/>
      <c r="AT36" s="991"/>
      <c r="AU36" s="991"/>
      <c r="AV36" s="992"/>
      <c r="AW36" s="987">
        <f ca="1" t="shared" si="1"/>
        <v>0.0051626472913267</v>
      </c>
      <c r="AX36" s="988"/>
      <c r="AY36" s="989"/>
      <c r="AZ36" s="987">
        <f ca="1" t="shared" si="3"/>
        <v>0.961870813884015</v>
      </c>
      <c r="BA36" s="988"/>
      <c r="BB36" s="989"/>
      <c r="BC36" s="993" t="str">
        <f ca="1" t="shared" si="5"/>
        <v>C</v>
      </c>
      <c r="BD36" s="994"/>
      <c r="BE36" s="994"/>
      <c r="BF36" s="994"/>
      <c r="BG36" s="994"/>
      <c r="BH36" s="994"/>
      <c r="BI36" s="994"/>
      <c r="BJ36" s="994"/>
      <c r="BK36" s="995"/>
    </row>
    <row r="37" customHeight="1" spans="1:63">
      <c r="A37" s="518" t="s">
        <v>695</v>
      </c>
      <c r="B37" s="518"/>
      <c r="C37" s="203"/>
      <c r="D37" s="204"/>
      <c r="E37" s="205"/>
      <c r="F37" s="996" t="s">
        <v>696</v>
      </c>
      <c r="G37" s="997"/>
      <c r="H37" s="998"/>
      <c r="I37" s="556" t="s">
        <v>154</v>
      </c>
      <c r="J37" s="556"/>
      <c r="K37" s="556"/>
      <c r="L37" s="556"/>
      <c r="M37" s="556"/>
      <c r="N37" s="556"/>
      <c r="O37" s="556"/>
      <c r="P37" s="556"/>
      <c r="Q37" s="556"/>
      <c r="R37" s="556"/>
      <c r="S37" s="556"/>
      <c r="T37" s="556"/>
      <c r="U37" s="556"/>
      <c r="V37" s="556"/>
      <c r="W37" s="556"/>
      <c r="X37" s="556"/>
      <c r="Y37" s="556"/>
      <c r="Z37" s="556"/>
      <c r="AA37" s="556"/>
      <c r="AB37" s="987" t="s">
        <v>146</v>
      </c>
      <c r="AC37" s="988"/>
      <c r="AD37" s="989"/>
      <c r="AE37" s="108">
        <f>SUMIF(Orçamento!F$18:F$149,'Curva ABC Serviços'!F37:F37,Orçamento!AH$18:AH$149)</f>
        <v>0.33</v>
      </c>
      <c r="AF37" s="109"/>
      <c r="AG37" s="109"/>
      <c r="AH37" s="109"/>
      <c r="AI37" s="109"/>
      <c r="AJ37" s="110"/>
      <c r="AK37" s="990">
        <f ca="1" t="shared" si="6"/>
        <v>14142.4545454545</v>
      </c>
      <c r="AL37" s="991"/>
      <c r="AM37" s="991"/>
      <c r="AN37" s="991"/>
      <c r="AO37" s="991"/>
      <c r="AP37" s="992"/>
      <c r="AQ37" s="990">
        <f ca="1">SUMIF(Orçamento!F:H,F37,Orçamento!AO:AO)</f>
        <v>4667.01</v>
      </c>
      <c r="AR37" s="991"/>
      <c r="AS37" s="991"/>
      <c r="AT37" s="991"/>
      <c r="AU37" s="991"/>
      <c r="AV37" s="992"/>
      <c r="AW37" s="987">
        <f ca="1" t="shared" si="1"/>
        <v>0.00509124779397917</v>
      </c>
      <c r="AX37" s="988"/>
      <c r="AY37" s="989"/>
      <c r="AZ37" s="987">
        <f ca="1" t="shared" si="3"/>
        <v>0.966962061677995</v>
      </c>
      <c r="BA37" s="988"/>
      <c r="BB37" s="989"/>
      <c r="BC37" s="993" t="str">
        <f ca="1" t="shared" si="5"/>
        <v>C</v>
      </c>
      <c r="BD37" s="994"/>
      <c r="BE37" s="994"/>
      <c r="BF37" s="994"/>
      <c r="BG37" s="994"/>
      <c r="BH37" s="994"/>
      <c r="BI37" s="994"/>
      <c r="BJ37" s="994"/>
      <c r="BK37" s="995"/>
    </row>
    <row r="38" customHeight="1" spans="1:63">
      <c r="A38" s="518" t="s">
        <v>697</v>
      </c>
      <c r="B38" s="518"/>
      <c r="C38" s="203"/>
      <c r="D38" s="204"/>
      <c r="E38" s="205"/>
      <c r="F38" s="984">
        <v>103689</v>
      </c>
      <c r="G38" s="985"/>
      <c r="H38" s="986"/>
      <c r="I38" s="556" t="s">
        <v>86</v>
      </c>
      <c r="J38" s="556"/>
      <c r="K38" s="556"/>
      <c r="L38" s="556"/>
      <c r="M38" s="556"/>
      <c r="N38" s="556"/>
      <c r="O38" s="556"/>
      <c r="P38" s="556"/>
      <c r="Q38" s="556"/>
      <c r="R38" s="556"/>
      <c r="S38" s="556"/>
      <c r="T38" s="556"/>
      <c r="U38" s="556"/>
      <c r="V38" s="556"/>
      <c r="W38" s="556"/>
      <c r="X38" s="556"/>
      <c r="Y38" s="556"/>
      <c r="Z38" s="556"/>
      <c r="AA38" s="556"/>
      <c r="AB38" s="987" t="s">
        <v>7</v>
      </c>
      <c r="AC38" s="988"/>
      <c r="AD38" s="989"/>
      <c r="AE38" s="108">
        <f>SUMIF(Orçamento!F$18:F$149,'Curva ABC Serviços'!F38:F38,Orçamento!AH$18:AH$149)</f>
        <v>8</v>
      </c>
      <c r="AF38" s="109"/>
      <c r="AG38" s="109"/>
      <c r="AH38" s="109"/>
      <c r="AI38" s="109"/>
      <c r="AJ38" s="110"/>
      <c r="AK38" s="990">
        <f ca="1" t="shared" si="6"/>
        <v>568.45</v>
      </c>
      <c r="AL38" s="991"/>
      <c r="AM38" s="991"/>
      <c r="AN38" s="991"/>
      <c r="AO38" s="991"/>
      <c r="AP38" s="992"/>
      <c r="AQ38" s="990">
        <f ca="1">SUMIF(Orçamento!F:H,F38,Orçamento!AO:AO)</f>
        <v>4547.6</v>
      </c>
      <c r="AR38" s="991"/>
      <c r="AS38" s="991"/>
      <c r="AT38" s="991"/>
      <c r="AU38" s="991"/>
      <c r="AV38" s="992"/>
      <c r="AW38" s="987">
        <f ca="1" t="shared" si="1"/>
        <v>0.00496098325649605</v>
      </c>
      <c r="AX38" s="988"/>
      <c r="AY38" s="989"/>
      <c r="AZ38" s="987">
        <f ca="1" t="shared" si="3"/>
        <v>0.971923044934491</v>
      </c>
      <c r="BA38" s="988"/>
      <c r="BB38" s="989"/>
      <c r="BC38" s="993" t="str">
        <f ca="1" t="shared" si="5"/>
        <v>C</v>
      </c>
      <c r="BD38" s="994"/>
      <c r="BE38" s="994"/>
      <c r="BF38" s="994"/>
      <c r="BG38" s="994"/>
      <c r="BH38" s="994"/>
      <c r="BI38" s="994"/>
      <c r="BJ38" s="994"/>
      <c r="BK38" s="995"/>
    </row>
    <row r="39" customHeight="1" spans="1:63">
      <c r="A39" s="518" t="s">
        <v>698</v>
      </c>
      <c r="B39" s="518"/>
      <c r="C39" s="89"/>
      <c r="D39" s="91"/>
      <c r="E39" s="90"/>
      <c r="F39" s="996"/>
      <c r="G39" s="997"/>
      <c r="H39" s="998"/>
      <c r="I39" s="556" t="s">
        <v>166</v>
      </c>
      <c r="J39" s="556"/>
      <c r="K39" s="556"/>
      <c r="L39" s="556"/>
      <c r="M39" s="556"/>
      <c r="N39" s="556"/>
      <c r="O39" s="556"/>
      <c r="P39" s="556"/>
      <c r="Q39" s="556"/>
      <c r="R39" s="556"/>
      <c r="S39" s="556"/>
      <c r="T39" s="556"/>
      <c r="U39" s="556"/>
      <c r="V39" s="556"/>
      <c r="W39" s="556"/>
      <c r="X39" s="556"/>
      <c r="Y39" s="556"/>
      <c r="Z39" s="556"/>
      <c r="AA39" s="556"/>
      <c r="AB39" s="987" t="s">
        <v>82</v>
      </c>
      <c r="AC39" s="988"/>
      <c r="AD39" s="989"/>
      <c r="AE39" s="108">
        <f>Orçamento!AH149</f>
        <v>1</v>
      </c>
      <c r="AF39" s="109"/>
      <c r="AG39" s="109"/>
      <c r="AH39" s="109"/>
      <c r="AI39" s="109"/>
      <c r="AJ39" s="110"/>
      <c r="AK39" s="990">
        <f ca="1" t="shared" si="6"/>
        <v>4402.93</v>
      </c>
      <c r="AL39" s="991"/>
      <c r="AM39" s="991"/>
      <c r="AN39" s="991"/>
      <c r="AO39" s="991"/>
      <c r="AP39" s="992"/>
      <c r="AQ39" s="990">
        <f ca="1">Orçamento!AO149</f>
        <v>4402.93</v>
      </c>
      <c r="AR39" s="991"/>
      <c r="AS39" s="991"/>
      <c r="AT39" s="991"/>
      <c r="AU39" s="991"/>
      <c r="AV39" s="992"/>
      <c r="AW39" s="987">
        <f ca="1" t="shared" si="1"/>
        <v>0.00480316254937202</v>
      </c>
      <c r="AX39" s="988"/>
      <c r="AY39" s="989"/>
      <c r="AZ39" s="987">
        <f ca="1" t="shared" si="3"/>
        <v>0.976726207483863</v>
      </c>
      <c r="BA39" s="988"/>
      <c r="BB39" s="989"/>
      <c r="BC39" s="993" t="str">
        <f ca="1" t="shared" si="5"/>
        <v>C</v>
      </c>
      <c r="BD39" s="994"/>
      <c r="BE39" s="994"/>
      <c r="BF39" s="994"/>
      <c r="BG39" s="994"/>
      <c r="BH39" s="994"/>
      <c r="BI39" s="994"/>
      <c r="BJ39" s="994"/>
      <c r="BK39" s="995"/>
    </row>
    <row r="40" customHeight="1" spans="1:63">
      <c r="A40" s="518" t="s">
        <v>699</v>
      </c>
      <c r="B40" s="518"/>
      <c r="C40" s="203"/>
      <c r="D40" s="204"/>
      <c r="E40" s="205"/>
      <c r="F40" s="996">
        <v>5216111</v>
      </c>
      <c r="G40" s="997"/>
      <c r="H40" s="998"/>
      <c r="I40" s="556" t="s">
        <v>137</v>
      </c>
      <c r="J40" s="556"/>
      <c r="K40" s="556"/>
      <c r="L40" s="556"/>
      <c r="M40" s="556"/>
      <c r="N40" s="556"/>
      <c r="O40" s="556"/>
      <c r="P40" s="556"/>
      <c r="Q40" s="556"/>
      <c r="R40" s="556"/>
      <c r="S40" s="556"/>
      <c r="T40" s="556"/>
      <c r="U40" s="556"/>
      <c r="V40" s="556"/>
      <c r="W40" s="556"/>
      <c r="X40" s="556"/>
      <c r="Y40" s="556"/>
      <c r="Z40" s="556"/>
      <c r="AA40" s="556"/>
      <c r="AB40" s="987" t="s">
        <v>82</v>
      </c>
      <c r="AC40" s="988"/>
      <c r="AD40" s="989"/>
      <c r="AE40" s="108">
        <f>SUMIF(Orçamento!F$18:F$149,'Curva ABC Serviços'!F40:F40,Orçamento!AH$18:AH$149)</f>
        <v>18</v>
      </c>
      <c r="AF40" s="109"/>
      <c r="AG40" s="109"/>
      <c r="AH40" s="109"/>
      <c r="AI40" s="109"/>
      <c r="AJ40" s="110"/>
      <c r="AK40" s="990">
        <f ca="1" t="shared" si="6"/>
        <v>165.26</v>
      </c>
      <c r="AL40" s="991"/>
      <c r="AM40" s="991"/>
      <c r="AN40" s="991"/>
      <c r="AO40" s="991"/>
      <c r="AP40" s="992"/>
      <c r="AQ40" s="990">
        <f ca="1">SUMIF(Orçamento!F:H,F40,Orçamento!AO:AO)</f>
        <v>2974.68</v>
      </c>
      <c r="AR40" s="991"/>
      <c r="AS40" s="991"/>
      <c r="AT40" s="991"/>
      <c r="AU40" s="991"/>
      <c r="AV40" s="992"/>
      <c r="AW40" s="987">
        <f ca="1" t="shared" si="1"/>
        <v>0.00324508260916388</v>
      </c>
      <c r="AX40" s="988"/>
      <c r="AY40" s="989"/>
      <c r="AZ40" s="987">
        <f ca="1" t="shared" si="3"/>
        <v>0.979971290093027</v>
      </c>
      <c r="BA40" s="988"/>
      <c r="BB40" s="989"/>
      <c r="BC40" s="993" t="str">
        <f ca="1" t="shared" si="5"/>
        <v>C</v>
      </c>
      <c r="BD40" s="994"/>
      <c r="BE40" s="994"/>
      <c r="BF40" s="994"/>
      <c r="BG40" s="994"/>
      <c r="BH40" s="994"/>
      <c r="BI40" s="994"/>
      <c r="BJ40" s="994"/>
      <c r="BK40" s="995"/>
    </row>
    <row r="41" customHeight="1" spans="1:63">
      <c r="A41" s="518" t="s">
        <v>700</v>
      </c>
      <c r="B41" s="518"/>
      <c r="C41" s="203"/>
      <c r="D41" s="204"/>
      <c r="E41" s="205"/>
      <c r="F41" s="996" t="s">
        <v>701</v>
      </c>
      <c r="G41" s="997"/>
      <c r="H41" s="998"/>
      <c r="I41" s="556" t="s">
        <v>153</v>
      </c>
      <c r="J41" s="556"/>
      <c r="K41" s="556"/>
      <c r="L41" s="556"/>
      <c r="M41" s="556"/>
      <c r="N41" s="556"/>
      <c r="O41" s="556"/>
      <c r="P41" s="556"/>
      <c r="Q41" s="556"/>
      <c r="R41" s="556"/>
      <c r="S41" s="556"/>
      <c r="T41" s="556"/>
      <c r="U41" s="556"/>
      <c r="V41" s="556"/>
      <c r="W41" s="556"/>
      <c r="X41" s="556"/>
      <c r="Y41" s="556"/>
      <c r="Z41" s="556"/>
      <c r="AA41" s="556"/>
      <c r="AB41" s="987" t="s">
        <v>146</v>
      </c>
      <c r="AC41" s="988"/>
      <c r="AD41" s="989"/>
      <c r="AE41" s="108">
        <f>SUMIF(Orçamento!F$18:F$149,'Curva ABC Serviços'!F41:F41,Orçamento!AH$18:AH$149)</f>
        <v>0.4</v>
      </c>
      <c r="AF41" s="109"/>
      <c r="AG41" s="109"/>
      <c r="AH41" s="109"/>
      <c r="AI41" s="109"/>
      <c r="AJ41" s="110"/>
      <c r="AK41" s="990">
        <f ca="1" t="shared" si="6"/>
        <v>6779.6</v>
      </c>
      <c r="AL41" s="991"/>
      <c r="AM41" s="991"/>
      <c r="AN41" s="991"/>
      <c r="AO41" s="991"/>
      <c r="AP41" s="992"/>
      <c r="AQ41" s="990">
        <f ca="1">SUMIF(Orçamento!F:H,F41,Orçamento!AO:AO)</f>
        <v>2711.84</v>
      </c>
      <c r="AR41" s="991"/>
      <c r="AS41" s="991"/>
      <c r="AT41" s="991"/>
      <c r="AU41" s="991"/>
      <c r="AV41" s="992"/>
      <c r="AW41" s="987">
        <f ca="1" t="shared" si="1"/>
        <v>0.00295835008230633</v>
      </c>
      <c r="AX41" s="988"/>
      <c r="AY41" s="989"/>
      <c r="AZ41" s="987">
        <f ca="1" t="shared" si="3"/>
        <v>0.982929640175333</v>
      </c>
      <c r="BA41" s="988"/>
      <c r="BB41" s="989"/>
      <c r="BC41" s="993" t="str">
        <f ca="1" t="shared" si="5"/>
        <v>C</v>
      </c>
      <c r="BD41" s="994"/>
      <c r="BE41" s="994"/>
      <c r="BF41" s="994"/>
      <c r="BG41" s="994"/>
      <c r="BH41" s="994"/>
      <c r="BI41" s="994"/>
      <c r="BJ41" s="994"/>
      <c r="BK41" s="995"/>
    </row>
    <row r="42" customHeight="1" spans="1:63">
      <c r="A42" s="518" t="s">
        <v>702</v>
      </c>
      <c r="B42" s="518"/>
      <c r="C42" s="89"/>
      <c r="D42" s="91"/>
      <c r="E42" s="90"/>
      <c r="F42" s="996">
        <v>4815671</v>
      </c>
      <c r="G42" s="997"/>
      <c r="H42" s="998"/>
      <c r="I42" s="556" t="s">
        <v>112</v>
      </c>
      <c r="J42" s="556"/>
      <c r="K42" s="556"/>
      <c r="L42" s="556"/>
      <c r="M42" s="556"/>
      <c r="N42" s="556"/>
      <c r="O42" s="556"/>
      <c r="P42" s="556"/>
      <c r="Q42" s="556"/>
      <c r="R42" s="556"/>
      <c r="S42" s="556"/>
      <c r="T42" s="556"/>
      <c r="U42" s="556"/>
      <c r="V42" s="556"/>
      <c r="W42" s="556"/>
      <c r="X42" s="556"/>
      <c r="Y42" s="556"/>
      <c r="Z42" s="556"/>
      <c r="AA42" s="556"/>
      <c r="AB42" s="987" t="s">
        <v>99</v>
      </c>
      <c r="AC42" s="988"/>
      <c r="AD42" s="989"/>
      <c r="AE42" s="108">
        <f>SUMIF(Orçamento!F$18:F$149,'Curva ABC Serviços'!F42:F42,Orçamento!AH$18:AH$149)</f>
        <v>108.89</v>
      </c>
      <c r="AF42" s="109"/>
      <c r="AG42" s="109"/>
      <c r="AH42" s="109"/>
      <c r="AI42" s="109"/>
      <c r="AJ42" s="110"/>
      <c r="AK42" s="990">
        <f ca="1" t="shared" si="6"/>
        <v>24.7699513270273</v>
      </c>
      <c r="AL42" s="991"/>
      <c r="AM42" s="991"/>
      <c r="AN42" s="991"/>
      <c r="AO42" s="991"/>
      <c r="AP42" s="992"/>
      <c r="AQ42" s="990">
        <f ca="1">SUMIF(Orçamento!F:H,F42,Orçamento!AO:AO)</f>
        <v>2697.2</v>
      </c>
      <c r="AR42" s="991"/>
      <c r="AS42" s="991"/>
      <c r="AT42" s="991"/>
      <c r="AU42" s="991"/>
      <c r="AV42" s="992"/>
      <c r="AW42" s="987">
        <f ca="1" t="shared" si="1"/>
        <v>0.00294237928564983</v>
      </c>
      <c r="AX42" s="988"/>
      <c r="AY42" s="989"/>
      <c r="AZ42" s="987">
        <f ca="1" t="shared" si="3"/>
        <v>0.985872019460983</v>
      </c>
      <c r="BA42" s="988"/>
      <c r="BB42" s="989"/>
      <c r="BC42" s="993" t="str">
        <f ca="1" t="shared" si="5"/>
        <v>C</v>
      </c>
      <c r="BD42" s="994"/>
      <c r="BE42" s="994"/>
      <c r="BF42" s="994"/>
      <c r="BG42" s="994"/>
      <c r="BH42" s="994"/>
      <c r="BI42" s="994"/>
      <c r="BJ42" s="994"/>
      <c r="BK42" s="995"/>
    </row>
    <row r="43" customHeight="1" spans="1:63">
      <c r="A43" s="518" t="s">
        <v>703</v>
      </c>
      <c r="B43" s="518"/>
      <c r="C43" s="203"/>
      <c r="D43" s="204"/>
      <c r="E43" s="205"/>
      <c r="F43" s="996"/>
      <c r="G43" s="997"/>
      <c r="H43" s="998"/>
      <c r="I43" s="556" t="s">
        <v>164</v>
      </c>
      <c r="J43" s="556"/>
      <c r="K43" s="556"/>
      <c r="L43" s="556"/>
      <c r="M43" s="556"/>
      <c r="N43" s="556"/>
      <c r="O43" s="556"/>
      <c r="P43" s="556"/>
      <c r="Q43" s="556"/>
      <c r="R43" s="556"/>
      <c r="S43" s="556"/>
      <c r="T43" s="556"/>
      <c r="U43" s="556"/>
      <c r="V43" s="556"/>
      <c r="W43" s="556"/>
      <c r="X43" s="556"/>
      <c r="Y43" s="556"/>
      <c r="Z43" s="556"/>
      <c r="AA43" s="556"/>
      <c r="AB43" s="987" t="s">
        <v>146</v>
      </c>
      <c r="AC43" s="988"/>
      <c r="AD43" s="989"/>
      <c r="AE43" s="108">
        <f>Orçamento!AH147</f>
        <v>2</v>
      </c>
      <c r="AF43" s="109"/>
      <c r="AG43" s="109"/>
      <c r="AH43" s="109"/>
      <c r="AI43" s="109"/>
      <c r="AJ43" s="110"/>
      <c r="AK43" s="990">
        <f ca="1" t="shared" si="6"/>
        <v>1220.76</v>
      </c>
      <c r="AL43" s="991"/>
      <c r="AM43" s="991"/>
      <c r="AN43" s="991"/>
      <c r="AO43" s="991"/>
      <c r="AP43" s="992"/>
      <c r="AQ43" s="990">
        <f ca="1">Orçamento!AO147</f>
        <v>2441.52</v>
      </c>
      <c r="AR43" s="991"/>
      <c r="AS43" s="991"/>
      <c r="AT43" s="991"/>
      <c r="AU43" s="991"/>
      <c r="AV43" s="992"/>
      <c r="AW43" s="987">
        <f ca="1" t="shared" si="1"/>
        <v>0.00266345761289477</v>
      </c>
      <c r="AX43" s="988"/>
      <c r="AY43" s="989"/>
      <c r="AZ43" s="987">
        <f ca="1" t="shared" si="3"/>
        <v>0.988535477073877</v>
      </c>
      <c r="BA43" s="988"/>
      <c r="BB43" s="989"/>
      <c r="BC43" s="993" t="str">
        <f ca="1" t="shared" si="5"/>
        <v>C</v>
      </c>
      <c r="BD43" s="994"/>
      <c r="BE43" s="994"/>
      <c r="BF43" s="994"/>
      <c r="BG43" s="994"/>
      <c r="BH43" s="994"/>
      <c r="BI43" s="994"/>
      <c r="BJ43" s="994"/>
      <c r="BK43" s="995"/>
    </row>
    <row r="44" customHeight="1" spans="1:63">
      <c r="A44" s="518" t="s">
        <v>704</v>
      </c>
      <c r="B44" s="518"/>
      <c r="C44" s="203"/>
      <c r="D44" s="204"/>
      <c r="E44" s="205"/>
      <c r="F44" s="996">
        <v>2003864</v>
      </c>
      <c r="G44" s="997"/>
      <c r="H44" s="998"/>
      <c r="I44" s="556" t="s">
        <v>103</v>
      </c>
      <c r="J44" s="556"/>
      <c r="K44" s="556"/>
      <c r="L44" s="556"/>
      <c r="M44" s="556"/>
      <c r="N44" s="556"/>
      <c r="O44" s="556"/>
      <c r="P44" s="556"/>
      <c r="Q44" s="556"/>
      <c r="R44" s="556"/>
      <c r="S44" s="556"/>
      <c r="T44" s="556"/>
      <c r="U44" s="556"/>
      <c r="V44" s="556"/>
      <c r="W44" s="556"/>
      <c r="X44" s="556"/>
      <c r="Y44" s="556"/>
      <c r="Z44" s="556"/>
      <c r="AA44" s="556"/>
      <c r="AB44" s="987" t="s">
        <v>104</v>
      </c>
      <c r="AC44" s="988"/>
      <c r="AD44" s="989"/>
      <c r="AE44" s="108">
        <f>SUMIF(Orçamento!F$18:F$149,'Curva ABC Serviços'!F44:F44,Orçamento!AH$18:AH$149)</f>
        <v>120</v>
      </c>
      <c r="AF44" s="109"/>
      <c r="AG44" s="109"/>
      <c r="AH44" s="109"/>
      <c r="AI44" s="109"/>
      <c r="AJ44" s="110"/>
      <c r="AK44" s="990">
        <f ca="1" t="shared" ref="AK44:AK52" si="7">AQ44/AE44</f>
        <v>18.12</v>
      </c>
      <c r="AL44" s="991"/>
      <c r="AM44" s="991"/>
      <c r="AN44" s="991"/>
      <c r="AO44" s="991"/>
      <c r="AP44" s="992"/>
      <c r="AQ44" s="990">
        <f ca="1">SUMIF(Orçamento!F:H,F44,Orçamento!AO:AO)</f>
        <v>2174.4</v>
      </c>
      <c r="AR44" s="991"/>
      <c r="AS44" s="991"/>
      <c r="AT44" s="991"/>
      <c r="AU44" s="991"/>
      <c r="AV44" s="992"/>
      <c r="AW44" s="987">
        <f ca="1" t="shared" si="1"/>
        <v>0.00237205602799829</v>
      </c>
      <c r="AX44" s="988"/>
      <c r="AY44" s="989"/>
      <c r="AZ44" s="987">
        <f ca="1" t="shared" si="3"/>
        <v>0.990907533101876</v>
      </c>
      <c r="BA44" s="988"/>
      <c r="BB44" s="989"/>
      <c r="BC44" s="993" t="str">
        <f ca="1" t="shared" ref="BC44:BC52" si="8">IF(AZ44&lt;0.8,"A",IF(AZ44&lt;0.95,"B","C"))</f>
        <v>C</v>
      </c>
      <c r="BD44" s="994"/>
      <c r="BE44" s="994"/>
      <c r="BF44" s="994"/>
      <c r="BG44" s="994"/>
      <c r="BH44" s="994"/>
      <c r="BI44" s="994"/>
      <c r="BJ44" s="994"/>
      <c r="BK44" s="995"/>
    </row>
    <row r="45" customHeight="1" spans="1:63">
      <c r="A45" s="518" t="s">
        <v>705</v>
      </c>
      <c r="B45" s="518"/>
      <c r="C45" s="203"/>
      <c r="D45" s="204"/>
      <c r="E45" s="205"/>
      <c r="F45" s="996" t="s">
        <v>706</v>
      </c>
      <c r="G45" s="997"/>
      <c r="H45" s="998"/>
      <c r="I45" s="556" t="s">
        <v>152</v>
      </c>
      <c r="J45" s="556"/>
      <c r="K45" s="556"/>
      <c r="L45" s="556"/>
      <c r="M45" s="556"/>
      <c r="N45" s="556"/>
      <c r="O45" s="556"/>
      <c r="P45" s="556"/>
      <c r="Q45" s="556"/>
      <c r="R45" s="556"/>
      <c r="S45" s="556"/>
      <c r="T45" s="556"/>
      <c r="U45" s="556"/>
      <c r="V45" s="556"/>
      <c r="W45" s="556"/>
      <c r="X45" s="556"/>
      <c r="Y45" s="556"/>
      <c r="Z45" s="556"/>
      <c r="AA45" s="556"/>
      <c r="AB45" s="987" t="s">
        <v>146</v>
      </c>
      <c r="AC45" s="988"/>
      <c r="AD45" s="989"/>
      <c r="AE45" s="108">
        <f>SUMIF(Orçamento!F$18:F$149,'Curva ABC Serviços'!F45:F45,Orçamento!AH$18:AH$149)</f>
        <v>0.2</v>
      </c>
      <c r="AF45" s="109"/>
      <c r="AG45" s="109"/>
      <c r="AH45" s="109"/>
      <c r="AI45" s="109"/>
      <c r="AJ45" s="110"/>
      <c r="AK45" s="990">
        <f ca="1" t="shared" si="7"/>
        <v>8495.6</v>
      </c>
      <c r="AL45" s="991"/>
      <c r="AM45" s="991"/>
      <c r="AN45" s="991"/>
      <c r="AO45" s="991"/>
      <c r="AP45" s="992"/>
      <c r="AQ45" s="990">
        <f ca="1">SUMIF(Orçamento!F:H,F45,Orçamento!AO:AO)</f>
        <v>1699.12</v>
      </c>
      <c r="AR45" s="991"/>
      <c r="AS45" s="991"/>
      <c r="AT45" s="991"/>
      <c r="AU45" s="991"/>
      <c r="AV45" s="992"/>
      <c r="AW45" s="987">
        <f ca="1" t="shared" si="1"/>
        <v>0.00185357240539572</v>
      </c>
      <c r="AX45" s="988"/>
      <c r="AY45" s="989"/>
      <c r="AZ45" s="987">
        <f ca="1" t="shared" si="3"/>
        <v>0.992761105507271</v>
      </c>
      <c r="BA45" s="988"/>
      <c r="BB45" s="989"/>
      <c r="BC45" s="993" t="str">
        <f ca="1" t="shared" si="8"/>
        <v>C</v>
      </c>
      <c r="BD45" s="994"/>
      <c r="BE45" s="994"/>
      <c r="BF45" s="994"/>
      <c r="BG45" s="994"/>
      <c r="BH45" s="994"/>
      <c r="BI45" s="994"/>
      <c r="BJ45" s="994"/>
      <c r="BK45" s="995"/>
    </row>
    <row r="46" customHeight="1" spans="1:63">
      <c r="A46" s="518" t="s">
        <v>707</v>
      </c>
      <c r="B46" s="518"/>
      <c r="C46" s="203"/>
      <c r="D46" s="204"/>
      <c r="E46" s="205"/>
      <c r="F46" s="996" t="s">
        <v>708</v>
      </c>
      <c r="G46" s="997"/>
      <c r="H46" s="998"/>
      <c r="I46" s="556" t="s">
        <v>162</v>
      </c>
      <c r="J46" s="556"/>
      <c r="K46" s="556"/>
      <c r="L46" s="556"/>
      <c r="M46" s="556"/>
      <c r="N46" s="556"/>
      <c r="O46" s="556"/>
      <c r="P46" s="556"/>
      <c r="Q46" s="556"/>
      <c r="R46" s="556"/>
      <c r="S46" s="556"/>
      <c r="T46" s="556"/>
      <c r="U46" s="556"/>
      <c r="V46" s="556"/>
      <c r="W46" s="556"/>
      <c r="X46" s="556"/>
      <c r="Y46" s="556"/>
      <c r="Z46" s="556"/>
      <c r="AA46" s="556"/>
      <c r="AB46" s="987" t="s">
        <v>146</v>
      </c>
      <c r="AC46" s="988"/>
      <c r="AD46" s="989"/>
      <c r="AE46" s="108">
        <f>SUMIF(Orçamento!F$18:F$149,'Curva ABC Serviços'!F46:F46,Orçamento!AH$18:AH$149)</f>
        <v>0.26</v>
      </c>
      <c r="AF46" s="109"/>
      <c r="AG46" s="109"/>
      <c r="AH46" s="109"/>
      <c r="AI46" s="109"/>
      <c r="AJ46" s="110"/>
      <c r="AK46" s="990">
        <f ca="1" t="shared" si="7"/>
        <v>6090.88461538462</v>
      </c>
      <c r="AL46" s="991"/>
      <c r="AM46" s="991"/>
      <c r="AN46" s="991"/>
      <c r="AO46" s="991"/>
      <c r="AP46" s="992"/>
      <c r="AQ46" s="990">
        <f ca="1">SUMIF(Orçamento!F:H,F46,Orçamento!AO:AO)</f>
        <v>1583.63</v>
      </c>
      <c r="AR46" s="991"/>
      <c r="AS46" s="991"/>
      <c r="AT46" s="991"/>
      <c r="AU46" s="991"/>
      <c r="AV46" s="992"/>
      <c r="AW46" s="987">
        <f ca="1" t="shared" si="1"/>
        <v>0.00172758420144359</v>
      </c>
      <c r="AX46" s="988"/>
      <c r="AY46" s="989"/>
      <c r="AZ46" s="987">
        <f ca="1" t="shared" si="3"/>
        <v>0.994488689708715</v>
      </c>
      <c r="BA46" s="988"/>
      <c r="BB46" s="989"/>
      <c r="BC46" s="993" t="str">
        <f ca="1" t="shared" si="8"/>
        <v>C</v>
      </c>
      <c r="BD46" s="994"/>
      <c r="BE46" s="994"/>
      <c r="BF46" s="994"/>
      <c r="BG46" s="994"/>
      <c r="BH46" s="994"/>
      <c r="BI46" s="994"/>
      <c r="BJ46" s="994"/>
      <c r="BK46" s="995"/>
    </row>
    <row r="47" customHeight="1" spans="1:63">
      <c r="A47" s="518" t="s">
        <v>709</v>
      </c>
      <c r="B47" s="518"/>
      <c r="C47" s="203"/>
      <c r="D47" s="204"/>
      <c r="E47" s="205"/>
      <c r="F47" s="1002">
        <v>1505860</v>
      </c>
      <c r="G47" s="1003"/>
      <c r="H47" s="1004"/>
      <c r="I47" s="556" t="s">
        <v>113</v>
      </c>
      <c r="J47" s="556"/>
      <c r="K47" s="556"/>
      <c r="L47" s="556"/>
      <c r="M47" s="556"/>
      <c r="N47" s="556"/>
      <c r="O47" s="556"/>
      <c r="P47" s="556"/>
      <c r="Q47" s="556"/>
      <c r="R47" s="556"/>
      <c r="S47" s="556"/>
      <c r="T47" s="556"/>
      <c r="U47" s="556"/>
      <c r="V47" s="556"/>
      <c r="W47" s="556"/>
      <c r="X47" s="556"/>
      <c r="Y47" s="556"/>
      <c r="Z47" s="556"/>
      <c r="AA47" s="556"/>
      <c r="AB47" s="987" t="s">
        <v>99</v>
      </c>
      <c r="AC47" s="988"/>
      <c r="AD47" s="989"/>
      <c r="AE47" s="108">
        <f>SUMIF(Orçamento!F$18:F$149,'Curva ABC Serviços'!F47:F47,Orçamento!AH$18:AH$149)</f>
        <v>6.46</v>
      </c>
      <c r="AF47" s="109"/>
      <c r="AG47" s="109"/>
      <c r="AH47" s="109"/>
      <c r="AI47" s="109"/>
      <c r="AJ47" s="110"/>
      <c r="AK47" s="990">
        <f ca="1" t="shared" si="7"/>
        <v>224.040247678019</v>
      </c>
      <c r="AL47" s="991"/>
      <c r="AM47" s="991"/>
      <c r="AN47" s="991"/>
      <c r="AO47" s="991"/>
      <c r="AP47" s="992"/>
      <c r="AQ47" s="990">
        <f ca="1">SUMIF(Orçamento!F:H,F47,Orçamento!AO:AO)</f>
        <v>1447.3</v>
      </c>
      <c r="AR47" s="991"/>
      <c r="AS47" s="991"/>
      <c r="AT47" s="991"/>
      <c r="AU47" s="991"/>
      <c r="AV47" s="992"/>
      <c r="AW47" s="987">
        <f ca="1" t="shared" si="1"/>
        <v>0.00157886161208698</v>
      </c>
      <c r="AX47" s="988"/>
      <c r="AY47" s="989"/>
      <c r="AZ47" s="987">
        <f ca="1" t="shared" si="3"/>
        <v>0.996067551320802</v>
      </c>
      <c r="BA47" s="988"/>
      <c r="BB47" s="989"/>
      <c r="BC47" s="993" t="str">
        <f ca="1" t="shared" si="8"/>
        <v>C</v>
      </c>
      <c r="BD47" s="994"/>
      <c r="BE47" s="994"/>
      <c r="BF47" s="994"/>
      <c r="BG47" s="994"/>
      <c r="BH47" s="994"/>
      <c r="BI47" s="994"/>
      <c r="BJ47" s="994"/>
      <c r="BK47" s="995"/>
    </row>
    <row r="48" customHeight="1" spans="1:63">
      <c r="A48" s="518" t="s">
        <v>710</v>
      </c>
      <c r="B48" s="518"/>
      <c r="C48" s="203"/>
      <c r="D48" s="204"/>
      <c r="E48" s="205"/>
      <c r="F48" s="996">
        <v>2007971</v>
      </c>
      <c r="G48" s="997"/>
      <c r="H48" s="998"/>
      <c r="I48" s="556" t="s">
        <v>140</v>
      </c>
      <c r="J48" s="556"/>
      <c r="K48" s="556"/>
      <c r="L48" s="556"/>
      <c r="M48" s="556"/>
      <c r="N48" s="556"/>
      <c r="O48" s="556"/>
      <c r="P48" s="556"/>
      <c r="Q48" s="556"/>
      <c r="R48" s="556"/>
      <c r="S48" s="556"/>
      <c r="T48" s="556"/>
      <c r="U48" s="556"/>
      <c r="V48" s="556"/>
      <c r="W48" s="556"/>
      <c r="X48" s="556"/>
      <c r="Y48" s="556"/>
      <c r="Z48" s="556"/>
      <c r="AA48" s="556"/>
      <c r="AB48" s="987" t="s">
        <v>9</v>
      </c>
      <c r="AC48" s="988"/>
      <c r="AD48" s="989"/>
      <c r="AE48" s="108">
        <f>SUMIF(Orçamento!F$18:F$149,'Curva ABC Serviços'!F48:F48,Orçamento!AH$18:AH$149)</f>
        <v>10</v>
      </c>
      <c r="AF48" s="109"/>
      <c r="AG48" s="109"/>
      <c r="AH48" s="109"/>
      <c r="AI48" s="109"/>
      <c r="AJ48" s="110"/>
      <c r="AK48" s="990">
        <f ca="1" t="shared" si="7"/>
        <v>115.26</v>
      </c>
      <c r="AL48" s="991"/>
      <c r="AM48" s="991"/>
      <c r="AN48" s="991"/>
      <c r="AO48" s="991"/>
      <c r="AP48" s="992"/>
      <c r="AQ48" s="990">
        <f ca="1">SUMIF(Orçamento!F:H,F48,Orçamento!AO:AO)</f>
        <v>1152.6</v>
      </c>
      <c r="AR48" s="991"/>
      <c r="AS48" s="991"/>
      <c r="AT48" s="991"/>
      <c r="AU48" s="991"/>
      <c r="AV48" s="992"/>
      <c r="AW48" s="987">
        <f ca="1" t="shared" si="1"/>
        <v>0.00125737296627614</v>
      </c>
      <c r="AX48" s="988"/>
      <c r="AY48" s="989"/>
      <c r="AZ48" s="987">
        <f ca="1" t="shared" si="3"/>
        <v>0.997324924287078</v>
      </c>
      <c r="BA48" s="988"/>
      <c r="BB48" s="989"/>
      <c r="BC48" s="993" t="str">
        <f ca="1" t="shared" si="8"/>
        <v>C</v>
      </c>
      <c r="BD48" s="994"/>
      <c r="BE48" s="994"/>
      <c r="BF48" s="994"/>
      <c r="BG48" s="994"/>
      <c r="BH48" s="994"/>
      <c r="BI48" s="994"/>
      <c r="BJ48" s="994"/>
      <c r="BK48" s="995"/>
    </row>
    <row r="49" customHeight="1" spans="1:63">
      <c r="A49" s="518" t="s">
        <v>711</v>
      </c>
      <c r="B49" s="518"/>
      <c r="C49" s="203"/>
      <c r="D49" s="204"/>
      <c r="E49" s="205"/>
      <c r="F49" s="996" t="s">
        <v>712</v>
      </c>
      <c r="G49" s="997"/>
      <c r="H49" s="998"/>
      <c r="I49" s="556" t="s">
        <v>161</v>
      </c>
      <c r="J49" s="556"/>
      <c r="K49" s="556"/>
      <c r="L49" s="556"/>
      <c r="M49" s="556"/>
      <c r="N49" s="556"/>
      <c r="O49" s="556"/>
      <c r="P49" s="556"/>
      <c r="Q49" s="556"/>
      <c r="R49" s="556"/>
      <c r="S49" s="556"/>
      <c r="T49" s="556"/>
      <c r="U49" s="556"/>
      <c r="V49" s="556"/>
      <c r="W49" s="556"/>
      <c r="X49" s="556"/>
      <c r="Y49" s="556"/>
      <c r="Z49" s="556"/>
      <c r="AA49" s="556"/>
      <c r="AB49" s="987" t="s">
        <v>146</v>
      </c>
      <c r="AC49" s="988"/>
      <c r="AD49" s="989"/>
      <c r="AE49" s="108">
        <f>SUMIF(Orçamento!F$18:F$149,'Curva ABC Serviços'!F49:F49,Orçamento!AH$18:AH$149)</f>
        <v>0.13</v>
      </c>
      <c r="AF49" s="109"/>
      <c r="AG49" s="109"/>
      <c r="AH49" s="109"/>
      <c r="AI49" s="109"/>
      <c r="AJ49" s="110"/>
      <c r="AK49" s="990">
        <f ca="1" t="shared" si="7"/>
        <v>8459.23076923077</v>
      </c>
      <c r="AL49" s="991"/>
      <c r="AM49" s="991"/>
      <c r="AN49" s="991"/>
      <c r="AO49" s="991"/>
      <c r="AP49" s="992"/>
      <c r="AQ49" s="990">
        <f ca="1">SUMIF(Orçamento!F:H,F49,Orçamento!AO:AO)</f>
        <v>1099.7</v>
      </c>
      <c r="AR49" s="991"/>
      <c r="AS49" s="991"/>
      <c r="AT49" s="991"/>
      <c r="AU49" s="991"/>
      <c r="AV49" s="992"/>
      <c r="AW49" s="987">
        <f ca="1" t="shared" si="1"/>
        <v>0.00119966428163618</v>
      </c>
      <c r="AX49" s="988"/>
      <c r="AY49" s="989"/>
      <c r="AZ49" s="987">
        <f ca="1" t="shared" si="3"/>
        <v>0.998524588568714</v>
      </c>
      <c r="BA49" s="988"/>
      <c r="BB49" s="989"/>
      <c r="BC49" s="993" t="str">
        <f ca="1" t="shared" si="8"/>
        <v>C</v>
      </c>
      <c r="BD49" s="994"/>
      <c r="BE49" s="994"/>
      <c r="BF49" s="994"/>
      <c r="BG49" s="994"/>
      <c r="BH49" s="994"/>
      <c r="BI49" s="994"/>
      <c r="BJ49" s="994"/>
      <c r="BK49" s="995"/>
    </row>
    <row r="50" customHeight="1" spans="1:63">
      <c r="A50" s="518" t="s">
        <v>713</v>
      </c>
      <c r="B50" s="518"/>
      <c r="C50" s="203"/>
      <c r="D50" s="204"/>
      <c r="E50" s="205"/>
      <c r="F50" s="996">
        <v>1100657</v>
      </c>
      <c r="G50" s="997"/>
      <c r="H50" s="998"/>
      <c r="I50" s="556" t="s">
        <v>114</v>
      </c>
      <c r="J50" s="556"/>
      <c r="K50" s="556"/>
      <c r="L50" s="556"/>
      <c r="M50" s="556"/>
      <c r="N50" s="556"/>
      <c r="O50" s="556"/>
      <c r="P50" s="556"/>
      <c r="Q50" s="556"/>
      <c r="R50" s="556"/>
      <c r="S50" s="556"/>
      <c r="T50" s="556"/>
      <c r="U50" s="556"/>
      <c r="V50" s="556"/>
      <c r="W50" s="556"/>
      <c r="X50" s="556"/>
      <c r="Y50" s="556"/>
      <c r="Z50" s="556"/>
      <c r="AA50" s="556"/>
      <c r="AB50" s="987" t="s">
        <v>99</v>
      </c>
      <c r="AC50" s="988"/>
      <c r="AD50" s="989"/>
      <c r="AE50" s="108">
        <f>SUMIF(Orçamento!F$18:F$149,'Curva ABC Serviços'!F50:F50,Orçamento!AH$18:AH$149)</f>
        <v>137.89</v>
      </c>
      <c r="AF50" s="109"/>
      <c r="AG50" s="109"/>
      <c r="AH50" s="109"/>
      <c r="AI50" s="109"/>
      <c r="AJ50" s="110"/>
      <c r="AK50" s="990">
        <f ca="1" t="shared" si="7"/>
        <v>4.61005149031837</v>
      </c>
      <c r="AL50" s="991"/>
      <c r="AM50" s="991"/>
      <c r="AN50" s="991"/>
      <c r="AO50" s="991"/>
      <c r="AP50" s="992"/>
      <c r="AQ50" s="990">
        <f ca="1">SUMIF(Orçamento!F:H,F50,Orçamento!AO:AO)</f>
        <v>635.68</v>
      </c>
      <c r="AR50" s="991"/>
      <c r="AS50" s="991"/>
      <c r="AT50" s="991"/>
      <c r="AU50" s="991"/>
      <c r="AV50" s="992"/>
      <c r="AW50" s="987">
        <f ca="1" t="shared" si="1"/>
        <v>0.00069346420892106</v>
      </c>
      <c r="AX50" s="988"/>
      <c r="AY50" s="989"/>
      <c r="AZ50" s="987">
        <f ca="1" t="shared" si="3"/>
        <v>0.999218052777635</v>
      </c>
      <c r="BA50" s="988"/>
      <c r="BB50" s="989"/>
      <c r="BC50" s="993" t="str">
        <f ca="1" t="shared" si="8"/>
        <v>C</v>
      </c>
      <c r="BD50" s="994"/>
      <c r="BE50" s="994"/>
      <c r="BF50" s="994"/>
      <c r="BG50" s="994"/>
      <c r="BH50" s="994"/>
      <c r="BI50" s="994"/>
      <c r="BJ50" s="994"/>
      <c r="BK50" s="995"/>
    </row>
    <row r="51" customHeight="1" spans="1:63">
      <c r="A51" s="518" t="s">
        <v>714</v>
      </c>
      <c r="B51" s="518"/>
      <c r="C51" s="203"/>
      <c r="D51" s="204"/>
      <c r="E51" s="205"/>
      <c r="F51" s="996">
        <v>4507956</v>
      </c>
      <c r="G51" s="997"/>
      <c r="H51" s="998"/>
      <c r="I51" s="556" t="s">
        <v>130</v>
      </c>
      <c r="J51" s="556"/>
      <c r="K51" s="556"/>
      <c r="L51" s="556"/>
      <c r="M51" s="556"/>
      <c r="N51" s="556"/>
      <c r="O51" s="556"/>
      <c r="P51" s="556"/>
      <c r="Q51" s="556"/>
      <c r="R51" s="556"/>
      <c r="S51" s="556"/>
      <c r="T51" s="556"/>
      <c r="U51" s="556"/>
      <c r="V51" s="556"/>
      <c r="W51" s="556"/>
      <c r="X51" s="556"/>
      <c r="Y51" s="556"/>
      <c r="Z51" s="556"/>
      <c r="AA51" s="556"/>
      <c r="AB51" s="987" t="s">
        <v>101</v>
      </c>
      <c r="AC51" s="988"/>
      <c r="AD51" s="989"/>
      <c r="AE51" s="108">
        <f>SUMIF(Orçamento!F$18:F$149,'Curva ABC Serviços'!F51:F51,Orçamento!AH$18:AH$149)</f>
        <v>50.48</v>
      </c>
      <c r="AF51" s="109"/>
      <c r="AG51" s="109"/>
      <c r="AH51" s="109"/>
      <c r="AI51" s="109"/>
      <c r="AJ51" s="110"/>
      <c r="AK51" s="990">
        <f ca="1" t="shared" si="7"/>
        <v>11.7599049128368</v>
      </c>
      <c r="AL51" s="991"/>
      <c r="AM51" s="991"/>
      <c r="AN51" s="991"/>
      <c r="AO51" s="991"/>
      <c r="AP51" s="992"/>
      <c r="AQ51" s="990">
        <f ca="1">SUMIF(Orçamento!F:H,F51,Orçamento!AO:AO)</f>
        <v>593.64</v>
      </c>
      <c r="AR51" s="991"/>
      <c r="AS51" s="991"/>
      <c r="AT51" s="991"/>
      <c r="AU51" s="991"/>
      <c r="AV51" s="992"/>
      <c r="AW51" s="987">
        <f ca="1" t="shared" si="1"/>
        <v>0.000647602713604169</v>
      </c>
      <c r="AX51" s="988"/>
      <c r="AY51" s="989"/>
      <c r="AZ51" s="987">
        <f ca="1" t="shared" si="3"/>
        <v>0.99986565549124</v>
      </c>
      <c r="BA51" s="988"/>
      <c r="BB51" s="989"/>
      <c r="BC51" s="993" t="str">
        <f ca="1" t="shared" si="8"/>
        <v>C</v>
      </c>
      <c r="BD51" s="994"/>
      <c r="BE51" s="994"/>
      <c r="BF51" s="994"/>
      <c r="BG51" s="994"/>
      <c r="BH51" s="994"/>
      <c r="BI51" s="994"/>
      <c r="BJ51" s="994"/>
      <c r="BK51" s="995"/>
    </row>
    <row r="52" customHeight="1" spans="1:63">
      <c r="A52" s="518" t="s">
        <v>715</v>
      </c>
      <c r="B52" s="518"/>
      <c r="C52" s="203"/>
      <c r="D52" s="204"/>
      <c r="E52" s="205"/>
      <c r="F52" s="996">
        <v>5214001</v>
      </c>
      <c r="G52" s="997"/>
      <c r="H52" s="998"/>
      <c r="I52" s="556" t="s">
        <v>138</v>
      </c>
      <c r="J52" s="556"/>
      <c r="K52" s="556"/>
      <c r="L52" s="556"/>
      <c r="M52" s="556"/>
      <c r="N52" s="556"/>
      <c r="O52" s="556"/>
      <c r="P52" s="556"/>
      <c r="Q52" s="556"/>
      <c r="R52" s="556"/>
      <c r="S52" s="556"/>
      <c r="T52" s="556"/>
      <c r="U52" s="556"/>
      <c r="V52" s="556"/>
      <c r="W52" s="556"/>
      <c r="X52" s="556"/>
      <c r="Y52" s="556"/>
      <c r="Z52" s="556"/>
      <c r="AA52" s="556"/>
      <c r="AB52" s="987" t="s">
        <v>7</v>
      </c>
      <c r="AC52" s="988"/>
      <c r="AD52" s="989"/>
      <c r="AE52" s="108">
        <f>SUMIF(Orçamento!F$18:F$149,'Curva ABC Serviços'!F52:F52,Orçamento!AH$18:AH$149)</f>
        <v>7.5</v>
      </c>
      <c r="AF52" s="109"/>
      <c r="AG52" s="109"/>
      <c r="AH52" s="109"/>
      <c r="AI52" s="109"/>
      <c r="AJ52" s="110"/>
      <c r="AK52" s="990">
        <f ca="1" t="shared" si="7"/>
        <v>16.42</v>
      </c>
      <c r="AL52" s="991"/>
      <c r="AM52" s="991"/>
      <c r="AN52" s="991"/>
      <c r="AO52" s="991"/>
      <c r="AP52" s="992"/>
      <c r="AQ52" s="990">
        <f ca="1">SUMIF(Orçamento!F:H,F52,Orçamento!AO:AO)</f>
        <v>123.15</v>
      </c>
      <c r="AR52" s="991"/>
      <c r="AS52" s="991"/>
      <c r="AT52" s="991"/>
      <c r="AU52" s="991"/>
      <c r="AV52" s="992"/>
      <c r="AW52" s="987">
        <f ca="1" t="shared" si="1"/>
        <v>0.000134344508760113</v>
      </c>
      <c r="AX52" s="988"/>
      <c r="AY52" s="989"/>
      <c r="AZ52" s="987">
        <f ca="1" t="shared" si="3"/>
        <v>1</v>
      </c>
      <c r="BA52" s="988"/>
      <c r="BB52" s="989"/>
      <c r="BC52" s="993" t="str">
        <f ca="1" t="shared" si="8"/>
        <v>C</v>
      </c>
      <c r="BD52" s="994"/>
      <c r="BE52" s="994"/>
      <c r="BF52" s="994"/>
      <c r="BG52" s="994"/>
      <c r="BH52" s="994"/>
      <c r="BI52" s="994"/>
      <c r="BJ52" s="994"/>
      <c r="BK52" s="995"/>
    </row>
    <row r="53" customHeight="1" spans="1:63">
      <c r="A53" s="1005" t="s">
        <v>68</v>
      </c>
      <c r="B53" s="522"/>
      <c r="C53" s="522"/>
      <c r="D53" s="522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  <c r="P53" s="522"/>
      <c r="Q53" s="522"/>
      <c r="R53" s="522"/>
      <c r="S53" s="522"/>
      <c r="T53" s="522"/>
      <c r="U53" s="522"/>
      <c r="V53" s="522"/>
      <c r="W53" s="522"/>
      <c r="X53" s="522"/>
      <c r="Y53" s="522"/>
      <c r="Z53" s="522"/>
      <c r="AA53" s="522"/>
      <c r="AB53" s="522"/>
      <c r="AC53" s="522"/>
      <c r="AD53" s="522"/>
      <c r="AE53" s="522"/>
      <c r="AF53" s="522"/>
      <c r="AG53" s="522"/>
      <c r="AH53" s="522"/>
      <c r="AI53" s="522"/>
      <c r="AJ53" s="522"/>
      <c r="AK53" s="522"/>
      <c r="AL53" s="522"/>
      <c r="AM53" s="522"/>
      <c r="AN53" s="522"/>
      <c r="AO53" s="522"/>
      <c r="AP53" s="735"/>
      <c r="AQ53" s="1006">
        <f ca="1">SUM(AQ16:AV52)</f>
        <v>916673.12</v>
      </c>
      <c r="AR53" s="1007"/>
      <c r="AS53" s="1007"/>
      <c r="AT53" s="1007"/>
      <c r="AU53" s="1007"/>
      <c r="AV53" s="1008"/>
      <c r="AW53" s="1009">
        <f ca="1">SUM(AW16:AY52)</f>
        <v>1</v>
      </c>
      <c r="AX53" s="1010"/>
      <c r="AY53" s="1011"/>
      <c r="AZ53" s="1009">
        <f ca="1">AZ52</f>
        <v>1</v>
      </c>
      <c r="BA53" s="1010"/>
      <c r="BB53" s="1011"/>
    </row>
  </sheetData>
  <mergeCells count="453">
    <mergeCell ref="A4:H4"/>
    <mergeCell ref="I4:BK4"/>
    <mergeCell ref="A5:H5"/>
    <mergeCell ref="I5:BK5"/>
    <mergeCell ref="A6:H6"/>
    <mergeCell ref="I6:BK6"/>
    <mergeCell ref="A7:H7"/>
    <mergeCell ref="I7:BK7"/>
    <mergeCell ref="A8:H8"/>
    <mergeCell ref="BA8:BG8"/>
    <mergeCell ref="BH8:BI8"/>
    <mergeCell ref="BJ8:BK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BA11:BG11"/>
    <mergeCell ref="BH11:BI11"/>
    <mergeCell ref="BJ11:BK11"/>
    <mergeCell ref="A12:H12"/>
    <mergeCell ref="I12:U12"/>
    <mergeCell ref="V12:AH12"/>
    <mergeCell ref="A13:BK13"/>
    <mergeCell ref="A14:BK14"/>
    <mergeCell ref="A15:B15"/>
    <mergeCell ref="C15:E15"/>
    <mergeCell ref="F15:H15"/>
    <mergeCell ref="I15:AA15"/>
    <mergeCell ref="AB15:AD15"/>
    <mergeCell ref="AE15:AJ15"/>
    <mergeCell ref="AK15:AP15"/>
    <mergeCell ref="AQ15:AV15"/>
    <mergeCell ref="AW15:AY15"/>
    <mergeCell ref="AZ15:BB15"/>
    <mergeCell ref="BC15:BK15"/>
    <mergeCell ref="A16:B16"/>
    <mergeCell ref="C16:E16"/>
    <mergeCell ref="F16:H16"/>
    <mergeCell ref="I16:AA16"/>
    <mergeCell ref="AB16:AD16"/>
    <mergeCell ref="AE16:AJ16"/>
    <mergeCell ref="AK16:AP16"/>
    <mergeCell ref="AQ16:AV16"/>
    <mergeCell ref="AW16:AY16"/>
    <mergeCell ref="AZ16:BB16"/>
    <mergeCell ref="BC16:BK16"/>
    <mergeCell ref="A17:B17"/>
    <mergeCell ref="C17:E17"/>
    <mergeCell ref="F17:H17"/>
    <mergeCell ref="I17:AA17"/>
    <mergeCell ref="AB17:AD17"/>
    <mergeCell ref="AE17:AJ17"/>
    <mergeCell ref="AK17:AP17"/>
    <mergeCell ref="AQ17:AV17"/>
    <mergeCell ref="AW17:AY17"/>
    <mergeCell ref="AZ17:BB17"/>
    <mergeCell ref="BC17:BK17"/>
    <mergeCell ref="A18:B18"/>
    <mergeCell ref="C18:E18"/>
    <mergeCell ref="F18:H18"/>
    <mergeCell ref="I18:AA18"/>
    <mergeCell ref="AB18:AD18"/>
    <mergeCell ref="AE18:AJ18"/>
    <mergeCell ref="AK18:AP18"/>
    <mergeCell ref="AQ18:AV18"/>
    <mergeCell ref="AW18:AY18"/>
    <mergeCell ref="AZ18:BB18"/>
    <mergeCell ref="BC18:BK18"/>
    <mergeCell ref="A19:B19"/>
    <mergeCell ref="C19:E19"/>
    <mergeCell ref="F19:H19"/>
    <mergeCell ref="I19:AA19"/>
    <mergeCell ref="AB19:AD19"/>
    <mergeCell ref="AE19:AJ19"/>
    <mergeCell ref="AK19:AP19"/>
    <mergeCell ref="AQ19:AV19"/>
    <mergeCell ref="AW19:AY19"/>
    <mergeCell ref="AZ19:BB19"/>
    <mergeCell ref="BC19:BK19"/>
    <mergeCell ref="A20:B20"/>
    <mergeCell ref="C20:E20"/>
    <mergeCell ref="F20:H20"/>
    <mergeCell ref="I20:AA20"/>
    <mergeCell ref="AB20:AD20"/>
    <mergeCell ref="AE20:AJ20"/>
    <mergeCell ref="AK20:AP20"/>
    <mergeCell ref="AQ20:AV20"/>
    <mergeCell ref="AW20:AY20"/>
    <mergeCell ref="AZ20:BB20"/>
    <mergeCell ref="BC20:BK20"/>
    <mergeCell ref="A21:B21"/>
    <mergeCell ref="C21:E21"/>
    <mergeCell ref="F21:H21"/>
    <mergeCell ref="I21:AA21"/>
    <mergeCell ref="AB21:AD21"/>
    <mergeCell ref="AE21:AJ21"/>
    <mergeCell ref="AK21:AP21"/>
    <mergeCell ref="AQ21:AV21"/>
    <mergeCell ref="AW21:AY21"/>
    <mergeCell ref="AZ21:BB21"/>
    <mergeCell ref="BC21:BK21"/>
    <mergeCell ref="A22:B22"/>
    <mergeCell ref="C22:E22"/>
    <mergeCell ref="F22:H22"/>
    <mergeCell ref="I22:AA22"/>
    <mergeCell ref="AB22:AD22"/>
    <mergeCell ref="AE22:AJ22"/>
    <mergeCell ref="AK22:AP22"/>
    <mergeCell ref="AQ22:AV22"/>
    <mergeCell ref="AW22:AY22"/>
    <mergeCell ref="AZ22:BB22"/>
    <mergeCell ref="BC22:BK22"/>
    <mergeCell ref="A23:B23"/>
    <mergeCell ref="C23:E23"/>
    <mergeCell ref="F23:H23"/>
    <mergeCell ref="I23:AA23"/>
    <mergeCell ref="AB23:AD23"/>
    <mergeCell ref="AE23:AJ23"/>
    <mergeCell ref="AK23:AP23"/>
    <mergeCell ref="AQ23:AV23"/>
    <mergeCell ref="AW23:AY23"/>
    <mergeCell ref="AZ23:BB23"/>
    <mergeCell ref="BC23:BK23"/>
    <mergeCell ref="A24:B24"/>
    <mergeCell ref="C24:E24"/>
    <mergeCell ref="F24:H24"/>
    <mergeCell ref="I24:AA24"/>
    <mergeCell ref="AB24:AD24"/>
    <mergeCell ref="AE24:AJ24"/>
    <mergeCell ref="AK24:AP24"/>
    <mergeCell ref="AQ24:AV24"/>
    <mergeCell ref="AW24:AY24"/>
    <mergeCell ref="AZ24:BB24"/>
    <mergeCell ref="BC24:BK24"/>
    <mergeCell ref="A25:B25"/>
    <mergeCell ref="C25:E25"/>
    <mergeCell ref="F25:H25"/>
    <mergeCell ref="I25:AA25"/>
    <mergeCell ref="AB25:AD25"/>
    <mergeCell ref="AE25:AJ25"/>
    <mergeCell ref="AK25:AP25"/>
    <mergeCell ref="AQ25:AV25"/>
    <mergeCell ref="AW25:AY25"/>
    <mergeCell ref="AZ25:BB25"/>
    <mergeCell ref="BC25:BK25"/>
    <mergeCell ref="A26:B26"/>
    <mergeCell ref="C26:E26"/>
    <mergeCell ref="F26:H26"/>
    <mergeCell ref="I26:AA26"/>
    <mergeCell ref="AB26:AD26"/>
    <mergeCell ref="AE26:AJ26"/>
    <mergeCell ref="AK26:AP26"/>
    <mergeCell ref="AQ26:AV26"/>
    <mergeCell ref="AW26:AY26"/>
    <mergeCell ref="AZ26:BB26"/>
    <mergeCell ref="BC26:BK26"/>
    <mergeCell ref="A27:B27"/>
    <mergeCell ref="C27:E27"/>
    <mergeCell ref="F27:H27"/>
    <mergeCell ref="I27:AA27"/>
    <mergeCell ref="AB27:AD27"/>
    <mergeCell ref="AE27:AJ27"/>
    <mergeCell ref="AK27:AP27"/>
    <mergeCell ref="AQ27:AV27"/>
    <mergeCell ref="AW27:AY27"/>
    <mergeCell ref="AZ27:BB27"/>
    <mergeCell ref="BC27:BK27"/>
    <mergeCell ref="A28:B28"/>
    <mergeCell ref="C28:E28"/>
    <mergeCell ref="F28:H28"/>
    <mergeCell ref="I28:AA28"/>
    <mergeCell ref="AB28:AD28"/>
    <mergeCell ref="AE28:AJ28"/>
    <mergeCell ref="AK28:AP28"/>
    <mergeCell ref="AQ28:AV28"/>
    <mergeCell ref="AW28:AY28"/>
    <mergeCell ref="AZ28:BB28"/>
    <mergeCell ref="BC28:BK28"/>
    <mergeCell ref="A29:B29"/>
    <mergeCell ref="C29:E29"/>
    <mergeCell ref="F29:H29"/>
    <mergeCell ref="I29:AA29"/>
    <mergeCell ref="AB29:AD29"/>
    <mergeCell ref="AE29:AJ29"/>
    <mergeCell ref="AK29:AP29"/>
    <mergeCell ref="AQ29:AV29"/>
    <mergeCell ref="AW29:AY29"/>
    <mergeCell ref="AZ29:BB29"/>
    <mergeCell ref="BC29:BK29"/>
    <mergeCell ref="A30:B30"/>
    <mergeCell ref="C30:E30"/>
    <mergeCell ref="F30:H30"/>
    <mergeCell ref="I30:AA30"/>
    <mergeCell ref="AB30:AD30"/>
    <mergeCell ref="AE30:AJ30"/>
    <mergeCell ref="AK30:AP30"/>
    <mergeCell ref="AQ30:AV30"/>
    <mergeCell ref="AW30:AY30"/>
    <mergeCell ref="AZ30:BB30"/>
    <mergeCell ref="BC30:BK30"/>
    <mergeCell ref="A31:B31"/>
    <mergeCell ref="C31:E31"/>
    <mergeCell ref="F31:H31"/>
    <mergeCell ref="I31:AA31"/>
    <mergeCell ref="AB31:AD31"/>
    <mergeCell ref="AE31:AJ31"/>
    <mergeCell ref="AK31:AP31"/>
    <mergeCell ref="AQ31:AV31"/>
    <mergeCell ref="AW31:AY31"/>
    <mergeCell ref="AZ31:BB31"/>
    <mergeCell ref="BC31:BK31"/>
    <mergeCell ref="A32:B32"/>
    <mergeCell ref="C32:E32"/>
    <mergeCell ref="F32:H32"/>
    <mergeCell ref="I32:AA32"/>
    <mergeCell ref="AB32:AD32"/>
    <mergeCell ref="AE32:AJ32"/>
    <mergeCell ref="AK32:AP32"/>
    <mergeCell ref="AQ32:AV32"/>
    <mergeCell ref="AW32:AY32"/>
    <mergeCell ref="AZ32:BB32"/>
    <mergeCell ref="BC32:BK32"/>
    <mergeCell ref="A33:B33"/>
    <mergeCell ref="C33:E33"/>
    <mergeCell ref="F33:H33"/>
    <mergeCell ref="I33:AA33"/>
    <mergeCell ref="AB33:AD33"/>
    <mergeCell ref="AE33:AJ33"/>
    <mergeCell ref="AK33:AP33"/>
    <mergeCell ref="AQ33:AV33"/>
    <mergeCell ref="AW33:AY33"/>
    <mergeCell ref="AZ33:BB33"/>
    <mergeCell ref="BC33:BK33"/>
    <mergeCell ref="A34:B34"/>
    <mergeCell ref="C34:E34"/>
    <mergeCell ref="F34:H34"/>
    <mergeCell ref="I34:AA34"/>
    <mergeCell ref="AB34:AD34"/>
    <mergeCell ref="AE34:AJ34"/>
    <mergeCell ref="AK34:AP34"/>
    <mergeCell ref="AQ34:AV34"/>
    <mergeCell ref="AW34:AY34"/>
    <mergeCell ref="AZ34:BB34"/>
    <mergeCell ref="BC34:BK34"/>
    <mergeCell ref="A35:B35"/>
    <mergeCell ref="C35:E35"/>
    <mergeCell ref="F35:H35"/>
    <mergeCell ref="I35:AA35"/>
    <mergeCell ref="AB35:AD35"/>
    <mergeCell ref="AE35:AJ35"/>
    <mergeCell ref="AK35:AP35"/>
    <mergeCell ref="AQ35:AV35"/>
    <mergeCell ref="AW35:AY35"/>
    <mergeCell ref="AZ35:BB35"/>
    <mergeCell ref="BC35:BK35"/>
    <mergeCell ref="A36:B36"/>
    <mergeCell ref="C36:E36"/>
    <mergeCell ref="F36:H36"/>
    <mergeCell ref="I36:AA36"/>
    <mergeCell ref="AB36:AD36"/>
    <mergeCell ref="AE36:AJ36"/>
    <mergeCell ref="AK36:AP36"/>
    <mergeCell ref="AQ36:AV36"/>
    <mergeCell ref="AW36:AY36"/>
    <mergeCell ref="AZ36:BB36"/>
    <mergeCell ref="BC36:BK36"/>
    <mergeCell ref="A37:B37"/>
    <mergeCell ref="C37:E37"/>
    <mergeCell ref="F37:H37"/>
    <mergeCell ref="I37:AA37"/>
    <mergeCell ref="AB37:AD37"/>
    <mergeCell ref="AE37:AJ37"/>
    <mergeCell ref="AK37:AP37"/>
    <mergeCell ref="AQ37:AV37"/>
    <mergeCell ref="AW37:AY37"/>
    <mergeCell ref="AZ37:BB37"/>
    <mergeCell ref="BC37:BK37"/>
    <mergeCell ref="A38:B38"/>
    <mergeCell ref="C38:E38"/>
    <mergeCell ref="F38:H38"/>
    <mergeCell ref="I38:AA38"/>
    <mergeCell ref="AB38:AD38"/>
    <mergeCell ref="AE38:AJ38"/>
    <mergeCell ref="AK38:AP38"/>
    <mergeCell ref="AQ38:AV38"/>
    <mergeCell ref="AW38:AY38"/>
    <mergeCell ref="AZ38:BB38"/>
    <mergeCell ref="BC38:BK38"/>
    <mergeCell ref="A39:B39"/>
    <mergeCell ref="C39:E39"/>
    <mergeCell ref="F39:H39"/>
    <mergeCell ref="I39:AA39"/>
    <mergeCell ref="AB39:AD39"/>
    <mergeCell ref="AE39:AJ39"/>
    <mergeCell ref="AK39:AP39"/>
    <mergeCell ref="AQ39:AV39"/>
    <mergeCell ref="AW39:AY39"/>
    <mergeCell ref="AZ39:BB39"/>
    <mergeCell ref="BC39:BK39"/>
    <mergeCell ref="A40:B40"/>
    <mergeCell ref="C40:E40"/>
    <mergeCell ref="F40:H40"/>
    <mergeCell ref="I40:AA40"/>
    <mergeCell ref="AB40:AD40"/>
    <mergeCell ref="AE40:AJ40"/>
    <mergeCell ref="AK40:AP40"/>
    <mergeCell ref="AQ40:AV40"/>
    <mergeCell ref="AW40:AY40"/>
    <mergeCell ref="AZ40:BB40"/>
    <mergeCell ref="BC40:BK40"/>
    <mergeCell ref="A41:B41"/>
    <mergeCell ref="C41:E41"/>
    <mergeCell ref="F41:H41"/>
    <mergeCell ref="I41:AA41"/>
    <mergeCell ref="AB41:AD41"/>
    <mergeCell ref="AE41:AJ41"/>
    <mergeCell ref="AK41:AP41"/>
    <mergeCell ref="AQ41:AV41"/>
    <mergeCell ref="AW41:AY41"/>
    <mergeCell ref="AZ41:BB41"/>
    <mergeCell ref="BC41:BK41"/>
    <mergeCell ref="A42:B42"/>
    <mergeCell ref="C42:E42"/>
    <mergeCell ref="F42:H42"/>
    <mergeCell ref="I42:AA42"/>
    <mergeCell ref="AB42:AD42"/>
    <mergeCell ref="AE42:AJ42"/>
    <mergeCell ref="AK42:AP42"/>
    <mergeCell ref="AQ42:AV42"/>
    <mergeCell ref="AW42:AY42"/>
    <mergeCell ref="AZ42:BB42"/>
    <mergeCell ref="BC42:BK42"/>
    <mergeCell ref="A43:B43"/>
    <mergeCell ref="C43:E43"/>
    <mergeCell ref="F43:H43"/>
    <mergeCell ref="I43:AA43"/>
    <mergeCell ref="AB43:AD43"/>
    <mergeCell ref="AE43:AJ43"/>
    <mergeCell ref="AK43:AP43"/>
    <mergeCell ref="AQ43:AV43"/>
    <mergeCell ref="AW43:AY43"/>
    <mergeCell ref="AZ43:BB43"/>
    <mergeCell ref="BC43:BK43"/>
    <mergeCell ref="A44:B44"/>
    <mergeCell ref="C44:E44"/>
    <mergeCell ref="F44:H44"/>
    <mergeCell ref="I44:AA44"/>
    <mergeCell ref="AB44:AD44"/>
    <mergeCell ref="AE44:AJ44"/>
    <mergeCell ref="AK44:AP44"/>
    <mergeCell ref="AQ44:AV44"/>
    <mergeCell ref="AW44:AY44"/>
    <mergeCell ref="AZ44:BB44"/>
    <mergeCell ref="BC44:BK44"/>
    <mergeCell ref="A45:B45"/>
    <mergeCell ref="C45:E45"/>
    <mergeCell ref="F45:H45"/>
    <mergeCell ref="I45:AA45"/>
    <mergeCell ref="AB45:AD45"/>
    <mergeCell ref="AE45:AJ45"/>
    <mergeCell ref="AK45:AP45"/>
    <mergeCell ref="AQ45:AV45"/>
    <mergeCell ref="AW45:AY45"/>
    <mergeCell ref="AZ45:BB45"/>
    <mergeCell ref="BC45:BK45"/>
    <mergeCell ref="A46:B46"/>
    <mergeCell ref="C46:E46"/>
    <mergeCell ref="F46:H46"/>
    <mergeCell ref="I46:AA46"/>
    <mergeCell ref="AB46:AD46"/>
    <mergeCell ref="AE46:AJ46"/>
    <mergeCell ref="AK46:AP46"/>
    <mergeCell ref="AQ46:AV46"/>
    <mergeCell ref="AW46:AY46"/>
    <mergeCell ref="AZ46:BB46"/>
    <mergeCell ref="BC46:BK46"/>
    <mergeCell ref="A47:B47"/>
    <mergeCell ref="C47:E47"/>
    <mergeCell ref="F47:H47"/>
    <mergeCell ref="I47:AA47"/>
    <mergeCell ref="AB47:AD47"/>
    <mergeCell ref="AE47:AJ47"/>
    <mergeCell ref="AK47:AP47"/>
    <mergeCell ref="AQ47:AV47"/>
    <mergeCell ref="AW47:AY47"/>
    <mergeCell ref="AZ47:BB47"/>
    <mergeCell ref="BC47:BK47"/>
    <mergeCell ref="A48:B48"/>
    <mergeCell ref="C48:E48"/>
    <mergeCell ref="F48:H48"/>
    <mergeCell ref="I48:AA48"/>
    <mergeCell ref="AB48:AD48"/>
    <mergeCell ref="AE48:AJ48"/>
    <mergeCell ref="AK48:AP48"/>
    <mergeCell ref="AQ48:AV48"/>
    <mergeCell ref="AW48:AY48"/>
    <mergeCell ref="AZ48:BB48"/>
    <mergeCell ref="BC48:BK48"/>
    <mergeCell ref="A49:B49"/>
    <mergeCell ref="C49:E49"/>
    <mergeCell ref="F49:H49"/>
    <mergeCell ref="I49:AA49"/>
    <mergeCell ref="AB49:AD49"/>
    <mergeCell ref="AE49:AJ49"/>
    <mergeCell ref="AK49:AP49"/>
    <mergeCell ref="AQ49:AV49"/>
    <mergeCell ref="AW49:AY49"/>
    <mergeCell ref="AZ49:BB49"/>
    <mergeCell ref="BC49:BK49"/>
    <mergeCell ref="A50:B50"/>
    <mergeCell ref="C50:E50"/>
    <mergeCell ref="F50:H50"/>
    <mergeCell ref="I50:AA50"/>
    <mergeCell ref="AB50:AD50"/>
    <mergeCell ref="AE50:AJ50"/>
    <mergeCell ref="AK50:AP50"/>
    <mergeCell ref="AQ50:AV50"/>
    <mergeCell ref="AW50:AY50"/>
    <mergeCell ref="AZ50:BB50"/>
    <mergeCell ref="BC50:BK50"/>
    <mergeCell ref="A51:B51"/>
    <mergeCell ref="C51:E51"/>
    <mergeCell ref="F51:H51"/>
    <mergeCell ref="I51:AA51"/>
    <mergeCell ref="AB51:AD51"/>
    <mergeCell ref="AE51:AJ51"/>
    <mergeCell ref="AK51:AP51"/>
    <mergeCell ref="AQ51:AV51"/>
    <mergeCell ref="AW51:AY51"/>
    <mergeCell ref="AZ51:BB51"/>
    <mergeCell ref="BC51:BK51"/>
    <mergeCell ref="A52:B52"/>
    <mergeCell ref="C52:E52"/>
    <mergeCell ref="F52:H52"/>
    <mergeCell ref="I52:AA52"/>
    <mergeCell ref="AB52:AD52"/>
    <mergeCell ref="AE52:AJ52"/>
    <mergeCell ref="AK52:AP52"/>
    <mergeCell ref="AQ52:AV52"/>
    <mergeCell ref="AW52:AY52"/>
    <mergeCell ref="AZ52:BB52"/>
    <mergeCell ref="BC52:BK52"/>
    <mergeCell ref="A53:AP53"/>
    <mergeCell ref="AQ53:AV53"/>
    <mergeCell ref="AW53:AY53"/>
    <mergeCell ref="AZ53:BB53"/>
  </mergeCells>
  <conditionalFormatting sqref="BC16:BK52">
    <cfRule type="cellIs" dxfId="0" priority="517" operator="equal">
      <formula>"C"</formula>
    </cfRule>
    <cfRule type="cellIs" dxfId="1" priority="518" operator="equal">
      <formula>"B"</formula>
    </cfRule>
    <cfRule type="cellIs" dxfId="2" priority="519" operator="equal">
      <formula>"A"</formula>
    </cfRule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/>
  <pageMargins left="0.393700787401575" right="0.393700787401575" top="0.196850393700787" bottom="0.590551181102362" header="0" footer="0.15748031496063"/>
  <pageSetup paperSize="9" fitToHeight="5" orientation="landscape"/>
  <headerFooter>
    <oddFooter>&amp;L&amp;G&amp;R&amp;8Projeto Executivo de Engenharia, Estudos e
Orçamentos para a Construção de Ponte Rodoviária
em Concreto Armado - Rodovia Vicinal</oddFooter>
  </headerFooter>
  <rowBreaks count="1" manualBreakCount="1">
    <brk id="51" max="62" man="1"/>
  </rowBreaks>
  <drawing r:id="rId1"/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A1:AX75"/>
  <sheetViews>
    <sheetView showGridLines="0" view="pageBreakPreview" zoomScale="150" zoomScaleNormal="160" workbookViewId="0">
      <selection activeCell="A1" sqref="A1"/>
    </sheetView>
  </sheetViews>
  <sheetFormatPr defaultColWidth="9.1047619047619" defaultRowHeight="17.4" customHeight="1"/>
  <cols>
    <col min="1" max="44" width="2.1047619047619" style="29" customWidth="1"/>
    <col min="45" max="45" width="9.1047619047619" style="29"/>
    <col min="46" max="78" width="2.1047619047619" style="29" customWidth="1"/>
    <col min="79" max="79" width="9.1047619047619" style="29" customWidth="1"/>
    <col min="80" max="16384" width="9.1047619047619" style="29"/>
  </cols>
  <sheetData>
    <row r="1" ht="12.6" customHeight="1"/>
    <row r="2" ht="12.6" customHeight="1"/>
    <row r="3" ht="12.6" customHeight="1"/>
    <row r="4" ht="15" spans="1:44">
      <c r="A4" s="40" t="s">
        <v>17</v>
      </c>
      <c r="B4" s="41"/>
      <c r="C4" s="41"/>
      <c r="D4" s="41"/>
      <c r="E4" s="41"/>
      <c r="F4" s="41"/>
      <c r="G4" s="41"/>
      <c r="H4" s="41"/>
      <c r="I4" s="672" t="str">
        <f>IF(Dados!I4="","",Dados!I4)</f>
        <v>CONSTRUÇÃO DE PONTE RODOVIÁRIA EM CONCRETO ARMADO</v>
      </c>
      <c r="J4" s="672"/>
      <c r="K4" s="672"/>
      <c r="L4" s="672"/>
      <c r="M4" s="672"/>
      <c r="N4" s="672"/>
      <c r="O4" s="672"/>
      <c r="P4" s="672"/>
      <c r="Q4" s="672"/>
      <c r="R4" s="672"/>
      <c r="S4" s="672"/>
      <c r="T4" s="672"/>
      <c r="U4" s="672"/>
      <c r="V4" s="672"/>
      <c r="W4" s="672"/>
      <c r="X4" s="672"/>
      <c r="Y4" s="672"/>
      <c r="Z4" s="672"/>
      <c r="AA4" s="672"/>
      <c r="AB4" s="672"/>
      <c r="AC4" s="672"/>
      <c r="AD4" s="672"/>
      <c r="AE4" s="672"/>
      <c r="AF4" s="672"/>
      <c r="AG4" s="672"/>
      <c r="AH4" s="672"/>
      <c r="AI4" s="672"/>
      <c r="AJ4" s="672"/>
      <c r="AK4" s="672"/>
      <c r="AL4" s="672"/>
      <c r="AM4" s="672"/>
      <c r="AN4" s="672"/>
      <c r="AO4" s="672"/>
      <c r="AP4" s="672"/>
      <c r="AQ4" s="672"/>
      <c r="AR4" s="673"/>
    </row>
    <row r="5" ht="12.75" customHeight="1" spans="1:44">
      <c r="A5" s="44" t="str">
        <f>Dados!A5</f>
        <v>MUNICÍPIO:</v>
      </c>
      <c r="B5" s="45"/>
      <c r="C5" s="45"/>
      <c r="D5" s="45"/>
      <c r="E5" s="45"/>
      <c r="F5" s="45"/>
      <c r="G5" s="45"/>
      <c r="H5" s="45"/>
      <c r="I5" s="46" t="str">
        <f>IF(Dados!I5="","",Dados!I5)</f>
        <v>DEODÁPOLIS/MS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7"/>
    </row>
    <row r="6" ht="12.75" customHeight="1" spans="1:44">
      <c r="A6" s="44" t="str">
        <f>Dados!A6</f>
        <v>RODOVIA/ESTRADA:</v>
      </c>
      <c r="B6" s="45"/>
      <c r="C6" s="45"/>
      <c r="D6" s="45"/>
      <c r="E6" s="45"/>
      <c r="F6" s="45"/>
      <c r="G6" s="45"/>
      <c r="H6" s="45"/>
      <c r="I6" s="46" t="str">
        <f>IF(Dados!I6="","",Dados!I6)</f>
        <v>ESTRADA VICINAL 14ª LINHA (LADO NASCENTE)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7"/>
    </row>
    <row r="7" ht="15" spans="1:44">
      <c r="A7" s="44" t="str">
        <f>Dados!A7</f>
        <v>LOCAL:</v>
      </c>
      <c r="B7" s="45"/>
      <c r="C7" s="45"/>
      <c r="D7" s="45"/>
      <c r="E7" s="45"/>
      <c r="F7" s="45"/>
      <c r="G7" s="45"/>
      <c r="H7" s="45"/>
      <c r="I7" s="674" t="str">
        <f>IF(Dados!I7="","",Dados!I7)</f>
        <v>PONTE SOBRE O CÓRREGO IRETAN</v>
      </c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5"/>
    </row>
    <row r="8" ht="12.75" customHeight="1" spans="1:44">
      <c r="A8" s="44" t="str">
        <f>Dados!A8</f>
        <v>COORDENADAS:</v>
      </c>
      <c r="B8" s="45"/>
      <c r="C8" s="45"/>
      <c r="D8" s="45"/>
      <c r="E8" s="45"/>
      <c r="F8" s="45"/>
      <c r="G8" s="45"/>
      <c r="H8" s="45"/>
      <c r="I8" s="46" t="str">
        <f>IF(Dados!I8="","",Dados!I8)</f>
        <v>22°14'28.18"S, 54º04'37.28"O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5" t="str">
        <f>Dados!AI8</f>
        <v>ÁREA:</v>
      </c>
      <c r="AJ8" s="45"/>
      <c r="AK8" s="45"/>
      <c r="AL8" s="45"/>
      <c r="AM8" s="45"/>
      <c r="AN8" s="45"/>
      <c r="AO8" s="51">
        <f>IF(Dados!AO8="","",Dados!AO8)</f>
        <v>90</v>
      </c>
      <c r="AP8" s="51"/>
      <c r="AQ8" s="52" t="s">
        <v>7</v>
      </c>
      <c r="AR8" s="53"/>
    </row>
    <row r="9" ht="12.75" customHeight="1" spans="1:44">
      <c r="A9" s="44" t="str">
        <f>Dados!A9</f>
        <v>COMPRIMENTO:</v>
      </c>
      <c r="B9" s="45"/>
      <c r="C9" s="45"/>
      <c r="D9" s="45"/>
      <c r="E9" s="45"/>
      <c r="F9" s="45"/>
      <c r="G9" s="45"/>
      <c r="H9" s="45"/>
      <c r="I9" s="54">
        <f>IF(Dados!I9="","",Dados!I9)</f>
        <v>15</v>
      </c>
      <c r="J9" s="54"/>
      <c r="K9" s="52" t="s">
        <v>9</v>
      </c>
      <c r="L9" s="52"/>
      <c r="M9" s="55"/>
      <c r="N9" s="55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 s="56"/>
    </row>
    <row r="10" ht="12.75" customHeight="1" spans="1:44">
      <c r="A10" s="44" t="str">
        <f>Dados!A10</f>
        <v>LARGURA:</v>
      </c>
      <c r="B10" s="45"/>
      <c r="C10" s="45"/>
      <c r="D10" s="45"/>
      <c r="E10" s="45"/>
      <c r="F10" s="45"/>
      <c r="G10" s="45"/>
      <c r="H10" s="45"/>
      <c r="I10" s="54">
        <f>IF(Dados!I10="","",Dados!I10)</f>
        <v>6</v>
      </c>
      <c r="J10" s="54"/>
      <c r="K10" s="52" t="s">
        <v>9</v>
      </c>
      <c r="L10" s="52"/>
      <c r="M10" s="55"/>
      <c r="N10" s="55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 s="56"/>
    </row>
    <row r="11" ht="12.75" customHeight="1" spans="1:44">
      <c r="A11" s="44" t="s">
        <v>11</v>
      </c>
      <c r="B11" s="45"/>
      <c r="C11" s="45"/>
      <c r="D11" s="45"/>
      <c r="E11" s="45"/>
      <c r="F11" s="45"/>
      <c r="G11" s="45"/>
      <c r="H11" s="45"/>
      <c r="I11" s="45" t="str">
        <f>Dados!I11</f>
        <v>INSUMO</v>
      </c>
      <c r="J11" s="45"/>
      <c r="K11" s="45"/>
      <c r="L11" s="57">
        <f>IF(Dados!L11="","",Dados!L11)</f>
        <v>0.1527</v>
      </c>
      <c r="M11" s="57"/>
      <c r="N11" s="57"/>
      <c r="O11" s="45" t="str">
        <f>Dados!O11</f>
        <v>SERVIÇO</v>
      </c>
      <c r="P11" s="45"/>
      <c r="Q11" s="45"/>
      <c r="R11" s="57">
        <f>IF(Dados!R11="","",Dados!R11)</f>
        <v>0.2391</v>
      </c>
      <c r="S11" s="57"/>
      <c r="T11" s="57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 s="45" t="str">
        <f>Dados!AI11</f>
        <v>PRAZO DE EXECUÇÃO:</v>
      </c>
      <c r="AJ11" s="45"/>
      <c r="AK11" s="45"/>
      <c r="AL11" s="45"/>
      <c r="AM11" s="45"/>
      <c r="AN11" s="45"/>
      <c r="AO11" s="58">
        <f>IF(Dados!AO11="","",Dados!AO11)</f>
        <v>120</v>
      </c>
      <c r="AP11" s="58"/>
      <c r="AQ11" s="52" t="s">
        <v>15</v>
      </c>
      <c r="AR11" s="53"/>
    </row>
    <row r="12" ht="12.75" customHeight="1" spans="1:44">
      <c r="A12" s="59" t="s">
        <v>16</v>
      </c>
      <c r="B12" s="60"/>
      <c r="C12" s="60"/>
      <c r="D12" s="60"/>
      <c r="E12" s="60"/>
      <c r="F12" s="60"/>
      <c r="G12" s="60"/>
      <c r="H12" s="60"/>
      <c r="I12" s="61" t="str">
        <f>IF(Dados!I12="","",Dados!I12)</f>
        <v>SEM DESONERAÇÃO SICRO (JANEIRO/2026)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tr">
        <f>IF(Dados!U12="","",Dados!U12)</f>
        <v>NÃO DESONERADO SINAPI (JANEIRO/2026)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2"/>
      <c r="AJ12" s="62"/>
      <c r="AK12" s="62"/>
      <c r="AL12" s="62"/>
      <c r="AM12" s="62"/>
      <c r="AN12" s="62"/>
      <c r="AO12" s="62"/>
      <c r="AP12" s="62"/>
      <c r="AQ12" s="62"/>
      <c r="AR12" s="64"/>
    </row>
    <row r="13" ht="6" customHeight="1" spans="1:44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</row>
    <row r="14" ht="12.75" customHeight="1" spans="1:44">
      <c r="A14" s="533" t="s">
        <v>716</v>
      </c>
      <c r="B14" s="534"/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5"/>
    </row>
    <row r="15" ht="12.75" customHeight="1" spans="1:44">
      <c r="A15" s="795" t="s">
        <v>717</v>
      </c>
      <c r="B15" s="796"/>
      <c r="C15" s="796"/>
      <c r="D15" s="796"/>
      <c r="E15" s="796"/>
      <c r="F15" s="796"/>
      <c r="G15" s="796"/>
      <c r="H15" s="796"/>
      <c r="I15" s="796"/>
      <c r="J15" s="796"/>
      <c r="K15" s="796"/>
      <c r="L15" s="796"/>
      <c r="M15" s="796"/>
      <c r="N15" s="796"/>
      <c r="O15" s="796"/>
      <c r="P15" s="796"/>
      <c r="Q15" s="796"/>
      <c r="R15" s="796"/>
      <c r="S15" s="796"/>
      <c r="T15" s="796"/>
      <c r="U15" s="796"/>
      <c r="V15" s="796"/>
      <c r="W15" s="796"/>
      <c r="X15" s="796"/>
      <c r="Y15" s="796"/>
      <c r="Z15" s="796"/>
      <c r="AA15" s="796"/>
      <c r="AB15" s="796"/>
      <c r="AC15" s="796"/>
      <c r="AD15" s="796"/>
      <c r="AE15" s="796"/>
      <c r="AF15" s="796"/>
      <c r="AG15" s="796"/>
      <c r="AH15" s="796"/>
      <c r="AI15" s="796"/>
      <c r="AJ15" s="796"/>
      <c r="AK15" s="796"/>
      <c r="AL15" s="796"/>
      <c r="AM15" s="796"/>
      <c r="AN15" s="796"/>
      <c r="AO15" s="796"/>
      <c r="AP15" s="796"/>
      <c r="AQ15" s="796"/>
      <c r="AR15" s="862"/>
    </row>
    <row r="16" ht="12.75" customHeight="1" spans="1:44">
      <c r="A16" s="250" t="str">
        <f>CONCATENATE("1 - ",I4,", CONFORME CRONOGRAMA DE OBRAS, EM ",AO11," DIAS")</f>
        <v>1 - CONSTRUÇÃO DE PONTE RODOVIÁRIA EM CONCRETO ARMADO, CONFORME CRONOGRAMA DE OBRAS, EM 120 DIAS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1"/>
      <c r="AC16" s="251"/>
      <c r="AD16" s="251"/>
      <c r="AE16" s="251"/>
      <c r="AF16" s="251"/>
      <c r="AG16" s="251"/>
      <c r="AH16" s="251"/>
      <c r="AI16" s="251"/>
      <c r="AJ16" s="251"/>
      <c r="AK16" s="251"/>
      <c r="AL16" s="251"/>
      <c r="AM16" s="251"/>
      <c r="AN16" s="251"/>
      <c r="AO16" s="251"/>
      <c r="AP16" s="251"/>
      <c r="AQ16" s="251"/>
      <c r="AR16" s="252"/>
    </row>
    <row r="17" ht="12.75" customHeight="1" spans="1:44">
      <c r="A17" s="948" t="s">
        <v>718</v>
      </c>
      <c r="B17" s="949"/>
      <c r="C17" s="949"/>
      <c r="D17" s="949"/>
      <c r="E17" s="949"/>
      <c r="F17" s="949"/>
      <c r="G17" s="949"/>
      <c r="H17" s="949"/>
      <c r="I17" s="949"/>
      <c r="J17" s="949"/>
      <c r="K17" s="949"/>
      <c r="L17" s="949"/>
      <c r="M17" s="949"/>
      <c r="N17" s="949"/>
      <c r="O17" s="949"/>
      <c r="P17" s="949"/>
      <c r="Q17" s="949"/>
      <c r="R17" s="949"/>
      <c r="S17" s="949"/>
      <c r="T17" s="949"/>
      <c r="U17" s="949"/>
      <c r="V17" s="949"/>
      <c r="W17" s="949"/>
      <c r="X17" s="949"/>
      <c r="Y17" s="949"/>
      <c r="Z17" s="949"/>
      <c r="AA17" s="949"/>
      <c r="AB17" s="949"/>
      <c r="AC17" s="949"/>
      <c r="AD17" s="949"/>
      <c r="AE17" s="949"/>
      <c r="AF17" s="949"/>
      <c r="AG17" s="949"/>
      <c r="AH17" s="949"/>
      <c r="AI17" s="949"/>
      <c r="AJ17" s="949"/>
      <c r="AK17" s="950">
        <f>LARGE('Histograma MO'!646:646,1)</f>
        <v>15</v>
      </c>
      <c r="AL17" s="950"/>
      <c r="AM17" s="251" t="s">
        <v>719</v>
      </c>
      <c r="AN17" s="251"/>
      <c r="AO17" s="251"/>
      <c r="AP17" s="251"/>
      <c r="AQ17" s="251"/>
      <c r="AR17" s="252"/>
    </row>
    <row r="18" ht="12.75" customHeight="1" spans="1:44">
      <c r="A18" s="948" t="s">
        <v>720</v>
      </c>
      <c r="B18" s="949"/>
      <c r="C18" s="949"/>
      <c r="D18" s="949"/>
      <c r="E18" s="949"/>
      <c r="F18" s="949"/>
      <c r="G18" s="949"/>
      <c r="H18" s="949"/>
      <c r="I18" s="949"/>
      <c r="J18" s="949"/>
      <c r="K18" s="949"/>
      <c r="L18" s="949"/>
      <c r="M18" s="949"/>
      <c r="N18" s="949"/>
      <c r="O18" s="949"/>
      <c r="P18" s="949"/>
      <c r="Q18" s="949"/>
      <c r="R18" s="949"/>
      <c r="S18" s="949"/>
      <c r="T18" s="949"/>
      <c r="U18" s="949"/>
      <c r="V18" s="949"/>
      <c r="W18" s="949"/>
      <c r="X18" s="949"/>
      <c r="Y18" s="949"/>
      <c r="Z18" s="949"/>
      <c r="AA18" s="949"/>
      <c r="AB18" s="949"/>
      <c r="AC18" s="949"/>
      <c r="AD18" s="949"/>
      <c r="AE18" s="949"/>
      <c r="AF18" s="949"/>
      <c r="AG18" s="949"/>
      <c r="AH18" s="949"/>
      <c r="AI18" s="949"/>
      <c r="AJ18" s="949"/>
      <c r="AK18" s="950">
        <f>SUM('Adm Local'!Y19:Z19,'Adm Local'!Y30:Z30)</f>
        <v>3</v>
      </c>
      <c r="AL18" s="950"/>
      <c r="AM18" s="251" t="s">
        <v>719</v>
      </c>
      <c r="AN18" s="251"/>
      <c r="AO18" s="251"/>
      <c r="AP18" s="251"/>
      <c r="AQ18" s="251"/>
      <c r="AR18" s="252"/>
    </row>
    <row r="19" ht="12.75" customHeight="1" spans="1:44">
      <c r="A19" s="948" t="s">
        <v>721</v>
      </c>
      <c r="B19" s="949"/>
      <c r="C19" s="949"/>
      <c r="D19" s="949"/>
      <c r="E19" s="949"/>
      <c r="F19" s="949"/>
      <c r="G19" s="949"/>
      <c r="H19" s="949"/>
      <c r="I19" s="949"/>
      <c r="J19" s="949"/>
      <c r="K19" s="949"/>
      <c r="L19" s="949"/>
      <c r="M19" s="949"/>
      <c r="N19" s="949"/>
      <c r="O19" s="949"/>
      <c r="P19" s="949"/>
      <c r="Q19" s="949"/>
      <c r="R19" s="949"/>
      <c r="S19" s="949"/>
      <c r="T19" s="949"/>
      <c r="U19" s="949"/>
      <c r="V19" s="949"/>
      <c r="W19" s="949"/>
      <c r="X19" s="949"/>
      <c r="Y19" s="949"/>
      <c r="Z19" s="949"/>
      <c r="AA19" s="949"/>
      <c r="AB19" s="949"/>
      <c r="AC19" s="949"/>
      <c r="AD19" s="949"/>
      <c r="AE19" s="949"/>
      <c r="AF19" s="949"/>
      <c r="AG19" s="949"/>
      <c r="AH19" s="949"/>
      <c r="AI19" s="949"/>
      <c r="AJ19" s="949"/>
      <c r="AK19" s="950">
        <f>SUM('Adm Local'!Y45:Z46,'Adm Local'!Y55:Z55)</f>
        <v>4</v>
      </c>
      <c r="AL19" s="950"/>
      <c r="AM19" s="251" t="s">
        <v>719</v>
      </c>
      <c r="AN19" s="251"/>
      <c r="AO19" s="251"/>
      <c r="AP19" s="251"/>
      <c r="AQ19" s="251"/>
      <c r="AR19" s="252"/>
    </row>
    <row r="20" ht="12.75" customHeight="1" spans="1:44">
      <c r="A20" s="948" t="s">
        <v>722</v>
      </c>
      <c r="B20" s="949"/>
      <c r="C20" s="949"/>
      <c r="D20" s="949"/>
      <c r="E20" s="949"/>
      <c r="F20" s="949"/>
      <c r="G20" s="949"/>
      <c r="H20" s="949"/>
      <c r="I20" s="949"/>
      <c r="J20" s="949"/>
      <c r="K20" s="949"/>
      <c r="L20" s="949"/>
      <c r="M20" s="949"/>
      <c r="N20" s="949"/>
      <c r="O20" s="949"/>
      <c r="P20" s="949"/>
      <c r="Q20" s="949"/>
      <c r="R20" s="949"/>
      <c r="S20" s="949"/>
      <c r="T20" s="949"/>
      <c r="U20" s="949"/>
      <c r="V20" s="949"/>
      <c r="W20" s="949"/>
      <c r="X20" s="949"/>
      <c r="Y20" s="949"/>
      <c r="Z20" s="949"/>
      <c r="AA20" s="949"/>
      <c r="AB20" s="949"/>
      <c r="AC20" s="949"/>
      <c r="AD20" s="949"/>
      <c r="AE20" s="949"/>
      <c r="AF20" s="949"/>
      <c r="AG20" s="949"/>
      <c r="AH20" s="949"/>
      <c r="AI20" s="949"/>
      <c r="AJ20" s="949"/>
      <c r="AK20" s="950">
        <f>SUM('Adm Local'!Y68:Z69)</f>
        <v>3</v>
      </c>
      <c r="AL20" s="950"/>
      <c r="AM20" s="251" t="s">
        <v>719</v>
      </c>
      <c r="AN20" s="251"/>
      <c r="AO20" s="251"/>
      <c r="AP20" s="251"/>
      <c r="AQ20" s="251"/>
      <c r="AR20" s="252"/>
    </row>
    <row r="21" ht="12.75" customHeight="1" spans="1:44">
      <c r="A21" s="948" t="s">
        <v>723</v>
      </c>
      <c r="B21" s="949"/>
      <c r="C21" s="949"/>
      <c r="D21" s="949"/>
      <c r="E21" s="949"/>
      <c r="F21" s="949"/>
      <c r="G21" s="949"/>
      <c r="H21" s="949"/>
      <c r="I21" s="949"/>
      <c r="J21" s="949"/>
      <c r="K21" s="949"/>
      <c r="L21" s="949"/>
      <c r="M21" s="949"/>
      <c r="N21" s="949"/>
      <c r="O21" s="949"/>
      <c r="P21" s="949"/>
      <c r="Q21" s="949"/>
      <c r="R21" s="949"/>
      <c r="S21" s="949"/>
      <c r="T21" s="949"/>
      <c r="U21" s="949"/>
      <c r="V21" s="949"/>
      <c r="W21" s="949"/>
      <c r="X21" s="949"/>
      <c r="Y21" s="949"/>
      <c r="Z21" s="949"/>
      <c r="AA21" s="949"/>
      <c r="AB21" s="949"/>
      <c r="AC21" s="949"/>
      <c r="AD21" s="949"/>
      <c r="AE21" s="949"/>
      <c r="AF21" s="949"/>
      <c r="AG21" s="949"/>
      <c r="AH21" s="949"/>
      <c r="AI21" s="949"/>
      <c r="AJ21" s="949"/>
      <c r="AK21" s="951">
        <f>14.5-AK22</f>
        <v>7.3</v>
      </c>
      <c r="AL21" s="951"/>
      <c r="AM21" s="251" t="s">
        <v>724</v>
      </c>
      <c r="AN21" s="251"/>
      <c r="AO21" s="251"/>
      <c r="AP21" s="251"/>
      <c r="AQ21" s="251"/>
      <c r="AR21" s="252"/>
    </row>
    <row r="22" ht="12.75" customHeight="1" spans="1:44">
      <c r="A22" s="948" t="s">
        <v>725</v>
      </c>
      <c r="B22" s="949"/>
      <c r="C22" s="949"/>
      <c r="D22" s="949"/>
      <c r="E22" s="949"/>
      <c r="F22" s="949"/>
      <c r="G22" s="949"/>
      <c r="H22" s="949"/>
      <c r="I22" s="949"/>
      <c r="J22" s="949"/>
      <c r="K22" s="949"/>
      <c r="L22" s="949"/>
      <c r="M22" s="949"/>
      <c r="N22" s="949"/>
      <c r="O22" s="949"/>
      <c r="P22" s="949"/>
      <c r="Q22" s="949"/>
      <c r="R22" s="949"/>
      <c r="S22" s="949"/>
      <c r="T22" s="949"/>
      <c r="U22" s="949"/>
      <c r="V22" s="949"/>
      <c r="W22" s="949"/>
      <c r="X22" s="949"/>
      <c r="Y22" s="949"/>
      <c r="Z22" s="949"/>
      <c r="AA22" s="949"/>
      <c r="AB22" s="949"/>
      <c r="AC22" s="949"/>
      <c r="AD22" s="949"/>
      <c r="AE22" s="949"/>
      <c r="AF22" s="949"/>
      <c r="AG22" s="949"/>
      <c r="AH22" s="949"/>
      <c r="AI22" s="949"/>
      <c r="AJ22" s="949"/>
      <c r="AK22" s="951">
        <v>7.2</v>
      </c>
      <c r="AL22" s="951"/>
      <c r="AM22" s="251" t="s">
        <v>724</v>
      </c>
      <c r="AN22" s="251"/>
      <c r="AO22" s="251"/>
      <c r="AP22" s="251"/>
      <c r="AQ22" s="251"/>
      <c r="AR22" s="252"/>
    </row>
    <row r="23" ht="12.75" customHeight="1" spans="1:44">
      <c r="A23" s="948" t="s">
        <v>726</v>
      </c>
      <c r="B23" s="949"/>
      <c r="C23" s="949"/>
      <c r="D23" s="949"/>
      <c r="E23" s="949"/>
      <c r="F23" s="949"/>
      <c r="G23" s="949"/>
      <c r="H23" s="949"/>
      <c r="I23" s="949"/>
      <c r="J23" s="949"/>
      <c r="K23" s="949"/>
      <c r="L23" s="949"/>
      <c r="M23" s="949"/>
      <c r="N23" s="949"/>
      <c r="O23" s="949"/>
      <c r="P23" s="949"/>
      <c r="Q23" s="949"/>
      <c r="R23" s="949"/>
      <c r="S23" s="949"/>
      <c r="T23" s="949"/>
      <c r="U23" s="949"/>
      <c r="V23" s="949"/>
      <c r="W23" s="949"/>
      <c r="X23" s="949"/>
      <c r="Y23" s="949"/>
      <c r="Z23" s="949"/>
      <c r="AA23" s="949"/>
      <c r="AB23" s="949"/>
      <c r="AC23" s="949"/>
      <c r="AD23" s="949"/>
      <c r="AE23" s="949"/>
      <c r="AF23" s="949"/>
      <c r="AG23" s="949"/>
      <c r="AH23" s="949"/>
      <c r="AI23" s="949"/>
      <c r="AJ23" s="949"/>
      <c r="AK23" s="952" t="s">
        <v>727</v>
      </c>
      <c r="AL23" s="952"/>
      <c r="AM23" s="952"/>
      <c r="AN23" s="952"/>
      <c r="AO23" s="952"/>
      <c r="AP23" s="952"/>
      <c r="AQ23" s="952"/>
      <c r="AR23" s="953"/>
    </row>
    <row r="24" ht="12.75" customHeight="1" spans="1:44">
      <c r="A24" s="948" t="s">
        <v>728</v>
      </c>
      <c r="B24" s="949"/>
      <c r="C24" s="949"/>
      <c r="D24" s="949"/>
      <c r="E24" s="949"/>
      <c r="F24" s="949"/>
      <c r="G24" s="949"/>
      <c r="H24" s="949"/>
      <c r="I24" s="949"/>
      <c r="J24" s="949"/>
      <c r="K24" s="949"/>
      <c r="L24" s="949"/>
      <c r="M24" s="949"/>
      <c r="N24" s="949"/>
      <c r="O24" s="949"/>
      <c r="P24" s="949"/>
      <c r="Q24" s="949"/>
      <c r="R24" s="949"/>
      <c r="S24" s="949"/>
      <c r="T24" s="949"/>
      <c r="U24" s="949"/>
      <c r="V24" s="949"/>
      <c r="W24" s="949"/>
      <c r="X24" s="949"/>
      <c r="Y24" s="949"/>
      <c r="Z24" s="949"/>
      <c r="AA24" s="949"/>
      <c r="AB24" s="949"/>
      <c r="AC24" s="949"/>
      <c r="AD24" s="949"/>
      <c r="AE24" s="949"/>
      <c r="AF24" s="949"/>
      <c r="AG24" s="949"/>
      <c r="AH24" s="949"/>
      <c r="AI24" s="949"/>
      <c r="AJ24" s="949"/>
      <c r="AK24" s="954">
        <v>46023</v>
      </c>
      <c r="AL24" s="954"/>
      <c r="AM24" s="954"/>
      <c r="AN24" s="954"/>
      <c r="AO24" s="954"/>
      <c r="AP24" s="954"/>
      <c r="AQ24" s="954"/>
      <c r="AR24" s="955"/>
    </row>
    <row r="25" ht="12.75" customHeight="1" spans="1:44">
      <c r="A25" s="795" t="s">
        <v>729</v>
      </c>
      <c r="B25" s="796"/>
      <c r="C25" s="796"/>
      <c r="D25" s="796"/>
      <c r="E25" s="796"/>
      <c r="F25" s="796"/>
      <c r="G25" s="796"/>
      <c r="H25" s="796"/>
      <c r="I25" s="796"/>
      <c r="J25" s="796"/>
      <c r="K25" s="796"/>
      <c r="L25" s="796"/>
      <c r="M25" s="796"/>
      <c r="N25" s="796"/>
      <c r="O25" s="796"/>
      <c r="P25" s="796"/>
      <c r="Q25" s="796"/>
      <c r="R25" s="796"/>
      <c r="S25" s="796"/>
      <c r="T25" s="796"/>
      <c r="U25" s="796"/>
      <c r="V25" s="796"/>
      <c r="W25" s="796"/>
      <c r="X25" s="796"/>
      <c r="Y25" s="796"/>
      <c r="Z25" s="796"/>
      <c r="AA25" s="796"/>
      <c r="AB25" s="796"/>
      <c r="AC25" s="796"/>
      <c r="AD25" s="796"/>
      <c r="AE25" s="796"/>
      <c r="AF25" s="796"/>
      <c r="AG25" s="796"/>
      <c r="AH25" s="796"/>
      <c r="AI25" s="796"/>
      <c r="AJ25" s="796"/>
      <c r="AK25" s="796"/>
      <c r="AL25" s="796"/>
      <c r="AM25" s="796"/>
      <c r="AN25" s="796"/>
      <c r="AO25" s="796"/>
      <c r="AP25" s="796"/>
      <c r="AQ25" s="796"/>
      <c r="AR25" s="862"/>
    </row>
    <row r="26" s="610" customFormat="1" ht="12.75" customHeight="1" spans="1:44">
      <c r="A26" s="487"/>
      <c r="B26" s="488"/>
      <c r="C26" s="488"/>
      <c r="D26" s="488"/>
      <c r="E26" s="488"/>
      <c r="F26" s="488"/>
      <c r="G26" s="488"/>
      <c r="H26" s="488"/>
      <c r="I26" s="488"/>
      <c r="J26" s="488"/>
      <c r="K26" s="488"/>
      <c r="L26" s="488"/>
      <c r="M26" s="488"/>
      <c r="N26" s="488"/>
      <c r="O26" s="488"/>
      <c r="P26" s="488"/>
      <c r="Q26" s="488"/>
      <c r="R26" s="488"/>
      <c r="S26" s="488"/>
      <c r="T26" s="488"/>
      <c r="U26" s="488"/>
      <c r="V26" s="488"/>
      <c r="W26" s="488"/>
      <c r="X26" s="488"/>
      <c r="Y26" s="488"/>
      <c r="Z26" s="488"/>
      <c r="AA26" s="488"/>
      <c r="AB26" s="488"/>
      <c r="AC26" s="488"/>
      <c r="AD26" s="488"/>
      <c r="AE26" s="488"/>
      <c r="AF26" s="488"/>
      <c r="AG26" s="488"/>
      <c r="AH26" s="488"/>
      <c r="AI26" s="488"/>
      <c r="AJ26" s="488"/>
      <c r="AK26" s="488"/>
      <c r="AL26" s="488"/>
      <c r="AM26" s="488"/>
      <c r="AN26" s="488"/>
      <c r="AO26" s="488"/>
      <c r="AP26" s="488"/>
      <c r="AQ26" s="488"/>
      <c r="AR26" s="489"/>
    </row>
    <row r="27" s="610" customFormat="1" ht="12.75" customHeight="1" spans="1:44">
      <c r="A27" s="493"/>
      <c r="B27" s="494"/>
      <c r="C27" s="494"/>
      <c r="D27" s="494"/>
      <c r="E27" s="494"/>
      <c r="F27" s="494"/>
      <c r="G27" s="494"/>
      <c r="H27" s="494"/>
      <c r="I27" s="494"/>
      <c r="J27" s="494"/>
      <c r="K27" s="494"/>
      <c r="L27" s="494"/>
      <c r="M27" s="494"/>
      <c r="N27" s="494"/>
      <c r="O27" s="494"/>
      <c r="P27" s="494"/>
      <c r="Q27" s="494"/>
      <c r="R27" s="494"/>
      <c r="S27" s="494"/>
      <c r="T27" s="494"/>
      <c r="U27" s="494"/>
      <c r="V27" s="494"/>
      <c r="W27" s="494"/>
      <c r="X27" s="494"/>
      <c r="Y27" s="494"/>
      <c r="Z27" s="494"/>
      <c r="AA27" s="494"/>
      <c r="AB27" s="494"/>
      <c r="AC27" s="494"/>
      <c r="AD27" s="494"/>
      <c r="AE27" s="494"/>
      <c r="AF27" s="494"/>
      <c r="AG27" s="494"/>
      <c r="AH27" s="494"/>
      <c r="AI27" s="494"/>
      <c r="AJ27" s="494"/>
      <c r="AK27" s="494"/>
      <c r="AL27" s="494"/>
      <c r="AM27" s="494"/>
      <c r="AN27" s="494"/>
      <c r="AO27" s="494"/>
      <c r="AP27" s="494"/>
      <c r="AQ27" s="494"/>
      <c r="AR27" s="495"/>
    </row>
    <row r="28" s="610" customFormat="1" ht="12.75" customHeight="1" spans="1:44">
      <c r="A28" s="493"/>
      <c r="B28" s="494"/>
      <c r="C28" s="494"/>
      <c r="D28" s="494"/>
      <c r="E28" s="494"/>
      <c r="F28" s="494"/>
      <c r="G28" s="494"/>
      <c r="H28" s="494"/>
      <c r="I28" s="494"/>
      <c r="J28" s="494"/>
      <c r="K28" s="494"/>
      <c r="L28" s="494"/>
      <c r="M28" s="494"/>
      <c r="N28" s="494"/>
      <c r="O28" s="494"/>
      <c r="P28" s="494"/>
      <c r="Q28" s="494"/>
      <c r="R28" s="494"/>
      <c r="S28" s="494"/>
      <c r="T28" s="494"/>
      <c r="U28" s="494"/>
      <c r="V28" s="494"/>
      <c r="W28" s="494"/>
      <c r="X28" s="494"/>
      <c r="Y28" s="494"/>
      <c r="Z28" s="494"/>
      <c r="AA28" s="494"/>
      <c r="AB28" s="494"/>
      <c r="AC28" s="494"/>
      <c r="AD28" s="494"/>
      <c r="AE28" s="494"/>
      <c r="AF28" s="494"/>
      <c r="AG28" s="494"/>
      <c r="AH28" s="494"/>
      <c r="AI28" s="494"/>
      <c r="AJ28" s="494"/>
      <c r="AK28" s="494"/>
      <c r="AL28" s="494"/>
      <c r="AM28" s="494"/>
      <c r="AN28" s="494"/>
      <c r="AO28" s="494"/>
      <c r="AP28" s="494"/>
      <c r="AQ28" s="494"/>
      <c r="AR28" s="495"/>
    </row>
    <row r="29" s="610" customFormat="1" ht="12.75" customHeight="1" spans="1:44">
      <c r="A29" s="493"/>
      <c r="B29" s="494"/>
      <c r="C29" s="494"/>
      <c r="D29" s="494"/>
      <c r="E29" s="494"/>
      <c r="F29" s="494"/>
      <c r="G29" s="494"/>
      <c r="H29" s="494"/>
      <c r="I29" s="494"/>
      <c r="J29" s="494"/>
      <c r="K29" s="494"/>
      <c r="L29" s="494"/>
      <c r="M29" s="494"/>
      <c r="N29" s="494"/>
      <c r="O29" s="494"/>
      <c r="P29" s="494"/>
      <c r="Q29" s="494"/>
      <c r="R29" s="494"/>
      <c r="S29" s="494"/>
      <c r="T29" s="494"/>
      <c r="U29" s="494"/>
      <c r="V29" s="494"/>
      <c r="W29" s="494"/>
      <c r="X29" s="494"/>
      <c r="Y29" s="494"/>
      <c r="Z29" s="494"/>
      <c r="AA29" s="494"/>
      <c r="AB29" s="494"/>
      <c r="AC29" s="494"/>
      <c r="AD29" s="494"/>
      <c r="AE29" s="494"/>
      <c r="AF29" s="494"/>
      <c r="AG29" s="494"/>
      <c r="AH29" s="494"/>
      <c r="AI29" s="494"/>
      <c r="AJ29" s="494"/>
      <c r="AK29" s="494"/>
      <c r="AL29" s="494"/>
      <c r="AM29" s="494"/>
      <c r="AN29" s="494"/>
      <c r="AO29" s="494"/>
      <c r="AP29" s="494"/>
      <c r="AQ29" s="494"/>
      <c r="AR29" s="495"/>
    </row>
    <row r="30" s="610" customFormat="1" ht="12.75" customHeight="1" spans="1:44">
      <c r="A30" s="493"/>
      <c r="B30" s="494"/>
      <c r="C30" s="494"/>
      <c r="D30" s="494"/>
      <c r="E30" s="494"/>
      <c r="F30" s="494"/>
      <c r="G30" s="494"/>
      <c r="H30" s="494"/>
      <c r="I30" s="494"/>
      <c r="J30" s="494"/>
      <c r="K30" s="494"/>
      <c r="L30" s="494"/>
      <c r="M30" s="494"/>
      <c r="N30" s="494"/>
      <c r="O30" s="494"/>
      <c r="P30" s="494"/>
      <c r="Q30" s="494"/>
      <c r="R30" s="494"/>
      <c r="S30" s="494"/>
      <c r="T30" s="494"/>
      <c r="U30" s="494"/>
      <c r="V30" s="494"/>
      <c r="W30" s="494"/>
      <c r="X30" s="494"/>
      <c r="Y30" s="494"/>
      <c r="Z30" s="494"/>
      <c r="AA30" s="494"/>
      <c r="AB30" s="494"/>
      <c r="AC30" s="494"/>
      <c r="AD30" s="494"/>
      <c r="AE30" s="494"/>
      <c r="AF30" s="494"/>
      <c r="AG30" s="494"/>
      <c r="AH30" s="494"/>
      <c r="AI30" s="494"/>
      <c r="AJ30" s="494"/>
      <c r="AK30" s="494"/>
      <c r="AL30" s="494"/>
      <c r="AM30" s="494"/>
      <c r="AN30" s="494"/>
      <c r="AO30" s="494"/>
      <c r="AP30" s="494"/>
      <c r="AQ30" s="494"/>
      <c r="AR30" s="495"/>
    </row>
    <row r="31" s="610" customFormat="1" ht="12.75" customHeight="1" spans="1:44">
      <c r="A31" s="493"/>
      <c r="B31" s="494"/>
      <c r="C31" s="494"/>
      <c r="D31" s="494"/>
      <c r="E31" s="494"/>
      <c r="F31" s="494"/>
      <c r="G31" s="494"/>
      <c r="H31" s="494"/>
      <c r="I31" s="494"/>
      <c r="J31" s="494"/>
      <c r="K31" s="494"/>
      <c r="L31" s="494"/>
      <c r="M31" s="494"/>
      <c r="N31" s="494"/>
      <c r="O31" s="494"/>
      <c r="P31" s="494"/>
      <c r="Q31" s="494"/>
      <c r="R31" s="494"/>
      <c r="S31" s="494"/>
      <c r="T31" s="494"/>
      <c r="U31" s="494"/>
      <c r="V31" s="494"/>
      <c r="W31" s="494"/>
      <c r="X31" s="494"/>
      <c r="Y31" s="494"/>
      <c r="Z31" s="494"/>
      <c r="AA31" s="494"/>
      <c r="AB31" s="494"/>
      <c r="AC31" s="494"/>
      <c r="AD31" s="494"/>
      <c r="AE31" s="494"/>
      <c r="AF31" s="494"/>
      <c r="AG31" s="494"/>
      <c r="AH31" s="494"/>
      <c r="AI31" s="494"/>
      <c r="AJ31" s="494"/>
      <c r="AK31" s="494"/>
      <c r="AL31" s="494"/>
      <c r="AM31" s="494"/>
      <c r="AN31" s="494"/>
      <c r="AO31" s="494"/>
      <c r="AP31" s="494"/>
      <c r="AQ31" s="494"/>
      <c r="AR31" s="495"/>
    </row>
    <row r="32" s="610" customFormat="1" ht="12.75" customHeight="1" spans="1:44">
      <c r="A32" s="493"/>
      <c r="B32" s="494"/>
      <c r="C32" s="494"/>
      <c r="D32" s="494"/>
      <c r="E32" s="494"/>
      <c r="F32" s="494"/>
      <c r="G32" s="494"/>
      <c r="H32" s="494"/>
      <c r="I32" s="494"/>
      <c r="J32" s="494"/>
      <c r="K32" s="494"/>
      <c r="L32" s="494"/>
      <c r="M32" s="494"/>
      <c r="N32" s="494"/>
      <c r="O32" s="494"/>
      <c r="P32" s="494"/>
      <c r="Q32" s="494"/>
      <c r="R32" s="494"/>
      <c r="S32" s="494"/>
      <c r="T32" s="494"/>
      <c r="U32" s="494"/>
      <c r="V32" s="494"/>
      <c r="W32" s="494"/>
      <c r="X32" s="494"/>
      <c r="Y32" s="494"/>
      <c r="Z32" s="494"/>
      <c r="AA32" s="494"/>
      <c r="AB32" s="494"/>
      <c r="AC32" s="494"/>
      <c r="AD32" s="494"/>
      <c r="AE32" s="494"/>
      <c r="AF32" s="494"/>
      <c r="AG32" s="494"/>
      <c r="AH32" s="494"/>
      <c r="AI32" s="494"/>
      <c r="AJ32" s="494"/>
      <c r="AK32" s="494"/>
      <c r="AL32" s="494"/>
      <c r="AM32" s="494"/>
      <c r="AN32" s="494"/>
      <c r="AO32" s="494"/>
      <c r="AP32" s="494"/>
      <c r="AQ32" s="494"/>
      <c r="AR32" s="495"/>
    </row>
    <row r="33" s="610" customFormat="1" ht="12.75" customHeight="1" spans="1:44">
      <c r="A33" s="500"/>
      <c r="B33" s="501"/>
      <c r="C33" s="501"/>
      <c r="D33" s="501"/>
      <c r="E33" s="501"/>
      <c r="F33" s="501"/>
      <c r="G33" s="501"/>
      <c r="H33" s="501"/>
      <c r="I33" s="501"/>
      <c r="J33" s="501"/>
      <c r="K33" s="501"/>
      <c r="L33" s="501"/>
      <c r="M33" s="501"/>
      <c r="N33" s="501"/>
      <c r="O33" s="501"/>
      <c r="P33" s="501"/>
      <c r="Q33" s="501"/>
      <c r="R33" s="501"/>
      <c r="S33" s="501"/>
      <c r="T33" s="501"/>
      <c r="U33" s="501"/>
      <c r="V33" s="501"/>
      <c r="W33" s="501"/>
      <c r="X33" s="501"/>
      <c r="Y33" s="501"/>
      <c r="Z33" s="501"/>
      <c r="AA33" s="501"/>
      <c r="AB33" s="501"/>
      <c r="AC33" s="501"/>
      <c r="AD33" s="501"/>
      <c r="AE33" s="501"/>
      <c r="AF33" s="501"/>
      <c r="AG33" s="501"/>
      <c r="AH33" s="501"/>
      <c r="AI33" s="501"/>
      <c r="AJ33" s="501"/>
      <c r="AK33" s="501"/>
      <c r="AL33" s="501"/>
      <c r="AM33" s="501"/>
      <c r="AN33" s="501"/>
      <c r="AO33" s="501"/>
      <c r="AP33" s="501"/>
      <c r="AQ33" s="501"/>
      <c r="AR33" s="502"/>
    </row>
    <row r="34" ht="12.75" customHeight="1" spans="1:44">
      <c r="A34" s="250" t="s">
        <v>730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1"/>
      <c r="T34" s="251"/>
      <c r="U34" s="251"/>
      <c r="V34" s="251"/>
      <c r="W34" s="251"/>
      <c r="X34" s="251"/>
      <c r="Y34" s="251"/>
      <c r="Z34" s="251"/>
      <c r="AA34" s="251"/>
      <c r="AB34" s="251"/>
      <c r="AC34" s="251"/>
      <c r="AD34" s="251"/>
      <c r="AE34" s="251"/>
      <c r="AF34" s="251"/>
      <c r="AG34" s="251"/>
      <c r="AH34" s="251"/>
      <c r="AI34" s="251"/>
      <c r="AJ34" s="251"/>
      <c r="AK34" s="251"/>
      <c r="AL34" s="251"/>
      <c r="AM34" s="251"/>
      <c r="AN34" s="251"/>
      <c r="AO34" s="251"/>
      <c r="AP34" s="251"/>
      <c r="AQ34" s="251"/>
      <c r="AR34" s="252"/>
    </row>
    <row r="35" customHeight="1" spans="1:44">
      <c r="A35" s="956" t="s">
        <v>731</v>
      </c>
      <c r="B35" s="957"/>
      <c r="C35" s="957"/>
      <c r="D35" s="957"/>
      <c r="E35" s="957"/>
      <c r="F35" s="957"/>
      <c r="G35" s="957"/>
      <c r="H35" s="957"/>
      <c r="I35" s="957"/>
      <c r="J35" s="957"/>
      <c r="K35" s="957"/>
      <c r="L35" s="957"/>
      <c r="M35" s="957"/>
      <c r="N35" s="957"/>
      <c r="O35" s="957"/>
      <c r="P35" s="957"/>
      <c r="Q35" s="957"/>
      <c r="R35" s="957"/>
      <c r="S35" s="957"/>
      <c r="T35" s="957"/>
      <c r="U35" s="957"/>
      <c r="V35" s="957"/>
      <c r="W35" s="957"/>
      <c r="X35" s="957"/>
      <c r="Y35" s="957"/>
      <c r="Z35" s="957"/>
      <c r="AA35" s="957"/>
      <c r="AB35" s="957"/>
      <c r="AC35" s="957"/>
      <c r="AD35" s="957"/>
      <c r="AE35" s="957"/>
      <c r="AF35" s="957"/>
      <c r="AG35" s="957"/>
      <c r="AH35" s="957"/>
      <c r="AI35" s="957"/>
      <c r="AJ35" s="957"/>
      <c r="AK35" s="957"/>
      <c r="AL35" s="957"/>
      <c r="AM35" s="957"/>
      <c r="AN35" s="957"/>
      <c r="AO35" s="957"/>
      <c r="AP35" s="957"/>
      <c r="AQ35" s="957"/>
      <c r="AR35" s="958"/>
    </row>
    <row r="36" ht="12.75" customHeight="1" spans="1:44">
      <c r="A36" s="959" t="s">
        <v>732</v>
      </c>
      <c r="B36" s="960"/>
      <c r="C36" s="960"/>
      <c r="D36" s="960"/>
      <c r="E36" s="960"/>
      <c r="F36" s="960"/>
      <c r="G36" s="960"/>
      <c r="H36" s="960"/>
      <c r="I36" s="960"/>
      <c r="J36" s="960"/>
      <c r="K36" s="960"/>
      <c r="L36" s="960"/>
      <c r="M36" s="960"/>
      <c r="N36" s="960"/>
      <c r="O36" s="960"/>
      <c r="P36" s="960"/>
      <c r="Q36" s="960"/>
      <c r="R36" s="960"/>
      <c r="S36" s="960"/>
      <c r="T36" s="960"/>
      <c r="U36" s="960"/>
      <c r="V36" s="960"/>
      <c r="W36" s="960"/>
      <c r="X36" s="960"/>
      <c r="Y36" s="960"/>
      <c r="Z36" s="960"/>
      <c r="AA36" s="960"/>
      <c r="AB36" s="960"/>
      <c r="AC36" s="960"/>
      <c r="AD36" s="960"/>
      <c r="AE36" s="960"/>
      <c r="AF36" s="960"/>
      <c r="AG36" s="960"/>
      <c r="AH36" s="960"/>
      <c r="AI36" s="960"/>
      <c r="AJ36" s="960"/>
      <c r="AK36" s="960"/>
      <c r="AL36" s="960"/>
      <c r="AM36" s="960"/>
      <c r="AN36" s="960"/>
      <c r="AO36" s="960"/>
      <c r="AP36" s="960"/>
      <c r="AQ36" s="960"/>
      <c r="AR36" s="961"/>
    </row>
    <row r="37" ht="12.75" customHeight="1" spans="1:44">
      <c r="A37" s="962" t="str">
        <f>CONCATENATE("Nmo = ",AK17," =")</f>
        <v>Nmo = 15 =</v>
      </c>
      <c r="B37" s="963"/>
      <c r="C37" s="963"/>
      <c r="D37" s="963"/>
      <c r="E37" s="963"/>
      <c r="F37" s="963"/>
      <c r="G37" s="963"/>
      <c r="H37" s="963"/>
      <c r="I37" s="963"/>
      <c r="J37" s="950">
        <f>ROUND(AK17,0)</f>
        <v>15</v>
      </c>
      <c r="K37" s="950"/>
      <c r="L37" s="950"/>
      <c r="M37" s="251" t="s">
        <v>733</v>
      </c>
      <c r="N37" s="251"/>
      <c r="O37" s="251"/>
      <c r="P37" s="251"/>
      <c r="Q37" s="251"/>
      <c r="R37" s="251"/>
      <c r="S37" s="812"/>
      <c r="T37" s="812"/>
      <c r="U37" s="812"/>
      <c r="V37" s="812"/>
      <c r="W37" s="812"/>
      <c r="X37" s="812"/>
      <c r="Y37" s="812"/>
      <c r="Z37" s="812"/>
      <c r="AA37" s="812"/>
      <c r="AB37" s="812"/>
      <c r="AC37" s="812"/>
      <c r="AD37" s="812"/>
      <c r="AE37" s="812"/>
      <c r="AF37" s="812"/>
      <c r="AG37" s="812"/>
      <c r="AH37" s="812"/>
      <c r="AI37" s="812"/>
      <c r="AJ37" s="812"/>
      <c r="AK37" s="812"/>
      <c r="AL37" s="812"/>
      <c r="AM37" s="812"/>
      <c r="AN37" s="812"/>
      <c r="AO37" s="812"/>
      <c r="AP37" s="812"/>
      <c r="AQ37" s="812"/>
      <c r="AR37" s="964"/>
    </row>
    <row r="38" ht="12.75" customHeight="1" spans="1:44">
      <c r="A38" s="965" t="s">
        <v>734</v>
      </c>
      <c r="B38" s="966"/>
      <c r="C38" s="966"/>
      <c r="D38" s="966"/>
      <c r="E38" s="966"/>
      <c r="F38" s="966"/>
      <c r="G38" s="966"/>
      <c r="H38" s="966"/>
      <c r="I38" s="966"/>
      <c r="J38" s="966"/>
      <c r="K38" s="966"/>
      <c r="L38" s="966"/>
      <c r="M38" s="966"/>
      <c r="N38" s="966"/>
      <c r="O38" s="966"/>
      <c r="P38" s="966"/>
      <c r="Q38" s="966"/>
      <c r="R38" s="966"/>
      <c r="S38" s="966"/>
      <c r="T38" s="966"/>
      <c r="U38" s="966"/>
      <c r="V38" s="966"/>
      <c r="W38" s="966"/>
      <c r="X38" s="966"/>
      <c r="Y38" s="966"/>
      <c r="Z38" s="966"/>
      <c r="AA38" s="966"/>
      <c r="AB38" s="966"/>
      <c r="AC38" s="966"/>
      <c r="AD38" s="966"/>
      <c r="AE38" s="966"/>
      <c r="AF38" s="966"/>
      <c r="AG38" s="966"/>
      <c r="AH38" s="966"/>
      <c r="AI38" s="966"/>
      <c r="AJ38" s="966"/>
      <c r="AK38" s="966"/>
      <c r="AL38" s="966"/>
      <c r="AM38" s="966"/>
      <c r="AN38" s="966"/>
      <c r="AO38" s="966"/>
      <c r="AP38" s="966"/>
      <c r="AQ38" s="966"/>
      <c r="AR38" s="967"/>
    </row>
    <row r="39" ht="12.75" customHeight="1" spans="1:44">
      <c r="A39" s="962" t="str">
        <f>CONCATENATE("Npv = 1,33 x ",AK20," =")</f>
        <v>Npv = 1,33 x 3 =</v>
      </c>
      <c r="B39" s="963"/>
      <c r="C39" s="963"/>
      <c r="D39" s="963"/>
      <c r="E39" s="963"/>
      <c r="F39" s="963"/>
      <c r="G39" s="963"/>
      <c r="H39" s="963"/>
      <c r="I39" s="963"/>
      <c r="J39" s="950">
        <f>ROUND(1.33*AK20,0)</f>
        <v>4</v>
      </c>
      <c r="K39" s="950"/>
      <c r="L39" s="950"/>
      <c r="M39" s="251" t="s">
        <v>733</v>
      </c>
      <c r="N39" s="251"/>
      <c r="O39" s="251"/>
      <c r="P39" s="251"/>
      <c r="Q39" s="251"/>
      <c r="R39" s="251"/>
      <c r="S39" s="812"/>
      <c r="T39" s="812"/>
      <c r="U39" s="812"/>
      <c r="V39" s="812"/>
      <c r="W39" s="812"/>
      <c r="X39" s="812"/>
      <c r="Y39" s="812"/>
      <c r="Z39" s="812"/>
      <c r="AA39" s="812"/>
      <c r="AB39" s="812"/>
      <c r="AC39" s="812"/>
      <c r="AD39" s="812"/>
      <c r="AE39" s="812"/>
      <c r="AF39" s="812"/>
      <c r="AG39" s="812"/>
      <c r="AH39" s="812"/>
      <c r="AI39" s="812"/>
      <c r="AJ39" s="812"/>
      <c r="AK39" s="812"/>
      <c r="AL39" s="812"/>
      <c r="AM39" s="812"/>
      <c r="AN39" s="812"/>
      <c r="AO39" s="812"/>
      <c r="AP39" s="812"/>
      <c r="AQ39" s="812"/>
      <c r="AR39" s="964"/>
    </row>
    <row r="40" ht="12.75" customHeight="1" spans="1:44">
      <c r="A40" s="965" t="s">
        <v>735</v>
      </c>
      <c r="B40" s="966"/>
      <c r="C40" s="966"/>
      <c r="D40" s="966"/>
      <c r="E40" s="966"/>
      <c r="F40" s="966"/>
      <c r="G40" s="966"/>
      <c r="H40" s="966"/>
      <c r="I40" s="966"/>
      <c r="J40" s="966"/>
      <c r="K40" s="966"/>
      <c r="L40" s="966"/>
      <c r="M40" s="966"/>
      <c r="N40" s="966"/>
      <c r="O40" s="966"/>
      <c r="P40" s="966"/>
      <c r="Q40" s="966"/>
      <c r="R40" s="966"/>
      <c r="S40" s="966"/>
      <c r="T40" s="966"/>
      <c r="U40" s="966"/>
      <c r="V40" s="966"/>
      <c r="W40" s="966"/>
      <c r="X40" s="966"/>
      <c r="Y40" s="966"/>
      <c r="Z40" s="966"/>
      <c r="AA40" s="966"/>
      <c r="AB40" s="966"/>
      <c r="AC40" s="966"/>
      <c r="AD40" s="966"/>
      <c r="AE40" s="966"/>
      <c r="AF40" s="966"/>
      <c r="AG40" s="966"/>
      <c r="AH40" s="966"/>
      <c r="AI40" s="966"/>
      <c r="AJ40" s="966"/>
      <c r="AK40" s="966"/>
      <c r="AL40" s="966"/>
      <c r="AM40" s="966"/>
      <c r="AN40" s="966"/>
      <c r="AO40" s="966"/>
      <c r="AP40" s="966"/>
      <c r="AQ40" s="966"/>
      <c r="AR40" s="967"/>
    </row>
    <row r="41" ht="12.75" customHeight="1" spans="1:44">
      <c r="A41" s="962" t="s">
        <v>736</v>
      </c>
      <c r="B41" s="963"/>
      <c r="C41" s="963"/>
      <c r="D41" s="963"/>
      <c r="E41" s="963"/>
      <c r="F41" s="963"/>
      <c r="G41" s="963"/>
      <c r="H41" s="963"/>
      <c r="I41" s="963"/>
      <c r="J41" s="950">
        <f>AK18</f>
        <v>3</v>
      </c>
      <c r="K41" s="950"/>
      <c r="L41" s="950"/>
      <c r="M41" s="251" t="s">
        <v>733</v>
      </c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811"/>
      <c r="Y41" s="811"/>
      <c r="Z41" s="811"/>
      <c r="AA41" s="811"/>
      <c r="AB41" s="811"/>
      <c r="AC41" s="811"/>
      <c r="AD41" s="811"/>
      <c r="AE41" s="811"/>
      <c r="AF41" s="811"/>
      <c r="AG41" s="811"/>
      <c r="AH41" s="811"/>
      <c r="AI41" s="811"/>
      <c r="AJ41" s="811"/>
      <c r="AK41" s="811"/>
      <c r="AL41" s="811"/>
      <c r="AM41" s="811"/>
      <c r="AN41" s="812"/>
      <c r="AO41" s="812"/>
      <c r="AP41" s="812"/>
      <c r="AQ41" s="812"/>
      <c r="AR41" s="964"/>
    </row>
    <row r="42" ht="12.75" customHeight="1" spans="1:44">
      <c r="A42" s="965" t="s">
        <v>737</v>
      </c>
      <c r="B42" s="966"/>
      <c r="C42" s="966"/>
      <c r="D42" s="966"/>
      <c r="E42" s="966"/>
      <c r="F42" s="966"/>
      <c r="G42" s="966"/>
      <c r="H42" s="966"/>
      <c r="I42" s="966"/>
      <c r="J42" s="966"/>
      <c r="K42" s="966"/>
      <c r="L42" s="966"/>
      <c r="M42" s="966"/>
      <c r="N42" s="966"/>
      <c r="O42" s="966"/>
      <c r="P42" s="966"/>
      <c r="Q42" s="966"/>
      <c r="R42" s="966"/>
      <c r="S42" s="966"/>
      <c r="T42" s="966"/>
      <c r="U42" s="966"/>
      <c r="V42" s="966"/>
      <c r="W42" s="966"/>
      <c r="X42" s="966"/>
      <c r="Y42" s="966"/>
      <c r="Z42" s="966"/>
      <c r="AA42" s="966"/>
      <c r="AB42" s="966"/>
      <c r="AC42" s="966"/>
      <c r="AD42" s="966"/>
      <c r="AE42" s="966"/>
      <c r="AF42" s="966"/>
      <c r="AG42" s="966"/>
      <c r="AH42" s="966"/>
      <c r="AI42" s="966"/>
      <c r="AJ42" s="966"/>
      <c r="AK42" s="966"/>
      <c r="AL42" s="966"/>
      <c r="AM42" s="966"/>
      <c r="AN42" s="966"/>
      <c r="AO42" s="966"/>
      <c r="AP42" s="966"/>
      <c r="AQ42" s="966"/>
      <c r="AR42" s="967"/>
    </row>
    <row r="43" ht="12.75" customHeight="1" spans="1:44">
      <c r="A43" s="962" t="s">
        <v>738</v>
      </c>
      <c r="B43" s="963"/>
      <c r="C43" s="963"/>
      <c r="D43" s="963"/>
      <c r="E43" s="963"/>
      <c r="F43" s="963"/>
      <c r="G43" s="963"/>
      <c r="H43" s="963"/>
      <c r="I43" s="963"/>
      <c r="J43" s="950">
        <f>AK18+AK19</f>
        <v>7</v>
      </c>
      <c r="K43" s="950"/>
      <c r="L43" s="950"/>
      <c r="M43" s="251" t="s">
        <v>733</v>
      </c>
      <c r="N43" s="251"/>
      <c r="O43" s="251"/>
      <c r="P43" s="251"/>
      <c r="Q43" s="251"/>
      <c r="R43" s="251"/>
      <c r="S43" s="251"/>
      <c r="T43" s="251"/>
      <c r="U43" s="251"/>
      <c r="V43" s="251"/>
      <c r="W43" s="251"/>
      <c r="X43" s="811"/>
      <c r="Y43" s="811"/>
      <c r="Z43" s="811"/>
      <c r="AA43" s="811"/>
      <c r="AB43" s="811"/>
      <c r="AC43" s="811"/>
      <c r="AD43" s="811"/>
      <c r="AE43" s="811"/>
      <c r="AF43" s="811"/>
      <c r="AG43" s="811"/>
      <c r="AH43" s="811"/>
      <c r="AI43" s="811"/>
      <c r="AJ43" s="811"/>
      <c r="AK43" s="811"/>
      <c r="AL43" s="811"/>
      <c r="AM43" s="811"/>
      <c r="AN43" s="812"/>
      <c r="AO43" s="812"/>
      <c r="AP43" s="812"/>
      <c r="AQ43" s="812"/>
      <c r="AR43" s="964"/>
    </row>
    <row r="44" ht="12.75" customHeight="1" spans="1:44">
      <c r="A44" s="965" t="s">
        <v>739</v>
      </c>
      <c r="B44" s="966"/>
      <c r="C44" s="966"/>
      <c r="D44" s="966"/>
      <c r="E44" s="966"/>
      <c r="F44" s="966"/>
      <c r="G44" s="966"/>
      <c r="H44" s="966"/>
      <c r="I44" s="966"/>
      <c r="J44" s="966"/>
      <c r="K44" s="966"/>
      <c r="L44" s="966"/>
      <c r="M44" s="966"/>
      <c r="N44" s="966"/>
      <c r="O44" s="966"/>
      <c r="P44" s="966"/>
      <c r="Q44" s="966"/>
      <c r="R44" s="966"/>
      <c r="S44" s="966"/>
      <c r="T44" s="966"/>
      <c r="U44" s="966"/>
      <c r="V44" s="966"/>
      <c r="W44" s="966"/>
      <c r="X44" s="966"/>
      <c r="Y44" s="966"/>
      <c r="Z44" s="966"/>
      <c r="AA44" s="966"/>
      <c r="AB44" s="966"/>
      <c r="AC44" s="966"/>
      <c r="AD44" s="966"/>
      <c r="AE44" s="966"/>
      <c r="AF44" s="966"/>
      <c r="AG44" s="966"/>
      <c r="AH44" s="966"/>
      <c r="AI44" s="966"/>
      <c r="AJ44" s="966"/>
      <c r="AK44" s="966"/>
      <c r="AL44" s="966"/>
      <c r="AM44" s="966"/>
      <c r="AN44" s="966"/>
      <c r="AO44" s="966"/>
      <c r="AP44" s="966"/>
      <c r="AQ44" s="966"/>
      <c r="AR44" s="967"/>
    </row>
    <row r="45" ht="12.75" customHeight="1" spans="1:44">
      <c r="A45" s="962" t="s">
        <v>740</v>
      </c>
      <c r="B45" s="963"/>
      <c r="C45" s="963"/>
      <c r="D45" s="963"/>
      <c r="E45" s="963"/>
      <c r="F45" s="963"/>
      <c r="G45" s="963"/>
      <c r="H45" s="963"/>
      <c r="I45" s="963"/>
      <c r="J45" s="739">
        <f>ROUND(0.5*(J37+J39)+J43,0)</f>
        <v>17</v>
      </c>
      <c r="K45" s="739"/>
      <c r="L45" s="739"/>
      <c r="M45" s="251" t="s">
        <v>733</v>
      </c>
      <c r="N45" s="251"/>
      <c r="O45" s="251"/>
      <c r="P45" s="251"/>
      <c r="Q45" s="251"/>
      <c r="R45" s="251"/>
      <c r="S45" s="812"/>
      <c r="T45" s="812"/>
      <c r="U45" s="812"/>
      <c r="V45" s="812"/>
      <c r="W45" s="812"/>
      <c r="X45" s="812"/>
      <c r="Y45" s="812"/>
      <c r="Z45" s="812"/>
      <c r="AA45" s="812"/>
      <c r="AB45" s="812"/>
      <c r="AC45" s="812"/>
      <c r="AD45" s="812"/>
      <c r="AE45" s="812"/>
      <c r="AF45" s="812"/>
      <c r="AG45" s="812"/>
      <c r="AH45" s="812"/>
      <c r="AI45" s="812"/>
      <c r="AJ45" s="812"/>
      <c r="AK45" s="812"/>
      <c r="AL45" s="812"/>
      <c r="AM45" s="812"/>
      <c r="AN45" s="812"/>
      <c r="AO45" s="812"/>
      <c r="AP45" s="812"/>
      <c r="AQ45" s="812"/>
      <c r="AR45" s="964"/>
    </row>
    <row r="46" ht="12.75" customHeight="1" spans="1:44">
      <c r="A46" s="965" t="s">
        <v>741</v>
      </c>
      <c r="B46" s="966"/>
      <c r="C46" s="966"/>
      <c r="D46" s="966"/>
      <c r="E46" s="966"/>
      <c r="F46" s="966"/>
      <c r="G46" s="966"/>
      <c r="H46" s="966"/>
      <c r="I46" s="966"/>
      <c r="J46" s="966"/>
      <c r="K46" s="966"/>
      <c r="L46" s="966"/>
      <c r="M46" s="966"/>
      <c r="N46" s="966"/>
      <c r="O46" s="966"/>
      <c r="P46" s="966"/>
      <c r="Q46" s="966"/>
      <c r="R46" s="966"/>
      <c r="S46" s="966"/>
      <c r="T46" s="966"/>
      <c r="U46" s="966"/>
      <c r="V46" s="966"/>
      <c r="W46" s="966"/>
      <c r="X46" s="966"/>
      <c r="Y46" s="966"/>
      <c r="Z46" s="966"/>
      <c r="AA46" s="966"/>
      <c r="AB46" s="966"/>
      <c r="AC46" s="966"/>
      <c r="AD46" s="966"/>
      <c r="AE46" s="966"/>
      <c r="AF46" s="966"/>
      <c r="AG46" s="966"/>
      <c r="AH46" s="966"/>
      <c r="AI46" s="966"/>
      <c r="AJ46" s="966"/>
      <c r="AK46" s="966"/>
      <c r="AL46" s="966"/>
      <c r="AM46" s="966"/>
      <c r="AN46" s="966"/>
      <c r="AO46" s="966"/>
      <c r="AP46" s="966"/>
      <c r="AQ46" s="966"/>
      <c r="AR46" s="967"/>
    </row>
    <row r="47" ht="12.75" customHeight="1" spans="1:44">
      <c r="A47" s="962" t="s">
        <v>742</v>
      </c>
      <c r="B47" s="963"/>
      <c r="C47" s="963"/>
      <c r="D47" s="963"/>
      <c r="E47" s="963"/>
      <c r="F47" s="963"/>
      <c r="G47" s="963"/>
      <c r="H47" s="963"/>
      <c r="I47" s="963"/>
      <c r="J47" s="950">
        <f>J37+J39+J43</f>
        <v>26</v>
      </c>
      <c r="K47" s="950"/>
      <c r="L47" s="950"/>
      <c r="M47" s="251" t="s">
        <v>733</v>
      </c>
      <c r="N47" s="251"/>
      <c r="O47" s="251"/>
      <c r="P47" s="251"/>
      <c r="Q47" s="251"/>
      <c r="R47" s="251"/>
      <c r="S47" s="812"/>
      <c r="T47" s="812"/>
      <c r="U47" s="812"/>
      <c r="V47" s="812"/>
      <c r="W47" s="812"/>
      <c r="X47" s="812"/>
      <c r="Y47" s="812"/>
      <c r="Z47" s="812"/>
      <c r="AA47" s="812"/>
      <c r="AB47" s="812"/>
      <c r="AC47" s="812"/>
      <c r="AD47" s="812"/>
      <c r="AE47" s="812"/>
      <c r="AF47" s="812"/>
      <c r="AG47" s="812"/>
      <c r="AH47" s="812"/>
      <c r="AI47" s="812"/>
      <c r="AJ47" s="812"/>
      <c r="AK47" s="812"/>
      <c r="AL47" s="812"/>
      <c r="AM47" s="812"/>
      <c r="AN47" s="812"/>
      <c r="AO47" s="812"/>
      <c r="AP47" s="812"/>
      <c r="AQ47" s="812"/>
      <c r="AR47" s="964"/>
    </row>
    <row r="48" ht="12.75" customHeight="1" spans="1:44">
      <c r="A48" s="795" t="s">
        <v>743</v>
      </c>
      <c r="B48" s="796"/>
      <c r="C48" s="796"/>
      <c r="D48" s="796"/>
      <c r="E48" s="796"/>
      <c r="F48" s="796"/>
      <c r="G48" s="796"/>
      <c r="H48" s="796"/>
      <c r="I48" s="796"/>
      <c r="J48" s="796"/>
      <c r="K48" s="796"/>
      <c r="L48" s="796"/>
      <c r="M48" s="796"/>
      <c r="N48" s="796"/>
      <c r="O48" s="796"/>
      <c r="P48" s="796"/>
      <c r="Q48" s="796"/>
      <c r="R48" s="796"/>
      <c r="S48" s="796"/>
      <c r="T48" s="796"/>
      <c r="U48" s="796"/>
      <c r="V48" s="796"/>
      <c r="W48" s="796"/>
      <c r="X48" s="796"/>
      <c r="Y48" s="796"/>
      <c r="Z48" s="796"/>
      <c r="AA48" s="796"/>
      <c r="AB48" s="796"/>
      <c r="AC48" s="796"/>
      <c r="AD48" s="796"/>
      <c r="AE48" s="796"/>
      <c r="AF48" s="796"/>
      <c r="AG48" s="796"/>
      <c r="AH48" s="796"/>
      <c r="AI48" s="796"/>
      <c r="AJ48" s="796"/>
      <c r="AK48" s="796"/>
      <c r="AL48" s="796"/>
      <c r="AM48" s="796"/>
      <c r="AN48" s="796"/>
      <c r="AO48" s="796"/>
      <c r="AP48" s="796"/>
      <c r="AQ48" s="796"/>
      <c r="AR48" s="862"/>
    </row>
    <row r="49" ht="12.75" customHeight="1" spans="1:50">
      <c r="A49" s="962" t="s">
        <v>744</v>
      </c>
      <c r="B49" s="963"/>
      <c r="C49" s="963"/>
      <c r="D49" s="963"/>
      <c r="E49" s="963"/>
      <c r="F49" s="963"/>
      <c r="G49" s="963"/>
      <c r="H49" s="963"/>
      <c r="I49" s="963"/>
      <c r="J49" s="963"/>
      <c r="K49" s="963"/>
      <c r="L49" s="963"/>
      <c r="M49" s="963"/>
      <c r="N49" s="963"/>
      <c r="O49" s="963"/>
      <c r="P49" s="963"/>
      <c r="Q49" s="963"/>
      <c r="R49" s="963"/>
      <c r="S49" s="963"/>
      <c r="T49" s="963"/>
      <c r="U49" s="963"/>
      <c r="V49" s="963"/>
      <c r="W49" s="963"/>
      <c r="X49" s="963"/>
      <c r="Y49" s="963"/>
      <c r="Z49" s="963"/>
      <c r="AA49" s="963"/>
      <c r="AB49" s="963"/>
      <c r="AC49" s="963"/>
      <c r="AD49" s="963"/>
      <c r="AE49" s="963"/>
      <c r="AF49" s="963"/>
      <c r="AG49" s="963"/>
      <c r="AH49" s="963"/>
      <c r="AI49" s="963"/>
      <c r="AJ49" s="849" t="s">
        <v>745</v>
      </c>
      <c r="AK49" s="849"/>
      <c r="AL49" s="849"/>
      <c r="AM49" s="968">
        <v>0.8</v>
      </c>
      <c r="AN49" s="968"/>
      <c r="AO49" s="968"/>
      <c r="AP49" s="501"/>
      <c r="AQ49" s="501"/>
      <c r="AR49" s="964"/>
    </row>
    <row r="50" ht="12.75" customHeight="1" spans="1:50">
      <c r="A50" s="795" t="s">
        <v>746</v>
      </c>
      <c r="B50" s="796"/>
      <c r="C50" s="796"/>
      <c r="D50" s="796"/>
      <c r="E50" s="796"/>
      <c r="F50" s="796"/>
      <c r="G50" s="796"/>
      <c r="H50" s="796"/>
      <c r="I50" s="796"/>
      <c r="J50" s="796"/>
      <c r="K50" s="796"/>
      <c r="L50" s="796"/>
      <c r="M50" s="796"/>
      <c r="N50" s="796"/>
      <c r="O50" s="796"/>
      <c r="P50" s="796"/>
      <c r="Q50" s="796"/>
      <c r="R50" s="796"/>
      <c r="S50" s="796"/>
      <c r="T50" s="796"/>
      <c r="U50" s="796"/>
      <c r="V50" s="796"/>
      <c r="W50" s="796"/>
      <c r="X50" s="796"/>
      <c r="Y50" s="796"/>
      <c r="Z50" s="796"/>
      <c r="AA50" s="796"/>
      <c r="AB50" s="796"/>
      <c r="AC50" s="796"/>
      <c r="AD50" s="796"/>
      <c r="AE50" s="796"/>
      <c r="AF50" s="796"/>
      <c r="AG50" s="796"/>
      <c r="AH50" s="796"/>
      <c r="AI50" s="796"/>
      <c r="AJ50" s="796"/>
      <c r="AK50" s="796"/>
      <c r="AL50" s="796"/>
      <c r="AM50" s="796"/>
      <c r="AN50" s="796"/>
      <c r="AO50" s="796"/>
      <c r="AP50" s="796"/>
      <c r="AQ50" s="796"/>
      <c r="AR50" s="862"/>
    </row>
    <row r="51" s="610" customFormat="1" ht="12.75" customHeight="1" spans="1:50">
      <c r="A51" s="487"/>
      <c r="B51" s="488"/>
      <c r="C51" s="488"/>
      <c r="D51" s="488"/>
      <c r="E51" s="488"/>
      <c r="F51" s="488"/>
      <c r="G51" s="488"/>
      <c r="H51" s="488"/>
      <c r="I51" s="488"/>
      <c r="J51" s="488"/>
      <c r="K51" s="488"/>
      <c r="L51" s="488"/>
      <c r="M51" s="488"/>
      <c r="N51" s="488"/>
      <c r="O51" s="488"/>
      <c r="P51" s="488"/>
      <c r="Q51" s="488"/>
      <c r="R51" s="488"/>
      <c r="S51" s="488"/>
      <c r="T51" s="488"/>
      <c r="U51" s="488"/>
      <c r="V51" s="488"/>
      <c r="W51" s="488"/>
      <c r="X51" s="488"/>
      <c r="Y51" s="488"/>
      <c r="Z51" s="488"/>
      <c r="AA51" s="488"/>
      <c r="AB51" s="488"/>
      <c r="AC51" s="488"/>
      <c r="AD51" s="488"/>
      <c r="AE51" s="488"/>
      <c r="AF51" s="488"/>
      <c r="AG51" s="488"/>
      <c r="AH51" s="488"/>
      <c r="AI51" s="488"/>
      <c r="AJ51" s="488"/>
      <c r="AK51" s="488"/>
      <c r="AL51" s="488"/>
      <c r="AM51" s="488"/>
      <c r="AN51" s="488"/>
      <c r="AO51" s="488"/>
      <c r="AP51" s="488"/>
      <c r="AQ51" s="488"/>
      <c r="AR51" s="489"/>
    </row>
    <row r="52" s="610" customFormat="1" ht="12.75" customHeight="1" spans="1:50">
      <c r="A52" s="493"/>
      <c r="B52" s="494"/>
      <c r="C52" s="494"/>
      <c r="D52" s="494"/>
      <c r="E52" s="494"/>
      <c r="F52" s="494"/>
      <c r="G52" s="494"/>
      <c r="H52" s="494"/>
      <c r="I52" s="494"/>
      <c r="J52" s="494"/>
      <c r="K52" s="494"/>
      <c r="L52" s="494"/>
      <c r="M52" s="494"/>
      <c r="N52" s="494"/>
      <c r="O52" s="494"/>
      <c r="P52" s="494"/>
      <c r="Q52" s="494"/>
      <c r="R52" s="494"/>
      <c r="S52" s="494"/>
      <c r="T52" s="494"/>
      <c r="U52" s="494"/>
      <c r="V52" s="494"/>
      <c r="W52" s="494"/>
      <c r="X52" s="494"/>
      <c r="Y52" s="494"/>
      <c r="Z52" s="494"/>
      <c r="AA52" s="494"/>
      <c r="AB52" s="494"/>
      <c r="AC52" s="494"/>
      <c r="AD52" s="494"/>
      <c r="AE52" s="494"/>
      <c r="AF52" s="494"/>
      <c r="AG52" s="494"/>
      <c r="AH52" s="494"/>
      <c r="AI52" s="494"/>
      <c r="AJ52" s="494"/>
      <c r="AK52" s="494"/>
      <c r="AL52" s="494"/>
      <c r="AM52" s="494"/>
      <c r="AN52" s="494"/>
      <c r="AO52" s="494"/>
      <c r="AP52" s="494"/>
      <c r="AQ52" s="494"/>
      <c r="AR52" s="495"/>
    </row>
    <row r="53" s="610" customFormat="1" ht="12.75" customHeight="1" spans="1:50">
      <c r="A53" s="493"/>
      <c r="B53" s="494"/>
      <c r="C53" s="494"/>
      <c r="D53" s="494"/>
      <c r="E53" s="494"/>
      <c r="F53" s="494"/>
      <c r="G53" s="494"/>
      <c r="H53" s="494"/>
      <c r="I53" s="494"/>
      <c r="J53" s="494"/>
      <c r="K53" s="494"/>
      <c r="L53" s="494"/>
      <c r="M53" s="494"/>
      <c r="N53" s="494"/>
      <c r="O53" s="494"/>
      <c r="P53" s="494"/>
      <c r="Q53" s="494"/>
      <c r="R53" s="494"/>
      <c r="S53" s="494"/>
      <c r="T53" s="494"/>
      <c r="U53" s="494"/>
      <c r="V53" s="494"/>
      <c r="W53" s="494"/>
      <c r="X53" s="494"/>
      <c r="Y53" s="494"/>
      <c r="Z53" s="494"/>
      <c r="AA53" s="494"/>
      <c r="AB53" s="494"/>
      <c r="AC53" s="494"/>
      <c r="AD53" s="494"/>
      <c r="AE53" s="494"/>
      <c r="AF53" s="494"/>
      <c r="AG53" s="494"/>
      <c r="AH53" s="494"/>
      <c r="AI53" s="494"/>
      <c r="AJ53" s="494"/>
      <c r="AK53" s="494"/>
      <c r="AL53" s="494"/>
      <c r="AM53" s="494"/>
      <c r="AN53" s="494"/>
      <c r="AO53" s="494"/>
      <c r="AP53" s="494"/>
      <c r="AQ53" s="494"/>
      <c r="AR53" s="495"/>
      <c r="AT53" s="969"/>
      <c r="AU53" s="969"/>
      <c r="AV53" s="969"/>
      <c r="AW53" s="969"/>
      <c r="AX53" s="757"/>
    </row>
    <row r="54" s="610" customFormat="1" ht="12.75" customHeight="1" spans="1:50">
      <c r="A54" s="493"/>
      <c r="B54" s="494"/>
      <c r="C54" s="494"/>
      <c r="D54" s="494"/>
      <c r="E54" s="494"/>
      <c r="F54" s="494"/>
      <c r="G54" s="494"/>
      <c r="H54" s="494"/>
      <c r="I54" s="494"/>
      <c r="J54" s="494"/>
      <c r="K54" s="494"/>
      <c r="L54" s="494"/>
      <c r="M54" s="494"/>
      <c r="N54" s="494"/>
      <c r="O54" s="494"/>
      <c r="P54" s="494"/>
      <c r="Q54" s="494"/>
      <c r="R54" s="494"/>
      <c r="S54" s="494"/>
      <c r="T54" s="494"/>
      <c r="U54" s="494"/>
      <c r="V54" s="494"/>
      <c r="W54" s="494"/>
      <c r="X54" s="494"/>
      <c r="Y54" s="494"/>
      <c r="Z54" s="494"/>
      <c r="AA54" s="494"/>
      <c r="AB54" s="494"/>
      <c r="AC54" s="494"/>
      <c r="AD54" s="494"/>
      <c r="AE54" s="494"/>
      <c r="AF54" s="494"/>
      <c r="AG54" s="494"/>
      <c r="AH54" s="494"/>
      <c r="AI54" s="494"/>
      <c r="AJ54" s="494"/>
      <c r="AK54" s="494"/>
      <c r="AL54" s="494"/>
      <c r="AM54" s="494"/>
      <c r="AN54" s="494"/>
      <c r="AO54" s="494"/>
      <c r="AP54" s="494"/>
      <c r="AQ54" s="494"/>
      <c r="AR54" s="495"/>
      <c r="AT54" s="757"/>
      <c r="AU54" s="757"/>
      <c r="AV54" s="757"/>
      <c r="AW54" s="757"/>
      <c r="AX54" s="757"/>
    </row>
    <row r="55" s="610" customFormat="1" ht="12.75" customHeight="1" spans="1:50">
      <c r="A55" s="493"/>
      <c r="B55" s="494"/>
      <c r="C55" s="494"/>
      <c r="D55" s="494"/>
      <c r="E55" s="494"/>
      <c r="F55" s="494"/>
      <c r="G55" s="494"/>
      <c r="H55" s="494"/>
      <c r="I55" s="494"/>
      <c r="J55" s="494"/>
      <c r="K55" s="494"/>
      <c r="L55" s="494"/>
      <c r="M55" s="494"/>
      <c r="N55" s="494"/>
      <c r="O55" s="494"/>
      <c r="P55" s="494"/>
      <c r="Q55" s="494"/>
      <c r="R55" s="494"/>
      <c r="S55" s="494"/>
      <c r="T55" s="494"/>
      <c r="U55" s="494"/>
      <c r="V55" s="494"/>
      <c r="W55" s="494"/>
      <c r="X55" s="494"/>
      <c r="Y55" s="494"/>
      <c r="Z55" s="494"/>
      <c r="AA55" s="494"/>
      <c r="AB55" s="494"/>
      <c r="AC55" s="494"/>
      <c r="AD55" s="494"/>
      <c r="AE55" s="494"/>
      <c r="AF55" s="494"/>
      <c r="AG55" s="494"/>
      <c r="AH55" s="494"/>
      <c r="AI55" s="494"/>
      <c r="AJ55" s="494"/>
      <c r="AK55" s="494"/>
      <c r="AL55" s="494"/>
      <c r="AM55" s="494"/>
      <c r="AN55" s="494"/>
      <c r="AO55" s="494"/>
      <c r="AP55" s="494"/>
      <c r="AQ55" s="494"/>
      <c r="AR55" s="495"/>
      <c r="AT55" s="757"/>
      <c r="AU55" s="757"/>
      <c r="AV55" s="757"/>
      <c r="AW55" s="757"/>
      <c r="AX55" s="757"/>
    </row>
    <row r="56" s="610" customFormat="1" ht="12.75" customHeight="1" spans="1:50">
      <c r="A56" s="493"/>
      <c r="B56" s="494"/>
      <c r="C56" s="494"/>
      <c r="D56" s="494"/>
      <c r="E56" s="494"/>
      <c r="F56" s="494"/>
      <c r="G56" s="494"/>
      <c r="H56" s="494"/>
      <c r="I56" s="494"/>
      <c r="J56" s="494"/>
      <c r="K56" s="494"/>
      <c r="L56" s="494"/>
      <c r="M56" s="494"/>
      <c r="N56" s="494"/>
      <c r="O56" s="494"/>
      <c r="P56" s="494"/>
      <c r="Q56" s="494"/>
      <c r="R56" s="494"/>
      <c r="S56" s="494"/>
      <c r="T56" s="494"/>
      <c r="U56" s="494"/>
      <c r="V56" s="494"/>
      <c r="W56" s="494"/>
      <c r="X56" s="494"/>
      <c r="Y56" s="494"/>
      <c r="Z56" s="494"/>
      <c r="AA56" s="494"/>
      <c r="AB56" s="494"/>
      <c r="AC56" s="494"/>
      <c r="AD56" s="494"/>
      <c r="AE56" s="494"/>
      <c r="AF56" s="494"/>
      <c r="AG56" s="494"/>
      <c r="AH56" s="494"/>
      <c r="AI56" s="494"/>
      <c r="AJ56" s="494"/>
      <c r="AK56" s="494"/>
      <c r="AL56" s="494"/>
      <c r="AM56" s="494"/>
      <c r="AN56" s="494"/>
      <c r="AO56" s="494"/>
      <c r="AP56" s="494"/>
      <c r="AQ56" s="494"/>
      <c r="AR56" s="495"/>
      <c r="AT56" s="757"/>
      <c r="AU56" s="757"/>
      <c r="AV56" s="757"/>
      <c r="AW56" s="757"/>
      <c r="AX56" s="757"/>
    </row>
    <row r="57" ht="12.75" customHeight="1" spans="1:50">
      <c r="A57" s="250" t="s">
        <v>747</v>
      </c>
      <c r="B57" s="251"/>
      <c r="C57" s="251"/>
      <c r="D57" s="251"/>
      <c r="E57" s="251"/>
      <c r="F57" s="251"/>
      <c r="G57" s="251"/>
      <c r="H57" s="251"/>
      <c r="I57" s="251"/>
      <c r="J57" s="251"/>
      <c r="K57" s="251"/>
      <c r="L57" s="251"/>
      <c r="M57" s="251"/>
      <c r="N57" s="251"/>
      <c r="O57" s="251"/>
      <c r="P57" s="251"/>
      <c r="Q57" s="251"/>
      <c r="R57" s="251"/>
      <c r="S57" s="251"/>
      <c r="T57" s="251"/>
      <c r="U57" s="251"/>
      <c r="V57" s="251"/>
      <c r="W57" s="251"/>
      <c r="X57" s="251"/>
      <c r="Y57" s="251"/>
      <c r="Z57" s="251"/>
      <c r="AA57" s="251"/>
      <c r="AB57" s="251"/>
      <c r="AC57" s="251"/>
      <c r="AD57" s="251"/>
      <c r="AE57" s="251"/>
      <c r="AF57" s="251"/>
      <c r="AG57" s="251"/>
      <c r="AH57" s="251"/>
      <c r="AI57" s="251"/>
      <c r="AJ57" s="963" t="s">
        <v>748</v>
      </c>
      <c r="AK57" s="963"/>
      <c r="AL57" s="963"/>
      <c r="AM57" s="968">
        <v>1.33</v>
      </c>
      <c r="AN57" s="968"/>
      <c r="AO57" s="968"/>
      <c r="AP57" s="811"/>
      <c r="AQ57" s="811"/>
      <c r="AR57" s="970"/>
    </row>
    <row r="58" customHeight="1" spans="1:50">
      <c r="A58" s="956" t="s">
        <v>749</v>
      </c>
      <c r="B58" s="957"/>
      <c r="C58" s="957"/>
      <c r="D58" s="957"/>
      <c r="E58" s="957"/>
      <c r="F58" s="957"/>
      <c r="G58" s="957"/>
      <c r="H58" s="957"/>
      <c r="I58" s="957"/>
      <c r="J58" s="957"/>
      <c r="K58" s="957"/>
      <c r="L58" s="957"/>
      <c r="M58" s="957"/>
      <c r="N58" s="957"/>
      <c r="O58" s="957"/>
      <c r="P58" s="957"/>
      <c r="Q58" s="957"/>
      <c r="R58" s="957"/>
      <c r="S58" s="957"/>
      <c r="T58" s="957"/>
      <c r="U58" s="957"/>
      <c r="V58" s="957"/>
      <c r="W58" s="957"/>
      <c r="X58" s="957"/>
      <c r="Y58" s="957"/>
      <c r="Z58" s="957"/>
      <c r="AA58" s="957"/>
      <c r="AB58" s="957"/>
      <c r="AC58" s="957"/>
      <c r="AD58" s="957"/>
      <c r="AE58" s="957"/>
      <c r="AF58" s="957"/>
      <c r="AG58" s="957"/>
      <c r="AH58" s="957"/>
      <c r="AI58" s="957"/>
      <c r="AJ58" s="957"/>
      <c r="AK58" s="957"/>
      <c r="AL58" s="957"/>
      <c r="AM58" s="957"/>
      <c r="AN58" s="957"/>
      <c r="AO58" s="957"/>
      <c r="AP58" s="957"/>
      <c r="AQ58" s="957"/>
      <c r="AR58" s="958"/>
    </row>
    <row r="59" s="610" customFormat="1" ht="12.75" customHeight="1" spans="1:50">
      <c r="A59" s="487"/>
      <c r="B59" s="488"/>
      <c r="C59" s="488"/>
      <c r="D59" s="488"/>
      <c r="E59" s="488"/>
      <c r="F59" s="488"/>
      <c r="G59" s="488"/>
      <c r="H59" s="488"/>
      <c r="I59" s="488"/>
      <c r="J59" s="488"/>
      <c r="K59" s="488"/>
      <c r="L59" s="488"/>
      <c r="M59" s="488"/>
      <c r="N59" s="488"/>
      <c r="O59" s="488"/>
      <c r="P59" s="488"/>
      <c r="Q59" s="488"/>
      <c r="R59" s="488"/>
      <c r="S59" s="488"/>
      <c r="T59" s="488"/>
      <c r="U59" s="488"/>
      <c r="V59" s="488"/>
      <c r="W59" s="488"/>
      <c r="X59" s="488"/>
      <c r="Y59" s="488"/>
      <c r="Z59" s="488"/>
      <c r="AA59" s="488"/>
      <c r="AB59" s="488"/>
      <c r="AC59" s="488"/>
      <c r="AD59" s="488"/>
      <c r="AE59" s="488"/>
      <c r="AF59" s="488"/>
      <c r="AG59" s="488"/>
      <c r="AH59" s="488"/>
      <c r="AI59" s="488"/>
      <c r="AJ59" s="488"/>
      <c r="AK59" s="488"/>
      <c r="AL59" s="488"/>
      <c r="AM59" s="488"/>
      <c r="AN59" s="488"/>
      <c r="AO59" s="488"/>
      <c r="AP59" s="488"/>
      <c r="AQ59" s="488"/>
      <c r="AR59" s="489"/>
    </row>
    <row r="60" s="610" customFormat="1" ht="12.75" customHeight="1" spans="1:50">
      <c r="A60" s="493"/>
      <c r="B60" s="494"/>
      <c r="C60" s="494"/>
      <c r="D60" s="494"/>
      <c r="E60" s="494"/>
      <c r="F60" s="494"/>
      <c r="G60" s="494"/>
      <c r="H60" s="494"/>
      <c r="I60" s="494"/>
      <c r="J60" s="494"/>
      <c r="K60" s="494"/>
      <c r="L60" s="494"/>
      <c r="M60" s="494"/>
      <c r="N60" s="494"/>
      <c r="O60" s="494"/>
      <c r="P60" s="494"/>
      <c r="Q60" s="494"/>
      <c r="R60" s="494"/>
      <c r="S60" s="494"/>
      <c r="T60" s="494"/>
      <c r="U60" s="494"/>
      <c r="V60" s="494"/>
      <c r="W60" s="494"/>
      <c r="X60" s="494"/>
      <c r="Y60" s="494"/>
      <c r="Z60" s="494"/>
      <c r="AA60" s="494"/>
      <c r="AB60" s="494"/>
      <c r="AC60" s="494"/>
      <c r="AD60" s="494"/>
      <c r="AE60" s="494"/>
      <c r="AF60" s="494"/>
      <c r="AG60" s="494"/>
      <c r="AH60" s="494"/>
      <c r="AI60" s="494"/>
      <c r="AJ60" s="494"/>
      <c r="AK60" s="494"/>
      <c r="AL60" s="494"/>
      <c r="AM60" s="494"/>
      <c r="AN60" s="494"/>
      <c r="AO60" s="494"/>
      <c r="AP60" s="494"/>
      <c r="AQ60" s="494"/>
      <c r="AR60" s="495"/>
    </row>
    <row r="61" s="610" customFormat="1" ht="12.75" customHeight="1" spans="1:50">
      <c r="A61" s="493"/>
      <c r="B61" s="494"/>
      <c r="C61" s="494"/>
      <c r="D61" s="494"/>
      <c r="E61" s="494"/>
      <c r="F61" s="494"/>
      <c r="G61" s="494"/>
      <c r="H61" s="494"/>
      <c r="I61" s="494"/>
      <c r="J61" s="494"/>
      <c r="K61" s="494"/>
      <c r="L61" s="494"/>
      <c r="M61" s="494"/>
      <c r="N61" s="494"/>
      <c r="O61" s="494"/>
      <c r="P61" s="494"/>
      <c r="Q61" s="494"/>
      <c r="R61" s="494"/>
      <c r="S61" s="494"/>
      <c r="T61" s="494"/>
      <c r="U61" s="494"/>
      <c r="V61" s="494"/>
      <c r="W61" s="494"/>
      <c r="X61" s="494"/>
      <c r="Y61" s="494"/>
      <c r="Z61" s="494"/>
      <c r="AA61" s="494"/>
      <c r="AB61" s="494"/>
      <c r="AC61" s="494"/>
      <c r="AD61" s="494"/>
      <c r="AE61" s="494"/>
      <c r="AF61" s="494"/>
      <c r="AG61" s="494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5"/>
    </row>
    <row r="62" s="610" customFormat="1" ht="12.75" customHeight="1" spans="1:50">
      <c r="A62" s="493"/>
      <c r="B62" s="494"/>
      <c r="C62" s="494"/>
      <c r="D62" s="494"/>
      <c r="E62" s="494"/>
      <c r="F62" s="494"/>
      <c r="G62" s="494"/>
      <c r="H62" s="494"/>
      <c r="I62" s="494"/>
      <c r="J62" s="494"/>
      <c r="K62" s="494"/>
      <c r="L62" s="494"/>
      <c r="M62" s="494"/>
      <c r="N62" s="494"/>
      <c r="O62" s="494"/>
      <c r="P62" s="494"/>
      <c r="Q62" s="494"/>
      <c r="R62" s="494"/>
      <c r="S62" s="494"/>
      <c r="T62" s="494"/>
      <c r="U62" s="494"/>
      <c r="V62" s="494"/>
      <c r="W62" s="494"/>
      <c r="X62" s="494"/>
      <c r="Y62" s="494"/>
      <c r="Z62" s="494"/>
      <c r="AA62" s="494"/>
      <c r="AB62" s="494"/>
      <c r="AC62" s="494"/>
      <c r="AD62" s="494"/>
      <c r="AE62" s="494"/>
      <c r="AF62" s="494"/>
      <c r="AG62" s="494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5"/>
    </row>
    <row r="63" s="610" customFormat="1" ht="12.75" customHeight="1" spans="1:50">
      <c r="A63" s="493"/>
      <c r="B63" s="494"/>
      <c r="C63" s="494"/>
      <c r="D63" s="494"/>
      <c r="E63" s="494"/>
      <c r="F63" s="494"/>
      <c r="G63" s="494"/>
      <c r="H63" s="494"/>
      <c r="I63" s="494"/>
      <c r="J63" s="494"/>
      <c r="K63" s="494"/>
      <c r="L63" s="494"/>
      <c r="M63" s="494"/>
      <c r="N63" s="494"/>
      <c r="O63" s="494"/>
      <c r="P63" s="494"/>
      <c r="Q63" s="494"/>
      <c r="R63" s="494"/>
      <c r="S63" s="494"/>
      <c r="T63" s="494"/>
      <c r="U63" s="494"/>
      <c r="V63" s="494"/>
      <c r="W63" s="494"/>
      <c r="X63" s="494"/>
      <c r="Y63" s="494"/>
      <c r="Z63" s="494"/>
      <c r="AA63" s="494"/>
      <c r="AB63" s="494"/>
      <c r="AC63" s="494"/>
      <c r="AD63" s="494"/>
      <c r="AE63" s="494"/>
      <c r="AF63" s="494"/>
      <c r="AG63" s="494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5"/>
    </row>
    <row r="64" s="610" customFormat="1" ht="12.75" customHeight="1" spans="1:50">
      <c r="A64" s="493"/>
      <c r="B64" s="494"/>
      <c r="C64" s="494"/>
      <c r="D64" s="494"/>
      <c r="E64" s="494"/>
      <c r="F64" s="494"/>
      <c r="G64" s="494"/>
      <c r="H64" s="494"/>
      <c r="I64" s="494"/>
      <c r="J64" s="494"/>
      <c r="K64" s="494"/>
      <c r="L64" s="494"/>
      <c r="M64" s="494"/>
      <c r="N64" s="494"/>
      <c r="O64" s="494"/>
      <c r="P64" s="494"/>
      <c r="Q64" s="494"/>
      <c r="R64" s="494"/>
      <c r="S64" s="494"/>
      <c r="T64" s="494"/>
      <c r="U64" s="494"/>
      <c r="V64" s="494"/>
      <c r="W64" s="494"/>
      <c r="X64" s="494"/>
      <c r="Y64" s="494"/>
      <c r="Z64" s="494"/>
      <c r="AA64" s="494"/>
      <c r="AB64" s="494"/>
      <c r="AC64" s="494"/>
      <c r="AD64" s="494"/>
      <c r="AE64" s="494"/>
      <c r="AF64" s="494"/>
      <c r="AG64" s="494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5"/>
    </row>
    <row r="65" s="610" customFormat="1" ht="12.75" customHeight="1" spans="1:45">
      <c r="A65" s="493"/>
      <c r="B65" s="494"/>
      <c r="C65" s="494"/>
      <c r="D65" s="494"/>
      <c r="E65" s="494"/>
      <c r="F65" s="494"/>
      <c r="G65" s="494"/>
      <c r="H65" s="494"/>
      <c r="I65" s="494"/>
      <c r="J65" s="494"/>
      <c r="K65" s="494"/>
      <c r="L65" s="494"/>
      <c r="M65" s="494"/>
      <c r="N65" s="494"/>
      <c r="O65" s="494"/>
      <c r="P65" s="494"/>
      <c r="Q65" s="494"/>
      <c r="R65" s="494"/>
      <c r="S65" s="494"/>
      <c r="T65" s="494"/>
      <c r="U65" s="494"/>
      <c r="V65" s="494"/>
      <c r="W65" s="494"/>
      <c r="X65" s="494"/>
      <c r="Y65" s="494"/>
      <c r="Z65" s="494"/>
      <c r="AA65" s="494"/>
      <c r="AB65" s="494"/>
      <c r="AC65" s="494"/>
      <c r="AD65" s="494"/>
      <c r="AE65" s="494"/>
      <c r="AF65" s="494"/>
      <c r="AG65" s="494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5"/>
    </row>
    <row r="66" s="610" customFormat="1" ht="12.75" customHeight="1" spans="1:45">
      <c r="A66" s="500"/>
      <c r="B66" s="501"/>
      <c r="C66" s="501"/>
      <c r="D66" s="501"/>
      <c r="E66" s="501"/>
      <c r="F66" s="501"/>
      <c r="G66" s="501"/>
      <c r="H66" s="501"/>
      <c r="I66" s="501"/>
      <c r="J66" s="501"/>
      <c r="K66" s="501"/>
      <c r="L66" s="501"/>
      <c r="M66" s="501"/>
      <c r="N66" s="501"/>
      <c r="O66" s="501"/>
      <c r="P66" s="501"/>
      <c r="Q66" s="501"/>
      <c r="R66" s="501"/>
      <c r="S66" s="501"/>
      <c r="T66" s="501"/>
      <c r="U66" s="501"/>
      <c r="V66" s="501"/>
      <c r="W66" s="501"/>
      <c r="X66" s="501"/>
      <c r="Y66" s="501"/>
      <c r="Z66" s="501"/>
      <c r="AA66" s="501"/>
      <c r="AB66" s="501"/>
      <c r="AC66" s="501"/>
      <c r="AD66" s="501"/>
      <c r="AE66" s="501"/>
      <c r="AF66" s="501"/>
      <c r="AG66" s="501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2"/>
    </row>
    <row r="67" s="610" customFormat="1" ht="12.75" customHeight="1" spans="1:45">
      <c r="A67" s="830" t="s">
        <v>750</v>
      </c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971"/>
    </row>
    <row r="68" s="610" customFormat="1" ht="12.75" customHeight="1" spans="1:45">
      <c r="A68" s="808" t="s">
        <v>751</v>
      </c>
      <c r="B68" s="809"/>
      <c r="C68" s="809"/>
      <c r="D68" s="809"/>
      <c r="E68" s="809"/>
      <c r="F68" s="809"/>
      <c r="G68" s="809"/>
      <c r="H68" s="809"/>
      <c r="I68" s="809"/>
      <c r="J68" s="809"/>
      <c r="K68" s="809"/>
      <c r="L68" s="809"/>
      <c r="M68" s="809"/>
      <c r="N68" s="809"/>
      <c r="O68" s="809"/>
      <c r="P68" s="809"/>
      <c r="Q68" s="809"/>
      <c r="R68" s="809"/>
      <c r="S68" s="809"/>
      <c r="T68" s="809"/>
      <c r="U68" s="809"/>
      <c r="V68" s="809"/>
      <c r="W68" s="809"/>
      <c r="X68" s="809"/>
      <c r="Y68" s="809"/>
      <c r="Z68" s="809"/>
      <c r="AA68" s="809"/>
      <c r="AB68" s="809"/>
      <c r="AC68" s="809"/>
      <c r="AD68" s="809"/>
      <c r="AE68" s="809"/>
      <c r="AF68" s="809"/>
      <c r="AG68" s="809"/>
      <c r="AH68" s="809"/>
      <c r="AI68" s="809"/>
      <c r="AJ68" s="501"/>
      <c r="AK68" s="501"/>
      <c r="AL68" s="501"/>
      <c r="AM68" s="972">
        <f>AK22</f>
        <v>7.2</v>
      </c>
      <c r="AN68" s="972"/>
      <c r="AO68" s="972"/>
      <c r="AP68" s="501"/>
      <c r="AQ68" s="501"/>
      <c r="AR68" s="502"/>
    </row>
    <row r="69" s="610" customFormat="1" ht="12.75" customHeight="1" spans="1:45">
      <c r="A69" s="808" t="s">
        <v>752</v>
      </c>
      <c r="B69" s="809"/>
      <c r="C69" s="809"/>
      <c r="D69" s="809"/>
      <c r="E69" s="809"/>
      <c r="F69" s="809"/>
      <c r="G69" s="809"/>
      <c r="H69" s="809"/>
      <c r="I69" s="809"/>
      <c r="J69" s="809"/>
      <c r="K69" s="809"/>
      <c r="L69" s="809"/>
      <c r="M69" s="809"/>
      <c r="N69" s="809"/>
      <c r="O69" s="809"/>
      <c r="P69" s="809"/>
      <c r="Q69" s="809"/>
      <c r="R69" s="809"/>
      <c r="S69" s="809"/>
      <c r="T69" s="809"/>
      <c r="U69" s="809"/>
      <c r="V69" s="809"/>
      <c r="W69" s="809"/>
      <c r="X69" s="809"/>
      <c r="Y69" s="809"/>
      <c r="Z69" s="809"/>
      <c r="AA69" s="809"/>
      <c r="AB69" s="809"/>
      <c r="AC69" s="809"/>
      <c r="AD69" s="809"/>
      <c r="AE69" s="809"/>
      <c r="AF69" s="809"/>
      <c r="AG69" s="809"/>
      <c r="AH69" s="809"/>
      <c r="AI69" s="809"/>
      <c r="AJ69" s="501"/>
      <c r="AK69" s="501"/>
      <c r="AL69" s="501"/>
      <c r="AM69" s="972">
        <v>0</v>
      </c>
      <c r="AN69" s="972"/>
      <c r="AO69" s="972"/>
      <c r="AP69" s="501"/>
      <c r="AQ69" s="501"/>
      <c r="AR69" s="502"/>
    </row>
    <row r="70" s="610" customFormat="1" ht="12.75" customHeight="1" spans="1:45">
      <c r="A70" s="808" t="s">
        <v>753</v>
      </c>
      <c r="B70" s="809"/>
      <c r="C70" s="809"/>
      <c r="D70" s="809"/>
      <c r="E70" s="809"/>
      <c r="F70" s="809"/>
      <c r="G70" s="809"/>
      <c r="H70" s="809"/>
      <c r="I70" s="809"/>
      <c r="J70" s="809"/>
      <c r="K70" s="809"/>
      <c r="L70" s="809"/>
      <c r="M70" s="809"/>
      <c r="N70" s="809"/>
      <c r="O70" s="809"/>
      <c r="P70" s="809"/>
      <c r="Q70" s="809"/>
      <c r="R70" s="809"/>
      <c r="S70" s="809"/>
      <c r="T70" s="809"/>
      <c r="U70" s="809"/>
      <c r="V70" s="809"/>
      <c r="W70" s="809"/>
      <c r="X70" s="809"/>
      <c r="Y70" s="809"/>
      <c r="Z70" s="809"/>
      <c r="AA70" s="809"/>
      <c r="AB70" s="809"/>
      <c r="AC70" s="809"/>
      <c r="AD70" s="809"/>
      <c r="AE70" s="809"/>
      <c r="AF70" s="809"/>
      <c r="AG70" s="809"/>
      <c r="AH70" s="809"/>
      <c r="AI70" s="809"/>
      <c r="AJ70" s="501"/>
      <c r="AK70" s="501"/>
      <c r="AL70" s="501"/>
      <c r="AM70" s="972">
        <f>AK21</f>
        <v>7.3</v>
      </c>
      <c r="AN70" s="972"/>
      <c r="AO70" s="972"/>
      <c r="AP70" s="501"/>
      <c r="AQ70" s="501"/>
      <c r="AR70" s="502"/>
    </row>
    <row r="71" s="610" customFormat="1" ht="12.75" customHeight="1" spans="1:45">
      <c r="A71" s="962" t="s">
        <v>754</v>
      </c>
      <c r="B71" s="963"/>
      <c r="C71" s="963"/>
      <c r="D71" s="963"/>
      <c r="E71" s="963"/>
      <c r="F71" s="963"/>
      <c r="G71" s="963"/>
      <c r="H71" s="963"/>
      <c r="I71" s="963"/>
      <c r="J71" s="963"/>
      <c r="K71" s="963"/>
      <c r="L71" s="963"/>
      <c r="M71" s="963"/>
      <c r="N71" s="963"/>
      <c r="O71" s="963"/>
      <c r="P71" s="963"/>
      <c r="Q71" s="963"/>
      <c r="R71" s="963"/>
      <c r="S71" s="963"/>
      <c r="T71" s="963"/>
      <c r="U71" s="963"/>
      <c r="V71" s="963"/>
      <c r="W71" s="963"/>
      <c r="X71" s="963"/>
      <c r="Y71" s="963"/>
      <c r="Z71" s="963"/>
      <c r="AA71" s="963"/>
      <c r="AB71" s="963"/>
      <c r="AC71" s="963"/>
      <c r="AD71" s="963"/>
      <c r="AE71" s="963"/>
      <c r="AF71" s="963"/>
      <c r="AG71" s="963"/>
      <c r="AH71" s="963"/>
      <c r="AI71" s="963"/>
      <c r="AJ71" s="849" t="s">
        <v>755</v>
      </c>
      <c r="AK71" s="849"/>
      <c r="AL71" s="849"/>
      <c r="AM71" s="973">
        <f>ROUND(1+(0.0014*AM68)+(0.0009*AM69)+(0.0008*AM70),4)</f>
        <v>1.0159</v>
      </c>
      <c r="AN71" s="973"/>
      <c r="AO71" s="973"/>
      <c r="AP71" s="501"/>
      <c r="AQ71" s="501"/>
      <c r="AR71" s="502"/>
    </row>
    <row r="72" ht="12.75" customHeight="1" spans="1:45">
      <c r="A72" s="795" t="s">
        <v>756</v>
      </c>
      <c r="B72" s="796"/>
      <c r="C72" s="796"/>
      <c r="D72" s="796"/>
      <c r="E72" s="796"/>
      <c r="F72" s="796"/>
      <c r="G72" s="796"/>
      <c r="H72" s="796"/>
      <c r="I72" s="796"/>
      <c r="J72" s="796"/>
      <c r="K72" s="796"/>
      <c r="L72" s="796"/>
      <c r="M72" s="796"/>
      <c r="N72" s="796"/>
      <c r="O72" s="796"/>
      <c r="P72" s="796"/>
      <c r="Q72" s="796"/>
      <c r="R72" s="796"/>
      <c r="S72" s="796"/>
      <c r="T72" s="796"/>
      <c r="U72" s="796"/>
      <c r="V72" s="796"/>
      <c r="W72" s="796"/>
      <c r="X72" s="796"/>
      <c r="Y72" s="796"/>
      <c r="Z72" s="796"/>
      <c r="AA72" s="796"/>
      <c r="AB72" s="796"/>
      <c r="AC72" s="796"/>
      <c r="AD72" s="796"/>
      <c r="AE72" s="796"/>
      <c r="AF72" s="796"/>
      <c r="AG72" s="796"/>
      <c r="AH72" s="796"/>
      <c r="AI72" s="796"/>
      <c r="AJ72" s="796"/>
      <c r="AK72" s="796"/>
      <c r="AL72" s="796"/>
      <c r="AM72" s="796"/>
      <c r="AN72" s="796"/>
      <c r="AO72" s="796"/>
      <c r="AP72" s="796"/>
      <c r="AQ72" s="796"/>
      <c r="AR72" s="862"/>
    </row>
    <row r="73" ht="12.75" customHeight="1" spans="1:45">
      <c r="A73" s="250" t="str">
        <f>CONCATENATE(A23," ",AK23)</f>
        <v>UNIDADE DA FEDERAÇÃO: MATO GROSSO DO SUL</v>
      </c>
      <c r="B73" s="251"/>
      <c r="C73" s="251"/>
      <c r="D73" s="251"/>
      <c r="E73" s="251"/>
      <c r="F73" s="251"/>
      <c r="G73" s="251"/>
      <c r="H73" s="251"/>
      <c r="I73" s="251"/>
      <c r="J73" s="251"/>
      <c r="K73" s="251"/>
      <c r="L73" s="251"/>
      <c r="M73" s="251"/>
      <c r="N73" s="251"/>
      <c r="O73" s="251"/>
      <c r="P73" s="251"/>
      <c r="Q73" s="251"/>
      <c r="R73" s="251"/>
      <c r="S73" s="251"/>
      <c r="T73" s="251"/>
      <c r="U73" s="251"/>
      <c r="V73" s="251"/>
      <c r="W73" s="251"/>
      <c r="X73" s="251"/>
      <c r="Y73" s="251"/>
      <c r="Z73" s="251"/>
      <c r="AA73" s="251"/>
      <c r="AB73" s="251"/>
      <c r="AC73" s="251"/>
      <c r="AD73" s="251"/>
      <c r="AE73" s="251"/>
      <c r="AF73" s="251"/>
      <c r="AG73" s="251"/>
      <c r="AH73" s="251"/>
      <c r="AI73" s="251"/>
      <c r="AJ73" s="251"/>
      <c r="AK73" s="251"/>
      <c r="AL73" s="251"/>
      <c r="AM73" s="251"/>
      <c r="AN73" s="251"/>
      <c r="AO73" s="251"/>
      <c r="AP73" s="251"/>
      <c r="AQ73" s="251"/>
      <c r="AR73" s="252"/>
    </row>
    <row r="74" ht="12.75" customHeight="1" spans="1:45">
      <c r="A74" s="250" t="s">
        <v>728</v>
      </c>
      <c r="B74" s="251"/>
      <c r="C74" s="251"/>
      <c r="D74" s="974">
        <f>AK24</f>
        <v>46023</v>
      </c>
      <c r="E74" s="974"/>
      <c r="F74" s="974"/>
      <c r="G74" s="974"/>
      <c r="H74" s="974"/>
      <c r="I74" s="974"/>
      <c r="J74" s="811"/>
      <c r="K74" s="811"/>
      <c r="L74" s="811"/>
      <c r="M74" s="811"/>
      <c r="N74" s="811"/>
      <c r="O74" s="811"/>
      <c r="P74" s="811"/>
      <c r="Q74" s="811"/>
      <c r="R74" s="811"/>
      <c r="S74" s="811"/>
      <c r="T74" s="811"/>
      <c r="U74" s="811"/>
      <c r="V74" s="811"/>
      <c r="W74" s="811"/>
      <c r="X74" s="811"/>
      <c r="Y74" s="811"/>
      <c r="Z74" s="811"/>
      <c r="AA74" s="811"/>
      <c r="AB74" s="811"/>
      <c r="AC74" s="811"/>
      <c r="AD74" s="811"/>
      <c r="AE74" s="811"/>
      <c r="AF74" s="811"/>
      <c r="AG74" s="811"/>
      <c r="AH74" s="811"/>
      <c r="AI74" s="811"/>
      <c r="AJ74" s="811"/>
      <c r="AK74" s="811"/>
      <c r="AL74" s="811"/>
      <c r="AM74" s="811"/>
      <c r="AN74" s="811"/>
      <c r="AO74" s="811"/>
      <c r="AP74" s="811"/>
      <c r="AQ74" s="811"/>
      <c r="AR74" s="970"/>
    </row>
    <row r="75" s="610" customFormat="1" ht="12.75" customHeight="1" spans="1:45">
      <c r="A75" s="975" t="s">
        <v>757</v>
      </c>
      <c r="B75" s="976"/>
      <c r="C75" s="976"/>
      <c r="D75" s="976"/>
      <c r="E75" s="976"/>
      <c r="F75" s="976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7"/>
      <c r="AK75" s="977"/>
      <c r="AL75" s="977"/>
      <c r="AM75" s="978">
        <v>1953.92</v>
      </c>
      <c r="AN75" s="978"/>
      <c r="AO75" s="978"/>
      <c r="AP75" s="978"/>
      <c r="AQ75" s="978"/>
      <c r="AR75" s="979"/>
      <c r="AS75" s="980" t="s">
        <v>758</v>
      </c>
    </row>
  </sheetData>
  <mergeCells count="113">
    <mergeCell ref="A4:H4"/>
    <mergeCell ref="I4:AR4"/>
    <mergeCell ref="A5:H5"/>
    <mergeCell ref="I5:AR5"/>
    <mergeCell ref="A6:H6"/>
    <mergeCell ref="I6:AR6"/>
    <mergeCell ref="A7:H7"/>
    <mergeCell ref="I7:AR7"/>
    <mergeCell ref="A8:H8"/>
    <mergeCell ref="I8:AH8"/>
    <mergeCell ref="AI8:AN8"/>
    <mergeCell ref="AO8:AP8"/>
    <mergeCell ref="AQ8:AR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AI11:AN11"/>
    <mergeCell ref="AO11:AP11"/>
    <mergeCell ref="AQ11:AR11"/>
    <mergeCell ref="A12:H12"/>
    <mergeCell ref="I12:U12"/>
    <mergeCell ref="V12:AH12"/>
    <mergeCell ref="A13:AR13"/>
    <mergeCell ref="A14:AR14"/>
    <mergeCell ref="A15:AR15"/>
    <mergeCell ref="A16:AR16"/>
    <mergeCell ref="A17:AJ17"/>
    <mergeCell ref="AK17:AL17"/>
    <mergeCell ref="AM17:AR17"/>
    <mergeCell ref="A18:AJ18"/>
    <mergeCell ref="AK18:AL18"/>
    <mergeCell ref="AM18:AR18"/>
    <mergeCell ref="A19:AJ19"/>
    <mergeCell ref="AK19:AL19"/>
    <mergeCell ref="AM19:AR19"/>
    <mergeCell ref="A20:AJ20"/>
    <mergeCell ref="AK20:AL20"/>
    <mergeCell ref="AM20:AR20"/>
    <mergeCell ref="A21:AJ21"/>
    <mergeCell ref="AK21:AL21"/>
    <mergeCell ref="AM21:AR21"/>
    <mergeCell ref="A22:AJ22"/>
    <mergeCell ref="AK22:AL22"/>
    <mergeCell ref="AM22:AR22"/>
    <mergeCell ref="A23:AJ23"/>
    <mergeCell ref="AK23:AR23"/>
    <mergeCell ref="A24:AJ24"/>
    <mergeCell ref="AK24:AR24"/>
    <mergeCell ref="A25:AR25"/>
    <mergeCell ref="A34:AR34"/>
    <mergeCell ref="A35:AR35"/>
    <mergeCell ref="A36:AR36"/>
    <mergeCell ref="A37:I37"/>
    <mergeCell ref="J37:L37"/>
    <mergeCell ref="M37:R37"/>
    <mergeCell ref="A38:AR38"/>
    <mergeCell ref="A39:I39"/>
    <mergeCell ref="J39:L39"/>
    <mergeCell ref="M39:R39"/>
    <mergeCell ref="A40:AR40"/>
    <mergeCell ref="A41:I41"/>
    <mergeCell ref="J41:L41"/>
    <mergeCell ref="M41:W41"/>
    <mergeCell ref="A42:AR42"/>
    <mergeCell ref="A43:I43"/>
    <mergeCell ref="J43:L43"/>
    <mergeCell ref="M43:W43"/>
    <mergeCell ref="A44:AR44"/>
    <mergeCell ref="A45:I45"/>
    <mergeCell ref="J45:L45"/>
    <mergeCell ref="M45:R45"/>
    <mergeCell ref="A46:AR46"/>
    <mergeCell ref="A47:I47"/>
    <mergeCell ref="J47:L47"/>
    <mergeCell ref="M47:R47"/>
    <mergeCell ref="A48:AR48"/>
    <mergeCell ref="A49:AI49"/>
    <mergeCell ref="AJ49:AL49"/>
    <mergeCell ref="AM49:AO49"/>
    <mergeCell ref="A50:AR50"/>
    <mergeCell ref="AT53:AW53"/>
    <mergeCell ref="A57:AI57"/>
    <mergeCell ref="AJ57:AL57"/>
    <mergeCell ref="AM57:AO57"/>
    <mergeCell ref="A58:AR58"/>
    <mergeCell ref="A67:AR67"/>
    <mergeCell ref="A68:AI68"/>
    <mergeCell ref="AM68:AO68"/>
    <mergeCell ref="A69:AI69"/>
    <mergeCell ref="AM69:AO69"/>
    <mergeCell ref="A70:AI70"/>
    <mergeCell ref="AM70:AO70"/>
    <mergeCell ref="A71:AI71"/>
    <mergeCell ref="AJ71:AL71"/>
    <mergeCell ref="AM71:AO71"/>
    <mergeCell ref="A72:AR72"/>
    <mergeCell ref="A73:AR73"/>
    <mergeCell ref="A74:C74"/>
    <mergeCell ref="D74:I74"/>
    <mergeCell ref="A75:AI75"/>
    <mergeCell ref="AJ75:AL75"/>
    <mergeCell ref="AM75:AR75"/>
    <mergeCell ref="A59:AR66"/>
    <mergeCell ref="A51:AR56"/>
    <mergeCell ref="A26:AR33"/>
  </mergeCells>
  <dataValidations count="1">
    <dataValidation type="list" allowBlank="1" showInputMessage="1" showErrorMessage="1" sqref="A57">
      <formula1>#REF!</formula1>
    </dataValidation>
  </dataValidations>
  <hyperlinks>
    <hyperlink ref="AS75" r:id="rId3" display="https://biblioteca.ibge.gov.br/index.php/biblioteca-catalogo?view=detalhes&amp;id=7242"/>
  </hyperlinks>
  <printOptions horizontalCentered="1"/>
  <pageMargins left="0.590551181102362" right="0.590551181102362" top="0.393700787401575" bottom="0.590551181102362" header="0" footer="0.196850393700787"/>
  <pageSetup paperSize="9" scale="97" fitToHeight="2" orientation="portrait"/>
  <headerFooter>
    <oddFooter>&amp;L&amp;G&amp;R&amp;9Projeto Executivo de Engenharia, Estudos e
Orçamentos para a Construção de Ponte Rodoviária
em Concreto Armado - Rodovia Vicinal</oddFooter>
  </headerFooter>
  <rowBreaks count="1" manualBreakCount="1">
    <brk id="57" max="43" man="1"/>
  </rowBreaks>
  <drawing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A1:AV202"/>
  <sheetViews>
    <sheetView showGridLines="0" tabSelected="1" view="pageBreakPreview" zoomScale="150" zoomScaleNormal="160" workbookViewId="0">
      <selection activeCell="A1" sqref="A1"/>
    </sheetView>
  </sheetViews>
  <sheetFormatPr defaultColWidth="9.1047619047619" defaultRowHeight="17.4" customHeight="1"/>
  <cols>
    <col min="1" max="44" width="2.1047619047619" style="29" customWidth="1"/>
    <col min="45" max="45" width="9.1047619047619" style="29"/>
    <col min="46" max="46" width="11.7809523809524" style="29" customWidth="1"/>
    <col min="47" max="16384" width="9.1047619047619" style="29"/>
  </cols>
  <sheetData>
    <row r="1" ht="12.6" customHeight="1"/>
    <row r="2" ht="12.6" customHeight="1"/>
    <row r="3" ht="12.6" customHeight="1"/>
    <row r="4" ht="15" spans="1:44">
      <c r="A4" s="40" t="s">
        <v>17</v>
      </c>
      <c r="B4" s="41"/>
      <c r="C4" s="41"/>
      <c r="D4" s="41"/>
      <c r="E4" s="41"/>
      <c r="F4" s="41"/>
      <c r="G4" s="41"/>
      <c r="H4" s="41"/>
      <c r="I4" s="672" t="str">
        <f>IF(Dados!I4="","",Dados!I4)</f>
        <v>CONSTRUÇÃO DE PONTE RODOVIÁRIA EM CONCRETO ARMADO</v>
      </c>
      <c r="J4" s="672"/>
      <c r="K4" s="672"/>
      <c r="L4" s="672"/>
      <c r="M4" s="672"/>
      <c r="N4" s="672"/>
      <c r="O4" s="672"/>
      <c r="P4" s="672"/>
      <c r="Q4" s="672"/>
      <c r="R4" s="672"/>
      <c r="S4" s="672"/>
      <c r="T4" s="672"/>
      <c r="U4" s="672"/>
      <c r="V4" s="672"/>
      <c r="W4" s="672"/>
      <c r="X4" s="672"/>
      <c r="Y4" s="672"/>
      <c r="Z4" s="672"/>
      <c r="AA4" s="672"/>
      <c r="AB4" s="672"/>
      <c r="AC4" s="672"/>
      <c r="AD4" s="672"/>
      <c r="AE4" s="672"/>
      <c r="AF4" s="672"/>
      <c r="AG4" s="672"/>
      <c r="AH4" s="672"/>
      <c r="AI4" s="672"/>
      <c r="AJ4" s="672"/>
      <c r="AK4" s="672"/>
      <c r="AL4" s="672"/>
      <c r="AM4" s="672"/>
      <c r="AN4" s="672"/>
      <c r="AO4" s="672"/>
      <c r="AP4" s="672"/>
      <c r="AQ4" s="672"/>
      <c r="AR4" s="673"/>
    </row>
    <row r="5" ht="12.75" customHeight="1" spans="1:44">
      <c r="A5" s="44" t="str">
        <f>Dados!A5</f>
        <v>MUNICÍPIO:</v>
      </c>
      <c r="B5" s="45"/>
      <c r="C5" s="45"/>
      <c r="D5" s="45"/>
      <c r="E5" s="45"/>
      <c r="F5" s="45"/>
      <c r="G5" s="45"/>
      <c r="H5" s="45"/>
      <c r="I5" s="46" t="str">
        <f>IF(Dados!I5="","",Dados!I5)</f>
        <v>DEODÁPOLIS/MS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7"/>
    </row>
    <row r="6" ht="12.75" customHeight="1" spans="1:44">
      <c r="A6" s="44" t="str">
        <f>Dados!A6</f>
        <v>RODOVIA/ESTRADA:</v>
      </c>
      <c r="B6" s="45"/>
      <c r="C6" s="45"/>
      <c r="D6" s="45"/>
      <c r="E6" s="45"/>
      <c r="F6" s="45"/>
      <c r="G6" s="45"/>
      <c r="H6" s="45"/>
      <c r="I6" s="46" t="str">
        <f>IF(Dados!I6="","",Dados!I6)</f>
        <v>ESTRADA VICINAL 14ª LINHA (LADO NASCENTE)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7"/>
    </row>
    <row r="7" ht="15" spans="1:44">
      <c r="A7" s="44" t="str">
        <f>Dados!A7</f>
        <v>LOCAL:</v>
      </c>
      <c r="B7" s="45"/>
      <c r="C7" s="45"/>
      <c r="D7" s="45"/>
      <c r="E7" s="45"/>
      <c r="F7" s="45"/>
      <c r="G7" s="45"/>
      <c r="H7" s="45"/>
      <c r="I7" s="674" t="str">
        <f>IF(Dados!I7="","",Dados!I7)</f>
        <v>PONTE SOBRE O CÓRREGO IRETAN</v>
      </c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5"/>
    </row>
    <row r="8" ht="12.75" customHeight="1" spans="1:44">
      <c r="A8" s="44" t="str">
        <f>Dados!A8</f>
        <v>COORDENADAS:</v>
      </c>
      <c r="B8" s="45"/>
      <c r="C8" s="45"/>
      <c r="D8" s="45"/>
      <c r="E8" s="45"/>
      <c r="F8" s="45"/>
      <c r="G8" s="45"/>
      <c r="H8" s="45"/>
      <c r="I8" s="46" t="str">
        <f>IF(Dados!I8="","",Dados!I8)</f>
        <v>22°14'28.18"S, 54º04'37.28"O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5" t="str">
        <f>Dados!AI8</f>
        <v>ÁREA:</v>
      </c>
      <c r="AJ8" s="45"/>
      <c r="AK8" s="45"/>
      <c r="AL8" s="45"/>
      <c r="AM8" s="45"/>
      <c r="AN8" s="45"/>
      <c r="AO8" s="51">
        <f>IF(Dados!AO8="","",Dados!AO8)</f>
        <v>90</v>
      </c>
      <c r="AP8" s="51"/>
      <c r="AQ8" s="52" t="s">
        <v>7</v>
      </c>
      <c r="AR8" s="53"/>
    </row>
    <row r="9" ht="12.75" customHeight="1" spans="1:44">
      <c r="A9" s="44" t="str">
        <f>Dados!A9</f>
        <v>COMPRIMENTO:</v>
      </c>
      <c r="B9" s="45"/>
      <c r="C9" s="45"/>
      <c r="D9" s="45"/>
      <c r="E9" s="45"/>
      <c r="F9" s="45"/>
      <c r="G9" s="45"/>
      <c r="H9" s="45"/>
      <c r="I9" s="54">
        <f>IF(Dados!I9="","",Dados!I9)</f>
        <v>15</v>
      </c>
      <c r="J9" s="54"/>
      <c r="K9" s="52" t="s">
        <v>9</v>
      </c>
      <c r="L9" s="52"/>
      <c r="M9" s="55"/>
      <c r="N9" s="55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 s="56"/>
    </row>
    <row r="10" ht="12.75" customHeight="1" spans="1:44">
      <c r="A10" s="44" t="str">
        <f>Dados!A10</f>
        <v>LARGURA:</v>
      </c>
      <c r="B10" s="45"/>
      <c r="C10" s="45"/>
      <c r="D10" s="45"/>
      <c r="E10" s="45"/>
      <c r="F10" s="45"/>
      <c r="G10" s="45"/>
      <c r="H10" s="45"/>
      <c r="I10" s="54">
        <f>IF(Dados!I10="","",Dados!I10)</f>
        <v>6</v>
      </c>
      <c r="J10" s="54"/>
      <c r="K10" s="52" t="s">
        <v>9</v>
      </c>
      <c r="L10" s="52"/>
      <c r="M10" s="55"/>
      <c r="N10" s="55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 s="56"/>
    </row>
    <row r="11" ht="12.75" customHeight="1" spans="1:44">
      <c r="A11" s="44" t="s">
        <v>11</v>
      </c>
      <c r="B11" s="45"/>
      <c r="C11" s="45"/>
      <c r="D11" s="45"/>
      <c r="E11" s="45"/>
      <c r="F11" s="45"/>
      <c r="G11" s="45"/>
      <c r="H11" s="45"/>
      <c r="I11" s="45" t="str">
        <f>Dados!I11</f>
        <v>INSUMO</v>
      </c>
      <c r="J11" s="45"/>
      <c r="K11" s="45"/>
      <c r="L11" s="57">
        <f>IF(Dados!L11="","",Dados!L11)</f>
        <v>0.1527</v>
      </c>
      <c r="M11" s="57"/>
      <c r="N11" s="57"/>
      <c r="O11" s="45" t="str">
        <f>Dados!O11</f>
        <v>SERVIÇO</v>
      </c>
      <c r="P11" s="45"/>
      <c r="Q11" s="45"/>
      <c r="R11" s="57">
        <f>IF(Dados!R11="","",Dados!R11)</f>
        <v>0.2391</v>
      </c>
      <c r="S11" s="57"/>
      <c r="T11" s="57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 s="45" t="str">
        <f>Dados!AI11</f>
        <v>PRAZO DE EXECUÇÃO:</v>
      </c>
      <c r="AJ11" s="45"/>
      <c r="AK11" s="45"/>
      <c r="AL11" s="45"/>
      <c r="AM11" s="45"/>
      <c r="AN11" s="45"/>
      <c r="AO11" s="58">
        <f>IF(Dados!AO11="","",Dados!AO11)</f>
        <v>120</v>
      </c>
      <c r="AP11" s="58"/>
      <c r="AQ11" s="52" t="s">
        <v>15</v>
      </c>
      <c r="AR11" s="53"/>
    </row>
    <row r="12" ht="12.75" customHeight="1" spans="1:44">
      <c r="A12" s="59" t="s">
        <v>16</v>
      </c>
      <c r="B12" s="60"/>
      <c r="C12" s="60"/>
      <c r="D12" s="60"/>
      <c r="E12" s="60"/>
      <c r="F12" s="60"/>
      <c r="G12" s="60"/>
      <c r="H12" s="60"/>
      <c r="I12" s="61" t="str">
        <f>IF(Dados!I12="","",Dados!I12)</f>
        <v>SEM DESONERAÇÃO SICRO (JANEIRO/2026)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tr">
        <f>IF(Dados!U12="","",Dados!U12)</f>
        <v>NÃO DESONERADO SINAPI (JANEIRO/2026)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2"/>
      <c r="AJ12" s="62"/>
      <c r="AK12" s="62"/>
      <c r="AL12" s="62"/>
      <c r="AM12" s="62"/>
      <c r="AN12" s="62"/>
      <c r="AO12" s="62"/>
      <c r="AP12" s="62"/>
      <c r="AQ12" s="62"/>
      <c r="AR12" s="64"/>
    </row>
    <row r="13" ht="6" customHeight="1" spans="1:44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</row>
    <row r="14" ht="12.75" customHeight="1" spans="1:44">
      <c r="A14" s="533" t="s">
        <v>759</v>
      </c>
      <c r="B14" s="534"/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5"/>
    </row>
    <row r="15" ht="12.75" customHeight="1" spans="1:44">
      <c r="A15" s="795" t="s">
        <v>760</v>
      </c>
      <c r="B15" s="796"/>
      <c r="C15" s="796"/>
      <c r="D15" s="796"/>
      <c r="E15" s="796"/>
      <c r="F15" s="796"/>
      <c r="G15" s="796"/>
      <c r="H15" s="796"/>
      <c r="I15" s="796"/>
      <c r="J15" s="796"/>
      <c r="K15" s="796"/>
      <c r="L15" s="796"/>
      <c r="M15" s="796"/>
      <c r="N15" s="796"/>
      <c r="O15" s="796"/>
      <c r="P15" s="796"/>
      <c r="Q15" s="796"/>
      <c r="R15" s="796"/>
      <c r="S15" s="796"/>
      <c r="T15" s="796"/>
      <c r="U15" s="796"/>
      <c r="V15" s="796"/>
      <c r="W15" s="796"/>
      <c r="X15" s="796"/>
      <c r="Y15" s="796"/>
      <c r="Z15" s="796"/>
      <c r="AA15" s="796"/>
      <c r="AB15" s="796"/>
      <c r="AC15" s="796"/>
      <c r="AD15" s="796"/>
      <c r="AE15" s="796"/>
      <c r="AF15" s="796"/>
      <c r="AG15" s="796"/>
      <c r="AH15" s="796"/>
      <c r="AI15" s="796"/>
      <c r="AJ15" s="796"/>
      <c r="AK15" s="796"/>
      <c r="AL15" s="796"/>
      <c r="AM15" s="796"/>
      <c r="AN15" s="796"/>
      <c r="AO15" s="796"/>
      <c r="AP15" s="796"/>
      <c r="AQ15" s="796"/>
      <c r="AR15" s="862"/>
    </row>
    <row r="16" customHeight="1" spans="1:44">
      <c r="A16" s="683" t="s">
        <v>761</v>
      </c>
      <c r="B16" s="781"/>
      <c r="C16" s="781"/>
      <c r="D16" s="781"/>
      <c r="E16" s="781"/>
      <c r="F16" s="781"/>
      <c r="G16" s="781"/>
      <c r="H16" s="684"/>
      <c r="I16" s="683" t="s">
        <v>762</v>
      </c>
      <c r="J16" s="781"/>
      <c r="K16" s="781"/>
      <c r="L16" s="781"/>
      <c r="M16" s="781"/>
      <c r="N16" s="781"/>
      <c r="O16" s="781"/>
      <c r="P16" s="781"/>
      <c r="Q16" s="781"/>
      <c r="R16" s="781"/>
      <c r="S16" s="781"/>
      <c r="T16" s="781"/>
      <c r="U16" s="781"/>
      <c r="V16" s="781"/>
      <c r="W16" s="781"/>
      <c r="X16" s="781"/>
      <c r="Y16" s="684"/>
      <c r="Z16" s="720" t="s">
        <v>763</v>
      </c>
      <c r="AA16" s="720"/>
      <c r="AB16" s="720"/>
      <c r="AC16" s="720"/>
      <c r="AD16" s="720" t="s">
        <v>764</v>
      </c>
      <c r="AE16" s="720"/>
      <c r="AF16" s="863" t="s">
        <v>765</v>
      </c>
      <c r="AG16" s="864"/>
      <c r="AH16" s="865"/>
      <c r="AI16" s="720" t="s">
        <v>766</v>
      </c>
      <c r="AJ16" s="720"/>
      <c r="AK16" s="720"/>
      <c r="AL16" s="720"/>
      <c r="AM16" s="720"/>
      <c r="AN16" s="720" t="s">
        <v>767</v>
      </c>
      <c r="AO16" s="720"/>
      <c r="AP16" s="720"/>
      <c r="AQ16" s="720"/>
      <c r="AR16" s="720"/>
    </row>
    <row r="17" customHeight="1" spans="1:48">
      <c r="A17" s="866" t="s">
        <v>768</v>
      </c>
      <c r="B17" s="867"/>
      <c r="C17" s="867"/>
      <c r="D17" s="867"/>
      <c r="E17" s="867"/>
      <c r="F17" s="867"/>
      <c r="G17" s="867"/>
      <c r="H17" s="868"/>
      <c r="I17" s="555" t="str">
        <f>+VLOOKUP(Z17,Materiais!A:D,2,"falso")</f>
        <v>Contêiner com revestimento térmico, janela e banheiro - L = 2,44 m e C = 6,09 m (1 TEU)</v>
      </c>
      <c r="J17" s="556"/>
      <c r="K17" s="556"/>
      <c r="L17" s="556"/>
      <c r="M17" s="556"/>
      <c r="N17" s="556"/>
      <c r="O17" s="556"/>
      <c r="P17" s="556"/>
      <c r="Q17" s="556"/>
      <c r="R17" s="556"/>
      <c r="S17" s="556"/>
      <c r="T17" s="556"/>
      <c r="U17" s="556"/>
      <c r="V17" s="556"/>
      <c r="W17" s="556"/>
      <c r="X17" s="556"/>
      <c r="Y17" s="557"/>
      <c r="Z17" s="612" t="s">
        <v>769</v>
      </c>
      <c r="AA17" s="612"/>
      <c r="AB17" s="612"/>
      <c r="AC17" s="612"/>
      <c r="AD17" s="612">
        <v>1</v>
      </c>
      <c r="AE17" s="612"/>
      <c r="AF17" s="738">
        <f>ROUND(2.44*6.09,2)*AD17</f>
        <v>14.86</v>
      </c>
      <c r="AG17" s="739"/>
      <c r="AH17" s="772"/>
      <c r="AI17" s="869">
        <f>IF(Z17="","",+VLOOKUP(Z17,Materiais!A:D,4,"falso"))</f>
        <v>58283.0633</v>
      </c>
      <c r="AJ17" s="869"/>
      <c r="AK17" s="869"/>
      <c r="AL17" s="869"/>
      <c r="AM17" s="869"/>
      <c r="AN17" s="869">
        <f t="shared" ref="AN17:AN26" si="0">IF(AI17="","",(AI17*AD17))</f>
        <v>58283.0633</v>
      </c>
      <c r="AO17" s="869"/>
      <c r="AP17" s="869"/>
      <c r="AQ17" s="869"/>
      <c r="AR17" s="869"/>
      <c r="AS17" s="44" t="str">
        <f>CONCATENATE("PARCELAS FIXA E VINCULADA = ",'Canteiro Id'!AK18," + ",'Canteiro Id'!AK19," = ",'Canteiro Id'!AK18+'Canteiro Id'!AK19)</f>
        <v>PARCELAS FIXA E VINCULADA = 3 + 4 = 7</v>
      </c>
      <c r="AT17" s="45"/>
      <c r="AU17" s="45"/>
      <c r="AV17" s="870">
        <v>1</v>
      </c>
    </row>
    <row r="18" customHeight="1" spans="1:48">
      <c r="A18" s="866" t="s">
        <v>770</v>
      </c>
      <c r="B18" s="867"/>
      <c r="C18" s="867"/>
      <c r="D18" s="867"/>
      <c r="E18" s="867"/>
      <c r="F18" s="867"/>
      <c r="G18" s="867"/>
      <c r="H18" s="868"/>
      <c r="I18" s="555" t="str">
        <f>+VLOOKUP(Z18,Materiais!A:D,2,"falso")</f>
        <v>Contêiner com revestimento térmico, janela e banheiro - L = 2,44 m e C = 6,09 m (1 TEU)</v>
      </c>
      <c r="J18" s="556"/>
      <c r="K18" s="556"/>
      <c r="L18" s="556"/>
      <c r="M18" s="556"/>
      <c r="N18" s="556"/>
      <c r="O18" s="556"/>
      <c r="P18" s="556"/>
      <c r="Q18" s="556"/>
      <c r="R18" s="556"/>
      <c r="S18" s="556"/>
      <c r="T18" s="556"/>
      <c r="U18" s="556"/>
      <c r="V18" s="556"/>
      <c r="W18" s="556"/>
      <c r="X18" s="556"/>
      <c r="Y18" s="557"/>
      <c r="Z18" s="612" t="s">
        <v>769</v>
      </c>
      <c r="AA18" s="612"/>
      <c r="AB18" s="612"/>
      <c r="AC18" s="612"/>
      <c r="AD18" s="612">
        <v>1</v>
      </c>
      <c r="AE18" s="612"/>
      <c r="AF18" s="738">
        <f t="shared" ref="AF18:AF19" si="1">ROUND(2.44*6.09,2)*AD18</f>
        <v>14.86</v>
      </c>
      <c r="AG18" s="739"/>
      <c r="AH18" s="772"/>
      <c r="AI18" s="869">
        <f>IF(Z18="","",+VLOOKUP(Z18,Materiais!A:D,4,"falso"))</f>
        <v>58283.0633</v>
      </c>
      <c r="AJ18" s="869"/>
      <c r="AK18" s="869"/>
      <c r="AL18" s="869"/>
      <c r="AM18" s="869"/>
      <c r="AN18" s="869">
        <f t="shared" si="0"/>
        <v>58283.0633</v>
      </c>
      <c r="AO18" s="869"/>
      <c r="AP18" s="869"/>
      <c r="AQ18" s="869"/>
      <c r="AR18" s="869"/>
      <c r="AS18" s="44"/>
      <c r="AT18" s="45"/>
      <c r="AU18" s="45"/>
      <c r="AV18" s="870">
        <v>2</v>
      </c>
    </row>
    <row r="19" customHeight="1" spans="1:48">
      <c r="A19" s="871" t="s">
        <v>771</v>
      </c>
      <c r="B19" s="872"/>
      <c r="C19" s="872"/>
      <c r="D19" s="872"/>
      <c r="E19" s="872"/>
      <c r="F19" s="872"/>
      <c r="G19" s="872"/>
      <c r="H19" s="873"/>
      <c r="I19" s="555" t="str">
        <f>+VLOOKUP(Z19,Materiais!A:D,2,"falso")</f>
        <v>Contêiner com janela - L = 2,44 m e C = 6,09 m (1 TEU)</v>
      </c>
      <c r="J19" s="556"/>
      <c r="K19" s="556"/>
      <c r="L19" s="556"/>
      <c r="M19" s="556"/>
      <c r="N19" s="556"/>
      <c r="O19" s="556"/>
      <c r="P19" s="556"/>
      <c r="Q19" s="556"/>
      <c r="R19" s="556"/>
      <c r="S19" s="556"/>
      <c r="T19" s="556"/>
      <c r="U19" s="556"/>
      <c r="V19" s="556"/>
      <c r="W19" s="556"/>
      <c r="X19" s="556"/>
      <c r="Y19" s="557"/>
      <c r="Z19" s="612" t="s">
        <v>772</v>
      </c>
      <c r="AA19" s="612"/>
      <c r="AB19" s="612"/>
      <c r="AC19" s="612"/>
      <c r="AD19" s="612">
        <v>1</v>
      </c>
      <c r="AE19" s="612"/>
      <c r="AF19" s="738">
        <f t="shared" si="1"/>
        <v>14.86</v>
      </c>
      <c r="AG19" s="739"/>
      <c r="AH19" s="772"/>
      <c r="AI19" s="869">
        <f>IF(Z19="","",+VLOOKUP(Z19,Materiais!A:D,4,"falso"))</f>
        <v>36836.0447</v>
      </c>
      <c r="AJ19" s="869"/>
      <c r="AK19" s="869"/>
      <c r="AL19" s="869"/>
      <c r="AM19" s="869"/>
      <c r="AN19" s="869">
        <f t="shared" si="0"/>
        <v>36836.0447</v>
      </c>
      <c r="AO19" s="869"/>
      <c r="AP19" s="869"/>
      <c r="AQ19" s="869"/>
      <c r="AR19" s="869"/>
    </row>
    <row r="20" customHeight="1" spans="1:48">
      <c r="A20" s="866" t="s">
        <v>773</v>
      </c>
      <c r="B20" s="867"/>
      <c r="C20" s="867"/>
      <c r="D20" s="867"/>
      <c r="E20" s="867"/>
      <c r="F20" s="867"/>
      <c r="G20" s="867"/>
      <c r="H20" s="868"/>
      <c r="I20" s="555" t="str">
        <f>+VLOOKUP(Z20,Materiais!A:D,2,"falso")</f>
        <v>Contêiner com janela e 2 banheiros - L = 4,88 m e C = 6,09 m (1 TEU duplo)</v>
      </c>
      <c r="J20" s="556"/>
      <c r="K20" s="556"/>
      <c r="L20" s="556"/>
      <c r="M20" s="556"/>
      <c r="N20" s="556"/>
      <c r="O20" s="556"/>
      <c r="P20" s="556"/>
      <c r="Q20" s="556"/>
      <c r="R20" s="556"/>
      <c r="S20" s="556"/>
      <c r="T20" s="556"/>
      <c r="U20" s="556"/>
      <c r="V20" s="556"/>
      <c r="W20" s="556"/>
      <c r="X20" s="556"/>
      <c r="Y20" s="557"/>
      <c r="Z20" s="612" t="s">
        <v>774</v>
      </c>
      <c r="AA20" s="612"/>
      <c r="AB20" s="612"/>
      <c r="AC20" s="612"/>
      <c r="AD20" s="612">
        <v>1</v>
      </c>
      <c r="AE20" s="612"/>
      <c r="AF20" s="738">
        <f>ROUND(4.88*6.09,2)*AD20</f>
        <v>29.72</v>
      </c>
      <c r="AG20" s="739"/>
      <c r="AH20" s="772"/>
      <c r="AI20" s="869">
        <f>IF(Z20="","",+VLOOKUP(Z20,Materiais!A:D,4,"falso"))</f>
        <v>132070.6307</v>
      </c>
      <c r="AJ20" s="869"/>
      <c r="AK20" s="869"/>
      <c r="AL20" s="869"/>
      <c r="AM20" s="869"/>
      <c r="AN20" s="869">
        <f t="shared" si="0"/>
        <v>132070.6307</v>
      </c>
      <c r="AO20" s="869"/>
      <c r="AP20" s="869"/>
      <c r="AQ20" s="869"/>
      <c r="AR20" s="869"/>
    </row>
    <row r="21" customHeight="1" spans="1:48">
      <c r="A21" s="871" t="s">
        <v>775</v>
      </c>
      <c r="B21" s="872"/>
      <c r="C21" s="872"/>
      <c r="D21" s="872"/>
      <c r="E21" s="872"/>
      <c r="F21" s="872"/>
      <c r="G21" s="872"/>
      <c r="H21" s="873"/>
      <c r="I21" s="555" t="str">
        <f>+VLOOKUP(Z21,Materiais!A:D,2,"falso")</f>
        <v>Contêiner com janela - L = 4,88 m e C = 6,09 m (1 TEU duplo)</v>
      </c>
      <c r="J21" s="556"/>
      <c r="K21" s="556"/>
      <c r="L21" s="556"/>
      <c r="M21" s="556"/>
      <c r="N21" s="556"/>
      <c r="O21" s="556"/>
      <c r="P21" s="556"/>
      <c r="Q21" s="556"/>
      <c r="R21" s="556"/>
      <c r="S21" s="556"/>
      <c r="T21" s="556"/>
      <c r="U21" s="556"/>
      <c r="V21" s="556"/>
      <c r="W21" s="556"/>
      <c r="X21" s="556"/>
      <c r="Y21" s="557"/>
      <c r="Z21" s="612" t="s">
        <v>776</v>
      </c>
      <c r="AA21" s="612"/>
      <c r="AB21" s="612"/>
      <c r="AC21" s="612"/>
      <c r="AD21" s="612">
        <v>1</v>
      </c>
      <c r="AE21" s="612"/>
      <c r="AF21" s="738">
        <f>ROUND(4.88*6.09,2)*AD21</f>
        <v>29.72</v>
      </c>
      <c r="AG21" s="739"/>
      <c r="AH21" s="772"/>
      <c r="AI21" s="869">
        <f>IF(Z21="","",+VLOOKUP(Z21,Materiais!A:D,4,"falso"))</f>
        <v>127045.6007</v>
      </c>
      <c r="AJ21" s="869"/>
      <c r="AK21" s="869"/>
      <c r="AL21" s="869"/>
      <c r="AM21" s="869"/>
      <c r="AN21" s="869">
        <f t="shared" si="0"/>
        <v>127045.6007</v>
      </c>
      <c r="AO21" s="869"/>
      <c r="AP21" s="869"/>
      <c r="AQ21" s="869"/>
      <c r="AR21" s="869"/>
    </row>
    <row r="22" customHeight="1" spans="1:48">
      <c r="A22" s="866" t="s">
        <v>777</v>
      </c>
      <c r="B22" s="867"/>
      <c r="C22" s="867"/>
      <c r="D22" s="867"/>
      <c r="E22" s="867"/>
      <c r="F22" s="867"/>
      <c r="G22" s="867"/>
      <c r="H22" s="868"/>
      <c r="I22" s="555" t="str">
        <f>+VLOOKUP(Z22,Materiais!A:D,2,"falso")</f>
        <v>Contêiner com revestimento térmico, janela e banheiro - L = 2,44 m e C = 6,09 m (1 TEU)</v>
      </c>
      <c r="J22" s="556"/>
      <c r="K22" s="556"/>
      <c r="L22" s="556"/>
      <c r="M22" s="556"/>
      <c r="N22" s="556"/>
      <c r="O22" s="556"/>
      <c r="P22" s="556"/>
      <c r="Q22" s="556"/>
      <c r="R22" s="556"/>
      <c r="S22" s="556"/>
      <c r="T22" s="556"/>
      <c r="U22" s="556"/>
      <c r="V22" s="556"/>
      <c r="W22" s="556"/>
      <c r="X22" s="556"/>
      <c r="Y22" s="557"/>
      <c r="Z22" s="612" t="s">
        <v>769</v>
      </c>
      <c r="AA22" s="612"/>
      <c r="AB22" s="612"/>
      <c r="AC22" s="612"/>
      <c r="AD22" s="612">
        <f>ROUND('Canteiro Id'!AK17*0.5/6+1,0)</f>
        <v>2</v>
      </c>
      <c r="AE22" s="612"/>
      <c r="AF22" s="738">
        <f t="shared" ref="AF22:AF25" si="2">ROUND(2.44*6.09,2)*AD22</f>
        <v>29.72</v>
      </c>
      <c r="AG22" s="739"/>
      <c r="AH22" s="772"/>
      <c r="AI22" s="869">
        <f>IF(Z22="","",+VLOOKUP(Z22,Materiais!A:D,4,"falso"))</f>
        <v>58283.0633</v>
      </c>
      <c r="AJ22" s="869"/>
      <c r="AK22" s="869"/>
      <c r="AL22" s="869"/>
      <c r="AM22" s="869"/>
      <c r="AN22" s="869">
        <f t="shared" si="0"/>
        <v>116566.1266</v>
      </c>
      <c r="AO22" s="869"/>
      <c r="AP22" s="869"/>
      <c r="AQ22" s="869"/>
      <c r="AR22" s="869"/>
    </row>
    <row r="23" customHeight="1" spans="1:48">
      <c r="A23" s="871" t="s">
        <v>778</v>
      </c>
      <c r="B23" s="872"/>
      <c r="C23" s="872"/>
      <c r="D23" s="872"/>
      <c r="E23" s="872"/>
      <c r="F23" s="872"/>
      <c r="G23" s="872"/>
      <c r="H23" s="873"/>
      <c r="I23" s="555" t="str">
        <f>+VLOOKUP(Z23,Materiais!A:D,2,"falso")</f>
        <v>Contêiner com 2 banheiros - L = 2,44 m e C = 6,09 m (1 TEU)</v>
      </c>
      <c r="J23" s="556"/>
      <c r="K23" s="556"/>
      <c r="L23" s="556"/>
      <c r="M23" s="556"/>
      <c r="N23" s="556"/>
      <c r="O23" s="556"/>
      <c r="P23" s="556"/>
      <c r="Q23" s="556"/>
      <c r="R23" s="556"/>
      <c r="S23" s="556"/>
      <c r="T23" s="556"/>
      <c r="U23" s="556"/>
      <c r="V23" s="556"/>
      <c r="W23" s="556"/>
      <c r="X23" s="556"/>
      <c r="Y23" s="557"/>
      <c r="Z23" s="612" t="s">
        <v>779</v>
      </c>
      <c r="AA23" s="612"/>
      <c r="AB23" s="612"/>
      <c r="AC23" s="612"/>
      <c r="AD23" s="612">
        <v>1</v>
      </c>
      <c r="AE23" s="612"/>
      <c r="AF23" s="738">
        <f t="shared" si="2"/>
        <v>14.86</v>
      </c>
      <c r="AG23" s="739"/>
      <c r="AH23" s="772"/>
      <c r="AI23" s="869">
        <f>IF(Z23="","",+VLOOKUP(Z23,Materiais!A:D,4,"falso"))</f>
        <v>90298.939</v>
      </c>
      <c r="AJ23" s="869"/>
      <c r="AK23" s="869"/>
      <c r="AL23" s="869"/>
      <c r="AM23" s="869"/>
      <c r="AN23" s="869">
        <f t="shared" si="0"/>
        <v>90298.939</v>
      </c>
      <c r="AO23" s="869"/>
      <c r="AP23" s="869"/>
      <c r="AQ23" s="869"/>
      <c r="AR23" s="869"/>
    </row>
    <row r="24" customHeight="1" spans="1:48">
      <c r="A24" s="866" t="s">
        <v>780</v>
      </c>
      <c r="B24" s="867"/>
      <c r="C24" s="867"/>
      <c r="D24" s="867"/>
      <c r="E24" s="867"/>
      <c r="F24" s="867"/>
      <c r="G24" s="867"/>
      <c r="H24" s="868"/>
      <c r="I24" s="555" t="str">
        <f>+VLOOKUP(Z24,Materiais!A:D,2,"falso")</f>
        <v>Contêiner com revestimento térmico, janela e banheiro - L = 2,44 m e C = 6,09 m (1 TEU)</v>
      </c>
      <c r="J24" s="556"/>
      <c r="K24" s="556"/>
      <c r="L24" s="556"/>
      <c r="M24" s="556"/>
      <c r="N24" s="556"/>
      <c r="O24" s="556"/>
      <c r="P24" s="556"/>
      <c r="Q24" s="556"/>
      <c r="R24" s="556"/>
      <c r="S24" s="556"/>
      <c r="T24" s="556"/>
      <c r="U24" s="556"/>
      <c r="V24" s="556"/>
      <c r="W24" s="556"/>
      <c r="X24" s="556"/>
      <c r="Y24" s="557"/>
      <c r="Z24" s="612" t="s">
        <v>769</v>
      </c>
      <c r="AA24" s="612"/>
      <c r="AB24" s="612"/>
      <c r="AC24" s="612"/>
      <c r="AD24" s="612">
        <v>1</v>
      </c>
      <c r="AE24" s="612"/>
      <c r="AF24" s="738">
        <f t="shared" si="2"/>
        <v>14.86</v>
      </c>
      <c r="AG24" s="739"/>
      <c r="AH24" s="772"/>
      <c r="AI24" s="869">
        <f>IF(Z24="","",+VLOOKUP(Z24,Materiais!A:D,4,"falso"))</f>
        <v>58283.0633</v>
      </c>
      <c r="AJ24" s="869"/>
      <c r="AK24" s="869"/>
      <c r="AL24" s="869"/>
      <c r="AM24" s="869"/>
      <c r="AN24" s="869">
        <f t="shared" si="0"/>
        <v>58283.0633</v>
      </c>
      <c r="AO24" s="869"/>
      <c r="AP24" s="869"/>
      <c r="AQ24" s="869"/>
      <c r="AR24" s="869"/>
    </row>
    <row r="25" customHeight="1" spans="1:48">
      <c r="A25" s="866" t="s">
        <v>781</v>
      </c>
      <c r="B25" s="867"/>
      <c r="C25" s="867"/>
      <c r="D25" s="867"/>
      <c r="E25" s="867"/>
      <c r="F25" s="867"/>
      <c r="G25" s="867"/>
      <c r="H25" s="868"/>
      <c r="I25" s="555" t="str">
        <f>+VLOOKUP(Z25,Materiais!A:D,2,"falso")</f>
        <v>Contêiner com janela - L = 2,44 m e C = 6,09 m (1 TEU)</v>
      </c>
      <c r="J25" s="556"/>
      <c r="K25" s="556"/>
      <c r="L25" s="556"/>
      <c r="M25" s="556"/>
      <c r="N25" s="556"/>
      <c r="O25" s="556"/>
      <c r="P25" s="556"/>
      <c r="Q25" s="556"/>
      <c r="R25" s="556"/>
      <c r="S25" s="556"/>
      <c r="T25" s="556"/>
      <c r="U25" s="556"/>
      <c r="V25" s="556"/>
      <c r="W25" s="556"/>
      <c r="X25" s="556"/>
      <c r="Y25" s="557"/>
      <c r="Z25" s="612" t="s">
        <v>772</v>
      </c>
      <c r="AA25" s="612"/>
      <c r="AB25" s="612"/>
      <c r="AC25" s="612"/>
      <c r="AD25" s="612">
        <v>1</v>
      </c>
      <c r="AE25" s="612"/>
      <c r="AF25" s="738">
        <f t="shared" si="2"/>
        <v>14.86</v>
      </c>
      <c r="AG25" s="739"/>
      <c r="AH25" s="772"/>
      <c r="AI25" s="869">
        <f>IF(Z25="","",+VLOOKUP(Z25,Materiais!A:D,4,"falso"))</f>
        <v>36836.0447</v>
      </c>
      <c r="AJ25" s="869"/>
      <c r="AK25" s="869"/>
      <c r="AL25" s="869"/>
      <c r="AM25" s="869"/>
      <c r="AN25" s="869">
        <f t="shared" si="0"/>
        <v>36836.0447</v>
      </c>
      <c r="AO25" s="869"/>
      <c r="AP25" s="869"/>
      <c r="AQ25" s="869"/>
      <c r="AR25" s="869"/>
    </row>
    <row r="26" customHeight="1" spans="1:48">
      <c r="A26" s="866" t="s">
        <v>782</v>
      </c>
      <c r="B26" s="867"/>
      <c r="C26" s="867"/>
      <c r="D26" s="867"/>
      <c r="E26" s="867"/>
      <c r="F26" s="867"/>
      <c r="G26" s="867"/>
      <c r="H26" s="868"/>
      <c r="I26" s="555" t="str">
        <f>+VLOOKUP(Z26,Materiais!A:D,2,"falso")</f>
        <v>Contêiner com 3 janelas para guarita - L = 2,44 m e C = 3,05 m (1/2 TEU)</v>
      </c>
      <c r="J26" s="556"/>
      <c r="K26" s="556"/>
      <c r="L26" s="556"/>
      <c r="M26" s="556"/>
      <c r="N26" s="556"/>
      <c r="O26" s="556"/>
      <c r="P26" s="556"/>
      <c r="Q26" s="556"/>
      <c r="R26" s="556"/>
      <c r="S26" s="556"/>
      <c r="T26" s="556"/>
      <c r="U26" s="556"/>
      <c r="V26" s="556"/>
      <c r="W26" s="556"/>
      <c r="X26" s="556"/>
      <c r="Y26" s="557"/>
      <c r="Z26" s="612" t="s">
        <v>783</v>
      </c>
      <c r="AA26" s="612"/>
      <c r="AB26" s="612"/>
      <c r="AC26" s="612"/>
      <c r="AD26" s="612">
        <v>1</v>
      </c>
      <c r="AE26" s="612"/>
      <c r="AF26" s="738">
        <f>ROUND(2.44*3.05,2)*AD26</f>
        <v>7.44</v>
      </c>
      <c r="AG26" s="739"/>
      <c r="AH26" s="772"/>
      <c r="AI26" s="869">
        <f>IF(Z26="","",+VLOOKUP(Z26,Materiais!A:D,4,"falso"))</f>
        <v>40370.5143</v>
      </c>
      <c r="AJ26" s="869"/>
      <c r="AK26" s="869"/>
      <c r="AL26" s="869"/>
      <c r="AM26" s="869"/>
      <c r="AN26" s="869">
        <f t="shared" si="0"/>
        <v>40370.5143</v>
      </c>
      <c r="AO26" s="869"/>
      <c r="AP26" s="869"/>
      <c r="AQ26" s="869"/>
      <c r="AR26" s="869"/>
    </row>
    <row r="27" customHeight="1" spans="1:48">
      <c r="A27" s="848" t="s">
        <v>784</v>
      </c>
      <c r="B27" s="849"/>
      <c r="C27" s="849"/>
      <c r="D27" s="849"/>
      <c r="E27" s="849"/>
      <c r="F27" s="849"/>
      <c r="G27" s="849"/>
      <c r="H27" s="849"/>
      <c r="I27" s="849"/>
      <c r="J27" s="849"/>
      <c r="K27" s="849"/>
      <c r="L27" s="849"/>
      <c r="M27" s="849"/>
      <c r="N27" s="849"/>
      <c r="O27" s="849"/>
      <c r="P27" s="849"/>
      <c r="Q27" s="849"/>
      <c r="R27" s="849"/>
      <c r="S27" s="849"/>
      <c r="T27" s="849"/>
      <c r="U27" s="849"/>
      <c r="V27" s="849"/>
      <c r="W27" s="849"/>
      <c r="X27" s="849"/>
      <c r="Y27" s="849"/>
      <c r="Z27" s="849"/>
      <c r="AA27" s="849"/>
      <c r="AB27" s="849"/>
      <c r="AC27" s="717"/>
      <c r="AD27" s="874">
        <f>ROUND(SUM(AD17:AE26),0)</f>
        <v>11</v>
      </c>
      <c r="AE27" s="874"/>
      <c r="AF27" s="875">
        <f>SUM(AF17:AH26)</f>
        <v>185.76</v>
      </c>
      <c r="AG27" s="876"/>
      <c r="AH27" s="877"/>
      <c r="AI27" s="878" t="s">
        <v>785</v>
      </c>
      <c r="AJ27" s="878"/>
      <c r="AK27" s="878"/>
      <c r="AL27" s="878"/>
      <c r="AM27" s="878"/>
      <c r="AN27" s="879">
        <f>ROUND(SUM(AN17:AR26),2)</f>
        <v>754873.09</v>
      </c>
      <c r="AO27" s="880"/>
      <c r="AP27" s="880"/>
      <c r="AQ27" s="880"/>
      <c r="AR27" s="880"/>
    </row>
    <row r="28" ht="12.75" customHeight="1" spans="1:48">
      <c r="A28" s="795" t="s">
        <v>786</v>
      </c>
      <c r="B28" s="796"/>
      <c r="C28" s="796"/>
      <c r="D28" s="796"/>
      <c r="E28" s="796"/>
      <c r="F28" s="796"/>
      <c r="G28" s="796"/>
      <c r="H28" s="796"/>
      <c r="I28" s="796"/>
      <c r="J28" s="796"/>
      <c r="K28" s="796"/>
      <c r="L28" s="796"/>
      <c r="M28" s="796"/>
      <c r="N28" s="796"/>
      <c r="O28" s="796"/>
      <c r="P28" s="796"/>
      <c r="Q28" s="796"/>
      <c r="R28" s="796"/>
      <c r="S28" s="796"/>
      <c r="T28" s="796"/>
      <c r="U28" s="796"/>
      <c r="V28" s="796"/>
      <c r="W28" s="796"/>
      <c r="X28" s="796"/>
      <c r="Y28" s="796"/>
      <c r="Z28" s="796"/>
      <c r="AA28" s="796"/>
      <c r="AB28" s="796"/>
      <c r="AC28" s="796"/>
      <c r="AD28" s="796"/>
      <c r="AE28" s="796"/>
      <c r="AF28" s="796"/>
      <c r="AG28" s="796"/>
      <c r="AH28" s="796"/>
      <c r="AI28" s="796"/>
      <c r="AJ28" s="796"/>
      <c r="AK28" s="796"/>
      <c r="AL28" s="796"/>
      <c r="AM28" s="796"/>
      <c r="AN28" s="796"/>
      <c r="AO28" s="796"/>
      <c r="AP28" s="796"/>
      <c r="AQ28" s="796"/>
      <c r="AR28" s="862"/>
    </row>
    <row r="29" ht="16.2" customHeight="1" spans="1:48">
      <c r="A29" s="795" t="s">
        <v>787</v>
      </c>
      <c r="B29" s="796"/>
      <c r="C29" s="796"/>
      <c r="D29" s="796"/>
      <c r="E29" s="796"/>
      <c r="F29" s="796"/>
      <c r="G29" s="796"/>
      <c r="H29" s="796"/>
      <c r="I29" s="796"/>
      <c r="J29" s="796"/>
      <c r="K29" s="796"/>
      <c r="L29" s="796"/>
      <c r="M29" s="796"/>
      <c r="N29" s="796"/>
      <c r="O29" s="796"/>
      <c r="P29" s="796"/>
      <c r="Q29" s="796"/>
      <c r="R29" s="796"/>
      <c r="S29" s="796"/>
      <c r="T29" s="796"/>
      <c r="U29" s="796"/>
      <c r="V29" s="796"/>
      <c r="W29" s="796"/>
      <c r="X29" s="796"/>
      <c r="Y29" s="796"/>
      <c r="Z29" s="881" t="s">
        <v>788</v>
      </c>
      <c r="AA29" s="882"/>
      <c r="AB29" s="882"/>
      <c r="AC29" s="882"/>
      <c r="AD29" s="882"/>
      <c r="AE29" s="882"/>
      <c r="AF29" s="882"/>
      <c r="AG29" s="882"/>
      <c r="AH29" s="882"/>
      <c r="AI29" s="883"/>
      <c r="AJ29" s="884" t="s">
        <v>789</v>
      </c>
      <c r="AK29" s="885"/>
      <c r="AL29" s="885"/>
      <c r="AM29" s="885"/>
      <c r="AN29" s="885"/>
      <c r="AO29" s="885"/>
      <c r="AP29" s="885"/>
      <c r="AQ29" s="885"/>
      <c r="AR29" s="886"/>
    </row>
    <row r="30" customHeight="1" spans="1:48">
      <c r="A30" s="866" t="s">
        <v>790</v>
      </c>
      <c r="B30" s="867"/>
      <c r="C30" s="867"/>
      <c r="D30" s="867"/>
      <c r="E30" s="867"/>
      <c r="F30" s="867"/>
      <c r="G30" s="867"/>
      <c r="H30" s="867"/>
      <c r="I30" s="867"/>
      <c r="J30" s="867"/>
      <c r="K30" s="867"/>
      <c r="L30" s="867"/>
      <c r="M30" s="867"/>
      <c r="N30" s="867"/>
      <c r="O30" s="867"/>
      <c r="P30" s="867"/>
      <c r="Q30" s="867"/>
      <c r="R30" s="867"/>
      <c r="S30" s="867"/>
      <c r="T30" s="867"/>
      <c r="U30" s="867"/>
      <c r="V30" s="867"/>
      <c r="W30" s="867"/>
      <c r="X30" s="867"/>
      <c r="Y30" s="868"/>
      <c r="Z30" s="612" t="s">
        <v>791</v>
      </c>
      <c r="AA30" s="612"/>
      <c r="AB30" s="612"/>
      <c r="AC30" s="612"/>
      <c r="AD30" s="612"/>
      <c r="AE30" s="612"/>
      <c r="AF30" s="612"/>
      <c r="AG30" s="612"/>
      <c r="AH30" s="612"/>
      <c r="AI30" s="612"/>
      <c r="AJ30" s="887">
        <f>ROUND(57.95+4.5*'Canteiro Id'!J43,2)</f>
        <v>89.45</v>
      </c>
      <c r="AK30" s="888"/>
      <c r="AL30" s="888"/>
      <c r="AM30" s="888"/>
      <c r="AN30" s="888"/>
      <c r="AO30" s="888"/>
      <c r="AP30" s="888"/>
      <c r="AQ30" s="888"/>
      <c r="AR30" s="889"/>
    </row>
    <row r="31" customHeight="1" spans="1:48">
      <c r="A31" s="866" t="s">
        <v>792</v>
      </c>
      <c r="B31" s="867"/>
      <c r="C31" s="867"/>
      <c r="D31" s="867"/>
      <c r="E31" s="867"/>
      <c r="F31" s="867"/>
      <c r="G31" s="867"/>
      <c r="H31" s="867"/>
      <c r="I31" s="867"/>
      <c r="J31" s="867"/>
      <c r="K31" s="867"/>
      <c r="L31" s="867"/>
      <c r="M31" s="867"/>
      <c r="N31" s="867"/>
      <c r="O31" s="867"/>
      <c r="P31" s="867"/>
      <c r="Q31" s="867"/>
      <c r="R31" s="867"/>
      <c r="S31" s="867"/>
      <c r="T31" s="867"/>
      <c r="U31" s="867"/>
      <c r="V31" s="867"/>
      <c r="W31" s="867"/>
      <c r="X31" s="867"/>
      <c r="Y31" s="868"/>
      <c r="Z31" s="612" t="s">
        <v>793</v>
      </c>
      <c r="AA31" s="612"/>
      <c r="AB31" s="612"/>
      <c r="AC31" s="612"/>
      <c r="AD31" s="612"/>
      <c r="AE31" s="612"/>
      <c r="AF31" s="612"/>
      <c r="AG31" s="612"/>
      <c r="AH31" s="612"/>
      <c r="AI31" s="612"/>
      <c r="AJ31" s="887">
        <f>ROUND(1.55*(0.5*'Canteiro Id'!J47),2)</f>
        <v>20.15</v>
      </c>
      <c r="AK31" s="888"/>
      <c r="AL31" s="888"/>
      <c r="AM31" s="888"/>
      <c r="AN31" s="888"/>
      <c r="AO31" s="888"/>
      <c r="AP31" s="888"/>
      <c r="AQ31" s="888"/>
      <c r="AR31" s="889"/>
    </row>
    <row r="32" customHeight="1" spans="1:48">
      <c r="A32" s="866" t="s">
        <v>794</v>
      </c>
      <c r="B32" s="867"/>
      <c r="C32" s="867"/>
      <c r="D32" s="867"/>
      <c r="E32" s="867"/>
      <c r="F32" s="867"/>
      <c r="G32" s="867"/>
      <c r="H32" s="867"/>
      <c r="I32" s="867"/>
      <c r="J32" s="867"/>
      <c r="K32" s="867"/>
      <c r="L32" s="867"/>
      <c r="M32" s="867"/>
      <c r="N32" s="867"/>
      <c r="O32" s="867"/>
      <c r="P32" s="867"/>
      <c r="Q32" s="867"/>
      <c r="R32" s="867"/>
      <c r="S32" s="867"/>
      <c r="T32" s="867"/>
      <c r="U32" s="867"/>
      <c r="V32" s="867"/>
      <c r="W32" s="867"/>
      <c r="X32" s="867"/>
      <c r="Y32" s="868"/>
      <c r="Z32" s="670" t="s">
        <v>795</v>
      </c>
      <c r="AA32" s="670"/>
      <c r="AB32" s="670"/>
      <c r="AC32" s="670"/>
      <c r="AD32" s="670"/>
      <c r="AE32" s="670"/>
      <c r="AF32" s="670"/>
      <c r="AG32" s="670"/>
      <c r="AH32" s="670"/>
      <c r="AI32" s="670"/>
      <c r="AJ32" s="887">
        <f>ROUND(3.11*0.5*('Canteiro Id'!J37+'Canteiro Id'!J39),2)</f>
        <v>29.55</v>
      </c>
      <c r="AK32" s="888"/>
      <c r="AL32" s="888"/>
      <c r="AM32" s="888"/>
      <c r="AN32" s="888"/>
      <c r="AO32" s="888"/>
      <c r="AP32" s="888"/>
      <c r="AQ32" s="888"/>
      <c r="AR32" s="889"/>
    </row>
    <row r="33" customHeight="1" spans="1:44">
      <c r="A33" s="866" t="s">
        <v>778</v>
      </c>
      <c r="B33" s="867"/>
      <c r="C33" s="867"/>
      <c r="D33" s="867"/>
      <c r="E33" s="867"/>
      <c r="F33" s="867"/>
      <c r="G33" s="867"/>
      <c r="H33" s="867"/>
      <c r="I33" s="867"/>
      <c r="J33" s="867"/>
      <c r="K33" s="867"/>
      <c r="L33" s="867"/>
      <c r="M33" s="867"/>
      <c r="N33" s="867"/>
      <c r="O33" s="867"/>
      <c r="P33" s="867"/>
      <c r="Q33" s="867"/>
      <c r="R33" s="867"/>
      <c r="S33" s="867"/>
      <c r="T33" s="867"/>
      <c r="U33" s="867"/>
      <c r="V33" s="867"/>
      <c r="W33" s="867"/>
      <c r="X33" s="867"/>
      <c r="Y33" s="868"/>
      <c r="Z33" s="670" t="s">
        <v>796</v>
      </c>
      <c r="AA33" s="670"/>
      <c r="AB33" s="670"/>
      <c r="AC33" s="670"/>
      <c r="AD33" s="670"/>
      <c r="AE33" s="670"/>
      <c r="AF33" s="670"/>
      <c r="AG33" s="670"/>
      <c r="AH33" s="670"/>
      <c r="AI33" s="670"/>
      <c r="AJ33" s="887">
        <f>ROUND(0.77*('Canteiro Id'!J37+'Canteiro Id'!J39),2)</f>
        <v>14.63</v>
      </c>
      <c r="AK33" s="888"/>
      <c r="AL33" s="888"/>
      <c r="AM33" s="888"/>
      <c r="AN33" s="888"/>
      <c r="AO33" s="888"/>
      <c r="AP33" s="888"/>
      <c r="AQ33" s="888"/>
      <c r="AR33" s="889"/>
    </row>
    <row r="34" customHeight="1" spans="1:44">
      <c r="A34" s="866" t="s">
        <v>797</v>
      </c>
      <c r="B34" s="867"/>
      <c r="C34" s="867"/>
      <c r="D34" s="867"/>
      <c r="E34" s="867"/>
      <c r="F34" s="867"/>
      <c r="G34" s="867"/>
      <c r="H34" s="867"/>
      <c r="I34" s="867"/>
      <c r="J34" s="867"/>
      <c r="K34" s="867"/>
      <c r="L34" s="867"/>
      <c r="M34" s="867"/>
      <c r="N34" s="867"/>
      <c r="O34" s="867"/>
      <c r="P34" s="867"/>
      <c r="Q34" s="867"/>
      <c r="R34" s="867"/>
      <c r="S34" s="867"/>
      <c r="T34" s="867"/>
      <c r="U34" s="867"/>
      <c r="V34" s="867"/>
      <c r="W34" s="867"/>
      <c r="X34" s="867"/>
      <c r="Y34" s="868"/>
      <c r="Z34" s="612" t="s">
        <v>798</v>
      </c>
      <c r="AA34" s="612"/>
      <c r="AB34" s="612"/>
      <c r="AC34" s="612"/>
      <c r="AD34" s="612"/>
      <c r="AE34" s="612"/>
      <c r="AF34" s="612"/>
      <c r="AG34" s="612"/>
      <c r="AH34" s="612"/>
      <c r="AI34" s="612"/>
      <c r="AJ34" s="890">
        <f>ROUND(0.25*'Canteiro Id'!J47,2)</f>
        <v>6.5</v>
      </c>
      <c r="AK34" s="891"/>
      <c r="AL34" s="891"/>
      <c r="AM34" s="891"/>
      <c r="AN34" s="891"/>
      <c r="AO34" s="891"/>
      <c r="AP34" s="891"/>
      <c r="AQ34" s="891"/>
      <c r="AR34" s="892"/>
    </row>
    <row r="35" customHeight="1" spans="1:44">
      <c r="A35" s="866" t="s">
        <v>799</v>
      </c>
      <c r="B35" s="867"/>
      <c r="C35" s="867"/>
      <c r="D35" s="867"/>
      <c r="E35" s="867"/>
      <c r="F35" s="867"/>
      <c r="G35" s="867"/>
      <c r="H35" s="867"/>
      <c r="I35" s="867"/>
      <c r="J35" s="867"/>
      <c r="K35" s="867"/>
      <c r="L35" s="867"/>
      <c r="M35" s="867"/>
      <c r="N35" s="867"/>
      <c r="O35" s="867"/>
      <c r="P35" s="867"/>
      <c r="Q35" s="867"/>
      <c r="R35" s="867"/>
      <c r="S35" s="867"/>
      <c r="T35" s="867"/>
      <c r="U35" s="867"/>
      <c r="V35" s="867"/>
      <c r="W35" s="867"/>
      <c r="X35" s="867"/>
      <c r="Y35" s="868"/>
      <c r="Z35" s="738" t="s">
        <v>800</v>
      </c>
      <c r="AA35" s="739"/>
      <c r="AB35" s="739"/>
      <c r="AC35" s="739"/>
      <c r="AD35" s="739"/>
      <c r="AE35" s="739"/>
      <c r="AF35" s="739"/>
      <c r="AG35" s="739"/>
      <c r="AH35" s="739"/>
      <c r="AI35" s="772"/>
      <c r="AJ35" s="890">
        <f>ROUND(8.46*('Canteiro Id'!J43),2)</f>
        <v>59.22</v>
      </c>
      <c r="AK35" s="891"/>
      <c r="AL35" s="891"/>
      <c r="AM35" s="891"/>
      <c r="AN35" s="891"/>
      <c r="AO35" s="891"/>
      <c r="AP35" s="891"/>
      <c r="AQ35" s="891"/>
      <c r="AR35" s="892"/>
    </row>
    <row r="36" ht="12.75" customHeight="1" spans="1:44">
      <c r="A36" s="795" t="s">
        <v>801</v>
      </c>
      <c r="B36" s="796"/>
      <c r="C36" s="796"/>
      <c r="D36" s="796"/>
      <c r="E36" s="796"/>
      <c r="F36" s="796"/>
      <c r="G36" s="796"/>
      <c r="H36" s="796"/>
      <c r="I36" s="796"/>
      <c r="J36" s="796"/>
      <c r="K36" s="796"/>
      <c r="L36" s="796"/>
      <c r="M36" s="796"/>
      <c r="N36" s="796"/>
      <c r="O36" s="796"/>
      <c r="P36" s="796"/>
      <c r="Q36" s="796"/>
      <c r="R36" s="796"/>
      <c r="S36" s="796"/>
      <c r="T36" s="796"/>
      <c r="U36" s="796"/>
      <c r="V36" s="796"/>
      <c r="W36" s="796"/>
      <c r="X36" s="796"/>
      <c r="Y36" s="796"/>
      <c r="Z36" s="796"/>
      <c r="AA36" s="796"/>
      <c r="AB36" s="796"/>
      <c r="AC36" s="796"/>
      <c r="AD36" s="796"/>
      <c r="AE36" s="796"/>
      <c r="AF36" s="796"/>
      <c r="AG36" s="796"/>
      <c r="AH36" s="796"/>
      <c r="AI36" s="796"/>
      <c r="AJ36" s="796"/>
      <c r="AK36" s="796"/>
      <c r="AL36" s="796"/>
      <c r="AM36" s="796"/>
      <c r="AN36" s="796"/>
      <c r="AO36" s="796"/>
      <c r="AP36" s="796"/>
      <c r="AQ36" s="796"/>
      <c r="AR36" s="862"/>
    </row>
    <row r="37" ht="12.75" customHeight="1" spans="1:44">
      <c r="A37" s="66" t="s">
        <v>802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8"/>
    </row>
    <row r="38" s="859" customFormat="1" ht="22.5" customHeight="1" spans="1:44">
      <c r="A38" s="893" t="s">
        <v>803</v>
      </c>
      <c r="B38" s="894"/>
      <c r="C38" s="894"/>
      <c r="D38" s="894"/>
      <c r="E38" s="894"/>
      <c r="F38" s="894"/>
      <c r="G38" s="894"/>
      <c r="H38" s="894"/>
      <c r="I38" s="894"/>
      <c r="J38" s="894"/>
      <c r="K38" s="894"/>
      <c r="L38" s="894"/>
      <c r="M38" s="894"/>
      <c r="N38" s="894"/>
      <c r="O38" s="894"/>
      <c r="P38" s="894"/>
      <c r="Q38" s="894"/>
      <c r="R38" s="894"/>
      <c r="S38" s="894"/>
      <c r="T38" s="894"/>
      <c r="U38" s="894"/>
      <c r="V38" s="894"/>
      <c r="W38" s="894"/>
      <c r="X38" s="894"/>
      <c r="Y38" s="894"/>
      <c r="Z38" s="894"/>
      <c r="AA38" s="894"/>
      <c r="AB38" s="894"/>
      <c r="AC38" s="894"/>
      <c r="AD38" s="894"/>
      <c r="AE38" s="894"/>
      <c r="AF38" s="894"/>
      <c r="AG38" s="894"/>
      <c r="AH38" s="894"/>
      <c r="AI38" s="894"/>
      <c r="AJ38" s="894"/>
      <c r="AK38" s="894"/>
      <c r="AL38" s="894"/>
      <c r="AM38" s="894"/>
      <c r="AN38" s="894"/>
      <c r="AO38" s="894"/>
      <c r="AP38" s="894"/>
      <c r="AQ38" s="894"/>
      <c r="AR38" s="895"/>
    </row>
    <row r="39" ht="12.75" customHeight="1" spans="1:44">
      <c r="A39" s="548"/>
      <c r="B39" s="896"/>
      <c r="C39" s="896"/>
      <c r="D39" s="896"/>
      <c r="E39" s="896"/>
      <c r="F39" s="896"/>
      <c r="G39" s="896"/>
      <c r="H39" s="896"/>
      <c r="I39" s="896"/>
      <c r="J39" s="896"/>
      <c r="K39" s="896"/>
      <c r="L39" s="896"/>
      <c r="M39" s="896"/>
      <c r="N39" s="896"/>
      <c r="O39" s="896"/>
      <c r="P39" s="896"/>
      <c r="Q39" s="896"/>
      <c r="R39" s="896"/>
      <c r="S39" s="896"/>
      <c r="T39" s="896"/>
      <c r="U39" s="896"/>
      <c r="V39" s="896"/>
      <c r="W39" s="896"/>
      <c r="X39" s="896"/>
      <c r="Y39" s="896"/>
      <c r="Z39" s="896"/>
      <c r="AA39" s="896"/>
      <c r="AB39" s="896"/>
      <c r="AC39" s="896"/>
      <c r="AD39" s="896"/>
      <c r="AE39" s="896"/>
      <c r="AF39" s="896"/>
      <c r="AG39" s="896"/>
      <c r="AH39" s="896"/>
      <c r="AI39" s="896"/>
      <c r="AJ39" s="896"/>
      <c r="AK39" s="896"/>
      <c r="AL39" s="896"/>
      <c r="AM39" s="896"/>
      <c r="AN39" s="896"/>
      <c r="AO39" s="896"/>
      <c r="AP39" s="896"/>
      <c r="AQ39" s="896"/>
      <c r="AR39" s="549"/>
    </row>
    <row r="40" ht="12.75" customHeight="1" spans="1:44">
      <c r="A40" s="580"/>
      <c r="B40" s="897"/>
      <c r="C40" s="897"/>
      <c r="D40" s="897"/>
      <c r="E40" s="897"/>
      <c r="F40" s="897"/>
      <c r="G40" s="897"/>
      <c r="H40" s="897"/>
      <c r="I40" s="897"/>
      <c r="J40" s="897"/>
      <c r="K40" s="897"/>
      <c r="L40" s="897"/>
      <c r="M40" s="897"/>
      <c r="N40" s="897"/>
      <c r="O40" s="897"/>
      <c r="P40" s="897"/>
      <c r="Q40" s="897"/>
      <c r="R40" s="897"/>
      <c r="S40" s="897"/>
      <c r="T40" s="897"/>
      <c r="U40" s="897"/>
      <c r="V40" s="897"/>
      <c r="W40" s="897"/>
      <c r="X40" s="897"/>
      <c r="Y40" s="897"/>
      <c r="Z40" s="897"/>
      <c r="AA40" s="897"/>
      <c r="AB40" s="897"/>
      <c r="AC40" s="897"/>
      <c r="AD40" s="897"/>
      <c r="AE40" s="897"/>
      <c r="AF40" s="897"/>
      <c r="AG40" s="897"/>
      <c r="AH40" s="897"/>
      <c r="AI40" s="897"/>
      <c r="AJ40" s="897"/>
      <c r="AK40" s="897"/>
      <c r="AL40" s="897"/>
      <c r="AM40" s="897"/>
      <c r="AN40" s="897"/>
      <c r="AO40" s="897"/>
      <c r="AP40" s="897"/>
      <c r="AQ40" s="897"/>
      <c r="AR40" s="581"/>
    </row>
    <row r="41" ht="12.75" customHeight="1" spans="1:44">
      <c r="A41" s="580"/>
      <c r="B41" s="897"/>
      <c r="C41" s="897"/>
      <c r="D41" s="897"/>
      <c r="E41" s="897"/>
      <c r="F41" s="897"/>
      <c r="G41" s="897"/>
      <c r="H41" s="897"/>
      <c r="I41" s="897"/>
      <c r="J41" s="897"/>
      <c r="K41" s="897"/>
      <c r="L41" s="897"/>
      <c r="M41" s="897"/>
      <c r="N41" s="897"/>
      <c r="O41" s="897"/>
      <c r="P41" s="897"/>
      <c r="Q41" s="897"/>
      <c r="R41" s="897"/>
      <c r="S41" s="897"/>
      <c r="T41" s="897"/>
      <c r="U41" s="897"/>
      <c r="V41" s="897"/>
      <c r="W41" s="897"/>
      <c r="X41" s="897"/>
      <c r="Y41" s="897"/>
      <c r="Z41" s="897"/>
      <c r="AA41" s="897"/>
      <c r="AB41" s="897"/>
      <c r="AC41" s="897"/>
      <c r="AD41" s="897"/>
      <c r="AE41" s="897"/>
      <c r="AF41" s="897"/>
      <c r="AG41" s="897"/>
      <c r="AH41" s="897"/>
      <c r="AI41" s="897"/>
      <c r="AJ41" s="897"/>
      <c r="AK41" s="897"/>
      <c r="AL41" s="897"/>
      <c r="AM41" s="897"/>
      <c r="AN41" s="897"/>
      <c r="AO41" s="897"/>
      <c r="AP41" s="897"/>
      <c r="AQ41" s="897"/>
      <c r="AR41" s="581"/>
    </row>
    <row r="42" ht="12.75" customHeight="1" spans="1:44">
      <c r="A42" s="580"/>
      <c r="B42" s="897"/>
      <c r="C42" s="897"/>
      <c r="D42" s="897"/>
      <c r="E42" s="897"/>
      <c r="F42" s="897"/>
      <c r="G42" s="897"/>
      <c r="H42" s="897"/>
      <c r="I42" s="897"/>
      <c r="J42" s="897"/>
      <c r="K42" s="897"/>
      <c r="L42" s="897"/>
      <c r="M42" s="897"/>
      <c r="N42" s="897"/>
      <c r="O42" s="897"/>
      <c r="P42" s="897"/>
      <c r="Q42" s="897"/>
      <c r="R42" s="897"/>
      <c r="S42" s="897"/>
      <c r="T42" s="897"/>
      <c r="U42" s="897"/>
      <c r="V42" s="897"/>
      <c r="W42" s="897"/>
      <c r="X42" s="897"/>
      <c r="Y42" s="897"/>
      <c r="Z42" s="897"/>
      <c r="AA42" s="897"/>
      <c r="AB42" s="897"/>
      <c r="AC42" s="897"/>
      <c r="AD42" s="897"/>
      <c r="AE42" s="897"/>
      <c r="AF42" s="897"/>
      <c r="AG42" s="897"/>
      <c r="AH42" s="897"/>
      <c r="AI42" s="897"/>
      <c r="AJ42" s="897"/>
      <c r="AK42" s="897"/>
      <c r="AL42" s="897"/>
      <c r="AM42" s="897"/>
      <c r="AN42" s="897"/>
      <c r="AO42" s="897"/>
      <c r="AP42" s="897"/>
      <c r="AQ42" s="897"/>
      <c r="AR42" s="581"/>
    </row>
    <row r="43" ht="12.75" customHeight="1" spans="1:44">
      <c r="A43" s="599"/>
      <c r="B43" s="697"/>
      <c r="C43" s="697"/>
      <c r="D43" s="697"/>
      <c r="E43" s="697"/>
      <c r="F43" s="697"/>
      <c r="G43" s="697"/>
      <c r="H43" s="697"/>
      <c r="I43" s="697"/>
      <c r="J43" s="697"/>
      <c r="K43" s="697"/>
      <c r="L43" s="697"/>
      <c r="M43" s="697"/>
      <c r="N43" s="697"/>
      <c r="O43" s="697"/>
      <c r="P43" s="697"/>
      <c r="Q43" s="697"/>
      <c r="R43" s="697"/>
      <c r="S43" s="697"/>
      <c r="T43" s="697"/>
      <c r="U43" s="697"/>
      <c r="V43" s="697"/>
      <c r="W43" s="697"/>
      <c r="X43" s="697"/>
      <c r="Y43" s="697"/>
      <c r="Z43" s="697"/>
      <c r="AA43" s="697"/>
      <c r="AB43" s="697"/>
      <c r="AC43" s="697"/>
      <c r="AD43" s="697"/>
      <c r="AE43" s="697"/>
      <c r="AF43" s="697"/>
      <c r="AG43" s="697"/>
      <c r="AH43" s="697"/>
      <c r="AI43" s="697"/>
      <c r="AJ43" s="697"/>
      <c r="AK43" s="697"/>
      <c r="AL43" s="697"/>
      <c r="AM43" s="697"/>
      <c r="AN43" s="697"/>
      <c r="AO43" s="697"/>
      <c r="AP43" s="697"/>
      <c r="AQ43" s="697"/>
      <c r="AR43" s="600"/>
    </row>
    <row r="44" ht="12.75" customHeight="1" spans="1:44">
      <c r="A44" s="250" t="s">
        <v>804</v>
      </c>
      <c r="B44" s="251"/>
      <c r="C44" s="251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1"/>
      <c r="R44" s="251"/>
      <c r="S44" s="251"/>
      <c r="T44" s="251"/>
      <c r="U44" s="251"/>
      <c r="V44" s="251"/>
      <c r="W44" s="251"/>
      <c r="X44" s="251"/>
      <c r="Y44" s="251"/>
      <c r="Z44" s="251"/>
      <c r="AA44" s="251"/>
      <c r="AB44" s="898">
        <v>0.234</v>
      </c>
      <c r="AC44" s="898"/>
      <c r="AD44" s="898"/>
      <c r="AE44" s="898"/>
      <c r="AF44" s="899"/>
      <c r="AG44" s="899"/>
      <c r="AH44" s="899"/>
      <c r="AI44" s="899"/>
      <c r="AJ44" s="900"/>
      <c r="AK44" s="900"/>
      <c r="AL44" s="900"/>
      <c r="AM44" s="901"/>
      <c r="AN44" s="901"/>
      <c r="AO44" s="901"/>
      <c r="AP44" s="501"/>
      <c r="AQ44" s="501"/>
      <c r="AR44" s="902"/>
    </row>
    <row r="45" ht="12.75" customHeight="1" spans="1:44">
      <c r="A45" s="250" t="str">
        <f>CONCATENATE("ÁREA TOTAL DE REFERÊNCIA DO TERRENO = ",AF27,"/0,234 =")</f>
        <v>ÁREA TOTAL DE REFERÊNCIA DO TERRENO = 185,76/0,234 =</v>
      </c>
      <c r="B45" s="251"/>
      <c r="C45" s="251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  <c r="AA45" s="251"/>
      <c r="AB45" s="903">
        <f>ROUND((AF27)/AB44,2)</f>
        <v>793.85</v>
      </c>
      <c r="AC45" s="903"/>
      <c r="AD45" s="903"/>
      <c r="AE45" s="903"/>
      <c r="AF45" s="904" t="s">
        <v>7</v>
      </c>
      <c r="AG45" s="899"/>
      <c r="AH45" s="899"/>
      <c r="AI45" s="899"/>
      <c r="AJ45" s="900"/>
      <c r="AK45" s="900"/>
      <c r="AL45" s="900"/>
      <c r="AM45" s="901"/>
      <c r="AN45" s="901"/>
      <c r="AO45" s="901"/>
      <c r="AP45" s="501"/>
      <c r="AQ45" s="501"/>
      <c r="AR45" s="902"/>
    </row>
    <row r="46" ht="12.75" customHeight="1" spans="1:44">
      <c r="A46" s="250" t="str">
        <f>CONCATENATE("ÁREAS DESCOBERTAS = ",AB45," - ",AF27," =")</f>
        <v>ÁREAS DESCOBERTAS = 793,85 - 185,76 =</v>
      </c>
      <c r="B46" s="251"/>
      <c r="C46" s="251"/>
      <c r="D46" s="251"/>
      <c r="E46" s="251"/>
      <c r="F46" s="251"/>
      <c r="G46" s="251"/>
      <c r="H46" s="251"/>
      <c r="I46" s="251"/>
      <c r="J46" s="251"/>
      <c r="K46" s="251"/>
      <c r="L46" s="251"/>
      <c r="M46" s="251"/>
      <c r="N46" s="251"/>
      <c r="O46" s="251"/>
      <c r="P46" s="251"/>
      <c r="Q46" s="251"/>
      <c r="R46" s="251"/>
      <c r="S46" s="251"/>
      <c r="T46" s="251"/>
      <c r="U46" s="251"/>
      <c r="V46" s="251"/>
      <c r="W46" s="251"/>
      <c r="X46" s="251"/>
      <c r="Y46" s="251"/>
      <c r="Z46" s="251"/>
      <c r="AA46" s="251"/>
      <c r="AB46" s="903">
        <f ca="1">AB45-X56</f>
        <v>608.09</v>
      </c>
      <c r="AC46" s="903"/>
      <c r="AD46" s="903"/>
      <c r="AE46" s="903"/>
      <c r="AF46" s="904" t="s">
        <v>7</v>
      </c>
      <c r="AG46" s="899"/>
      <c r="AH46" s="899"/>
      <c r="AI46" s="899"/>
      <c r="AJ46" s="900"/>
      <c r="AK46" s="900"/>
      <c r="AL46" s="900"/>
      <c r="AM46" s="901"/>
      <c r="AN46" s="901"/>
      <c r="AO46" s="901"/>
      <c r="AP46" s="501"/>
      <c r="AQ46" s="501"/>
      <c r="AR46" s="902"/>
    </row>
    <row r="47" ht="12.75" customHeight="1" spans="1:44">
      <c r="A47" s="819" t="s">
        <v>805</v>
      </c>
      <c r="B47" s="820"/>
      <c r="C47" s="820"/>
      <c r="D47" s="820"/>
      <c r="E47" s="820"/>
      <c r="F47" s="820"/>
      <c r="G47" s="820"/>
      <c r="H47" s="820"/>
      <c r="I47" s="820"/>
      <c r="J47" s="820"/>
      <c r="K47" s="820"/>
      <c r="L47" s="820"/>
      <c r="M47" s="820"/>
      <c r="N47" s="820"/>
      <c r="O47" s="820"/>
      <c r="P47" s="820"/>
      <c r="Q47" s="820"/>
      <c r="R47" s="820"/>
      <c r="S47" s="820"/>
      <c r="T47" s="820"/>
      <c r="U47" s="820"/>
      <c r="V47" s="820"/>
      <c r="W47" s="820"/>
      <c r="X47" s="820"/>
      <c r="Y47" s="820"/>
      <c r="Z47" s="820"/>
      <c r="AA47" s="820"/>
      <c r="AB47" s="905">
        <v>0.0097</v>
      </c>
      <c r="AC47" s="905"/>
      <c r="AD47" s="905"/>
      <c r="AE47" s="905"/>
      <c r="AF47" s="905"/>
      <c r="AG47" s="816"/>
      <c r="AH47" s="816"/>
      <c r="AI47" s="816"/>
      <c r="AJ47" s="816"/>
      <c r="AK47" s="816"/>
      <c r="AL47" s="816"/>
      <c r="AM47" s="816"/>
      <c r="AN47" s="816"/>
      <c r="AO47" s="816"/>
      <c r="AP47" s="816"/>
      <c r="AQ47" s="816"/>
      <c r="AR47" s="902"/>
    </row>
    <row r="48" ht="12.75" customHeight="1" spans="1:44">
      <c r="A48" s="795" t="s">
        <v>806</v>
      </c>
      <c r="B48" s="796"/>
      <c r="C48" s="796"/>
      <c r="D48" s="796"/>
      <c r="E48" s="796"/>
      <c r="F48" s="796"/>
      <c r="G48" s="796"/>
      <c r="H48" s="796"/>
      <c r="I48" s="796"/>
      <c r="J48" s="796"/>
      <c r="K48" s="796"/>
      <c r="L48" s="796"/>
      <c r="M48" s="796"/>
      <c r="N48" s="796"/>
      <c r="O48" s="796"/>
      <c r="P48" s="796"/>
      <c r="Q48" s="796"/>
      <c r="R48" s="796"/>
      <c r="S48" s="796"/>
      <c r="T48" s="796"/>
      <c r="U48" s="796"/>
      <c r="V48" s="796"/>
      <c r="W48" s="796"/>
      <c r="X48" s="796"/>
      <c r="Y48" s="796"/>
      <c r="Z48" s="796"/>
      <c r="AA48" s="796"/>
      <c r="AB48" s="796"/>
      <c r="AC48" s="796"/>
      <c r="AD48" s="796"/>
      <c r="AE48" s="796"/>
      <c r="AF48" s="796"/>
      <c r="AG48" s="796"/>
      <c r="AH48" s="796"/>
      <c r="AI48" s="796"/>
      <c r="AJ48" s="796"/>
      <c r="AK48" s="796"/>
      <c r="AL48" s="796"/>
      <c r="AM48" s="796"/>
      <c r="AN48" s="796"/>
      <c r="AO48" s="796"/>
      <c r="AP48" s="796"/>
      <c r="AQ48" s="796"/>
      <c r="AR48" s="862"/>
    </row>
    <row r="49" customHeight="1" spans="1:46">
      <c r="A49" s="720" t="s">
        <v>764</v>
      </c>
      <c r="B49" s="720"/>
      <c r="C49" s="683" t="s">
        <v>635</v>
      </c>
      <c r="D49" s="781"/>
      <c r="E49" s="781"/>
      <c r="F49" s="781"/>
      <c r="G49" s="781"/>
      <c r="H49" s="781"/>
      <c r="I49" s="781"/>
      <c r="J49" s="781"/>
      <c r="K49" s="781"/>
      <c r="L49" s="781"/>
      <c r="M49" s="781"/>
      <c r="N49" s="781"/>
      <c r="O49" s="781"/>
      <c r="P49" s="781"/>
      <c r="Q49" s="781"/>
      <c r="R49" s="781"/>
      <c r="S49" s="684"/>
      <c r="T49" s="720" t="s">
        <v>763</v>
      </c>
      <c r="U49" s="720"/>
      <c r="V49" s="720"/>
      <c r="W49" s="720"/>
      <c r="X49" s="863" t="s">
        <v>765</v>
      </c>
      <c r="Y49" s="864"/>
      <c r="Z49" s="865"/>
      <c r="AA49" s="720" t="s">
        <v>807</v>
      </c>
      <c r="AB49" s="720"/>
      <c r="AC49" s="720"/>
      <c r="AD49" s="720"/>
      <c r="AE49" s="720"/>
      <c r="AF49" s="683" t="s">
        <v>808</v>
      </c>
      <c r="AG49" s="781"/>
      <c r="AH49" s="781"/>
      <c r="AI49" s="781"/>
      <c r="AJ49" s="781"/>
      <c r="AK49" s="781"/>
      <c r="AL49" s="781"/>
      <c r="AM49" s="684"/>
      <c r="AN49" s="720" t="s">
        <v>809</v>
      </c>
      <c r="AO49" s="720"/>
      <c r="AP49" s="720"/>
      <c r="AQ49" s="720"/>
      <c r="AR49" s="720"/>
    </row>
    <row r="50" customHeight="1" spans="1:46">
      <c r="A50" s="612">
        <f ca="1" t="shared" ref="A50:A55" si="3">SUMIF(Z$17:AC$26,T50,AD$17:AE$26)</f>
        <v>1</v>
      </c>
      <c r="B50" s="612"/>
      <c r="C50" s="506" t="e">
        <f ca="1">IF(A50="","",+VLOOKUP(T50,Materiais!A:D,2,"falso"))</f>
        <v>#VALUE!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8"/>
      <c r="T50" s="612" t="s">
        <v>779</v>
      </c>
      <c r="U50" s="612"/>
      <c r="V50" s="612"/>
      <c r="W50" s="612"/>
      <c r="X50" s="740">
        <f ca="1" t="shared" ref="X50:X55" si="4">SUMIF(Z$17:AC$26,T50,AF$17:AH$26)</f>
        <v>14.86</v>
      </c>
      <c r="Y50" s="906"/>
      <c r="Z50" s="741"/>
      <c r="AA50" s="869">
        <f ca="1" t="shared" ref="AA50:AA55" si="5">SUMIF(Z$17:AC$26,T50,AN$17:AR$26)/A50</f>
        <v>90298.939</v>
      </c>
      <c r="AB50" s="907"/>
      <c r="AC50" s="907"/>
      <c r="AD50" s="907"/>
      <c r="AE50" s="907"/>
      <c r="AF50" s="871" t="str">
        <f>A23</f>
        <v>INSTALAÇÕES SANITÁRIAS E VESTIÁRIO</v>
      </c>
      <c r="AG50" s="872"/>
      <c r="AH50" s="872"/>
      <c r="AI50" s="872"/>
      <c r="AJ50" s="872"/>
      <c r="AK50" s="872"/>
      <c r="AL50" s="872"/>
      <c r="AM50" s="873"/>
      <c r="AN50" s="869">
        <f ca="1" t="shared" ref="AN50:AN55" si="6">IF(T50="","",A50*AA50)</f>
        <v>90298.939</v>
      </c>
      <c r="AO50" s="869"/>
      <c r="AP50" s="869"/>
      <c r="AQ50" s="869"/>
      <c r="AR50" s="869"/>
      <c r="AS50" s="908"/>
      <c r="AT50" s="909"/>
    </row>
    <row r="51" customHeight="1" spans="1:46">
      <c r="A51" s="612">
        <f ca="1" t="shared" si="3"/>
        <v>2</v>
      </c>
      <c r="B51" s="612"/>
      <c r="C51" s="506" t="e">
        <f ca="1">IF(A51="","",+VLOOKUP(T51,Materiais!A:D,2,"falso"))</f>
        <v>#VALUE!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8"/>
      <c r="T51" s="612" t="s">
        <v>772</v>
      </c>
      <c r="U51" s="612"/>
      <c r="V51" s="612"/>
      <c r="W51" s="612"/>
      <c r="X51" s="740">
        <f ca="1" t="shared" si="4"/>
        <v>29.72</v>
      </c>
      <c r="Y51" s="906"/>
      <c r="Z51" s="741"/>
      <c r="AA51" s="869">
        <f ca="1" t="shared" si="5"/>
        <v>36836.0447</v>
      </c>
      <c r="AB51" s="907"/>
      <c r="AC51" s="907"/>
      <c r="AD51" s="907"/>
      <c r="AE51" s="907"/>
      <c r="AF51" s="871" t="s">
        <v>810</v>
      </c>
      <c r="AG51" s="872"/>
      <c r="AH51" s="872"/>
      <c r="AI51" s="872"/>
      <c r="AJ51" s="872"/>
      <c r="AK51" s="872"/>
      <c r="AL51" s="872"/>
      <c r="AM51" s="873"/>
      <c r="AN51" s="869">
        <f ca="1" t="shared" si="6"/>
        <v>73672.0894</v>
      </c>
      <c r="AO51" s="869"/>
      <c r="AP51" s="869"/>
      <c r="AQ51" s="869"/>
      <c r="AR51" s="869"/>
      <c r="AS51" s="908"/>
      <c r="AT51" s="909"/>
    </row>
    <row r="52" customHeight="1" spans="1:46">
      <c r="A52" s="612">
        <f ca="1" t="shared" si="3"/>
        <v>1</v>
      </c>
      <c r="B52" s="612"/>
      <c r="C52" s="506" t="e">
        <f ca="1">IF(A52="","",+VLOOKUP(T52,Materiais!A:D,2,"falso"))</f>
        <v>#VALUE!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8"/>
      <c r="T52" s="612" t="s">
        <v>776</v>
      </c>
      <c r="U52" s="612"/>
      <c r="V52" s="612"/>
      <c r="W52" s="612"/>
      <c r="X52" s="740">
        <f ca="1" t="shared" si="4"/>
        <v>29.72</v>
      </c>
      <c r="Y52" s="906"/>
      <c r="Z52" s="741"/>
      <c r="AA52" s="869">
        <f ca="1" t="shared" si="5"/>
        <v>127045.6007</v>
      </c>
      <c r="AB52" s="907"/>
      <c r="AC52" s="907"/>
      <c r="AD52" s="907"/>
      <c r="AE52" s="907"/>
      <c r="AF52" s="866" t="s">
        <v>775</v>
      </c>
      <c r="AG52" s="867"/>
      <c r="AH52" s="867"/>
      <c r="AI52" s="867"/>
      <c r="AJ52" s="867"/>
      <c r="AK52" s="867"/>
      <c r="AL52" s="867"/>
      <c r="AM52" s="868"/>
      <c r="AN52" s="869">
        <f ca="1" t="shared" si="6"/>
        <v>127045.6007</v>
      </c>
      <c r="AO52" s="869"/>
      <c r="AP52" s="869"/>
      <c r="AQ52" s="869"/>
      <c r="AR52" s="869"/>
      <c r="AS52" s="908"/>
      <c r="AT52" s="909"/>
    </row>
    <row r="53" customHeight="1" spans="1:46">
      <c r="A53" s="612">
        <f ca="1" t="shared" si="3"/>
        <v>1</v>
      </c>
      <c r="B53" s="612"/>
      <c r="C53" s="506" t="e">
        <f ca="1">IF(A53="","",+VLOOKUP(T53,Materiais!A:D,2,"falso"))</f>
        <v>#VALUE!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8"/>
      <c r="T53" s="612" t="s">
        <v>774</v>
      </c>
      <c r="U53" s="612"/>
      <c r="V53" s="612"/>
      <c r="W53" s="612"/>
      <c r="X53" s="740">
        <f ca="1" t="shared" si="4"/>
        <v>29.72</v>
      </c>
      <c r="Y53" s="906"/>
      <c r="Z53" s="741"/>
      <c r="AA53" s="869">
        <f ca="1" t="shared" si="5"/>
        <v>132070.6307</v>
      </c>
      <c r="AB53" s="907"/>
      <c r="AC53" s="907"/>
      <c r="AD53" s="907"/>
      <c r="AE53" s="907"/>
      <c r="AF53" s="866" t="s">
        <v>773</v>
      </c>
      <c r="AG53" s="867"/>
      <c r="AH53" s="867"/>
      <c r="AI53" s="867"/>
      <c r="AJ53" s="867"/>
      <c r="AK53" s="867"/>
      <c r="AL53" s="867"/>
      <c r="AM53" s="868"/>
      <c r="AN53" s="869">
        <f ca="1" t="shared" si="6"/>
        <v>132070.6307</v>
      </c>
      <c r="AO53" s="869"/>
      <c r="AP53" s="869"/>
      <c r="AQ53" s="869"/>
      <c r="AR53" s="869"/>
      <c r="AS53" s="908"/>
      <c r="AT53" s="909"/>
    </row>
    <row r="54" ht="28.35" customHeight="1" spans="1:46">
      <c r="A54" s="612">
        <f ca="1" t="shared" si="3"/>
        <v>5</v>
      </c>
      <c r="B54" s="612"/>
      <c r="C54" s="506" t="e">
        <f ca="1">IF(A54="","",+VLOOKUP(T54,Materiais!A:D,2,"falso"))</f>
        <v>#VALUE!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8"/>
      <c r="T54" s="612" t="s">
        <v>769</v>
      </c>
      <c r="U54" s="612"/>
      <c r="V54" s="612"/>
      <c r="W54" s="612"/>
      <c r="X54" s="740">
        <f ca="1" t="shared" si="4"/>
        <v>74.3</v>
      </c>
      <c r="Y54" s="906"/>
      <c r="Z54" s="741"/>
      <c r="AA54" s="869">
        <f ca="1" t="shared" si="5"/>
        <v>58283.0633</v>
      </c>
      <c r="AB54" s="907"/>
      <c r="AC54" s="907"/>
      <c r="AD54" s="907"/>
      <c r="AE54" s="907"/>
      <c r="AF54" s="871" t="s">
        <v>811</v>
      </c>
      <c r="AG54" s="872"/>
      <c r="AH54" s="872"/>
      <c r="AI54" s="872"/>
      <c r="AJ54" s="872"/>
      <c r="AK54" s="872"/>
      <c r="AL54" s="872"/>
      <c r="AM54" s="873"/>
      <c r="AN54" s="869">
        <f ca="1" t="shared" si="6"/>
        <v>291415.3165</v>
      </c>
      <c r="AO54" s="869"/>
      <c r="AP54" s="869"/>
      <c r="AQ54" s="869"/>
      <c r="AR54" s="869"/>
      <c r="AS54" s="908"/>
      <c r="AT54" s="909"/>
    </row>
    <row r="55" customHeight="1" spans="1:46">
      <c r="A55" s="612">
        <f ca="1" t="shared" si="3"/>
        <v>1</v>
      </c>
      <c r="B55" s="612"/>
      <c r="C55" s="506" t="e">
        <f ca="1">IF(A55="","",+VLOOKUP(T55,Materiais!A:D,2,"falso"))</f>
        <v>#VALUE!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8"/>
      <c r="T55" s="612" t="s">
        <v>783</v>
      </c>
      <c r="U55" s="612"/>
      <c r="V55" s="612"/>
      <c r="W55" s="612"/>
      <c r="X55" s="740">
        <f ca="1" t="shared" si="4"/>
        <v>7.44</v>
      </c>
      <c r="Y55" s="906"/>
      <c r="Z55" s="741"/>
      <c r="AA55" s="910">
        <f ca="1" t="shared" si="5"/>
        <v>40370.5143</v>
      </c>
      <c r="AB55" s="911"/>
      <c r="AC55" s="911"/>
      <c r="AD55" s="911"/>
      <c r="AE55" s="911"/>
      <c r="AF55" s="912" t="s">
        <v>782</v>
      </c>
      <c r="AG55" s="672"/>
      <c r="AH55" s="672"/>
      <c r="AI55" s="672"/>
      <c r="AJ55" s="672"/>
      <c r="AK55" s="672"/>
      <c r="AL55" s="672"/>
      <c r="AM55" s="673"/>
      <c r="AN55" s="869">
        <f ca="1" t="shared" si="6"/>
        <v>40370.5143</v>
      </c>
      <c r="AO55" s="869"/>
      <c r="AP55" s="869"/>
      <c r="AQ55" s="869"/>
      <c r="AR55" s="869"/>
      <c r="AS55" s="908"/>
      <c r="AT55" s="909"/>
    </row>
    <row r="56" customHeight="1" spans="1:46">
      <c r="A56" s="874">
        <f ca="1">ROUND(SUM(A50:B55),0)</f>
        <v>11</v>
      </c>
      <c r="B56" s="874"/>
      <c r="C56" s="812"/>
      <c r="D56" s="812"/>
      <c r="E56" s="812"/>
      <c r="F56" s="812"/>
      <c r="G56" s="812"/>
      <c r="H56" s="812"/>
      <c r="I56" s="812"/>
      <c r="J56" s="812"/>
      <c r="K56" s="812"/>
      <c r="L56" s="812"/>
      <c r="M56" s="812"/>
      <c r="N56" s="812"/>
      <c r="O56" s="812"/>
      <c r="P56" s="812"/>
      <c r="Q56" s="812"/>
      <c r="R56" s="812"/>
      <c r="S56" s="812"/>
      <c r="T56" s="812"/>
      <c r="U56" s="812"/>
      <c r="V56" s="812"/>
      <c r="W56" s="812"/>
      <c r="X56" s="913">
        <f ca="1">SUMIF(A50:B55,"&gt;0",X50:Z55)</f>
        <v>185.76</v>
      </c>
      <c r="Y56" s="914"/>
      <c r="Z56" s="914"/>
      <c r="AA56" s="915"/>
      <c r="AB56" s="67"/>
      <c r="AC56" s="67"/>
      <c r="AD56" s="67"/>
      <c r="AE56" s="67"/>
      <c r="AF56" s="916"/>
      <c r="AG56" s="916"/>
      <c r="AH56" s="916"/>
      <c r="AI56" s="916"/>
      <c r="AJ56" s="916"/>
      <c r="AK56" s="916"/>
      <c r="AL56" s="916"/>
      <c r="AM56" s="917"/>
      <c r="AN56" s="918">
        <f ca="1">SUM(AN50:AR55)</f>
        <v>754873.0906</v>
      </c>
      <c r="AO56" s="919"/>
      <c r="AP56" s="919"/>
      <c r="AQ56" s="919"/>
      <c r="AR56" s="919"/>
    </row>
    <row r="57" s="610" customFormat="1" ht="60.6" customHeight="1" spans="1:46">
      <c r="A57" s="920"/>
      <c r="B57" s="921"/>
      <c r="C57" s="922"/>
      <c r="D57" s="922"/>
      <c r="E57" s="922"/>
      <c r="F57" s="922"/>
      <c r="G57" s="922"/>
      <c r="H57" s="922"/>
      <c r="I57" s="922"/>
      <c r="J57" s="922"/>
      <c r="K57" s="922"/>
      <c r="L57" s="922"/>
      <c r="M57" s="922"/>
      <c r="N57" s="922"/>
      <c r="O57" s="922"/>
      <c r="P57" s="922"/>
      <c r="Q57" s="922"/>
      <c r="R57" s="922"/>
      <c r="S57" s="922"/>
      <c r="T57" s="922"/>
      <c r="U57" s="922"/>
      <c r="V57" s="922"/>
      <c r="W57" s="922"/>
      <c r="X57" s="876"/>
      <c r="Y57" s="876"/>
      <c r="Z57" s="876"/>
      <c r="AA57" s="923"/>
      <c r="AB57" s="67"/>
      <c r="AC57" s="67"/>
      <c r="AD57" s="67"/>
      <c r="AE57" s="67"/>
      <c r="AF57" s="924"/>
      <c r="AG57" s="924"/>
      <c r="AH57" s="924"/>
      <c r="AI57" s="924"/>
      <c r="AJ57" s="924"/>
      <c r="AK57" s="924"/>
      <c r="AL57" s="924"/>
      <c r="AM57" s="924"/>
      <c r="AN57" s="925"/>
      <c r="AO57" s="925"/>
      <c r="AP57" s="925"/>
      <c r="AQ57" s="925"/>
      <c r="AR57" s="926"/>
    </row>
    <row r="58" s="610" customFormat="1" ht="15" spans="1:46">
      <c r="A58" s="920" t="s">
        <v>812</v>
      </c>
      <c r="B58" s="921"/>
      <c r="C58" s="921"/>
      <c r="D58" s="921"/>
      <c r="E58" s="921"/>
      <c r="F58" s="921"/>
      <c r="G58" s="921"/>
      <c r="H58" s="921"/>
      <c r="I58" s="921"/>
      <c r="J58" s="921"/>
      <c r="K58" s="921"/>
      <c r="L58" s="921"/>
      <c r="M58" s="921"/>
      <c r="N58" s="921"/>
      <c r="O58" s="921"/>
      <c r="P58" s="921"/>
      <c r="Q58" s="921"/>
      <c r="R58" s="921"/>
      <c r="S58" s="921"/>
      <c r="T58" s="921"/>
      <c r="U58" s="921"/>
      <c r="V58" s="921"/>
      <c r="W58" s="921"/>
      <c r="X58" s="921"/>
      <c r="Y58" s="921"/>
      <c r="Z58" s="921"/>
      <c r="AA58" s="921"/>
      <c r="AB58" s="921"/>
      <c r="AC58" s="921"/>
      <c r="AD58" s="921"/>
      <c r="AE58" s="921"/>
      <c r="AF58" s="921"/>
      <c r="AG58" s="921"/>
      <c r="AH58" s="921"/>
      <c r="AI58" s="921"/>
      <c r="AJ58" s="921"/>
      <c r="AK58" s="921"/>
      <c r="AL58" s="921"/>
      <c r="AM58" s="921"/>
      <c r="AN58" s="921"/>
      <c r="AO58" s="921"/>
      <c r="AP58" s="921"/>
      <c r="AQ58" s="921"/>
      <c r="AR58" s="927"/>
    </row>
    <row r="59" s="610" customFormat="1" ht="15" spans="1:46">
      <c r="A59" s="928" t="s">
        <v>813</v>
      </c>
      <c r="B59" s="929"/>
      <c r="C59" s="929"/>
      <c r="D59" s="929"/>
      <c r="E59" s="929"/>
      <c r="F59" s="929"/>
      <c r="G59" s="929"/>
      <c r="H59" s="929"/>
      <c r="I59" s="929"/>
      <c r="J59" s="929"/>
      <c r="K59" s="929"/>
      <c r="L59" s="929"/>
      <c r="M59" s="929"/>
      <c r="N59" s="929"/>
      <c r="O59" s="929"/>
      <c r="P59" s="929"/>
      <c r="Q59" s="929"/>
      <c r="R59" s="929"/>
      <c r="S59" s="929"/>
      <c r="T59" s="929"/>
      <c r="U59" s="929"/>
      <c r="V59" s="929"/>
      <c r="W59" s="929"/>
      <c r="X59" s="929"/>
      <c r="Y59" s="929"/>
      <c r="Z59" s="929"/>
      <c r="AA59" s="930">
        <f>ROUND(AO11/30,0)</f>
        <v>4</v>
      </c>
      <c r="AB59" s="930"/>
      <c r="AC59" s="930"/>
      <c r="AD59" s="930"/>
      <c r="AE59" s="930"/>
      <c r="AF59" s="931"/>
      <c r="AG59" s="931"/>
      <c r="AH59" s="931"/>
      <c r="AI59" s="931"/>
      <c r="AJ59" s="931"/>
      <c r="AK59" s="931"/>
      <c r="AL59" s="931"/>
      <c r="AM59" s="931"/>
      <c r="AN59" s="931"/>
      <c r="AO59" s="931"/>
      <c r="AP59" s="931"/>
      <c r="AQ59" s="931"/>
      <c r="AR59" s="932"/>
    </row>
    <row r="60" s="610" customFormat="1" ht="15" spans="1:46">
      <c r="A60" s="928" t="s">
        <v>814</v>
      </c>
      <c r="B60" s="929"/>
      <c r="C60" s="929"/>
      <c r="D60" s="929"/>
      <c r="E60" s="929"/>
      <c r="F60" s="929"/>
      <c r="G60" s="929"/>
      <c r="H60" s="929"/>
      <c r="I60" s="929"/>
      <c r="J60" s="929"/>
      <c r="K60" s="929"/>
      <c r="L60" s="929"/>
      <c r="M60" s="929"/>
      <c r="N60" s="929"/>
      <c r="O60" s="929"/>
      <c r="P60" s="929"/>
      <c r="Q60" s="929"/>
      <c r="R60" s="929"/>
      <c r="S60" s="929"/>
      <c r="T60" s="929"/>
      <c r="U60" s="929"/>
      <c r="V60" s="929"/>
      <c r="W60" s="929"/>
      <c r="X60" s="929"/>
      <c r="Y60" s="929"/>
      <c r="Z60" s="929"/>
      <c r="AA60" s="930">
        <f>'Canteiro Id'!AM57</f>
        <v>1.33</v>
      </c>
      <c r="AB60" s="930"/>
      <c r="AC60" s="930"/>
      <c r="AD60" s="930"/>
      <c r="AE60" s="930"/>
      <c r="AF60" s="931"/>
      <c r="AG60" s="931"/>
      <c r="AH60" s="931"/>
      <c r="AI60" s="931"/>
      <c r="AJ60" s="931"/>
      <c r="AK60" s="931"/>
      <c r="AL60" s="931"/>
      <c r="AM60" s="931"/>
      <c r="AN60" s="931"/>
      <c r="AO60" s="931"/>
      <c r="AP60" s="931"/>
      <c r="AQ60" s="931"/>
      <c r="AR60" s="932"/>
    </row>
    <row r="61" s="610" customFormat="1" ht="15" spans="1:46">
      <c r="A61" s="928" t="s">
        <v>815</v>
      </c>
      <c r="B61" s="929"/>
      <c r="C61" s="929"/>
      <c r="D61" s="929"/>
      <c r="E61" s="929"/>
      <c r="F61" s="929"/>
      <c r="G61" s="929"/>
      <c r="H61" s="929"/>
      <c r="I61" s="929"/>
      <c r="J61" s="929"/>
      <c r="K61" s="929"/>
      <c r="L61" s="929"/>
      <c r="M61" s="929"/>
      <c r="N61" s="929"/>
      <c r="O61" s="929"/>
      <c r="P61" s="929"/>
      <c r="Q61" s="929"/>
      <c r="R61" s="929"/>
      <c r="S61" s="929"/>
      <c r="T61" s="929"/>
      <c r="U61" s="929"/>
      <c r="V61" s="929"/>
      <c r="W61" s="929"/>
      <c r="X61" s="929"/>
      <c r="Y61" s="929"/>
      <c r="Z61" s="929"/>
      <c r="AA61" s="815">
        <f>AD27</f>
        <v>11</v>
      </c>
      <c r="AB61" s="815"/>
      <c r="AC61" s="815"/>
      <c r="AD61" s="815"/>
      <c r="AE61" s="815"/>
      <c r="AF61" s="931"/>
      <c r="AG61" s="931"/>
      <c r="AH61" s="931"/>
      <c r="AI61" s="931"/>
      <c r="AJ61" s="931"/>
      <c r="AK61" s="931"/>
      <c r="AL61" s="931"/>
      <c r="AM61" s="931"/>
      <c r="AN61" s="931"/>
      <c r="AO61" s="931"/>
      <c r="AP61" s="931"/>
      <c r="AQ61" s="931"/>
      <c r="AR61" s="932"/>
    </row>
    <row r="62" s="610" customFormat="1" ht="15" spans="1:46">
      <c r="A62" s="928" t="s">
        <v>816</v>
      </c>
      <c r="B62" s="929"/>
      <c r="C62" s="929"/>
      <c r="D62" s="929"/>
      <c r="E62" s="929"/>
      <c r="F62" s="929"/>
      <c r="G62" s="929"/>
      <c r="H62" s="929"/>
      <c r="I62" s="929"/>
      <c r="J62" s="929"/>
      <c r="K62" s="929"/>
      <c r="L62" s="929"/>
      <c r="M62" s="929"/>
      <c r="N62" s="929"/>
      <c r="O62" s="929"/>
      <c r="P62" s="929"/>
      <c r="Q62" s="929"/>
      <c r="R62" s="929"/>
      <c r="S62" s="929"/>
      <c r="T62" s="929"/>
      <c r="U62" s="929"/>
      <c r="V62" s="929"/>
      <c r="W62" s="929"/>
      <c r="X62" s="929"/>
      <c r="Y62" s="929"/>
      <c r="Z62" s="929"/>
      <c r="AA62" s="933">
        <f ca="1">AN56</f>
        <v>754873.0906</v>
      </c>
      <c r="AB62" s="933"/>
      <c r="AC62" s="933"/>
      <c r="AD62" s="933"/>
      <c r="AE62" s="933"/>
      <c r="AF62" s="931"/>
      <c r="AG62" s="931"/>
      <c r="AH62" s="931"/>
      <c r="AI62" s="931"/>
      <c r="AJ62" s="931"/>
      <c r="AK62" s="931"/>
      <c r="AL62" s="931"/>
      <c r="AM62" s="931"/>
      <c r="AN62" s="931"/>
      <c r="AO62" s="931"/>
      <c r="AP62" s="931"/>
      <c r="AQ62" s="931"/>
      <c r="AR62" s="932"/>
    </row>
    <row r="63" s="610" customFormat="1" ht="15" spans="1:46">
      <c r="A63" s="928" t="s">
        <v>817</v>
      </c>
      <c r="B63" s="929"/>
      <c r="C63" s="929"/>
      <c r="D63" s="929"/>
      <c r="E63" s="929"/>
      <c r="F63" s="929"/>
      <c r="G63" s="929"/>
      <c r="H63" s="929"/>
      <c r="I63" s="929"/>
      <c r="J63" s="929"/>
      <c r="K63" s="929"/>
      <c r="L63" s="929"/>
      <c r="M63" s="929"/>
      <c r="N63" s="929"/>
      <c r="O63" s="929"/>
      <c r="P63" s="929"/>
      <c r="Q63" s="929"/>
      <c r="R63" s="929"/>
      <c r="S63" s="929"/>
      <c r="T63" s="929"/>
      <c r="U63" s="929"/>
      <c r="V63" s="929"/>
      <c r="W63" s="929"/>
      <c r="X63" s="929"/>
      <c r="Y63" s="929"/>
      <c r="Z63" s="929"/>
      <c r="AA63" s="810">
        <f>AB45</f>
        <v>793.85</v>
      </c>
      <c r="AB63" s="810"/>
      <c r="AC63" s="810"/>
      <c r="AD63" s="810"/>
      <c r="AE63" s="810"/>
      <c r="AF63" s="931"/>
      <c r="AG63" s="931"/>
      <c r="AH63" s="931"/>
      <c r="AI63" s="931"/>
      <c r="AJ63" s="931"/>
      <c r="AK63" s="931"/>
      <c r="AL63" s="931"/>
      <c r="AM63" s="931"/>
      <c r="AN63" s="931"/>
      <c r="AO63" s="931"/>
      <c r="AP63" s="931"/>
      <c r="AQ63" s="931"/>
      <c r="AR63" s="932"/>
    </row>
    <row r="64" s="610" customFormat="1" ht="15" spans="1:46">
      <c r="A64" s="928" t="s">
        <v>818</v>
      </c>
      <c r="B64" s="929"/>
      <c r="C64" s="929"/>
      <c r="D64" s="929"/>
      <c r="E64" s="929"/>
      <c r="F64" s="929"/>
      <c r="G64" s="929"/>
      <c r="H64" s="929"/>
      <c r="I64" s="929"/>
      <c r="J64" s="929"/>
      <c r="K64" s="929"/>
      <c r="L64" s="929"/>
      <c r="M64" s="929"/>
      <c r="N64" s="929"/>
      <c r="O64" s="929"/>
      <c r="P64" s="929"/>
      <c r="Q64" s="929"/>
      <c r="R64" s="929"/>
      <c r="S64" s="929"/>
      <c r="T64" s="929"/>
      <c r="U64" s="929"/>
      <c r="V64" s="929"/>
      <c r="W64" s="929"/>
      <c r="X64" s="929"/>
      <c r="Y64" s="929"/>
      <c r="Z64" s="929"/>
      <c r="AA64" s="905">
        <f>AB47</f>
        <v>0.0097</v>
      </c>
      <c r="AB64" s="905"/>
      <c r="AC64" s="905"/>
      <c r="AD64" s="905"/>
      <c r="AE64" s="905"/>
      <c r="AF64" s="931"/>
      <c r="AG64" s="931"/>
      <c r="AH64" s="931"/>
      <c r="AI64" s="931"/>
      <c r="AJ64" s="931"/>
      <c r="AK64" s="931"/>
      <c r="AL64" s="931"/>
      <c r="AM64" s="931"/>
      <c r="AN64" s="931"/>
      <c r="AO64" s="931"/>
      <c r="AP64" s="931"/>
      <c r="AQ64" s="931"/>
      <c r="AR64" s="932"/>
    </row>
    <row r="65" s="610" customFormat="1" ht="15" spans="1:44">
      <c r="A65" s="928" t="s">
        <v>819</v>
      </c>
      <c r="B65" s="929"/>
      <c r="C65" s="929"/>
      <c r="D65" s="929"/>
      <c r="E65" s="929"/>
      <c r="F65" s="929"/>
      <c r="G65" s="929"/>
      <c r="H65" s="929"/>
      <c r="I65" s="929"/>
      <c r="J65" s="929"/>
      <c r="K65" s="929"/>
      <c r="L65" s="929"/>
      <c r="M65" s="929"/>
      <c r="N65" s="929"/>
      <c r="O65" s="929"/>
      <c r="P65" s="929"/>
      <c r="Q65" s="929"/>
      <c r="R65" s="929"/>
      <c r="S65" s="929"/>
      <c r="T65" s="929"/>
      <c r="U65" s="929"/>
      <c r="V65" s="929"/>
      <c r="W65" s="929"/>
      <c r="X65" s="929"/>
      <c r="Y65" s="929"/>
      <c r="Z65" s="929"/>
      <c r="AA65" s="933">
        <f>'Canteiro Id'!AM75</f>
        <v>1953.92</v>
      </c>
      <c r="AB65" s="933"/>
      <c r="AC65" s="933"/>
      <c r="AD65" s="933"/>
      <c r="AE65" s="933"/>
      <c r="AF65" s="931"/>
      <c r="AG65" s="931"/>
      <c r="AH65" s="931"/>
      <c r="AI65" s="931"/>
      <c r="AJ65" s="931"/>
      <c r="AK65" s="931"/>
      <c r="AL65" s="931"/>
      <c r="AM65" s="931"/>
      <c r="AN65" s="931"/>
      <c r="AO65" s="931"/>
      <c r="AP65" s="931"/>
      <c r="AQ65" s="931"/>
      <c r="AR65" s="932"/>
    </row>
    <row r="66" s="860" customFormat="1" ht="21" customHeight="1" spans="1:44">
      <c r="A66" s="934" t="s">
        <v>820</v>
      </c>
      <c r="B66" s="935"/>
      <c r="C66" s="935"/>
      <c r="D66" s="935"/>
      <c r="E66" s="935"/>
      <c r="F66" s="935"/>
      <c r="G66" s="935"/>
      <c r="H66" s="935"/>
      <c r="I66" s="935"/>
      <c r="J66" s="935"/>
      <c r="K66" s="935"/>
      <c r="L66" s="935"/>
      <c r="M66" s="935"/>
      <c r="N66" s="935"/>
      <c r="O66" s="935"/>
      <c r="P66" s="935"/>
      <c r="Q66" s="935"/>
      <c r="R66" s="935"/>
      <c r="S66" s="935"/>
      <c r="T66" s="935"/>
      <c r="U66" s="935"/>
      <c r="V66" s="935"/>
      <c r="W66" s="935"/>
      <c r="X66" s="935"/>
      <c r="Y66" s="935"/>
      <c r="Z66" s="935"/>
      <c r="AA66" s="936">
        <f ca="1">((AA59/300)*(AA60*AA62)+AA63*AA64*AA65)</f>
        <v>28432.2742423733</v>
      </c>
      <c r="AB66" s="936"/>
      <c r="AC66" s="936"/>
      <c r="AD66" s="936"/>
      <c r="AE66" s="936"/>
      <c r="AF66" s="937"/>
      <c r="AG66" s="937"/>
      <c r="AH66" s="937"/>
      <c r="AI66" s="937"/>
      <c r="AJ66" s="937"/>
      <c r="AK66" s="937"/>
      <c r="AL66" s="937"/>
      <c r="AM66" s="937"/>
      <c r="AN66" s="937"/>
      <c r="AO66" s="937"/>
      <c r="AP66" s="937"/>
      <c r="AQ66" s="937"/>
      <c r="AR66" s="938"/>
    </row>
    <row r="67" s="610" customFormat="1" ht="15" spans="1:44">
      <c r="A67" s="939" t="str">
        <f>CONCATENATE("BDI (",R11*100,"%) =")</f>
        <v>BDI (23,91%) =</v>
      </c>
      <c r="B67" s="940"/>
      <c r="C67" s="940"/>
      <c r="D67" s="940"/>
      <c r="E67" s="940"/>
      <c r="F67" s="940"/>
      <c r="G67" s="940"/>
      <c r="H67" s="940"/>
      <c r="I67" s="940"/>
      <c r="J67" s="940"/>
      <c r="K67" s="940"/>
      <c r="L67" s="940"/>
      <c r="M67" s="940"/>
      <c r="N67" s="940"/>
      <c r="O67" s="940"/>
      <c r="P67" s="940"/>
      <c r="Q67" s="940"/>
      <c r="R67" s="940"/>
      <c r="S67" s="940"/>
      <c r="T67" s="940"/>
      <c r="U67" s="940"/>
      <c r="V67" s="940"/>
      <c r="W67" s="940"/>
      <c r="X67" s="940"/>
      <c r="Y67" s="940"/>
      <c r="Z67" s="940"/>
      <c r="AA67" s="933">
        <f ca="1">AA66*R11</f>
        <v>6798.15677135147</v>
      </c>
      <c r="AB67" s="933"/>
      <c r="AC67" s="933"/>
      <c r="AD67" s="933"/>
      <c r="AE67" s="933"/>
      <c r="AF67" s="941"/>
      <c r="AG67" s="941"/>
      <c r="AH67" s="941"/>
      <c r="AI67" s="941"/>
      <c r="AJ67" s="941"/>
      <c r="AK67" s="941"/>
      <c r="AL67" s="941"/>
      <c r="AM67" s="941"/>
      <c r="AN67" s="941"/>
      <c r="AO67" s="941"/>
      <c r="AP67" s="941"/>
      <c r="AQ67" s="941"/>
      <c r="AR67" s="942"/>
    </row>
    <row r="68" s="861" customFormat="1" ht="15" spans="1:44">
      <c r="A68" s="943" t="s">
        <v>821</v>
      </c>
      <c r="B68" s="944"/>
      <c r="C68" s="944"/>
      <c r="D68" s="944"/>
      <c r="E68" s="944"/>
      <c r="F68" s="944"/>
      <c r="G68" s="944"/>
      <c r="H68" s="944"/>
      <c r="I68" s="944"/>
      <c r="J68" s="944"/>
      <c r="K68" s="944"/>
      <c r="L68" s="944"/>
      <c r="M68" s="944"/>
      <c r="N68" s="944"/>
      <c r="O68" s="944"/>
      <c r="P68" s="944"/>
      <c r="Q68" s="944"/>
      <c r="R68" s="944"/>
      <c r="S68" s="944"/>
      <c r="T68" s="944"/>
      <c r="U68" s="944"/>
      <c r="V68" s="944"/>
      <c r="W68" s="944"/>
      <c r="X68" s="944"/>
      <c r="Y68" s="944"/>
      <c r="Z68" s="944"/>
      <c r="AA68" s="945">
        <f ca="1">SUM(AA66:AE67)</f>
        <v>35230.4310137248</v>
      </c>
      <c r="AB68" s="945"/>
      <c r="AC68" s="945"/>
      <c r="AD68" s="945"/>
      <c r="AE68" s="945"/>
      <c r="AF68" s="946"/>
      <c r="AG68" s="946"/>
      <c r="AH68" s="946"/>
      <c r="AI68" s="946"/>
      <c r="AJ68" s="946"/>
      <c r="AK68" s="946"/>
      <c r="AL68" s="946"/>
      <c r="AM68" s="946"/>
      <c r="AN68" s="946"/>
      <c r="AO68" s="946"/>
      <c r="AP68" s="946"/>
      <c r="AQ68" s="946"/>
      <c r="AR68" s="947"/>
    </row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</sheetData>
  <mergeCells count="232">
    <mergeCell ref="A4:H4"/>
    <mergeCell ref="I4:AR4"/>
    <mergeCell ref="A5:H5"/>
    <mergeCell ref="I5:AR5"/>
    <mergeCell ref="A6:H6"/>
    <mergeCell ref="I6:AR6"/>
    <mergeCell ref="A7:H7"/>
    <mergeCell ref="I7:AR7"/>
    <mergeCell ref="A8:H8"/>
    <mergeCell ref="I8:AH8"/>
    <mergeCell ref="AI8:AN8"/>
    <mergeCell ref="AO8:AP8"/>
    <mergeCell ref="AQ8:AR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AI11:AN11"/>
    <mergeCell ref="AO11:AP11"/>
    <mergeCell ref="AQ11:AR11"/>
    <mergeCell ref="A12:H12"/>
    <mergeCell ref="I12:U12"/>
    <mergeCell ref="V12:AH12"/>
    <mergeCell ref="A13:AR13"/>
    <mergeCell ref="A14:AR14"/>
    <mergeCell ref="A15:AR15"/>
    <mergeCell ref="A16:H16"/>
    <mergeCell ref="I16:Y16"/>
    <mergeCell ref="Z16:AC16"/>
    <mergeCell ref="AD16:AE16"/>
    <mergeCell ref="AF16:AH16"/>
    <mergeCell ref="AI16:AM16"/>
    <mergeCell ref="AN16:AR16"/>
    <mergeCell ref="A17:H17"/>
    <mergeCell ref="I17:Y17"/>
    <mergeCell ref="Z17:AC17"/>
    <mergeCell ref="AD17:AE17"/>
    <mergeCell ref="AF17:AH17"/>
    <mergeCell ref="AI17:AM17"/>
    <mergeCell ref="AN17:AR17"/>
    <mergeCell ref="A18:H18"/>
    <mergeCell ref="I18:Y18"/>
    <mergeCell ref="Z18:AC18"/>
    <mergeCell ref="AD18:AE18"/>
    <mergeCell ref="AF18:AH18"/>
    <mergeCell ref="AI18:AM18"/>
    <mergeCell ref="AN18:AR18"/>
    <mergeCell ref="A19:H19"/>
    <mergeCell ref="I19:Y19"/>
    <mergeCell ref="Z19:AC19"/>
    <mergeCell ref="AD19:AE19"/>
    <mergeCell ref="AF19:AH19"/>
    <mergeCell ref="AI19:AM19"/>
    <mergeCell ref="AN19:AR19"/>
    <mergeCell ref="A20:H20"/>
    <mergeCell ref="I20:Y20"/>
    <mergeCell ref="Z20:AC20"/>
    <mergeCell ref="AD20:AE20"/>
    <mergeCell ref="AF20:AH20"/>
    <mergeCell ref="AI20:AM20"/>
    <mergeCell ref="AN20:AR20"/>
    <mergeCell ref="A21:H21"/>
    <mergeCell ref="I21:Y21"/>
    <mergeCell ref="Z21:AC21"/>
    <mergeCell ref="AD21:AE21"/>
    <mergeCell ref="AF21:AH21"/>
    <mergeCell ref="AI21:AM21"/>
    <mergeCell ref="AN21:AR21"/>
    <mergeCell ref="A22:H22"/>
    <mergeCell ref="I22:Y22"/>
    <mergeCell ref="Z22:AC22"/>
    <mergeCell ref="AD22:AE22"/>
    <mergeCell ref="AF22:AH22"/>
    <mergeCell ref="AI22:AM22"/>
    <mergeCell ref="AN22:AR22"/>
    <mergeCell ref="A23:H23"/>
    <mergeCell ref="I23:Y23"/>
    <mergeCell ref="Z23:AC23"/>
    <mergeCell ref="AD23:AE23"/>
    <mergeCell ref="AF23:AH23"/>
    <mergeCell ref="AI23:AM23"/>
    <mergeCell ref="AN23:AR23"/>
    <mergeCell ref="A24:H24"/>
    <mergeCell ref="I24:Y24"/>
    <mergeCell ref="Z24:AC24"/>
    <mergeCell ref="AD24:AE24"/>
    <mergeCell ref="AF24:AH24"/>
    <mergeCell ref="AI24:AM24"/>
    <mergeCell ref="AN24:AR24"/>
    <mergeCell ref="A25:H25"/>
    <mergeCell ref="I25:Y25"/>
    <mergeCell ref="Z25:AC25"/>
    <mergeCell ref="AD25:AE25"/>
    <mergeCell ref="AF25:AH25"/>
    <mergeCell ref="AI25:AM25"/>
    <mergeCell ref="AN25:AR25"/>
    <mergeCell ref="A26:H26"/>
    <mergeCell ref="I26:Y26"/>
    <mergeCell ref="Z26:AC26"/>
    <mergeCell ref="AD26:AE26"/>
    <mergeCell ref="AF26:AH26"/>
    <mergeCell ref="AI26:AM26"/>
    <mergeCell ref="AN26:AR26"/>
    <mergeCell ref="A27:AC27"/>
    <mergeCell ref="AD27:AE27"/>
    <mergeCell ref="AF27:AH27"/>
    <mergeCell ref="AI27:AM27"/>
    <mergeCell ref="AN27:AR27"/>
    <mergeCell ref="A28:AR28"/>
    <mergeCell ref="A29:Y29"/>
    <mergeCell ref="Z29:AI29"/>
    <mergeCell ref="AJ29:AR29"/>
    <mergeCell ref="A30:Y30"/>
    <mergeCell ref="Z30:AI30"/>
    <mergeCell ref="AJ30:AR30"/>
    <mergeCell ref="A31:Y31"/>
    <mergeCell ref="Z31:AI31"/>
    <mergeCell ref="AJ31:AR31"/>
    <mergeCell ref="A32:Y32"/>
    <mergeCell ref="Z32:AI32"/>
    <mergeCell ref="AJ32:AR32"/>
    <mergeCell ref="A33:Y33"/>
    <mergeCell ref="Z33:AI33"/>
    <mergeCell ref="AJ33:AR33"/>
    <mergeCell ref="A34:Y34"/>
    <mergeCell ref="Z34:AI34"/>
    <mergeCell ref="AJ34:AR34"/>
    <mergeCell ref="A35:Y35"/>
    <mergeCell ref="Z35:AI35"/>
    <mergeCell ref="AJ35:AR35"/>
    <mergeCell ref="A36:AR36"/>
    <mergeCell ref="A37:AR37"/>
    <mergeCell ref="A38:AR38"/>
    <mergeCell ref="A44:AA44"/>
    <mergeCell ref="AB44:AE44"/>
    <mergeCell ref="AJ44:AL44"/>
    <mergeCell ref="AM44:AO44"/>
    <mergeCell ref="A45:AA45"/>
    <mergeCell ref="AB45:AE45"/>
    <mergeCell ref="AJ45:AL45"/>
    <mergeCell ref="AM45:AO45"/>
    <mergeCell ref="A46:AA46"/>
    <mergeCell ref="AB46:AE46"/>
    <mergeCell ref="AJ46:AL46"/>
    <mergeCell ref="AM46:AO46"/>
    <mergeCell ref="A47:AA47"/>
    <mergeCell ref="AB47:AF47"/>
    <mergeCell ref="A48:AR48"/>
    <mergeCell ref="A49:B49"/>
    <mergeCell ref="C49:S49"/>
    <mergeCell ref="T49:W49"/>
    <mergeCell ref="X49:Z49"/>
    <mergeCell ref="AA49:AE49"/>
    <mergeCell ref="AF49:AM49"/>
    <mergeCell ref="AN49:AR49"/>
    <mergeCell ref="A50:B50"/>
    <mergeCell ref="C50:S50"/>
    <mergeCell ref="T50:W50"/>
    <mergeCell ref="X50:Z50"/>
    <mergeCell ref="AA50:AE50"/>
    <mergeCell ref="AF50:AM50"/>
    <mergeCell ref="AN50:AR50"/>
    <mergeCell ref="A51:B51"/>
    <mergeCell ref="C51:S51"/>
    <mergeCell ref="T51:W51"/>
    <mergeCell ref="X51:Z51"/>
    <mergeCell ref="AA51:AE51"/>
    <mergeCell ref="AF51:AM51"/>
    <mergeCell ref="AN51:AR51"/>
    <mergeCell ref="A52:B52"/>
    <mergeCell ref="C52:S52"/>
    <mergeCell ref="T52:W52"/>
    <mergeCell ref="X52:Z52"/>
    <mergeCell ref="AA52:AE52"/>
    <mergeCell ref="AF52:AM52"/>
    <mergeCell ref="AN52:AR52"/>
    <mergeCell ref="A53:B53"/>
    <mergeCell ref="C53:S53"/>
    <mergeCell ref="T53:W53"/>
    <mergeCell ref="X53:Z53"/>
    <mergeCell ref="AA53:AE53"/>
    <mergeCell ref="AF53:AM53"/>
    <mergeCell ref="AN53:AR53"/>
    <mergeCell ref="A54:B54"/>
    <mergeCell ref="C54:S54"/>
    <mergeCell ref="T54:W54"/>
    <mergeCell ref="X54:Z54"/>
    <mergeCell ref="AA54:AE54"/>
    <mergeCell ref="AF54:AM54"/>
    <mergeCell ref="AN54:AR54"/>
    <mergeCell ref="A55:B55"/>
    <mergeCell ref="C55:S55"/>
    <mergeCell ref="T55:W55"/>
    <mergeCell ref="X55:Z55"/>
    <mergeCell ref="AA55:AE55"/>
    <mergeCell ref="AF55:AM55"/>
    <mergeCell ref="AN55:AR55"/>
    <mergeCell ref="A56:B56"/>
    <mergeCell ref="X56:Z56"/>
    <mergeCell ref="AA56:AE56"/>
    <mergeCell ref="AF56:AM56"/>
    <mergeCell ref="AN56:AR56"/>
    <mergeCell ref="A58:AR58"/>
    <mergeCell ref="A59:Z59"/>
    <mergeCell ref="AA59:AE59"/>
    <mergeCell ref="A60:Z60"/>
    <mergeCell ref="AA60:AE60"/>
    <mergeCell ref="A61:Z61"/>
    <mergeCell ref="AA61:AE61"/>
    <mergeCell ref="A62:Z62"/>
    <mergeCell ref="AA62:AE62"/>
    <mergeCell ref="A63:Z63"/>
    <mergeCell ref="AA63:AE63"/>
    <mergeCell ref="A64:Z64"/>
    <mergeCell ref="AA64:AE64"/>
    <mergeCell ref="A65:Z65"/>
    <mergeCell ref="AA65:AE65"/>
    <mergeCell ref="A66:Z66"/>
    <mergeCell ref="AA66:AE66"/>
    <mergeCell ref="A67:Z67"/>
    <mergeCell ref="AA67:AE67"/>
    <mergeCell ref="A68:Z68"/>
    <mergeCell ref="AA68:AE68"/>
    <mergeCell ref="AS17:AU18"/>
    <mergeCell ref="A39:AR43"/>
  </mergeCells>
  <printOptions horizontalCentered="1"/>
  <pageMargins left="0.393700787401575" right="0.393700787401575" top="0.196850393700787" bottom="0.590551181102362" header="0" footer="0.078740157480315"/>
  <pageSetup paperSize="9" fitToHeight="7" orientation="portrait"/>
  <headerFooter>
    <oddFooter>&amp;L&amp;G&amp;R&amp;9Projeto Executivo de Engenharia, Estudos e
Orçamentos para a Construção de Ponte Rodoviária
em Concreto Armado - Rodovia Vicinal</oddFooter>
  </headerFooter>
  <drawing r:id="rId1"/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  <pageSetUpPr fitToPage="1"/>
  </sheetPr>
  <dimension ref="A1:BK34"/>
  <sheetViews>
    <sheetView showGridLines="0" view="pageBreakPreview" zoomScale="160" zoomScaleNormal="160" workbookViewId="0">
      <selection activeCell="A1" sqref="A1"/>
    </sheetView>
  </sheetViews>
  <sheetFormatPr defaultColWidth="9.1047619047619" defaultRowHeight="17.4" customHeight="1"/>
  <cols>
    <col min="1" max="90" width="2.1047619047619" style="29" customWidth="1"/>
    <col min="91" max="91" width="9.1047619047619" style="29" customWidth="1"/>
    <col min="92" max="16384" width="9.1047619047619" style="29"/>
  </cols>
  <sheetData>
    <row r="1" ht="12.6" customHeight="1"/>
    <row r="2" ht="12.6" customHeight="1"/>
    <row r="3" ht="12.6" customHeight="1"/>
    <row r="4" ht="12.75" customHeight="1" spans="1:63">
      <c r="A4" s="40" t="s">
        <v>17</v>
      </c>
      <c r="B4" s="41"/>
      <c r="C4" s="41"/>
      <c r="D4" s="41"/>
      <c r="E4" s="41"/>
      <c r="F4" s="41"/>
      <c r="G4" s="41"/>
      <c r="H4" s="41"/>
      <c r="I4" s="42" t="str">
        <f>IF(Dados!I4="","",Dados!I4)</f>
        <v>CONSTRUÇÃO DE PONTE RODOVIÁRIA EM CONCRETO ARMADO</v>
      </c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3"/>
    </row>
    <row r="5" ht="12.75" customHeight="1" spans="1:63">
      <c r="A5" s="44" t="str">
        <f>Dados!A5</f>
        <v>MUNICÍPIO:</v>
      </c>
      <c r="B5" s="45"/>
      <c r="C5" s="45"/>
      <c r="D5" s="45"/>
      <c r="E5" s="45"/>
      <c r="F5" s="45"/>
      <c r="G5" s="45"/>
      <c r="H5" s="45"/>
      <c r="I5" s="46" t="str">
        <f>IF(Dados!I5="","",Dados!I5)</f>
        <v>DEODÁPOLIS/MS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7"/>
    </row>
    <row r="6" ht="12.75" customHeight="1" spans="1:63">
      <c r="A6" s="44" t="str">
        <f>Dados!A6</f>
        <v>RODOVIA/ESTRADA:</v>
      </c>
      <c r="B6" s="45"/>
      <c r="C6" s="45"/>
      <c r="D6" s="45"/>
      <c r="E6" s="45"/>
      <c r="F6" s="45"/>
      <c r="G6" s="45"/>
      <c r="H6" s="45"/>
      <c r="I6" s="46" t="str">
        <f>IF(Dados!I6="","",Dados!I6)</f>
        <v>ESTRADA VICINAL 14ª LINHA (LADO NASCENTE)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7"/>
    </row>
    <row r="7" ht="15" spans="1:63">
      <c r="A7" s="44" t="str">
        <f>Dados!A7</f>
        <v>LOCAL:</v>
      </c>
      <c r="B7" s="45"/>
      <c r="C7" s="45"/>
      <c r="D7" s="45"/>
      <c r="E7" s="45"/>
      <c r="F7" s="45"/>
      <c r="G7" s="45"/>
      <c r="H7" s="45"/>
      <c r="I7" s="674" t="str">
        <f>IF(Dados!I7="","",Dados!I7)</f>
        <v>PONTE SOBRE O CÓRREGO IRETAN</v>
      </c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4"/>
      <c r="AS7" s="674"/>
      <c r="AT7" s="674"/>
      <c r="AU7" s="674"/>
      <c r="AV7" s="674"/>
      <c r="AW7" s="674"/>
      <c r="AX7" s="674"/>
      <c r="AY7" s="674"/>
      <c r="AZ7" s="674"/>
      <c r="BA7" s="674"/>
      <c r="BB7" s="674"/>
      <c r="BC7" s="674"/>
      <c r="BD7" s="674"/>
      <c r="BE7" s="674"/>
      <c r="BF7" s="674"/>
      <c r="BG7" s="674"/>
      <c r="BH7" s="674"/>
      <c r="BI7" s="674"/>
      <c r="BJ7" s="674"/>
      <c r="BK7" s="675"/>
    </row>
    <row r="8" ht="12.75" customHeight="1" spans="1:63">
      <c r="A8" s="44" t="str">
        <f>Dados!A8</f>
        <v>COORDENADAS:</v>
      </c>
      <c r="B8" s="45"/>
      <c r="C8" s="45"/>
      <c r="D8" s="45"/>
      <c r="E8" s="45"/>
      <c r="F8" s="45"/>
      <c r="G8" s="45"/>
      <c r="H8" s="45"/>
      <c r="I8" s="49" t="str">
        <f>IF(Dados!I8="","",Dados!I8)</f>
        <v>22°14'28.18"S, 54º04'37.28"O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5" t="str">
        <f>Dados!AI8</f>
        <v>ÁREA:</v>
      </c>
      <c r="BB8" s="45"/>
      <c r="BC8" s="45"/>
      <c r="BD8" s="45"/>
      <c r="BE8" s="45"/>
      <c r="BF8" s="45"/>
      <c r="BG8" s="45"/>
      <c r="BH8" s="827">
        <f>IF(Dados!AO8="","",Dados!AO8)</f>
        <v>90</v>
      </c>
      <c r="BI8" s="827"/>
      <c r="BJ8" s="52" t="s">
        <v>7</v>
      </c>
      <c r="BK8" s="53"/>
    </row>
    <row r="9" ht="12.75" customHeight="1" spans="1:63">
      <c r="A9" s="44" t="str">
        <f>Dados!A9</f>
        <v>COMPRIMENTO:</v>
      </c>
      <c r="B9" s="45"/>
      <c r="C9" s="45"/>
      <c r="D9" s="45"/>
      <c r="E9" s="45"/>
      <c r="F9" s="45"/>
      <c r="G9" s="45"/>
      <c r="H9" s="45"/>
      <c r="I9" s="54">
        <f>IF(Dados!I9="","",Dados!I9)</f>
        <v>15</v>
      </c>
      <c r="J9" s="54"/>
      <c r="K9" s="52" t="s">
        <v>9</v>
      </c>
      <c r="L9" s="52"/>
      <c r="M9" s="55"/>
      <c r="N9" s="55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 s="56"/>
    </row>
    <row r="10" ht="12.75" customHeight="1" spans="1:63">
      <c r="A10" s="44" t="str">
        <f>Dados!A10</f>
        <v>LARGURA:</v>
      </c>
      <c r="B10" s="45"/>
      <c r="C10" s="45"/>
      <c r="D10" s="45"/>
      <c r="E10" s="45"/>
      <c r="F10" s="45"/>
      <c r="G10" s="45"/>
      <c r="H10" s="45"/>
      <c r="I10" s="54">
        <f>IF(Dados!I10="","",Dados!I10)</f>
        <v>6</v>
      </c>
      <c r="J10" s="54"/>
      <c r="K10" s="52" t="s">
        <v>9</v>
      </c>
      <c r="L10" s="52"/>
      <c r="M10" s="55"/>
      <c r="N10" s="55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 s="56"/>
    </row>
    <row r="11" ht="12.75" customHeight="1" spans="1:63">
      <c r="A11" s="44" t="s">
        <v>11</v>
      </c>
      <c r="B11" s="45"/>
      <c r="C11" s="45"/>
      <c r="D11" s="45"/>
      <c r="E11" s="45"/>
      <c r="F11" s="45"/>
      <c r="G11" s="45"/>
      <c r="H11" s="45"/>
      <c r="I11" s="45" t="str">
        <f>Dados!I11</f>
        <v>INSUMO</v>
      </c>
      <c r="J11" s="45"/>
      <c r="K11" s="45"/>
      <c r="L11" s="57">
        <f>IF(Dados!L11="","",Dados!L11)</f>
        <v>0.1527</v>
      </c>
      <c r="M11" s="57"/>
      <c r="N11" s="57"/>
      <c r="O11" s="45" t="str">
        <f>Dados!O11</f>
        <v>SERVIÇO</v>
      </c>
      <c r="P11" s="45"/>
      <c r="Q11" s="45"/>
      <c r="R11" s="57">
        <f>IF(Dados!R11="","",Dados!R11)</f>
        <v>0.2391</v>
      </c>
      <c r="S11" s="57"/>
      <c r="T11" s="57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 s="45" t="str">
        <f>Dados!AI11</f>
        <v>PRAZO DE EXECUÇÃO:</v>
      </c>
      <c r="BB11" s="45"/>
      <c r="BC11" s="45"/>
      <c r="BD11" s="45"/>
      <c r="BE11" s="45"/>
      <c r="BF11" s="45"/>
      <c r="BG11" s="45"/>
      <c r="BH11" s="58">
        <f>IF(Dados!AO11="","",Dados!AO11)</f>
        <v>120</v>
      </c>
      <c r="BI11" s="58"/>
      <c r="BJ11" s="52" t="s">
        <v>15</v>
      </c>
      <c r="BK11" s="53"/>
    </row>
    <row r="12" ht="12.75" customHeight="1" spans="1:63">
      <c r="A12" s="59" t="s">
        <v>16</v>
      </c>
      <c r="B12" s="60"/>
      <c r="C12" s="60"/>
      <c r="D12" s="60"/>
      <c r="E12" s="60"/>
      <c r="F12" s="60"/>
      <c r="G12" s="60"/>
      <c r="H12" s="60"/>
      <c r="I12" s="61" t="str">
        <f>IF(Dados!I12="","",Dados!I12)</f>
        <v>SEM DESONERAÇÃO SICRO (JANEIRO/2026)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tr">
        <f>IF(Dados!U12="","",Dados!U12)</f>
        <v>NÃO DESONERADO SINAPI (JANEIRO/2026)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2"/>
      <c r="AJ12" s="62"/>
      <c r="AK12" s="62"/>
      <c r="AL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4"/>
    </row>
    <row r="13" ht="6" customHeight="1" spans="1:63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</row>
    <row r="14" ht="12.75" customHeight="1" spans="1:63">
      <c r="A14" s="481" t="s">
        <v>822</v>
      </c>
      <c r="B14" s="482"/>
      <c r="C14" s="482"/>
      <c r="D14" s="482"/>
      <c r="E14" s="482"/>
      <c r="F14" s="482"/>
      <c r="G14" s="482"/>
      <c r="H14" s="482"/>
      <c r="I14" s="482"/>
      <c r="J14" s="482"/>
      <c r="K14" s="482"/>
      <c r="L14" s="482"/>
      <c r="M14" s="482"/>
      <c r="N14" s="482"/>
      <c r="O14" s="482"/>
      <c r="P14" s="482"/>
      <c r="Q14" s="482"/>
      <c r="R14" s="482"/>
      <c r="S14" s="482"/>
      <c r="T14" s="482"/>
      <c r="U14" s="482"/>
      <c r="V14" s="482"/>
      <c r="W14" s="482"/>
      <c r="X14" s="482"/>
      <c r="Y14" s="482"/>
      <c r="Z14" s="482"/>
      <c r="AA14" s="482"/>
      <c r="AB14" s="482"/>
      <c r="AC14" s="482"/>
      <c r="AD14" s="482"/>
      <c r="AE14" s="482"/>
      <c r="AF14" s="482"/>
      <c r="AG14" s="482"/>
      <c r="AH14" s="482"/>
      <c r="AI14" s="482"/>
      <c r="AJ14" s="482"/>
      <c r="AK14" s="482"/>
      <c r="AL14" s="482"/>
      <c r="AM14" s="482"/>
      <c r="AN14" s="482"/>
      <c r="AO14" s="482"/>
      <c r="AP14" s="482"/>
      <c r="AQ14" s="482"/>
      <c r="AR14" s="482"/>
      <c r="AS14" s="482"/>
      <c r="AT14" s="482"/>
      <c r="AU14" s="482"/>
      <c r="AV14" s="482"/>
      <c r="AW14" s="482"/>
      <c r="AX14" s="482"/>
      <c r="AY14" s="482"/>
      <c r="AZ14" s="482"/>
      <c r="BA14" s="482"/>
      <c r="BB14" s="482"/>
      <c r="BC14" s="482"/>
      <c r="BD14" s="482"/>
      <c r="BE14" s="482"/>
      <c r="BF14" s="482"/>
      <c r="BG14" s="482"/>
      <c r="BH14" s="482"/>
      <c r="BI14" s="482"/>
      <c r="BJ14" s="482"/>
      <c r="BK14" s="483"/>
    </row>
    <row r="15" ht="17.7" customHeight="1" spans="1:63">
      <c r="A15" s="69" t="s">
        <v>31</v>
      </c>
      <c r="B15" s="69"/>
      <c r="C15" s="69" t="s">
        <v>633</v>
      </c>
      <c r="D15" s="69"/>
      <c r="E15" s="69"/>
      <c r="F15" s="69" t="s">
        <v>634</v>
      </c>
      <c r="G15" s="69"/>
      <c r="H15" s="69"/>
      <c r="I15" s="70" t="s">
        <v>823</v>
      </c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487" t="s">
        <v>824</v>
      </c>
      <c r="AC15" s="488"/>
      <c r="AD15" s="489"/>
      <c r="AE15" s="487" t="s">
        <v>666</v>
      </c>
      <c r="AF15" s="488"/>
      <c r="AG15" s="489"/>
      <c r="AH15" s="487" t="s">
        <v>825</v>
      </c>
      <c r="AI15" s="488"/>
      <c r="AJ15" s="489"/>
      <c r="AK15" s="66" t="s">
        <v>72</v>
      </c>
      <c r="AL15" s="67"/>
      <c r="AM15" s="67"/>
      <c r="AN15" s="67"/>
      <c r="AO15" s="67"/>
      <c r="AP15" s="67"/>
      <c r="AQ15" s="67"/>
      <c r="AR15" s="67"/>
      <c r="AS15" s="67"/>
      <c r="AT15" s="296" t="s">
        <v>826</v>
      </c>
      <c r="AU15" s="297"/>
      <c r="AV15" s="297"/>
      <c r="AW15" s="297"/>
      <c r="AX15" s="297"/>
      <c r="AY15" s="297"/>
      <c r="AZ15" s="297"/>
      <c r="BA15" s="297"/>
      <c r="BB15" s="297"/>
      <c r="BC15" s="73" t="s">
        <v>827</v>
      </c>
      <c r="BD15" s="74"/>
      <c r="BE15" s="74"/>
      <c r="BF15" s="74"/>
      <c r="BG15" s="74"/>
      <c r="BH15" s="74"/>
      <c r="BI15" s="74"/>
      <c r="BJ15" s="74"/>
      <c r="BK15" s="75"/>
    </row>
    <row r="16" ht="17.7" customHeight="1" spans="1:63">
      <c r="A16" s="69"/>
      <c r="B16" s="69"/>
      <c r="C16" s="69"/>
      <c r="D16" s="69"/>
      <c r="E16" s="69"/>
      <c r="F16" s="69"/>
      <c r="G16" s="69"/>
      <c r="H16" s="69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493"/>
      <c r="AC16" s="494"/>
      <c r="AD16" s="495"/>
      <c r="AE16" s="493"/>
      <c r="AF16" s="494"/>
      <c r="AG16" s="495"/>
      <c r="AH16" s="493"/>
      <c r="AI16" s="494"/>
      <c r="AJ16" s="495"/>
      <c r="AK16" s="77" t="s">
        <v>828</v>
      </c>
      <c r="AL16" s="77"/>
      <c r="AM16" s="78"/>
      <c r="AN16" s="77" t="s">
        <v>829</v>
      </c>
      <c r="AO16" s="77"/>
      <c r="AP16" s="78"/>
      <c r="AQ16" s="77" t="s">
        <v>830</v>
      </c>
      <c r="AR16" s="77"/>
      <c r="AS16" s="78"/>
      <c r="AT16" s="77" t="s">
        <v>828</v>
      </c>
      <c r="AU16" s="77"/>
      <c r="AV16" s="78"/>
      <c r="AW16" s="77" t="s">
        <v>829</v>
      </c>
      <c r="AX16" s="77"/>
      <c r="AY16" s="78"/>
      <c r="AZ16" s="77" t="s">
        <v>830</v>
      </c>
      <c r="BA16" s="77"/>
      <c r="BB16" s="78"/>
      <c r="BC16" s="499"/>
      <c r="BD16" s="79"/>
      <c r="BE16" s="79"/>
      <c r="BF16" s="79"/>
      <c r="BG16" s="79"/>
      <c r="BH16" s="79"/>
      <c r="BI16" s="79"/>
      <c r="BJ16" s="79"/>
      <c r="BK16" s="80"/>
    </row>
    <row r="17" ht="17.7" customHeight="1" spans="1:63">
      <c r="A17" s="69"/>
      <c r="B17" s="69"/>
      <c r="C17" s="828"/>
      <c r="D17" s="828"/>
      <c r="E17" s="828"/>
      <c r="F17" s="828"/>
      <c r="G17" s="828"/>
      <c r="H17" s="828"/>
      <c r="I17" s="829"/>
      <c r="J17" s="829"/>
      <c r="K17" s="829"/>
      <c r="L17" s="829"/>
      <c r="M17" s="829"/>
      <c r="N17" s="829"/>
      <c r="O17" s="829"/>
      <c r="P17" s="829"/>
      <c r="Q17" s="829"/>
      <c r="R17" s="829"/>
      <c r="S17" s="829"/>
      <c r="T17" s="829"/>
      <c r="U17" s="829"/>
      <c r="V17" s="829"/>
      <c r="W17" s="829"/>
      <c r="X17" s="829"/>
      <c r="Y17" s="829"/>
      <c r="Z17" s="829"/>
      <c r="AA17" s="829"/>
      <c r="AB17" s="493"/>
      <c r="AC17" s="494"/>
      <c r="AD17" s="495"/>
      <c r="AE17" s="493"/>
      <c r="AF17" s="494"/>
      <c r="AG17" s="495"/>
      <c r="AH17" s="493"/>
      <c r="AI17" s="494"/>
      <c r="AJ17" s="495"/>
      <c r="AK17" s="74" t="s">
        <v>831</v>
      </c>
      <c r="AL17" s="74"/>
      <c r="AM17" s="75"/>
      <c r="AN17" s="74" t="s">
        <v>831</v>
      </c>
      <c r="AO17" s="74"/>
      <c r="AP17" s="75"/>
      <c r="AQ17" s="74" t="s">
        <v>831</v>
      </c>
      <c r="AR17" s="74"/>
      <c r="AS17" s="75"/>
      <c r="AT17" s="74" t="s">
        <v>832</v>
      </c>
      <c r="AU17" s="74"/>
      <c r="AV17" s="75"/>
      <c r="AW17" s="74" t="s">
        <v>832</v>
      </c>
      <c r="AX17" s="74"/>
      <c r="AY17" s="75"/>
      <c r="AZ17" s="74" t="s">
        <v>832</v>
      </c>
      <c r="BA17" s="74"/>
      <c r="BB17" s="75"/>
      <c r="BC17" s="499"/>
      <c r="BD17" s="79"/>
      <c r="BE17" s="79"/>
      <c r="BF17" s="79"/>
      <c r="BG17" s="79"/>
      <c r="BH17" s="79"/>
      <c r="BI17" s="79"/>
      <c r="BJ17" s="79"/>
      <c r="BK17" s="80"/>
    </row>
    <row r="18" customHeight="1" spans="1:63">
      <c r="A18" s="200" t="s">
        <v>833</v>
      </c>
      <c r="B18" s="202"/>
      <c r="C18" s="830"/>
      <c r="D18" s="65"/>
      <c r="E18" s="65"/>
      <c r="F18" s="65"/>
      <c r="G18" s="65"/>
      <c r="H18" s="65"/>
      <c r="I18" s="831" t="s">
        <v>834</v>
      </c>
      <c r="J18" s="831"/>
      <c r="K18" s="831"/>
      <c r="L18" s="831"/>
      <c r="M18" s="831"/>
      <c r="N18" s="831"/>
      <c r="O18" s="831"/>
      <c r="P18" s="831"/>
      <c r="Q18" s="831"/>
      <c r="R18" s="831"/>
      <c r="S18" s="831"/>
      <c r="T18" s="831"/>
      <c r="U18" s="831"/>
      <c r="V18" s="831"/>
      <c r="W18" s="831"/>
      <c r="X18" s="831"/>
      <c r="Y18" s="831"/>
      <c r="Z18" s="831"/>
      <c r="AA18" s="831"/>
      <c r="AB18" s="208"/>
      <c r="AC18" s="208"/>
      <c r="AD18" s="208"/>
      <c r="AE18" s="208"/>
      <c r="AF18" s="208"/>
      <c r="AG18" s="208"/>
      <c r="AH18" s="208"/>
      <c r="AI18" s="208"/>
      <c r="AJ18" s="208"/>
      <c r="AK18" s="208"/>
      <c r="AL18" s="208"/>
      <c r="AM18" s="208"/>
      <c r="AN18" s="208"/>
      <c r="AO18" s="208"/>
      <c r="AP18" s="208"/>
      <c r="AQ18" s="208"/>
      <c r="AR18" s="208"/>
      <c r="AS18" s="208"/>
      <c r="AT18" s="208"/>
      <c r="AU18" s="208"/>
      <c r="AV18" s="208"/>
      <c r="AW18" s="208"/>
      <c r="AX18" s="208"/>
      <c r="AY18" s="208"/>
      <c r="AZ18" s="208"/>
      <c r="BA18" s="208"/>
      <c r="BB18" s="208"/>
      <c r="BC18" s="208"/>
      <c r="BD18" s="208"/>
      <c r="BE18" s="208"/>
      <c r="BF18" s="208"/>
      <c r="BG18" s="208"/>
      <c r="BH18" s="208"/>
      <c r="BI18" s="208"/>
      <c r="BJ18" s="208"/>
      <c r="BK18" s="209"/>
    </row>
    <row r="19" customHeight="1" spans="1:63">
      <c r="A19" s="89" t="s">
        <v>835</v>
      </c>
      <c r="B19" s="90"/>
      <c r="C19" s="203">
        <v>1106057</v>
      </c>
      <c r="D19" s="204"/>
      <c r="E19" s="205"/>
      <c r="F19" s="832" t="s">
        <v>836</v>
      </c>
      <c r="G19" s="832"/>
      <c r="H19" s="832"/>
      <c r="I19" s="519" t="s">
        <v>837</v>
      </c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833">
        <f>Orçamento!AF157</f>
        <v>8.54</v>
      </c>
      <c r="AC19" s="834"/>
      <c r="AD19" s="835"/>
      <c r="AE19" s="836" t="s">
        <v>99</v>
      </c>
      <c r="AF19" s="837"/>
      <c r="AG19" s="838"/>
      <c r="AH19" s="607">
        <v>0.28053</v>
      </c>
      <c r="AI19" s="608"/>
      <c r="AJ19" s="609"/>
      <c r="AK19" s="839">
        <f>Dados!$Y$23</f>
        <v>0</v>
      </c>
      <c r="AL19" s="840"/>
      <c r="AM19" s="841"/>
      <c r="AN19" s="839">
        <v>0</v>
      </c>
      <c r="AO19" s="840"/>
      <c r="AP19" s="841"/>
      <c r="AQ19" s="839">
        <f>Dados!$AK$23</f>
        <v>0</v>
      </c>
      <c r="AR19" s="840"/>
      <c r="AS19" s="841"/>
      <c r="AT19" s="833">
        <f>ROUND(($AB19*$AH19*AK19),3)</f>
        <v>0</v>
      </c>
      <c r="AU19" s="834"/>
      <c r="AV19" s="835"/>
      <c r="AW19" s="833">
        <f>ROUND(($AB19*$AH19*AN19),3)</f>
        <v>0</v>
      </c>
      <c r="AX19" s="834"/>
      <c r="AY19" s="835"/>
      <c r="AZ19" s="833">
        <f>ROUND(($AB19*$AH19*AQ19),3)</f>
        <v>0</v>
      </c>
      <c r="BA19" s="834"/>
      <c r="BB19" s="835"/>
      <c r="BC19" s="509" t="str">
        <f>Dados!$I$23</f>
        <v>Material entregue no Canteiro de Obras</v>
      </c>
      <c r="BD19" s="510"/>
      <c r="BE19" s="510"/>
      <c r="BF19" s="510"/>
      <c r="BG19" s="510"/>
      <c r="BH19" s="510"/>
      <c r="BI19" s="510"/>
      <c r="BJ19" s="510"/>
      <c r="BK19" s="511"/>
    </row>
    <row r="20" customHeight="1" spans="1:63">
      <c r="A20" s="89" t="s">
        <v>838</v>
      </c>
      <c r="B20" s="90"/>
      <c r="C20" s="203">
        <v>1107900</v>
      </c>
      <c r="D20" s="204"/>
      <c r="E20" s="205"/>
      <c r="F20" s="832" t="s">
        <v>836</v>
      </c>
      <c r="G20" s="832"/>
      <c r="H20" s="832"/>
      <c r="I20" s="842" t="s">
        <v>839</v>
      </c>
      <c r="J20" s="842"/>
      <c r="K20" s="842"/>
      <c r="L20" s="842"/>
      <c r="M20" s="842"/>
      <c r="N20" s="842"/>
      <c r="O20" s="842"/>
      <c r="P20" s="842"/>
      <c r="Q20" s="842"/>
      <c r="R20" s="842"/>
      <c r="S20" s="842"/>
      <c r="T20" s="842"/>
      <c r="U20" s="842"/>
      <c r="V20" s="842"/>
      <c r="W20" s="842"/>
      <c r="X20" s="842"/>
      <c r="Y20" s="842"/>
      <c r="Z20" s="842"/>
      <c r="AA20" s="842"/>
      <c r="AB20" s="833">
        <f>Orçamento!AF167</f>
        <v>116.24</v>
      </c>
      <c r="AC20" s="834"/>
      <c r="AD20" s="835"/>
      <c r="AE20" s="836" t="s">
        <v>99</v>
      </c>
      <c r="AF20" s="837"/>
      <c r="AG20" s="838"/>
      <c r="AH20" s="607">
        <v>0.35237</v>
      </c>
      <c r="AI20" s="608"/>
      <c r="AJ20" s="609"/>
      <c r="AK20" s="839">
        <f>Dados!$Y$23</f>
        <v>0</v>
      </c>
      <c r="AL20" s="840"/>
      <c r="AM20" s="841"/>
      <c r="AN20" s="839">
        <f>Dados!AE25</f>
        <v>0</v>
      </c>
      <c r="AO20" s="840"/>
      <c r="AP20" s="841"/>
      <c r="AQ20" s="839">
        <f>Dados!$AK$23</f>
        <v>0</v>
      </c>
      <c r="AR20" s="840"/>
      <c r="AS20" s="841"/>
      <c r="AT20" s="833">
        <f>ROUND(($AB20*$AH20*AK20),3)</f>
        <v>0</v>
      </c>
      <c r="AU20" s="834"/>
      <c r="AV20" s="835"/>
      <c r="AW20" s="833">
        <f>ROUND(($AB20*$AH20*AN20),3)</f>
        <v>0</v>
      </c>
      <c r="AX20" s="834"/>
      <c r="AY20" s="835"/>
      <c r="AZ20" s="833">
        <f>ROUND(($AB20*$AH20*AQ20),3)</f>
        <v>0</v>
      </c>
      <c r="BA20" s="834"/>
      <c r="BB20" s="835"/>
      <c r="BC20" s="509" t="str">
        <f>Dados!$I$23</f>
        <v>Material entregue no Canteiro de Obras</v>
      </c>
      <c r="BD20" s="510"/>
      <c r="BE20" s="510"/>
      <c r="BF20" s="510"/>
      <c r="BG20" s="510"/>
      <c r="BH20" s="510"/>
      <c r="BI20" s="510"/>
      <c r="BJ20" s="510"/>
      <c r="BK20" s="511"/>
    </row>
    <row r="21" customHeight="1" spans="1:63">
      <c r="A21" s="89" t="s">
        <v>840</v>
      </c>
      <c r="B21" s="90"/>
      <c r="C21" s="203">
        <v>1107908</v>
      </c>
      <c r="D21" s="204"/>
      <c r="E21" s="205"/>
      <c r="F21" s="832" t="s">
        <v>836</v>
      </c>
      <c r="G21" s="832"/>
      <c r="H21" s="832"/>
      <c r="I21" s="842" t="s">
        <v>841</v>
      </c>
      <c r="J21" s="842"/>
      <c r="K21" s="842"/>
      <c r="L21" s="842"/>
      <c r="M21" s="842"/>
      <c r="N21" s="842"/>
      <c r="O21" s="842"/>
      <c r="P21" s="842"/>
      <c r="Q21" s="842"/>
      <c r="R21" s="842"/>
      <c r="S21" s="842"/>
      <c r="T21" s="842"/>
      <c r="U21" s="842"/>
      <c r="V21" s="842"/>
      <c r="W21" s="842"/>
      <c r="X21" s="842"/>
      <c r="Y21" s="842"/>
      <c r="Z21" s="842"/>
      <c r="AA21" s="842"/>
      <c r="AB21" s="833">
        <f>Orçamento!AF171</f>
        <v>21.65</v>
      </c>
      <c r="AC21" s="834"/>
      <c r="AD21" s="835"/>
      <c r="AE21" s="836" t="s">
        <v>99</v>
      </c>
      <c r="AF21" s="837"/>
      <c r="AG21" s="838"/>
      <c r="AH21" s="607">
        <v>0.44005</v>
      </c>
      <c r="AI21" s="608"/>
      <c r="AJ21" s="609"/>
      <c r="AK21" s="839">
        <f>Dados!$Y$23</f>
        <v>0</v>
      </c>
      <c r="AL21" s="840"/>
      <c r="AM21" s="841"/>
      <c r="AN21" s="839">
        <f>Dados!AE24</f>
        <v>0</v>
      </c>
      <c r="AO21" s="840"/>
      <c r="AP21" s="841"/>
      <c r="AQ21" s="839">
        <f>Dados!$AK$23</f>
        <v>0</v>
      </c>
      <c r="AR21" s="840"/>
      <c r="AS21" s="841"/>
      <c r="AT21" s="833">
        <f>ROUND(($AB21*$AH21*AK21),3)</f>
        <v>0</v>
      </c>
      <c r="AU21" s="834"/>
      <c r="AV21" s="835"/>
      <c r="AW21" s="833">
        <f>ROUND(($AB21*$AH21*AN21),3)</f>
        <v>0</v>
      </c>
      <c r="AX21" s="834"/>
      <c r="AY21" s="835"/>
      <c r="AZ21" s="833">
        <f>ROUND(($AB21*$AH21*AQ21),3)</f>
        <v>0</v>
      </c>
      <c r="BA21" s="834"/>
      <c r="BB21" s="835"/>
      <c r="BC21" s="509" t="str">
        <f>Dados!$I$23</f>
        <v>Material entregue no Canteiro de Obras</v>
      </c>
      <c r="BD21" s="510"/>
      <c r="BE21" s="510"/>
      <c r="BF21" s="510"/>
      <c r="BG21" s="510"/>
      <c r="BH21" s="510"/>
      <c r="BI21" s="510"/>
      <c r="BJ21" s="510"/>
      <c r="BK21" s="511"/>
    </row>
    <row r="22" customHeight="1" spans="1:63">
      <c r="A22" s="89" t="s">
        <v>842</v>
      </c>
      <c r="B22" s="90"/>
      <c r="C22" s="203">
        <v>407819</v>
      </c>
      <c r="D22" s="204"/>
      <c r="E22" s="205"/>
      <c r="F22" s="518" t="s">
        <v>843</v>
      </c>
      <c r="G22" s="518"/>
      <c r="H22" s="518"/>
      <c r="I22" s="519" t="s">
        <v>844</v>
      </c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833">
        <f>Orçamento!AF179</f>
        <v>13606.7</v>
      </c>
      <c r="AC22" s="834"/>
      <c r="AD22" s="835"/>
      <c r="AE22" s="836" t="s">
        <v>99</v>
      </c>
      <c r="AF22" s="837"/>
      <c r="AG22" s="838"/>
      <c r="AH22" s="607">
        <v>0.0011</v>
      </c>
      <c r="AI22" s="608"/>
      <c r="AJ22" s="609"/>
      <c r="AK22" s="839">
        <f>Dados!$Y$24</f>
        <v>0</v>
      </c>
      <c r="AL22" s="840"/>
      <c r="AM22" s="841"/>
      <c r="AN22" s="839">
        <f>Dados!AE23</f>
        <v>0</v>
      </c>
      <c r="AO22" s="840"/>
      <c r="AP22" s="841"/>
      <c r="AQ22" s="839">
        <f>Dados!$AK$24</f>
        <v>0</v>
      </c>
      <c r="AR22" s="840"/>
      <c r="AS22" s="841"/>
      <c r="AT22" s="833">
        <f>ROUND(($AB22*$AH22*AK22),3)</f>
        <v>0</v>
      </c>
      <c r="AU22" s="834"/>
      <c r="AV22" s="835"/>
      <c r="AW22" s="833">
        <f>ROUND(($AB22*$AH22*AN22),3)</f>
        <v>0</v>
      </c>
      <c r="AX22" s="834"/>
      <c r="AY22" s="835"/>
      <c r="AZ22" s="833">
        <f>ROUND(($AB22*$AH22*AQ22),3)</f>
        <v>0</v>
      </c>
      <c r="BA22" s="834"/>
      <c r="BB22" s="835"/>
      <c r="BC22" s="509" t="str">
        <f>Dados!$I$24</f>
        <v>Dourados/MS ao Canteiro de Obras</v>
      </c>
      <c r="BD22" s="510"/>
      <c r="BE22" s="510"/>
      <c r="BF22" s="510"/>
      <c r="BG22" s="510"/>
      <c r="BH22" s="510"/>
      <c r="BI22" s="510"/>
      <c r="BJ22" s="510"/>
      <c r="BK22" s="511"/>
    </row>
    <row r="23" customHeight="1" spans="1:63">
      <c r="A23" s="89" t="s">
        <v>845</v>
      </c>
      <c r="B23" s="90"/>
      <c r="C23" s="89">
        <v>3108000</v>
      </c>
      <c r="D23" s="91"/>
      <c r="E23" s="90"/>
      <c r="F23" s="843"/>
      <c r="G23" s="843"/>
      <c r="H23" s="843"/>
      <c r="I23" s="844" t="s">
        <v>846</v>
      </c>
      <c r="J23" s="844"/>
      <c r="K23" s="844"/>
      <c r="L23" s="844"/>
      <c r="M23" s="844"/>
      <c r="N23" s="844"/>
      <c r="O23" s="844"/>
      <c r="P23" s="844"/>
      <c r="Q23" s="844"/>
      <c r="R23" s="844"/>
      <c r="S23" s="844"/>
      <c r="T23" s="844"/>
      <c r="U23" s="844"/>
      <c r="V23" s="844"/>
      <c r="W23" s="844"/>
      <c r="X23" s="844"/>
      <c r="Y23" s="844"/>
      <c r="Z23" s="844"/>
      <c r="AA23" s="844"/>
      <c r="AB23" s="833">
        <f>Orçamento!AF181</f>
        <v>647.66</v>
      </c>
      <c r="AC23" s="834"/>
      <c r="AD23" s="835"/>
      <c r="AE23" s="845" t="s">
        <v>7</v>
      </c>
      <c r="AF23" s="846"/>
      <c r="AG23" s="847"/>
      <c r="AH23" s="607">
        <v>0.02258</v>
      </c>
      <c r="AI23" s="608"/>
      <c r="AJ23" s="609"/>
      <c r="AK23" s="839">
        <f>Dados!$Y$25</f>
        <v>7.3</v>
      </c>
      <c r="AL23" s="840"/>
      <c r="AM23" s="841"/>
      <c r="AN23" s="839">
        <f>Dados!AE24</f>
        <v>0</v>
      </c>
      <c r="AO23" s="840"/>
      <c r="AP23" s="841"/>
      <c r="AQ23" s="839">
        <f>Dados!$AK$25</f>
        <v>7.2</v>
      </c>
      <c r="AR23" s="840"/>
      <c r="AS23" s="841"/>
      <c r="AT23" s="833">
        <f>ROUND(($AB23*$AH23*AK23),3)</f>
        <v>106.756</v>
      </c>
      <c r="AU23" s="834"/>
      <c r="AV23" s="835"/>
      <c r="AW23" s="833">
        <f>ROUND(($AB23*$AH23*AN23),3)</f>
        <v>0</v>
      </c>
      <c r="AX23" s="834"/>
      <c r="AY23" s="835"/>
      <c r="AZ23" s="833">
        <f>ROUND(($AB23*$AH23*AQ23),3)</f>
        <v>105.294</v>
      </c>
      <c r="BA23" s="834"/>
      <c r="BB23" s="835"/>
      <c r="BC23" s="509" t="str">
        <f>Dados!$I$25</f>
        <v>Deodápolis/MS ao Canteiro de Obras</v>
      </c>
      <c r="BD23" s="510"/>
      <c r="BE23" s="510"/>
      <c r="BF23" s="510"/>
      <c r="BG23" s="510"/>
      <c r="BH23" s="510"/>
      <c r="BI23" s="510"/>
      <c r="BJ23" s="510"/>
      <c r="BK23" s="511"/>
    </row>
    <row r="24" customHeight="1" spans="1:63">
      <c r="A24" s="848" t="s">
        <v>847</v>
      </c>
      <c r="B24" s="849"/>
      <c r="C24" s="849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49"/>
      <c r="P24" s="849"/>
      <c r="Q24" s="849"/>
      <c r="R24" s="849"/>
      <c r="S24" s="849"/>
      <c r="T24" s="849"/>
      <c r="U24" s="849"/>
      <c r="V24" s="849"/>
      <c r="W24" s="849"/>
      <c r="X24" s="849"/>
      <c r="Y24" s="849"/>
      <c r="Z24" s="849"/>
      <c r="AA24" s="849"/>
      <c r="AB24" s="849"/>
      <c r="AC24" s="849"/>
      <c r="AD24" s="849"/>
      <c r="AE24" s="849"/>
      <c r="AF24" s="849"/>
      <c r="AG24" s="849"/>
      <c r="AH24" s="849"/>
      <c r="AI24" s="849"/>
      <c r="AJ24" s="849"/>
      <c r="AK24" s="849"/>
      <c r="AL24" s="849"/>
      <c r="AM24" s="849"/>
      <c r="AN24" s="849"/>
      <c r="AO24" s="849"/>
      <c r="AP24" s="849"/>
      <c r="AQ24" s="849"/>
      <c r="AR24" s="849"/>
      <c r="AS24" s="717"/>
      <c r="AT24" s="850">
        <f>SUM(AT19:AV23)</f>
        <v>106.756</v>
      </c>
      <c r="AU24" s="851"/>
      <c r="AV24" s="852"/>
      <c r="AW24" s="850">
        <f>SUM(AW19:AY23)</f>
        <v>0</v>
      </c>
      <c r="AX24" s="851"/>
      <c r="AY24" s="852"/>
      <c r="AZ24" s="850">
        <f>SUM(AZ19:BB23)</f>
        <v>105.294</v>
      </c>
      <c r="BA24" s="851"/>
      <c r="BB24" s="852"/>
      <c r="BC24" s="509"/>
      <c r="BD24" s="510"/>
      <c r="BE24" s="510"/>
      <c r="BF24" s="510"/>
      <c r="BG24" s="510"/>
      <c r="BH24" s="510"/>
      <c r="BI24" s="510"/>
      <c r="BJ24" s="510"/>
      <c r="BK24" s="511"/>
    </row>
    <row r="25" customHeight="1" spans="1:63">
      <c r="A25" s="200" t="s">
        <v>848</v>
      </c>
      <c r="B25" s="202"/>
      <c r="C25" s="830"/>
      <c r="D25" s="65"/>
      <c r="E25" s="65"/>
      <c r="F25" s="65"/>
      <c r="G25" s="65"/>
      <c r="H25" s="65"/>
      <c r="I25" s="831" t="s">
        <v>849</v>
      </c>
      <c r="J25" s="831"/>
      <c r="K25" s="831"/>
      <c r="L25" s="831"/>
      <c r="M25" s="831"/>
      <c r="N25" s="831"/>
      <c r="O25" s="831"/>
      <c r="P25" s="831"/>
      <c r="Q25" s="831"/>
      <c r="R25" s="831"/>
      <c r="S25" s="831"/>
      <c r="T25" s="831"/>
      <c r="U25" s="831"/>
      <c r="V25" s="831"/>
      <c r="W25" s="831"/>
      <c r="X25" s="831"/>
      <c r="Y25" s="831"/>
      <c r="Z25" s="831"/>
      <c r="AA25" s="831"/>
      <c r="AB25" s="208"/>
      <c r="AC25" s="208"/>
      <c r="AD25" s="208"/>
      <c r="AE25" s="208"/>
      <c r="AF25" s="208"/>
      <c r="AG25" s="208"/>
      <c r="AH25" s="208"/>
      <c r="AI25" s="208"/>
      <c r="AJ25" s="208"/>
      <c r="AK25" s="208"/>
      <c r="AL25" s="208"/>
      <c r="AM25" s="208"/>
      <c r="AN25" s="208"/>
      <c r="AO25" s="208"/>
      <c r="AP25" s="208"/>
      <c r="AQ25" s="208"/>
      <c r="AR25" s="208"/>
      <c r="AS25" s="208"/>
      <c r="AT25" s="208"/>
      <c r="AU25" s="208"/>
      <c r="AV25" s="208"/>
      <c r="AW25" s="208"/>
      <c r="AX25" s="208"/>
      <c r="AY25" s="208"/>
      <c r="AZ25" s="208"/>
      <c r="BA25" s="208"/>
      <c r="BB25" s="208"/>
      <c r="BC25" s="208"/>
      <c r="BD25" s="208"/>
      <c r="BE25" s="208"/>
      <c r="BF25" s="208"/>
      <c r="BG25" s="208"/>
      <c r="BH25" s="208"/>
      <c r="BI25" s="208"/>
      <c r="BJ25" s="208"/>
      <c r="BK25" s="209"/>
    </row>
    <row r="26" customHeight="1" spans="1:63">
      <c r="A26" s="203" t="s">
        <v>850</v>
      </c>
      <c r="B26" s="205"/>
      <c r="C26" s="203">
        <f>C19</f>
        <v>1106057</v>
      </c>
      <c r="D26" s="204"/>
      <c r="E26" s="205"/>
      <c r="F26" s="518" t="s">
        <v>851</v>
      </c>
      <c r="G26" s="518"/>
      <c r="H26" s="518"/>
      <c r="I26" s="519" t="s">
        <v>852</v>
      </c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853">
        <f>AB$19</f>
        <v>8.54</v>
      </c>
      <c r="AC26" s="854"/>
      <c r="AD26" s="855"/>
      <c r="AE26" s="836" t="s">
        <v>99</v>
      </c>
      <c r="AF26" s="837"/>
      <c r="AG26" s="838"/>
      <c r="AH26" s="564">
        <v>0.89922</v>
      </c>
      <c r="AI26" s="565"/>
      <c r="AJ26" s="566"/>
      <c r="AK26" s="856" t="e">
        <f>Dados!$Y$27</f>
        <v>#REF!</v>
      </c>
      <c r="AL26" s="857"/>
      <c r="AM26" s="858"/>
      <c r="AN26" s="856">
        <v>0</v>
      </c>
      <c r="AO26" s="857"/>
      <c r="AP26" s="858"/>
      <c r="AQ26" s="856" t="e">
        <f>Dados!$AK$27</f>
        <v>#REF!</v>
      </c>
      <c r="AR26" s="857"/>
      <c r="AS26" s="858"/>
      <c r="AT26" s="833" t="e">
        <f>ROUND(($AB26*$AH26*AK26),3)</f>
        <v>#REF!</v>
      </c>
      <c r="AU26" s="834"/>
      <c r="AV26" s="835"/>
      <c r="AW26" s="833">
        <f>ROUND(($AB26*$AH26*AN26),3)</f>
        <v>0</v>
      </c>
      <c r="AX26" s="834"/>
      <c r="AY26" s="835"/>
      <c r="AZ26" s="833" t="e">
        <f>ROUND(($AB26*$AH26*AQ26),3)</f>
        <v>#REF!</v>
      </c>
      <c r="BA26" s="834"/>
      <c r="BB26" s="835"/>
      <c r="BC26" s="509" t="str">
        <f>Dados!$I$27</f>
        <v>Naviraí/MS ao Canteiro de Obras</v>
      </c>
      <c r="BD26" s="510"/>
      <c r="BE26" s="510"/>
      <c r="BF26" s="510"/>
      <c r="BG26" s="510"/>
      <c r="BH26" s="510"/>
      <c r="BI26" s="510"/>
      <c r="BJ26" s="510"/>
      <c r="BK26" s="511"/>
    </row>
    <row r="27" customHeight="1" spans="1:63">
      <c r="A27" s="203" t="s">
        <v>853</v>
      </c>
      <c r="B27" s="205"/>
      <c r="C27" s="203">
        <f>C26</f>
        <v>1106057</v>
      </c>
      <c r="D27" s="204"/>
      <c r="E27" s="205"/>
      <c r="F27" s="518" t="s">
        <v>854</v>
      </c>
      <c r="G27" s="518"/>
      <c r="H27" s="518"/>
      <c r="I27" s="519" t="s">
        <v>855</v>
      </c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853">
        <f>AB26</f>
        <v>8.54</v>
      </c>
      <c r="AC27" s="854"/>
      <c r="AD27" s="855"/>
      <c r="AE27" s="836" t="s">
        <v>99</v>
      </c>
      <c r="AF27" s="837"/>
      <c r="AG27" s="838"/>
      <c r="AH27" s="564">
        <v>1.10262</v>
      </c>
      <c r="AI27" s="565"/>
      <c r="AJ27" s="566"/>
      <c r="AK27" s="856">
        <f>Dados!$Y$29</f>
        <v>106.8</v>
      </c>
      <c r="AL27" s="857"/>
      <c r="AM27" s="858"/>
      <c r="AN27" s="856">
        <v>0</v>
      </c>
      <c r="AO27" s="857"/>
      <c r="AP27" s="858"/>
      <c r="AQ27" s="856">
        <f>Dados!$AK$29</f>
        <v>11.2</v>
      </c>
      <c r="AR27" s="857"/>
      <c r="AS27" s="858"/>
      <c r="AT27" s="833">
        <f>ROUND(($AB27*$AH27*AK27),3)</f>
        <v>1005.669</v>
      </c>
      <c r="AU27" s="834"/>
      <c r="AV27" s="835"/>
      <c r="AW27" s="833">
        <f>ROUND(($AB27*$AH27*AN27),3)</f>
        <v>0</v>
      </c>
      <c r="AX27" s="834"/>
      <c r="AY27" s="835"/>
      <c r="AZ27" s="833">
        <f>ROUND(($AB27*$AH27*AQ27),3)</f>
        <v>105.463</v>
      </c>
      <c r="BA27" s="834"/>
      <c r="BB27" s="835"/>
      <c r="BC27" s="509" t="str">
        <f>Dados!$I$29</f>
        <v>Itaporã/MS ao Canteiro de Obras</v>
      </c>
      <c r="BD27" s="510"/>
      <c r="BE27" s="510"/>
      <c r="BF27" s="510"/>
      <c r="BG27" s="510"/>
      <c r="BH27" s="510"/>
      <c r="BI27" s="510"/>
      <c r="BJ27" s="510"/>
      <c r="BK27" s="511"/>
    </row>
    <row r="28" customHeight="1" spans="1:63">
      <c r="A28" s="203" t="s">
        <v>856</v>
      </c>
      <c r="B28" s="205"/>
      <c r="C28" s="203">
        <f>C20</f>
        <v>1107900</v>
      </c>
      <c r="D28" s="204"/>
      <c r="E28" s="205"/>
      <c r="F28" s="518" t="s">
        <v>851</v>
      </c>
      <c r="G28" s="518"/>
      <c r="H28" s="518"/>
      <c r="I28" s="519" t="s">
        <v>857</v>
      </c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853">
        <f>AB20</f>
        <v>116.24</v>
      </c>
      <c r="AC28" s="854"/>
      <c r="AD28" s="855"/>
      <c r="AE28" s="836" t="s">
        <v>99</v>
      </c>
      <c r="AF28" s="837"/>
      <c r="AG28" s="838"/>
      <c r="AH28" s="564">
        <v>0.89045</v>
      </c>
      <c r="AI28" s="565"/>
      <c r="AJ28" s="566"/>
      <c r="AK28" s="856" t="e">
        <f>Dados!$Y$27</f>
        <v>#REF!</v>
      </c>
      <c r="AL28" s="857"/>
      <c r="AM28" s="858"/>
      <c r="AN28" s="856">
        <v>0</v>
      </c>
      <c r="AO28" s="857"/>
      <c r="AP28" s="858"/>
      <c r="AQ28" s="856" t="e">
        <f>Dados!$AK$27</f>
        <v>#REF!</v>
      </c>
      <c r="AR28" s="857"/>
      <c r="AS28" s="858"/>
      <c r="AT28" s="833" t="e">
        <f t="shared" ref="AT28:AT33" si="0">ROUND(($AB28*$AH28*AK28),3)</f>
        <v>#REF!</v>
      </c>
      <c r="AU28" s="834"/>
      <c r="AV28" s="835"/>
      <c r="AW28" s="833">
        <f t="shared" ref="AW28:AW33" si="1">ROUND(($AB28*$AH28*AN28),3)</f>
        <v>0</v>
      </c>
      <c r="AX28" s="834"/>
      <c r="AY28" s="835"/>
      <c r="AZ28" s="833" t="e">
        <f t="shared" ref="AZ28:AZ33" si="2">ROUND(($AB28*$AH28*AQ28),3)</f>
        <v>#REF!</v>
      </c>
      <c r="BA28" s="834"/>
      <c r="BB28" s="835"/>
      <c r="BC28" s="509" t="str">
        <f>Dados!$I$27</f>
        <v>Naviraí/MS ao Canteiro de Obras</v>
      </c>
      <c r="BD28" s="510"/>
      <c r="BE28" s="510"/>
      <c r="BF28" s="510"/>
      <c r="BG28" s="510"/>
      <c r="BH28" s="510"/>
      <c r="BI28" s="510"/>
      <c r="BJ28" s="510"/>
      <c r="BK28" s="511"/>
    </row>
    <row r="29" customHeight="1" spans="1:63">
      <c r="A29" s="203" t="s">
        <v>858</v>
      </c>
      <c r="B29" s="205"/>
      <c r="C29" s="203">
        <f>C28</f>
        <v>1107900</v>
      </c>
      <c r="D29" s="204"/>
      <c r="E29" s="205"/>
      <c r="F29" s="518" t="s">
        <v>859</v>
      </c>
      <c r="G29" s="518"/>
      <c r="H29" s="518"/>
      <c r="I29" s="519" t="s">
        <v>860</v>
      </c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853">
        <f>AB28</f>
        <v>116.24</v>
      </c>
      <c r="AC29" s="854"/>
      <c r="AD29" s="855"/>
      <c r="AE29" s="836" t="s">
        <v>99</v>
      </c>
      <c r="AF29" s="837"/>
      <c r="AG29" s="838"/>
      <c r="AH29" s="564">
        <v>0.55131</v>
      </c>
      <c r="AI29" s="565"/>
      <c r="AJ29" s="566"/>
      <c r="AK29" s="856">
        <f>Dados!$Y$28</f>
        <v>106.8</v>
      </c>
      <c r="AL29" s="857"/>
      <c r="AM29" s="858"/>
      <c r="AN29" s="856">
        <v>0</v>
      </c>
      <c r="AO29" s="857"/>
      <c r="AP29" s="858"/>
      <c r="AQ29" s="856">
        <f>Dados!$AK$28</f>
        <v>11.2</v>
      </c>
      <c r="AR29" s="857"/>
      <c r="AS29" s="858"/>
      <c r="AT29" s="833">
        <f t="shared" si="0"/>
        <v>6844.201</v>
      </c>
      <c r="AU29" s="834"/>
      <c r="AV29" s="835"/>
      <c r="AW29" s="833">
        <f t="shared" si="1"/>
        <v>0</v>
      </c>
      <c r="AX29" s="834"/>
      <c r="AY29" s="835"/>
      <c r="AZ29" s="833">
        <f t="shared" si="2"/>
        <v>717.744</v>
      </c>
      <c r="BA29" s="834"/>
      <c r="BB29" s="835"/>
      <c r="BC29" s="509" t="str">
        <f>Dados!$I$28</f>
        <v>Itaporã/MS ao Canteiro de Obras</v>
      </c>
      <c r="BD29" s="510"/>
      <c r="BE29" s="510"/>
      <c r="BF29" s="510"/>
      <c r="BG29" s="510"/>
      <c r="BH29" s="510"/>
      <c r="BI29" s="510"/>
      <c r="BJ29" s="510"/>
      <c r="BK29" s="511"/>
    </row>
    <row r="30" customHeight="1" spans="1:63">
      <c r="A30" s="203" t="s">
        <v>861</v>
      </c>
      <c r="B30" s="205"/>
      <c r="C30" s="203">
        <f>C29</f>
        <v>1107900</v>
      </c>
      <c r="D30" s="204"/>
      <c r="E30" s="205"/>
      <c r="F30" s="518" t="s">
        <v>854</v>
      </c>
      <c r="G30" s="518"/>
      <c r="H30" s="518"/>
      <c r="I30" s="519" t="s">
        <v>862</v>
      </c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853">
        <f>AB29</f>
        <v>116.24</v>
      </c>
      <c r="AC30" s="854"/>
      <c r="AD30" s="855"/>
      <c r="AE30" s="836" t="s">
        <v>99</v>
      </c>
      <c r="AF30" s="837"/>
      <c r="AG30" s="838"/>
      <c r="AH30" s="564">
        <v>0.55131</v>
      </c>
      <c r="AI30" s="565"/>
      <c r="AJ30" s="566"/>
      <c r="AK30" s="856">
        <f>Dados!$Y$29</f>
        <v>106.8</v>
      </c>
      <c r="AL30" s="857"/>
      <c r="AM30" s="858"/>
      <c r="AN30" s="856">
        <v>0</v>
      </c>
      <c r="AO30" s="857"/>
      <c r="AP30" s="858"/>
      <c r="AQ30" s="856">
        <f>Dados!$AK$29</f>
        <v>11.2</v>
      </c>
      <c r="AR30" s="857"/>
      <c r="AS30" s="858"/>
      <c r="AT30" s="833">
        <f t="shared" si="0"/>
        <v>6844.201</v>
      </c>
      <c r="AU30" s="834"/>
      <c r="AV30" s="835"/>
      <c r="AW30" s="833">
        <f t="shared" si="1"/>
        <v>0</v>
      </c>
      <c r="AX30" s="834"/>
      <c r="AY30" s="835"/>
      <c r="AZ30" s="833">
        <f t="shared" si="2"/>
        <v>717.744</v>
      </c>
      <c r="BA30" s="834"/>
      <c r="BB30" s="835"/>
      <c r="BC30" s="509" t="str">
        <f>Dados!$I$29</f>
        <v>Itaporã/MS ao Canteiro de Obras</v>
      </c>
      <c r="BD30" s="510"/>
      <c r="BE30" s="510"/>
      <c r="BF30" s="510"/>
      <c r="BG30" s="510"/>
      <c r="BH30" s="510"/>
      <c r="BI30" s="510"/>
      <c r="BJ30" s="510"/>
      <c r="BK30" s="511"/>
    </row>
    <row r="31" customHeight="1" spans="1:63">
      <c r="A31" s="203" t="s">
        <v>863</v>
      </c>
      <c r="B31" s="205"/>
      <c r="C31" s="203">
        <f>C21</f>
        <v>1107908</v>
      </c>
      <c r="D31" s="204"/>
      <c r="E31" s="205"/>
      <c r="F31" s="518" t="s">
        <v>851</v>
      </c>
      <c r="G31" s="518"/>
      <c r="H31" s="518"/>
      <c r="I31" s="519" t="s">
        <v>864</v>
      </c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853">
        <f>AB21</f>
        <v>21.65</v>
      </c>
      <c r="AC31" s="854"/>
      <c r="AD31" s="855"/>
      <c r="AE31" s="836" t="s">
        <v>99</v>
      </c>
      <c r="AF31" s="837"/>
      <c r="AG31" s="838"/>
      <c r="AH31" s="564">
        <v>0.81605</v>
      </c>
      <c r="AI31" s="565"/>
      <c r="AJ31" s="566"/>
      <c r="AK31" s="856" t="e">
        <f>Dados!$Y$27</f>
        <v>#REF!</v>
      </c>
      <c r="AL31" s="857"/>
      <c r="AM31" s="858"/>
      <c r="AN31" s="856">
        <v>0</v>
      </c>
      <c r="AO31" s="857"/>
      <c r="AP31" s="858"/>
      <c r="AQ31" s="856" t="e">
        <f>Dados!$AK$27</f>
        <v>#REF!</v>
      </c>
      <c r="AR31" s="857"/>
      <c r="AS31" s="858"/>
      <c r="AT31" s="833" t="e">
        <f t="shared" si="0"/>
        <v>#REF!</v>
      </c>
      <c r="AU31" s="834"/>
      <c r="AV31" s="835"/>
      <c r="AW31" s="833">
        <f t="shared" si="1"/>
        <v>0</v>
      </c>
      <c r="AX31" s="834"/>
      <c r="AY31" s="835"/>
      <c r="AZ31" s="833" t="e">
        <f t="shared" si="2"/>
        <v>#REF!</v>
      </c>
      <c r="BA31" s="834"/>
      <c r="BB31" s="835"/>
      <c r="BC31" s="509" t="str">
        <f>Dados!$I$27</f>
        <v>Naviraí/MS ao Canteiro de Obras</v>
      </c>
      <c r="BD31" s="510"/>
      <c r="BE31" s="510"/>
      <c r="BF31" s="510"/>
      <c r="BG31" s="510"/>
      <c r="BH31" s="510"/>
      <c r="BI31" s="510"/>
      <c r="BJ31" s="510"/>
      <c r="BK31" s="511"/>
    </row>
    <row r="32" customHeight="1" spans="1:63">
      <c r="A32" s="203" t="s">
        <v>865</v>
      </c>
      <c r="B32" s="205"/>
      <c r="C32" s="203">
        <f>C31</f>
        <v>1107908</v>
      </c>
      <c r="D32" s="204"/>
      <c r="E32" s="205"/>
      <c r="F32" s="518" t="s">
        <v>859</v>
      </c>
      <c r="G32" s="518"/>
      <c r="H32" s="518"/>
      <c r="I32" s="519" t="s">
        <v>866</v>
      </c>
      <c r="J32" s="519"/>
      <c r="K32" s="519"/>
      <c r="L32" s="519"/>
      <c r="M32" s="519"/>
      <c r="N32" s="519"/>
      <c r="O32" s="519"/>
      <c r="P32" s="519"/>
      <c r="Q32" s="519"/>
      <c r="R32" s="519"/>
      <c r="S32" s="519"/>
      <c r="T32" s="519"/>
      <c r="U32" s="519"/>
      <c r="V32" s="519"/>
      <c r="W32" s="519"/>
      <c r="X32" s="519"/>
      <c r="Y32" s="519"/>
      <c r="Z32" s="519"/>
      <c r="AA32" s="519"/>
      <c r="AB32" s="853">
        <f>AB31</f>
        <v>21.65</v>
      </c>
      <c r="AC32" s="854"/>
      <c r="AD32" s="855"/>
      <c r="AE32" s="836" t="s">
        <v>99</v>
      </c>
      <c r="AF32" s="837"/>
      <c r="AG32" s="838"/>
      <c r="AH32" s="564">
        <v>0.55131</v>
      </c>
      <c r="AI32" s="565"/>
      <c r="AJ32" s="566"/>
      <c r="AK32" s="856">
        <f>Dados!$Y$28</f>
        <v>106.8</v>
      </c>
      <c r="AL32" s="857"/>
      <c r="AM32" s="858"/>
      <c r="AN32" s="856">
        <v>0</v>
      </c>
      <c r="AO32" s="857"/>
      <c r="AP32" s="858"/>
      <c r="AQ32" s="856">
        <f>Dados!$AK$28</f>
        <v>11.2</v>
      </c>
      <c r="AR32" s="857"/>
      <c r="AS32" s="858"/>
      <c r="AT32" s="833">
        <f t="shared" si="0"/>
        <v>1274.75</v>
      </c>
      <c r="AU32" s="834"/>
      <c r="AV32" s="835"/>
      <c r="AW32" s="833">
        <f t="shared" si="1"/>
        <v>0</v>
      </c>
      <c r="AX32" s="834"/>
      <c r="AY32" s="835"/>
      <c r="AZ32" s="833">
        <f t="shared" si="2"/>
        <v>133.682</v>
      </c>
      <c r="BA32" s="834"/>
      <c r="BB32" s="835"/>
      <c r="BC32" s="509" t="str">
        <f>Dados!$I$28</f>
        <v>Itaporã/MS ao Canteiro de Obras</v>
      </c>
      <c r="BD32" s="510"/>
      <c r="BE32" s="510"/>
      <c r="BF32" s="510"/>
      <c r="BG32" s="510"/>
      <c r="BH32" s="510"/>
      <c r="BI32" s="510"/>
      <c r="BJ32" s="510"/>
      <c r="BK32" s="511"/>
    </row>
    <row r="33" customHeight="1" spans="1:63">
      <c r="A33" s="203" t="s">
        <v>867</v>
      </c>
      <c r="B33" s="205"/>
      <c r="C33" s="203">
        <f>C32</f>
        <v>1107908</v>
      </c>
      <c r="D33" s="204"/>
      <c r="E33" s="205"/>
      <c r="F33" s="518" t="s">
        <v>854</v>
      </c>
      <c r="G33" s="518"/>
      <c r="H33" s="518"/>
      <c r="I33" s="519" t="s">
        <v>868</v>
      </c>
      <c r="J33" s="519"/>
      <c r="K33" s="519"/>
      <c r="L33" s="519"/>
      <c r="M33" s="519"/>
      <c r="N33" s="519"/>
      <c r="O33" s="519"/>
      <c r="P33" s="519"/>
      <c r="Q33" s="519"/>
      <c r="R33" s="519"/>
      <c r="S33" s="519"/>
      <c r="T33" s="519"/>
      <c r="U33" s="519"/>
      <c r="V33" s="519"/>
      <c r="W33" s="519"/>
      <c r="X33" s="519"/>
      <c r="Y33" s="519"/>
      <c r="Z33" s="519"/>
      <c r="AA33" s="519"/>
      <c r="AB33" s="853">
        <f>AB32</f>
        <v>21.65</v>
      </c>
      <c r="AC33" s="854"/>
      <c r="AD33" s="855"/>
      <c r="AE33" s="836" t="s">
        <v>99</v>
      </c>
      <c r="AF33" s="837"/>
      <c r="AG33" s="838"/>
      <c r="AH33" s="564">
        <v>0.55131</v>
      </c>
      <c r="AI33" s="565"/>
      <c r="AJ33" s="566"/>
      <c r="AK33" s="856">
        <f>Dados!$Y$29</f>
        <v>106.8</v>
      </c>
      <c r="AL33" s="857"/>
      <c r="AM33" s="858"/>
      <c r="AN33" s="856">
        <v>0</v>
      </c>
      <c r="AO33" s="857"/>
      <c r="AP33" s="858"/>
      <c r="AQ33" s="856">
        <f>Dados!$AK$29</f>
        <v>11.2</v>
      </c>
      <c r="AR33" s="857"/>
      <c r="AS33" s="858"/>
      <c r="AT33" s="833">
        <f t="shared" si="0"/>
        <v>1274.75</v>
      </c>
      <c r="AU33" s="834"/>
      <c r="AV33" s="835"/>
      <c r="AW33" s="833">
        <f t="shared" si="1"/>
        <v>0</v>
      </c>
      <c r="AX33" s="834"/>
      <c r="AY33" s="835"/>
      <c r="AZ33" s="833">
        <f t="shared" si="2"/>
        <v>133.682</v>
      </c>
      <c r="BA33" s="834"/>
      <c r="BB33" s="835"/>
      <c r="BC33" s="509" t="str">
        <f>Dados!$I$29</f>
        <v>Itaporã/MS ao Canteiro de Obras</v>
      </c>
      <c r="BD33" s="510"/>
      <c r="BE33" s="510"/>
      <c r="BF33" s="510"/>
      <c r="BG33" s="510"/>
      <c r="BH33" s="510"/>
      <c r="BI33" s="510"/>
      <c r="BJ33" s="510"/>
      <c r="BK33" s="511"/>
    </row>
    <row r="34" customHeight="1" spans="1:63">
      <c r="A34" s="848" t="s">
        <v>847</v>
      </c>
      <c r="B34" s="849"/>
      <c r="C34" s="849"/>
      <c r="D34" s="849"/>
      <c r="E34" s="849"/>
      <c r="F34" s="849"/>
      <c r="G34" s="849"/>
      <c r="H34" s="849"/>
      <c r="I34" s="849"/>
      <c r="J34" s="849"/>
      <c r="K34" s="849"/>
      <c r="L34" s="849"/>
      <c r="M34" s="849"/>
      <c r="N34" s="849"/>
      <c r="O34" s="849"/>
      <c r="P34" s="849"/>
      <c r="Q34" s="849"/>
      <c r="R34" s="849"/>
      <c r="S34" s="849"/>
      <c r="T34" s="849"/>
      <c r="U34" s="849"/>
      <c r="V34" s="849"/>
      <c r="W34" s="849"/>
      <c r="X34" s="849"/>
      <c r="Y34" s="849"/>
      <c r="Z34" s="849"/>
      <c r="AA34" s="849"/>
      <c r="AB34" s="849"/>
      <c r="AC34" s="849"/>
      <c r="AD34" s="849"/>
      <c r="AE34" s="849"/>
      <c r="AF34" s="849"/>
      <c r="AG34" s="849"/>
      <c r="AH34" s="849"/>
      <c r="AI34" s="849"/>
      <c r="AJ34" s="849"/>
      <c r="AK34" s="849"/>
      <c r="AL34" s="849"/>
      <c r="AM34" s="849"/>
      <c r="AN34" s="849"/>
      <c r="AO34" s="849"/>
      <c r="AP34" s="849"/>
      <c r="AQ34" s="849"/>
      <c r="AR34" s="849"/>
      <c r="AS34" s="717"/>
      <c r="AT34" s="850" t="e">
        <f>SUM(AT26:AV33)</f>
        <v>#REF!</v>
      </c>
      <c r="AU34" s="851"/>
      <c r="AV34" s="852"/>
      <c r="AW34" s="850">
        <f>SUM(AW26:AY33)</f>
        <v>0</v>
      </c>
      <c r="AX34" s="851"/>
      <c r="AY34" s="852"/>
      <c r="AZ34" s="850" t="e">
        <f>SUM(AZ26:BB33)</f>
        <v>#REF!</v>
      </c>
      <c r="BA34" s="851"/>
      <c r="BB34" s="852"/>
      <c r="BC34" s="510"/>
      <c r="BD34" s="510"/>
      <c r="BE34" s="510"/>
      <c r="BF34" s="510"/>
      <c r="BG34" s="510"/>
      <c r="BH34" s="510"/>
      <c r="BI34" s="510"/>
      <c r="BJ34" s="510"/>
      <c r="BK34" s="511"/>
    </row>
  </sheetData>
  <mergeCells count="281">
    <mergeCell ref="A4:H4"/>
    <mergeCell ref="I4:BK4"/>
    <mergeCell ref="A5:H5"/>
    <mergeCell ref="I5:BK5"/>
    <mergeCell ref="A6:H6"/>
    <mergeCell ref="I6:BK6"/>
    <mergeCell ref="A7:H7"/>
    <mergeCell ref="I7:BK7"/>
    <mergeCell ref="A8:H8"/>
    <mergeCell ref="BA8:BG8"/>
    <mergeCell ref="BH8:BI8"/>
    <mergeCell ref="BJ8:BK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BA11:BG11"/>
    <mergeCell ref="BH11:BI11"/>
    <mergeCell ref="BJ11:BK11"/>
    <mergeCell ref="A12:H12"/>
    <mergeCell ref="I12:U12"/>
    <mergeCell ref="V12:AH12"/>
    <mergeCell ref="A13:BK13"/>
    <mergeCell ref="A14:BK14"/>
    <mergeCell ref="AK15:AS15"/>
    <mergeCell ref="AT15:BB15"/>
    <mergeCell ref="AK16:AM16"/>
    <mergeCell ref="AN16:AP16"/>
    <mergeCell ref="AQ16:AS16"/>
    <mergeCell ref="AT16:AV16"/>
    <mergeCell ref="AW16:AY16"/>
    <mergeCell ref="AZ16:BB16"/>
    <mergeCell ref="AK17:AM17"/>
    <mergeCell ref="AN17:AP17"/>
    <mergeCell ref="AQ17:AS17"/>
    <mergeCell ref="AT17:AV17"/>
    <mergeCell ref="AW17:AY17"/>
    <mergeCell ref="AZ17:BB17"/>
    <mergeCell ref="A18:B18"/>
    <mergeCell ref="C18:E18"/>
    <mergeCell ref="F18:H18"/>
    <mergeCell ref="I18:AA18"/>
    <mergeCell ref="AB18:AD18"/>
    <mergeCell ref="AE18:AG18"/>
    <mergeCell ref="AH18:AJ18"/>
    <mergeCell ref="AK18:AM18"/>
    <mergeCell ref="AN18:AP18"/>
    <mergeCell ref="AQ18:AS18"/>
    <mergeCell ref="AT18:AV18"/>
    <mergeCell ref="AW18:AY18"/>
    <mergeCell ref="AZ18:BB18"/>
    <mergeCell ref="BC18:BE18"/>
    <mergeCell ref="BF18:BH18"/>
    <mergeCell ref="BI18:BK18"/>
    <mergeCell ref="A19:B19"/>
    <mergeCell ref="C19:E19"/>
    <mergeCell ref="F19:H19"/>
    <mergeCell ref="I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Z19:BB19"/>
    <mergeCell ref="BC19:BK19"/>
    <mergeCell ref="A20:B20"/>
    <mergeCell ref="C20:E20"/>
    <mergeCell ref="F20:H20"/>
    <mergeCell ref="I20:AA20"/>
    <mergeCell ref="AB20:AD20"/>
    <mergeCell ref="AE20:AG20"/>
    <mergeCell ref="AH20:AJ20"/>
    <mergeCell ref="AK20:AM20"/>
    <mergeCell ref="AN20:AP20"/>
    <mergeCell ref="AQ20:AS20"/>
    <mergeCell ref="AT20:AV20"/>
    <mergeCell ref="AW20:AY20"/>
    <mergeCell ref="AZ20:BB20"/>
    <mergeCell ref="BC20:BK20"/>
    <mergeCell ref="A21:B21"/>
    <mergeCell ref="C21:E21"/>
    <mergeCell ref="F21:H21"/>
    <mergeCell ref="I21:AA21"/>
    <mergeCell ref="AB21:AD21"/>
    <mergeCell ref="AE21:AG21"/>
    <mergeCell ref="AH21:AJ21"/>
    <mergeCell ref="AK21:AM21"/>
    <mergeCell ref="AN21:AP21"/>
    <mergeCell ref="AQ21:AS21"/>
    <mergeCell ref="AT21:AV21"/>
    <mergeCell ref="AW21:AY21"/>
    <mergeCell ref="AZ21:BB21"/>
    <mergeCell ref="BC21:BK21"/>
    <mergeCell ref="A22:B22"/>
    <mergeCell ref="C22:E22"/>
    <mergeCell ref="F22:H22"/>
    <mergeCell ref="I22:AA22"/>
    <mergeCell ref="AB22:AD22"/>
    <mergeCell ref="AE22:AG22"/>
    <mergeCell ref="AH22:AJ22"/>
    <mergeCell ref="AK22:AM22"/>
    <mergeCell ref="AN22:AP22"/>
    <mergeCell ref="AQ22:AS22"/>
    <mergeCell ref="AT22:AV22"/>
    <mergeCell ref="AW22:AY22"/>
    <mergeCell ref="AZ22:BB22"/>
    <mergeCell ref="BC22:BK22"/>
    <mergeCell ref="A23:B23"/>
    <mergeCell ref="C23:E23"/>
    <mergeCell ref="F23:H23"/>
    <mergeCell ref="I23:AA23"/>
    <mergeCell ref="AB23:AD23"/>
    <mergeCell ref="AE23:AG23"/>
    <mergeCell ref="AH23:AJ23"/>
    <mergeCell ref="AK23:AM23"/>
    <mergeCell ref="AN23:AP23"/>
    <mergeCell ref="AQ23:AS23"/>
    <mergeCell ref="AT23:AV23"/>
    <mergeCell ref="AW23:AY23"/>
    <mergeCell ref="AZ23:BB23"/>
    <mergeCell ref="BC23:BK23"/>
    <mergeCell ref="A24:AS24"/>
    <mergeCell ref="AT24:AV24"/>
    <mergeCell ref="AW24:AY24"/>
    <mergeCell ref="AZ24:BB24"/>
    <mergeCell ref="BC24:BE24"/>
    <mergeCell ref="BF24:BH24"/>
    <mergeCell ref="BI24:BK24"/>
    <mergeCell ref="A25:B25"/>
    <mergeCell ref="C25:E25"/>
    <mergeCell ref="F25:H25"/>
    <mergeCell ref="I25:AA25"/>
    <mergeCell ref="AB25:AD25"/>
    <mergeCell ref="AE25:AG25"/>
    <mergeCell ref="AH25:AJ25"/>
    <mergeCell ref="AK25:AM25"/>
    <mergeCell ref="AN25:AP25"/>
    <mergeCell ref="AQ25:AS25"/>
    <mergeCell ref="AT25:AV25"/>
    <mergeCell ref="AW25:AY25"/>
    <mergeCell ref="AZ25:BB25"/>
    <mergeCell ref="BC25:BE25"/>
    <mergeCell ref="BF25:BH25"/>
    <mergeCell ref="BI25:BK25"/>
    <mergeCell ref="A26:B26"/>
    <mergeCell ref="C26:E26"/>
    <mergeCell ref="F26:H26"/>
    <mergeCell ref="I26:AA26"/>
    <mergeCell ref="AB26:AD26"/>
    <mergeCell ref="AE26:AG26"/>
    <mergeCell ref="AH26:AJ26"/>
    <mergeCell ref="AK26:AM26"/>
    <mergeCell ref="AN26:AP26"/>
    <mergeCell ref="AQ26:AS26"/>
    <mergeCell ref="AT26:AV26"/>
    <mergeCell ref="AW26:AY26"/>
    <mergeCell ref="AZ26:BB26"/>
    <mergeCell ref="BC26:BK26"/>
    <mergeCell ref="A27:B27"/>
    <mergeCell ref="C27:E27"/>
    <mergeCell ref="F27:H27"/>
    <mergeCell ref="I27:AA27"/>
    <mergeCell ref="AB27:AD27"/>
    <mergeCell ref="AE27:AG27"/>
    <mergeCell ref="AH27:AJ27"/>
    <mergeCell ref="AK27:AM27"/>
    <mergeCell ref="AN27:AP27"/>
    <mergeCell ref="AQ27:AS27"/>
    <mergeCell ref="AT27:AV27"/>
    <mergeCell ref="AW27:AY27"/>
    <mergeCell ref="AZ27:BB27"/>
    <mergeCell ref="BC27:BK27"/>
    <mergeCell ref="A28:B28"/>
    <mergeCell ref="C28:E28"/>
    <mergeCell ref="F28:H28"/>
    <mergeCell ref="I28:AA28"/>
    <mergeCell ref="AB28:AD28"/>
    <mergeCell ref="AE28:AG28"/>
    <mergeCell ref="AH28:AJ28"/>
    <mergeCell ref="AK28:AM28"/>
    <mergeCell ref="AN28:AP28"/>
    <mergeCell ref="AQ28:AS28"/>
    <mergeCell ref="AT28:AV28"/>
    <mergeCell ref="AW28:AY28"/>
    <mergeCell ref="AZ28:BB28"/>
    <mergeCell ref="BC28:BK28"/>
    <mergeCell ref="A29:B29"/>
    <mergeCell ref="C29:E29"/>
    <mergeCell ref="F29:H29"/>
    <mergeCell ref="I29:AA29"/>
    <mergeCell ref="AB29:AD29"/>
    <mergeCell ref="AE29:AG29"/>
    <mergeCell ref="AH29:AJ29"/>
    <mergeCell ref="AK29:AM29"/>
    <mergeCell ref="AN29:AP29"/>
    <mergeCell ref="AQ29:AS29"/>
    <mergeCell ref="AT29:AV29"/>
    <mergeCell ref="AW29:AY29"/>
    <mergeCell ref="AZ29:BB29"/>
    <mergeCell ref="BC29:BK29"/>
    <mergeCell ref="A30:B30"/>
    <mergeCell ref="C30:E30"/>
    <mergeCell ref="F30:H30"/>
    <mergeCell ref="I30:AA30"/>
    <mergeCell ref="AB30:AD30"/>
    <mergeCell ref="AE30:AG30"/>
    <mergeCell ref="AH30:AJ30"/>
    <mergeCell ref="AK30:AM30"/>
    <mergeCell ref="AN30:AP30"/>
    <mergeCell ref="AQ30:AS30"/>
    <mergeCell ref="AT30:AV30"/>
    <mergeCell ref="AW30:AY30"/>
    <mergeCell ref="AZ30:BB30"/>
    <mergeCell ref="BC30:BK30"/>
    <mergeCell ref="A31:B31"/>
    <mergeCell ref="C31:E31"/>
    <mergeCell ref="F31:H31"/>
    <mergeCell ref="I31:AA31"/>
    <mergeCell ref="AB31:AD31"/>
    <mergeCell ref="AE31:AG31"/>
    <mergeCell ref="AH31:AJ31"/>
    <mergeCell ref="AK31:AM31"/>
    <mergeCell ref="AN31:AP31"/>
    <mergeCell ref="AQ31:AS31"/>
    <mergeCell ref="AT31:AV31"/>
    <mergeCell ref="AW31:AY31"/>
    <mergeCell ref="AZ31:BB31"/>
    <mergeCell ref="BC31:BK31"/>
    <mergeCell ref="A32:B32"/>
    <mergeCell ref="C32:E32"/>
    <mergeCell ref="F32:H32"/>
    <mergeCell ref="I32:AA32"/>
    <mergeCell ref="AB32:AD32"/>
    <mergeCell ref="AE32:AG32"/>
    <mergeCell ref="AH32:AJ32"/>
    <mergeCell ref="AK32:AM32"/>
    <mergeCell ref="AN32:AP32"/>
    <mergeCell ref="AQ32:AS32"/>
    <mergeCell ref="AT32:AV32"/>
    <mergeCell ref="AW32:AY32"/>
    <mergeCell ref="AZ32:BB32"/>
    <mergeCell ref="BC32:BK32"/>
    <mergeCell ref="A33:B33"/>
    <mergeCell ref="C33:E33"/>
    <mergeCell ref="F33:H33"/>
    <mergeCell ref="I33:AA33"/>
    <mergeCell ref="AB33:AD33"/>
    <mergeCell ref="AE33:AG33"/>
    <mergeCell ref="AH33:AJ33"/>
    <mergeCell ref="AK33:AM33"/>
    <mergeCell ref="AN33:AP33"/>
    <mergeCell ref="AQ33:AS33"/>
    <mergeCell ref="AT33:AV33"/>
    <mergeCell ref="AW33:AY33"/>
    <mergeCell ref="AZ33:BB33"/>
    <mergeCell ref="BC33:BK33"/>
    <mergeCell ref="A34:AS34"/>
    <mergeCell ref="AT34:AV34"/>
    <mergeCell ref="AW34:AY34"/>
    <mergeCell ref="AZ34:BB34"/>
    <mergeCell ref="BC34:BE34"/>
    <mergeCell ref="BF34:BH34"/>
    <mergeCell ref="BI34:BK34"/>
    <mergeCell ref="AB15:AD17"/>
    <mergeCell ref="AE15:AG17"/>
    <mergeCell ref="AH15:AJ17"/>
    <mergeCell ref="A15:B17"/>
    <mergeCell ref="C15:E17"/>
    <mergeCell ref="F15:H17"/>
    <mergeCell ref="I15:AA17"/>
    <mergeCell ref="BC15:BK17"/>
  </mergeCells>
  <printOptions horizontalCentered="1"/>
  <pageMargins left="0.590551181102362" right="0.590551181102362" top="0.196850393700787" bottom="0.393700787401575" header="0" footer="0.196850393700787"/>
  <pageSetup paperSize="9" fitToHeight="4" orientation="landscape"/>
  <headerFooter>
    <oddFooter>&amp;L&amp;G&amp;R&amp;8Projeto Executivo de Engenharia, Estudos e
Orçamentos para a Construção de Ponte Rodoviária
em Concreto Armado - Rodovia Vicinal</oddFooter>
  </headerFooter>
  <rowBreaks count="1" manualBreakCount="1">
    <brk id="24" max="62" man="1"/>
  </rowBreaks>
  <drawing r:id="rId1"/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A1:AU125"/>
  <sheetViews>
    <sheetView showGridLines="0" view="pageBreakPreview" zoomScale="150" zoomScaleNormal="160" workbookViewId="0">
      <selection activeCell="A1" sqref="A1"/>
    </sheetView>
  </sheetViews>
  <sheetFormatPr defaultColWidth="9.1047619047619" defaultRowHeight="17.4" customHeight="1"/>
  <cols>
    <col min="1" max="40" width="2.1047619047619" style="29" customWidth="1"/>
    <col min="41" max="44" width="2.1047619047619" style="671" customWidth="1"/>
    <col min="45" max="46" width="2.1047619047619" style="29" customWidth="1"/>
    <col min="47" max="47" width="12.3333333333333" style="29" customWidth="1"/>
    <col min="48" max="76" width="2.1047619047619" style="29" customWidth="1"/>
    <col min="77" max="77" width="9.1047619047619" style="29" customWidth="1"/>
    <col min="78" max="16384" width="9.1047619047619" style="29"/>
  </cols>
  <sheetData>
    <row r="1" ht="12.6" customHeight="1"/>
    <row r="2" ht="12.6" customHeight="1"/>
    <row r="3" ht="12.6" customHeight="1"/>
    <row r="4" ht="15" spans="1:44">
      <c r="A4" s="40" t="s">
        <v>17</v>
      </c>
      <c r="B4" s="41"/>
      <c r="C4" s="41"/>
      <c r="D4" s="41"/>
      <c r="E4" s="41"/>
      <c r="F4" s="41"/>
      <c r="G4" s="41"/>
      <c r="H4" s="41"/>
      <c r="I4" s="672" t="str">
        <f>IF(Dados!I4="","",Dados!I4)</f>
        <v>CONSTRUÇÃO DE PONTE RODOVIÁRIA EM CONCRETO ARMADO</v>
      </c>
      <c r="J4" s="672"/>
      <c r="K4" s="672"/>
      <c r="L4" s="672"/>
      <c r="M4" s="672"/>
      <c r="N4" s="672"/>
      <c r="O4" s="672"/>
      <c r="P4" s="672"/>
      <c r="Q4" s="672"/>
      <c r="R4" s="672"/>
      <c r="S4" s="672"/>
      <c r="T4" s="672"/>
      <c r="U4" s="672"/>
      <c r="V4" s="672"/>
      <c r="W4" s="672"/>
      <c r="X4" s="672"/>
      <c r="Y4" s="672"/>
      <c r="Z4" s="672"/>
      <c r="AA4" s="672"/>
      <c r="AB4" s="672"/>
      <c r="AC4" s="672"/>
      <c r="AD4" s="672"/>
      <c r="AE4" s="672"/>
      <c r="AF4" s="672"/>
      <c r="AG4" s="672"/>
      <c r="AH4" s="672"/>
      <c r="AI4" s="672"/>
      <c r="AJ4" s="672"/>
      <c r="AK4" s="672"/>
      <c r="AL4" s="672"/>
      <c r="AM4" s="672"/>
      <c r="AN4" s="672"/>
      <c r="AO4" s="672"/>
      <c r="AP4" s="672"/>
      <c r="AQ4" s="672"/>
      <c r="AR4" s="673"/>
    </row>
    <row r="5" ht="12.75" customHeight="1" spans="1:44">
      <c r="A5" s="44" t="str">
        <f>Dados!A5</f>
        <v>MUNICÍPIO:</v>
      </c>
      <c r="B5" s="45"/>
      <c r="C5" s="45"/>
      <c r="D5" s="45"/>
      <c r="E5" s="45"/>
      <c r="F5" s="45"/>
      <c r="G5" s="45"/>
      <c r="H5" s="45"/>
      <c r="I5" s="46" t="str">
        <f>IF(Dados!I5="","",Dados!I5)</f>
        <v>DEODÁPOLIS/MS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7"/>
    </row>
    <row r="6" ht="12.75" customHeight="1" spans="1:44">
      <c r="A6" s="44" t="str">
        <f>Dados!A6</f>
        <v>RODOVIA/ESTRADA:</v>
      </c>
      <c r="B6" s="45"/>
      <c r="C6" s="45"/>
      <c r="D6" s="45"/>
      <c r="E6" s="45"/>
      <c r="F6" s="45"/>
      <c r="G6" s="45"/>
      <c r="H6" s="45"/>
      <c r="I6" s="46" t="str">
        <f>IF(Dados!I6="","",Dados!I6)</f>
        <v>ESTRADA VICINAL 14ª LINHA (LADO NASCENTE)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7"/>
    </row>
    <row r="7" ht="15" spans="1:44">
      <c r="A7" s="44" t="str">
        <f>Dados!A7</f>
        <v>LOCAL:</v>
      </c>
      <c r="B7" s="45"/>
      <c r="C7" s="45"/>
      <c r="D7" s="45"/>
      <c r="E7" s="45"/>
      <c r="F7" s="45"/>
      <c r="G7" s="45"/>
      <c r="H7" s="45"/>
      <c r="I7" s="674" t="str">
        <f>IF(Dados!I7="","",Dados!I7)</f>
        <v>PONTE SOBRE O CÓRREGO IRETAN</v>
      </c>
      <c r="J7" s="674"/>
      <c r="K7" s="674"/>
      <c r="L7" s="674"/>
      <c r="M7" s="674"/>
      <c r="N7" s="674"/>
      <c r="O7" s="674"/>
      <c r="P7" s="674"/>
      <c r="Q7" s="674"/>
      <c r="R7" s="674"/>
      <c r="S7" s="674"/>
      <c r="T7" s="674"/>
      <c r="U7" s="674"/>
      <c r="V7" s="674"/>
      <c r="W7" s="674"/>
      <c r="X7" s="674"/>
      <c r="Y7" s="674"/>
      <c r="Z7" s="674"/>
      <c r="AA7" s="674"/>
      <c r="AB7" s="674"/>
      <c r="AC7" s="674"/>
      <c r="AD7" s="674"/>
      <c r="AE7" s="674"/>
      <c r="AF7" s="674"/>
      <c r="AG7" s="674"/>
      <c r="AH7" s="674"/>
      <c r="AI7" s="674"/>
      <c r="AJ7" s="674"/>
      <c r="AK7" s="674"/>
      <c r="AL7" s="674"/>
      <c r="AM7" s="674"/>
      <c r="AN7" s="674"/>
      <c r="AO7" s="674"/>
      <c r="AP7" s="674"/>
      <c r="AQ7" s="674"/>
      <c r="AR7" s="675"/>
    </row>
    <row r="8" ht="12.75" customHeight="1" spans="1:44">
      <c r="A8" s="44" t="str">
        <f>Dados!A8</f>
        <v>COORDENADAS:</v>
      </c>
      <c r="B8" s="45"/>
      <c r="C8" s="45"/>
      <c r="D8" s="45"/>
      <c r="E8" s="45"/>
      <c r="F8" s="45"/>
      <c r="G8" s="45"/>
      <c r="H8" s="45"/>
      <c r="I8" s="46" t="str">
        <f>IF(Dados!I8="","",Dados!I8)</f>
        <v>22°14'28.18"S, 54º04'37.28"O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5" t="str">
        <f>Dados!AI8</f>
        <v>ÁREA:</v>
      </c>
      <c r="AJ8" s="45"/>
      <c r="AK8" s="45"/>
      <c r="AL8" s="45"/>
      <c r="AM8" s="45"/>
      <c r="AN8" s="45"/>
      <c r="AO8" s="51">
        <f>IF(Dados!AO8="","",Dados!AO8)</f>
        <v>90</v>
      </c>
      <c r="AP8" s="51"/>
      <c r="AQ8" s="676" t="s">
        <v>7</v>
      </c>
      <c r="AR8" s="677"/>
    </row>
    <row r="9" ht="12.75" customHeight="1" spans="1:44">
      <c r="A9" s="44" t="str">
        <f>Dados!A9</f>
        <v>COMPRIMENTO:</v>
      </c>
      <c r="B9" s="45"/>
      <c r="C9" s="45"/>
      <c r="D9" s="45"/>
      <c r="E9" s="45"/>
      <c r="F9" s="45"/>
      <c r="G9" s="45"/>
      <c r="H9" s="45"/>
      <c r="I9" s="54">
        <f>IF(Dados!I9="","",Dados!I9)</f>
        <v>15</v>
      </c>
      <c r="J9" s="54"/>
      <c r="K9" s="52" t="s">
        <v>9</v>
      </c>
      <c r="L9" s="52"/>
      <c r="M9" s="55"/>
      <c r="N9" s="55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 s="678"/>
      <c r="AP9" s="678"/>
      <c r="AQ9" s="678"/>
      <c r="AR9" s="679"/>
    </row>
    <row r="10" ht="12.75" customHeight="1" spans="1:44">
      <c r="A10" s="44" t="str">
        <f>Dados!A10</f>
        <v>LARGURA:</v>
      </c>
      <c r="B10" s="45"/>
      <c r="C10" s="45"/>
      <c r="D10" s="45"/>
      <c r="E10" s="45"/>
      <c r="F10" s="45"/>
      <c r="G10" s="45"/>
      <c r="H10" s="45"/>
      <c r="I10" s="54">
        <f>IF(Dados!I10="","",Dados!I10)</f>
        <v>6</v>
      </c>
      <c r="J10" s="54"/>
      <c r="K10" s="52" t="s">
        <v>9</v>
      </c>
      <c r="L10" s="52"/>
      <c r="M10" s="55"/>
      <c r="N10" s="55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 s="678"/>
      <c r="AP10" s="678"/>
      <c r="AQ10" s="678"/>
      <c r="AR10" s="679"/>
    </row>
    <row r="11" ht="12.75" customHeight="1" spans="1:44">
      <c r="A11" s="44" t="s">
        <v>11</v>
      </c>
      <c r="B11" s="45"/>
      <c r="C11" s="45"/>
      <c r="D11" s="45"/>
      <c r="E11" s="45"/>
      <c r="F11" s="45"/>
      <c r="G11" s="45"/>
      <c r="H11" s="45"/>
      <c r="I11" s="45" t="str">
        <f>Dados!I11</f>
        <v>INSUMO</v>
      </c>
      <c r="J11" s="45"/>
      <c r="K11" s="45"/>
      <c r="L11" s="57">
        <f>IF(Dados!L11="","",Dados!L11)</f>
        <v>0.1527</v>
      </c>
      <c r="M11" s="57"/>
      <c r="N11" s="57"/>
      <c r="O11" s="45" t="str">
        <f>Dados!O11</f>
        <v>SERVIÇO</v>
      </c>
      <c r="P11" s="45"/>
      <c r="Q11" s="45"/>
      <c r="R11" s="57">
        <f>IF(Dados!R11="","",Dados!R11)</f>
        <v>0.2391</v>
      </c>
      <c r="S11" s="57"/>
      <c r="T11" s="57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 s="45" t="str">
        <f>Dados!AI11</f>
        <v>PRAZO DE EXECUÇÃO:</v>
      </c>
      <c r="AJ11" s="45"/>
      <c r="AK11" s="45"/>
      <c r="AL11" s="45"/>
      <c r="AM11" s="45"/>
      <c r="AN11" s="45"/>
      <c r="AO11" s="680">
        <f>IF(Dados!AO11="","",Dados!AO11)</f>
        <v>120</v>
      </c>
      <c r="AP11" s="680"/>
      <c r="AQ11" s="676" t="s">
        <v>15</v>
      </c>
      <c r="AR11" s="677"/>
    </row>
    <row r="12" ht="12.75" customHeight="1" spans="1:44">
      <c r="A12" s="59" t="s">
        <v>16</v>
      </c>
      <c r="B12" s="60"/>
      <c r="C12" s="60"/>
      <c r="D12" s="60"/>
      <c r="E12" s="60"/>
      <c r="F12" s="60"/>
      <c r="G12" s="60"/>
      <c r="H12" s="60"/>
      <c r="I12" s="61" t="str">
        <f>IF(Dados!I12="","",Dados!I12)</f>
        <v>SEM DESONERAÇÃO SICRO (JANEIRO/2026)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tr">
        <f>IF(Dados!U12="","",Dados!U12)</f>
        <v>NÃO DESONERADO SINAPI (JANEIRO/2026)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2"/>
      <c r="AJ12" s="62"/>
      <c r="AK12" s="62"/>
      <c r="AL12" s="62"/>
      <c r="AM12" s="62"/>
      <c r="AN12" s="62"/>
      <c r="AO12" s="681"/>
      <c r="AP12" s="681"/>
      <c r="AQ12" s="681"/>
      <c r="AR12" s="682"/>
    </row>
    <row r="13" ht="6" customHeight="1" spans="1:44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</row>
    <row r="14" ht="12.75" customHeight="1" spans="1:44">
      <c r="A14" s="533" t="s">
        <v>869</v>
      </c>
      <c r="B14" s="534"/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5"/>
    </row>
    <row r="15" customHeight="1" spans="1:44">
      <c r="A15" s="683" t="s">
        <v>31</v>
      </c>
      <c r="B15" s="684"/>
      <c r="C15" s="685" t="s">
        <v>633</v>
      </c>
      <c r="D15" s="686"/>
      <c r="E15" s="686"/>
      <c r="F15" s="685" t="s">
        <v>634</v>
      </c>
      <c r="G15" s="686"/>
      <c r="H15" s="686"/>
      <c r="I15" s="685" t="s">
        <v>870</v>
      </c>
      <c r="J15" s="686"/>
      <c r="K15" s="686"/>
      <c r="L15" s="686"/>
      <c r="M15" s="686"/>
      <c r="N15" s="686"/>
      <c r="O15" s="686"/>
      <c r="P15" s="686"/>
      <c r="Q15" s="686"/>
      <c r="R15" s="686"/>
      <c r="S15" s="686"/>
      <c r="T15" s="686"/>
      <c r="U15" s="686"/>
      <c r="V15" s="687"/>
      <c r="W15" s="685" t="s">
        <v>666</v>
      </c>
      <c r="X15" s="687"/>
      <c r="Y15" s="685" t="s">
        <v>824</v>
      </c>
      <c r="Z15" s="687"/>
      <c r="AA15" s="688" t="s">
        <v>871</v>
      </c>
      <c r="AB15" s="689"/>
      <c r="AC15" s="690"/>
      <c r="AD15" s="688" t="s">
        <v>872</v>
      </c>
      <c r="AE15" s="689"/>
      <c r="AF15" s="690"/>
      <c r="AG15" s="689" t="s">
        <v>873</v>
      </c>
      <c r="AH15" s="689"/>
      <c r="AI15" s="689"/>
      <c r="AJ15" s="690"/>
      <c r="AK15" s="689" t="s">
        <v>874</v>
      </c>
      <c r="AL15" s="689"/>
      <c r="AM15" s="689"/>
      <c r="AN15" s="690"/>
      <c r="AO15" s="691" t="s">
        <v>875</v>
      </c>
      <c r="AP15" s="691"/>
      <c r="AQ15" s="691"/>
      <c r="AR15" s="692"/>
    </row>
    <row r="16" customHeight="1" spans="1:44">
      <c r="A16" s="693" t="s">
        <v>876</v>
      </c>
      <c r="B16" s="694"/>
      <c r="C16" s="66"/>
      <c r="D16" s="67"/>
      <c r="E16" s="67"/>
      <c r="F16" s="67"/>
      <c r="G16" s="67"/>
      <c r="H16" s="67"/>
      <c r="I16" s="694" t="s">
        <v>144</v>
      </c>
      <c r="J16" s="694"/>
      <c r="K16" s="694"/>
      <c r="L16" s="694"/>
      <c r="M16" s="694"/>
      <c r="N16" s="694"/>
      <c r="O16" s="694"/>
      <c r="P16" s="694"/>
      <c r="Q16" s="694"/>
      <c r="R16" s="694"/>
      <c r="S16" s="694"/>
      <c r="T16" s="694"/>
      <c r="U16" s="694"/>
      <c r="V16" s="694"/>
      <c r="W16" s="204"/>
      <c r="X16" s="204"/>
      <c r="Y16" s="204"/>
      <c r="Z16" s="204"/>
      <c r="AA16" s="695"/>
      <c r="AB16" s="695"/>
      <c r="AC16" s="695"/>
      <c r="AD16" s="695"/>
      <c r="AE16" s="695"/>
      <c r="AF16" s="695"/>
      <c r="AG16" s="695"/>
      <c r="AH16" s="695"/>
      <c r="AI16" s="695"/>
      <c r="AJ16" s="695"/>
      <c r="AK16" s="695"/>
      <c r="AL16" s="695"/>
      <c r="AM16" s="695"/>
      <c r="AN16" s="695"/>
      <c r="AO16" s="513"/>
      <c r="AP16" s="513"/>
      <c r="AQ16" s="513"/>
      <c r="AR16" s="514"/>
    </row>
    <row r="17" customHeight="1" spans="1:47">
      <c r="A17" s="693" t="str">
        <f>CONCATENATE(A16,"1.")</f>
        <v>1.1.</v>
      </c>
      <c r="B17" s="694"/>
      <c r="C17" s="500"/>
      <c r="D17" s="501"/>
      <c r="E17" s="501"/>
      <c r="F17" s="501"/>
      <c r="G17" s="501"/>
      <c r="H17" s="501"/>
      <c r="I17" s="696" t="s">
        <v>877</v>
      </c>
      <c r="J17" s="696"/>
      <c r="K17" s="696"/>
      <c r="L17" s="696"/>
      <c r="M17" s="696"/>
      <c r="N17" s="696"/>
      <c r="O17" s="696"/>
      <c r="P17" s="696"/>
      <c r="Q17" s="696"/>
      <c r="R17" s="696"/>
      <c r="S17" s="696"/>
      <c r="T17" s="696"/>
      <c r="U17" s="696"/>
      <c r="V17" s="696"/>
      <c r="W17" s="591"/>
      <c r="X17" s="591"/>
      <c r="Y17" s="591"/>
      <c r="Z17" s="591"/>
      <c r="AA17" s="697"/>
      <c r="AB17" s="697"/>
      <c r="AC17" s="697"/>
      <c r="AD17" s="697"/>
      <c r="AE17" s="697"/>
      <c r="AF17" s="697"/>
      <c r="AG17" s="697"/>
      <c r="AH17" s="697"/>
      <c r="AI17" s="697"/>
      <c r="AJ17" s="697"/>
      <c r="AK17" s="697"/>
      <c r="AL17" s="697"/>
      <c r="AM17" s="697"/>
      <c r="AN17" s="697"/>
      <c r="AO17" s="698"/>
      <c r="AP17" s="698"/>
      <c r="AQ17" s="698"/>
      <c r="AR17" s="699"/>
    </row>
    <row r="18" customHeight="1" spans="1:47">
      <c r="A18" s="693" t="str">
        <f>CONCATENATE(A17,"1.")</f>
        <v>1.1.1.</v>
      </c>
      <c r="B18" s="694"/>
      <c r="C18" s="500"/>
      <c r="D18" s="501"/>
      <c r="E18" s="501"/>
      <c r="F18" s="501"/>
      <c r="G18" s="501"/>
      <c r="H18" s="501"/>
      <c r="I18" s="696" t="s">
        <v>878</v>
      </c>
      <c r="J18" s="696"/>
      <c r="K18" s="696"/>
      <c r="L18" s="696"/>
      <c r="M18" s="696"/>
      <c r="N18" s="696"/>
      <c r="O18" s="696"/>
      <c r="P18" s="696"/>
      <c r="Q18" s="696"/>
      <c r="R18" s="696"/>
      <c r="S18" s="696"/>
      <c r="T18" s="696"/>
      <c r="U18" s="696"/>
      <c r="V18" s="696"/>
      <c r="W18" s="591"/>
      <c r="X18" s="591"/>
      <c r="Y18" s="591"/>
      <c r="Z18" s="591"/>
      <c r="AA18" s="697"/>
      <c r="AB18" s="697"/>
      <c r="AC18" s="697"/>
      <c r="AD18" s="697"/>
      <c r="AE18" s="697"/>
      <c r="AF18" s="697"/>
      <c r="AG18" s="697"/>
      <c r="AH18" s="697"/>
      <c r="AI18" s="697"/>
      <c r="AJ18" s="697"/>
      <c r="AK18" s="697"/>
      <c r="AL18" s="697"/>
      <c r="AM18" s="697"/>
      <c r="AN18" s="697"/>
      <c r="AO18" s="698"/>
      <c r="AP18" s="698"/>
      <c r="AQ18" s="698"/>
      <c r="AR18" s="699"/>
    </row>
    <row r="19" customHeight="1" spans="1:47">
      <c r="A19" s="700" t="str">
        <f>CONCATENATE(A18,"1.")</f>
        <v>1.1.1.1.</v>
      </c>
      <c r="B19" s="701"/>
      <c r="C19" s="590" t="s">
        <v>97</v>
      </c>
      <c r="D19" s="591"/>
      <c r="E19" s="591"/>
      <c r="F19" s="588" t="s">
        <v>689</v>
      </c>
      <c r="G19" s="702"/>
      <c r="H19" s="702"/>
      <c r="I19" s="703" t="str">
        <f>+VLOOKUP(F19,'Mão de Obra'!A:J,2,"falso")</f>
        <v>Engenheiro - mensalista</v>
      </c>
      <c r="J19" s="704"/>
      <c r="K19" s="704"/>
      <c r="L19" s="704"/>
      <c r="M19" s="704"/>
      <c r="N19" s="704"/>
      <c r="O19" s="704"/>
      <c r="P19" s="704"/>
      <c r="Q19" s="704"/>
      <c r="R19" s="704"/>
      <c r="S19" s="704"/>
      <c r="T19" s="704"/>
      <c r="U19" s="704"/>
      <c r="V19" s="705"/>
      <c r="W19" s="590" t="s">
        <v>879</v>
      </c>
      <c r="X19" s="592"/>
      <c r="Y19" s="706">
        <v>1</v>
      </c>
      <c r="Z19" s="707"/>
      <c r="AA19" s="708">
        <v>0.125</v>
      </c>
      <c r="AB19" s="709"/>
      <c r="AC19" s="710"/>
      <c r="AD19" s="599" t="str">
        <f>+VLOOKUP(F19,'Mão de Obra'!A:J,3,"falso")</f>
        <v>mês</v>
      </c>
      <c r="AE19" s="697"/>
      <c r="AF19" s="600"/>
      <c r="AG19" s="605">
        <f>Y19*AA19</f>
        <v>0.125</v>
      </c>
      <c r="AH19" s="605"/>
      <c r="AI19" s="605"/>
      <c r="AJ19" s="606"/>
      <c r="AK19" s="711">
        <f>+VLOOKUP(F19,'Mão de Obra'!A:J,9,"falso")</f>
        <v>27716.9937</v>
      </c>
      <c r="AL19" s="711"/>
      <c r="AM19" s="711"/>
      <c r="AN19" s="712"/>
      <c r="AO19" s="698">
        <f>ROUND((AG19*AK19),2)</f>
        <v>3464.62</v>
      </c>
      <c r="AP19" s="698"/>
      <c r="AQ19" s="698"/>
      <c r="AR19" s="699"/>
      <c r="AU19" s="671"/>
    </row>
    <row r="20" customHeight="1" spans="1:47">
      <c r="A20" s="713"/>
      <c r="B20" s="714"/>
      <c r="C20" s="714"/>
      <c r="D20" s="714"/>
      <c r="E20" s="714"/>
      <c r="F20" s="714"/>
      <c r="G20" s="714"/>
      <c r="H20" s="714"/>
      <c r="I20" s="714"/>
      <c r="J20" s="714"/>
      <c r="K20" s="714"/>
      <c r="L20" s="714"/>
      <c r="M20" s="714"/>
      <c r="N20" s="714"/>
      <c r="O20" s="714"/>
      <c r="P20" s="714"/>
      <c r="Q20" s="714"/>
      <c r="R20" s="714"/>
      <c r="S20" s="714"/>
      <c r="T20" s="714"/>
      <c r="U20" s="714"/>
      <c r="V20" s="714"/>
      <c r="W20" s="714"/>
      <c r="X20" s="714"/>
      <c r="Y20" s="714"/>
      <c r="Z20" s="714"/>
      <c r="AA20" s="715"/>
      <c r="AB20" s="715"/>
      <c r="AC20" s="715"/>
      <c r="AD20" s="715"/>
      <c r="AE20" s="715"/>
      <c r="AF20" s="715"/>
      <c r="AG20" s="715"/>
      <c r="AH20" s="715"/>
      <c r="AI20" s="715"/>
      <c r="AJ20" s="715"/>
      <c r="AK20" s="716"/>
      <c r="AL20" s="716"/>
      <c r="AM20" s="716"/>
      <c r="AN20" s="717" t="str">
        <f>CONCATENATE("SUBTOTAL DO ITEM ",A18)</f>
        <v>SUBTOTAL DO ITEM 1.1.1.</v>
      </c>
      <c r="AO20" s="718">
        <f>SUM(AO19:AR19)</f>
        <v>3464.62</v>
      </c>
      <c r="AP20" s="718"/>
      <c r="AQ20" s="718"/>
      <c r="AR20" s="719"/>
    </row>
    <row r="21" customHeight="1" spans="1:47">
      <c r="A21" s="693" t="str">
        <f>CONCATENATE(A17,"2.")</f>
        <v>1.1.2.</v>
      </c>
      <c r="B21" s="694"/>
      <c r="C21" s="500"/>
      <c r="D21" s="501"/>
      <c r="E21" s="501"/>
      <c r="F21" s="501"/>
      <c r="G21" s="501"/>
      <c r="H21" s="501"/>
      <c r="I21" s="696" t="s">
        <v>880</v>
      </c>
      <c r="J21" s="696"/>
      <c r="K21" s="696"/>
      <c r="L21" s="696"/>
      <c r="M21" s="696"/>
      <c r="N21" s="696"/>
      <c r="O21" s="696"/>
      <c r="P21" s="696"/>
      <c r="Q21" s="696"/>
      <c r="R21" s="696"/>
      <c r="S21" s="696"/>
      <c r="T21" s="696"/>
      <c r="U21" s="696"/>
      <c r="V21" s="696"/>
      <c r="W21" s="591"/>
      <c r="X21" s="591"/>
      <c r="Y21" s="591"/>
      <c r="Z21" s="591"/>
      <c r="AA21" s="697"/>
      <c r="AB21" s="697"/>
      <c r="AC21" s="697"/>
      <c r="AD21" s="697"/>
      <c r="AE21" s="697"/>
      <c r="AF21" s="697"/>
      <c r="AG21" s="697"/>
      <c r="AH21" s="697"/>
      <c r="AI21" s="697"/>
      <c r="AJ21" s="697"/>
      <c r="AK21" s="697"/>
      <c r="AL21" s="697"/>
      <c r="AM21" s="697"/>
      <c r="AN21" s="697"/>
      <c r="AO21" s="698"/>
      <c r="AP21" s="698"/>
      <c r="AQ21" s="698"/>
      <c r="AR21" s="699"/>
    </row>
    <row r="22" customHeight="1" spans="1:47">
      <c r="A22" s="720" t="s">
        <v>31</v>
      </c>
      <c r="B22" s="720"/>
      <c r="C22" s="720" t="s">
        <v>633</v>
      </c>
      <c r="D22" s="720"/>
      <c r="E22" s="720"/>
      <c r="F22" s="720" t="s">
        <v>634</v>
      </c>
      <c r="G22" s="720"/>
      <c r="H22" s="720"/>
      <c r="I22" s="720" t="s">
        <v>870</v>
      </c>
      <c r="J22" s="720"/>
      <c r="K22" s="720"/>
      <c r="L22" s="720"/>
      <c r="M22" s="720"/>
      <c r="N22" s="720"/>
      <c r="O22" s="720"/>
      <c r="P22" s="720"/>
      <c r="Q22" s="720"/>
      <c r="R22" s="720"/>
      <c r="S22" s="720"/>
      <c r="T22" s="720"/>
      <c r="U22" s="720"/>
      <c r="V22" s="720"/>
      <c r="W22" s="720" t="s">
        <v>666</v>
      </c>
      <c r="X22" s="720"/>
      <c r="Y22" s="720" t="s">
        <v>824</v>
      </c>
      <c r="Z22" s="720"/>
      <c r="AA22" s="721" t="s">
        <v>808</v>
      </c>
      <c r="AB22" s="721"/>
      <c r="AC22" s="721"/>
      <c r="AD22" s="721"/>
      <c r="AE22" s="721"/>
      <c r="AF22" s="721"/>
      <c r="AG22" s="721" t="s">
        <v>881</v>
      </c>
      <c r="AH22" s="721"/>
      <c r="AI22" s="721"/>
      <c r="AJ22" s="721"/>
      <c r="AK22" s="721"/>
      <c r="AL22" s="721"/>
      <c r="AM22" s="721"/>
      <c r="AN22" s="721"/>
      <c r="AO22" s="722" t="s">
        <v>875</v>
      </c>
      <c r="AP22" s="722"/>
      <c r="AQ22" s="722"/>
      <c r="AR22" s="722"/>
    </row>
    <row r="23" ht="17.25" customHeight="1" spans="1:47">
      <c r="A23" s="720"/>
      <c r="B23" s="720"/>
      <c r="C23" s="720"/>
      <c r="D23" s="720"/>
      <c r="E23" s="720"/>
      <c r="F23" s="720"/>
      <c r="G23" s="720"/>
      <c r="H23" s="720"/>
      <c r="I23" s="720"/>
      <c r="J23" s="720"/>
      <c r="K23" s="720"/>
      <c r="L23" s="720"/>
      <c r="M23" s="720"/>
      <c r="N23" s="720"/>
      <c r="O23" s="720"/>
      <c r="P23" s="720"/>
      <c r="Q23" s="720"/>
      <c r="R23" s="720"/>
      <c r="S23" s="720"/>
      <c r="T23" s="720"/>
      <c r="U23" s="720"/>
      <c r="V23" s="720"/>
      <c r="W23" s="720"/>
      <c r="X23" s="720"/>
      <c r="Y23" s="720"/>
      <c r="Z23" s="720"/>
      <c r="AA23" s="723" t="s">
        <v>882</v>
      </c>
      <c r="AB23" s="723"/>
      <c r="AC23" s="723"/>
      <c r="AD23" s="723" t="s">
        <v>883</v>
      </c>
      <c r="AE23" s="723"/>
      <c r="AF23" s="723"/>
      <c r="AG23" s="723" t="s">
        <v>884</v>
      </c>
      <c r="AH23" s="723"/>
      <c r="AI23" s="723"/>
      <c r="AJ23" s="723"/>
      <c r="AK23" s="723" t="s">
        <v>885</v>
      </c>
      <c r="AL23" s="723"/>
      <c r="AM23" s="723"/>
      <c r="AN23" s="723"/>
      <c r="AO23" s="722"/>
      <c r="AP23" s="722"/>
      <c r="AQ23" s="722"/>
      <c r="AR23" s="722"/>
    </row>
    <row r="24" customHeight="1" spans="1:47">
      <c r="A24" s="703" t="str">
        <f>CONCATENATE(A21,"1.")</f>
        <v>1.1.2.1.</v>
      </c>
      <c r="B24" s="704"/>
      <c r="C24" s="590" t="s">
        <v>97</v>
      </c>
      <c r="D24" s="591"/>
      <c r="E24" s="591"/>
      <c r="F24" s="588" t="s">
        <v>682</v>
      </c>
      <c r="G24" s="702"/>
      <c r="H24" s="702"/>
      <c r="I24" s="703" t="str">
        <f>+VLOOKUP(F24,Equipamentos!A:K,2,"falso")</f>
        <v>Veículo leve - 53 kW (sem motorista)</v>
      </c>
      <c r="J24" s="704"/>
      <c r="K24" s="704"/>
      <c r="L24" s="704"/>
      <c r="M24" s="704"/>
      <c r="N24" s="704"/>
      <c r="O24" s="704"/>
      <c r="P24" s="704"/>
      <c r="Q24" s="704"/>
      <c r="R24" s="704"/>
      <c r="S24" s="704"/>
      <c r="T24" s="704"/>
      <c r="U24" s="704"/>
      <c r="V24" s="705"/>
      <c r="W24" s="590" t="s">
        <v>879</v>
      </c>
      <c r="X24" s="592"/>
      <c r="Y24" s="706">
        <v>1</v>
      </c>
      <c r="Z24" s="707"/>
      <c r="AA24" s="724">
        <v>44</v>
      </c>
      <c r="AB24" s="725"/>
      <c r="AC24" s="726"/>
      <c r="AD24" s="727">
        <f>182.49-AA24</f>
        <v>138.49</v>
      </c>
      <c r="AE24" s="728"/>
      <c r="AF24" s="729"/>
      <c r="AG24" s="730">
        <f>+VLOOKUP($F24,Equipamentos!A:K,10,"falso")</f>
        <v>36.9971</v>
      </c>
      <c r="AH24" s="730"/>
      <c r="AI24" s="730"/>
      <c r="AJ24" s="731"/>
      <c r="AK24" s="730">
        <f>+VLOOKUP($F24,Equipamentos!A:K,11,"falso")</f>
        <v>6.9859</v>
      </c>
      <c r="AL24" s="730"/>
      <c r="AM24" s="730"/>
      <c r="AN24" s="731"/>
      <c r="AO24" s="698">
        <f>ROUND((Y24*((AA24*AG24)+(AD24*AK24))),2)</f>
        <v>2595.35</v>
      </c>
      <c r="AP24" s="698"/>
      <c r="AQ24" s="698"/>
      <c r="AR24" s="699"/>
      <c r="AU24" s="671"/>
    </row>
    <row r="25" customHeight="1" spans="1:47">
      <c r="A25" s="713"/>
      <c r="B25" s="714"/>
      <c r="C25" s="714"/>
      <c r="D25" s="714"/>
      <c r="E25" s="714"/>
      <c r="F25" s="714"/>
      <c r="G25" s="714"/>
      <c r="H25" s="714"/>
      <c r="I25" s="714"/>
      <c r="J25" s="714"/>
      <c r="K25" s="714"/>
      <c r="L25" s="714"/>
      <c r="M25" s="714"/>
      <c r="N25" s="714"/>
      <c r="O25" s="714"/>
      <c r="P25" s="714"/>
      <c r="Q25" s="714"/>
      <c r="R25" s="714"/>
      <c r="S25" s="714"/>
      <c r="T25" s="714"/>
      <c r="U25" s="714"/>
      <c r="V25" s="714"/>
      <c r="W25" s="714"/>
      <c r="X25" s="714"/>
      <c r="Y25" s="714"/>
      <c r="Z25" s="714"/>
      <c r="AA25" s="715"/>
      <c r="AB25" s="715"/>
      <c r="AC25" s="715"/>
      <c r="AD25" s="715"/>
      <c r="AE25" s="715"/>
      <c r="AF25" s="715"/>
      <c r="AG25" s="715"/>
      <c r="AH25" s="715"/>
      <c r="AI25" s="715"/>
      <c r="AJ25" s="715"/>
      <c r="AK25" s="716"/>
      <c r="AL25" s="716"/>
      <c r="AM25" s="716"/>
      <c r="AN25" s="717" t="str">
        <f>CONCATENATE("SUBTOTAL DO ITEM ",A21)</f>
        <v>SUBTOTAL DO ITEM 1.1.2.</v>
      </c>
      <c r="AO25" s="718">
        <f>SUM(AO24:AR24)</f>
        <v>2595.35</v>
      </c>
      <c r="AP25" s="718"/>
      <c r="AQ25" s="718"/>
      <c r="AR25" s="719"/>
    </row>
    <row r="26" customHeight="1" spans="1:47">
      <c r="A26" s="713"/>
      <c r="B26" s="732"/>
      <c r="C26" s="732"/>
      <c r="D26" s="732"/>
      <c r="E26" s="732"/>
      <c r="F26" s="732"/>
      <c r="G26" s="732"/>
      <c r="H26" s="732"/>
      <c r="I26" s="732"/>
      <c r="J26" s="732"/>
      <c r="K26" s="732"/>
      <c r="L26" s="732"/>
      <c r="M26" s="732"/>
      <c r="N26" s="732"/>
      <c r="O26" s="732"/>
      <c r="P26" s="732"/>
      <c r="Q26" s="732"/>
      <c r="R26" s="732"/>
      <c r="S26" s="732"/>
      <c r="T26" s="732"/>
      <c r="U26" s="732"/>
      <c r="V26" s="732"/>
      <c r="W26" s="732"/>
      <c r="X26" s="732"/>
      <c r="Y26" s="732"/>
      <c r="Z26" s="732"/>
      <c r="AA26" s="733"/>
      <c r="AB26" s="733"/>
      <c r="AC26" s="733"/>
      <c r="AD26" s="733"/>
      <c r="AE26" s="733"/>
      <c r="AF26" s="733"/>
      <c r="AG26" s="733"/>
      <c r="AH26" s="733"/>
      <c r="AI26" s="733"/>
      <c r="AJ26" s="733"/>
      <c r="AK26" s="734"/>
      <c r="AL26" s="734"/>
      <c r="AM26" s="734"/>
      <c r="AN26" s="735" t="str">
        <f>CONCATENATE("SUBTOTAL DO ITEM ",A16)</f>
        <v>SUBTOTAL DO ITEM 1.</v>
      </c>
      <c r="AO26" s="736">
        <f>AO20+AO25</f>
        <v>6059.97</v>
      </c>
      <c r="AP26" s="736"/>
      <c r="AQ26" s="736"/>
      <c r="AR26" s="737"/>
    </row>
    <row r="27" customHeight="1" spans="1:47">
      <c r="A27" s="693" t="s">
        <v>886</v>
      </c>
      <c r="B27" s="694"/>
      <c r="C27" s="66"/>
      <c r="D27" s="67"/>
      <c r="E27" s="67"/>
      <c r="F27" s="67"/>
      <c r="G27" s="67"/>
      <c r="H27" s="67"/>
      <c r="I27" s="694" t="s">
        <v>148</v>
      </c>
      <c r="J27" s="694"/>
      <c r="K27" s="694"/>
      <c r="L27" s="694"/>
      <c r="M27" s="694"/>
      <c r="N27" s="694"/>
      <c r="O27" s="694"/>
      <c r="P27" s="694"/>
      <c r="Q27" s="694"/>
      <c r="R27" s="694"/>
      <c r="S27" s="694"/>
      <c r="T27" s="694"/>
      <c r="U27" s="694"/>
      <c r="V27" s="694"/>
      <c r="W27" s="204"/>
      <c r="X27" s="204"/>
      <c r="Y27" s="204"/>
      <c r="Z27" s="204"/>
      <c r="AA27" s="695"/>
      <c r="AB27" s="695"/>
      <c r="AC27" s="695"/>
      <c r="AD27" s="695"/>
      <c r="AE27" s="695"/>
      <c r="AF27" s="695"/>
      <c r="AG27" s="695"/>
      <c r="AH27" s="695"/>
      <c r="AI27" s="695"/>
      <c r="AJ27" s="695"/>
      <c r="AK27" s="695"/>
      <c r="AL27" s="695"/>
      <c r="AM27" s="695"/>
      <c r="AN27" s="695"/>
      <c r="AO27" s="513"/>
      <c r="AP27" s="513"/>
      <c r="AQ27" s="513"/>
      <c r="AR27" s="514"/>
    </row>
    <row r="28" customHeight="1" spans="1:47">
      <c r="A28" s="693" t="str">
        <f>CONCATENATE(A27,"1.")</f>
        <v>2.1.</v>
      </c>
      <c r="B28" s="694"/>
      <c r="C28" s="500"/>
      <c r="D28" s="501"/>
      <c r="E28" s="501"/>
      <c r="F28" s="501"/>
      <c r="G28" s="501"/>
      <c r="H28" s="501"/>
      <c r="I28" s="696" t="s">
        <v>877</v>
      </c>
      <c r="J28" s="696"/>
      <c r="K28" s="696"/>
      <c r="L28" s="696"/>
      <c r="M28" s="696"/>
      <c r="N28" s="696"/>
      <c r="O28" s="696"/>
      <c r="P28" s="696"/>
      <c r="Q28" s="696"/>
      <c r="R28" s="696"/>
      <c r="S28" s="696"/>
      <c r="T28" s="696"/>
      <c r="U28" s="696"/>
      <c r="V28" s="696"/>
      <c r="W28" s="591"/>
      <c r="X28" s="591"/>
      <c r="Y28" s="591"/>
      <c r="Z28" s="591"/>
      <c r="AA28" s="697"/>
      <c r="AB28" s="697"/>
      <c r="AC28" s="697"/>
      <c r="AD28" s="697"/>
      <c r="AE28" s="697"/>
      <c r="AF28" s="697"/>
      <c r="AG28" s="697"/>
      <c r="AH28" s="697"/>
      <c r="AI28" s="697"/>
      <c r="AJ28" s="697"/>
      <c r="AK28" s="697"/>
      <c r="AL28" s="697"/>
      <c r="AM28" s="697"/>
      <c r="AN28" s="697"/>
      <c r="AO28" s="698"/>
      <c r="AP28" s="698"/>
      <c r="AQ28" s="698"/>
      <c r="AR28" s="699"/>
    </row>
    <row r="29" customHeight="1" spans="1:47">
      <c r="A29" s="693" t="str">
        <f>CONCATENATE(A28,"1.")</f>
        <v>2.1.1.</v>
      </c>
      <c r="B29" s="694"/>
      <c r="C29" s="500"/>
      <c r="D29" s="501"/>
      <c r="E29" s="501"/>
      <c r="F29" s="501"/>
      <c r="G29" s="501"/>
      <c r="H29" s="501"/>
      <c r="I29" s="696" t="s">
        <v>878</v>
      </c>
      <c r="J29" s="696"/>
      <c r="K29" s="696"/>
      <c r="L29" s="696"/>
      <c r="M29" s="696"/>
      <c r="N29" s="696"/>
      <c r="O29" s="696"/>
      <c r="P29" s="696"/>
      <c r="Q29" s="696"/>
      <c r="R29" s="696"/>
      <c r="S29" s="696"/>
      <c r="T29" s="696"/>
      <c r="U29" s="696"/>
      <c r="V29" s="696"/>
      <c r="W29" s="591"/>
      <c r="X29" s="591"/>
      <c r="Y29" s="591"/>
      <c r="Z29" s="591"/>
      <c r="AA29" s="697"/>
      <c r="AB29" s="697"/>
      <c r="AC29" s="697"/>
      <c r="AD29" s="697"/>
      <c r="AE29" s="697"/>
      <c r="AF29" s="697"/>
      <c r="AG29" s="697"/>
      <c r="AH29" s="697"/>
      <c r="AI29" s="697"/>
      <c r="AJ29" s="697"/>
      <c r="AK29" s="697"/>
      <c r="AL29" s="697"/>
      <c r="AM29" s="697"/>
      <c r="AN29" s="697"/>
      <c r="AO29" s="698"/>
      <c r="AP29" s="698"/>
      <c r="AQ29" s="698"/>
      <c r="AR29" s="699"/>
    </row>
    <row r="30" customHeight="1" spans="1:47">
      <c r="A30" s="203" t="str">
        <f>CONCATENATE(A29,"1.")</f>
        <v>2.1.1.1.</v>
      </c>
      <c r="B30" s="205"/>
      <c r="C30" s="590" t="s">
        <v>97</v>
      </c>
      <c r="D30" s="591"/>
      <c r="E30" s="591"/>
      <c r="F30" s="738" t="s">
        <v>677</v>
      </c>
      <c r="G30" s="739"/>
      <c r="H30" s="739"/>
      <c r="I30" s="703" t="str">
        <f>+VLOOKUP(F30,'Mão de Obra'!A:J,2,"falso")</f>
        <v>Vigia - mensalista</v>
      </c>
      <c r="J30" s="704"/>
      <c r="K30" s="704"/>
      <c r="L30" s="704"/>
      <c r="M30" s="704"/>
      <c r="N30" s="704"/>
      <c r="O30" s="704"/>
      <c r="P30" s="704"/>
      <c r="Q30" s="704"/>
      <c r="R30" s="704"/>
      <c r="S30" s="704"/>
      <c r="T30" s="704"/>
      <c r="U30" s="704"/>
      <c r="V30" s="705"/>
      <c r="W30" s="590" t="s">
        <v>879</v>
      </c>
      <c r="X30" s="592"/>
      <c r="Y30" s="740">
        <v>2</v>
      </c>
      <c r="Z30" s="741"/>
      <c r="AA30" s="742">
        <v>1</v>
      </c>
      <c r="AB30" s="743"/>
      <c r="AC30" s="744"/>
      <c r="AD30" s="599" t="str">
        <f>+VLOOKUP(F30,'Mão de Obra'!A:J,3,"falso")</f>
        <v>mês</v>
      </c>
      <c r="AE30" s="697"/>
      <c r="AF30" s="600"/>
      <c r="AG30" s="605">
        <f>Y30*AA30</f>
        <v>2</v>
      </c>
      <c r="AH30" s="605"/>
      <c r="AI30" s="605"/>
      <c r="AJ30" s="606"/>
      <c r="AK30" s="711">
        <f>+VLOOKUP(F30,'Mão de Obra'!A:J,9,"falso")</f>
        <v>5363.3214</v>
      </c>
      <c r="AL30" s="711"/>
      <c r="AM30" s="711"/>
      <c r="AN30" s="712"/>
      <c r="AO30" s="698">
        <f>ROUND((AG30*AK30),2)</f>
        <v>10726.64</v>
      </c>
      <c r="AP30" s="698"/>
      <c r="AQ30" s="698"/>
      <c r="AR30" s="699"/>
    </row>
    <row r="31" customHeight="1" spans="1:47">
      <c r="A31" s="713"/>
      <c r="B31" s="714"/>
      <c r="C31" s="714"/>
      <c r="D31" s="714"/>
      <c r="E31" s="714"/>
      <c r="F31" s="714"/>
      <c r="G31" s="714"/>
      <c r="H31" s="714"/>
      <c r="I31" s="714"/>
      <c r="J31" s="714"/>
      <c r="K31" s="714"/>
      <c r="L31" s="714"/>
      <c r="M31" s="714"/>
      <c r="N31" s="714"/>
      <c r="O31" s="714"/>
      <c r="P31" s="714"/>
      <c r="Q31" s="714"/>
      <c r="R31" s="714"/>
      <c r="S31" s="714"/>
      <c r="T31" s="714"/>
      <c r="U31" s="714"/>
      <c r="V31" s="714"/>
      <c r="W31" s="714"/>
      <c r="X31" s="714"/>
      <c r="Y31" s="714"/>
      <c r="Z31" s="714"/>
      <c r="AA31" s="715"/>
      <c r="AB31" s="715"/>
      <c r="AC31" s="715"/>
      <c r="AD31" s="715"/>
      <c r="AE31" s="715"/>
      <c r="AF31" s="715"/>
      <c r="AG31" s="715"/>
      <c r="AH31" s="715"/>
      <c r="AI31" s="715"/>
      <c r="AJ31" s="715"/>
      <c r="AK31" s="716"/>
      <c r="AL31" s="716"/>
      <c r="AM31" s="716"/>
      <c r="AN31" s="717" t="str">
        <f>CONCATENATE("SUBTOTAL DO ITEM ",A29)</f>
        <v>SUBTOTAL DO ITEM 2.1.1.</v>
      </c>
      <c r="AO31" s="718">
        <f>SUM(AO30:AR30)</f>
        <v>10726.64</v>
      </c>
      <c r="AP31" s="718"/>
      <c r="AQ31" s="718"/>
      <c r="AR31" s="719"/>
    </row>
    <row r="32" customHeight="1" spans="1:47">
      <c r="A32" s="693" t="str">
        <f>CONCATENATE(A28,"2.")</f>
        <v>2.1.2.</v>
      </c>
      <c r="B32" s="694"/>
      <c r="C32" s="500"/>
      <c r="D32" s="501"/>
      <c r="E32" s="501"/>
      <c r="F32" s="501"/>
      <c r="G32" s="501"/>
      <c r="H32" s="501"/>
      <c r="I32" s="696" t="s">
        <v>880</v>
      </c>
      <c r="J32" s="696"/>
      <c r="K32" s="696"/>
      <c r="L32" s="696"/>
      <c r="M32" s="696"/>
      <c r="N32" s="696"/>
      <c r="O32" s="696"/>
      <c r="P32" s="696"/>
      <c r="Q32" s="696"/>
      <c r="R32" s="696"/>
      <c r="S32" s="696"/>
      <c r="T32" s="696"/>
      <c r="U32" s="696"/>
      <c r="V32" s="696"/>
      <c r="W32" s="591"/>
      <c r="X32" s="591"/>
      <c r="Y32" s="591"/>
      <c r="Z32" s="591"/>
      <c r="AA32" s="697"/>
      <c r="AB32" s="697"/>
      <c r="AC32" s="697"/>
      <c r="AD32" s="697"/>
      <c r="AE32" s="697"/>
      <c r="AF32" s="697"/>
      <c r="AG32" s="697"/>
      <c r="AH32" s="697"/>
      <c r="AI32" s="697"/>
      <c r="AJ32" s="697"/>
      <c r="AK32" s="697"/>
      <c r="AL32" s="697"/>
      <c r="AM32" s="697"/>
      <c r="AN32" s="697"/>
      <c r="AO32" s="698"/>
      <c r="AP32" s="698"/>
      <c r="AQ32" s="698"/>
      <c r="AR32" s="699"/>
    </row>
    <row r="33" customHeight="1" spans="1:44">
      <c r="A33" s="720" t="s">
        <v>31</v>
      </c>
      <c r="B33" s="720"/>
      <c r="C33" s="720" t="s">
        <v>633</v>
      </c>
      <c r="D33" s="720"/>
      <c r="E33" s="720"/>
      <c r="F33" s="720" t="s">
        <v>634</v>
      </c>
      <c r="G33" s="720"/>
      <c r="H33" s="720"/>
      <c r="I33" s="720" t="s">
        <v>870</v>
      </c>
      <c r="J33" s="720"/>
      <c r="K33" s="720"/>
      <c r="L33" s="720"/>
      <c r="M33" s="720"/>
      <c r="N33" s="720"/>
      <c r="O33" s="720"/>
      <c r="P33" s="720"/>
      <c r="Q33" s="720"/>
      <c r="R33" s="720"/>
      <c r="S33" s="720"/>
      <c r="T33" s="720"/>
      <c r="U33" s="720"/>
      <c r="V33" s="720"/>
      <c r="W33" s="720" t="s">
        <v>666</v>
      </c>
      <c r="X33" s="720"/>
      <c r="Y33" s="720" t="s">
        <v>824</v>
      </c>
      <c r="Z33" s="720"/>
      <c r="AA33" s="721" t="s">
        <v>808</v>
      </c>
      <c r="AB33" s="721"/>
      <c r="AC33" s="721"/>
      <c r="AD33" s="721"/>
      <c r="AE33" s="721"/>
      <c r="AF33" s="721"/>
      <c r="AG33" s="721" t="s">
        <v>881</v>
      </c>
      <c r="AH33" s="721"/>
      <c r="AI33" s="721"/>
      <c r="AJ33" s="721"/>
      <c r="AK33" s="721"/>
      <c r="AL33" s="721"/>
      <c r="AM33" s="721"/>
      <c r="AN33" s="721"/>
      <c r="AO33" s="722" t="s">
        <v>875</v>
      </c>
      <c r="AP33" s="722"/>
      <c r="AQ33" s="722"/>
      <c r="AR33" s="722"/>
    </row>
    <row r="34" ht="17.25" customHeight="1" spans="1:44">
      <c r="A34" s="720"/>
      <c r="B34" s="720"/>
      <c r="C34" s="720"/>
      <c r="D34" s="720"/>
      <c r="E34" s="720"/>
      <c r="F34" s="720"/>
      <c r="G34" s="720"/>
      <c r="H34" s="720"/>
      <c r="I34" s="720"/>
      <c r="J34" s="720"/>
      <c r="K34" s="720"/>
      <c r="L34" s="720"/>
      <c r="M34" s="720"/>
      <c r="N34" s="720"/>
      <c r="O34" s="720"/>
      <c r="P34" s="720"/>
      <c r="Q34" s="720"/>
      <c r="R34" s="720"/>
      <c r="S34" s="720"/>
      <c r="T34" s="720"/>
      <c r="U34" s="720"/>
      <c r="V34" s="720"/>
      <c r="W34" s="720"/>
      <c r="X34" s="720"/>
      <c r="Y34" s="720"/>
      <c r="Z34" s="720"/>
      <c r="AA34" s="723" t="s">
        <v>882</v>
      </c>
      <c r="AB34" s="723"/>
      <c r="AC34" s="723"/>
      <c r="AD34" s="723" t="s">
        <v>883</v>
      </c>
      <c r="AE34" s="723"/>
      <c r="AF34" s="723"/>
      <c r="AG34" s="723" t="s">
        <v>884</v>
      </c>
      <c r="AH34" s="723"/>
      <c r="AI34" s="723"/>
      <c r="AJ34" s="723"/>
      <c r="AK34" s="723" t="s">
        <v>885</v>
      </c>
      <c r="AL34" s="723"/>
      <c r="AM34" s="723"/>
      <c r="AN34" s="723"/>
      <c r="AO34" s="722"/>
      <c r="AP34" s="722"/>
      <c r="AQ34" s="722"/>
      <c r="AR34" s="722"/>
    </row>
    <row r="35" customHeight="1" spans="1:44">
      <c r="A35" s="703" t="str">
        <f>CONCATENATE(A32,"1.")</f>
        <v>2.1.2.1.</v>
      </c>
      <c r="B35" s="704"/>
      <c r="C35" s="590" t="s">
        <v>97</v>
      </c>
      <c r="D35" s="591"/>
      <c r="E35" s="591"/>
      <c r="F35" s="588" t="s">
        <v>682</v>
      </c>
      <c r="G35" s="702"/>
      <c r="H35" s="702"/>
      <c r="I35" s="703" t="str">
        <f>+VLOOKUP(F35,Equipamentos!A:K,2,"falso")</f>
        <v>Veículo leve - 53 kW (sem motorista)</v>
      </c>
      <c r="J35" s="704"/>
      <c r="K35" s="704"/>
      <c r="L35" s="704"/>
      <c r="M35" s="704"/>
      <c r="N35" s="704"/>
      <c r="O35" s="704"/>
      <c r="P35" s="704"/>
      <c r="Q35" s="704"/>
      <c r="R35" s="704"/>
      <c r="S35" s="704"/>
      <c r="T35" s="704"/>
      <c r="U35" s="704"/>
      <c r="V35" s="705"/>
      <c r="W35" s="590" t="s">
        <v>879</v>
      </c>
      <c r="X35" s="592"/>
      <c r="Y35" s="706">
        <v>1</v>
      </c>
      <c r="Z35" s="707"/>
      <c r="AA35" s="724">
        <v>44</v>
      </c>
      <c r="AB35" s="725"/>
      <c r="AC35" s="726"/>
      <c r="AD35" s="727">
        <f>$AD$24</f>
        <v>138.49</v>
      </c>
      <c r="AE35" s="728"/>
      <c r="AF35" s="729"/>
      <c r="AG35" s="730">
        <f>+VLOOKUP($F35,Equipamentos!A:K,10,"falso")</f>
        <v>36.9971</v>
      </c>
      <c r="AH35" s="730"/>
      <c r="AI35" s="730"/>
      <c r="AJ35" s="731"/>
      <c r="AK35" s="730">
        <f>+VLOOKUP($F35,Equipamentos!A:K,11,"falso")</f>
        <v>6.9859</v>
      </c>
      <c r="AL35" s="730"/>
      <c r="AM35" s="730"/>
      <c r="AN35" s="731"/>
      <c r="AO35" s="698">
        <f>ROUND((Y35*((AA35*AG35)+(AD35*AK35))),2)</f>
        <v>2595.35</v>
      </c>
      <c r="AP35" s="698"/>
      <c r="AQ35" s="698"/>
      <c r="AR35" s="699"/>
    </row>
    <row r="36" customHeight="1" spans="1:44">
      <c r="A36" s="713"/>
      <c r="B36" s="714"/>
      <c r="C36" s="714"/>
      <c r="D36" s="714"/>
      <c r="E36" s="714"/>
      <c r="F36" s="714"/>
      <c r="G36" s="714"/>
      <c r="H36" s="714"/>
      <c r="I36" s="714"/>
      <c r="J36" s="714"/>
      <c r="K36" s="714"/>
      <c r="L36" s="714"/>
      <c r="M36" s="714"/>
      <c r="N36" s="714"/>
      <c r="O36" s="714"/>
      <c r="P36" s="714"/>
      <c r="Q36" s="714"/>
      <c r="R36" s="714"/>
      <c r="S36" s="714"/>
      <c r="T36" s="714"/>
      <c r="U36" s="714"/>
      <c r="V36" s="714"/>
      <c r="W36" s="714"/>
      <c r="X36" s="714"/>
      <c r="Y36" s="714"/>
      <c r="Z36" s="714"/>
      <c r="AA36" s="715"/>
      <c r="AB36" s="715"/>
      <c r="AC36" s="715"/>
      <c r="AD36" s="715"/>
      <c r="AE36" s="715"/>
      <c r="AF36" s="715"/>
      <c r="AG36" s="715"/>
      <c r="AH36" s="715"/>
      <c r="AI36" s="715"/>
      <c r="AJ36" s="715"/>
      <c r="AK36" s="716"/>
      <c r="AL36" s="716"/>
      <c r="AM36" s="716"/>
      <c r="AN36" s="717" t="str">
        <f>CONCATENATE("SUBTOTAL DO ITEM ",A32)</f>
        <v>SUBTOTAL DO ITEM 2.1.2.</v>
      </c>
      <c r="AO36" s="718">
        <f>SUM(AO35:AR35)</f>
        <v>2595.35</v>
      </c>
      <c r="AP36" s="718"/>
      <c r="AQ36" s="718"/>
      <c r="AR36" s="719"/>
    </row>
    <row r="37" customHeight="1" spans="1:44">
      <c r="A37" s="745"/>
      <c r="B37" s="746"/>
      <c r="C37" s="746"/>
      <c r="D37" s="746"/>
      <c r="E37" s="746"/>
      <c r="F37" s="746"/>
      <c r="G37" s="746"/>
      <c r="H37" s="746"/>
      <c r="I37" s="746"/>
      <c r="J37" s="746"/>
      <c r="K37" s="746"/>
      <c r="L37" s="746"/>
      <c r="M37" s="746"/>
      <c r="N37" s="746"/>
      <c r="O37" s="746"/>
      <c r="P37" s="746"/>
      <c r="Q37" s="746"/>
      <c r="R37" s="746"/>
      <c r="S37" s="746"/>
      <c r="T37" s="746"/>
      <c r="U37" s="746"/>
      <c r="V37" s="746"/>
      <c r="W37" s="746"/>
      <c r="X37" s="746"/>
      <c r="Y37" s="746"/>
      <c r="Z37" s="746"/>
      <c r="AA37" s="747"/>
      <c r="AB37" s="747"/>
      <c r="AC37" s="747"/>
      <c r="AD37" s="747"/>
      <c r="AE37" s="747"/>
      <c r="AF37" s="747"/>
      <c r="AG37" s="747"/>
      <c r="AH37" s="747"/>
      <c r="AI37" s="747"/>
      <c r="AJ37" s="747"/>
      <c r="AK37" s="748"/>
      <c r="AL37" s="748"/>
      <c r="AM37" s="748"/>
      <c r="AN37" s="749" t="str">
        <f>CONCATENATE("SUBTOTAL DO ITEM ",A27)</f>
        <v>SUBTOTAL DO ITEM 2.</v>
      </c>
      <c r="AO37" s="691">
        <f>AO31+AO36</f>
        <v>13321.99</v>
      </c>
      <c r="AP37" s="691"/>
      <c r="AQ37" s="691"/>
      <c r="AR37" s="692"/>
    </row>
    <row r="38" customHeight="1" spans="1:44">
      <c r="A38" s="750"/>
      <c r="B38" s="751"/>
      <c r="C38" s="751"/>
      <c r="D38" s="751"/>
      <c r="E38" s="751"/>
      <c r="F38" s="751"/>
      <c r="G38" s="751"/>
      <c r="H38" s="751"/>
      <c r="I38" s="751"/>
      <c r="J38" s="751"/>
      <c r="K38" s="751"/>
      <c r="L38" s="751"/>
      <c r="M38" s="751"/>
      <c r="N38" s="751"/>
      <c r="O38" s="751"/>
      <c r="P38" s="751"/>
      <c r="Q38" s="751"/>
      <c r="R38" s="751"/>
      <c r="S38" s="751"/>
      <c r="T38" s="751"/>
      <c r="U38" s="751"/>
      <c r="V38" s="751"/>
      <c r="W38" s="751"/>
      <c r="X38" s="751"/>
      <c r="Y38" s="751"/>
      <c r="Z38" s="751"/>
      <c r="AA38" s="752"/>
      <c r="AB38" s="752"/>
      <c r="AC38" s="752"/>
      <c r="AD38" s="752"/>
      <c r="AE38" s="752"/>
      <c r="AF38" s="752"/>
      <c r="AG38" s="752"/>
      <c r="AH38" s="752"/>
      <c r="AI38" s="752"/>
      <c r="AJ38" s="752"/>
      <c r="AK38" s="753"/>
      <c r="AL38" s="753"/>
      <c r="AM38" s="753"/>
      <c r="AN38" s="754" t="str">
        <f>CONCATENATE("TOTAL DA MÃO DE OBRA ",A14)</f>
        <v>TOTAL DA MÃO DE OBRA PARCELA FIXA DA ADMINISTRAÇÃO LOCAL</v>
      </c>
      <c r="AO38" s="755">
        <f>AO26+AO37</f>
        <v>19381.96</v>
      </c>
      <c r="AP38" s="755"/>
      <c r="AQ38" s="755"/>
      <c r="AR38" s="756"/>
    </row>
    <row r="39" s="610" customFormat="1" customHeight="1" spans="1:44">
      <c r="A39" s="757"/>
      <c r="B39" s="757"/>
      <c r="C39" s="757"/>
      <c r="D39" s="757"/>
      <c r="E39" s="757"/>
      <c r="F39" s="757"/>
      <c r="G39" s="757"/>
      <c r="H39" s="757"/>
      <c r="I39" s="757"/>
      <c r="J39" s="757"/>
      <c r="K39" s="757"/>
      <c r="L39" s="757"/>
      <c r="M39" s="757"/>
      <c r="N39" s="757"/>
      <c r="O39" s="757"/>
      <c r="P39" s="757"/>
      <c r="Q39" s="757"/>
      <c r="R39" s="757"/>
      <c r="S39" s="757"/>
      <c r="T39" s="757"/>
      <c r="U39" s="757"/>
      <c r="V39" s="757"/>
      <c r="W39" s="757"/>
      <c r="X39" s="757"/>
      <c r="Y39" s="757"/>
      <c r="Z39" s="757"/>
      <c r="AA39" s="758"/>
      <c r="AB39" s="758"/>
      <c r="AC39" s="758"/>
      <c r="AD39" s="758"/>
      <c r="AE39" s="758"/>
      <c r="AF39" s="758"/>
      <c r="AG39" s="758"/>
      <c r="AH39" s="758"/>
      <c r="AI39" s="758"/>
      <c r="AJ39" s="758"/>
      <c r="AK39" s="759"/>
      <c r="AL39" s="759"/>
      <c r="AM39" s="759"/>
      <c r="AN39" s="760"/>
      <c r="AO39" s="761"/>
      <c r="AP39" s="761"/>
      <c r="AQ39" s="761"/>
      <c r="AR39" s="761"/>
    </row>
    <row r="40" ht="17.25" customHeight="1" spans="1:44">
      <c r="A40" s="533" t="s">
        <v>887</v>
      </c>
      <c r="B40" s="534"/>
      <c r="C40" s="534"/>
      <c r="D40" s="534"/>
      <c r="E40" s="534"/>
      <c r="F40" s="534"/>
      <c r="G40" s="534"/>
      <c r="H40" s="534"/>
      <c r="I40" s="534"/>
      <c r="J40" s="534"/>
      <c r="K40" s="534"/>
      <c r="L40" s="534"/>
      <c r="M40" s="534"/>
      <c r="N40" s="534"/>
      <c r="O40" s="534"/>
      <c r="P40" s="534"/>
      <c r="Q40" s="534"/>
      <c r="R40" s="534"/>
      <c r="S40" s="534"/>
      <c r="T40" s="534"/>
      <c r="U40" s="534"/>
      <c r="V40" s="534"/>
      <c r="W40" s="534"/>
      <c r="X40" s="534"/>
      <c r="Y40" s="534"/>
      <c r="Z40" s="534"/>
      <c r="AA40" s="534"/>
      <c r="AB40" s="534"/>
      <c r="AC40" s="534"/>
      <c r="AD40" s="534"/>
      <c r="AE40" s="534"/>
      <c r="AF40" s="534"/>
      <c r="AG40" s="534"/>
      <c r="AH40" s="534"/>
      <c r="AI40" s="534"/>
      <c r="AJ40" s="534"/>
      <c r="AK40" s="534"/>
      <c r="AL40" s="534"/>
      <c r="AM40" s="534"/>
      <c r="AN40" s="534"/>
      <c r="AO40" s="534"/>
      <c r="AP40" s="534"/>
      <c r="AQ40" s="534"/>
      <c r="AR40" s="535"/>
    </row>
    <row r="41" customHeight="1" spans="1:44">
      <c r="A41" s="762" t="s">
        <v>31</v>
      </c>
      <c r="B41" s="763"/>
      <c r="C41" s="764" t="s">
        <v>633</v>
      </c>
      <c r="D41" s="765"/>
      <c r="E41" s="765"/>
      <c r="F41" s="764" t="s">
        <v>634</v>
      </c>
      <c r="G41" s="765"/>
      <c r="H41" s="765"/>
      <c r="I41" s="764" t="s">
        <v>870</v>
      </c>
      <c r="J41" s="765"/>
      <c r="K41" s="765"/>
      <c r="L41" s="765"/>
      <c r="M41" s="765"/>
      <c r="N41" s="765"/>
      <c r="O41" s="765"/>
      <c r="P41" s="765"/>
      <c r="Q41" s="765"/>
      <c r="R41" s="765"/>
      <c r="S41" s="765"/>
      <c r="T41" s="765"/>
      <c r="U41" s="765"/>
      <c r="V41" s="766"/>
      <c r="W41" s="764" t="s">
        <v>666</v>
      </c>
      <c r="X41" s="766"/>
      <c r="Y41" s="764" t="s">
        <v>824</v>
      </c>
      <c r="Z41" s="766"/>
      <c r="AA41" s="767" t="s">
        <v>871</v>
      </c>
      <c r="AB41" s="768"/>
      <c r="AC41" s="769"/>
      <c r="AD41" s="767" t="s">
        <v>872</v>
      </c>
      <c r="AE41" s="768"/>
      <c r="AF41" s="769"/>
      <c r="AG41" s="768" t="s">
        <v>873</v>
      </c>
      <c r="AH41" s="768"/>
      <c r="AI41" s="768"/>
      <c r="AJ41" s="769"/>
      <c r="AK41" s="768" t="s">
        <v>874</v>
      </c>
      <c r="AL41" s="768"/>
      <c r="AM41" s="768"/>
      <c r="AN41" s="769"/>
      <c r="AO41" s="770" t="s">
        <v>875</v>
      </c>
      <c r="AP41" s="770"/>
      <c r="AQ41" s="770"/>
      <c r="AR41" s="771"/>
    </row>
    <row r="42" customHeight="1" spans="1:44">
      <c r="A42" s="693" t="s">
        <v>888</v>
      </c>
      <c r="B42" s="694"/>
      <c r="C42" s="66"/>
      <c r="D42" s="67"/>
      <c r="E42" s="67"/>
      <c r="F42" s="67"/>
      <c r="G42" s="67"/>
      <c r="H42" s="67"/>
      <c r="I42" s="694" t="s">
        <v>150</v>
      </c>
      <c r="J42" s="694"/>
      <c r="K42" s="694"/>
      <c r="L42" s="694"/>
      <c r="M42" s="694"/>
      <c r="N42" s="694"/>
      <c r="O42" s="694"/>
      <c r="P42" s="694"/>
      <c r="Q42" s="694"/>
      <c r="R42" s="694"/>
      <c r="S42" s="694"/>
      <c r="T42" s="694"/>
      <c r="U42" s="694"/>
      <c r="V42" s="694"/>
      <c r="W42" s="204"/>
      <c r="X42" s="204"/>
      <c r="Y42" s="204"/>
      <c r="Z42" s="204"/>
      <c r="AA42" s="695"/>
      <c r="AB42" s="695"/>
      <c r="AC42" s="695"/>
      <c r="AD42" s="695"/>
      <c r="AE42" s="695"/>
      <c r="AF42" s="695"/>
      <c r="AG42" s="695"/>
      <c r="AH42" s="695"/>
      <c r="AI42" s="695"/>
      <c r="AJ42" s="695"/>
      <c r="AK42" s="695"/>
      <c r="AL42" s="695"/>
      <c r="AM42" s="695"/>
      <c r="AN42" s="695"/>
      <c r="AO42" s="513"/>
      <c r="AP42" s="513"/>
      <c r="AQ42" s="513"/>
      <c r="AR42" s="514"/>
    </row>
    <row r="43" customHeight="1" spans="1:44">
      <c r="A43" s="693" t="str">
        <f>CONCATENATE(A42,"1.")</f>
        <v>3.1.</v>
      </c>
      <c r="B43" s="694"/>
      <c r="C43" s="500"/>
      <c r="D43" s="501"/>
      <c r="E43" s="501"/>
      <c r="F43" s="501"/>
      <c r="G43" s="501"/>
      <c r="H43" s="501"/>
      <c r="I43" s="696" t="s">
        <v>151</v>
      </c>
      <c r="J43" s="696"/>
      <c r="K43" s="696"/>
      <c r="L43" s="696"/>
      <c r="M43" s="696"/>
      <c r="N43" s="696"/>
      <c r="O43" s="696"/>
      <c r="P43" s="696"/>
      <c r="Q43" s="696"/>
      <c r="R43" s="696"/>
      <c r="S43" s="696"/>
      <c r="T43" s="696"/>
      <c r="U43" s="696"/>
      <c r="V43" s="696"/>
      <c r="W43" s="591"/>
      <c r="X43" s="591"/>
      <c r="Y43" s="591"/>
      <c r="Z43" s="591"/>
      <c r="AA43" s="697"/>
      <c r="AB43" s="697"/>
      <c r="AC43" s="697"/>
      <c r="AD43" s="697"/>
      <c r="AE43" s="697"/>
      <c r="AF43" s="697"/>
      <c r="AG43" s="697"/>
      <c r="AH43" s="697"/>
      <c r="AI43" s="697"/>
      <c r="AJ43" s="697"/>
      <c r="AK43" s="697"/>
      <c r="AL43" s="697"/>
      <c r="AM43" s="697"/>
      <c r="AN43" s="697"/>
      <c r="AO43" s="698"/>
      <c r="AP43" s="698"/>
      <c r="AQ43" s="698"/>
      <c r="AR43" s="699"/>
    </row>
    <row r="44" customHeight="1" spans="1:44">
      <c r="A44" s="693" t="str">
        <f>CONCATENATE(A43,"1.")</f>
        <v>3.1.1.</v>
      </c>
      <c r="B44" s="694"/>
      <c r="C44" s="500"/>
      <c r="D44" s="501"/>
      <c r="E44" s="501"/>
      <c r="F44" s="501"/>
      <c r="G44" s="501"/>
      <c r="H44" s="501"/>
      <c r="I44" s="696" t="s">
        <v>878</v>
      </c>
      <c r="J44" s="696"/>
      <c r="K44" s="696"/>
      <c r="L44" s="696"/>
      <c r="M44" s="696"/>
      <c r="N44" s="696"/>
      <c r="O44" s="696"/>
      <c r="P44" s="696"/>
      <c r="Q44" s="696"/>
      <c r="R44" s="696"/>
      <c r="S44" s="696"/>
      <c r="T44" s="696"/>
      <c r="U44" s="696"/>
      <c r="V44" s="696"/>
      <c r="W44" s="591"/>
      <c r="X44" s="591"/>
      <c r="Y44" s="591"/>
      <c r="Z44" s="591"/>
      <c r="AA44" s="697"/>
      <c r="AB44" s="697"/>
      <c r="AC44" s="697"/>
      <c r="AD44" s="697"/>
      <c r="AE44" s="697"/>
      <c r="AF44" s="697"/>
      <c r="AG44" s="697"/>
      <c r="AH44" s="697"/>
      <c r="AI44" s="697"/>
      <c r="AJ44" s="697"/>
      <c r="AK44" s="697"/>
      <c r="AL44" s="697"/>
      <c r="AM44" s="697"/>
      <c r="AN44" s="697"/>
      <c r="AO44" s="698"/>
      <c r="AP44" s="698"/>
      <c r="AQ44" s="698"/>
      <c r="AR44" s="699"/>
    </row>
    <row r="45" customHeight="1" spans="1:44">
      <c r="A45" s="700" t="str">
        <f>CONCATENATE(A44,"1.")</f>
        <v>3.1.1.1.</v>
      </c>
      <c r="B45" s="701"/>
      <c r="C45" s="590" t="s">
        <v>97</v>
      </c>
      <c r="D45" s="591"/>
      <c r="E45" s="591"/>
      <c r="F45" s="588" t="s">
        <v>706</v>
      </c>
      <c r="G45" s="702"/>
      <c r="H45" s="702"/>
      <c r="I45" s="703" t="str">
        <f>+VLOOKUP(F45,'Mão de Obra'!A:J,2,"falso")</f>
        <v>Topógrafo - mensalista</v>
      </c>
      <c r="J45" s="704"/>
      <c r="K45" s="704"/>
      <c r="L45" s="704"/>
      <c r="M45" s="704"/>
      <c r="N45" s="704"/>
      <c r="O45" s="704"/>
      <c r="P45" s="704"/>
      <c r="Q45" s="704"/>
      <c r="R45" s="704"/>
      <c r="S45" s="704"/>
      <c r="T45" s="704"/>
      <c r="U45" s="704"/>
      <c r="V45" s="705"/>
      <c r="W45" s="590" t="s">
        <v>879</v>
      </c>
      <c r="X45" s="592"/>
      <c r="Y45" s="706">
        <v>1</v>
      </c>
      <c r="Z45" s="707"/>
      <c r="AA45" s="742">
        <v>1</v>
      </c>
      <c r="AB45" s="743"/>
      <c r="AC45" s="744"/>
      <c r="AD45" s="599" t="str">
        <f>+VLOOKUP(F45,'Mão de Obra'!A:J,3,"falso")</f>
        <v>mês</v>
      </c>
      <c r="AE45" s="697"/>
      <c r="AF45" s="600"/>
      <c r="AG45" s="605">
        <f>Y45*AA45</f>
        <v>1</v>
      </c>
      <c r="AH45" s="605"/>
      <c r="AI45" s="605"/>
      <c r="AJ45" s="606"/>
      <c r="AK45" s="711">
        <f>+VLOOKUP(F45,'Mão de Obra'!A:J,9,"falso")</f>
        <v>6856.2644</v>
      </c>
      <c r="AL45" s="711"/>
      <c r="AM45" s="711"/>
      <c r="AN45" s="712"/>
      <c r="AO45" s="698">
        <f>ROUND((AG45*AK45),2)</f>
        <v>6856.26</v>
      </c>
      <c r="AP45" s="698"/>
      <c r="AQ45" s="698"/>
      <c r="AR45" s="699"/>
    </row>
    <row r="46" customHeight="1" spans="1:44">
      <c r="A46" s="203" t="str">
        <f>CONCATENATE(A44,"2.")</f>
        <v>3.1.1.2.</v>
      </c>
      <c r="B46" s="205"/>
      <c r="C46" s="590" t="s">
        <v>97</v>
      </c>
      <c r="D46" s="591"/>
      <c r="E46" s="591"/>
      <c r="F46" s="738" t="s">
        <v>701</v>
      </c>
      <c r="G46" s="739"/>
      <c r="H46" s="739"/>
      <c r="I46" s="703" t="str">
        <f>+VLOOKUP(F46,'Mão de Obra'!A:J,2,"falso")</f>
        <v>Auxiliar de topografia - mensalista</v>
      </c>
      <c r="J46" s="704"/>
      <c r="K46" s="704"/>
      <c r="L46" s="704"/>
      <c r="M46" s="704"/>
      <c r="N46" s="704"/>
      <c r="O46" s="704"/>
      <c r="P46" s="704"/>
      <c r="Q46" s="704"/>
      <c r="R46" s="704"/>
      <c r="S46" s="704"/>
      <c r="T46" s="704"/>
      <c r="U46" s="704"/>
      <c r="V46" s="705"/>
      <c r="W46" s="590" t="s">
        <v>879</v>
      </c>
      <c r="X46" s="592"/>
      <c r="Y46" s="740">
        <v>2</v>
      </c>
      <c r="Z46" s="741"/>
      <c r="AA46" s="742">
        <v>1</v>
      </c>
      <c r="AB46" s="743"/>
      <c r="AC46" s="744"/>
      <c r="AD46" s="599" t="str">
        <f>+VLOOKUP(F46,'Mão de Obra'!A:J,3,"falso")</f>
        <v>mês</v>
      </c>
      <c r="AE46" s="697"/>
      <c r="AF46" s="600"/>
      <c r="AG46" s="605">
        <f>Y46*AA46</f>
        <v>2</v>
      </c>
      <c r="AH46" s="605"/>
      <c r="AI46" s="605"/>
      <c r="AJ46" s="606"/>
      <c r="AK46" s="711">
        <f>+VLOOKUP(F46,'Mão de Obra'!A:J,9,"falso")</f>
        <v>5471.4009</v>
      </c>
      <c r="AL46" s="711"/>
      <c r="AM46" s="711"/>
      <c r="AN46" s="712"/>
      <c r="AO46" s="698">
        <f>ROUND((AG46*AK46),2)</f>
        <v>10942.8</v>
      </c>
      <c r="AP46" s="698"/>
      <c r="AQ46" s="698"/>
      <c r="AR46" s="699"/>
    </row>
    <row r="47" customHeight="1" spans="1:44">
      <c r="A47" s="713"/>
      <c r="B47" s="714"/>
      <c r="C47" s="714"/>
      <c r="D47" s="714"/>
      <c r="E47" s="714"/>
      <c r="F47" s="714"/>
      <c r="G47" s="714"/>
      <c r="H47" s="714"/>
      <c r="I47" s="714"/>
      <c r="J47" s="714"/>
      <c r="K47" s="714"/>
      <c r="L47" s="714"/>
      <c r="M47" s="714"/>
      <c r="N47" s="714"/>
      <c r="O47" s="714"/>
      <c r="P47" s="714"/>
      <c r="Q47" s="714"/>
      <c r="R47" s="714"/>
      <c r="S47" s="714"/>
      <c r="T47" s="714"/>
      <c r="U47" s="714"/>
      <c r="V47" s="714"/>
      <c r="W47" s="714"/>
      <c r="X47" s="714"/>
      <c r="Y47" s="714"/>
      <c r="Z47" s="714"/>
      <c r="AA47" s="715"/>
      <c r="AB47" s="715"/>
      <c r="AC47" s="715"/>
      <c r="AD47" s="715"/>
      <c r="AE47" s="715"/>
      <c r="AF47" s="715"/>
      <c r="AG47" s="715"/>
      <c r="AH47" s="715"/>
      <c r="AI47" s="715"/>
      <c r="AJ47" s="715"/>
      <c r="AK47" s="716"/>
      <c r="AL47" s="716"/>
      <c r="AM47" s="716"/>
      <c r="AN47" s="717" t="str">
        <f>CONCATENATE("SUBTOTAL DO ITEM ",A44)</f>
        <v>SUBTOTAL DO ITEM 3.1.1.</v>
      </c>
      <c r="AO47" s="718">
        <f>SUM(AO45:AR46)</f>
        <v>17799.06</v>
      </c>
      <c r="AP47" s="718"/>
      <c r="AQ47" s="718"/>
      <c r="AR47" s="719"/>
    </row>
    <row r="48" customHeight="1" spans="1:44">
      <c r="A48" s="693" t="str">
        <f>CONCATENATE(A43,"2.")</f>
        <v>3.1.2.</v>
      </c>
      <c r="B48" s="694"/>
      <c r="C48" s="500"/>
      <c r="D48" s="501"/>
      <c r="E48" s="501"/>
      <c r="F48" s="501"/>
      <c r="G48" s="501"/>
      <c r="H48" s="501"/>
      <c r="I48" s="696" t="s">
        <v>880</v>
      </c>
      <c r="J48" s="696"/>
      <c r="K48" s="696"/>
      <c r="L48" s="696"/>
      <c r="M48" s="696"/>
      <c r="N48" s="696"/>
      <c r="O48" s="696"/>
      <c r="P48" s="696"/>
      <c r="Q48" s="696"/>
      <c r="R48" s="696"/>
      <c r="S48" s="696"/>
      <c r="T48" s="696"/>
      <c r="U48" s="696"/>
      <c r="V48" s="696"/>
      <c r="W48" s="591"/>
      <c r="X48" s="591"/>
      <c r="Y48" s="591"/>
      <c r="Z48" s="591"/>
      <c r="AA48" s="697"/>
      <c r="AB48" s="697"/>
      <c r="AC48" s="697"/>
      <c r="AD48" s="697"/>
      <c r="AE48" s="697"/>
      <c r="AF48" s="697"/>
      <c r="AG48" s="697"/>
      <c r="AH48" s="697"/>
      <c r="AI48" s="697"/>
      <c r="AJ48" s="697"/>
      <c r="AK48" s="697"/>
      <c r="AL48" s="697"/>
      <c r="AM48" s="697"/>
      <c r="AN48" s="697"/>
      <c r="AO48" s="698"/>
      <c r="AP48" s="698"/>
      <c r="AQ48" s="698"/>
      <c r="AR48" s="699"/>
    </row>
    <row r="49" customHeight="1" spans="1:44">
      <c r="A49" s="720" t="s">
        <v>31</v>
      </c>
      <c r="B49" s="720"/>
      <c r="C49" s="720" t="s">
        <v>633</v>
      </c>
      <c r="D49" s="720"/>
      <c r="E49" s="720"/>
      <c r="F49" s="720" t="s">
        <v>634</v>
      </c>
      <c r="G49" s="720"/>
      <c r="H49" s="720"/>
      <c r="I49" s="720" t="s">
        <v>870</v>
      </c>
      <c r="J49" s="720"/>
      <c r="K49" s="720"/>
      <c r="L49" s="720"/>
      <c r="M49" s="720"/>
      <c r="N49" s="720"/>
      <c r="O49" s="720"/>
      <c r="P49" s="720"/>
      <c r="Q49" s="720"/>
      <c r="R49" s="720"/>
      <c r="S49" s="720"/>
      <c r="T49" s="720"/>
      <c r="U49" s="720"/>
      <c r="V49" s="720"/>
      <c r="W49" s="720" t="s">
        <v>666</v>
      </c>
      <c r="X49" s="720"/>
      <c r="Y49" s="720" t="s">
        <v>824</v>
      </c>
      <c r="Z49" s="720"/>
      <c r="AA49" s="721" t="s">
        <v>808</v>
      </c>
      <c r="AB49" s="721"/>
      <c r="AC49" s="721"/>
      <c r="AD49" s="721"/>
      <c r="AE49" s="721"/>
      <c r="AF49" s="721"/>
      <c r="AG49" s="721" t="s">
        <v>881</v>
      </c>
      <c r="AH49" s="721"/>
      <c r="AI49" s="721"/>
      <c r="AJ49" s="721"/>
      <c r="AK49" s="721"/>
      <c r="AL49" s="721"/>
      <c r="AM49" s="721"/>
      <c r="AN49" s="721"/>
      <c r="AO49" s="722" t="s">
        <v>875</v>
      </c>
      <c r="AP49" s="722"/>
      <c r="AQ49" s="722"/>
      <c r="AR49" s="722"/>
    </row>
    <row r="50" ht="17.25" customHeight="1" spans="1:44">
      <c r="A50" s="720"/>
      <c r="B50" s="720"/>
      <c r="C50" s="720"/>
      <c r="D50" s="720"/>
      <c r="E50" s="720"/>
      <c r="F50" s="720"/>
      <c r="G50" s="720"/>
      <c r="H50" s="720"/>
      <c r="I50" s="720"/>
      <c r="J50" s="720"/>
      <c r="K50" s="720"/>
      <c r="L50" s="720"/>
      <c r="M50" s="720"/>
      <c r="N50" s="720"/>
      <c r="O50" s="720"/>
      <c r="P50" s="720"/>
      <c r="Q50" s="720"/>
      <c r="R50" s="720"/>
      <c r="S50" s="720"/>
      <c r="T50" s="720"/>
      <c r="U50" s="720"/>
      <c r="V50" s="720"/>
      <c r="W50" s="720"/>
      <c r="X50" s="720"/>
      <c r="Y50" s="720"/>
      <c r="Z50" s="720"/>
      <c r="AA50" s="723" t="s">
        <v>882</v>
      </c>
      <c r="AB50" s="723"/>
      <c r="AC50" s="723"/>
      <c r="AD50" s="723" t="s">
        <v>883</v>
      </c>
      <c r="AE50" s="723"/>
      <c r="AF50" s="723"/>
      <c r="AG50" s="723" t="s">
        <v>884</v>
      </c>
      <c r="AH50" s="723"/>
      <c r="AI50" s="723"/>
      <c r="AJ50" s="723"/>
      <c r="AK50" s="723" t="s">
        <v>885</v>
      </c>
      <c r="AL50" s="723"/>
      <c r="AM50" s="723"/>
      <c r="AN50" s="723"/>
      <c r="AO50" s="722"/>
      <c r="AP50" s="722"/>
      <c r="AQ50" s="722"/>
      <c r="AR50" s="722"/>
    </row>
    <row r="51" customHeight="1" spans="1:44">
      <c r="A51" s="203" t="str">
        <f>CONCATENATE(A48,"1.")</f>
        <v>3.1.2.1.</v>
      </c>
      <c r="B51" s="205"/>
      <c r="C51" s="203" t="s">
        <v>97</v>
      </c>
      <c r="D51" s="204"/>
      <c r="E51" s="205"/>
      <c r="F51" s="738" t="s">
        <v>696</v>
      </c>
      <c r="G51" s="739"/>
      <c r="H51" s="772"/>
      <c r="I51" s="700" t="str">
        <f>+VLOOKUP(F51,Equipamentos!A:K,2,"falso")</f>
        <v>Veículo tipo van furgão com capacidade de 1,38 t - 100 kW</v>
      </c>
      <c r="J51" s="701"/>
      <c r="K51" s="701"/>
      <c r="L51" s="701"/>
      <c r="M51" s="701"/>
      <c r="N51" s="701"/>
      <c r="O51" s="701"/>
      <c r="P51" s="701"/>
      <c r="Q51" s="701"/>
      <c r="R51" s="701"/>
      <c r="S51" s="701"/>
      <c r="T51" s="701"/>
      <c r="U51" s="701"/>
      <c r="V51" s="773"/>
      <c r="W51" s="203" t="s">
        <v>879</v>
      </c>
      <c r="X51" s="205"/>
      <c r="Y51" s="740">
        <f>AA46</f>
        <v>1</v>
      </c>
      <c r="Z51" s="741"/>
      <c r="AA51" s="774">
        <v>44</v>
      </c>
      <c r="AB51" s="775"/>
      <c r="AC51" s="776"/>
      <c r="AD51" s="727">
        <f>$AD$24</f>
        <v>138.49</v>
      </c>
      <c r="AE51" s="728"/>
      <c r="AF51" s="729"/>
      <c r="AG51" s="777">
        <f>+VLOOKUP($F51,Equipamentos!A:K,10,"falso")</f>
        <v>93.7824</v>
      </c>
      <c r="AH51" s="778"/>
      <c r="AI51" s="778"/>
      <c r="AJ51" s="779"/>
      <c r="AK51" s="777">
        <f>+VLOOKUP($F51,Equipamentos!A:K,11,"falso")</f>
        <v>52.6179</v>
      </c>
      <c r="AL51" s="778"/>
      <c r="AM51" s="778"/>
      <c r="AN51" s="779"/>
      <c r="AO51" s="698">
        <f>ROUND((Y51*((AA51*AG51)+(AD51*AK51))),2)</f>
        <v>11413.48</v>
      </c>
      <c r="AP51" s="698"/>
      <c r="AQ51" s="698"/>
      <c r="AR51" s="699"/>
    </row>
    <row r="52" customHeight="1" spans="1:44">
      <c r="A52" s="713"/>
      <c r="B52" s="714"/>
      <c r="C52" s="714"/>
      <c r="D52" s="714"/>
      <c r="E52" s="714"/>
      <c r="F52" s="714"/>
      <c r="G52" s="714"/>
      <c r="H52" s="714"/>
      <c r="I52" s="714"/>
      <c r="J52" s="714"/>
      <c r="K52" s="714"/>
      <c r="L52" s="714"/>
      <c r="M52" s="714"/>
      <c r="N52" s="714"/>
      <c r="O52" s="714"/>
      <c r="P52" s="714"/>
      <c r="Q52" s="714"/>
      <c r="R52" s="714"/>
      <c r="S52" s="714"/>
      <c r="T52" s="714"/>
      <c r="U52" s="714"/>
      <c r="V52" s="714"/>
      <c r="W52" s="714"/>
      <c r="X52" s="714"/>
      <c r="Y52" s="714"/>
      <c r="Z52" s="714"/>
      <c r="AA52" s="715"/>
      <c r="AB52" s="715"/>
      <c r="AC52" s="715"/>
      <c r="AD52" s="715"/>
      <c r="AE52" s="715"/>
      <c r="AF52" s="715"/>
      <c r="AG52" s="715"/>
      <c r="AH52" s="715"/>
      <c r="AI52" s="715"/>
      <c r="AJ52" s="715"/>
      <c r="AK52" s="716"/>
      <c r="AL52" s="716"/>
      <c r="AM52" s="716"/>
      <c r="AN52" s="717" t="str">
        <f>CONCATENATE("SUBTOTAL DO ITEM ",A48)</f>
        <v>SUBTOTAL DO ITEM 3.1.2.</v>
      </c>
      <c r="AO52" s="718">
        <f>SUM(AO51:AR51)</f>
        <v>11413.48</v>
      </c>
      <c r="AP52" s="718"/>
      <c r="AQ52" s="718"/>
      <c r="AR52" s="719"/>
    </row>
    <row r="53" customHeight="1" spans="1:44">
      <c r="A53" s="693" t="str">
        <f>CONCATENATE(A42,"2.")</f>
        <v>3.2.</v>
      </c>
      <c r="B53" s="694"/>
      <c r="C53" s="500"/>
      <c r="D53" s="501"/>
      <c r="E53" s="501"/>
      <c r="F53" s="501"/>
      <c r="G53" s="501"/>
      <c r="H53" s="501"/>
      <c r="I53" s="696" t="s">
        <v>155</v>
      </c>
      <c r="J53" s="696"/>
      <c r="K53" s="696"/>
      <c r="L53" s="696"/>
      <c r="M53" s="696"/>
      <c r="N53" s="696"/>
      <c r="O53" s="696"/>
      <c r="P53" s="696"/>
      <c r="Q53" s="696"/>
      <c r="R53" s="696"/>
      <c r="S53" s="696"/>
      <c r="T53" s="696"/>
      <c r="U53" s="696"/>
      <c r="V53" s="696"/>
      <c r="W53" s="591"/>
      <c r="X53" s="591"/>
      <c r="Y53" s="591"/>
      <c r="Z53" s="591"/>
      <c r="AA53" s="697"/>
      <c r="AB53" s="697"/>
      <c r="AC53" s="697"/>
      <c r="AD53" s="697"/>
      <c r="AE53" s="697"/>
      <c r="AF53" s="697"/>
      <c r="AG53" s="697"/>
      <c r="AH53" s="697"/>
      <c r="AI53" s="697"/>
      <c r="AJ53" s="697"/>
      <c r="AK53" s="697"/>
      <c r="AL53" s="697"/>
      <c r="AM53" s="697"/>
      <c r="AN53" s="697"/>
      <c r="AO53" s="698"/>
      <c r="AP53" s="698"/>
      <c r="AQ53" s="698"/>
      <c r="AR53" s="699"/>
    </row>
    <row r="54" customHeight="1" spans="1:44">
      <c r="A54" s="693" t="str">
        <f>CONCATENATE(A53,"1.")</f>
        <v>3.2.1.</v>
      </c>
      <c r="B54" s="694"/>
      <c r="C54" s="500"/>
      <c r="D54" s="501"/>
      <c r="E54" s="501"/>
      <c r="F54" s="501"/>
      <c r="G54" s="501"/>
      <c r="H54" s="501"/>
      <c r="I54" s="696" t="s">
        <v>878</v>
      </c>
      <c r="J54" s="696"/>
      <c r="K54" s="696"/>
      <c r="L54" s="696"/>
      <c r="M54" s="696"/>
      <c r="N54" s="696"/>
      <c r="O54" s="696"/>
      <c r="P54" s="696"/>
      <c r="Q54" s="696"/>
      <c r="R54" s="696"/>
      <c r="S54" s="696"/>
      <c r="T54" s="696"/>
      <c r="U54" s="696"/>
      <c r="V54" s="696"/>
      <c r="W54" s="591"/>
      <c r="X54" s="591"/>
      <c r="Y54" s="591"/>
      <c r="Z54" s="591"/>
      <c r="AA54" s="697"/>
      <c r="AB54" s="697"/>
      <c r="AC54" s="697"/>
      <c r="AD54" s="697"/>
      <c r="AE54" s="697"/>
      <c r="AF54" s="697"/>
      <c r="AG54" s="697"/>
      <c r="AH54" s="697"/>
      <c r="AI54" s="697"/>
      <c r="AJ54" s="697"/>
      <c r="AK54" s="697"/>
      <c r="AL54" s="697"/>
      <c r="AM54" s="697"/>
      <c r="AN54" s="697"/>
      <c r="AO54" s="698"/>
      <c r="AP54" s="698"/>
      <c r="AQ54" s="698"/>
      <c r="AR54" s="699"/>
    </row>
    <row r="55" customHeight="1" spans="1:44">
      <c r="A55" s="700" t="str">
        <f>CONCATENATE(A54,"1.")</f>
        <v>3.2.1.1.</v>
      </c>
      <c r="B55" s="701"/>
      <c r="C55" s="590" t="s">
        <v>97</v>
      </c>
      <c r="D55" s="591"/>
      <c r="E55" s="591"/>
      <c r="F55" s="588" t="s">
        <v>680</v>
      </c>
      <c r="G55" s="702"/>
      <c r="H55" s="702"/>
      <c r="I55" s="703" t="str">
        <f>+VLOOKUP(F55,'Mão de Obra'!A:J,2,"falso")</f>
        <v>Técnico de segurança do trabalho - mensalista</v>
      </c>
      <c r="J55" s="704"/>
      <c r="K55" s="704"/>
      <c r="L55" s="704"/>
      <c r="M55" s="704"/>
      <c r="N55" s="704"/>
      <c r="O55" s="704"/>
      <c r="P55" s="704"/>
      <c r="Q55" s="704"/>
      <c r="R55" s="704"/>
      <c r="S55" s="704"/>
      <c r="T55" s="704"/>
      <c r="U55" s="704"/>
      <c r="V55" s="705"/>
      <c r="W55" s="590" t="s">
        <v>879</v>
      </c>
      <c r="X55" s="592"/>
      <c r="Y55" s="706">
        <v>1</v>
      </c>
      <c r="Z55" s="707"/>
      <c r="AA55" s="742">
        <v>1</v>
      </c>
      <c r="AB55" s="743"/>
      <c r="AC55" s="744"/>
      <c r="AD55" s="599" t="str">
        <f>+VLOOKUP(F55,'Mão de Obra'!A:J,3,"falso")</f>
        <v>mês</v>
      </c>
      <c r="AE55" s="697"/>
      <c r="AF55" s="600"/>
      <c r="AG55" s="605">
        <f>Y55*AA55</f>
        <v>1</v>
      </c>
      <c r="AH55" s="605"/>
      <c r="AI55" s="605"/>
      <c r="AJ55" s="606"/>
      <c r="AK55" s="711">
        <f>+VLOOKUP(F55,'Mão de Obra'!A:J,9,"falso")</f>
        <v>7837.0144</v>
      </c>
      <c r="AL55" s="711"/>
      <c r="AM55" s="711"/>
      <c r="AN55" s="712"/>
      <c r="AO55" s="698">
        <f>ROUND((AG55*AK55),2)</f>
        <v>7837.01</v>
      </c>
      <c r="AP55" s="698"/>
      <c r="AQ55" s="698"/>
      <c r="AR55" s="699"/>
    </row>
    <row r="56" customHeight="1" spans="1:44">
      <c r="A56" s="713"/>
      <c r="B56" s="714"/>
      <c r="C56" s="714"/>
      <c r="D56" s="714"/>
      <c r="E56" s="714"/>
      <c r="F56" s="714"/>
      <c r="G56" s="714"/>
      <c r="H56" s="714"/>
      <c r="I56" s="714"/>
      <c r="J56" s="714"/>
      <c r="K56" s="714"/>
      <c r="L56" s="714"/>
      <c r="M56" s="714"/>
      <c r="N56" s="714"/>
      <c r="O56" s="714"/>
      <c r="P56" s="714"/>
      <c r="Q56" s="714"/>
      <c r="R56" s="714"/>
      <c r="S56" s="714"/>
      <c r="T56" s="714"/>
      <c r="U56" s="714"/>
      <c r="V56" s="714"/>
      <c r="W56" s="714"/>
      <c r="X56" s="714"/>
      <c r="Y56" s="714"/>
      <c r="Z56" s="714"/>
      <c r="AA56" s="715"/>
      <c r="AB56" s="715"/>
      <c r="AC56" s="715"/>
      <c r="AD56" s="715"/>
      <c r="AE56" s="715"/>
      <c r="AF56" s="715"/>
      <c r="AG56" s="715"/>
      <c r="AH56" s="715"/>
      <c r="AI56" s="715"/>
      <c r="AJ56" s="715"/>
      <c r="AK56" s="716"/>
      <c r="AL56" s="716"/>
      <c r="AM56" s="716"/>
      <c r="AN56" s="717" t="str">
        <f>CONCATENATE("SUBTOTAL DO ITEM ",A54)</f>
        <v>SUBTOTAL DO ITEM 3.2.1.</v>
      </c>
      <c r="AO56" s="718">
        <f>SUM(AO55:AR55)</f>
        <v>7837.01</v>
      </c>
      <c r="AP56" s="718"/>
      <c r="AQ56" s="718"/>
      <c r="AR56" s="719"/>
    </row>
    <row r="57" customHeight="1" spans="1:44">
      <c r="A57" s="750"/>
      <c r="B57" s="751"/>
      <c r="C57" s="751"/>
      <c r="D57" s="751"/>
      <c r="E57" s="751"/>
      <c r="F57" s="751"/>
      <c r="G57" s="751"/>
      <c r="H57" s="751"/>
      <c r="I57" s="751"/>
      <c r="J57" s="751"/>
      <c r="K57" s="751"/>
      <c r="L57" s="751"/>
      <c r="M57" s="751"/>
      <c r="N57" s="751"/>
      <c r="O57" s="751"/>
      <c r="P57" s="751"/>
      <c r="Q57" s="751"/>
      <c r="R57" s="751"/>
      <c r="S57" s="751"/>
      <c r="T57" s="751"/>
      <c r="U57" s="751"/>
      <c r="V57" s="751"/>
      <c r="W57" s="751"/>
      <c r="X57" s="751"/>
      <c r="Y57" s="751"/>
      <c r="Z57" s="751"/>
      <c r="AA57" s="752"/>
      <c r="AB57" s="752"/>
      <c r="AC57" s="752"/>
      <c r="AD57" s="752"/>
      <c r="AE57" s="752"/>
      <c r="AF57" s="752"/>
      <c r="AG57" s="752"/>
      <c r="AH57" s="752"/>
      <c r="AI57" s="752"/>
      <c r="AJ57" s="752"/>
      <c r="AK57" s="753"/>
      <c r="AL57" s="753"/>
      <c r="AM57" s="753"/>
      <c r="AN57" s="754" t="str">
        <f>CONCATENATE("TOTAL DA MÃO DE OBRA ",A40)</f>
        <v>TOTAL DA MÃO DE OBRA PARCELA VINCULADA DA ADMINISTRAÇÃO LOCAL</v>
      </c>
      <c r="AO57" s="755" t="e">
        <f>#REF!+AO47+AO52+AO56</f>
        <v>#REF!</v>
      </c>
      <c r="AP57" s="755"/>
      <c r="AQ57" s="755"/>
      <c r="AR57" s="756"/>
    </row>
    <row r="58" s="610" customFormat="1" customHeight="1" spans="1:44">
      <c r="A58" s="757"/>
      <c r="B58" s="757"/>
      <c r="C58" s="757"/>
      <c r="D58" s="757"/>
      <c r="E58" s="757"/>
      <c r="F58" s="757"/>
      <c r="G58" s="757"/>
      <c r="H58" s="757"/>
      <c r="I58" s="757"/>
      <c r="J58" s="757"/>
      <c r="K58" s="757"/>
      <c r="L58" s="757"/>
      <c r="M58" s="757"/>
      <c r="N58" s="757"/>
      <c r="O58" s="757"/>
      <c r="P58" s="757"/>
      <c r="Q58" s="757"/>
      <c r="R58" s="757"/>
      <c r="S58" s="757"/>
      <c r="T58" s="757"/>
      <c r="U58" s="757"/>
      <c r="V58" s="757"/>
      <c r="W58" s="757"/>
      <c r="X58" s="757"/>
      <c r="Y58" s="757"/>
      <c r="Z58" s="757"/>
      <c r="AA58" s="758"/>
      <c r="AB58" s="758"/>
      <c r="AC58" s="758"/>
      <c r="AD58" s="758"/>
      <c r="AE58" s="758"/>
      <c r="AF58" s="758"/>
      <c r="AG58" s="758"/>
      <c r="AH58" s="758"/>
      <c r="AI58" s="758"/>
      <c r="AJ58" s="758"/>
      <c r="AK58" s="759"/>
      <c r="AL58" s="759"/>
      <c r="AM58" s="759"/>
      <c r="AN58" s="760"/>
      <c r="AO58" s="761"/>
      <c r="AP58" s="761"/>
      <c r="AQ58" s="761"/>
      <c r="AR58" s="761"/>
    </row>
    <row r="59" ht="17.25" customHeight="1" spans="1:44">
      <c r="A59" s="533" t="s">
        <v>889</v>
      </c>
      <c r="B59" s="534"/>
      <c r="C59" s="534"/>
      <c r="D59" s="534"/>
      <c r="E59" s="534"/>
      <c r="F59" s="534"/>
      <c r="G59" s="534"/>
      <c r="H59" s="534"/>
      <c r="I59" s="534"/>
      <c r="J59" s="534"/>
      <c r="K59" s="534"/>
      <c r="L59" s="534"/>
      <c r="M59" s="534"/>
      <c r="N59" s="534"/>
      <c r="O59" s="534"/>
      <c r="P59" s="534"/>
      <c r="Q59" s="534"/>
      <c r="R59" s="534"/>
      <c r="S59" s="534"/>
      <c r="T59" s="534"/>
      <c r="U59" s="534"/>
      <c r="V59" s="534"/>
      <c r="W59" s="534"/>
      <c r="X59" s="534"/>
      <c r="Y59" s="534"/>
      <c r="Z59" s="534"/>
      <c r="AA59" s="534"/>
      <c r="AB59" s="534"/>
      <c r="AC59" s="534"/>
      <c r="AD59" s="534"/>
      <c r="AE59" s="534"/>
      <c r="AF59" s="534"/>
      <c r="AG59" s="534"/>
      <c r="AH59" s="534"/>
      <c r="AI59" s="534"/>
      <c r="AJ59" s="534"/>
      <c r="AK59" s="534"/>
      <c r="AL59" s="534"/>
      <c r="AM59" s="534"/>
      <c r="AN59" s="534"/>
      <c r="AO59" s="534"/>
      <c r="AP59" s="534"/>
      <c r="AQ59" s="534"/>
      <c r="AR59" s="535"/>
    </row>
    <row r="60" customHeight="1" spans="1:44">
      <c r="A60" s="683" t="s">
        <v>31</v>
      </c>
      <c r="B60" s="684"/>
      <c r="C60" s="685" t="s">
        <v>633</v>
      </c>
      <c r="D60" s="686"/>
      <c r="E60" s="686"/>
      <c r="F60" s="685" t="s">
        <v>634</v>
      </c>
      <c r="G60" s="686"/>
      <c r="H60" s="686"/>
      <c r="I60" s="685" t="s">
        <v>870</v>
      </c>
      <c r="J60" s="686"/>
      <c r="K60" s="686"/>
      <c r="L60" s="686"/>
      <c r="M60" s="686"/>
      <c r="N60" s="686"/>
      <c r="O60" s="686"/>
      <c r="P60" s="686"/>
      <c r="Q60" s="686"/>
      <c r="R60" s="686"/>
      <c r="S60" s="686"/>
      <c r="T60" s="686"/>
      <c r="U60" s="686"/>
      <c r="V60" s="687"/>
      <c r="W60" s="685" t="s">
        <v>666</v>
      </c>
      <c r="X60" s="687"/>
      <c r="Y60" s="685" t="s">
        <v>824</v>
      </c>
      <c r="Z60" s="687"/>
      <c r="AA60" s="688" t="s">
        <v>871</v>
      </c>
      <c r="AB60" s="689"/>
      <c r="AC60" s="690"/>
      <c r="AD60" s="688" t="s">
        <v>872</v>
      </c>
      <c r="AE60" s="689"/>
      <c r="AF60" s="690"/>
      <c r="AG60" s="689" t="s">
        <v>873</v>
      </c>
      <c r="AH60" s="689"/>
      <c r="AI60" s="689"/>
      <c r="AJ60" s="690"/>
      <c r="AK60" s="689" t="s">
        <v>874</v>
      </c>
      <c r="AL60" s="689"/>
      <c r="AM60" s="689"/>
      <c r="AN60" s="690"/>
      <c r="AO60" s="691" t="s">
        <v>875</v>
      </c>
      <c r="AP60" s="691"/>
      <c r="AQ60" s="691"/>
      <c r="AR60" s="692"/>
    </row>
    <row r="61" customHeight="1" spans="1:44">
      <c r="A61" s="693" t="s">
        <v>890</v>
      </c>
      <c r="B61" s="694"/>
      <c r="C61" s="66"/>
      <c r="D61" s="67"/>
      <c r="E61" s="67"/>
      <c r="F61" s="67"/>
      <c r="G61" s="67"/>
      <c r="H61" s="67"/>
      <c r="I61" s="694" t="s">
        <v>157</v>
      </c>
      <c r="J61" s="694"/>
      <c r="K61" s="694"/>
      <c r="L61" s="694"/>
      <c r="M61" s="694"/>
      <c r="N61" s="694"/>
      <c r="O61" s="694"/>
      <c r="P61" s="694"/>
      <c r="Q61" s="694"/>
      <c r="R61" s="694"/>
      <c r="S61" s="694"/>
      <c r="T61" s="694"/>
      <c r="U61" s="694"/>
      <c r="V61" s="694"/>
      <c r="W61" s="204"/>
      <c r="X61" s="204"/>
      <c r="Y61" s="204"/>
      <c r="Z61" s="204"/>
      <c r="AA61" s="695"/>
      <c r="AB61" s="695"/>
      <c r="AC61" s="695"/>
      <c r="AD61" s="695"/>
      <c r="AE61" s="695"/>
      <c r="AF61" s="695"/>
      <c r="AG61" s="695"/>
      <c r="AH61" s="695"/>
      <c r="AI61" s="695"/>
      <c r="AJ61" s="695"/>
      <c r="AK61" s="695"/>
      <c r="AL61" s="695"/>
      <c r="AM61" s="695"/>
      <c r="AN61" s="695"/>
      <c r="AO61" s="513"/>
      <c r="AP61" s="513"/>
      <c r="AQ61" s="513"/>
      <c r="AR61" s="514"/>
    </row>
    <row r="62" customHeight="1" spans="1:44">
      <c r="A62" s="693" t="str">
        <f>CONCATENATE(A61,"1.")</f>
        <v>4.1.</v>
      </c>
      <c r="B62" s="780"/>
      <c r="C62" s="66"/>
      <c r="D62" s="67"/>
      <c r="E62" s="67"/>
      <c r="F62" s="67"/>
      <c r="G62" s="67"/>
      <c r="H62" s="67"/>
      <c r="I62" s="694" t="s">
        <v>158</v>
      </c>
      <c r="J62" s="694"/>
      <c r="K62" s="694"/>
      <c r="L62" s="694"/>
      <c r="M62" s="694"/>
      <c r="N62" s="694"/>
      <c r="O62" s="694"/>
      <c r="P62" s="694"/>
      <c r="Q62" s="694"/>
      <c r="R62" s="694"/>
      <c r="S62" s="694"/>
      <c r="T62" s="694"/>
      <c r="U62" s="694"/>
      <c r="V62" s="694"/>
      <c r="W62" s="204"/>
      <c r="X62" s="204"/>
      <c r="Y62" s="204"/>
      <c r="Z62" s="204"/>
      <c r="AA62" s="695"/>
      <c r="AB62" s="695"/>
      <c r="AC62" s="695"/>
      <c r="AD62" s="695"/>
      <c r="AE62" s="695"/>
      <c r="AF62" s="695"/>
      <c r="AG62" s="695"/>
      <c r="AH62" s="695"/>
      <c r="AI62" s="695"/>
      <c r="AJ62" s="695"/>
      <c r="AK62" s="695"/>
      <c r="AL62" s="695"/>
      <c r="AM62" s="695"/>
      <c r="AN62" s="695"/>
      <c r="AO62" s="513"/>
      <c r="AP62" s="513"/>
      <c r="AQ62" s="513"/>
      <c r="AR62" s="514"/>
    </row>
    <row r="63" customHeight="1" spans="1:44">
      <c r="A63" s="693" t="str">
        <f>CONCATENATE(A62,"1.")</f>
        <v>4.1.1.</v>
      </c>
      <c r="B63" s="694"/>
      <c r="C63" s="500"/>
      <c r="D63" s="501"/>
      <c r="E63" s="501"/>
      <c r="F63" s="501"/>
      <c r="G63" s="501"/>
      <c r="H63" s="501"/>
      <c r="I63" s="696" t="s">
        <v>878</v>
      </c>
      <c r="J63" s="696"/>
      <c r="K63" s="696"/>
      <c r="L63" s="696"/>
      <c r="M63" s="696"/>
      <c r="N63" s="696"/>
      <c r="O63" s="696"/>
      <c r="P63" s="696"/>
      <c r="Q63" s="696"/>
      <c r="R63" s="696"/>
      <c r="S63" s="696"/>
      <c r="T63" s="696"/>
      <c r="U63" s="696"/>
      <c r="V63" s="696"/>
      <c r="W63" s="591"/>
      <c r="X63" s="591"/>
      <c r="Y63" s="591"/>
      <c r="Z63" s="591"/>
      <c r="AA63" s="697"/>
      <c r="AB63" s="697"/>
      <c r="AC63" s="697"/>
      <c r="AD63" s="697"/>
      <c r="AE63" s="697"/>
      <c r="AF63" s="697"/>
      <c r="AG63" s="697"/>
      <c r="AH63" s="697"/>
      <c r="AI63" s="697"/>
      <c r="AJ63" s="697"/>
      <c r="AK63" s="697"/>
      <c r="AL63" s="697"/>
      <c r="AM63" s="697"/>
      <c r="AN63" s="697"/>
      <c r="AO63" s="698"/>
      <c r="AP63" s="698"/>
      <c r="AQ63" s="698"/>
      <c r="AR63" s="699"/>
    </row>
    <row r="64" customHeight="1" spans="1:44">
      <c r="A64" s="203" t="str">
        <f>CONCATENATE(A63,"1.")</f>
        <v>4.1.1.1.</v>
      </c>
      <c r="B64" s="205"/>
      <c r="C64" s="590" t="s">
        <v>97</v>
      </c>
      <c r="D64" s="591"/>
      <c r="E64" s="591"/>
      <c r="F64" s="738" t="s">
        <v>691</v>
      </c>
      <c r="G64" s="739"/>
      <c r="H64" s="739"/>
      <c r="I64" s="703" t="str">
        <f>+VLOOKUP(F64,'Mão de Obra'!A:J,2,"falso")</f>
        <v>Auxiliar administrativo - mensalista</v>
      </c>
      <c r="J64" s="704"/>
      <c r="K64" s="704"/>
      <c r="L64" s="704"/>
      <c r="M64" s="704"/>
      <c r="N64" s="704"/>
      <c r="O64" s="704"/>
      <c r="P64" s="704"/>
      <c r="Q64" s="704"/>
      <c r="R64" s="704"/>
      <c r="S64" s="704"/>
      <c r="T64" s="704"/>
      <c r="U64" s="704"/>
      <c r="V64" s="705"/>
      <c r="W64" s="590" t="s">
        <v>879</v>
      </c>
      <c r="X64" s="592"/>
      <c r="Y64" s="740">
        <v>0.5</v>
      </c>
      <c r="Z64" s="741"/>
      <c r="AA64" s="742">
        <v>1</v>
      </c>
      <c r="AB64" s="743"/>
      <c r="AC64" s="744"/>
      <c r="AD64" s="599" t="str">
        <f>+VLOOKUP(F64,'Mão de Obra'!A:J,3,"falso")</f>
        <v>mês</v>
      </c>
      <c r="AE64" s="697"/>
      <c r="AF64" s="600"/>
      <c r="AG64" s="605">
        <f>Y64*AA64</f>
        <v>0.5</v>
      </c>
      <c r="AH64" s="605"/>
      <c r="AI64" s="605"/>
      <c r="AJ64" s="606"/>
      <c r="AK64" s="711">
        <f>+VLOOKUP(F64,'Mão de Obra'!A:J,9,"falso")</f>
        <v>5166.5025</v>
      </c>
      <c r="AL64" s="711"/>
      <c r="AM64" s="711"/>
      <c r="AN64" s="712"/>
      <c r="AO64" s="698">
        <f>ROUND((AG64*AK64),2)</f>
        <v>2583.25</v>
      </c>
      <c r="AP64" s="698"/>
      <c r="AQ64" s="698"/>
      <c r="AR64" s="699"/>
    </row>
    <row r="65" customHeight="1" spans="1:44">
      <c r="A65" s="713"/>
      <c r="B65" s="714"/>
      <c r="C65" s="714"/>
      <c r="D65" s="714"/>
      <c r="E65" s="714"/>
      <c r="F65" s="714"/>
      <c r="G65" s="714"/>
      <c r="H65" s="714"/>
      <c r="I65" s="714"/>
      <c r="J65" s="714"/>
      <c r="K65" s="714"/>
      <c r="L65" s="714"/>
      <c r="M65" s="714"/>
      <c r="N65" s="714"/>
      <c r="O65" s="714"/>
      <c r="P65" s="714"/>
      <c r="Q65" s="714"/>
      <c r="R65" s="714"/>
      <c r="S65" s="714"/>
      <c r="T65" s="714"/>
      <c r="U65" s="714"/>
      <c r="V65" s="714"/>
      <c r="W65" s="714"/>
      <c r="X65" s="714"/>
      <c r="Y65" s="714"/>
      <c r="Z65" s="714"/>
      <c r="AA65" s="715"/>
      <c r="AB65" s="715"/>
      <c r="AC65" s="715"/>
      <c r="AD65" s="715"/>
      <c r="AE65" s="715"/>
      <c r="AF65" s="715"/>
      <c r="AG65" s="715"/>
      <c r="AH65" s="715"/>
      <c r="AI65" s="715"/>
      <c r="AJ65" s="715"/>
      <c r="AK65" s="716"/>
      <c r="AL65" s="716"/>
      <c r="AM65" s="716"/>
      <c r="AN65" s="717" t="str">
        <f>CONCATENATE("SUBTOTAL DO ITEM ",A63)</f>
        <v>SUBTOTAL DO ITEM 4.1.1.</v>
      </c>
      <c r="AO65" s="718">
        <f>SUM(AO64:AR64)</f>
        <v>2583.25</v>
      </c>
      <c r="AP65" s="718"/>
      <c r="AQ65" s="718"/>
      <c r="AR65" s="719"/>
    </row>
    <row r="66" customHeight="1" spans="1:44">
      <c r="A66" s="693" t="str">
        <f>CONCATENATE(A61,"2.")</f>
        <v>4.2.</v>
      </c>
      <c r="B66" s="694"/>
      <c r="C66" s="500"/>
      <c r="D66" s="501"/>
      <c r="E66" s="501"/>
      <c r="F66" s="501"/>
      <c r="G66" s="501"/>
      <c r="H66" s="501"/>
      <c r="I66" s="696" t="s">
        <v>160</v>
      </c>
      <c r="J66" s="696"/>
      <c r="K66" s="696"/>
      <c r="L66" s="696"/>
      <c r="M66" s="696"/>
      <c r="N66" s="696"/>
      <c r="O66" s="696"/>
      <c r="P66" s="696"/>
      <c r="Q66" s="696"/>
      <c r="R66" s="696"/>
      <c r="S66" s="696"/>
      <c r="T66" s="696"/>
      <c r="U66" s="696"/>
      <c r="V66" s="696"/>
      <c r="W66" s="591"/>
      <c r="X66" s="591"/>
      <c r="Y66" s="591"/>
      <c r="Z66" s="591"/>
      <c r="AA66" s="697"/>
      <c r="AB66" s="697"/>
      <c r="AC66" s="697"/>
      <c r="AD66" s="697"/>
      <c r="AE66" s="697"/>
      <c r="AF66" s="697"/>
      <c r="AG66" s="697"/>
      <c r="AH66" s="697"/>
      <c r="AI66" s="697"/>
      <c r="AJ66" s="697"/>
      <c r="AK66" s="697"/>
      <c r="AL66" s="697"/>
      <c r="AM66" s="697"/>
      <c r="AN66" s="697"/>
      <c r="AO66" s="698"/>
      <c r="AP66" s="698"/>
      <c r="AQ66" s="698"/>
      <c r="AR66" s="699"/>
    </row>
    <row r="67" customHeight="1" spans="1:44">
      <c r="A67" s="693" t="str">
        <f>CONCATENATE(A66,"1.")</f>
        <v>4.2.1.</v>
      </c>
      <c r="B67" s="694"/>
      <c r="C67" s="500"/>
      <c r="D67" s="501"/>
      <c r="E67" s="501"/>
      <c r="F67" s="501"/>
      <c r="G67" s="501"/>
      <c r="H67" s="501"/>
      <c r="I67" s="696" t="s">
        <v>878</v>
      </c>
      <c r="J67" s="696"/>
      <c r="K67" s="696"/>
      <c r="L67" s="696"/>
      <c r="M67" s="696"/>
      <c r="N67" s="696"/>
      <c r="O67" s="696"/>
      <c r="P67" s="696"/>
      <c r="Q67" s="696"/>
      <c r="R67" s="696"/>
      <c r="S67" s="696"/>
      <c r="T67" s="696"/>
      <c r="U67" s="696"/>
      <c r="V67" s="696"/>
      <c r="W67" s="591"/>
      <c r="X67" s="591"/>
      <c r="Y67" s="591"/>
      <c r="Z67" s="591"/>
      <c r="AA67" s="697"/>
      <c r="AB67" s="697"/>
      <c r="AC67" s="697"/>
      <c r="AD67" s="697"/>
      <c r="AE67" s="697"/>
      <c r="AF67" s="697"/>
      <c r="AG67" s="697"/>
      <c r="AH67" s="697"/>
      <c r="AI67" s="697"/>
      <c r="AJ67" s="697"/>
      <c r="AK67" s="697"/>
      <c r="AL67" s="697"/>
      <c r="AM67" s="697"/>
      <c r="AN67" s="697"/>
      <c r="AO67" s="698"/>
      <c r="AP67" s="698"/>
      <c r="AQ67" s="698"/>
      <c r="AR67" s="699"/>
    </row>
    <row r="68" customHeight="1" spans="1:44">
      <c r="A68" s="700" t="str">
        <f>CONCATENATE(A67,"1.")</f>
        <v>4.2.1.1.</v>
      </c>
      <c r="B68" s="701"/>
      <c r="C68" s="590" t="s">
        <v>97</v>
      </c>
      <c r="D68" s="591"/>
      <c r="E68" s="591"/>
      <c r="F68" s="588" t="s">
        <v>712</v>
      </c>
      <c r="G68" s="702"/>
      <c r="H68" s="702"/>
      <c r="I68" s="703" t="str">
        <f>+VLOOKUP(F68,'Mão de Obra'!A:J,2,"falso")</f>
        <v>Laboratorista - mensalista</v>
      </c>
      <c r="J68" s="704"/>
      <c r="K68" s="704"/>
      <c r="L68" s="704"/>
      <c r="M68" s="704"/>
      <c r="N68" s="704"/>
      <c r="O68" s="704"/>
      <c r="P68" s="704"/>
      <c r="Q68" s="704"/>
      <c r="R68" s="704"/>
      <c r="S68" s="704"/>
      <c r="T68" s="704"/>
      <c r="U68" s="704"/>
      <c r="V68" s="705"/>
      <c r="W68" s="590" t="s">
        <v>879</v>
      </c>
      <c r="X68" s="592"/>
      <c r="Y68" s="706">
        <v>1</v>
      </c>
      <c r="Z68" s="707"/>
      <c r="AA68" s="742">
        <v>1</v>
      </c>
      <c r="AB68" s="743"/>
      <c r="AC68" s="744"/>
      <c r="AD68" s="599" t="str">
        <f>+VLOOKUP(F68,'Mão de Obra'!A:J,3,"falso")</f>
        <v>mês</v>
      </c>
      <c r="AE68" s="697"/>
      <c r="AF68" s="600"/>
      <c r="AG68" s="605">
        <f>Y68*AA68</f>
        <v>1</v>
      </c>
      <c r="AH68" s="605"/>
      <c r="AI68" s="605"/>
      <c r="AJ68" s="606"/>
      <c r="AK68" s="730">
        <f>+VLOOKUP(F68,'Mão de Obra'!A:J,9,"falso")</f>
        <v>6826.8877</v>
      </c>
      <c r="AL68" s="730"/>
      <c r="AM68" s="730"/>
      <c r="AN68" s="731"/>
      <c r="AO68" s="698">
        <f>ROUND((AG68*AK68),2)</f>
        <v>6826.89</v>
      </c>
      <c r="AP68" s="698"/>
      <c r="AQ68" s="698"/>
      <c r="AR68" s="699"/>
    </row>
    <row r="69" customHeight="1" spans="1:44">
      <c r="A69" s="203" t="str">
        <f>CONCATENATE(A67,"2.")</f>
        <v>4.2.1.2.</v>
      </c>
      <c r="B69" s="205"/>
      <c r="C69" s="590" t="s">
        <v>97</v>
      </c>
      <c r="D69" s="591"/>
      <c r="E69" s="591"/>
      <c r="F69" s="738" t="s">
        <v>708</v>
      </c>
      <c r="G69" s="739"/>
      <c r="H69" s="739"/>
      <c r="I69" s="703" t="str">
        <f>+VLOOKUP(F69,'Mão de Obra'!A:J,2,"falso")</f>
        <v>Auxiliar de laboratório - mensalista</v>
      </c>
      <c r="J69" s="704"/>
      <c r="K69" s="704"/>
      <c r="L69" s="704"/>
      <c r="M69" s="704"/>
      <c r="N69" s="704"/>
      <c r="O69" s="704"/>
      <c r="P69" s="704"/>
      <c r="Q69" s="704"/>
      <c r="R69" s="704"/>
      <c r="S69" s="704"/>
      <c r="T69" s="704"/>
      <c r="U69" s="704"/>
      <c r="V69" s="705"/>
      <c r="W69" s="590" t="s">
        <v>879</v>
      </c>
      <c r="X69" s="592"/>
      <c r="Y69" s="740">
        <v>2</v>
      </c>
      <c r="Z69" s="741"/>
      <c r="AA69" s="742">
        <v>1</v>
      </c>
      <c r="AB69" s="743"/>
      <c r="AC69" s="744"/>
      <c r="AD69" s="599" t="str">
        <f>+VLOOKUP(F69,'Mão de Obra'!A:J,3,"falso")</f>
        <v>mês</v>
      </c>
      <c r="AE69" s="697"/>
      <c r="AF69" s="600"/>
      <c r="AG69" s="605">
        <f>Y69*AA69</f>
        <v>2</v>
      </c>
      <c r="AH69" s="605"/>
      <c r="AI69" s="605"/>
      <c r="AJ69" s="606"/>
      <c r="AK69" s="730">
        <f>+VLOOKUP(F69,'Mão de Obra'!A:J,9,"falso")</f>
        <v>4915.5662</v>
      </c>
      <c r="AL69" s="730"/>
      <c r="AM69" s="730"/>
      <c r="AN69" s="731"/>
      <c r="AO69" s="698">
        <f>ROUND((AG69*AK69),2)</f>
        <v>9831.13</v>
      </c>
      <c r="AP69" s="698"/>
      <c r="AQ69" s="698"/>
      <c r="AR69" s="699"/>
    </row>
    <row r="70" customHeight="1" spans="1:44">
      <c r="A70" s="713"/>
      <c r="B70" s="714"/>
      <c r="C70" s="714"/>
      <c r="D70" s="714"/>
      <c r="E70" s="714"/>
      <c r="F70" s="714"/>
      <c r="G70" s="714"/>
      <c r="H70" s="714"/>
      <c r="I70" s="714"/>
      <c r="J70" s="714"/>
      <c r="K70" s="714"/>
      <c r="L70" s="714"/>
      <c r="M70" s="714"/>
      <c r="N70" s="714"/>
      <c r="O70" s="714"/>
      <c r="P70" s="714"/>
      <c r="Q70" s="714"/>
      <c r="R70" s="714"/>
      <c r="S70" s="714"/>
      <c r="T70" s="714"/>
      <c r="U70" s="714"/>
      <c r="V70" s="714"/>
      <c r="W70" s="714"/>
      <c r="X70" s="714"/>
      <c r="Y70" s="714"/>
      <c r="Z70" s="714"/>
      <c r="AA70" s="715"/>
      <c r="AB70" s="715"/>
      <c r="AC70" s="715"/>
      <c r="AD70" s="715"/>
      <c r="AE70" s="715"/>
      <c r="AF70" s="715"/>
      <c r="AG70" s="715"/>
      <c r="AH70" s="715"/>
      <c r="AI70" s="715"/>
      <c r="AJ70" s="715"/>
      <c r="AK70" s="716"/>
      <c r="AL70" s="716"/>
      <c r="AM70" s="716"/>
      <c r="AN70" s="717" t="str">
        <f>CONCATENATE("SUBTOTAL DO ITEM ",A67)</f>
        <v>SUBTOTAL DO ITEM 4.2.1.</v>
      </c>
      <c r="AO70" s="718">
        <f>SUM(AO68:AR69)</f>
        <v>16658.02</v>
      </c>
      <c r="AP70" s="718"/>
      <c r="AQ70" s="718"/>
      <c r="AR70" s="719"/>
    </row>
    <row r="71" customHeight="1" spans="1:44">
      <c r="A71" s="693" t="str">
        <f>CONCATENATE(A66,"2.")</f>
        <v>4.2.2.</v>
      </c>
      <c r="B71" s="694"/>
      <c r="C71" s="500"/>
      <c r="D71" s="501"/>
      <c r="E71" s="501"/>
      <c r="F71" s="501"/>
      <c r="G71" s="501"/>
      <c r="H71" s="501"/>
      <c r="I71" s="696" t="s">
        <v>880</v>
      </c>
      <c r="J71" s="696"/>
      <c r="K71" s="696"/>
      <c r="L71" s="696"/>
      <c r="M71" s="696"/>
      <c r="N71" s="696"/>
      <c r="O71" s="696"/>
      <c r="P71" s="696"/>
      <c r="Q71" s="696"/>
      <c r="R71" s="696"/>
      <c r="S71" s="696"/>
      <c r="T71" s="696"/>
      <c r="U71" s="696"/>
      <c r="V71" s="696"/>
      <c r="W71" s="591"/>
      <c r="X71" s="591"/>
      <c r="Y71" s="591"/>
      <c r="Z71" s="591"/>
      <c r="AA71" s="697"/>
      <c r="AB71" s="697"/>
      <c r="AC71" s="697"/>
      <c r="AD71" s="697"/>
      <c r="AE71" s="697"/>
      <c r="AF71" s="697"/>
      <c r="AG71" s="697"/>
      <c r="AH71" s="697"/>
      <c r="AI71" s="697"/>
      <c r="AJ71" s="697"/>
      <c r="AK71" s="697"/>
      <c r="AL71" s="697"/>
      <c r="AM71" s="697"/>
      <c r="AN71" s="697"/>
      <c r="AO71" s="698"/>
      <c r="AP71" s="698"/>
      <c r="AQ71" s="698"/>
      <c r="AR71" s="699"/>
    </row>
    <row r="72" customHeight="1" spans="1:44">
      <c r="A72" s="720" t="s">
        <v>31</v>
      </c>
      <c r="B72" s="720"/>
      <c r="C72" s="720" t="s">
        <v>633</v>
      </c>
      <c r="D72" s="720"/>
      <c r="E72" s="720"/>
      <c r="F72" s="720" t="s">
        <v>634</v>
      </c>
      <c r="G72" s="720"/>
      <c r="H72" s="720"/>
      <c r="I72" s="720" t="s">
        <v>870</v>
      </c>
      <c r="J72" s="720"/>
      <c r="K72" s="720"/>
      <c r="L72" s="720"/>
      <c r="M72" s="720"/>
      <c r="N72" s="720"/>
      <c r="O72" s="720"/>
      <c r="P72" s="720"/>
      <c r="Q72" s="720"/>
      <c r="R72" s="720"/>
      <c r="S72" s="720"/>
      <c r="T72" s="720"/>
      <c r="U72" s="720"/>
      <c r="V72" s="720"/>
      <c r="W72" s="720" t="s">
        <v>666</v>
      </c>
      <c r="X72" s="720"/>
      <c r="Y72" s="720" t="s">
        <v>824</v>
      </c>
      <c r="Z72" s="720"/>
      <c r="AA72" s="721" t="s">
        <v>808</v>
      </c>
      <c r="AB72" s="721"/>
      <c r="AC72" s="721"/>
      <c r="AD72" s="721"/>
      <c r="AE72" s="721"/>
      <c r="AF72" s="721"/>
      <c r="AG72" s="721" t="s">
        <v>881</v>
      </c>
      <c r="AH72" s="721"/>
      <c r="AI72" s="721"/>
      <c r="AJ72" s="721"/>
      <c r="AK72" s="721"/>
      <c r="AL72" s="721"/>
      <c r="AM72" s="721"/>
      <c r="AN72" s="721"/>
      <c r="AO72" s="722" t="s">
        <v>875</v>
      </c>
      <c r="AP72" s="722"/>
      <c r="AQ72" s="722"/>
      <c r="AR72" s="722"/>
    </row>
    <row r="73" ht="17.25" customHeight="1" spans="1:44">
      <c r="A73" s="720"/>
      <c r="B73" s="720"/>
      <c r="C73" s="720"/>
      <c r="D73" s="720"/>
      <c r="E73" s="720"/>
      <c r="F73" s="720"/>
      <c r="G73" s="720"/>
      <c r="H73" s="720"/>
      <c r="I73" s="720"/>
      <c r="J73" s="720"/>
      <c r="K73" s="720"/>
      <c r="L73" s="720"/>
      <c r="M73" s="720"/>
      <c r="N73" s="720"/>
      <c r="O73" s="720"/>
      <c r="P73" s="720"/>
      <c r="Q73" s="720"/>
      <c r="R73" s="720"/>
      <c r="S73" s="720"/>
      <c r="T73" s="720"/>
      <c r="U73" s="720"/>
      <c r="V73" s="720"/>
      <c r="W73" s="720"/>
      <c r="X73" s="720"/>
      <c r="Y73" s="720"/>
      <c r="Z73" s="720"/>
      <c r="AA73" s="723" t="s">
        <v>882</v>
      </c>
      <c r="AB73" s="723"/>
      <c r="AC73" s="723"/>
      <c r="AD73" s="723" t="s">
        <v>883</v>
      </c>
      <c r="AE73" s="723"/>
      <c r="AF73" s="723"/>
      <c r="AG73" s="723" t="s">
        <v>884</v>
      </c>
      <c r="AH73" s="723"/>
      <c r="AI73" s="723"/>
      <c r="AJ73" s="723"/>
      <c r="AK73" s="723" t="s">
        <v>885</v>
      </c>
      <c r="AL73" s="723"/>
      <c r="AM73" s="723"/>
      <c r="AN73" s="723"/>
      <c r="AO73" s="722"/>
      <c r="AP73" s="722"/>
      <c r="AQ73" s="722"/>
      <c r="AR73" s="722"/>
    </row>
    <row r="74" customHeight="1" spans="1:44">
      <c r="A74" s="203" t="str">
        <f>CONCATENATE(A71,"1.")</f>
        <v>4.2.2.1.</v>
      </c>
      <c r="B74" s="205"/>
      <c r="C74" s="203" t="s">
        <v>97</v>
      </c>
      <c r="D74" s="204"/>
      <c r="E74" s="205"/>
      <c r="F74" s="738" t="s">
        <v>696</v>
      </c>
      <c r="G74" s="739"/>
      <c r="H74" s="772"/>
      <c r="I74" s="700" t="str">
        <f>+VLOOKUP(F74,Equipamentos!A:K,2,"falso")</f>
        <v>Veículo tipo van furgão com capacidade de 1,38 t - 100 kW</v>
      </c>
      <c r="J74" s="701"/>
      <c r="K74" s="701"/>
      <c r="L74" s="701"/>
      <c r="M74" s="701"/>
      <c r="N74" s="701"/>
      <c r="O74" s="701"/>
      <c r="P74" s="701"/>
      <c r="Q74" s="701"/>
      <c r="R74" s="701"/>
      <c r="S74" s="701"/>
      <c r="T74" s="701"/>
      <c r="U74" s="701"/>
      <c r="V74" s="773"/>
      <c r="W74" s="203" t="s">
        <v>879</v>
      </c>
      <c r="X74" s="205"/>
      <c r="Y74" s="740">
        <f>AA69</f>
        <v>1</v>
      </c>
      <c r="Z74" s="741"/>
      <c r="AA74" s="774">
        <v>44</v>
      </c>
      <c r="AB74" s="775"/>
      <c r="AC74" s="776"/>
      <c r="AD74" s="727">
        <f>$AD$24</f>
        <v>138.49</v>
      </c>
      <c r="AE74" s="728"/>
      <c r="AF74" s="729"/>
      <c r="AG74" s="777">
        <f>+VLOOKUP($F74,Equipamentos!A:K,10,"falso")</f>
        <v>93.7824</v>
      </c>
      <c r="AH74" s="778"/>
      <c r="AI74" s="778"/>
      <c r="AJ74" s="779"/>
      <c r="AK74" s="777">
        <f>+VLOOKUP($F74,Equipamentos!A:K,11,"falso")</f>
        <v>52.6179</v>
      </c>
      <c r="AL74" s="778"/>
      <c r="AM74" s="778"/>
      <c r="AN74" s="779"/>
      <c r="AO74" s="698">
        <f>ROUND((Y74*((AA74*AG74)+(AD74*AK74))),2)</f>
        <v>11413.48</v>
      </c>
      <c r="AP74" s="698"/>
      <c r="AQ74" s="698"/>
      <c r="AR74" s="699"/>
    </row>
    <row r="75" customHeight="1" spans="1:44">
      <c r="A75" s="713"/>
      <c r="B75" s="714"/>
      <c r="C75" s="714"/>
      <c r="D75" s="714"/>
      <c r="E75" s="714"/>
      <c r="F75" s="714"/>
      <c r="G75" s="714"/>
      <c r="H75" s="714"/>
      <c r="I75" s="714"/>
      <c r="J75" s="714"/>
      <c r="K75" s="714"/>
      <c r="L75" s="714"/>
      <c r="M75" s="714"/>
      <c r="N75" s="714"/>
      <c r="O75" s="714"/>
      <c r="P75" s="714"/>
      <c r="Q75" s="714"/>
      <c r="R75" s="714"/>
      <c r="S75" s="714"/>
      <c r="T75" s="714"/>
      <c r="U75" s="714"/>
      <c r="V75" s="714"/>
      <c r="W75" s="714"/>
      <c r="X75" s="714"/>
      <c r="Y75" s="714"/>
      <c r="Z75" s="714"/>
      <c r="AA75" s="715"/>
      <c r="AB75" s="715"/>
      <c r="AC75" s="715"/>
      <c r="AD75" s="715"/>
      <c r="AE75" s="715"/>
      <c r="AF75" s="715"/>
      <c r="AG75" s="715"/>
      <c r="AH75" s="715"/>
      <c r="AI75" s="715"/>
      <c r="AJ75" s="715"/>
      <c r="AK75" s="716"/>
      <c r="AL75" s="716"/>
      <c r="AM75" s="716"/>
      <c r="AN75" s="717" t="str">
        <f>CONCATENATE("SUBTOTAL DO ITEM ",A71)</f>
        <v>SUBTOTAL DO ITEM 4.2.2.</v>
      </c>
      <c r="AO75" s="718">
        <f>SUM(AO74:AR74)</f>
        <v>11413.48</v>
      </c>
      <c r="AP75" s="718"/>
      <c r="AQ75" s="718"/>
      <c r="AR75" s="719"/>
    </row>
    <row r="76" customHeight="1" spans="1:44">
      <c r="A76" s="750"/>
      <c r="B76" s="751"/>
      <c r="C76" s="751"/>
      <c r="D76" s="751"/>
      <c r="E76" s="751"/>
      <c r="F76" s="751"/>
      <c r="G76" s="751"/>
      <c r="H76" s="751"/>
      <c r="I76" s="751"/>
      <c r="J76" s="751"/>
      <c r="K76" s="751"/>
      <c r="L76" s="751"/>
      <c r="M76" s="751"/>
      <c r="N76" s="751"/>
      <c r="O76" s="751"/>
      <c r="P76" s="751"/>
      <c r="Q76" s="751"/>
      <c r="R76" s="751"/>
      <c r="S76" s="751"/>
      <c r="T76" s="751"/>
      <c r="U76" s="751"/>
      <c r="V76" s="751"/>
      <c r="W76" s="751"/>
      <c r="X76" s="751"/>
      <c r="Y76" s="751"/>
      <c r="Z76" s="751"/>
      <c r="AA76" s="752"/>
      <c r="AB76" s="752"/>
      <c r="AC76" s="752"/>
      <c r="AD76" s="752"/>
      <c r="AE76" s="752"/>
      <c r="AF76" s="752"/>
      <c r="AG76" s="752"/>
      <c r="AH76" s="752"/>
      <c r="AI76" s="752"/>
      <c r="AJ76" s="752"/>
      <c r="AK76" s="753"/>
      <c r="AL76" s="753"/>
      <c r="AM76" s="753"/>
      <c r="AN76" s="754" t="str">
        <f>CONCATENATE("TOTAL DA MÃO DE OBRA ",A59)</f>
        <v>TOTAL DA MÃO DE OBRA PARCELA VARIÁVEL DA ADMINISTRAÇÃO LOCAL</v>
      </c>
      <c r="AO76" s="755">
        <f>AO65+AO70+AO75</f>
        <v>30654.75</v>
      </c>
      <c r="AP76" s="755"/>
      <c r="AQ76" s="755"/>
      <c r="AR76" s="756"/>
    </row>
    <row r="77" s="610" customFormat="1" customHeight="1" spans="1:44">
      <c r="A77" s="757"/>
      <c r="B77" s="757"/>
      <c r="C77" s="757"/>
      <c r="D77" s="757"/>
      <c r="E77" s="757"/>
      <c r="F77" s="757"/>
      <c r="G77" s="757"/>
      <c r="H77" s="757"/>
      <c r="I77" s="757"/>
      <c r="J77" s="757"/>
      <c r="K77" s="757"/>
      <c r="L77" s="757"/>
      <c r="M77" s="757"/>
      <c r="N77" s="757"/>
      <c r="O77" s="757"/>
      <c r="P77" s="757"/>
      <c r="Q77" s="757"/>
      <c r="R77" s="757"/>
      <c r="S77" s="757"/>
      <c r="T77" s="757"/>
      <c r="U77" s="757"/>
      <c r="V77" s="757"/>
      <c r="W77" s="757"/>
      <c r="X77" s="757"/>
      <c r="Y77" s="757"/>
      <c r="Z77" s="757"/>
      <c r="AA77" s="758"/>
      <c r="AB77" s="758"/>
      <c r="AC77" s="758"/>
      <c r="AD77" s="758"/>
      <c r="AE77" s="758"/>
      <c r="AF77" s="758"/>
      <c r="AG77" s="758"/>
      <c r="AH77" s="758"/>
      <c r="AI77" s="758"/>
      <c r="AJ77" s="758"/>
      <c r="AK77" s="759"/>
      <c r="AL77" s="759"/>
      <c r="AM77" s="759"/>
      <c r="AN77" s="760"/>
      <c r="AO77" s="761"/>
      <c r="AP77" s="761"/>
      <c r="AQ77" s="761"/>
      <c r="AR77" s="761"/>
    </row>
    <row r="78" ht="17.25" customHeight="1" spans="1:44">
      <c r="A78" s="533" t="s">
        <v>891</v>
      </c>
      <c r="B78" s="534"/>
      <c r="C78" s="534"/>
      <c r="D78" s="534"/>
      <c r="E78" s="534"/>
      <c r="F78" s="534"/>
      <c r="G78" s="534"/>
      <c r="H78" s="534"/>
      <c r="I78" s="534"/>
      <c r="J78" s="534"/>
      <c r="K78" s="534"/>
      <c r="L78" s="534"/>
      <c r="M78" s="534"/>
      <c r="N78" s="534"/>
      <c r="O78" s="534"/>
      <c r="P78" s="534"/>
      <c r="Q78" s="534"/>
      <c r="R78" s="534"/>
      <c r="S78" s="534"/>
      <c r="T78" s="534"/>
      <c r="U78" s="534"/>
      <c r="V78" s="534"/>
      <c r="W78" s="534"/>
      <c r="X78" s="534"/>
      <c r="Y78" s="534"/>
      <c r="Z78" s="534"/>
      <c r="AA78" s="534"/>
      <c r="AB78" s="534"/>
      <c r="AC78" s="534"/>
      <c r="AD78" s="534"/>
      <c r="AE78" s="534"/>
      <c r="AF78" s="534"/>
      <c r="AG78" s="534"/>
      <c r="AH78" s="534"/>
      <c r="AI78" s="534"/>
      <c r="AJ78" s="534"/>
      <c r="AK78" s="534"/>
      <c r="AL78" s="534"/>
      <c r="AM78" s="534"/>
      <c r="AN78" s="534"/>
      <c r="AO78" s="534"/>
      <c r="AP78" s="534"/>
      <c r="AQ78" s="534"/>
      <c r="AR78" s="535"/>
    </row>
    <row r="79" customHeight="1" spans="1:44">
      <c r="A79" s="720" t="s">
        <v>31</v>
      </c>
      <c r="B79" s="720"/>
      <c r="C79" s="720" t="s">
        <v>633</v>
      </c>
      <c r="D79" s="720"/>
      <c r="E79" s="720"/>
      <c r="F79" s="720" t="s">
        <v>634</v>
      </c>
      <c r="G79" s="720"/>
      <c r="H79" s="720"/>
      <c r="I79" s="683" t="s">
        <v>870</v>
      </c>
      <c r="J79" s="781"/>
      <c r="K79" s="781"/>
      <c r="L79" s="781"/>
      <c r="M79" s="781"/>
      <c r="N79" s="781"/>
      <c r="O79" s="781"/>
      <c r="P79" s="781"/>
      <c r="Q79" s="781"/>
      <c r="R79" s="781"/>
      <c r="S79" s="781"/>
      <c r="T79" s="781"/>
      <c r="U79" s="781"/>
      <c r="V79" s="781"/>
      <c r="W79" s="781"/>
      <c r="X79" s="781"/>
      <c r="Y79" s="781"/>
      <c r="Z79" s="781"/>
      <c r="AA79" s="781"/>
      <c r="AB79" s="684"/>
      <c r="AC79" s="721" t="s">
        <v>892</v>
      </c>
      <c r="AD79" s="721"/>
      <c r="AE79" s="721"/>
      <c r="AF79" s="721"/>
      <c r="AG79" s="721" t="s">
        <v>893</v>
      </c>
      <c r="AH79" s="721"/>
      <c r="AI79" s="721"/>
      <c r="AJ79" s="721"/>
      <c r="AK79" s="721" t="s">
        <v>894</v>
      </c>
      <c r="AL79" s="721"/>
      <c r="AM79" s="721"/>
      <c r="AN79" s="721"/>
      <c r="AO79" s="722" t="s">
        <v>895</v>
      </c>
      <c r="AP79" s="722"/>
      <c r="AQ79" s="722"/>
      <c r="AR79" s="722"/>
    </row>
    <row r="80" customHeight="1" spans="1:44">
      <c r="A80" s="693" t="s">
        <v>896</v>
      </c>
      <c r="B80" s="694"/>
      <c r="C80" s="66"/>
      <c r="D80" s="67"/>
      <c r="E80" s="67"/>
      <c r="F80" s="67"/>
      <c r="G80" s="67"/>
      <c r="H80" s="67"/>
      <c r="I80" s="694" t="s">
        <v>897</v>
      </c>
      <c r="J80" s="694"/>
      <c r="K80" s="694"/>
      <c r="L80" s="694"/>
      <c r="M80" s="694"/>
      <c r="N80" s="694"/>
      <c r="O80" s="694"/>
      <c r="P80" s="694"/>
      <c r="Q80" s="694"/>
      <c r="R80" s="694"/>
      <c r="S80" s="694"/>
      <c r="T80" s="694"/>
      <c r="U80" s="694"/>
      <c r="V80" s="694"/>
      <c r="W80" s="694"/>
      <c r="X80" s="694"/>
      <c r="Y80" s="694"/>
      <c r="Z80" s="694"/>
      <c r="AA80" s="694"/>
      <c r="AB80" s="694"/>
      <c r="AC80" s="715"/>
      <c r="AD80" s="695"/>
      <c r="AE80" s="695"/>
      <c r="AF80" s="695"/>
      <c r="AG80" s="695"/>
      <c r="AH80" s="695"/>
      <c r="AI80" s="695"/>
      <c r="AJ80" s="695"/>
      <c r="AK80" s="695"/>
      <c r="AL80" s="695"/>
      <c r="AM80" s="695"/>
      <c r="AN80" s="695"/>
      <c r="AO80" s="782"/>
      <c r="AP80" s="782"/>
      <c r="AQ80" s="782"/>
      <c r="AR80" s="783"/>
    </row>
    <row r="81" customHeight="1" spans="1:44">
      <c r="A81" s="700" t="str">
        <f>CONCATENATE(A80,"1.")</f>
        <v>5.1.</v>
      </c>
      <c r="B81" s="701"/>
      <c r="C81" s="590" t="s">
        <v>97</v>
      </c>
      <c r="D81" s="591"/>
      <c r="E81" s="591"/>
      <c r="F81" s="588">
        <v>1107900</v>
      </c>
      <c r="G81" s="702"/>
      <c r="H81" s="702"/>
      <c r="I81" s="700" t="e">
        <f>+VLOOKUP($F81,#REF!,2,"falso")</f>
        <v>#REF!</v>
      </c>
      <c r="J81" s="701"/>
      <c r="K81" s="701"/>
      <c r="L81" s="701"/>
      <c r="M81" s="701"/>
      <c r="N81" s="701"/>
      <c r="O81" s="701"/>
      <c r="P81" s="701"/>
      <c r="Q81" s="701"/>
      <c r="R81" s="701"/>
      <c r="S81" s="701"/>
      <c r="T81" s="701"/>
      <c r="U81" s="701"/>
      <c r="V81" s="701"/>
      <c r="W81" s="701"/>
      <c r="X81" s="701"/>
      <c r="Y81" s="701"/>
      <c r="Z81" s="701"/>
      <c r="AA81" s="701"/>
      <c r="AB81" s="701"/>
      <c r="AC81" s="526" t="e">
        <f>+VLOOKUP($F81,#REF!,3,"falso")</f>
        <v>#REF!</v>
      </c>
      <c r="AD81" s="526"/>
      <c r="AE81" s="526"/>
      <c r="AF81" s="526"/>
      <c r="AG81" s="784">
        <f>Orçamento!AF167</f>
        <v>116.24</v>
      </c>
      <c r="AH81" s="784"/>
      <c r="AI81" s="784"/>
      <c r="AJ81" s="785"/>
      <c r="AK81" s="786">
        <v>1100</v>
      </c>
      <c r="AL81" s="786"/>
      <c r="AM81" s="786"/>
      <c r="AN81" s="787"/>
      <c r="AO81" s="788">
        <f>ROUND(AG81/AK81,2)</f>
        <v>0.11</v>
      </c>
      <c r="AP81" s="788"/>
      <c r="AQ81" s="788"/>
      <c r="AR81" s="789"/>
    </row>
    <row r="82" customHeight="1" spans="1:44">
      <c r="A82" s="700" t="str">
        <f>CONCATENATE(A80,"2.")</f>
        <v>5.2.</v>
      </c>
      <c r="B82" s="773"/>
      <c r="C82" s="590" t="s">
        <v>97</v>
      </c>
      <c r="D82" s="591"/>
      <c r="E82" s="591"/>
      <c r="F82" s="588">
        <v>1107908</v>
      </c>
      <c r="G82" s="702"/>
      <c r="H82" s="702"/>
      <c r="I82" s="700" t="e">
        <f>+VLOOKUP($F82,#REF!,2,"falso")</f>
        <v>#REF!</v>
      </c>
      <c r="J82" s="701"/>
      <c r="K82" s="701"/>
      <c r="L82" s="701"/>
      <c r="M82" s="701"/>
      <c r="N82" s="701"/>
      <c r="O82" s="701"/>
      <c r="P82" s="701"/>
      <c r="Q82" s="701"/>
      <c r="R82" s="701"/>
      <c r="S82" s="701"/>
      <c r="T82" s="701"/>
      <c r="U82" s="701"/>
      <c r="V82" s="701"/>
      <c r="W82" s="701"/>
      <c r="X82" s="701"/>
      <c r="Y82" s="701"/>
      <c r="Z82" s="701"/>
      <c r="AA82" s="701"/>
      <c r="AB82" s="701"/>
      <c r="AC82" s="526" t="e">
        <f>+VLOOKUP($F82,#REF!,3,"falso")</f>
        <v>#REF!</v>
      </c>
      <c r="AD82" s="526"/>
      <c r="AE82" s="526"/>
      <c r="AF82" s="526"/>
      <c r="AG82" s="784">
        <f>Orçamento!AF171</f>
        <v>21.65</v>
      </c>
      <c r="AH82" s="784"/>
      <c r="AI82" s="784"/>
      <c r="AJ82" s="785"/>
      <c r="AK82" s="786">
        <v>1100</v>
      </c>
      <c r="AL82" s="786"/>
      <c r="AM82" s="786"/>
      <c r="AN82" s="787"/>
      <c r="AO82" s="788">
        <f>ROUND(AG82/AK82,2)</f>
        <v>0.02</v>
      </c>
      <c r="AP82" s="788"/>
      <c r="AQ82" s="788"/>
      <c r="AR82" s="789"/>
    </row>
    <row r="83" ht="17.25" customHeight="1" spans="1:44">
      <c r="A83" s="750"/>
      <c r="B83" s="751"/>
      <c r="C83" s="751"/>
      <c r="D83" s="751"/>
      <c r="E83" s="751"/>
      <c r="F83" s="751"/>
      <c r="G83" s="751"/>
      <c r="H83" s="751"/>
      <c r="I83" s="751"/>
      <c r="J83" s="751"/>
      <c r="K83" s="751"/>
      <c r="L83" s="751"/>
      <c r="M83" s="751"/>
      <c r="N83" s="751"/>
      <c r="O83" s="751"/>
      <c r="P83" s="751"/>
      <c r="Q83" s="751"/>
      <c r="R83" s="751"/>
      <c r="S83" s="751"/>
      <c r="T83" s="751"/>
      <c r="U83" s="751"/>
      <c r="V83" s="751"/>
      <c r="W83" s="751"/>
      <c r="X83" s="751"/>
      <c r="Y83" s="751"/>
      <c r="Z83" s="751"/>
      <c r="AA83" s="752"/>
      <c r="AB83" s="752"/>
      <c r="AC83" s="752"/>
      <c r="AD83" s="752"/>
      <c r="AE83" s="752"/>
      <c r="AF83" s="752"/>
      <c r="AG83" s="752"/>
      <c r="AH83" s="752"/>
      <c r="AI83" s="752"/>
      <c r="AJ83" s="752"/>
      <c r="AK83" s="753"/>
      <c r="AL83" s="753"/>
      <c r="AM83" s="753"/>
      <c r="AN83" s="754" t="s">
        <v>898</v>
      </c>
      <c r="AO83" s="790">
        <f>ROUND(SUM(AO81:AR82),2)</f>
        <v>0.13</v>
      </c>
      <c r="AP83" s="790"/>
      <c r="AQ83" s="790"/>
      <c r="AR83" s="791"/>
    </row>
    <row r="84" s="610" customFormat="1" customHeight="1" spans="1:44">
      <c r="A84" s="757"/>
      <c r="B84" s="757"/>
      <c r="C84" s="757"/>
      <c r="D84" s="757"/>
      <c r="E84" s="757"/>
      <c r="F84" s="757"/>
      <c r="G84" s="757"/>
      <c r="H84" s="757"/>
      <c r="I84" s="757"/>
      <c r="J84" s="757"/>
      <c r="K84" s="757"/>
      <c r="L84" s="757"/>
      <c r="M84" s="757"/>
      <c r="N84" s="757"/>
      <c r="O84" s="757"/>
      <c r="P84" s="757"/>
      <c r="Q84" s="757"/>
      <c r="R84" s="757"/>
      <c r="S84" s="757"/>
      <c r="T84" s="757"/>
      <c r="U84" s="757"/>
      <c r="V84" s="757"/>
      <c r="W84" s="757"/>
      <c r="X84" s="757"/>
      <c r="Y84" s="757"/>
      <c r="Z84" s="757"/>
      <c r="AA84" s="758"/>
      <c r="AB84" s="758"/>
      <c r="AC84" s="758"/>
      <c r="AD84" s="758"/>
      <c r="AE84" s="758"/>
      <c r="AF84" s="758"/>
      <c r="AG84" s="758"/>
      <c r="AH84" s="758"/>
      <c r="AI84" s="758"/>
      <c r="AJ84" s="758"/>
      <c r="AK84" s="759"/>
      <c r="AL84" s="759"/>
      <c r="AM84" s="759"/>
      <c r="AN84" s="760"/>
      <c r="AO84" s="761"/>
      <c r="AP84" s="761"/>
      <c r="AQ84" s="761"/>
      <c r="AR84" s="761"/>
    </row>
    <row r="85" ht="17.25" customHeight="1" spans="1:44">
      <c r="A85" s="792" t="s">
        <v>163</v>
      </c>
      <c r="B85" s="793"/>
      <c r="C85" s="793"/>
      <c r="D85" s="793"/>
      <c r="E85" s="793"/>
      <c r="F85" s="793"/>
      <c r="G85" s="793"/>
      <c r="H85" s="793"/>
      <c r="I85" s="793"/>
      <c r="J85" s="793"/>
      <c r="K85" s="793"/>
      <c r="L85" s="793"/>
      <c r="M85" s="793"/>
      <c r="N85" s="793"/>
      <c r="O85" s="793"/>
      <c r="P85" s="793"/>
      <c r="Q85" s="793"/>
      <c r="R85" s="793"/>
      <c r="S85" s="793"/>
      <c r="T85" s="793"/>
      <c r="U85" s="793"/>
      <c r="V85" s="793"/>
      <c r="W85" s="793"/>
      <c r="X85" s="793"/>
      <c r="Y85" s="793"/>
      <c r="Z85" s="793"/>
      <c r="AA85" s="793"/>
      <c r="AB85" s="793"/>
      <c r="AC85" s="793"/>
      <c r="AD85" s="793"/>
      <c r="AE85" s="793"/>
      <c r="AF85" s="793"/>
      <c r="AG85" s="793"/>
      <c r="AH85" s="793"/>
      <c r="AI85" s="793"/>
      <c r="AJ85" s="793"/>
      <c r="AK85" s="793"/>
      <c r="AL85" s="793"/>
      <c r="AM85" s="793"/>
      <c r="AN85" s="793"/>
      <c r="AO85" s="793"/>
      <c r="AP85" s="793"/>
      <c r="AQ85" s="793"/>
      <c r="AR85" s="794"/>
    </row>
    <row r="86" ht="17.25" customHeight="1" spans="1:44">
      <c r="A86" s="720" t="s">
        <v>31</v>
      </c>
      <c r="B86" s="720"/>
      <c r="C86" s="720" t="s">
        <v>633</v>
      </c>
      <c r="D86" s="720"/>
      <c r="E86" s="720"/>
      <c r="F86" s="720" t="s">
        <v>634</v>
      </c>
      <c r="G86" s="720"/>
      <c r="H86" s="720"/>
      <c r="I86" s="683" t="s">
        <v>870</v>
      </c>
      <c r="J86" s="781"/>
      <c r="K86" s="781"/>
      <c r="L86" s="781"/>
      <c r="M86" s="781"/>
      <c r="N86" s="781"/>
      <c r="O86" s="781"/>
      <c r="P86" s="781"/>
      <c r="Q86" s="781"/>
      <c r="R86" s="781"/>
      <c r="S86" s="781"/>
      <c r="T86" s="781"/>
      <c r="U86" s="781"/>
      <c r="V86" s="781"/>
      <c r="W86" s="781"/>
      <c r="X86" s="684"/>
      <c r="Y86" s="721" t="s">
        <v>899</v>
      </c>
      <c r="Z86" s="721"/>
      <c r="AA86" s="721"/>
      <c r="AB86" s="721"/>
      <c r="AC86" s="721" t="s">
        <v>892</v>
      </c>
      <c r="AD86" s="721"/>
      <c r="AE86" s="721"/>
      <c r="AF86" s="721"/>
      <c r="AG86" s="721" t="s">
        <v>874</v>
      </c>
      <c r="AH86" s="721"/>
      <c r="AI86" s="721"/>
      <c r="AJ86" s="721"/>
      <c r="AK86" s="721" t="s">
        <v>900</v>
      </c>
      <c r="AL86" s="721"/>
      <c r="AM86" s="721"/>
      <c r="AN86" s="721"/>
      <c r="AO86" s="722" t="s">
        <v>875</v>
      </c>
      <c r="AP86" s="722"/>
      <c r="AQ86" s="722"/>
      <c r="AR86" s="722"/>
    </row>
    <row r="87" customHeight="1" spans="1:44">
      <c r="A87" s="795" t="s">
        <v>901</v>
      </c>
      <c r="B87" s="796"/>
      <c r="C87" s="797"/>
      <c r="D87" s="798"/>
      <c r="E87" s="798"/>
      <c r="F87" s="798"/>
      <c r="G87" s="798"/>
      <c r="H87" s="798"/>
      <c r="I87" s="796" t="s">
        <v>902</v>
      </c>
      <c r="J87" s="796"/>
      <c r="K87" s="796"/>
      <c r="L87" s="796"/>
      <c r="M87" s="796"/>
      <c r="N87" s="796"/>
      <c r="O87" s="796"/>
      <c r="P87" s="796"/>
      <c r="Q87" s="796"/>
      <c r="R87" s="796"/>
      <c r="S87" s="796"/>
      <c r="T87" s="796"/>
      <c r="U87" s="796"/>
      <c r="V87" s="796"/>
      <c r="W87" s="796"/>
      <c r="X87" s="796"/>
      <c r="Y87" s="799"/>
      <c r="Z87" s="799"/>
      <c r="AA87" s="800"/>
      <c r="AB87" s="800"/>
      <c r="AC87" s="800"/>
      <c r="AD87" s="800"/>
      <c r="AE87" s="800"/>
      <c r="AF87" s="800"/>
      <c r="AG87" s="800"/>
      <c r="AH87" s="800"/>
      <c r="AI87" s="800"/>
      <c r="AJ87" s="800"/>
      <c r="AK87" s="800"/>
      <c r="AL87" s="800"/>
      <c r="AM87" s="800"/>
      <c r="AN87" s="800"/>
      <c r="AO87" s="801"/>
      <c r="AP87" s="801"/>
      <c r="AQ87" s="801"/>
      <c r="AR87" s="802"/>
    </row>
    <row r="88" customHeight="1" spans="1:44">
      <c r="A88" s="700" t="str">
        <f>CONCATENATE(A87,"1.")</f>
        <v>6.1.</v>
      </c>
      <c r="B88" s="701"/>
      <c r="C88" s="590"/>
      <c r="D88" s="591"/>
      <c r="E88" s="591"/>
      <c r="F88" s="591"/>
      <c r="G88" s="591"/>
      <c r="H88" s="591"/>
      <c r="I88" s="701" t="s">
        <v>878</v>
      </c>
      <c r="J88" s="701"/>
      <c r="K88" s="701"/>
      <c r="L88" s="701"/>
      <c r="M88" s="701"/>
      <c r="N88" s="701"/>
      <c r="O88" s="701"/>
      <c r="P88" s="701"/>
      <c r="Q88" s="701"/>
      <c r="R88" s="701"/>
      <c r="S88" s="701"/>
      <c r="T88" s="701"/>
      <c r="U88" s="701"/>
      <c r="V88" s="701"/>
      <c r="W88" s="701"/>
      <c r="X88" s="701"/>
      <c r="Y88" s="701"/>
      <c r="Z88" s="701"/>
      <c r="AA88" s="701"/>
      <c r="AB88" s="701"/>
      <c r="AC88" s="701"/>
      <c r="AD88" s="701"/>
      <c r="AE88" s="701"/>
      <c r="AF88" s="701"/>
      <c r="AG88" s="701"/>
      <c r="AH88" s="701"/>
      <c r="AI88" s="701"/>
      <c r="AJ88" s="701"/>
      <c r="AK88" s="701"/>
      <c r="AL88" s="701"/>
      <c r="AM88" s="701"/>
      <c r="AN88" s="701"/>
      <c r="AO88" s="701"/>
      <c r="AP88" s="701"/>
      <c r="AQ88" s="701"/>
      <c r="AR88" s="773"/>
    </row>
    <row r="89" ht="17.25" customHeight="1" spans="1:44">
      <c r="A89" s="700" t="str">
        <f>CONCATENATE(A88,"1.")</f>
        <v>6.1.1.</v>
      </c>
      <c r="B89" s="701"/>
      <c r="C89" s="590" t="s">
        <v>97</v>
      </c>
      <c r="D89" s="591"/>
      <c r="E89" s="591"/>
      <c r="F89" s="588" t="s">
        <v>903</v>
      </c>
      <c r="G89" s="702"/>
      <c r="H89" s="702"/>
      <c r="I89" s="803" t="str">
        <f>+VLOOKUP(F89,'Mão de Obra'!A:J,2,"falso")</f>
        <v>Pedreiro - mensalista</v>
      </c>
      <c r="J89" s="804"/>
      <c r="K89" s="804"/>
      <c r="L89" s="804"/>
      <c r="M89" s="804"/>
      <c r="N89" s="804"/>
      <c r="O89" s="804"/>
      <c r="P89" s="804"/>
      <c r="Q89" s="804"/>
      <c r="R89" s="804"/>
      <c r="S89" s="804"/>
      <c r="T89" s="804"/>
      <c r="U89" s="804"/>
      <c r="V89" s="804"/>
      <c r="W89" s="804"/>
      <c r="X89" s="805"/>
      <c r="Y89" s="806">
        <v>0.1</v>
      </c>
      <c r="Z89" s="806"/>
      <c r="AA89" s="806"/>
      <c r="AB89" s="806"/>
      <c r="AC89" s="526" t="str">
        <f>+VLOOKUP(F89,'Mão de Obra'!A:J,3,"falso")</f>
        <v>mês</v>
      </c>
      <c r="AD89" s="526"/>
      <c r="AE89" s="526"/>
      <c r="AF89" s="526"/>
      <c r="AG89" s="807">
        <f>+VLOOKUP(F89,'Mão de Obra'!A:J,9,"falso")</f>
        <v>5463.7457</v>
      </c>
      <c r="AH89" s="807"/>
      <c r="AI89" s="807"/>
      <c r="AJ89" s="807"/>
      <c r="AK89" s="669">
        <f ca="1">AB$98</f>
        <v>0.6087</v>
      </c>
      <c r="AL89" s="669"/>
      <c r="AM89" s="669"/>
      <c r="AN89" s="669"/>
      <c r="AO89" s="512">
        <f ca="1">ROUND((Y89*AK89)*AG89,2)</f>
        <v>332.58</v>
      </c>
      <c r="AP89" s="513"/>
      <c r="AQ89" s="513"/>
      <c r="AR89" s="514"/>
    </row>
    <row r="90" ht="17.25" customHeight="1" spans="1:44">
      <c r="A90" s="700" t="str">
        <f>CONCATENATE(A88,"2.")</f>
        <v>6.1.2.</v>
      </c>
      <c r="B90" s="773"/>
      <c r="C90" s="590" t="s">
        <v>97</v>
      </c>
      <c r="D90" s="591"/>
      <c r="E90" s="591"/>
      <c r="F90" s="738" t="s">
        <v>904</v>
      </c>
      <c r="G90" s="739"/>
      <c r="H90" s="739"/>
      <c r="I90" s="700" t="str">
        <f>+VLOOKUP(F90,'Mão de Obra'!A:J,2,"falso")</f>
        <v>Servente - mensalista</v>
      </c>
      <c r="J90" s="701"/>
      <c r="K90" s="701"/>
      <c r="L90" s="701"/>
      <c r="M90" s="701"/>
      <c r="N90" s="701"/>
      <c r="O90" s="701"/>
      <c r="P90" s="701"/>
      <c r="Q90" s="701"/>
      <c r="R90" s="701"/>
      <c r="S90" s="701"/>
      <c r="T90" s="701"/>
      <c r="U90" s="701"/>
      <c r="V90" s="701"/>
      <c r="W90" s="701"/>
      <c r="X90" s="773"/>
      <c r="Y90" s="806">
        <v>0.1</v>
      </c>
      <c r="Z90" s="806"/>
      <c r="AA90" s="806"/>
      <c r="AB90" s="806"/>
      <c r="AC90" s="526" t="str">
        <f>+VLOOKUP(F90,'Mão de Obra'!A:J,3,"falso")</f>
        <v>mês</v>
      </c>
      <c r="AD90" s="526"/>
      <c r="AE90" s="526"/>
      <c r="AF90" s="526"/>
      <c r="AG90" s="807">
        <f>+VLOOKUP(F90,'Mão de Obra'!A:J,9,"falso")</f>
        <v>4355.1438</v>
      </c>
      <c r="AH90" s="807"/>
      <c r="AI90" s="807"/>
      <c r="AJ90" s="807"/>
      <c r="AK90" s="669">
        <f ca="1">AB$98</f>
        <v>0.6087</v>
      </c>
      <c r="AL90" s="669"/>
      <c r="AM90" s="669"/>
      <c r="AN90" s="669"/>
      <c r="AO90" s="512">
        <f ca="1">ROUND((Y90*AK90)*AG90,2)</f>
        <v>265.1</v>
      </c>
      <c r="AP90" s="513"/>
      <c r="AQ90" s="513"/>
      <c r="AR90" s="514"/>
    </row>
    <row r="91" ht="17.25" customHeight="1" spans="1:44">
      <c r="A91" s="700" t="str">
        <f>CONCATENATE(A88,"3.")</f>
        <v>6.1.3.</v>
      </c>
      <c r="B91" s="773"/>
      <c r="C91" s="590" t="s">
        <v>97</v>
      </c>
      <c r="D91" s="591"/>
      <c r="E91" s="591"/>
      <c r="F91" s="738" t="s">
        <v>905</v>
      </c>
      <c r="G91" s="739"/>
      <c r="H91" s="739"/>
      <c r="I91" s="700" t="str">
        <f>+VLOOKUP(F91,'Mão de Obra'!A:J,2,"falso")</f>
        <v>Eletricista - mensalista</v>
      </c>
      <c r="J91" s="701"/>
      <c r="K91" s="701"/>
      <c r="L91" s="701"/>
      <c r="M91" s="701"/>
      <c r="N91" s="701"/>
      <c r="O91" s="701"/>
      <c r="P91" s="701"/>
      <c r="Q91" s="701"/>
      <c r="R91" s="701"/>
      <c r="S91" s="701"/>
      <c r="T91" s="701"/>
      <c r="U91" s="701"/>
      <c r="V91" s="701"/>
      <c r="W91" s="701"/>
      <c r="X91" s="773"/>
      <c r="Y91" s="806">
        <v>0.1</v>
      </c>
      <c r="Z91" s="806"/>
      <c r="AA91" s="806"/>
      <c r="AB91" s="806"/>
      <c r="AC91" s="526" t="str">
        <f>+VLOOKUP(F91,'Mão de Obra'!A:J,3,"falso")</f>
        <v>mês</v>
      </c>
      <c r="AD91" s="526"/>
      <c r="AE91" s="526"/>
      <c r="AF91" s="526"/>
      <c r="AG91" s="807">
        <f>+VLOOKUP(F91,'Mão de Obra'!A:J,9,"falso")</f>
        <v>6366.2823</v>
      </c>
      <c r="AH91" s="807"/>
      <c r="AI91" s="807"/>
      <c r="AJ91" s="807"/>
      <c r="AK91" s="669">
        <f ca="1">AB$98</f>
        <v>0.6087</v>
      </c>
      <c r="AL91" s="669"/>
      <c r="AM91" s="669"/>
      <c r="AN91" s="669"/>
      <c r="AO91" s="512">
        <f ca="1">ROUND((Y91*AK91)*AG91,2)</f>
        <v>387.52</v>
      </c>
      <c r="AP91" s="513"/>
      <c r="AQ91" s="513"/>
      <c r="AR91" s="514"/>
    </row>
    <row r="92" customHeight="1" spans="1:44">
      <c r="A92" s="713"/>
      <c r="B92" s="714"/>
      <c r="C92" s="714"/>
      <c r="D92" s="714"/>
      <c r="E92" s="714"/>
      <c r="F92" s="714"/>
      <c r="G92" s="714"/>
      <c r="H92" s="714"/>
      <c r="I92" s="714"/>
      <c r="J92" s="714"/>
      <c r="K92" s="714"/>
      <c r="L92" s="714"/>
      <c r="M92" s="714"/>
      <c r="N92" s="714"/>
      <c r="O92" s="714"/>
      <c r="P92" s="714"/>
      <c r="Q92" s="714"/>
      <c r="R92" s="714"/>
      <c r="S92" s="714"/>
      <c r="T92" s="714"/>
      <c r="U92" s="714"/>
      <c r="V92" s="714"/>
      <c r="W92" s="714"/>
      <c r="X92" s="714"/>
      <c r="Y92" s="714"/>
      <c r="Z92" s="714"/>
      <c r="AA92" s="715"/>
      <c r="AB92" s="715"/>
      <c r="AC92" s="715"/>
      <c r="AD92" s="715"/>
      <c r="AE92" s="715"/>
      <c r="AF92" s="715"/>
      <c r="AG92" s="715"/>
      <c r="AH92" s="715"/>
      <c r="AI92" s="715"/>
      <c r="AJ92" s="715"/>
      <c r="AK92" s="716"/>
      <c r="AL92" s="716"/>
      <c r="AM92" s="716"/>
      <c r="AN92" s="717" t="str">
        <f>CONCATENATE("SUBTOTAL DO ITEM ",A88)</f>
        <v>SUBTOTAL DO ITEM 6.1.</v>
      </c>
      <c r="AO92" s="718">
        <f ca="1">SUM(AO89:AR91)</f>
        <v>985.2</v>
      </c>
      <c r="AP92" s="718"/>
      <c r="AQ92" s="718"/>
      <c r="AR92" s="719"/>
    </row>
    <row r="93" ht="17.25" customHeight="1" spans="1:44">
      <c r="A93" s="750"/>
      <c r="B93" s="751"/>
      <c r="C93" s="751"/>
      <c r="D93" s="751"/>
      <c r="E93" s="751"/>
      <c r="F93" s="751"/>
      <c r="G93" s="751"/>
      <c r="H93" s="751"/>
      <c r="I93" s="751"/>
      <c r="J93" s="751"/>
      <c r="K93" s="751"/>
      <c r="L93" s="751"/>
      <c r="M93" s="751"/>
      <c r="N93" s="751"/>
      <c r="O93" s="751"/>
      <c r="P93" s="751"/>
      <c r="Q93" s="751"/>
      <c r="R93" s="751"/>
      <c r="S93" s="751"/>
      <c r="T93" s="751"/>
      <c r="U93" s="751"/>
      <c r="V93" s="751"/>
      <c r="W93" s="751"/>
      <c r="X93" s="751"/>
      <c r="Y93" s="751"/>
      <c r="Z93" s="751"/>
      <c r="AA93" s="752"/>
      <c r="AB93" s="752"/>
      <c r="AC93" s="752"/>
      <c r="AD93" s="752"/>
      <c r="AE93" s="752"/>
      <c r="AF93" s="752"/>
      <c r="AG93" s="752"/>
      <c r="AH93" s="752"/>
      <c r="AI93" s="752"/>
      <c r="AJ93" s="752"/>
      <c r="AK93" s="753"/>
      <c r="AL93" s="753"/>
      <c r="AM93" s="753"/>
      <c r="AN93" s="754" t="str">
        <f>CONCATENATE("TOTAL DA ",I87)</f>
        <v>TOTAL DA MANUTENÇÃO DO CANTEIRO DE OBRAS E ACAMPAMENTOS</v>
      </c>
      <c r="AO93" s="755">
        <f ca="1">AO92</f>
        <v>985.2</v>
      </c>
      <c r="AP93" s="755"/>
      <c r="AQ93" s="755"/>
      <c r="AR93" s="756"/>
    </row>
    <row r="94" ht="17.25" customHeight="1"/>
    <row r="95" ht="17.25" customHeight="1" spans="1:44">
      <c r="A95" s="533" t="s">
        <v>906</v>
      </c>
      <c r="B95" s="534"/>
      <c r="C95" s="534"/>
      <c r="D95" s="534"/>
      <c r="E95" s="534"/>
      <c r="F95" s="534"/>
      <c r="G95" s="534"/>
      <c r="H95" s="534"/>
      <c r="I95" s="534"/>
      <c r="J95" s="534"/>
      <c r="K95" s="534"/>
      <c r="L95" s="534"/>
      <c r="M95" s="534"/>
      <c r="N95" s="534"/>
      <c r="O95" s="534"/>
      <c r="P95" s="534"/>
      <c r="Q95" s="534"/>
      <c r="R95" s="534"/>
      <c r="S95" s="534"/>
      <c r="T95" s="534"/>
      <c r="U95" s="534"/>
      <c r="V95" s="534"/>
      <c r="W95" s="534"/>
      <c r="X95" s="534"/>
      <c r="Y95" s="534"/>
      <c r="Z95" s="534"/>
      <c r="AA95" s="534"/>
      <c r="AB95" s="534"/>
      <c r="AC95" s="534"/>
      <c r="AD95" s="534"/>
      <c r="AE95" s="534"/>
      <c r="AF95" s="534"/>
      <c r="AG95" s="534"/>
      <c r="AH95" s="534"/>
      <c r="AI95" s="534"/>
      <c r="AJ95" s="534"/>
      <c r="AK95" s="534"/>
      <c r="AL95" s="534"/>
      <c r="AM95" s="534"/>
      <c r="AN95" s="534"/>
      <c r="AO95" s="534"/>
      <c r="AP95" s="534"/>
      <c r="AQ95" s="534"/>
      <c r="AR95" s="535"/>
    </row>
    <row r="96" ht="12.75" customHeight="1" spans="1:44">
      <c r="A96" s="808" t="s">
        <v>907</v>
      </c>
      <c r="B96" s="809"/>
      <c r="C96" s="809"/>
      <c r="D96" s="809"/>
      <c r="E96" s="809"/>
      <c r="F96" s="809"/>
      <c r="G96" s="809"/>
      <c r="H96" s="809"/>
      <c r="I96" s="809"/>
      <c r="J96" s="809"/>
      <c r="K96" s="809"/>
      <c r="L96" s="809"/>
      <c r="M96" s="809"/>
      <c r="N96" s="809"/>
      <c r="O96" s="809"/>
      <c r="P96" s="809"/>
      <c r="Q96" s="809"/>
      <c r="R96" s="809"/>
      <c r="S96" s="809"/>
      <c r="T96" s="809"/>
      <c r="U96" s="809"/>
      <c r="V96" s="809"/>
      <c r="W96" s="809"/>
      <c r="X96" s="809"/>
      <c r="Y96" s="809"/>
      <c r="Z96" s="809"/>
      <c r="AA96" s="809"/>
      <c r="AB96" s="810">
        <v>305.17</v>
      </c>
      <c r="AC96" s="810"/>
      <c r="AD96" s="810"/>
      <c r="AE96" s="810"/>
      <c r="AF96" s="810"/>
      <c r="AG96" s="811" t="s">
        <v>7</v>
      </c>
      <c r="AH96" s="812"/>
      <c r="AI96" s="812"/>
      <c r="AJ96" s="812"/>
      <c r="AK96" s="812"/>
      <c r="AL96" s="812"/>
      <c r="AM96" s="812"/>
      <c r="AN96" s="812"/>
      <c r="AO96" s="813"/>
      <c r="AP96" s="813"/>
      <c r="AQ96" s="813"/>
      <c r="AR96" s="814"/>
    </row>
    <row r="97" ht="12.75" customHeight="1" spans="1:44">
      <c r="A97" s="808" t="s">
        <v>908</v>
      </c>
      <c r="B97" s="809"/>
      <c r="C97" s="809"/>
      <c r="D97" s="809"/>
      <c r="E97" s="809"/>
      <c r="F97" s="809"/>
      <c r="G97" s="809"/>
      <c r="H97" s="809"/>
      <c r="I97" s="809"/>
      <c r="J97" s="809"/>
      <c r="K97" s="809"/>
      <c r="L97" s="809"/>
      <c r="M97" s="809"/>
      <c r="N97" s="809"/>
      <c r="O97" s="809"/>
      <c r="P97" s="809"/>
      <c r="Q97" s="809"/>
      <c r="R97" s="809"/>
      <c r="S97" s="809"/>
      <c r="T97" s="809"/>
      <c r="U97" s="809"/>
      <c r="V97" s="809"/>
      <c r="W97" s="809"/>
      <c r="X97" s="809"/>
      <c r="Y97" s="809"/>
      <c r="Z97" s="809"/>
      <c r="AA97" s="809"/>
      <c r="AB97" s="815">
        <f ca="1">'Canteiro Qtd'!X56</f>
        <v>185.76</v>
      </c>
      <c r="AC97" s="815"/>
      <c r="AD97" s="815"/>
      <c r="AE97" s="815"/>
      <c r="AF97" s="815"/>
      <c r="AG97" s="811" t="s">
        <v>7</v>
      </c>
      <c r="AH97" s="816"/>
      <c r="AI97" s="816"/>
      <c r="AJ97" s="816"/>
      <c r="AK97" s="816"/>
      <c r="AL97" s="816"/>
      <c r="AM97" s="816"/>
      <c r="AN97" s="816"/>
      <c r="AO97" s="817"/>
      <c r="AP97" s="817"/>
      <c r="AQ97" s="817"/>
      <c r="AR97" s="818"/>
    </row>
    <row r="98" ht="12.75" customHeight="1" spans="1:44">
      <c r="A98" s="819" t="s">
        <v>909</v>
      </c>
      <c r="B98" s="820"/>
      <c r="C98" s="820"/>
      <c r="D98" s="820"/>
      <c r="E98" s="820"/>
      <c r="F98" s="820"/>
      <c r="G98" s="820"/>
      <c r="H98" s="820"/>
      <c r="I98" s="820"/>
      <c r="J98" s="820"/>
      <c r="K98" s="820"/>
      <c r="L98" s="820"/>
      <c r="M98" s="820"/>
      <c r="N98" s="820"/>
      <c r="O98" s="820"/>
      <c r="P98" s="820"/>
      <c r="Q98" s="820"/>
      <c r="R98" s="820"/>
      <c r="S98" s="820"/>
      <c r="T98" s="820"/>
      <c r="U98" s="820"/>
      <c r="V98" s="820"/>
      <c r="W98" s="820"/>
      <c r="X98" s="820"/>
      <c r="Y98" s="820"/>
      <c r="Z98" s="820"/>
      <c r="AA98" s="820"/>
      <c r="AB98" s="821">
        <f ca="1">ROUND(AB97/AB96,4)</f>
        <v>0.6087</v>
      </c>
      <c r="AC98" s="821"/>
      <c r="AD98" s="821"/>
      <c r="AE98" s="821"/>
      <c r="AF98" s="821"/>
      <c r="AG98" s="816"/>
      <c r="AH98" s="816"/>
      <c r="AI98" s="816"/>
      <c r="AJ98" s="816"/>
      <c r="AK98" s="816"/>
      <c r="AL98" s="816"/>
      <c r="AM98" s="816"/>
      <c r="AN98" s="816"/>
      <c r="AO98" s="817"/>
      <c r="AP98" s="817"/>
      <c r="AQ98" s="817"/>
      <c r="AR98" s="818"/>
    </row>
    <row r="100" ht="17.25" customHeight="1" spans="1:44">
      <c r="A100" s="533" t="s">
        <v>910</v>
      </c>
      <c r="B100" s="534"/>
      <c r="C100" s="534"/>
      <c r="D100" s="534"/>
      <c r="E100" s="534"/>
      <c r="F100" s="534"/>
      <c r="G100" s="534"/>
      <c r="H100" s="534"/>
      <c r="I100" s="534"/>
      <c r="J100" s="534"/>
      <c r="K100" s="534"/>
      <c r="L100" s="534"/>
      <c r="M100" s="534"/>
      <c r="N100" s="534"/>
      <c r="O100" s="534"/>
      <c r="P100" s="534"/>
      <c r="Q100" s="534"/>
      <c r="R100" s="534"/>
      <c r="S100" s="534"/>
      <c r="T100" s="534"/>
      <c r="U100" s="534"/>
      <c r="V100" s="534"/>
      <c r="W100" s="534"/>
      <c r="X100" s="534"/>
      <c r="Y100" s="534"/>
      <c r="Z100" s="534"/>
      <c r="AA100" s="534"/>
      <c r="AB100" s="534"/>
      <c r="AC100" s="534"/>
      <c r="AD100" s="534"/>
      <c r="AE100" s="534"/>
      <c r="AF100" s="534"/>
      <c r="AG100" s="534"/>
      <c r="AH100" s="534"/>
      <c r="AI100" s="534"/>
      <c r="AJ100" s="534"/>
      <c r="AK100" s="534"/>
      <c r="AL100" s="534"/>
      <c r="AM100" s="534"/>
      <c r="AN100" s="534"/>
      <c r="AO100" s="534"/>
      <c r="AP100" s="534"/>
      <c r="AQ100" s="534"/>
      <c r="AR100" s="535"/>
    </row>
    <row r="101" customHeight="1" spans="1:44">
      <c r="A101" s="720" t="s">
        <v>31</v>
      </c>
      <c r="B101" s="720"/>
      <c r="C101" s="683" t="s">
        <v>870</v>
      </c>
      <c r="D101" s="781"/>
      <c r="E101" s="781"/>
      <c r="F101" s="781"/>
      <c r="G101" s="781"/>
      <c r="H101" s="781"/>
      <c r="I101" s="781"/>
      <c r="J101" s="781"/>
      <c r="K101" s="781"/>
      <c r="L101" s="781"/>
      <c r="M101" s="781"/>
      <c r="N101" s="781"/>
      <c r="O101" s="781"/>
      <c r="P101" s="781"/>
      <c r="Q101" s="781"/>
      <c r="R101" s="781"/>
      <c r="S101" s="781"/>
      <c r="T101" s="781"/>
      <c r="U101" s="781"/>
      <c r="V101" s="781"/>
      <c r="W101" s="781"/>
      <c r="X101" s="781"/>
      <c r="Y101" s="781"/>
      <c r="Z101" s="781"/>
      <c r="AA101" s="781"/>
      <c r="AB101" s="684"/>
      <c r="AC101" s="721" t="s">
        <v>892</v>
      </c>
      <c r="AD101" s="721"/>
      <c r="AE101" s="721"/>
      <c r="AF101" s="721"/>
      <c r="AG101" s="721" t="s">
        <v>667</v>
      </c>
      <c r="AH101" s="721"/>
      <c r="AI101" s="721"/>
      <c r="AJ101" s="721"/>
      <c r="AK101" s="721" t="s">
        <v>911</v>
      </c>
      <c r="AL101" s="721"/>
      <c r="AM101" s="721"/>
      <c r="AN101" s="721"/>
      <c r="AO101" s="722" t="s">
        <v>809</v>
      </c>
      <c r="AP101" s="722"/>
      <c r="AQ101" s="722"/>
      <c r="AR101" s="722"/>
    </row>
    <row r="102" customHeight="1" spans="1:44">
      <c r="A102" s="693" t="s">
        <v>912</v>
      </c>
      <c r="B102" s="694"/>
      <c r="C102" s="693" t="str">
        <f>A14</f>
        <v>PARCELA FIXA DA ADMINISTRAÇÃO LOCAL</v>
      </c>
      <c r="D102" s="694"/>
      <c r="E102" s="694"/>
      <c r="F102" s="694"/>
      <c r="G102" s="694"/>
      <c r="H102" s="694"/>
      <c r="I102" s="694"/>
      <c r="J102" s="694"/>
      <c r="K102" s="694"/>
      <c r="L102" s="694"/>
      <c r="M102" s="694"/>
      <c r="N102" s="694"/>
      <c r="O102" s="694"/>
      <c r="P102" s="694"/>
      <c r="Q102" s="694"/>
      <c r="R102" s="694"/>
      <c r="S102" s="694"/>
      <c r="T102" s="694"/>
      <c r="U102" s="694"/>
      <c r="V102" s="694"/>
      <c r="W102" s="694"/>
      <c r="X102" s="694"/>
      <c r="Y102" s="694"/>
      <c r="Z102" s="694"/>
      <c r="AA102" s="694"/>
      <c r="AB102" s="694"/>
      <c r="AC102" s="715"/>
      <c r="AD102" s="695"/>
      <c r="AE102" s="695"/>
      <c r="AF102" s="695"/>
      <c r="AG102" s="695"/>
      <c r="AH102" s="695"/>
      <c r="AI102" s="695"/>
      <c r="AJ102" s="695"/>
      <c r="AK102" s="695"/>
      <c r="AL102" s="695"/>
      <c r="AM102" s="695"/>
      <c r="AN102" s="695"/>
      <c r="AO102" s="513"/>
      <c r="AP102" s="513"/>
      <c r="AQ102" s="513"/>
      <c r="AR102" s="514"/>
    </row>
    <row r="103" customHeight="1" spans="1:44">
      <c r="A103" s="700" t="str">
        <f>CONCATENATE(A102,"1.")</f>
        <v>7.1.</v>
      </c>
      <c r="B103" s="701"/>
      <c r="C103" s="700" t="str">
        <f>I16</f>
        <v>GERÊNCIA TÉCNICA</v>
      </c>
      <c r="D103" s="701"/>
      <c r="E103" s="701"/>
      <c r="F103" s="701"/>
      <c r="G103" s="701"/>
      <c r="H103" s="701"/>
      <c r="I103" s="701"/>
      <c r="J103" s="701"/>
      <c r="K103" s="701"/>
      <c r="L103" s="701"/>
      <c r="M103" s="701"/>
      <c r="N103" s="701"/>
      <c r="O103" s="701"/>
      <c r="P103" s="701"/>
      <c r="Q103" s="701"/>
      <c r="R103" s="701"/>
      <c r="S103" s="701"/>
      <c r="T103" s="701"/>
      <c r="U103" s="701"/>
      <c r="V103" s="701"/>
      <c r="W103" s="701"/>
      <c r="X103" s="701"/>
      <c r="Y103" s="701"/>
      <c r="Z103" s="701"/>
      <c r="AA103" s="701"/>
      <c r="AB103" s="701"/>
      <c r="AC103" s="526" t="s">
        <v>913</v>
      </c>
      <c r="AD103" s="526"/>
      <c r="AE103" s="526"/>
      <c r="AF103" s="526"/>
      <c r="AG103" s="806">
        <f>TRUNC(AO11/30,0)-2</f>
        <v>2</v>
      </c>
      <c r="AH103" s="806"/>
      <c r="AI103" s="806"/>
      <c r="AJ103" s="806"/>
      <c r="AK103" s="807">
        <f>TRUNC(AO26,2)</f>
        <v>6059.97</v>
      </c>
      <c r="AL103" s="807"/>
      <c r="AM103" s="807"/>
      <c r="AN103" s="807"/>
      <c r="AO103" s="622">
        <f>ROUND(AG103*AK103,2)</f>
        <v>12119.94</v>
      </c>
      <c r="AP103" s="622"/>
      <c r="AQ103" s="622"/>
      <c r="AR103" s="622"/>
    </row>
    <row r="104" customHeight="1" spans="1:44">
      <c r="A104" s="700" t="str">
        <f>CONCATENATE(A102,"2.")</f>
        <v>7.2.</v>
      </c>
      <c r="B104" s="773"/>
      <c r="C104" s="700" t="str">
        <f>I27</f>
        <v>GERÊNCIA ADMINISTRATIVA</v>
      </c>
      <c r="D104" s="701"/>
      <c r="E104" s="701"/>
      <c r="F104" s="701"/>
      <c r="G104" s="701"/>
      <c r="H104" s="701"/>
      <c r="I104" s="701"/>
      <c r="J104" s="701"/>
      <c r="K104" s="701"/>
      <c r="L104" s="701"/>
      <c r="M104" s="701"/>
      <c r="N104" s="701"/>
      <c r="O104" s="701"/>
      <c r="P104" s="701"/>
      <c r="Q104" s="701"/>
      <c r="R104" s="701"/>
      <c r="S104" s="701"/>
      <c r="T104" s="701"/>
      <c r="U104" s="701"/>
      <c r="V104" s="701"/>
      <c r="W104" s="701"/>
      <c r="X104" s="701"/>
      <c r="Y104" s="701"/>
      <c r="Z104" s="701"/>
      <c r="AA104" s="701"/>
      <c r="AB104" s="701"/>
      <c r="AC104" s="526" t="s">
        <v>913</v>
      </c>
      <c r="AD104" s="526"/>
      <c r="AE104" s="526"/>
      <c r="AF104" s="526"/>
      <c r="AG104" s="806">
        <f>AG$103</f>
        <v>2</v>
      </c>
      <c r="AH104" s="806"/>
      <c r="AI104" s="806"/>
      <c r="AJ104" s="806"/>
      <c r="AK104" s="807">
        <f>TRUNC(AO37,2)</f>
        <v>13321.99</v>
      </c>
      <c r="AL104" s="807"/>
      <c r="AM104" s="807"/>
      <c r="AN104" s="807"/>
      <c r="AO104" s="622">
        <f>ROUND(AG104*AK104,2)</f>
        <v>26643.98</v>
      </c>
      <c r="AP104" s="622"/>
      <c r="AQ104" s="622"/>
      <c r="AR104" s="622"/>
    </row>
    <row r="105" customHeight="1" spans="1:44">
      <c r="A105" s="713"/>
      <c r="B105" s="714"/>
      <c r="C105" s="714"/>
      <c r="D105" s="714"/>
      <c r="E105" s="714"/>
      <c r="F105" s="714"/>
      <c r="G105" s="714"/>
      <c r="H105" s="714"/>
      <c r="I105" s="714"/>
      <c r="J105" s="714"/>
      <c r="K105" s="714"/>
      <c r="L105" s="714"/>
      <c r="M105" s="714"/>
      <c r="N105" s="714"/>
      <c r="O105" s="714"/>
      <c r="P105" s="714"/>
      <c r="Q105" s="714"/>
      <c r="R105" s="714"/>
      <c r="S105" s="714"/>
      <c r="T105" s="714"/>
      <c r="U105" s="714"/>
      <c r="V105" s="714"/>
      <c r="W105" s="714"/>
      <c r="X105" s="714"/>
      <c r="Y105" s="714"/>
      <c r="Z105" s="714"/>
      <c r="AA105" s="715"/>
      <c r="AB105" s="715"/>
      <c r="AC105" s="715"/>
      <c r="AD105" s="715"/>
      <c r="AE105" s="715"/>
      <c r="AF105" s="715"/>
      <c r="AG105" s="715"/>
      <c r="AH105" s="715"/>
      <c r="AI105" s="715"/>
      <c r="AJ105" s="715"/>
      <c r="AK105" s="716"/>
      <c r="AL105" s="716"/>
      <c r="AM105" s="716"/>
      <c r="AN105" s="717" t="str">
        <f>CONCATENATE("SUBTOTAL DO ITEM ",A102)</f>
        <v>SUBTOTAL DO ITEM 7.</v>
      </c>
      <c r="AO105" s="718">
        <f>SUM(AO103:AR104)</f>
        <v>38763.92</v>
      </c>
      <c r="AP105" s="718"/>
      <c r="AQ105" s="718"/>
      <c r="AR105" s="719"/>
    </row>
    <row r="106" customHeight="1" spans="1:44">
      <c r="A106" s="693" t="s">
        <v>914</v>
      </c>
      <c r="B106" s="694"/>
      <c r="C106" s="693" t="str">
        <f>A40</f>
        <v>PARCELA VINCULADA DA ADMINISTRAÇÃO LOCAL</v>
      </c>
      <c r="D106" s="694"/>
      <c r="E106" s="694"/>
      <c r="F106" s="694"/>
      <c r="G106" s="694"/>
      <c r="H106" s="694"/>
      <c r="I106" s="694"/>
      <c r="J106" s="694"/>
      <c r="K106" s="694"/>
      <c r="L106" s="694"/>
      <c r="M106" s="694"/>
      <c r="N106" s="694"/>
      <c r="O106" s="694"/>
      <c r="P106" s="694"/>
      <c r="Q106" s="694"/>
      <c r="R106" s="694"/>
      <c r="S106" s="694"/>
      <c r="T106" s="694"/>
      <c r="U106" s="694"/>
      <c r="V106" s="694"/>
      <c r="W106" s="694"/>
      <c r="X106" s="694"/>
      <c r="Y106" s="694"/>
      <c r="Z106" s="694"/>
      <c r="AA106" s="694"/>
      <c r="AB106" s="694"/>
      <c r="AC106" s="715"/>
      <c r="AD106" s="695"/>
      <c r="AE106" s="695"/>
      <c r="AF106" s="695"/>
      <c r="AG106" s="695"/>
      <c r="AH106" s="695"/>
      <c r="AI106" s="695"/>
      <c r="AJ106" s="695"/>
      <c r="AK106" s="695"/>
      <c r="AL106" s="695"/>
      <c r="AM106" s="695"/>
      <c r="AN106" s="695"/>
      <c r="AO106" s="513"/>
      <c r="AP106" s="513"/>
      <c r="AQ106" s="513"/>
      <c r="AR106" s="514"/>
    </row>
    <row r="107" customHeight="1" spans="1:44">
      <c r="A107" s="700" t="str">
        <f>CONCATENATE(A106,"1.")</f>
        <v>8.1.</v>
      </c>
      <c r="B107" s="701"/>
      <c r="C107" s="700" t="str">
        <f>I43</f>
        <v>EQUIPE DE TOPOGRAFIA</v>
      </c>
      <c r="D107" s="701"/>
      <c r="E107" s="701"/>
      <c r="F107" s="701"/>
      <c r="G107" s="701"/>
      <c r="H107" s="701"/>
      <c r="I107" s="701"/>
      <c r="J107" s="701"/>
      <c r="K107" s="701"/>
      <c r="L107" s="701"/>
      <c r="M107" s="701"/>
      <c r="N107" s="701"/>
      <c r="O107" s="701"/>
      <c r="P107" s="701"/>
      <c r="Q107" s="701"/>
      <c r="R107" s="701"/>
      <c r="S107" s="701"/>
      <c r="T107" s="701"/>
      <c r="U107" s="701"/>
      <c r="V107" s="701"/>
      <c r="W107" s="701"/>
      <c r="X107" s="701"/>
      <c r="Y107" s="701"/>
      <c r="Z107" s="701"/>
      <c r="AA107" s="701"/>
      <c r="AB107" s="701"/>
      <c r="AC107" s="526" t="s">
        <v>913</v>
      </c>
      <c r="AD107" s="526"/>
      <c r="AE107" s="526"/>
      <c r="AF107" s="526"/>
      <c r="AG107" s="806">
        <f>AG103*0.1</f>
        <v>0.2</v>
      </c>
      <c r="AH107" s="806"/>
      <c r="AI107" s="806"/>
      <c r="AJ107" s="806"/>
      <c r="AK107" s="807">
        <f>AO47+AO52</f>
        <v>29212.54</v>
      </c>
      <c r="AL107" s="807"/>
      <c r="AM107" s="807"/>
      <c r="AN107" s="807"/>
      <c r="AO107" s="622">
        <f>ROUND(AG107*AK107,2)</f>
        <v>5842.51</v>
      </c>
      <c r="AP107" s="622"/>
      <c r="AQ107" s="622"/>
      <c r="AR107" s="622"/>
    </row>
    <row r="108" customHeight="1" spans="1:44">
      <c r="A108" s="700" t="str">
        <f>CONCATENATE(A106,"2.")</f>
        <v>8.2.</v>
      </c>
      <c r="B108" s="773"/>
      <c r="C108" s="700" t="str">
        <f>I53</f>
        <v>EQUIPE DE MEDICINA E SEGURANÇA DO TRABALHO</v>
      </c>
      <c r="D108" s="701"/>
      <c r="E108" s="701"/>
      <c r="F108" s="701"/>
      <c r="G108" s="701"/>
      <c r="H108" s="701"/>
      <c r="I108" s="701"/>
      <c r="J108" s="701"/>
      <c r="K108" s="701"/>
      <c r="L108" s="701"/>
      <c r="M108" s="701"/>
      <c r="N108" s="701"/>
      <c r="O108" s="701"/>
      <c r="P108" s="701"/>
      <c r="Q108" s="701"/>
      <c r="R108" s="701"/>
      <c r="S108" s="701"/>
      <c r="T108" s="701"/>
      <c r="U108" s="701"/>
      <c r="V108" s="701"/>
      <c r="W108" s="701"/>
      <c r="X108" s="701"/>
      <c r="Y108" s="701"/>
      <c r="Z108" s="701"/>
      <c r="AA108" s="701"/>
      <c r="AB108" s="701"/>
      <c r="AC108" s="526" t="s">
        <v>913</v>
      </c>
      <c r="AD108" s="526"/>
      <c r="AE108" s="526"/>
      <c r="AF108" s="526"/>
      <c r="AG108" s="806">
        <f>AG$103</f>
        <v>2</v>
      </c>
      <c r="AH108" s="806"/>
      <c r="AI108" s="806"/>
      <c r="AJ108" s="806"/>
      <c r="AK108" s="807">
        <f>AO56</f>
        <v>7837.01</v>
      </c>
      <c r="AL108" s="807"/>
      <c r="AM108" s="807"/>
      <c r="AN108" s="807"/>
      <c r="AO108" s="622">
        <f>ROUND(AG108*AK108,2)</f>
        <v>15674.02</v>
      </c>
      <c r="AP108" s="622"/>
      <c r="AQ108" s="622"/>
      <c r="AR108" s="622"/>
    </row>
    <row r="109" customHeight="1" spans="1:44">
      <c r="A109" s="713"/>
      <c r="B109" s="714"/>
      <c r="C109" s="714"/>
      <c r="D109" s="714"/>
      <c r="E109" s="714"/>
      <c r="F109" s="714"/>
      <c r="G109" s="714"/>
      <c r="H109" s="714"/>
      <c r="I109" s="714"/>
      <c r="J109" s="714"/>
      <c r="K109" s="714"/>
      <c r="L109" s="714"/>
      <c r="M109" s="714"/>
      <c r="N109" s="714"/>
      <c r="O109" s="714"/>
      <c r="P109" s="714"/>
      <c r="Q109" s="714"/>
      <c r="R109" s="714"/>
      <c r="S109" s="714"/>
      <c r="T109" s="714"/>
      <c r="U109" s="714"/>
      <c r="V109" s="714"/>
      <c r="W109" s="714"/>
      <c r="X109" s="714"/>
      <c r="Y109" s="714"/>
      <c r="Z109" s="714"/>
      <c r="AA109" s="715"/>
      <c r="AB109" s="715"/>
      <c r="AC109" s="715"/>
      <c r="AD109" s="715"/>
      <c r="AE109" s="715"/>
      <c r="AF109" s="715"/>
      <c r="AG109" s="715"/>
      <c r="AH109" s="715"/>
      <c r="AI109" s="715"/>
      <c r="AJ109" s="715"/>
      <c r="AK109" s="716"/>
      <c r="AL109" s="716"/>
      <c r="AM109" s="716"/>
      <c r="AN109" s="717" t="str">
        <f>CONCATENATE("SUBTOTAL DO ITEM ",A106)</f>
        <v>SUBTOTAL DO ITEM 8.</v>
      </c>
      <c r="AO109" s="718">
        <f>SUM(AO107:AR108)</f>
        <v>21516.53</v>
      </c>
      <c r="AP109" s="718"/>
      <c r="AQ109" s="718"/>
      <c r="AR109" s="719"/>
    </row>
    <row r="110" customHeight="1" spans="1:44">
      <c r="A110" s="693" t="s">
        <v>915</v>
      </c>
      <c r="B110" s="694"/>
      <c r="C110" s="693" t="str">
        <f>I61</f>
        <v>PARCELA VARIÁVEL</v>
      </c>
      <c r="D110" s="694"/>
      <c r="E110" s="694"/>
      <c r="F110" s="694"/>
      <c r="G110" s="694"/>
      <c r="H110" s="694"/>
      <c r="I110" s="694"/>
      <c r="J110" s="694"/>
      <c r="K110" s="694"/>
      <c r="L110" s="694"/>
      <c r="M110" s="694"/>
      <c r="N110" s="694"/>
      <c r="O110" s="694"/>
      <c r="P110" s="694"/>
      <c r="Q110" s="694"/>
      <c r="R110" s="694"/>
      <c r="S110" s="694"/>
      <c r="T110" s="694"/>
      <c r="U110" s="694"/>
      <c r="V110" s="694"/>
      <c r="W110" s="694"/>
      <c r="X110" s="694"/>
      <c r="Y110" s="694"/>
      <c r="Z110" s="694"/>
      <c r="AA110" s="694"/>
      <c r="AB110" s="694"/>
      <c r="AC110" s="715"/>
      <c r="AD110" s="695"/>
      <c r="AE110" s="695"/>
      <c r="AF110" s="695"/>
      <c r="AG110" s="695"/>
      <c r="AH110" s="695"/>
      <c r="AI110" s="695"/>
      <c r="AJ110" s="695"/>
      <c r="AK110" s="695"/>
      <c r="AL110" s="695"/>
      <c r="AM110" s="695"/>
      <c r="AN110" s="695"/>
      <c r="AO110" s="513"/>
      <c r="AP110" s="513"/>
      <c r="AQ110" s="513"/>
      <c r="AR110" s="514"/>
    </row>
    <row r="111" customHeight="1" spans="1:44">
      <c r="A111" s="700" t="str">
        <f>CONCATENATE(A110,"1.")</f>
        <v>9.1.</v>
      </c>
      <c r="B111" s="701"/>
      <c r="C111" s="700" t="str">
        <f>I62</f>
        <v>EQUIPE DE FRENTE DE SERVIÇO</v>
      </c>
      <c r="D111" s="701"/>
      <c r="E111" s="701"/>
      <c r="F111" s="701"/>
      <c r="G111" s="701"/>
      <c r="H111" s="701"/>
      <c r="I111" s="701"/>
      <c r="J111" s="701"/>
      <c r="K111" s="701"/>
      <c r="L111" s="701"/>
      <c r="M111" s="701"/>
      <c r="N111" s="701"/>
      <c r="O111" s="701"/>
      <c r="P111" s="701"/>
      <c r="Q111" s="701"/>
      <c r="R111" s="701"/>
      <c r="S111" s="701"/>
      <c r="T111" s="701"/>
      <c r="U111" s="701"/>
      <c r="V111" s="701"/>
      <c r="W111" s="701"/>
      <c r="X111" s="701"/>
      <c r="Y111" s="701"/>
      <c r="Z111" s="701"/>
      <c r="AA111" s="701"/>
      <c r="AB111" s="701"/>
      <c r="AC111" s="526" t="s">
        <v>916</v>
      </c>
      <c r="AD111" s="526"/>
      <c r="AE111" s="526"/>
      <c r="AF111" s="526"/>
      <c r="AG111" s="658">
        <f>$AG$103</f>
        <v>2</v>
      </c>
      <c r="AH111" s="658"/>
      <c r="AI111" s="658"/>
      <c r="AJ111" s="658"/>
      <c r="AK111" s="807">
        <f>AO65</f>
        <v>2583.25</v>
      </c>
      <c r="AL111" s="807"/>
      <c r="AM111" s="807"/>
      <c r="AN111" s="807"/>
      <c r="AO111" s="622">
        <f>ROUND(AG111*AK111,2)</f>
        <v>5166.5</v>
      </c>
      <c r="AP111" s="622"/>
      <c r="AQ111" s="622"/>
      <c r="AR111" s="622"/>
    </row>
    <row r="112" customHeight="1" spans="1:44">
      <c r="A112" s="700" t="str">
        <f>CONCATENATE(A110,"2.")</f>
        <v>9.2.</v>
      </c>
      <c r="B112" s="773"/>
      <c r="C112" s="700" t="str">
        <f>I66</f>
        <v>LABORATÓRIO DE CONCRETO</v>
      </c>
      <c r="D112" s="701"/>
      <c r="E112" s="701"/>
      <c r="F112" s="701"/>
      <c r="G112" s="701"/>
      <c r="H112" s="701"/>
      <c r="I112" s="701"/>
      <c r="J112" s="701"/>
      <c r="K112" s="701"/>
      <c r="L112" s="701"/>
      <c r="M112" s="701"/>
      <c r="N112" s="701"/>
      <c r="O112" s="701"/>
      <c r="P112" s="701"/>
      <c r="Q112" s="701"/>
      <c r="R112" s="701"/>
      <c r="S112" s="701"/>
      <c r="T112" s="701"/>
      <c r="U112" s="701"/>
      <c r="V112" s="701"/>
      <c r="W112" s="701"/>
      <c r="X112" s="701"/>
      <c r="Y112" s="701"/>
      <c r="Z112" s="701"/>
      <c r="AA112" s="701"/>
      <c r="AB112" s="701"/>
      <c r="AC112" s="526" t="s">
        <v>916</v>
      </c>
      <c r="AD112" s="526"/>
      <c r="AE112" s="526"/>
      <c r="AF112" s="526"/>
      <c r="AG112" s="658">
        <f>AO83</f>
        <v>0.13</v>
      </c>
      <c r="AH112" s="658"/>
      <c r="AI112" s="658"/>
      <c r="AJ112" s="658"/>
      <c r="AK112" s="807">
        <f>AO70+AO75</f>
        <v>28071.5</v>
      </c>
      <c r="AL112" s="807"/>
      <c r="AM112" s="807"/>
      <c r="AN112" s="807"/>
      <c r="AO112" s="622">
        <f>ROUND(AG112*AK112,2)</f>
        <v>3649.3</v>
      </c>
      <c r="AP112" s="622"/>
      <c r="AQ112" s="622"/>
      <c r="AR112" s="622"/>
    </row>
    <row r="113" customHeight="1" spans="1:44">
      <c r="A113" s="713"/>
      <c r="B113" s="714"/>
      <c r="C113" s="714"/>
      <c r="D113" s="714"/>
      <c r="E113" s="714"/>
      <c r="F113" s="714"/>
      <c r="G113" s="714"/>
      <c r="H113" s="714"/>
      <c r="I113" s="714"/>
      <c r="J113" s="714"/>
      <c r="K113" s="714"/>
      <c r="L113" s="714"/>
      <c r="M113" s="714"/>
      <c r="N113" s="714"/>
      <c r="O113" s="714"/>
      <c r="P113" s="714"/>
      <c r="Q113" s="714"/>
      <c r="R113" s="714"/>
      <c r="S113" s="714"/>
      <c r="T113" s="714"/>
      <c r="U113" s="714"/>
      <c r="V113" s="714"/>
      <c r="W113" s="714"/>
      <c r="X113" s="714"/>
      <c r="Y113" s="714"/>
      <c r="Z113" s="714"/>
      <c r="AA113" s="715"/>
      <c r="AB113" s="715"/>
      <c r="AC113" s="715"/>
      <c r="AD113" s="715"/>
      <c r="AE113" s="715"/>
      <c r="AF113" s="715"/>
      <c r="AG113" s="715"/>
      <c r="AH113" s="715"/>
      <c r="AI113" s="715"/>
      <c r="AJ113" s="715"/>
      <c r="AK113" s="716"/>
      <c r="AL113" s="716"/>
      <c r="AM113" s="716"/>
      <c r="AN113" s="717" t="str">
        <f>CONCATENATE("SUBTOTAL DO ITEM ",A110)</f>
        <v>SUBTOTAL DO ITEM 9.</v>
      </c>
      <c r="AO113" s="718">
        <f>SUM(AO111:AR112)</f>
        <v>8815.8</v>
      </c>
      <c r="AP113" s="718"/>
      <c r="AQ113" s="718"/>
      <c r="AR113" s="719"/>
    </row>
    <row r="114" customHeight="1" spans="1:44">
      <c r="A114" s="693" t="s">
        <v>917</v>
      </c>
      <c r="B114" s="694"/>
      <c r="C114" s="693" t="str">
        <f>I87</f>
        <v>MANUTENÇÃO DO CANTEIRO DE OBRAS E ACAMPAMENTOS</v>
      </c>
      <c r="D114" s="694"/>
      <c r="E114" s="694"/>
      <c r="F114" s="694"/>
      <c r="G114" s="694"/>
      <c r="H114" s="694"/>
      <c r="I114" s="694"/>
      <c r="J114" s="694"/>
      <c r="K114" s="694"/>
      <c r="L114" s="694"/>
      <c r="M114" s="694"/>
      <c r="N114" s="694"/>
      <c r="O114" s="694"/>
      <c r="P114" s="694"/>
      <c r="Q114" s="694"/>
      <c r="R114" s="694"/>
      <c r="S114" s="694"/>
      <c r="T114" s="694"/>
      <c r="U114" s="694"/>
      <c r="V114" s="694"/>
      <c r="W114" s="694"/>
      <c r="X114" s="694"/>
      <c r="Y114" s="694"/>
      <c r="Z114" s="694"/>
      <c r="AA114" s="694"/>
      <c r="AB114" s="694"/>
      <c r="AC114" s="715"/>
      <c r="AD114" s="695"/>
      <c r="AE114" s="695"/>
      <c r="AF114" s="695"/>
      <c r="AG114" s="695"/>
      <c r="AH114" s="695"/>
      <c r="AI114" s="695"/>
      <c r="AJ114" s="695"/>
      <c r="AK114" s="695"/>
      <c r="AL114" s="695"/>
      <c r="AM114" s="695"/>
      <c r="AN114" s="695"/>
      <c r="AO114" s="513"/>
      <c r="AP114" s="513"/>
      <c r="AQ114" s="513"/>
      <c r="AR114" s="514"/>
    </row>
    <row r="115" customHeight="1" spans="1:44">
      <c r="A115" s="700" t="str">
        <f>CONCATENATE(A114,"1.")</f>
        <v>10.1.</v>
      </c>
      <c r="B115" s="701"/>
      <c r="C115" s="700" t="str">
        <f>I87</f>
        <v>MANUTENÇÃO DO CANTEIRO DE OBRAS E ACAMPAMENTOS</v>
      </c>
      <c r="D115" s="701"/>
      <c r="E115" s="701"/>
      <c r="F115" s="701"/>
      <c r="G115" s="701"/>
      <c r="H115" s="701"/>
      <c r="I115" s="701"/>
      <c r="J115" s="701"/>
      <c r="K115" s="701"/>
      <c r="L115" s="701"/>
      <c r="M115" s="701"/>
      <c r="N115" s="701"/>
      <c r="O115" s="701"/>
      <c r="P115" s="701"/>
      <c r="Q115" s="701"/>
      <c r="R115" s="701"/>
      <c r="S115" s="701"/>
      <c r="T115" s="701"/>
      <c r="U115" s="701"/>
      <c r="V115" s="701"/>
      <c r="W115" s="701"/>
      <c r="X115" s="701"/>
      <c r="Y115" s="701"/>
      <c r="Z115" s="701"/>
      <c r="AA115" s="701"/>
      <c r="AB115" s="701"/>
      <c r="AC115" s="526" t="s">
        <v>913</v>
      </c>
      <c r="AD115" s="526"/>
      <c r="AE115" s="526"/>
      <c r="AF115" s="526"/>
      <c r="AG115" s="806">
        <f>AG103</f>
        <v>2</v>
      </c>
      <c r="AH115" s="806"/>
      <c r="AI115" s="806"/>
      <c r="AJ115" s="806"/>
      <c r="AK115" s="807">
        <f ca="1">AO93</f>
        <v>985.2</v>
      </c>
      <c r="AL115" s="807"/>
      <c r="AM115" s="807"/>
      <c r="AN115" s="807"/>
      <c r="AO115" s="622">
        <f ca="1">ROUND(AG115*AK115,2)</f>
        <v>1970.4</v>
      </c>
      <c r="AP115" s="622"/>
      <c r="AQ115" s="622"/>
      <c r="AR115" s="622"/>
    </row>
    <row r="116" customHeight="1" spans="1:44">
      <c r="A116" s="713"/>
      <c r="B116" s="714"/>
      <c r="C116" s="714"/>
      <c r="D116" s="714"/>
      <c r="E116" s="714"/>
      <c r="F116" s="714"/>
      <c r="G116" s="714"/>
      <c r="H116" s="714"/>
      <c r="I116" s="714"/>
      <c r="J116" s="714"/>
      <c r="K116" s="714"/>
      <c r="L116" s="714"/>
      <c r="M116" s="714"/>
      <c r="N116" s="714"/>
      <c r="O116" s="714"/>
      <c r="P116" s="714"/>
      <c r="Q116" s="714"/>
      <c r="R116" s="714"/>
      <c r="S116" s="714"/>
      <c r="T116" s="714"/>
      <c r="U116" s="714"/>
      <c r="V116" s="714"/>
      <c r="W116" s="714"/>
      <c r="X116" s="714"/>
      <c r="Y116" s="714"/>
      <c r="Z116" s="714"/>
      <c r="AA116" s="715"/>
      <c r="AB116" s="715"/>
      <c r="AC116" s="715"/>
      <c r="AD116" s="715"/>
      <c r="AE116" s="715"/>
      <c r="AF116" s="715"/>
      <c r="AG116" s="715"/>
      <c r="AH116" s="715"/>
      <c r="AI116" s="715"/>
      <c r="AJ116" s="715"/>
      <c r="AK116" s="716"/>
      <c r="AL116" s="716"/>
      <c r="AM116" s="716"/>
      <c r="AN116" s="717" t="str">
        <f>CONCATENATE("SUBTOTAL DO ITEM ",A114)</f>
        <v>SUBTOTAL DO ITEM 10.</v>
      </c>
      <c r="AO116" s="718">
        <f ca="1">SUM(AO115:AR115)</f>
        <v>1970.4</v>
      </c>
      <c r="AP116" s="718"/>
      <c r="AQ116" s="718"/>
      <c r="AR116" s="719"/>
    </row>
    <row r="117" customHeight="1" spans="1:44">
      <c r="A117" s="713"/>
      <c r="B117" s="714"/>
      <c r="C117" s="732"/>
      <c r="D117" s="732"/>
      <c r="E117" s="732"/>
      <c r="F117" s="732"/>
      <c r="G117" s="732"/>
      <c r="H117" s="732"/>
      <c r="I117" s="732"/>
      <c r="J117" s="732"/>
      <c r="K117" s="732"/>
      <c r="L117" s="732"/>
      <c r="M117" s="732"/>
      <c r="N117" s="732"/>
      <c r="O117" s="732"/>
      <c r="P117" s="732"/>
      <c r="Q117" s="732"/>
      <c r="R117" s="732"/>
      <c r="S117" s="732"/>
      <c r="T117" s="732"/>
      <c r="U117" s="732"/>
      <c r="V117" s="732"/>
      <c r="W117" s="732"/>
      <c r="X117" s="732"/>
      <c r="Y117" s="732"/>
      <c r="Z117" s="732"/>
      <c r="AA117" s="733"/>
      <c r="AB117" s="733"/>
      <c r="AC117" s="733"/>
      <c r="AD117" s="733"/>
      <c r="AE117" s="733"/>
      <c r="AF117" s="733"/>
      <c r="AG117" s="733"/>
      <c r="AH117" s="733"/>
      <c r="AI117" s="733"/>
      <c r="AJ117" s="733"/>
      <c r="AK117" s="734"/>
      <c r="AL117" s="734"/>
      <c r="AM117" s="734"/>
      <c r="AN117" s="735" t="s">
        <v>918</v>
      </c>
      <c r="AO117" s="822">
        <f ca="1">AO105+AO109+AO113+AO116</f>
        <v>71066.65</v>
      </c>
      <c r="AP117" s="822"/>
      <c r="AQ117" s="822"/>
      <c r="AR117" s="823"/>
    </row>
    <row r="119" customHeight="1" spans="1:44">
      <c r="A119" s="720" t="s">
        <v>31</v>
      </c>
      <c r="B119" s="720"/>
      <c r="C119" s="683" t="s">
        <v>870</v>
      </c>
      <c r="D119" s="781"/>
      <c r="E119" s="781"/>
      <c r="F119" s="781"/>
      <c r="G119" s="781"/>
      <c r="H119" s="781"/>
      <c r="I119" s="781"/>
      <c r="J119" s="781"/>
      <c r="K119" s="781"/>
      <c r="L119" s="781"/>
      <c r="M119" s="781"/>
      <c r="N119" s="781"/>
      <c r="O119" s="781"/>
      <c r="P119" s="781"/>
      <c r="Q119" s="781"/>
      <c r="R119" s="781"/>
      <c r="S119" s="781"/>
      <c r="T119" s="781"/>
      <c r="U119" s="781"/>
      <c r="V119" s="781"/>
      <c r="W119" s="781"/>
      <c r="X119" s="781"/>
      <c r="Y119" s="781"/>
      <c r="Z119" s="781"/>
      <c r="AA119" s="781"/>
      <c r="AB119" s="684"/>
      <c r="AC119" s="721" t="s">
        <v>892</v>
      </c>
      <c r="AD119" s="721"/>
      <c r="AE119" s="721"/>
      <c r="AF119" s="721"/>
      <c r="AG119" s="721" t="s">
        <v>667</v>
      </c>
      <c r="AH119" s="721"/>
      <c r="AI119" s="721"/>
      <c r="AJ119" s="721"/>
      <c r="AK119" s="721" t="s">
        <v>911</v>
      </c>
      <c r="AL119" s="721"/>
      <c r="AM119" s="721"/>
      <c r="AN119" s="721"/>
      <c r="AO119" s="722" t="s">
        <v>809</v>
      </c>
      <c r="AP119" s="722"/>
      <c r="AQ119" s="722"/>
      <c r="AR119" s="722"/>
    </row>
    <row r="120" customHeight="1" spans="1:44">
      <c r="A120" s="693" t="s">
        <v>919</v>
      </c>
      <c r="B120" s="694"/>
      <c r="C120" s="693" t="s">
        <v>165</v>
      </c>
      <c r="D120" s="694"/>
      <c r="E120" s="694"/>
      <c r="F120" s="694"/>
      <c r="G120" s="694"/>
      <c r="H120" s="694"/>
      <c r="I120" s="694"/>
      <c r="J120" s="694"/>
      <c r="K120" s="694"/>
      <c r="L120" s="694"/>
      <c r="M120" s="694"/>
      <c r="N120" s="694"/>
      <c r="O120" s="694"/>
      <c r="P120" s="694"/>
      <c r="Q120" s="694"/>
      <c r="R120" s="694"/>
      <c r="S120" s="694"/>
      <c r="T120" s="694"/>
      <c r="U120" s="694"/>
      <c r="V120" s="694"/>
      <c r="W120" s="694"/>
      <c r="X120" s="694"/>
      <c r="Y120" s="694"/>
      <c r="Z120" s="694"/>
      <c r="AA120" s="694"/>
      <c r="AB120" s="694"/>
      <c r="AC120" s="715"/>
      <c r="AD120" s="695"/>
      <c r="AE120" s="695"/>
      <c r="AF120" s="695"/>
      <c r="AG120" s="695"/>
      <c r="AH120" s="695"/>
      <c r="AI120" s="695"/>
      <c r="AJ120" s="695"/>
      <c r="AK120" s="695"/>
      <c r="AL120" s="695"/>
      <c r="AM120" s="695"/>
      <c r="AN120" s="695"/>
      <c r="AO120" s="513"/>
      <c r="AP120" s="513"/>
      <c r="AQ120" s="513"/>
      <c r="AR120" s="514"/>
    </row>
    <row r="121" customHeight="1" spans="1:44">
      <c r="A121" s="700" t="str">
        <f>CONCATENATE(A120,"1.")</f>
        <v>11.1.</v>
      </c>
      <c r="B121" s="701"/>
      <c r="C121" s="700" t="str">
        <f>C120</f>
        <v>DESPESAS DIVERSAS</v>
      </c>
      <c r="D121" s="701"/>
      <c r="E121" s="701"/>
      <c r="F121" s="701"/>
      <c r="G121" s="701"/>
      <c r="H121" s="701"/>
      <c r="I121" s="701"/>
      <c r="J121" s="701"/>
      <c r="K121" s="701"/>
      <c r="L121" s="701"/>
      <c r="M121" s="701"/>
      <c r="N121" s="701"/>
      <c r="O121" s="701"/>
      <c r="P121" s="701"/>
      <c r="Q121" s="701"/>
      <c r="R121" s="701"/>
      <c r="S121" s="701"/>
      <c r="T121" s="701"/>
      <c r="U121" s="701"/>
      <c r="V121" s="701"/>
      <c r="W121" s="701"/>
      <c r="X121" s="701"/>
      <c r="Y121" s="701"/>
      <c r="Z121" s="701"/>
      <c r="AA121" s="701"/>
      <c r="AB121" s="701"/>
      <c r="AC121" s="526" t="s">
        <v>637</v>
      </c>
      <c r="AD121" s="526"/>
      <c r="AE121" s="526"/>
      <c r="AF121" s="526"/>
      <c r="AG121" s="824">
        <v>0.05</v>
      </c>
      <c r="AH121" s="824"/>
      <c r="AI121" s="824"/>
      <c r="AJ121" s="824"/>
      <c r="AK121" s="825">
        <f ca="1">AO117</f>
        <v>71066.65</v>
      </c>
      <c r="AL121" s="825"/>
      <c r="AM121" s="825"/>
      <c r="AN121" s="825"/>
      <c r="AO121" s="622">
        <f ca="1">ROUND(AG121*AK121,2)</f>
        <v>3553.33</v>
      </c>
      <c r="AP121" s="622"/>
      <c r="AQ121" s="622"/>
      <c r="AR121" s="622"/>
    </row>
    <row r="122" customHeight="1" spans="1:44">
      <c r="A122" s="713"/>
      <c r="B122" s="714"/>
      <c r="C122" s="714"/>
      <c r="D122" s="714"/>
      <c r="E122" s="714"/>
      <c r="F122" s="714"/>
      <c r="G122" s="714"/>
      <c r="H122" s="714"/>
      <c r="I122" s="714"/>
      <c r="J122" s="714"/>
      <c r="K122" s="714"/>
      <c r="L122" s="714"/>
      <c r="M122" s="714"/>
      <c r="N122" s="714"/>
      <c r="O122" s="714"/>
      <c r="P122" s="714"/>
      <c r="Q122" s="714"/>
      <c r="R122" s="714"/>
      <c r="S122" s="714"/>
      <c r="T122" s="714"/>
      <c r="U122" s="714"/>
      <c r="V122" s="714"/>
      <c r="W122" s="714"/>
      <c r="X122" s="714"/>
      <c r="Y122" s="714"/>
      <c r="Z122" s="714"/>
      <c r="AA122" s="715"/>
      <c r="AB122" s="715"/>
      <c r="AC122" s="715"/>
      <c r="AD122" s="715"/>
      <c r="AE122" s="715"/>
      <c r="AF122" s="715"/>
      <c r="AG122" s="715"/>
      <c r="AH122" s="715"/>
      <c r="AI122" s="715"/>
      <c r="AJ122" s="715"/>
      <c r="AK122" s="716"/>
      <c r="AL122" s="716"/>
      <c r="AM122" s="716"/>
      <c r="AN122" s="717" t="str">
        <f>CONCATENATE("SUBTOTAL DO ITEM ",A120)</f>
        <v>SUBTOTAL DO ITEM 11.</v>
      </c>
      <c r="AO122" s="718">
        <f ca="1">SUM(AO121:AR121)</f>
        <v>3553.33</v>
      </c>
      <c r="AP122" s="718"/>
      <c r="AQ122" s="718"/>
      <c r="AR122" s="719"/>
    </row>
    <row r="123" customHeight="1" spans="1:44">
      <c r="A123" s="713"/>
      <c r="B123" s="714"/>
      <c r="C123" s="732"/>
      <c r="D123" s="732"/>
      <c r="E123" s="732"/>
      <c r="F123" s="732"/>
      <c r="G123" s="732"/>
      <c r="H123" s="732"/>
      <c r="I123" s="732"/>
      <c r="J123" s="732"/>
      <c r="K123" s="732"/>
      <c r="L123" s="732"/>
      <c r="M123" s="732"/>
      <c r="N123" s="732"/>
      <c r="O123" s="732"/>
      <c r="P123" s="732"/>
      <c r="Q123" s="732"/>
      <c r="R123" s="732"/>
      <c r="S123" s="732"/>
      <c r="T123" s="732"/>
      <c r="U123" s="732"/>
      <c r="V123" s="732"/>
      <c r="W123" s="732"/>
      <c r="X123" s="732"/>
      <c r="Y123" s="732"/>
      <c r="Z123" s="732"/>
      <c r="AA123" s="733"/>
      <c r="AB123" s="733"/>
      <c r="AC123" s="733"/>
      <c r="AD123" s="733"/>
      <c r="AE123" s="733"/>
      <c r="AF123" s="733"/>
      <c r="AG123" s="733"/>
      <c r="AH123" s="733"/>
      <c r="AI123" s="733"/>
      <c r="AJ123" s="733"/>
      <c r="AK123" s="734"/>
      <c r="AL123" s="734"/>
      <c r="AM123" s="734"/>
      <c r="AN123" s="735" t="s">
        <v>920</v>
      </c>
      <c r="AO123" s="822">
        <f ca="1">AO117+AO122</f>
        <v>74619.98</v>
      </c>
      <c r="AP123" s="822"/>
      <c r="AQ123" s="822"/>
      <c r="AR123" s="823"/>
    </row>
    <row r="124" customHeight="1" spans="1:44">
      <c r="A124" s="713"/>
      <c r="B124" s="714"/>
      <c r="C124" s="732"/>
      <c r="D124" s="732"/>
      <c r="E124" s="732"/>
      <c r="F124" s="732"/>
      <c r="G124" s="732"/>
      <c r="H124" s="732"/>
      <c r="I124" s="732"/>
      <c r="J124" s="732"/>
      <c r="K124" s="732"/>
      <c r="L124" s="732"/>
      <c r="M124" s="732"/>
      <c r="N124" s="732"/>
      <c r="O124" s="732"/>
      <c r="P124" s="732"/>
      <c r="Q124" s="732"/>
      <c r="R124" s="732"/>
      <c r="S124" s="732"/>
      <c r="T124" s="732"/>
      <c r="U124" s="732"/>
      <c r="V124" s="732"/>
      <c r="W124" s="732"/>
      <c r="X124" s="732"/>
      <c r="Y124" s="732"/>
      <c r="Z124" s="732"/>
      <c r="AA124" s="733"/>
      <c r="AB124" s="733"/>
      <c r="AC124" s="733"/>
      <c r="AD124" s="733"/>
      <c r="AE124" s="733"/>
      <c r="AF124" s="733"/>
      <c r="AG124" s="733"/>
      <c r="AH124" s="733"/>
      <c r="AI124" s="733"/>
      <c r="AJ124" s="733"/>
      <c r="AK124" s="734"/>
      <c r="AL124" s="734"/>
      <c r="AM124" s="734"/>
      <c r="AN124" s="735" t="str">
        <f>CONCATENATE(A11," (",R11*100,"%)")</f>
        <v>BDI: (23,91%)</v>
      </c>
      <c r="AO124" s="826">
        <f ca="1">ROUND(AO123*$R$11,2)</f>
        <v>17841.64</v>
      </c>
      <c r="AP124" s="736"/>
      <c r="AQ124" s="736"/>
      <c r="AR124" s="737"/>
    </row>
    <row r="125" customHeight="1" spans="1:44">
      <c r="A125" s="713"/>
      <c r="B125" s="714"/>
      <c r="C125" s="732"/>
      <c r="D125" s="732"/>
      <c r="E125" s="732"/>
      <c r="F125" s="732"/>
      <c r="G125" s="732"/>
      <c r="H125" s="732"/>
      <c r="I125" s="732"/>
      <c r="J125" s="732"/>
      <c r="K125" s="732"/>
      <c r="L125" s="732"/>
      <c r="M125" s="732"/>
      <c r="N125" s="732"/>
      <c r="O125" s="732"/>
      <c r="P125" s="732"/>
      <c r="Q125" s="732"/>
      <c r="R125" s="732"/>
      <c r="S125" s="732"/>
      <c r="T125" s="732"/>
      <c r="U125" s="732"/>
      <c r="V125" s="732"/>
      <c r="W125" s="732"/>
      <c r="X125" s="732"/>
      <c r="Y125" s="732"/>
      <c r="Z125" s="732"/>
      <c r="AA125" s="733"/>
      <c r="AB125" s="733"/>
      <c r="AC125" s="733"/>
      <c r="AD125" s="733"/>
      <c r="AE125" s="733"/>
      <c r="AF125" s="733"/>
      <c r="AG125" s="733"/>
      <c r="AH125" s="733"/>
      <c r="AI125" s="733"/>
      <c r="AJ125" s="733"/>
      <c r="AK125" s="734"/>
      <c r="AL125" s="734"/>
      <c r="AM125" s="734"/>
      <c r="AN125" s="735" t="s">
        <v>920</v>
      </c>
      <c r="AO125" s="822">
        <f ca="1">SUM(AO123:AR124)</f>
        <v>92461.62</v>
      </c>
      <c r="AP125" s="822"/>
      <c r="AQ125" s="822"/>
      <c r="AR125" s="823"/>
    </row>
  </sheetData>
  <mergeCells count="680">
    <mergeCell ref="A4:H4"/>
    <mergeCell ref="I4:AR4"/>
    <mergeCell ref="A5:H5"/>
    <mergeCell ref="I5:AR5"/>
    <mergeCell ref="A6:H6"/>
    <mergeCell ref="I6:AR6"/>
    <mergeCell ref="A7:H7"/>
    <mergeCell ref="I7:AR7"/>
    <mergeCell ref="A8:H8"/>
    <mergeCell ref="I8:AH8"/>
    <mergeCell ref="AI8:AN8"/>
    <mergeCell ref="AO8:AP8"/>
    <mergeCell ref="AQ8:AR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AI11:AN11"/>
    <mergeCell ref="AO11:AP11"/>
    <mergeCell ref="AQ11:AR11"/>
    <mergeCell ref="A12:H12"/>
    <mergeCell ref="I12:U12"/>
    <mergeCell ref="V12:AH12"/>
    <mergeCell ref="A13:AR13"/>
    <mergeCell ref="A14:AR14"/>
    <mergeCell ref="A15:B15"/>
    <mergeCell ref="C15:E15"/>
    <mergeCell ref="F15:H15"/>
    <mergeCell ref="I15:V15"/>
    <mergeCell ref="W15:X15"/>
    <mergeCell ref="Y15:Z15"/>
    <mergeCell ref="AA15:AC15"/>
    <mergeCell ref="AD15:AF15"/>
    <mergeCell ref="AG15:AJ15"/>
    <mergeCell ref="AK15:AN15"/>
    <mergeCell ref="AO15:AR15"/>
    <mergeCell ref="A16:B16"/>
    <mergeCell ref="C16:E16"/>
    <mergeCell ref="F16:H16"/>
    <mergeCell ref="I16:V16"/>
    <mergeCell ref="W16:X16"/>
    <mergeCell ref="Y16:Z16"/>
    <mergeCell ref="AA16:AC16"/>
    <mergeCell ref="AD16:AF16"/>
    <mergeCell ref="AG16:AJ16"/>
    <mergeCell ref="AK16:AN16"/>
    <mergeCell ref="AO16:AR16"/>
    <mergeCell ref="A17:B17"/>
    <mergeCell ref="C17:E17"/>
    <mergeCell ref="F17:H17"/>
    <mergeCell ref="I17:V17"/>
    <mergeCell ref="W17:X17"/>
    <mergeCell ref="Y17:Z17"/>
    <mergeCell ref="AA17:AC17"/>
    <mergeCell ref="AD17:AF17"/>
    <mergeCell ref="AG17:AJ17"/>
    <mergeCell ref="AK17:AN17"/>
    <mergeCell ref="AO17:AR17"/>
    <mergeCell ref="A18:B18"/>
    <mergeCell ref="C18:E18"/>
    <mergeCell ref="F18:H18"/>
    <mergeCell ref="I18:V18"/>
    <mergeCell ref="W18:X18"/>
    <mergeCell ref="Y18:Z18"/>
    <mergeCell ref="AA18:AC18"/>
    <mergeCell ref="AD18:AF18"/>
    <mergeCell ref="AG18:AJ18"/>
    <mergeCell ref="AK18:AN18"/>
    <mergeCell ref="AO18:AR18"/>
    <mergeCell ref="A19:B19"/>
    <mergeCell ref="C19:E19"/>
    <mergeCell ref="F19:H19"/>
    <mergeCell ref="I19:V19"/>
    <mergeCell ref="W19:X19"/>
    <mergeCell ref="Y19:Z19"/>
    <mergeCell ref="AA19:AC19"/>
    <mergeCell ref="AD19:AF19"/>
    <mergeCell ref="AG19:AJ19"/>
    <mergeCell ref="AK19:AN19"/>
    <mergeCell ref="AO19:AR19"/>
    <mergeCell ref="AO20:AR20"/>
    <mergeCell ref="A21:B21"/>
    <mergeCell ref="C21:E21"/>
    <mergeCell ref="F21:H21"/>
    <mergeCell ref="I21:V21"/>
    <mergeCell ref="W21:X21"/>
    <mergeCell ref="Y21:Z21"/>
    <mergeCell ref="AA21:AC21"/>
    <mergeCell ref="AD21:AF21"/>
    <mergeCell ref="AG21:AJ21"/>
    <mergeCell ref="AK21:AN21"/>
    <mergeCell ref="AO21:AR21"/>
    <mergeCell ref="AA22:AF22"/>
    <mergeCell ref="AG22:AN22"/>
    <mergeCell ref="AA23:AC23"/>
    <mergeCell ref="AD23:AF23"/>
    <mergeCell ref="AG23:AJ23"/>
    <mergeCell ref="AK23:AN23"/>
    <mergeCell ref="A24:B24"/>
    <mergeCell ref="C24:E24"/>
    <mergeCell ref="F24:H24"/>
    <mergeCell ref="I24:V24"/>
    <mergeCell ref="W24:X24"/>
    <mergeCell ref="Y24:Z24"/>
    <mergeCell ref="AA24:AC24"/>
    <mergeCell ref="AD24:AF24"/>
    <mergeCell ref="AG24:AJ24"/>
    <mergeCell ref="AK24:AN24"/>
    <mergeCell ref="AO24:AR24"/>
    <mergeCell ref="AO25:AR25"/>
    <mergeCell ref="AO26:AR26"/>
    <mergeCell ref="A27:B27"/>
    <mergeCell ref="C27:E27"/>
    <mergeCell ref="F27:H27"/>
    <mergeCell ref="I27:V27"/>
    <mergeCell ref="W27:X27"/>
    <mergeCell ref="Y27:Z27"/>
    <mergeCell ref="AA27:AC27"/>
    <mergeCell ref="AD27:AF27"/>
    <mergeCell ref="AG27:AJ27"/>
    <mergeCell ref="AK27:AN27"/>
    <mergeCell ref="AO27:AR27"/>
    <mergeCell ref="A28:B28"/>
    <mergeCell ref="C28:E28"/>
    <mergeCell ref="F28:H28"/>
    <mergeCell ref="I28:V28"/>
    <mergeCell ref="W28:X28"/>
    <mergeCell ref="Y28:Z28"/>
    <mergeCell ref="AA28:AC28"/>
    <mergeCell ref="AD28:AF28"/>
    <mergeCell ref="AG28:AJ28"/>
    <mergeCell ref="AK28:AN28"/>
    <mergeCell ref="AO28:AR28"/>
    <mergeCell ref="A29:B29"/>
    <mergeCell ref="C29:E29"/>
    <mergeCell ref="F29:H29"/>
    <mergeCell ref="I29:V29"/>
    <mergeCell ref="W29:X29"/>
    <mergeCell ref="Y29:Z29"/>
    <mergeCell ref="AA29:AC29"/>
    <mergeCell ref="AD29:AF29"/>
    <mergeCell ref="AG29:AJ29"/>
    <mergeCell ref="AK29:AN29"/>
    <mergeCell ref="AO29:AR29"/>
    <mergeCell ref="A30:B30"/>
    <mergeCell ref="C30:E30"/>
    <mergeCell ref="F30:H30"/>
    <mergeCell ref="I30:V30"/>
    <mergeCell ref="W30:X30"/>
    <mergeCell ref="Y30:Z30"/>
    <mergeCell ref="AA30:AC30"/>
    <mergeCell ref="AD30:AF30"/>
    <mergeCell ref="AG30:AJ30"/>
    <mergeCell ref="AK30:AN30"/>
    <mergeCell ref="AO30:AR30"/>
    <mergeCell ref="AO31:AR31"/>
    <mergeCell ref="A32:B32"/>
    <mergeCell ref="C32:E32"/>
    <mergeCell ref="F32:H32"/>
    <mergeCell ref="I32:V32"/>
    <mergeCell ref="W32:X32"/>
    <mergeCell ref="Y32:Z32"/>
    <mergeCell ref="AA32:AC32"/>
    <mergeCell ref="AD32:AF32"/>
    <mergeCell ref="AG32:AJ32"/>
    <mergeCell ref="AK32:AN32"/>
    <mergeCell ref="AO32:AR32"/>
    <mergeCell ref="AA33:AF33"/>
    <mergeCell ref="AG33:AN33"/>
    <mergeCell ref="AA34:AC34"/>
    <mergeCell ref="AD34:AF34"/>
    <mergeCell ref="AG34:AJ34"/>
    <mergeCell ref="AK34:AN34"/>
    <mergeCell ref="A35:B35"/>
    <mergeCell ref="C35:E35"/>
    <mergeCell ref="F35:H35"/>
    <mergeCell ref="I35:V35"/>
    <mergeCell ref="W35:X35"/>
    <mergeCell ref="Y35:Z35"/>
    <mergeCell ref="AA35:AC35"/>
    <mergeCell ref="AD35:AF35"/>
    <mergeCell ref="AG35:AJ35"/>
    <mergeCell ref="AK35:AN35"/>
    <mergeCell ref="AO35:AR35"/>
    <mergeCell ref="AO36:AR36"/>
    <mergeCell ref="AO37:AR37"/>
    <mergeCell ref="AO38:AR38"/>
    <mergeCell ref="A40:AR40"/>
    <mergeCell ref="A41:B41"/>
    <mergeCell ref="C41:E41"/>
    <mergeCell ref="F41:H41"/>
    <mergeCell ref="I41:V41"/>
    <mergeCell ref="W41:X41"/>
    <mergeCell ref="Y41:Z41"/>
    <mergeCell ref="AA41:AC41"/>
    <mergeCell ref="AD41:AF41"/>
    <mergeCell ref="AG41:AJ41"/>
    <mergeCell ref="AK41:AN41"/>
    <mergeCell ref="AO41:AR41"/>
    <mergeCell ref="A42:B42"/>
    <mergeCell ref="C42:E42"/>
    <mergeCell ref="F42:H42"/>
    <mergeCell ref="I42:V42"/>
    <mergeCell ref="W42:X42"/>
    <mergeCell ref="Y42:Z42"/>
    <mergeCell ref="AA42:AC42"/>
    <mergeCell ref="AD42:AF42"/>
    <mergeCell ref="AG42:AJ42"/>
    <mergeCell ref="AK42:AN42"/>
    <mergeCell ref="AO42:AR42"/>
    <mergeCell ref="A43:B43"/>
    <mergeCell ref="C43:E43"/>
    <mergeCell ref="F43:H43"/>
    <mergeCell ref="I43:V43"/>
    <mergeCell ref="W43:X43"/>
    <mergeCell ref="Y43:Z43"/>
    <mergeCell ref="AA43:AC43"/>
    <mergeCell ref="AD43:AF43"/>
    <mergeCell ref="AG43:AJ43"/>
    <mergeCell ref="AK43:AN43"/>
    <mergeCell ref="AO43:AR43"/>
    <mergeCell ref="A44:B44"/>
    <mergeCell ref="C44:E44"/>
    <mergeCell ref="F44:H44"/>
    <mergeCell ref="I44:V44"/>
    <mergeCell ref="W44:X44"/>
    <mergeCell ref="Y44:Z44"/>
    <mergeCell ref="AA44:AC44"/>
    <mergeCell ref="AD44:AF44"/>
    <mergeCell ref="AG44:AJ44"/>
    <mergeCell ref="AK44:AN44"/>
    <mergeCell ref="AO44:AR44"/>
    <mergeCell ref="A45:B45"/>
    <mergeCell ref="C45:E45"/>
    <mergeCell ref="F45:H45"/>
    <mergeCell ref="I45:V45"/>
    <mergeCell ref="W45:X45"/>
    <mergeCell ref="Y45:Z45"/>
    <mergeCell ref="AA45:AC45"/>
    <mergeCell ref="AD45:AF45"/>
    <mergeCell ref="AG45:AJ45"/>
    <mergeCell ref="AK45:AN45"/>
    <mergeCell ref="AO45:AR45"/>
    <mergeCell ref="A46:B46"/>
    <mergeCell ref="C46:E46"/>
    <mergeCell ref="F46:H46"/>
    <mergeCell ref="I46:V46"/>
    <mergeCell ref="W46:X46"/>
    <mergeCell ref="Y46:Z46"/>
    <mergeCell ref="AA46:AC46"/>
    <mergeCell ref="AD46:AF46"/>
    <mergeCell ref="AG46:AJ46"/>
    <mergeCell ref="AK46:AN46"/>
    <mergeCell ref="AO46:AR46"/>
    <mergeCell ref="AO47:AR47"/>
    <mergeCell ref="A48:B48"/>
    <mergeCell ref="C48:E48"/>
    <mergeCell ref="F48:H48"/>
    <mergeCell ref="I48:V48"/>
    <mergeCell ref="W48:X48"/>
    <mergeCell ref="Y48:Z48"/>
    <mergeCell ref="AA48:AC48"/>
    <mergeCell ref="AD48:AF48"/>
    <mergeCell ref="AG48:AJ48"/>
    <mergeCell ref="AK48:AN48"/>
    <mergeCell ref="AO48:AR48"/>
    <mergeCell ref="AA49:AF49"/>
    <mergeCell ref="AG49:AN49"/>
    <mergeCell ref="AA50:AC50"/>
    <mergeCell ref="AD50:AF50"/>
    <mergeCell ref="AG50:AJ50"/>
    <mergeCell ref="AK50:AN50"/>
    <mergeCell ref="A51:B51"/>
    <mergeCell ref="C51:E51"/>
    <mergeCell ref="F51:H51"/>
    <mergeCell ref="I51:V51"/>
    <mergeCell ref="W51:X51"/>
    <mergeCell ref="Y51:Z51"/>
    <mergeCell ref="AA51:AC51"/>
    <mergeCell ref="AD51:AF51"/>
    <mergeCell ref="AG51:AJ51"/>
    <mergeCell ref="AK51:AN51"/>
    <mergeCell ref="AO51:AR51"/>
    <mergeCell ref="AO52:AR52"/>
    <mergeCell ref="A53:B53"/>
    <mergeCell ref="C53:E53"/>
    <mergeCell ref="F53:H53"/>
    <mergeCell ref="I53:V53"/>
    <mergeCell ref="W53:X53"/>
    <mergeCell ref="Y53:Z53"/>
    <mergeCell ref="AA53:AC53"/>
    <mergeCell ref="AD53:AF53"/>
    <mergeCell ref="AG53:AJ53"/>
    <mergeCell ref="AK53:AN53"/>
    <mergeCell ref="AO53:AR53"/>
    <mergeCell ref="A54:B54"/>
    <mergeCell ref="C54:E54"/>
    <mergeCell ref="F54:H54"/>
    <mergeCell ref="I54:V54"/>
    <mergeCell ref="W54:X54"/>
    <mergeCell ref="Y54:Z54"/>
    <mergeCell ref="AA54:AC54"/>
    <mergeCell ref="AD54:AF54"/>
    <mergeCell ref="AG54:AJ54"/>
    <mergeCell ref="AK54:AN54"/>
    <mergeCell ref="AO54:AR54"/>
    <mergeCell ref="A55:B55"/>
    <mergeCell ref="C55:E55"/>
    <mergeCell ref="F55:H55"/>
    <mergeCell ref="I55:V55"/>
    <mergeCell ref="W55:X55"/>
    <mergeCell ref="Y55:Z55"/>
    <mergeCell ref="AA55:AC55"/>
    <mergeCell ref="AD55:AF55"/>
    <mergeCell ref="AG55:AJ55"/>
    <mergeCell ref="AK55:AN55"/>
    <mergeCell ref="AO55:AR55"/>
    <mergeCell ref="AO56:AR56"/>
    <mergeCell ref="AO57:AR57"/>
    <mergeCell ref="A59:AR59"/>
    <mergeCell ref="A60:B60"/>
    <mergeCell ref="C60:E60"/>
    <mergeCell ref="F60:H60"/>
    <mergeCell ref="I60:V60"/>
    <mergeCell ref="W60:X60"/>
    <mergeCell ref="Y60:Z60"/>
    <mergeCell ref="AA60:AC60"/>
    <mergeCell ref="AD60:AF60"/>
    <mergeCell ref="AG60:AJ60"/>
    <mergeCell ref="AK60:AN60"/>
    <mergeCell ref="AO60:AR60"/>
    <mergeCell ref="A61:B61"/>
    <mergeCell ref="C61:E61"/>
    <mergeCell ref="F61:H61"/>
    <mergeCell ref="I61:V61"/>
    <mergeCell ref="W61:X61"/>
    <mergeCell ref="Y61:Z61"/>
    <mergeCell ref="AA61:AC61"/>
    <mergeCell ref="AD61:AF61"/>
    <mergeCell ref="AG61:AJ61"/>
    <mergeCell ref="AK61:AN61"/>
    <mergeCell ref="AO61:AR61"/>
    <mergeCell ref="A62:B62"/>
    <mergeCell ref="C62:E62"/>
    <mergeCell ref="F62:H62"/>
    <mergeCell ref="I62:V62"/>
    <mergeCell ref="W62:X62"/>
    <mergeCell ref="Y62:Z62"/>
    <mergeCell ref="AA62:AC62"/>
    <mergeCell ref="AD62:AF62"/>
    <mergeCell ref="AG62:AJ62"/>
    <mergeCell ref="AK62:AN62"/>
    <mergeCell ref="AO62:AR62"/>
    <mergeCell ref="A63:B63"/>
    <mergeCell ref="C63:E63"/>
    <mergeCell ref="F63:H63"/>
    <mergeCell ref="I63:V63"/>
    <mergeCell ref="W63:X63"/>
    <mergeCell ref="Y63:Z63"/>
    <mergeCell ref="AA63:AC63"/>
    <mergeCell ref="AD63:AF63"/>
    <mergeCell ref="AG63:AJ63"/>
    <mergeCell ref="AK63:AN63"/>
    <mergeCell ref="AO63:AR63"/>
    <mergeCell ref="A64:B64"/>
    <mergeCell ref="C64:E64"/>
    <mergeCell ref="F64:H64"/>
    <mergeCell ref="I64:V64"/>
    <mergeCell ref="W64:X64"/>
    <mergeCell ref="Y64:Z64"/>
    <mergeCell ref="AA64:AC64"/>
    <mergeCell ref="AD64:AF64"/>
    <mergeCell ref="AG64:AJ64"/>
    <mergeCell ref="AK64:AN64"/>
    <mergeCell ref="AO64:AR64"/>
    <mergeCell ref="AO65:AR65"/>
    <mergeCell ref="A66:B66"/>
    <mergeCell ref="C66:E66"/>
    <mergeCell ref="F66:H66"/>
    <mergeCell ref="I66:V66"/>
    <mergeCell ref="W66:X66"/>
    <mergeCell ref="Y66:Z66"/>
    <mergeCell ref="AA66:AC66"/>
    <mergeCell ref="AD66:AF66"/>
    <mergeCell ref="AG66:AJ66"/>
    <mergeCell ref="AK66:AN66"/>
    <mergeCell ref="AO66:AR66"/>
    <mergeCell ref="A67:B67"/>
    <mergeCell ref="C67:E67"/>
    <mergeCell ref="F67:H67"/>
    <mergeCell ref="I67:V67"/>
    <mergeCell ref="W67:X67"/>
    <mergeCell ref="Y67:Z67"/>
    <mergeCell ref="AA67:AC67"/>
    <mergeCell ref="AD67:AF67"/>
    <mergeCell ref="AG67:AJ67"/>
    <mergeCell ref="AK67:AN67"/>
    <mergeCell ref="AO67:AR67"/>
    <mergeCell ref="A68:B68"/>
    <mergeCell ref="C68:E68"/>
    <mergeCell ref="F68:H68"/>
    <mergeCell ref="I68:V68"/>
    <mergeCell ref="W68:X68"/>
    <mergeCell ref="Y68:Z68"/>
    <mergeCell ref="AA68:AC68"/>
    <mergeCell ref="AD68:AF68"/>
    <mergeCell ref="AG68:AJ68"/>
    <mergeCell ref="AK68:AN68"/>
    <mergeCell ref="AO68:AR68"/>
    <mergeCell ref="A69:B69"/>
    <mergeCell ref="C69:E69"/>
    <mergeCell ref="F69:H69"/>
    <mergeCell ref="I69:V69"/>
    <mergeCell ref="W69:X69"/>
    <mergeCell ref="Y69:Z69"/>
    <mergeCell ref="AA69:AC69"/>
    <mergeCell ref="AD69:AF69"/>
    <mergeCell ref="AG69:AJ69"/>
    <mergeCell ref="AK69:AN69"/>
    <mergeCell ref="AO69:AR69"/>
    <mergeCell ref="AO70:AR70"/>
    <mergeCell ref="A71:B71"/>
    <mergeCell ref="C71:E71"/>
    <mergeCell ref="F71:H71"/>
    <mergeCell ref="I71:V71"/>
    <mergeCell ref="W71:X71"/>
    <mergeCell ref="Y71:Z71"/>
    <mergeCell ref="AA71:AC71"/>
    <mergeCell ref="AD71:AF71"/>
    <mergeCell ref="AG71:AJ71"/>
    <mergeCell ref="AK71:AN71"/>
    <mergeCell ref="AO71:AR71"/>
    <mergeCell ref="AA72:AF72"/>
    <mergeCell ref="AG72:AN72"/>
    <mergeCell ref="AA73:AC73"/>
    <mergeCell ref="AD73:AF73"/>
    <mergeCell ref="AG73:AJ73"/>
    <mergeCell ref="AK73:AN73"/>
    <mergeCell ref="A74:B74"/>
    <mergeCell ref="C74:E74"/>
    <mergeCell ref="F74:H74"/>
    <mergeCell ref="I74:V74"/>
    <mergeCell ref="W74:X74"/>
    <mergeCell ref="Y74:Z74"/>
    <mergeCell ref="AA74:AC74"/>
    <mergeCell ref="AD74:AF74"/>
    <mergeCell ref="AG74:AJ74"/>
    <mergeCell ref="AK74:AN74"/>
    <mergeCell ref="AO74:AR74"/>
    <mergeCell ref="AO75:AR75"/>
    <mergeCell ref="AO76:AR76"/>
    <mergeCell ref="A78:AR78"/>
    <mergeCell ref="A79:B79"/>
    <mergeCell ref="C79:E79"/>
    <mergeCell ref="F79:H79"/>
    <mergeCell ref="I79:AB79"/>
    <mergeCell ref="AC79:AF79"/>
    <mergeCell ref="AG79:AJ79"/>
    <mergeCell ref="AK79:AN79"/>
    <mergeCell ref="AO79:AR79"/>
    <mergeCell ref="A80:B80"/>
    <mergeCell ref="C80:E80"/>
    <mergeCell ref="F80:H80"/>
    <mergeCell ref="I80:AB80"/>
    <mergeCell ref="AD80:AF80"/>
    <mergeCell ref="AG80:AJ80"/>
    <mergeCell ref="AK80:AN80"/>
    <mergeCell ref="AO80:AR80"/>
    <mergeCell ref="A81:B81"/>
    <mergeCell ref="C81:E81"/>
    <mergeCell ref="F81:H81"/>
    <mergeCell ref="I81:AB81"/>
    <mergeCell ref="AC81:AF81"/>
    <mergeCell ref="AG81:AJ81"/>
    <mergeCell ref="AK81:AN81"/>
    <mergeCell ref="AO81:AR81"/>
    <mergeCell ref="A82:B82"/>
    <mergeCell ref="C82:E82"/>
    <mergeCell ref="F82:H82"/>
    <mergeCell ref="I82:AB82"/>
    <mergeCell ref="AC82:AF82"/>
    <mergeCell ref="AG82:AJ82"/>
    <mergeCell ref="AK82:AN82"/>
    <mergeCell ref="AO82:AR82"/>
    <mergeCell ref="AO83:AR83"/>
    <mergeCell ref="A85:AR85"/>
    <mergeCell ref="A86:B86"/>
    <mergeCell ref="C86:E86"/>
    <mergeCell ref="F86:H86"/>
    <mergeCell ref="I86:X86"/>
    <mergeCell ref="Y86:AB86"/>
    <mergeCell ref="AC86:AF86"/>
    <mergeCell ref="AG86:AJ86"/>
    <mergeCell ref="AK86:AN86"/>
    <mergeCell ref="AO86:AR86"/>
    <mergeCell ref="A87:B87"/>
    <mergeCell ref="C87:E87"/>
    <mergeCell ref="F87:H87"/>
    <mergeCell ref="I87:X87"/>
    <mergeCell ref="Y87:Z87"/>
    <mergeCell ref="AA87:AC87"/>
    <mergeCell ref="AD87:AF87"/>
    <mergeCell ref="AG87:AJ87"/>
    <mergeCell ref="AK87:AN87"/>
    <mergeCell ref="AO87:AR87"/>
    <mergeCell ref="A88:B88"/>
    <mergeCell ref="C88:E88"/>
    <mergeCell ref="F88:H88"/>
    <mergeCell ref="I88:AR88"/>
    <mergeCell ref="A89:B89"/>
    <mergeCell ref="C89:E89"/>
    <mergeCell ref="F89:H89"/>
    <mergeCell ref="I89:X89"/>
    <mergeCell ref="Y89:AB89"/>
    <mergeCell ref="AC89:AF89"/>
    <mergeCell ref="AG89:AJ89"/>
    <mergeCell ref="AK89:AN89"/>
    <mergeCell ref="AO89:AR89"/>
    <mergeCell ref="A90:B90"/>
    <mergeCell ref="C90:E90"/>
    <mergeCell ref="F90:H90"/>
    <mergeCell ref="I90:X90"/>
    <mergeCell ref="Y90:AB90"/>
    <mergeCell ref="AC90:AF90"/>
    <mergeCell ref="AG90:AJ90"/>
    <mergeCell ref="AK90:AN90"/>
    <mergeCell ref="AO90:AR90"/>
    <mergeCell ref="A91:B91"/>
    <mergeCell ref="C91:E91"/>
    <mergeCell ref="F91:H91"/>
    <mergeCell ref="I91:X91"/>
    <mergeCell ref="Y91:AB91"/>
    <mergeCell ref="AC91:AF91"/>
    <mergeCell ref="AG91:AJ91"/>
    <mergeCell ref="AK91:AN91"/>
    <mergeCell ref="AO91:AR91"/>
    <mergeCell ref="AO92:AR92"/>
    <mergeCell ref="AO93:AR93"/>
    <mergeCell ref="A95:AR95"/>
    <mergeCell ref="A96:AA96"/>
    <mergeCell ref="AB96:AF96"/>
    <mergeCell ref="A97:AA97"/>
    <mergeCell ref="AB97:AF97"/>
    <mergeCell ref="A98:AA98"/>
    <mergeCell ref="AB98:AF98"/>
    <mergeCell ref="A100:AR100"/>
    <mergeCell ref="A101:B101"/>
    <mergeCell ref="C101:AB101"/>
    <mergeCell ref="AC101:AF101"/>
    <mergeCell ref="AG101:AJ101"/>
    <mergeCell ref="AK101:AN101"/>
    <mergeCell ref="AO101:AR101"/>
    <mergeCell ref="A102:B102"/>
    <mergeCell ref="C102:AB102"/>
    <mergeCell ref="AD102:AF102"/>
    <mergeCell ref="AG102:AJ102"/>
    <mergeCell ref="AK102:AN102"/>
    <mergeCell ref="AO102:AR102"/>
    <mergeCell ref="A103:B103"/>
    <mergeCell ref="C103:AB103"/>
    <mergeCell ref="AC103:AF103"/>
    <mergeCell ref="AG103:AJ103"/>
    <mergeCell ref="AK103:AN103"/>
    <mergeCell ref="AO103:AR103"/>
    <mergeCell ref="A104:B104"/>
    <mergeCell ref="C104:AB104"/>
    <mergeCell ref="AC104:AF104"/>
    <mergeCell ref="AG104:AJ104"/>
    <mergeCell ref="AK104:AN104"/>
    <mergeCell ref="AO104:AR104"/>
    <mergeCell ref="AO105:AR105"/>
    <mergeCell ref="A106:B106"/>
    <mergeCell ref="C106:AB106"/>
    <mergeCell ref="AD106:AF106"/>
    <mergeCell ref="AG106:AJ106"/>
    <mergeCell ref="AK106:AN106"/>
    <mergeCell ref="AO106:AR106"/>
    <mergeCell ref="A107:B107"/>
    <mergeCell ref="C107:AB107"/>
    <mergeCell ref="AC107:AF107"/>
    <mergeCell ref="AG107:AJ107"/>
    <mergeCell ref="AK107:AN107"/>
    <mergeCell ref="AO107:AR107"/>
    <mergeCell ref="A108:B108"/>
    <mergeCell ref="C108:AB108"/>
    <mergeCell ref="AC108:AF108"/>
    <mergeCell ref="AG108:AJ108"/>
    <mergeCell ref="AK108:AN108"/>
    <mergeCell ref="AO108:AR108"/>
    <mergeCell ref="AO109:AR109"/>
    <mergeCell ref="A110:B110"/>
    <mergeCell ref="C110:AB110"/>
    <mergeCell ref="AD110:AF110"/>
    <mergeCell ref="AG110:AJ110"/>
    <mergeCell ref="AK110:AN110"/>
    <mergeCell ref="AO110:AR110"/>
    <mergeCell ref="A111:B111"/>
    <mergeCell ref="C111:AB111"/>
    <mergeCell ref="AC111:AF111"/>
    <mergeCell ref="AG111:AJ111"/>
    <mergeCell ref="AK111:AN111"/>
    <mergeCell ref="AO111:AR111"/>
    <mergeCell ref="A112:B112"/>
    <mergeCell ref="C112:AB112"/>
    <mergeCell ref="AC112:AF112"/>
    <mergeCell ref="AG112:AJ112"/>
    <mergeCell ref="AK112:AN112"/>
    <mergeCell ref="AO112:AR112"/>
    <mergeCell ref="AO113:AR113"/>
    <mergeCell ref="A114:B114"/>
    <mergeCell ref="C114:AB114"/>
    <mergeCell ref="AD114:AF114"/>
    <mergeCell ref="AG114:AJ114"/>
    <mergeCell ref="AK114:AN114"/>
    <mergeCell ref="AO114:AR114"/>
    <mergeCell ref="A115:B115"/>
    <mergeCell ref="C115:AB115"/>
    <mergeCell ref="AC115:AF115"/>
    <mergeCell ref="AG115:AJ115"/>
    <mergeCell ref="AK115:AN115"/>
    <mergeCell ref="AO115:AR115"/>
    <mergeCell ref="AO116:AR116"/>
    <mergeCell ref="AO117:AR117"/>
    <mergeCell ref="A119:B119"/>
    <mergeCell ref="C119:AB119"/>
    <mergeCell ref="AC119:AF119"/>
    <mergeCell ref="AG119:AJ119"/>
    <mergeCell ref="AK119:AN119"/>
    <mergeCell ref="AO119:AR119"/>
    <mergeCell ref="A120:B120"/>
    <mergeCell ref="C120:AB120"/>
    <mergeCell ref="AD120:AF120"/>
    <mergeCell ref="AG120:AJ120"/>
    <mergeCell ref="AK120:AN120"/>
    <mergeCell ref="AO120:AR120"/>
    <mergeCell ref="A121:B121"/>
    <mergeCell ref="C121:AB121"/>
    <mergeCell ref="AC121:AF121"/>
    <mergeCell ref="AG121:AJ121"/>
    <mergeCell ref="AK121:AN121"/>
    <mergeCell ref="AO121:AR121"/>
    <mergeCell ref="AO122:AR122"/>
    <mergeCell ref="AO123:AR123"/>
    <mergeCell ref="AO124:AR124"/>
    <mergeCell ref="AO125:AR125"/>
    <mergeCell ref="A72:B73"/>
    <mergeCell ref="W72:X73"/>
    <mergeCell ref="Y72:Z73"/>
    <mergeCell ref="C72:E73"/>
    <mergeCell ref="F72:H73"/>
    <mergeCell ref="I72:V73"/>
    <mergeCell ref="AO72:AR73"/>
    <mergeCell ref="A33:B34"/>
    <mergeCell ref="W33:X34"/>
    <mergeCell ref="Y33:Z34"/>
    <mergeCell ref="AO33:AR34"/>
    <mergeCell ref="C33:E34"/>
    <mergeCell ref="F33:H34"/>
    <mergeCell ref="I33:V34"/>
    <mergeCell ref="C22:E23"/>
    <mergeCell ref="F22:H23"/>
    <mergeCell ref="I22:V23"/>
    <mergeCell ref="A22:B23"/>
    <mergeCell ref="W22:X23"/>
    <mergeCell ref="Y22:Z23"/>
    <mergeCell ref="AO22:AR23"/>
    <mergeCell ref="A49:B50"/>
    <mergeCell ref="W49:X50"/>
    <mergeCell ref="Y49:Z50"/>
    <mergeCell ref="C49:E50"/>
    <mergeCell ref="F49:H50"/>
    <mergeCell ref="I49:V50"/>
    <mergeCell ref="AO49:AR50"/>
  </mergeCells>
  <printOptions horizontalCentered="1"/>
  <pageMargins left="0.393700787401575" right="0.393700787401575" top="0.393700787401575" bottom="0.590551181102362" header="0" footer="0.196850393700787"/>
  <pageSetup paperSize="9" fitToHeight="11" orientation="portrait"/>
  <headerFooter>
    <oddFooter>&amp;L&amp;G&amp;R&amp;9Projeto Executivo de Engenharia, Estudos e
Orçamentos para a Construção de Ponte Rodoviária
em Concreto Armado - Rodovia Vicinal</oddFooter>
  </headerFooter>
  <rowBreaks count="3" manualBreakCount="3">
    <brk id="39" max="43" man="1"/>
    <brk id="70" max="43" man="1"/>
    <brk id="105" max="43" man="1"/>
  </rowBreaks>
  <drawing r:id="rId1"/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A1:CN648"/>
  <sheetViews>
    <sheetView showGridLines="0" view="pageBreakPreview" zoomScale="145" zoomScaleNormal="160" workbookViewId="0">
      <selection activeCell="A1" sqref="A1"/>
    </sheetView>
  </sheetViews>
  <sheetFormatPr defaultColWidth="9.1047619047619" defaultRowHeight="17.4" customHeight="1"/>
  <cols>
    <col min="1" max="92" width="2.1047619047619" style="29" customWidth="1"/>
    <col min="93" max="93" width="9.1047619047619" style="29"/>
    <col min="94" max="126" width="2.1047619047619" style="29" customWidth="1"/>
    <col min="127" max="127" width="9.1047619047619" style="29" customWidth="1"/>
    <col min="128" max="16384" width="9.1047619047619" style="29"/>
  </cols>
  <sheetData>
    <row r="1" ht="12.6" customHeight="1"/>
    <row r="2" ht="12.6" customHeight="1"/>
    <row r="3" ht="12.6" customHeight="1"/>
    <row r="4" ht="12.75" customHeight="1" spans="1:92">
      <c r="A4" s="40" t="s">
        <v>17</v>
      </c>
      <c r="B4" s="41"/>
      <c r="C4" s="41"/>
      <c r="D4" s="41"/>
      <c r="E4" s="41"/>
      <c r="F4" s="41"/>
      <c r="G4" s="41"/>
      <c r="H4" s="41"/>
      <c r="I4" s="42" t="s">
        <v>18</v>
      </c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3"/>
    </row>
    <row r="5" ht="12.75" customHeight="1" spans="1:92">
      <c r="A5" s="44" t="s">
        <v>2</v>
      </c>
      <c r="B5" s="45"/>
      <c r="C5" s="45"/>
      <c r="D5" s="45"/>
      <c r="E5" s="45"/>
      <c r="F5" s="45"/>
      <c r="G5" s="45"/>
      <c r="H5" s="45"/>
      <c r="I5" s="46" t="s">
        <v>19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7"/>
    </row>
    <row r="6" ht="12.75" customHeight="1" spans="1:92">
      <c r="A6" s="44" t="s">
        <v>3</v>
      </c>
      <c r="B6" s="45"/>
      <c r="C6" s="45"/>
      <c r="D6" s="45"/>
      <c r="E6" s="45"/>
      <c r="F6" s="45"/>
      <c r="G6" s="45"/>
      <c r="H6" s="45"/>
      <c r="I6" s="46" t="s">
        <v>20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7"/>
    </row>
    <row r="7" ht="12.75" customHeight="1" spans="1:92">
      <c r="A7" s="44" t="s">
        <v>4</v>
      </c>
      <c r="B7" s="45"/>
      <c r="C7" s="45"/>
      <c r="D7" s="45"/>
      <c r="E7" s="45"/>
      <c r="F7" s="45"/>
      <c r="G7" s="45"/>
      <c r="H7" s="45"/>
      <c r="I7" s="46" t="s">
        <v>21</v>
      </c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7"/>
    </row>
    <row r="8" ht="12.75" customHeight="1" spans="1:92">
      <c r="A8" s="44" t="s">
        <v>22</v>
      </c>
      <c r="B8" s="45"/>
      <c r="C8" s="45"/>
      <c r="D8" s="45"/>
      <c r="E8" s="45"/>
      <c r="F8" s="45"/>
      <c r="G8" s="45"/>
      <c r="H8" s="45"/>
      <c r="I8" s="49" t="s">
        <v>23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5" t="s">
        <v>6</v>
      </c>
      <c r="CE8" s="45"/>
      <c r="CF8" s="45"/>
      <c r="CG8" s="45"/>
      <c r="CH8" s="45"/>
      <c r="CI8" s="45"/>
      <c r="CJ8" s="45"/>
      <c r="CK8" s="51">
        <v>90</v>
      </c>
      <c r="CL8" s="51"/>
      <c r="CM8" s="52" t="s">
        <v>7</v>
      </c>
      <c r="CN8" s="53"/>
    </row>
    <row r="9" ht="12.75" customHeight="1" spans="1:92">
      <c r="A9" s="44" t="s">
        <v>8</v>
      </c>
      <c r="B9" s="45"/>
      <c r="C9" s="45"/>
      <c r="D9" s="45"/>
      <c r="E9" s="45"/>
      <c r="F9" s="45"/>
      <c r="G9" s="45"/>
      <c r="H9" s="45"/>
      <c r="I9" s="54">
        <v>15</v>
      </c>
      <c r="J9" s="54"/>
      <c r="K9" s="52" t="s">
        <v>9</v>
      </c>
      <c r="L9" s="52"/>
      <c r="M9" s="55"/>
      <c r="N9" s="55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 s="56"/>
    </row>
    <row r="10" ht="12.75" customHeight="1" spans="1:92">
      <c r="A10" s="44" t="s">
        <v>10</v>
      </c>
      <c r="B10" s="45"/>
      <c r="C10" s="45"/>
      <c r="D10" s="45"/>
      <c r="E10" s="45"/>
      <c r="F10" s="45"/>
      <c r="G10" s="45"/>
      <c r="H10" s="45"/>
      <c r="I10" s="54">
        <v>6</v>
      </c>
      <c r="J10" s="54"/>
      <c r="K10" s="52" t="s">
        <v>9</v>
      </c>
      <c r="L10" s="52"/>
      <c r="M10" s="55"/>
      <c r="N10" s="55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 s="56"/>
    </row>
    <row r="11" ht="12.75" customHeight="1" spans="1:92">
      <c r="A11" s="44" t="s">
        <v>11</v>
      </c>
      <c r="B11" s="45"/>
      <c r="C11" s="45"/>
      <c r="D11" s="45"/>
      <c r="E11" s="45"/>
      <c r="F11" s="45"/>
      <c r="G11" s="45"/>
      <c r="H11" s="45"/>
      <c r="I11" s="45" t="s">
        <v>24</v>
      </c>
      <c r="J11" s="45"/>
      <c r="K11" s="45"/>
      <c r="L11" s="57">
        <v>0.1527</v>
      </c>
      <c r="M11" s="57"/>
      <c r="N11" s="57"/>
      <c r="O11" s="45" t="s">
        <v>13</v>
      </c>
      <c r="P11" s="45"/>
      <c r="Q11" s="45"/>
      <c r="R11" s="57">
        <v>0.2391</v>
      </c>
      <c r="S11" s="57"/>
      <c r="T11" s="57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 s="45" t="s">
        <v>14</v>
      </c>
      <c r="CE11" s="45"/>
      <c r="CF11" s="45"/>
      <c r="CG11" s="45"/>
      <c r="CH11" s="45"/>
      <c r="CI11" s="45"/>
      <c r="CJ11" s="45"/>
      <c r="CK11" s="58">
        <v>120</v>
      </c>
      <c r="CL11" s="58"/>
      <c r="CM11" s="52" t="s">
        <v>15</v>
      </c>
      <c r="CN11" s="53"/>
    </row>
    <row r="12" ht="12.75" customHeight="1" spans="1:92">
      <c r="A12" s="59" t="s">
        <v>16</v>
      </c>
      <c r="B12" s="60"/>
      <c r="C12" s="60"/>
      <c r="D12" s="60"/>
      <c r="E12" s="60"/>
      <c r="F12" s="60"/>
      <c r="G12" s="60"/>
      <c r="H12" s="60"/>
      <c r="I12" s="61" t="s">
        <v>25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">
        <v>26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2"/>
      <c r="AJ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4"/>
    </row>
    <row r="13" ht="6" customHeight="1" spans="1:92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</row>
    <row r="14" ht="12.75" customHeight="1" spans="1:92">
      <c r="A14" s="533" t="s">
        <v>921</v>
      </c>
      <c r="B14" s="534"/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4"/>
      <c r="AS14" s="534"/>
      <c r="AT14" s="534"/>
      <c r="AU14" s="534"/>
      <c r="AV14" s="534"/>
      <c r="AW14" s="534"/>
      <c r="AX14" s="534"/>
      <c r="AY14" s="534"/>
      <c r="AZ14" s="534"/>
      <c r="BA14" s="534"/>
      <c r="BB14" s="534"/>
      <c r="BC14" s="534"/>
      <c r="BD14" s="534"/>
      <c r="BE14" s="534"/>
      <c r="BF14" s="534"/>
      <c r="BG14" s="534"/>
      <c r="BH14" s="534"/>
      <c r="BI14" s="534"/>
      <c r="BJ14" s="534"/>
      <c r="BK14" s="534"/>
      <c r="BL14" s="534"/>
      <c r="BM14" s="534"/>
      <c r="BN14" s="534"/>
      <c r="BO14" s="534"/>
      <c r="BP14" s="534"/>
      <c r="BQ14" s="534"/>
      <c r="BR14" s="534"/>
      <c r="BS14" s="534"/>
      <c r="BT14" s="534"/>
      <c r="BU14" s="534"/>
      <c r="BV14" s="534"/>
      <c r="BW14" s="534"/>
      <c r="BX14" s="534"/>
      <c r="BY14" s="534"/>
      <c r="BZ14" s="534"/>
      <c r="CA14" s="534"/>
      <c r="CB14" s="534"/>
      <c r="CC14" s="534"/>
      <c r="CD14" s="534"/>
      <c r="CE14" s="534"/>
      <c r="CF14" s="534"/>
      <c r="CG14" s="534"/>
      <c r="CH14" s="534"/>
      <c r="CI14" s="534"/>
      <c r="CJ14" s="534"/>
      <c r="CK14" s="534"/>
      <c r="CL14" s="534"/>
      <c r="CM14" s="534"/>
      <c r="CN14" s="535"/>
    </row>
    <row r="15" customHeight="1" spans="1:92">
      <c r="A15" s="487" t="s">
        <v>31</v>
      </c>
      <c r="B15" s="489"/>
      <c r="C15" s="487" t="s">
        <v>633</v>
      </c>
      <c r="D15" s="488"/>
      <c r="E15" s="489"/>
      <c r="F15" s="487" t="s">
        <v>634</v>
      </c>
      <c r="G15" s="488"/>
      <c r="H15" s="489"/>
      <c r="I15" s="536" t="s">
        <v>635</v>
      </c>
      <c r="J15" s="536"/>
      <c r="K15" s="536"/>
      <c r="L15" s="536"/>
      <c r="M15" s="536"/>
      <c r="N15" s="536"/>
      <c r="O15" s="536"/>
      <c r="P15" s="536"/>
      <c r="Q15" s="536"/>
      <c r="R15" s="536"/>
      <c r="S15" s="536"/>
      <c r="T15" s="536"/>
      <c r="U15" s="536"/>
      <c r="V15" s="536"/>
      <c r="W15" s="536"/>
      <c r="X15" s="536"/>
      <c r="Y15" s="536"/>
      <c r="Z15" s="536"/>
      <c r="AA15" s="536"/>
      <c r="AB15" s="490" t="s">
        <v>879</v>
      </c>
      <c r="AC15" s="492"/>
      <c r="AD15" s="490" t="s">
        <v>824</v>
      </c>
      <c r="AE15" s="491"/>
      <c r="AF15" s="492"/>
      <c r="AG15" s="296" t="s">
        <v>922</v>
      </c>
      <c r="AH15" s="298"/>
      <c r="AI15" s="296" t="s">
        <v>923</v>
      </c>
      <c r="AJ15" s="297"/>
      <c r="AK15" s="297"/>
      <c r="AL15" s="297"/>
      <c r="AM15" s="297"/>
      <c r="AN15" s="297"/>
      <c r="AO15" s="297"/>
      <c r="AP15" s="297"/>
      <c r="AQ15" s="297"/>
      <c r="AR15" s="297"/>
      <c r="AS15" s="297"/>
      <c r="AT15" s="297"/>
      <c r="AU15" s="297"/>
      <c r="AV15" s="298"/>
      <c r="AW15" s="490" t="s">
        <v>924</v>
      </c>
      <c r="AX15" s="491"/>
      <c r="AY15" s="492"/>
      <c r="AZ15" s="490" t="s">
        <v>925</v>
      </c>
      <c r="BA15" s="491"/>
      <c r="BB15" s="492"/>
      <c r="BC15" s="537" t="s">
        <v>926</v>
      </c>
      <c r="BD15" s="538"/>
      <c r="BE15" s="539"/>
      <c r="BF15" s="537" t="s">
        <v>927</v>
      </c>
      <c r="BG15" s="538"/>
      <c r="BH15" s="539"/>
      <c r="BI15" s="71" t="s">
        <v>928</v>
      </c>
      <c r="BJ15" s="71"/>
      <c r="BK15" s="71"/>
      <c r="BL15" s="71"/>
      <c r="BM15" s="71" t="s">
        <v>638</v>
      </c>
      <c r="BN15" s="71"/>
      <c r="BO15" s="71"/>
      <c r="BP15" s="71"/>
      <c r="BQ15" s="70" t="s">
        <v>637</v>
      </c>
      <c r="BR15" s="70"/>
      <c r="BS15" s="70"/>
      <c r="BT15" s="72" t="s">
        <v>639</v>
      </c>
      <c r="BU15" s="72"/>
      <c r="BV15" s="72"/>
      <c r="BW15" s="72"/>
      <c r="BX15" s="70" t="s">
        <v>637</v>
      </c>
      <c r="BY15" s="70"/>
      <c r="BZ15" s="70"/>
      <c r="CA15" s="72" t="s">
        <v>640</v>
      </c>
      <c r="CB15" s="72"/>
      <c r="CC15" s="72"/>
      <c r="CD15" s="72"/>
      <c r="CE15" s="70" t="s">
        <v>637</v>
      </c>
      <c r="CF15" s="70"/>
      <c r="CG15" s="70"/>
      <c r="CH15" s="72" t="s">
        <v>641</v>
      </c>
      <c r="CI15" s="72"/>
      <c r="CJ15" s="72"/>
      <c r="CK15" s="72"/>
      <c r="CL15" s="70" t="s">
        <v>637</v>
      </c>
      <c r="CM15" s="70"/>
      <c r="CN15" s="70"/>
    </row>
    <row r="16" customHeight="1" spans="1:92">
      <c r="A16" s="612" t="s">
        <v>929</v>
      </c>
      <c r="B16" s="612"/>
      <c r="C16" s="518"/>
      <c r="D16" s="518"/>
      <c r="E16" s="518"/>
      <c r="F16" s="657">
        <v>103689</v>
      </c>
      <c r="G16" s="657"/>
      <c r="H16" s="657"/>
      <c r="I16" s="519" t="s">
        <v>86</v>
      </c>
      <c r="J16" s="519"/>
      <c r="K16" s="519"/>
      <c r="L16" s="519"/>
      <c r="M16" s="519"/>
      <c r="N16" s="519"/>
      <c r="O16" s="519"/>
      <c r="P16" s="519"/>
      <c r="Q16" s="519"/>
      <c r="R16" s="519"/>
      <c r="S16" s="519"/>
      <c r="T16" s="519"/>
      <c r="U16" s="519"/>
      <c r="V16" s="519"/>
      <c r="W16" s="519"/>
      <c r="X16" s="519"/>
      <c r="Y16" s="519"/>
      <c r="Z16" s="519"/>
      <c r="AA16" s="519"/>
      <c r="AB16" s="526" t="s">
        <v>7</v>
      </c>
      <c r="AC16" s="526"/>
      <c r="AD16" s="658">
        <v>1</v>
      </c>
      <c r="AE16" s="658"/>
      <c r="AF16" s="658"/>
      <c r="AG16" s="526" t="s">
        <v>930</v>
      </c>
      <c r="AH16" s="526"/>
      <c r="AI16" s="659" t="s">
        <v>931</v>
      </c>
      <c r="AJ16" s="659"/>
      <c r="AK16" s="659"/>
      <c r="AL16" s="659"/>
      <c r="AM16" s="659"/>
      <c r="AN16" s="659"/>
      <c r="AO16" s="659"/>
      <c r="AP16" s="659"/>
      <c r="AQ16" s="659"/>
      <c r="AR16" s="659"/>
      <c r="AS16" s="659"/>
      <c r="AT16" s="659"/>
      <c r="AU16" s="659"/>
      <c r="AV16" s="659"/>
      <c r="AW16" s="658">
        <v>1.1186</v>
      </c>
      <c r="AX16" s="658"/>
      <c r="AY16" s="658"/>
      <c r="AZ16" s="658">
        <v>1</v>
      </c>
      <c r="BA16" s="658"/>
      <c r="BB16" s="658"/>
      <c r="BC16" s="658">
        <v>1.1186</v>
      </c>
      <c r="BD16" s="658"/>
      <c r="BE16" s="658"/>
      <c r="BF16" s="658">
        <v>182.49</v>
      </c>
      <c r="BG16" s="658"/>
      <c r="BH16" s="658"/>
      <c r="BI16" s="567">
        <v>0.00612965093977752</v>
      </c>
      <c r="BJ16" s="567"/>
      <c r="BK16" s="567"/>
      <c r="BL16" s="567"/>
      <c r="BM16" s="660">
        <v>0.00612965093977752</v>
      </c>
      <c r="BN16" s="660"/>
      <c r="BO16" s="660"/>
      <c r="BP16" s="660"/>
      <c r="BQ16" s="568">
        <v>1</v>
      </c>
      <c r="BR16" s="568"/>
      <c r="BS16" s="568"/>
      <c r="BT16" s="660" t="s">
        <v>932</v>
      </c>
      <c r="BU16" s="660"/>
      <c r="BV16" s="660"/>
      <c r="BW16" s="660"/>
      <c r="BX16" s="568" t="s">
        <v>932</v>
      </c>
      <c r="BY16" s="568"/>
      <c r="BZ16" s="568"/>
      <c r="CA16" s="660" t="s">
        <v>932</v>
      </c>
      <c r="CB16" s="660"/>
      <c r="CC16" s="660"/>
      <c r="CD16" s="660"/>
      <c r="CE16" s="568" t="s">
        <v>932</v>
      </c>
      <c r="CF16" s="568"/>
      <c r="CG16" s="568"/>
      <c r="CH16" s="660" t="s">
        <v>932</v>
      </c>
      <c r="CI16" s="660"/>
      <c r="CJ16" s="660"/>
      <c r="CK16" s="660"/>
      <c r="CL16" s="568" t="s">
        <v>932</v>
      </c>
      <c r="CM16" s="568"/>
      <c r="CN16" s="568"/>
    </row>
    <row r="17" customHeight="1" spans="1:92">
      <c r="A17" s="612"/>
      <c r="B17" s="612"/>
      <c r="C17" s="518"/>
      <c r="D17" s="518"/>
      <c r="E17" s="518"/>
      <c r="F17" s="657"/>
      <c r="G17" s="657"/>
      <c r="H17" s="657"/>
      <c r="I17" s="519"/>
      <c r="J17" s="519"/>
      <c r="K17" s="519"/>
      <c r="L17" s="519"/>
      <c r="M17" s="519"/>
      <c r="N17" s="519"/>
      <c r="O17" s="519"/>
      <c r="P17" s="519"/>
      <c r="Q17" s="519"/>
      <c r="R17" s="519"/>
      <c r="S17" s="519"/>
      <c r="T17" s="519"/>
      <c r="U17" s="519"/>
      <c r="V17" s="519"/>
      <c r="W17" s="519"/>
      <c r="X17" s="519"/>
      <c r="Y17" s="519"/>
      <c r="Z17" s="519"/>
      <c r="AA17" s="519"/>
      <c r="AB17" s="526"/>
      <c r="AC17" s="526"/>
      <c r="AD17" s="658"/>
      <c r="AE17" s="658"/>
      <c r="AF17" s="658"/>
      <c r="AG17" s="526" t="s">
        <v>933</v>
      </c>
      <c r="AH17" s="526"/>
      <c r="AI17" s="659" t="s">
        <v>934</v>
      </c>
      <c r="AJ17" s="659"/>
      <c r="AK17" s="659"/>
      <c r="AL17" s="659"/>
      <c r="AM17" s="659"/>
      <c r="AN17" s="659"/>
      <c r="AO17" s="659"/>
      <c r="AP17" s="659"/>
      <c r="AQ17" s="659"/>
      <c r="AR17" s="659"/>
      <c r="AS17" s="659"/>
      <c r="AT17" s="659"/>
      <c r="AU17" s="659"/>
      <c r="AV17" s="659"/>
      <c r="AW17" s="658">
        <v>0.3729</v>
      </c>
      <c r="AX17" s="658"/>
      <c r="AY17" s="658"/>
      <c r="AZ17" s="658"/>
      <c r="BA17" s="658"/>
      <c r="BB17" s="658"/>
      <c r="BC17" s="658">
        <v>0.3729</v>
      </c>
      <c r="BD17" s="658"/>
      <c r="BE17" s="658"/>
      <c r="BF17" s="658">
        <v>182.49</v>
      </c>
      <c r="BG17" s="658"/>
      <c r="BH17" s="658"/>
      <c r="BI17" s="567">
        <v>0.00204339963833635</v>
      </c>
      <c r="BJ17" s="567"/>
      <c r="BK17" s="567"/>
      <c r="BL17" s="567"/>
      <c r="BM17" s="660">
        <v>0.00204339963833635</v>
      </c>
      <c r="BN17" s="660"/>
      <c r="BO17" s="660"/>
      <c r="BP17" s="660"/>
      <c r="BQ17" s="568">
        <v>1</v>
      </c>
      <c r="BR17" s="568"/>
      <c r="BS17" s="568"/>
      <c r="BT17" s="660" t="s">
        <v>932</v>
      </c>
      <c r="BU17" s="660"/>
      <c r="BV17" s="660"/>
      <c r="BW17" s="660"/>
      <c r="BX17" s="568" t="s">
        <v>932</v>
      </c>
      <c r="BY17" s="568"/>
      <c r="BZ17" s="568"/>
      <c r="CA17" s="660" t="s">
        <v>932</v>
      </c>
      <c r="CB17" s="660"/>
      <c r="CC17" s="660"/>
      <c r="CD17" s="660"/>
      <c r="CE17" s="568" t="s">
        <v>932</v>
      </c>
      <c r="CF17" s="568"/>
      <c r="CG17" s="568"/>
      <c r="CH17" s="660" t="s">
        <v>932</v>
      </c>
      <c r="CI17" s="660"/>
      <c r="CJ17" s="660"/>
      <c r="CK17" s="660"/>
      <c r="CL17" s="568" t="s">
        <v>932</v>
      </c>
      <c r="CM17" s="568"/>
      <c r="CN17" s="568"/>
    </row>
    <row r="18" hidden="1" customHeight="1" spans="1:92">
      <c r="A18" s="612"/>
      <c r="B18" s="612"/>
      <c r="C18" s="518"/>
      <c r="D18" s="518"/>
      <c r="E18" s="518"/>
      <c r="F18" s="657"/>
      <c r="G18" s="657"/>
      <c r="H18" s="657"/>
      <c r="I18" s="519"/>
      <c r="J18" s="519"/>
      <c r="K18" s="519"/>
      <c r="L18" s="519"/>
      <c r="M18" s="519"/>
      <c r="N18" s="519"/>
      <c r="O18" s="519"/>
      <c r="P18" s="519"/>
      <c r="Q18" s="519"/>
      <c r="R18" s="519"/>
      <c r="S18" s="519"/>
      <c r="T18" s="519"/>
      <c r="U18" s="519"/>
      <c r="V18" s="519"/>
      <c r="W18" s="519"/>
      <c r="X18" s="519"/>
      <c r="Y18" s="519"/>
      <c r="Z18" s="519"/>
      <c r="AA18" s="519"/>
      <c r="AB18" s="526"/>
      <c r="AC18" s="526"/>
      <c r="AD18" s="658"/>
      <c r="AE18" s="658"/>
      <c r="AF18" s="658"/>
      <c r="AG18" s="526">
        <v>0</v>
      </c>
      <c r="AH18" s="526"/>
      <c r="AI18" s="659" t="e">
        <v>#N/A</v>
      </c>
      <c r="AJ18" s="659"/>
      <c r="AK18" s="659"/>
      <c r="AL18" s="659"/>
      <c r="AM18" s="659"/>
      <c r="AN18" s="659"/>
      <c r="AO18" s="659"/>
      <c r="AP18" s="659"/>
      <c r="AQ18" s="659"/>
      <c r="AR18" s="659"/>
      <c r="AS18" s="659"/>
      <c r="AT18" s="659"/>
      <c r="AU18" s="659"/>
      <c r="AV18" s="659"/>
      <c r="AW18" s="658">
        <v>0</v>
      </c>
      <c r="AX18" s="658"/>
      <c r="AY18" s="658"/>
      <c r="AZ18" s="658"/>
      <c r="BA18" s="658"/>
      <c r="BB18" s="658"/>
      <c r="BC18" s="658">
        <v>0</v>
      </c>
      <c r="BD18" s="658"/>
      <c r="BE18" s="658"/>
      <c r="BF18" s="658">
        <v>182.49</v>
      </c>
      <c r="BG18" s="658"/>
      <c r="BH18" s="658"/>
      <c r="BI18" s="567">
        <v>0</v>
      </c>
      <c r="BJ18" s="567"/>
      <c r="BK18" s="567"/>
      <c r="BL18" s="567"/>
      <c r="BM18" s="660" t="s">
        <v>932</v>
      </c>
      <c r="BN18" s="660"/>
      <c r="BO18" s="660"/>
      <c r="BP18" s="660"/>
      <c r="BQ18" s="568">
        <v>1</v>
      </c>
      <c r="BR18" s="568"/>
      <c r="BS18" s="568"/>
      <c r="BT18" s="660" t="s">
        <v>932</v>
      </c>
      <c r="BU18" s="660"/>
      <c r="BV18" s="660"/>
      <c r="BW18" s="660"/>
      <c r="BX18" s="568" t="s">
        <v>932</v>
      </c>
      <c r="BY18" s="568"/>
      <c r="BZ18" s="568"/>
      <c r="CA18" s="660" t="s">
        <v>932</v>
      </c>
      <c r="CB18" s="660"/>
      <c r="CC18" s="660"/>
      <c r="CD18" s="660"/>
      <c r="CE18" s="568" t="s">
        <v>932</v>
      </c>
      <c r="CF18" s="568"/>
      <c r="CG18" s="568"/>
      <c r="CH18" s="660" t="s">
        <v>932</v>
      </c>
      <c r="CI18" s="660"/>
      <c r="CJ18" s="660"/>
      <c r="CK18" s="660"/>
      <c r="CL18" s="568" t="s">
        <v>932</v>
      </c>
      <c r="CM18" s="568"/>
      <c r="CN18" s="568"/>
    </row>
    <row r="19" hidden="1" customHeight="1" spans="1:92">
      <c r="A19" s="612"/>
      <c r="B19" s="612"/>
      <c r="C19" s="518"/>
      <c r="D19" s="518"/>
      <c r="E19" s="518"/>
      <c r="F19" s="657"/>
      <c r="G19" s="657"/>
      <c r="H19" s="657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26"/>
      <c r="AC19" s="526"/>
      <c r="AD19" s="658"/>
      <c r="AE19" s="658"/>
      <c r="AF19" s="658"/>
      <c r="AG19" s="526">
        <v>0</v>
      </c>
      <c r="AH19" s="526"/>
      <c r="AI19" s="659" t="e">
        <v>#N/A</v>
      </c>
      <c r="AJ19" s="659"/>
      <c r="AK19" s="659"/>
      <c r="AL19" s="659"/>
      <c r="AM19" s="659"/>
      <c r="AN19" s="659"/>
      <c r="AO19" s="659"/>
      <c r="AP19" s="659"/>
      <c r="AQ19" s="659"/>
      <c r="AR19" s="659"/>
      <c r="AS19" s="659"/>
      <c r="AT19" s="659"/>
      <c r="AU19" s="659"/>
      <c r="AV19" s="659"/>
      <c r="AW19" s="658">
        <v>0</v>
      </c>
      <c r="AX19" s="658"/>
      <c r="AY19" s="658"/>
      <c r="AZ19" s="658"/>
      <c r="BA19" s="658"/>
      <c r="BB19" s="658"/>
      <c r="BC19" s="658">
        <v>0</v>
      </c>
      <c r="BD19" s="658"/>
      <c r="BE19" s="658"/>
      <c r="BF19" s="658">
        <v>182.49</v>
      </c>
      <c r="BG19" s="658"/>
      <c r="BH19" s="658"/>
      <c r="BI19" s="567">
        <v>0</v>
      </c>
      <c r="BJ19" s="567"/>
      <c r="BK19" s="567"/>
      <c r="BL19" s="567"/>
      <c r="BM19" s="660" t="s">
        <v>932</v>
      </c>
      <c r="BN19" s="660"/>
      <c r="BO19" s="660"/>
      <c r="BP19" s="660"/>
      <c r="BQ19" s="568">
        <v>1</v>
      </c>
      <c r="BR19" s="568"/>
      <c r="BS19" s="568"/>
      <c r="BT19" s="660" t="s">
        <v>932</v>
      </c>
      <c r="BU19" s="660"/>
      <c r="BV19" s="660"/>
      <c r="BW19" s="660"/>
      <c r="BX19" s="568" t="s">
        <v>932</v>
      </c>
      <c r="BY19" s="568"/>
      <c r="BZ19" s="568"/>
      <c r="CA19" s="660" t="s">
        <v>932</v>
      </c>
      <c r="CB19" s="660"/>
      <c r="CC19" s="660"/>
      <c r="CD19" s="660"/>
      <c r="CE19" s="568" t="s">
        <v>932</v>
      </c>
      <c r="CF19" s="568"/>
      <c r="CG19" s="568"/>
      <c r="CH19" s="660" t="s">
        <v>932</v>
      </c>
      <c r="CI19" s="660"/>
      <c r="CJ19" s="660"/>
      <c r="CK19" s="660"/>
      <c r="CL19" s="568" t="s">
        <v>932</v>
      </c>
      <c r="CM19" s="568"/>
      <c r="CN19" s="568"/>
    </row>
    <row r="20" hidden="1" customHeight="1" spans="1:92">
      <c r="A20" s="612"/>
      <c r="B20" s="612"/>
      <c r="C20" s="518"/>
      <c r="D20" s="518"/>
      <c r="E20" s="518"/>
      <c r="F20" s="657"/>
      <c r="G20" s="657"/>
      <c r="H20" s="657"/>
      <c r="I20" s="519"/>
      <c r="J20" s="519"/>
      <c r="K20" s="519"/>
      <c r="L20" s="519"/>
      <c r="M20" s="519"/>
      <c r="N20" s="519"/>
      <c r="O20" s="519"/>
      <c r="P20" s="519"/>
      <c r="Q20" s="519"/>
      <c r="R20" s="519"/>
      <c r="S20" s="519"/>
      <c r="T20" s="519"/>
      <c r="U20" s="519"/>
      <c r="V20" s="519"/>
      <c r="W20" s="519"/>
      <c r="X20" s="519"/>
      <c r="Y20" s="519"/>
      <c r="Z20" s="519"/>
      <c r="AA20" s="519"/>
      <c r="AB20" s="526"/>
      <c r="AC20" s="526"/>
      <c r="AD20" s="658"/>
      <c r="AE20" s="658"/>
      <c r="AF20" s="658"/>
      <c r="AG20" s="526">
        <v>0</v>
      </c>
      <c r="AH20" s="526"/>
      <c r="AI20" s="659" t="e">
        <v>#N/A</v>
      </c>
      <c r="AJ20" s="659"/>
      <c r="AK20" s="659"/>
      <c r="AL20" s="659"/>
      <c r="AM20" s="659"/>
      <c r="AN20" s="659"/>
      <c r="AO20" s="659"/>
      <c r="AP20" s="659"/>
      <c r="AQ20" s="659"/>
      <c r="AR20" s="659"/>
      <c r="AS20" s="659"/>
      <c r="AT20" s="659"/>
      <c r="AU20" s="659"/>
      <c r="AV20" s="659"/>
      <c r="AW20" s="658">
        <v>0</v>
      </c>
      <c r="AX20" s="658"/>
      <c r="AY20" s="658"/>
      <c r="AZ20" s="658"/>
      <c r="BA20" s="658"/>
      <c r="BB20" s="658"/>
      <c r="BC20" s="658">
        <v>0</v>
      </c>
      <c r="BD20" s="658"/>
      <c r="BE20" s="658"/>
      <c r="BF20" s="658">
        <v>182.49</v>
      </c>
      <c r="BG20" s="658"/>
      <c r="BH20" s="658"/>
      <c r="BI20" s="567">
        <v>0</v>
      </c>
      <c r="BJ20" s="567"/>
      <c r="BK20" s="567"/>
      <c r="BL20" s="567"/>
      <c r="BM20" s="660" t="s">
        <v>932</v>
      </c>
      <c r="BN20" s="660"/>
      <c r="BO20" s="660"/>
      <c r="BP20" s="660"/>
      <c r="BQ20" s="568">
        <v>1</v>
      </c>
      <c r="BR20" s="568"/>
      <c r="BS20" s="568"/>
      <c r="BT20" s="660" t="s">
        <v>932</v>
      </c>
      <c r="BU20" s="660"/>
      <c r="BV20" s="660"/>
      <c r="BW20" s="660"/>
      <c r="BX20" s="568" t="s">
        <v>932</v>
      </c>
      <c r="BY20" s="568"/>
      <c r="BZ20" s="568"/>
      <c r="CA20" s="660" t="s">
        <v>932</v>
      </c>
      <c r="CB20" s="660"/>
      <c r="CC20" s="660"/>
      <c r="CD20" s="660"/>
      <c r="CE20" s="568" t="s">
        <v>932</v>
      </c>
      <c r="CF20" s="568"/>
      <c r="CG20" s="568"/>
      <c r="CH20" s="660" t="s">
        <v>932</v>
      </c>
      <c r="CI20" s="660"/>
      <c r="CJ20" s="660"/>
      <c r="CK20" s="660"/>
      <c r="CL20" s="568" t="s">
        <v>932</v>
      </c>
      <c r="CM20" s="568"/>
      <c r="CN20" s="568"/>
    </row>
    <row r="21" hidden="1" customHeight="1" spans="1:92">
      <c r="A21" s="612"/>
      <c r="B21" s="612"/>
      <c r="C21" s="518"/>
      <c r="D21" s="518"/>
      <c r="E21" s="518"/>
      <c r="F21" s="657"/>
      <c r="G21" s="657"/>
      <c r="H21" s="657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26"/>
      <c r="AC21" s="526"/>
      <c r="AD21" s="658"/>
      <c r="AE21" s="658"/>
      <c r="AF21" s="658"/>
      <c r="AG21" s="526">
        <v>0</v>
      </c>
      <c r="AH21" s="526"/>
      <c r="AI21" s="659" t="e">
        <v>#N/A</v>
      </c>
      <c r="AJ21" s="659"/>
      <c r="AK21" s="659"/>
      <c r="AL21" s="659"/>
      <c r="AM21" s="659"/>
      <c r="AN21" s="659"/>
      <c r="AO21" s="659"/>
      <c r="AP21" s="659"/>
      <c r="AQ21" s="659"/>
      <c r="AR21" s="659"/>
      <c r="AS21" s="659"/>
      <c r="AT21" s="659"/>
      <c r="AU21" s="659"/>
      <c r="AV21" s="659"/>
      <c r="AW21" s="658">
        <v>0</v>
      </c>
      <c r="AX21" s="658"/>
      <c r="AY21" s="658"/>
      <c r="AZ21" s="658"/>
      <c r="BA21" s="658"/>
      <c r="BB21" s="658"/>
      <c r="BC21" s="658">
        <v>0</v>
      </c>
      <c r="BD21" s="658"/>
      <c r="BE21" s="658"/>
      <c r="BF21" s="658">
        <v>182.49</v>
      </c>
      <c r="BG21" s="658"/>
      <c r="BH21" s="658"/>
      <c r="BI21" s="567">
        <v>0</v>
      </c>
      <c r="BJ21" s="567"/>
      <c r="BK21" s="567"/>
      <c r="BL21" s="567"/>
      <c r="BM21" s="660" t="s">
        <v>932</v>
      </c>
      <c r="BN21" s="660"/>
      <c r="BO21" s="660"/>
      <c r="BP21" s="660"/>
      <c r="BQ21" s="568">
        <v>1</v>
      </c>
      <c r="BR21" s="568"/>
      <c r="BS21" s="568"/>
      <c r="BT21" s="660" t="s">
        <v>932</v>
      </c>
      <c r="BU21" s="660"/>
      <c r="BV21" s="660"/>
      <c r="BW21" s="660"/>
      <c r="BX21" s="568" t="s">
        <v>932</v>
      </c>
      <c r="BY21" s="568"/>
      <c r="BZ21" s="568"/>
      <c r="CA21" s="660" t="s">
        <v>932</v>
      </c>
      <c r="CB21" s="660"/>
      <c r="CC21" s="660"/>
      <c r="CD21" s="660"/>
      <c r="CE21" s="568" t="s">
        <v>932</v>
      </c>
      <c r="CF21" s="568"/>
      <c r="CG21" s="568"/>
      <c r="CH21" s="660" t="s">
        <v>932</v>
      </c>
      <c r="CI21" s="660"/>
      <c r="CJ21" s="660"/>
      <c r="CK21" s="660"/>
      <c r="CL21" s="568" t="s">
        <v>932</v>
      </c>
      <c r="CM21" s="568"/>
      <c r="CN21" s="568"/>
    </row>
    <row r="22" hidden="1" customHeight="1" spans="1:92">
      <c r="A22" s="612"/>
      <c r="B22" s="612"/>
      <c r="C22" s="518"/>
      <c r="D22" s="518"/>
      <c r="E22" s="518"/>
      <c r="F22" s="657"/>
      <c r="G22" s="657"/>
      <c r="H22" s="657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26"/>
      <c r="AC22" s="526"/>
      <c r="AD22" s="658"/>
      <c r="AE22" s="658"/>
      <c r="AF22" s="658"/>
      <c r="AG22" s="526">
        <v>0</v>
      </c>
      <c r="AH22" s="526"/>
      <c r="AI22" s="659" t="e">
        <v>#N/A</v>
      </c>
      <c r="AJ22" s="659"/>
      <c r="AK22" s="659"/>
      <c r="AL22" s="659"/>
      <c r="AM22" s="659"/>
      <c r="AN22" s="659"/>
      <c r="AO22" s="659"/>
      <c r="AP22" s="659"/>
      <c r="AQ22" s="659"/>
      <c r="AR22" s="659"/>
      <c r="AS22" s="659"/>
      <c r="AT22" s="659"/>
      <c r="AU22" s="659"/>
      <c r="AV22" s="659"/>
      <c r="AW22" s="658">
        <v>0</v>
      </c>
      <c r="AX22" s="658"/>
      <c r="AY22" s="658"/>
      <c r="AZ22" s="658"/>
      <c r="BA22" s="658"/>
      <c r="BB22" s="658"/>
      <c r="BC22" s="658">
        <v>0</v>
      </c>
      <c r="BD22" s="658"/>
      <c r="BE22" s="658"/>
      <c r="BF22" s="658">
        <v>182.49</v>
      </c>
      <c r="BG22" s="658"/>
      <c r="BH22" s="658"/>
      <c r="BI22" s="567">
        <v>0</v>
      </c>
      <c r="BJ22" s="567"/>
      <c r="BK22" s="567"/>
      <c r="BL22" s="567"/>
      <c r="BM22" s="660" t="s">
        <v>932</v>
      </c>
      <c r="BN22" s="660"/>
      <c r="BO22" s="660"/>
      <c r="BP22" s="660"/>
      <c r="BQ22" s="568">
        <v>1</v>
      </c>
      <c r="BR22" s="568"/>
      <c r="BS22" s="568"/>
      <c r="BT22" s="660" t="s">
        <v>932</v>
      </c>
      <c r="BU22" s="660"/>
      <c r="BV22" s="660"/>
      <c r="BW22" s="660"/>
      <c r="BX22" s="568" t="s">
        <v>932</v>
      </c>
      <c r="BY22" s="568"/>
      <c r="BZ22" s="568"/>
      <c r="CA22" s="660" t="s">
        <v>932</v>
      </c>
      <c r="CB22" s="660"/>
      <c r="CC22" s="660"/>
      <c r="CD22" s="660"/>
      <c r="CE22" s="568" t="s">
        <v>932</v>
      </c>
      <c r="CF22" s="568"/>
      <c r="CG22" s="568"/>
      <c r="CH22" s="660" t="s">
        <v>932</v>
      </c>
      <c r="CI22" s="660"/>
      <c r="CJ22" s="660"/>
      <c r="CK22" s="660"/>
      <c r="CL22" s="568" t="s">
        <v>932</v>
      </c>
      <c r="CM22" s="568"/>
      <c r="CN22" s="568"/>
    </row>
    <row r="23" hidden="1" customHeight="1" spans="1:92">
      <c r="A23" s="612"/>
      <c r="B23" s="612"/>
      <c r="C23" s="518"/>
      <c r="D23" s="518"/>
      <c r="E23" s="518"/>
      <c r="F23" s="657"/>
      <c r="G23" s="657"/>
      <c r="H23" s="657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26"/>
      <c r="AC23" s="526"/>
      <c r="AD23" s="658"/>
      <c r="AE23" s="658"/>
      <c r="AF23" s="658"/>
      <c r="AG23" s="526">
        <v>0</v>
      </c>
      <c r="AH23" s="526"/>
      <c r="AI23" s="659" t="e">
        <v>#N/A</v>
      </c>
      <c r="AJ23" s="659"/>
      <c r="AK23" s="659"/>
      <c r="AL23" s="659"/>
      <c r="AM23" s="659"/>
      <c r="AN23" s="659"/>
      <c r="AO23" s="659"/>
      <c r="AP23" s="659"/>
      <c r="AQ23" s="659"/>
      <c r="AR23" s="659"/>
      <c r="AS23" s="659"/>
      <c r="AT23" s="659"/>
      <c r="AU23" s="659"/>
      <c r="AV23" s="659"/>
      <c r="AW23" s="658">
        <v>0</v>
      </c>
      <c r="AX23" s="658"/>
      <c r="AY23" s="658"/>
      <c r="AZ23" s="658"/>
      <c r="BA23" s="658"/>
      <c r="BB23" s="658"/>
      <c r="BC23" s="658">
        <v>0</v>
      </c>
      <c r="BD23" s="658"/>
      <c r="BE23" s="658"/>
      <c r="BF23" s="658">
        <v>182.49</v>
      </c>
      <c r="BG23" s="658"/>
      <c r="BH23" s="658"/>
      <c r="BI23" s="567">
        <v>0</v>
      </c>
      <c r="BJ23" s="567"/>
      <c r="BK23" s="567"/>
      <c r="BL23" s="567"/>
      <c r="BM23" s="660" t="s">
        <v>932</v>
      </c>
      <c r="BN23" s="660"/>
      <c r="BO23" s="660"/>
      <c r="BP23" s="660"/>
      <c r="BQ23" s="568">
        <v>1</v>
      </c>
      <c r="BR23" s="568"/>
      <c r="BS23" s="568"/>
      <c r="BT23" s="660" t="s">
        <v>932</v>
      </c>
      <c r="BU23" s="660"/>
      <c r="BV23" s="660"/>
      <c r="BW23" s="660"/>
      <c r="BX23" s="568" t="s">
        <v>932</v>
      </c>
      <c r="BY23" s="568"/>
      <c r="BZ23" s="568"/>
      <c r="CA23" s="660" t="s">
        <v>932</v>
      </c>
      <c r="CB23" s="660"/>
      <c r="CC23" s="660"/>
      <c r="CD23" s="660"/>
      <c r="CE23" s="568" t="s">
        <v>932</v>
      </c>
      <c r="CF23" s="568"/>
      <c r="CG23" s="568"/>
      <c r="CH23" s="660" t="s">
        <v>932</v>
      </c>
      <c r="CI23" s="660"/>
      <c r="CJ23" s="660"/>
      <c r="CK23" s="660"/>
      <c r="CL23" s="568" t="s">
        <v>932</v>
      </c>
      <c r="CM23" s="568"/>
      <c r="CN23" s="568"/>
    </row>
    <row r="24" customHeight="1" spans="1:92">
      <c r="A24" s="612" t="s">
        <v>835</v>
      </c>
      <c r="B24" s="612"/>
      <c r="C24" s="518"/>
      <c r="D24" s="518"/>
      <c r="E24" s="518"/>
      <c r="F24" s="657">
        <v>5502109</v>
      </c>
      <c r="G24" s="657"/>
      <c r="H24" s="657"/>
      <c r="I24" s="519" t="s">
        <v>98</v>
      </c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26" t="s">
        <v>99</v>
      </c>
      <c r="AC24" s="526"/>
      <c r="AD24" s="658">
        <v>57.6</v>
      </c>
      <c r="AE24" s="658"/>
      <c r="AF24" s="658"/>
      <c r="AG24" s="526" t="s">
        <v>935</v>
      </c>
      <c r="AH24" s="526"/>
      <c r="AI24" s="659" t="s">
        <v>936</v>
      </c>
      <c r="AJ24" s="659"/>
      <c r="AK24" s="659"/>
      <c r="AL24" s="659"/>
      <c r="AM24" s="659"/>
      <c r="AN24" s="659"/>
      <c r="AO24" s="659"/>
      <c r="AP24" s="659"/>
      <c r="AQ24" s="659"/>
      <c r="AR24" s="659"/>
      <c r="AS24" s="659"/>
      <c r="AT24" s="659"/>
      <c r="AU24" s="659"/>
      <c r="AV24" s="659"/>
      <c r="AW24" s="658">
        <v>1</v>
      </c>
      <c r="AX24" s="658"/>
      <c r="AY24" s="658"/>
      <c r="AZ24" s="658">
        <v>230.19</v>
      </c>
      <c r="BA24" s="658"/>
      <c r="BB24" s="658"/>
      <c r="BC24" s="658">
        <v>0.250228072461879</v>
      </c>
      <c r="BD24" s="658"/>
      <c r="BE24" s="658"/>
      <c r="BF24" s="658">
        <v>182.49</v>
      </c>
      <c r="BG24" s="658"/>
      <c r="BH24" s="658"/>
      <c r="BI24" s="567">
        <v>0.00137118785939985</v>
      </c>
      <c r="BJ24" s="567"/>
      <c r="BK24" s="567"/>
      <c r="BL24" s="567"/>
      <c r="BM24" s="660">
        <v>0.00137118785939985</v>
      </c>
      <c r="BN24" s="660"/>
      <c r="BO24" s="660"/>
      <c r="BP24" s="660"/>
      <c r="BQ24" s="568">
        <v>1</v>
      </c>
      <c r="BR24" s="568"/>
      <c r="BS24" s="568"/>
      <c r="BT24" s="660" t="s">
        <v>932</v>
      </c>
      <c r="BU24" s="660"/>
      <c r="BV24" s="660"/>
      <c r="BW24" s="660"/>
      <c r="BX24" s="568" t="s">
        <v>932</v>
      </c>
      <c r="BY24" s="568"/>
      <c r="BZ24" s="568"/>
      <c r="CA24" s="660" t="s">
        <v>932</v>
      </c>
      <c r="CB24" s="660"/>
      <c r="CC24" s="660"/>
      <c r="CD24" s="660"/>
      <c r="CE24" s="568" t="s">
        <v>932</v>
      </c>
      <c r="CF24" s="568"/>
      <c r="CG24" s="568"/>
      <c r="CH24" s="660" t="s">
        <v>932</v>
      </c>
      <c r="CI24" s="660"/>
      <c r="CJ24" s="660"/>
      <c r="CK24" s="660"/>
      <c r="CL24" s="568" t="s">
        <v>932</v>
      </c>
      <c r="CM24" s="568"/>
      <c r="CN24" s="568"/>
    </row>
    <row r="25" hidden="1" customHeight="1" spans="1:92">
      <c r="A25" s="612"/>
      <c r="B25" s="612"/>
      <c r="C25" s="518"/>
      <c r="D25" s="518"/>
      <c r="E25" s="518"/>
      <c r="F25" s="657"/>
      <c r="G25" s="657"/>
      <c r="H25" s="657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26"/>
      <c r="AC25" s="526"/>
      <c r="AD25" s="658"/>
      <c r="AE25" s="658"/>
      <c r="AF25" s="658"/>
      <c r="AG25" s="526">
        <v>0</v>
      </c>
      <c r="AH25" s="526"/>
      <c r="AI25" s="659" t="e">
        <v>#N/A</v>
      </c>
      <c r="AJ25" s="659"/>
      <c r="AK25" s="659"/>
      <c r="AL25" s="659"/>
      <c r="AM25" s="659"/>
      <c r="AN25" s="659"/>
      <c r="AO25" s="659"/>
      <c r="AP25" s="659"/>
      <c r="AQ25" s="659"/>
      <c r="AR25" s="659"/>
      <c r="AS25" s="659"/>
      <c r="AT25" s="659"/>
      <c r="AU25" s="659"/>
      <c r="AV25" s="659"/>
      <c r="AW25" s="658">
        <v>0</v>
      </c>
      <c r="AX25" s="658"/>
      <c r="AY25" s="658"/>
      <c r="AZ25" s="658"/>
      <c r="BA25" s="658"/>
      <c r="BB25" s="658"/>
      <c r="BC25" s="658">
        <v>0</v>
      </c>
      <c r="BD25" s="658"/>
      <c r="BE25" s="658"/>
      <c r="BF25" s="658">
        <v>182.49</v>
      </c>
      <c r="BG25" s="658"/>
      <c r="BH25" s="658"/>
      <c r="BI25" s="567">
        <v>0</v>
      </c>
      <c r="BJ25" s="567"/>
      <c r="BK25" s="567"/>
      <c r="BL25" s="567"/>
      <c r="BM25" s="660" t="s">
        <v>932</v>
      </c>
      <c r="BN25" s="660"/>
      <c r="BO25" s="660"/>
      <c r="BP25" s="660"/>
      <c r="BQ25" s="568">
        <v>1</v>
      </c>
      <c r="BR25" s="568"/>
      <c r="BS25" s="568"/>
      <c r="BT25" s="660" t="s">
        <v>932</v>
      </c>
      <c r="BU25" s="660"/>
      <c r="BV25" s="660"/>
      <c r="BW25" s="660"/>
      <c r="BX25" s="568" t="s">
        <v>932</v>
      </c>
      <c r="BY25" s="568"/>
      <c r="BZ25" s="568"/>
      <c r="CA25" s="660" t="s">
        <v>932</v>
      </c>
      <c r="CB25" s="660"/>
      <c r="CC25" s="660"/>
      <c r="CD25" s="660"/>
      <c r="CE25" s="568" t="s">
        <v>932</v>
      </c>
      <c r="CF25" s="568"/>
      <c r="CG25" s="568"/>
      <c r="CH25" s="660" t="s">
        <v>932</v>
      </c>
      <c r="CI25" s="660"/>
      <c r="CJ25" s="660"/>
      <c r="CK25" s="660"/>
      <c r="CL25" s="568" t="s">
        <v>932</v>
      </c>
      <c r="CM25" s="568"/>
      <c r="CN25" s="568"/>
    </row>
    <row r="26" hidden="1" customHeight="1" spans="1:92">
      <c r="A26" s="612"/>
      <c r="B26" s="612"/>
      <c r="C26" s="518"/>
      <c r="D26" s="518"/>
      <c r="E26" s="518"/>
      <c r="F26" s="657"/>
      <c r="G26" s="657"/>
      <c r="H26" s="657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26"/>
      <c r="AC26" s="526"/>
      <c r="AD26" s="658"/>
      <c r="AE26" s="658"/>
      <c r="AF26" s="658"/>
      <c r="AG26" s="526">
        <v>0</v>
      </c>
      <c r="AH26" s="526"/>
      <c r="AI26" s="659" t="e">
        <v>#N/A</v>
      </c>
      <c r="AJ26" s="659"/>
      <c r="AK26" s="659"/>
      <c r="AL26" s="659"/>
      <c r="AM26" s="659"/>
      <c r="AN26" s="659"/>
      <c r="AO26" s="659"/>
      <c r="AP26" s="659"/>
      <c r="AQ26" s="659"/>
      <c r="AR26" s="659"/>
      <c r="AS26" s="659"/>
      <c r="AT26" s="659"/>
      <c r="AU26" s="659"/>
      <c r="AV26" s="659"/>
      <c r="AW26" s="658">
        <v>0</v>
      </c>
      <c r="AX26" s="658"/>
      <c r="AY26" s="658"/>
      <c r="AZ26" s="658"/>
      <c r="BA26" s="658"/>
      <c r="BB26" s="658"/>
      <c r="BC26" s="658">
        <v>0</v>
      </c>
      <c r="BD26" s="658"/>
      <c r="BE26" s="658"/>
      <c r="BF26" s="658">
        <v>182.49</v>
      </c>
      <c r="BG26" s="658"/>
      <c r="BH26" s="658"/>
      <c r="BI26" s="567">
        <v>0</v>
      </c>
      <c r="BJ26" s="567"/>
      <c r="BK26" s="567"/>
      <c r="BL26" s="567"/>
      <c r="BM26" s="660" t="s">
        <v>932</v>
      </c>
      <c r="BN26" s="660"/>
      <c r="BO26" s="660"/>
      <c r="BP26" s="660"/>
      <c r="BQ26" s="568">
        <v>1</v>
      </c>
      <c r="BR26" s="568"/>
      <c r="BS26" s="568"/>
      <c r="BT26" s="660" t="s">
        <v>932</v>
      </c>
      <c r="BU26" s="660"/>
      <c r="BV26" s="660"/>
      <c r="BW26" s="660"/>
      <c r="BX26" s="568" t="s">
        <v>932</v>
      </c>
      <c r="BY26" s="568"/>
      <c r="BZ26" s="568"/>
      <c r="CA26" s="660" t="s">
        <v>932</v>
      </c>
      <c r="CB26" s="660"/>
      <c r="CC26" s="660"/>
      <c r="CD26" s="660"/>
      <c r="CE26" s="568" t="s">
        <v>932</v>
      </c>
      <c r="CF26" s="568"/>
      <c r="CG26" s="568"/>
      <c r="CH26" s="660" t="s">
        <v>932</v>
      </c>
      <c r="CI26" s="660"/>
      <c r="CJ26" s="660"/>
      <c r="CK26" s="660"/>
      <c r="CL26" s="568" t="s">
        <v>932</v>
      </c>
      <c r="CM26" s="568"/>
      <c r="CN26" s="568"/>
    </row>
    <row r="27" hidden="1" customHeight="1" spans="1:92">
      <c r="A27" s="612"/>
      <c r="B27" s="612"/>
      <c r="C27" s="518"/>
      <c r="D27" s="518"/>
      <c r="E27" s="518"/>
      <c r="F27" s="657"/>
      <c r="G27" s="657"/>
      <c r="H27" s="657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26"/>
      <c r="AC27" s="526"/>
      <c r="AD27" s="658"/>
      <c r="AE27" s="658"/>
      <c r="AF27" s="658"/>
      <c r="AG27" s="526">
        <v>0</v>
      </c>
      <c r="AH27" s="526"/>
      <c r="AI27" s="659" t="e">
        <v>#N/A</v>
      </c>
      <c r="AJ27" s="659"/>
      <c r="AK27" s="659"/>
      <c r="AL27" s="659"/>
      <c r="AM27" s="659"/>
      <c r="AN27" s="659"/>
      <c r="AO27" s="659"/>
      <c r="AP27" s="659"/>
      <c r="AQ27" s="659"/>
      <c r="AR27" s="659"/>
      <c r="AS27" s="659"/>
      <c r="AT27" s="659"/>
      <c r="AU27" s="659"/>
      <c r="AV27" s="659"/>
      <c r="AW27" s="658">
        <v>0</v>
      </c>
      <c r="AX27" s="658"/>
      <c r="AY27" s="658"/>
      <c r="AZ27" s="658"/>
      <c r="BA27" s="658"/>
      <c r="BB27" s="658"/>
      <c r="BC27" s="658">
        <v>0</v>
      </c>
      <c r="BD27" s="658"/>
      <c r="BE27" s="658"/>
      <c r="BF27" s="658">
        <v>182.49</v>
      </c>
      <c r="BG27" s="658"/>
      <c r="BH27" s="658"/>
      <c r="BI27" s="567">
        <v>0</v>
      </c>
      <c r="BJ27" s="567"/>
      <c r="BK27" s="567"/>
      <c r="BL27" s="567"/>
      <c r="BM27" s="660" t="s">
        <v>932</v>
      </c>
      <c r="BN27" s="660"/>
      <c r="BO27" s="660"/>
      <c r="BP27" s="660"/>
      <c r="BQ27" s="568">
        <v>1</v>
      </c>
      <c r="BR27" s="568"/>
      <c r="BS27" s="568"/>
      <c r="BT27" s="660" t="s">
        <v>932</v>
      </c>
      <c r="BU27" s="660"/>
      <c r="BV27" s="660"/>
      <c r="BW27" s="660"/>
      <c r="BX27" s="568" t="s">
        <v>932</v>
      </c>
      <c r="BY27" s="568"/>
      <c r="BZ27" s="568"/>
      <c r="CA27" s="660" t="s">
        <v>932</v>
      </c>
      <c r="CB27" s="660"/>
      <c r="CC27" s="660"/>
      <c r="CD27" s="660"/>
      <c r="CE27" s="568" t="s">
        <v>932</v>
      </c>
      <c r="CF27" s="568"/>
      <c r="CG27" s="568"/>
      <c r="CH27" s="660" t="s">
        <v>932</v>
      </c>
      <c r="CI27" s="660"/>
      <c r="CJ27" s="660"/>
      <c r="CK27" s="660"/>
      <c r="CL27" s="568" t="s">
        <v>932</v>
      </c>
      <c r="CM27" s="568"/>
      <c r="CN27" s="568"/>
    </row>
    <row r="28" hidden="1" customHeight="1" spans="1:92">
      <c r="A28" s="612"/>
      <c r="B28" s="612"/>
      <c r="C28" s="518"/>
      <c r="D28" s="518"/>
      <c r="E28" s="518"/>
      <c r="F28" s="657"/>
      <c r="G28" s="657"/>
      <c r="H28" s="657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26"/>
      <c r="AC28" s="526"/>
      <c r="AD28" s="658"/>
      <c r="AE28" s="658"/>
      <c r="AF28" s="658"/>
      <c r="AG28" s="526">
        <v>0</v>
      </c>
      <c r="AH28" s="526"/>
      <c r="AI28" s="659" t="e">
        <v>#N/A</v>
      </c>
      <c r="AJ28" s="659"/>
      <c r="AK28" s="659"/>
      <c r="AL28" s="659"/>
      <c r="AM28" s="659"/>
      <c r="AN28" s="659"/>
      <c r="AO28" s="659"/>
      <c r="AP28" s="659"/>
      <c r="AQ28" s="659"/>
      <c r="AR28" s="659"/>
      <c r="AS28" s="659"/>
      <c r="AT28" s="659"/>
      <c r="AU28" s="659"/>
      <c r="AV28" s="659"/>
      <c r="AW28" s="658">
        <v>0</v>
      </c>
      <c r="AX28" s="658"/>
      <c r="AY28" s="658"/>
      <c r="AZ28" s="658"/>
      <c r="BA28" s="658"/>
      <c r="BB28" s="658"/>
      <c r="BC28" s="658">
        <v>0</v>
      </c>
      <c r="BD28" s="658"/>
      <c r="BE28" s="658"/>
      <c r="BF28" s="658">
        <v>182.49</v>
      </c>
      <c r="BG28" s="658"/>
      <c r="BH28" s="658"/>
      <c r="BI28" s="567">
        <v>0</v>
      </c>
      <c r="BJ28" s="567"/>
      <c r="BK28" s="567"/>
      <c r="BL28" s="567"/>
      <c r="BM28" s="660" t="s">
        <v>932</v>
      </c>
      <c r="BN28" s="660"/>
      <c r="BO28" s="660"/>
      <c r="BP28" s="660"/>
      <c r="BQ28" s="568">
        <v>1</v>
      </c>
      <c r="BR28" s="568"/>
      <c r="BS28" s="568"/>
      <c r="BT28" s="660" t="s">
        <v>932</v>
      </c>
      <c r="BU28" s="660"/>
      <c r="BV28" s="660"/>
      <c r="BW28" s="660"/>
      <c r="BX28" s="568" t="s">
        <v>932</v>
      </c>
      <c r="BY28" s="568"/>
      <c r="BZ28" s="568"/>
      <c r="CA28" s="660" t="s">
        <v>932</v>
      </c>
      <c r="CB28" s="660"/>
      <c r="CC28" s="660"/>
      <c r="CD28" s="660"/>
      <c r="CE28" s="568" t="s">
        <v>932</v>
      </c>
      <c r="CF28" s="568"/>
      <c r="CG28" s="568"/>
      <c r="CH28" s="660" t="s">
        <v>932</v>
      </c>
      <c r="CI28" s="660"/>
      <c r="CJ28" s="660"/>
      <c r="CK28" s="660"/>
      <c r="CL28" s="568" t="s">
        <v>932</v>
      </c>
      <c r="CM28" s="568"/>
      <c r="CN28" s="568"/>
    </row>
    <row r="29" hidden="1" customHeight="1" spans="1:92">
      <c r="A29" s="612"/>
      <c r="B29" s="612"/>
      <c r="C29" s="518"/>
      <c r="D29" s="518"/>
      <c r="E29" s="518"/>
      <c r="F29" s="657"/>
      <c r="G29" s="657"/>
      <c r="H29" s="657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26"/>
      <c r="AC29" s="526"/>
      <c r="AD29" s="658"/>
      <c r="AE29" s="658"/>
      <c r="AF29" s="658"/>
      <c r="AG29" s="526">
        <v>0</v>
      </c>
      <c r="AH29" s="526"/>
      <c r="AI29" s="659" t="e">
        <v>#N/A</v>
      </c>
      <c r="AJ29" s="659"/>
      <c r="AK29" s="659"/>
      <c r="AL29" s="659"/>
      <c r="AM29" s="659"/>
      <c r="AN29" s="659"/>
      <c r="AO29" s="659"/>
      <c r="AP29" s="659"/>
      <c r="AQ29" s="659"/>
      <c r="AR29" s="659"/>
      <c r="AS29" s="659"/>
      <c r="AT29" s="659"/>
      <c r="AU29" s="659"/>
      <c r="AV29" s="659"/>
      <c r="AW29" s="658">
        <v>0</v>
      </c>
      <c r="AX29" s="658"/>
      <c r="AY29" s="658"/>
      <c r="AZ29" s="658"/>
      <c r="BA29" s="658"/>
      <c r="BB29" s="658"/>
      <c r="BC29" s="658">
        <v>0</v>
      </c>
      <c r="BD29" s="658"/>
      <c r="BE29" s="658"/>
      <c r="BF29" s="658">
        <v>182.49</v>
      </c>
      <c r="BG29" s="658"/>
      <c r="BH29" s="658"/>
      <c r="BI29" s="567">
        <v>0</v>
      </c>
      <c r="BJ29" s="567"/>
      <c r="BK29" s="567"/>
      <c r="BL29" s="567"/>
      <c r="BM29" s="660" t="s">
        <v>932</v>
      </c>
      <c r="BN29" s="660"/>
      <c r="BO29" s="660"/>
      <c r="BP29" s="660"/>
      <c r="BQ29" s="568">
        <v>1</v>
      </c>
      <c r="BR29" s="568"/>
      <c r="BS29" s="568"/>
      <c r="BT29" s="660" t="s">
        <v>932</v>
      </c>
      <c r="BU29" s="660"/>
      <c r="BV29" s="660"/>
      <c r="BW29" s="660"/>
      <c r="BX29" s="568" t="s">
        <v>932</v>
      </c>
      <c r="BY29" s="568"/>
      <c r="BZ29" s="568"/>
      <c r="CA29" s="660" t="s">
        <v>932</v>
      </c>
      <c r="CB29" s="660"/>
      <c r="CC29" s="660"/>
      <c r="CD29" s="660"/>
      <c r="CE29" s="568" t="s">
        <v>932</v>
      </c>
      <c r="CF29" s="568"/>
      <c r="CG29" s="568"/>
      <c r="CH29" s="660" t="s">
        <v>932</v>
      </c>
      <c r="CI29" s="660"/>
      <c r="CJ29" s="660"/>
      <c r="CK29" s="660"/>
      <c r="CL29" s="568" t="s">
        <v>932</v>
      </c>
      <c r="CM29" s="568"/>
      <c r="CN29" s="568"/>
    </row>
    <row r="30" hidden="1" customHeight="1" spans="1:92">
      <c r="A30" s="612"/>
      <c r="B30" s="612"/>
      <c r="C30" s="518"/>
      <c r="D30" s="518"/>
      <c r="E30" s="518"/>
      <c r="F30" s="657"/>
      <c r="G30" s="657"/>
      <c r="H30" s="657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26"/>
      <c r="AC30" s="526"/>
      <c r="AD30" s="658"/>
      <c r="AE30" s="658"/>
      <c r="AF30" s="658"/>
      <c r="AG30" s="526">
        <v>0</v>
      </c>
      <c r="AH30" s="526"/>
      <c r="AI30" s="659" t="e">
        <v>#N/A</v>
      </c>
      <c r="AJ30" s="659"/>
      <c r="AK30" s="659"/>
      <c r="AL30" s="659"/>
      <c r="AM30" s="659"/>
      <c r="AN30" s="659"/>
      <c r="AO30" s="659"/>
      <c r="AP30" s="659"/>
      <c r="AQ30" s="659"/>
      <c r="AR30" s="659"/>
      <c r="AS30" s="659"/>
      <c r="AT30" s="659"/>
      <c r="AU30" s="659"/>
      <c r="AV30" s="659"/>
      <c r="AW30" s="658">
        <v>0</v>
      </c>
      <c r="AX30" s="658"/>
      <c r="AY30" s="658"/>
      <c r="AZ30" s="658"/>
      <c r="BA30" s="658"/>
      <c r="BB30" s="658"/>
      <c r="BC30" s="658">
        <v>0</v>
      </c>
      <c r="BD30" s="658"/>
      <c r="BE30" s="658"/>
      <c r="BF30" s="658">
        <v>182.49</v>
      </c>
      <c r="BG30" s="658"/>
      <c r="BH30" s="658"/>
      <c r="BI30" s="567">
        <v>0</v>
      </c>
      <c r="BJ30" s="567"/>
      <c r="BK30" s="567"/>
      <c r="BL30" s="567"/>
      <c r="BM30" s="660" t="s">
        <v>932</v>
      </c>
      <c r="BN30" s="660"/>
      <c r="BO30" s="660"/>
      <c r="BP30" s="660"/>
      <c r="BQ30" s="568">
        <v>1</v>
      </c>
      <c r="BR30" s="568"/>
      <c r="BS30" s="568"/>
      <c r="BT30" s="660" t="s">
        <v>932</v>
      </c>
      <c r="BU30" s="660"/>
      <c r="BV30" s="660"/>
      <c r="BW30" s="660"/>
      <c r="BX30" s="568" t="s">
        <v>932</v>
      </c>
      <c r="BY30" s="568"/>
      <c r="BZ30" s="568"/>
      <c r="CA30" s="660" t="s">
        <v>932</v>
      </c>
      <c r="CB30" s="660"/>
      <c r="CC30" s="660"/>
      <c r="CD30" s="660"/>
      <c r="CE30" s="568" t="s">
        <v>932</v>
      </c>
      <c r="CF30" s="568"/>
      <c r="CG30" s="568"/>
      <c r="CH30" s="660" t="s">
        <v>932</v>
      </c>
      <c r="CI30" s="660"/>
      <c r="CJ30" s="660"/>
      <c r="CK30" s="660"/>
      <c r="CL30" s="568" t="s">
        <v>932</v>
      </c>
      <c r="CM30" s="568"/>
      <c r="CN30" s="568"/>
    </row>
    <row r="31" hidden="1" customHeight="1" spans="1:92">
      <c r="A31" s="612"/>
      <c r="B31" s="612"/>
      <c r="C31" s="518"/>
      <c r="D31" s="518"/>
      <c r="E31" s="518"/>
      <c r="F31" s="657"/>
      <c r="G31" s="657"/>
      <c r="H31" s="657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26"/>
      <c r="AC31" s="526"/>
      <c r="AD31" s="658"/>
      <c r="AE31" s="658"/>
      <c r="AF31" s="658"/>
      <c r="AG31" s="526">
        <v>0</v>
      </c>
      <c r="AH31" s="526"/>
      <c r="AI31" s="659" t="e">
        <v>#N/A</v>
      </c>
      <c r="AJ31" s="659"/>
      <c r="AK31" s="659"/>
      <c r="AL31" s="659"/>
      <c r="AM31" s="659"/>
      <c r="AN31" s="659"/>
      <c r="AO31" s="659"/>
      <c r="AP31" s="659"/>
      <c r="AQ31" s="659"/>
      <c r="AR31" s="659"/>
      <c r="AS31" s="659"/>
      <c r="AT31" s="659"/>
      <c r="AU31" s="659"/>
      <c r="AV31" s="659"/>
      <c r="AW31" s="658">
        <v>0</v>
      </c>
      <c r="AX31" s="658"/>
      <c r="AY31" s="658"/>
      <c r="AZ31" s="658"/>
      <c r="BA31" s="658"/>
      <c r="BB31" s="658"/>
      <c r="BC31" s="658">
        <v>0</v>
      </c>
      <c r="BD31" s="658"/>
      <c r="BE31" s="658"/>
      <c r="BF31" s="658">
        <v>182.49</v>
      </c>
      <c r="BG31" s="658"/>
      <c r="BH31" s="658"/>
      <c r="BI31" s="567">
        <v>0</v>
      </c>
      <c r="BJ31" s="567"/>
      <c r="BK31" s="567"/>
      <c r="BL31" s="567"/>
      <c r="BM31" s="660" t="s">
        <v>932</v>
      </c>
      <c r="BN31" s="660"/>
      <c r="BO31" s="660"/>
      <c r="BP31" s="660"/>
      <c r="BQ31" s="568">
        <v>1</v>
      </c>
      <c r="BR31" s="568"/>
      <c r="BS31" s="568"/>
      <c r="BT31" s="660" t="s">
        <v>932</v>
      </c>
      <c r="BU31" s="660"/>
      <c r="BV31" s="660"/>
      <c r="BW31" s="660"/>
      <c r="BX31" s="568" t="s">
        <v>932</v>
      </c>
      <c r="BY31" s="568"/>
      <c r="BZ31" s="568"/>
      <c r="CA31" s="660" t="s">
        <v>932</v>
      </c>
      <c r="CB31" s="660"/>
      <c r="CC31" s="660"/>
      <c r="CD31" s="660"/>
      <c r="CE31" s="568" t="s">
        <v>932</v>
      </c>
      <c r="CF31" s="568"/>
      <c r="CG31" s="568"/>
      <c r="CH31" s="660" t="s">
        <v>932</v>
      </c>
      <c r="CI31" s="660"/>
      <c r="CJ31" s="660"/>
      <c r="CK31" s="660"/>
      <c r="CL31" s="568" t="s">
        <v>932</v>
      </c>
      <c r="CM31" s="568"/>
      <c r="CN31" s="568"/>
    </row>
    <row r="32" customHeight="1" spans="1:92">
      <c r="A32" s="612" t="s">
        <v>840</v>
      </c>
      <c r="B32" s="612"/>
      <c r="C32" s="518"/>
      <c r="D32" s="518"/>
      <c r="E32" s="518"/>
      <c r="F32" s="657">
        <v>407819</v>
      </c>
      <c r="G32" s="657"/>
      <c r="H32" s="657"/>
      <c r="I32" s="519" t="s">
        <v>100</v>
      </c>
      <c r="J32" s="519"/>
      <c r="K32" s="519"/>
      <c r="L32" s="519"/>
      <c r="M32" s="519"/>
      <c r="N32" s="519"/>
      <c r="O32" s="519"/>
      <c r="P32" s="519"/>
      <c r="Q32" s="519"/>
      <c r="R32" s="519"/>
      <c r="S32" s="519"/>
      <c r="T32" s="519"/>
      <c r="U32" s="519"/>
      <c r="V32" s="519"/>
      <c r="W32" s="519"/>
      <c r="X32" s="519"/>
      <c r="Y32" s="519"/>
      <c r="Z32" s="519"/>
      <c r="AA32" s="519"/>
      <c r="AB32" s="526" t="s">
        <v>101</v>
      </c>
      <c r="AC32" s="526"/>
      <c r="AD32" s="658">
        <v>81.4</v>
      </c>
      <c r="AE32" s="658"/>
      <c r="AF32" s="658"/>
      <c r="AG32" s="526" t="s">
        <v>937</v>
      </c>
      <c r="AH32" s="526"/>
      <c r="AI32" s="659" t="s">
        <v>938</v>
      </c>
      <c r="AJ32" s="659"/>
      <c r="AK32" s="659"/>
      <c r="AL32" s="659"/>
      <c r="AM32" s="659"/>
      <c r="AN32" s="659"/>
      <c r="AO32" s="659"/>
      <c r="AP32" s="659"/>
      <c r="AQ32" s="659"/>
      <c r="AR32" s="659"/>
      <c r="AS32" s="659"/>
      <c r="AT32" s="659"/>
      <c r="AU32" s="659"/>
      <c r="AV32" s="659"/>
      <c r="AW32" s="658">
        <v>0.09</v>
      </c>
      <c r="AX32" s="658"/>
      <c r="AY32" s="658"/>
      <c r="AZ32" s="658">
        <v>1</v>
      </c>
      <c r="BA32" s="658"/>
      <c r="BB32" s="658"/>
      <c r="BC32" s="658">
        <v>7.326</v>
      </c>
      <c r="BD32" s="658"/>
      <c r="BE32" s="658"/>
      <c r="BF32" s="658">
        <v>182.49</v>
      </c>
      <c r="BG32" s="658"/>
      <c r="BH32" s="658"/>
      <c r="BI32" s="567">
        <v>0.0401446654611212</v>
      </c>
      <c r="BJ32" s="567"/>
      <c r="BK32" s="567"/>
      <c r="BL32" s="567"/>
      <c r="BM32" s="660">
        <v>0.0401446654611212</v>
      </c>
      <c r="BN32" s="660"/>
      <c r="BO32" s="660"/>
      <c r="BP32" s="660"/>
      <c r="BQ32" s="568">
        <v>1</v>
      </c>
      <c r="BR32" s="568"/>
      <c r="BS32" s="568"/>
      <c r="BT32" s="660" t="s">
        <v>932</v>
      </c>
      <c r="BU32" s="660"/>
      <c r="BV32" s="660"/>
      <c r="BW32" s="660"/>
      <c r="BX32" s="568" t="s">
        <v>932</v>
      </c>
      <c r="BY32" s="568"/>
      <c r="BZ32" s="568"/>
      <c r="CA32" s="660" t="s">
        <v>932</v>
      </c>
      <c r="CB32" s="660"/>
      <c r="CC32" s="660"/>
      <c r="CD32" s="660"/>
      <c r="CE32" s="568" t="s">
        <v>932</v>
      </c>
      <c r="CF32" s="568"/>
      <c r="CG32" s="568"/>
      <c r="CH32" s="660" t="s">
        <v>932</v>
      </c>
      <c r="CI32" s="660"/>
      <c r="CJ32" s="660"/>
      <c r="CK32" s="660"/>
      <c r="CL32" s="568" t="s">
        <v>932</v>
      </c>
      <c r="CM32" s="568"/>
      <c r="CN32" s="568"/>
    </row>
    <row r="33" customHeight="1" spans="1:92">
      <c r="A33" s="612"/>
      <c r="B33" s="612"/>
      <c r="C33" s="518"/>
      <c r="D33" s="518"/>
      <c r="E33" s="518"/>
      <c r="F33" s="657"/>
      <c r="G33" s="657"/>
      <c r="H33" s="657"/>
      <c r="I33" s="519"/>
      <c r="J33" s="519"/>
      <c r="K33" s="519"/>
      <c r="L33" s="519"/>
      <c r="M33" s="519"/>
      <c r="N33" s="519"/>
      <c r="O33" s="519"/>
      <c r="P33" s="519"/>
      <c r="Q33" s="519"/>
      <c r="R33" s="519"/>
      <c r="S33" s="519"/>
      <c r="T33" s="519"/>
      <c r="U33" s="519"/>
      <c r="V33" s="519"/>
      <c r="W33" s="519"/>
      <c r="X33" s="519"/>
      <c r="Y33" s="519"/>
      <c r="Z33" s="519"/>
      <c r="AA33" s="519"/>
      <c r="AB33" s="526"/>
      <c r="AC33" s="526"/>
      <c r="AD33" s="658"/>
      <c r="AE33" s="658"/>
      <c r="AF33" s="658"/>
      <c r="AG33" s="526" t="s">
        <v>939</v>
      </c>
      <c r="AH33" s="526"/>
      <c r="AI33" s="659" t="s">
        <v>940</v>
      </c>
      <c r="AJ33" s="659"/>
      <c r="AK33" s="659"/>
      <c r="AL33" s="659"/>
      <c r="AM33" s="659"/>
      <c r="AN33" s="659"/>
      <c r="AO33" s="659"/>
      <c r="AP33" s="659"/>
      <c r="AQ33" s="659"/>
      <c r="AR33" s="659"/>
      <c r="AS33" s="659"/>
      <c r="AT33" s="659"/>
      <c r="AU33" s="659"/>
      <c r="AV33" s="659"/>
      <c r="AW33" s="658">
        <v>0.09</v>
      </c>
      <c r="AX33" s="658"/>
      <c r="AY33" s="658"/>
      <c r="AZ33" s="658"/>
      <c r="BA33" s="658"/>
      <c r="BB33" s="658"/>
      <c r="BC33" s="658">
        <v>7.326</v>
      </c>
      <c r="BD33" s="658"/>
      <c r="BE33" s="658"/>
      <c r="BF33" s="658">
        <v>182.49</v>
      </c>
      <c r="BG33" s="658"/>
      <c r="BH33" s="658"/>
      <c r="BI33" s="567">
        <v>0.0401446654611212</v>
      </c>
      <c r="BJ33" s="567"/>
      <c r="BK33" s="567"/>
      <c r="BL33" s="567"/>
      <c r="BM33" s="660">
        <v>0.0401446654611212</v>
      </c>
      <c r="BN33" s="660"/>
      <c r="BO33" s="660"/>
      <c r="BP33" s="660"/>
      <c r="BQ33" s="568">
        <v>1</v>
      </c>
      <c r="BR33" s="568"/>
      <c r="BS33" s="568"/>
      <c r="BT33" s="660" t="s">
        <v>932</v>
      </c>
      <c r="BU33" s="660"/>
      <c r="BV33" s="660"/>
      <c r="BW33" s="660"/>
      <c r="BX33" s="568" t="s">
        <v>932</v>
      </c>
      <c r="BY33" s="568"/>
      <c r="BZ33" s="568"/>
      <c r="CA33" s="660" t="s">
        <v>932</v>
      </c>
      <c r="CB33" s="660"/>
      <c r="CC33" s="660"/>
      <c r="CD33" s="660"/>
      <c r="CE33" s="568" t="s">
        <v>932</v>
      </c>
      <c r="CF33" s="568"/>
      <c r="CG33" s="568"/>
      <c r="CH33" s="660" t="s">
        <v>932</v>
      </c>
      <c r="CI33" s="660"/>
      <c r="CJ33" s="660"/>
      <c r="CK33" s="660"/>
      <c r="CL33" s="568" t="s">
        <v>932</v>
      </c>
      <c r="CM33" s="568"/>
      <c r="CN33" s="568"/>
    </row>
    <row r="34" hidden="1" customHeight="1" spans="1:92">
      <c r="A34" s="612"/>
      <c r="B34" s="612"/>
      <c r="C34" s="518"/>
      <c r="D34" s="518"/>
      <c r="E34" s="518"/>
      <c r="F34" s="657"/>
      <c r="G34" s="657"/>
      <c r="H34" s="657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26"/>
      <c r="AC34" s="526"/>
      <c r="AD34" s="658"/>
      <c r="AE34" s="658"/>
      <c r="AF34" s="658"/>
      <c r="AG34" s="526">
        <v>0</v>
      </c>
      <c r="AH34" s="526"/>
      <c r="AI34" s="659" t="e">
        <v>#N/A</v>
      </c>
      <c r="AJ34" s="659"/>
      <c r="AK34" s="659"/>
      <c r="AL34" s="659"/>
      <c r="AM34" s="659"/>
      <c r="AN34" s="659"/>
      <c r="AO34" s="659"/>
      <c r="AP34" s="659"/>
      <c r="AQ34" s="659"/>
      <c r="AR34" s="659"/>
      <c r="AS34" s="659"/>
      <c r="AT34" s="659"/>
      <c r="AU34" s="659"/>
      <c r="AV34" s="659"/>
      <c r="AW34" s="658">
        <v>0</v>
      </c>
      <c r="AX34" s="658"/>
      <c r="AY34" s="658"/>
      <c r="AZ34" s="658"/>
      <c r="BA34" s="658"/>
      <c r="BB34" s="658"/>
      <c r="BC34" s="658">
        <v>0</v>
      </c>
      <c r="BD34" s="658"/>
      <c r="BE34" s="658"/>
      <c r="BF34" s="658">
        <v>182.49</v>
      </c>
      <c r="BG34" s="658"/>
      <c r="BH34" s="658"/>
      <c r="BI34" s="567">
        <v>0</v>
      </c>
      <c r="BJ34" s="567"/>
      <c r="BK34" s="567"/>
      <c r="BL34" s="567"/>
      <c r="BM34" s="660" t="s">
        <v>932</v>
      </c>
      <c r="BN34" s="660"/>
      <c r="BO34" s="660"/>
      <c r="BP34" s="660"/>
      <c r="BQ34" s="568">
        <v>1</v>
      </c>
      <c r="BR34" s="568"/>
      <c r="BS34" s="568"/>
      <c r="BT34" s="660" t="s">
        <v>932</v>
      </c>
      <c r="BU34" s="660"/>
      <c r="BV34" s="660"/>
      <c r="BW34" s="660"/>
      <c r="BX34" s="568" t="s">
        <v>932</v>
      </c>
      <c r="BY34" s="568"/>
      <c r="BZ34" s="568"/>
      <c r="CA34" s="660" t="s">
        <v>932</v>
      </c>
      <c r="CB34" s="660"/>
      <c r="CC34" s="660"/>
      <c r="CD34" s="660"/>
      <c r="CE34" s="568" t="s">
        <v>932</v>
      </c>
      <c r="CF34" s="568"/>
      <c r="CG34" s="568"/>
      <c r="CH34" s="660" t="s">
        <v>932</v>
      </c>
      <c r="CI34" s="660"/>
      <c r="CJ34" s="660"/>
      <c r="CK34" s="660"/>
      <c r="CL34" s="568" t="s">
        <v>932</v>
      </c>
      <c r="CM34" s="568"/>
      <c r="CN34" s="568"/>
    </row>
    <row r="35" hidden="1" customHeight="1" spans="1:92">
      <c r="A35" s="612"/>
      <c r="B35" s="612"/>
      <c r="C35" s="518"/>
      <c r="D35" s="518"/>
      <c r="E35" s="518"/>
      <c r="F35" s="657"/>
      <c r="G35" s="657"/>
      <c r="H35" s="657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26"/>
      <c r="AC35" s="526"/>
      <c r="AD35" s="658"/>
      <c r="AE35" s="658"/>
      <c r="AF35" s="658"/>
      <c r="AG35" s="526">
        <v>0</v>
      </c>
      <c r="AH35" s="526"/>
      <c r="AI35" s="659" t="e">
        <v>#N/A</v>
      </c>
      <c r="AJ35" s="659"/>
      <c r="AK35" s="659"/>
      <c r="AL35" s="659"/>
      <c r="AM35" s="659"/>
      <c r="AN35" s="659"/>
      <c r="AO35" s="659"/>
      <c r="AP35" s="659"/>
      <c r="AQ35" s="659"/>
      <c r="AR35" s="659"/>
      <c r="AS35" s="659"/>
      <c r="AT35" s="659"/>
      <c r="AU35" s="659"/>
      <c r="AV35" s="659"/>
      <c r="AW35" s="658">
        <v>0</v>
      </c>
      <c r="AX35" s="658"/>
      <c r="AY35" s="658"/>
      <c r="AZ35" s="658"/>
      <c r="BA35" s="658"/>
      <c r="BB35" s="658"/>
      <c r="BC35" s="658">
        <v>0</v>
      </c>
      <c r="BD35" s="658"/>
      <c r="BE35" s="658"/>
      <c r="BF35" s="658">
        <v>182.49</v>
      </c>
      <c r="BG35" s="658"/>
      <c r="BH35" s="658"/>
      <c r="BI35" s="567">
        <v>0</v>
      </c>
      <c r="BJ35" s="567"/>
      <c r="BK35" s="567"/>
      <c r="BL35" s="567"/>
      <c r="BM35" s="660" t="s">
        <v>932</v>
      </c>
      <c r="BN35" s="660"/>
      <c r="BO35" s="660"/>
      <c r="BP35" s="660"/>
      <c r="BQ35" s="568">
        <v>1</v>
      </c>
      <c r="BR35" s="568"/>
      <c r="BS35" s="568"/>
      <c r="BT35" s="660" t="s">
        <v>932</v>
      </c>
      <c r="BU35" s="660"/>
      <c r="BV35" s="660"/>
      <c r="BW35" s="660"/>
      <c r="BX35" s="568" t="s">
        <v>932</v>
      </c>
      <c r="BY35" s="568"/>
      <c r="BZ35" s="568"/>
      <c r="CA35" s="660" t="s">
        <v>932</v>
      </c>
      <c r="CB35" s="660"/>
      <c r="CC35" s="660"/>
      <c r="CD35" s="660"/>
      <c r="CE35" s="568" t="s">
        <v>932</v>
      </c>
      <c r="CF35" s="568"/>
      <c r="CG35" s="568"/>
      <c r="CH35" s="660" t="s">
        <v>932</v>
      </c>
      <c r="CI35" s="660"/>
      <c r="CJ35" s="660"/>
      <c r="CK35" s="660"/>
      <c r="CL35" s="568" t="s">
        <v>932</v>
      </c>
      <c r="CM35" s="568"/>
      <c r="CN35" s="568"/>
    </row>
    <row r="36" hidden="1" customHeight="1" spans="1:92">
      <c r="A36" s="612"/>
      <c r="B36" s="612"/>
      <c r="C36" s="518"/>
      <c r="D36" s="518"/>
      <c r="E36" s="518"/>
      <c r="F36" s="657"/>
      <c r="G36" s="657"/>
      <c r="H36" s="657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26"/>
      <c r="AC36" s="526"/>
      <c r="AD36" s="658"/>
      <c r="AE36" s="658"/>
      <c r="AF36" s="658"/>
      <c r="AG36" s="526">
        <v>0</v>
      </c>
      <c r="AH36" s="526"/>
      <c r="AI36" s="659" t="e">
        <v>#N/A</v>
      </c>
      <c r="AJ36" s="659"/>
      <c r="AK36" s="659"/>
      <c r="AL36" s="659"/>
      <c r="AM36" s="659"/>
      <c r="AN36" s="659"/>
      <c r="AO36" s="659"/>
      <c r="AP36" s="659"/>
      <c r="AQ36" s="659"/>
      <c r="AR36" s="659"/>
      <c r="AS36" s="659"/>
      <c r="AT36" s="659"/>
      <c r="AU36" s="659"/>
      <c r="AV36" s="659"/>
      <c r="AW36" s="658">
        <v>0</v>
      </c>
      <c r="AX36" s="658"/>
      <c r="AY36" s="658"/>
      <c r="AZ36" s="658"/>
      <c r="BA36" s="658"/>
      <c r="BB36" s="658"/>
      <c r="BC36" s="658">
        <v>0</v>
      </c>
      <c r="BD36" s="658"/>
      <c r="BE36" s="658"/>
      <c r="BF36" s="658">
        <v>182.49</v>
      </c>
      <c r="BG36" s="658"/>
      <c r="BH36" s="658"/>
      <c r="BI36" s="567">
        <v>0</v>
      </c>
      <c r="BJ36" s="567"/>
      <c r="BK36" s="567"/>
      <c r="BL36" s="567"/>
      <c r="BM36" s="660" t="s">
        <v>932</v>
      </c>
      <c r="BN36" s="660"/>
      <c r="BO36" s="660"/>
      <c r="BP36" s="660"/>
      <c r="BQ36" s="568">
        <v>1</v>
      </c>
      <c r="BR36" s="568"/>
      <c r="BS36" s="568"/>
      <c r="BT36" s="660" t="s">
        <v>932</v>
      </c>
      <c r="BU36" s="660"/>
      <c r="BV36" s="660"/>
      <c r="BW36" s="660"/>
      <c r="BX36" s="568" t="s">
        <v>932</v>
      </c>
      <c r="BY36" s="568"/>
      <c r="BZ36" s="568"/>
      <c r="CA36" s="660" t="s">
        <v>932</v>
      </c>
      <c r="CB36" s="660"/>
      <c r="CC36" s="660"/>
      <c r="CD36" s="660"/>
      <c r="CE36" s="568" t="s">
        <v>932</v>
      </c>
      <c r="CF36" s="568"/>
      <c r="CG36" s="568"/>
      <c r="CH36" s="660" t="s">
        <v>932</v>
      </c>
      <c r="CI36" s="660"/>
      <c r="CJ36" s="660"/>
      <c r="CK36" s="660"/>
      <c r="CL36" s="568" t="s">
        <v>932</v>
      </c>
      <c r="CM36" s="568"/>
      <c r="CN36" s="568"/>
    </row>
    <row r="37" hidden="1" customHeight="1" spans="1:92">
      <c r="A37" s="612"/>
      <c r="B37" s="612"/>
      <c r="C37" s="518"/>
      <c r="D37" s="518"/>
      <c r="E37" s="518"/>
      <c r="F37" s="657"/>
      <c r="G37" s="657"/>
      <c r="H37" s="657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26"/>
      <c r="AC37" s="526"/>
      <c r="AD37" s="658"/>
      <c r="AE37" s="658"/>
      <c r="AF37" s="658"/>
      <c r="AG37" s="526">
        <v>0</v>
      </c>
      <c r="AH37" s="526"/>
      <c r="AI37" s="659" t="e">
        <v>#N/A</v>
      </c>
      <c r="AJ37" s="659"/>
      <c r="AK37" s="659"/>
      <c r="AL37" s="659"/>
      <c r="AM37" s="659"/>
      <c r="AN37" s="659"/>
      <c r="AO37" s="659"/>
      <c r="AP37" s="659"/>
      <c r="AQ37" s="659"/>
      <c r="AR37" s="659"/>
      <c r="AS37" s="659"/>
      <c r="AT37" s="659"/>
      <c r="AU37" s="659"/>
      <c r="AV37" s="659"/>
      <c r="AW37" s="658">
        <v>0</v>
      </c>
      <c r="AX37" s="658"/>
      <c r="AY37" s="658"/>
      <c r="AZ37" s="658"/>
      <c r="BA37" s="658"/>
      <c r="BB37" s="658"/>
      <c r="BC37" s="658">
        <v>0</v>
      </c>
      <c r="BD37" s="658"/>
      <c r="BE37" s="658"/>
      <c r="BF37" s="658">
        <v>182.49</v>
      </c>
      <c r="BG37" s="658"/>
      <c r="BH37" s="658"/>
      <c r="BI37" s="567">
        <v>0</v>
      </c>
      <c r="BJ37" s="567"/>
      <c r="BK37" s="567"/>
      <c r="BL37" s="567"/>
      <c r="BM37" s="660" t="s">
        <v>932</v>
      </c>
      <c r="BN37" s="660"/>
      <c r="BO37" s="660"/>
      <c r="BP37" s="660"/>
      <c r="BQ37" s="568">
        <v>1</v>
      </c>
      <c r="BR37" s="568"/>
      <c r="BS37" s="568"/>
      <c r="BT37" s="660" t="s">
        <v>932</v>
      </c>
      <c r="BU37" s="660"/>
      <c r="BV37" s="660"/>
      <c r="BW37" s="660"/>
      <c r="BX37" s="568" t="s">
        <v>932</v>
      </c>
      <c r="BY37" s="568"/>
      <c r="BZ37" s="568"/>
      <c r="CA37" s="660" t="s">
        <v>932</v>
      </c>
      <c r="CB37" s="660"/>
      <c r="CC37" s="660"/>
      <c r="CD37" s="660"/>
      <c r="CE37" s="568" t="s">
        <v>932</v>
      </c>
      <c r="CF37" s="568"/>
      <c r="CG37" s="568"/>
      <c r="CH37" s="660" t="s">
        <v>932</v>
      </c>
      <c r="CI37" s="660"/>
      <c r="CJ37" s="660"/>
      <c r="CK37" s="660"/>
      <c r="CL37" s="568" t="s">
        <v>932</v>
      </c>
      <c r="CM37" s="568"/>
      <c r="CN37" s="568"/>
    </row>
    <row r="38" hidden="1" customHeight="1" spans="1:92">
      <c r="A38" s="612"/>
      <c r="B38" s="612"/>
      <c r="C38" s="518"/>
      <c r="D38" s="518"/>
      <c r="E38" s="518"/>
      <c r="F38" s="657"/>
      <c r="G38" s="657"/>
      <c r="H38" s="657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26"/>
      <c r="AC38" s="526"/>
      <c r="AD38" s="658"/>
      <c r="AE38" s="658"/>
      <c r="AF38" s="658"/>
      <c r="AG38" s="526">
        <v>0</v>
      </c>
      <c r="AH38" s="526"/>
      <c r="AI38" s="659" t="e">
        <v>#N/A</v>
      </c>
      <c r="AJ38" s="659"/>
      <c r="AK38" s="659"/>
      <c r="AL38" s="659"/>
      <c r="AM38" s="659"/>
      <c r="AN38" s="659"/>
      <c r="AO38" s="659"/>
      <c r="AP38" s="659"/>
      <c r="AQ38" s="659"/>
      <c r="AR38" s="659"/>
      <c r="AS38" s="659"/>
      <c r="AT38" s="659"/>
      <c r="AU38" s="659"/>
      <c r="AV38" s="659"/>
      <c r="AW38" s="658">
        <v>0</v>
      </c>
      <c r="AX38" s="658"/>
      <c r="AY38" s="658"/>
      <c r="AZ38" s="658"/>
      <c r="BA38" s="658"/>
      <c r="BB38" s="658"/>
      <c r="BC38" s="658">
        <v>0</v>
      </c>
      <c r="BD38" s="658"/>
      <c r="BE38" s="658"/>
      <c r="BF38" s="658">
        <v>182.49</v>
      </c>
      <c r="BG38" s="658"/>
      <c r="BH38" s="658"/>
      <c r="BI38" s="567">
        <v>0</v>
      </c>
      <c r="BJ38" s="567"/>
      <c r="BK38" s="567"/>
      <c r="BL38" s="567"/>
      <c r="BM38" s="660" t="s">
        <v>932</v>
      </c>
      <c r="BN38" s="660"/>
      <c r="BO38" s="660"/>
      <c r="BP38" s="660"/>
      <c r="BQ38" s="568">
        <v>1</v>
      </c>
      <c r="BR38" s="568"/>
      <c r="BS38" s="568"/>
      <c r="BT38" s="660" t="s">
        <v>932</v>
      </c>
      <c r="BU38" s="660"/>
      <c r="BV38" s="660"/>
      <c r="BW38" s="660"/>
      <c r="BX38" s="568" t="s">
        <v>932</v>
      </c>
      <c r="BY38" s="568"/>
      <c r="BZ38" s="568"/>
      <c r="CA38" s="660" t="s">
        <v>932</v>
      </c>
      <c r="CB38" s="660"/>
      <c r="CC38" s="660"/>
      <c r="CD38" s="660"/>
      <c r="CE38" s="568" t="s">
        <v>932</v>
      </c>
      <c r="CF38" s="568"/>
      <c r="CG38" s="568"/>
      <c r="CH38" s="660" t="s">
        <v>932</v>
      </c>
      <c r="CI38" s="660"/>
      <c r="CJ38" s="660"/>
      <c r="CK38" s="660"/>
      <c r="CL38" s="568" t="s">
        <v>932</v>
      </c>
      <c r="CM38" s="568"/>
      <c r="CN38" s="568"/>
    </row>
    <row r="39" hidden="1" customHeight="1" spans="1:92">
      <c r="A39" s="612"/>
      <c r="B39" s="612"/>
      <c r="C39" s="518"/>
      <c r="D39" s="518"/>
      <c r="E39" s="518"/>
      <c r="F39" s="657"/>
      <c r="G39" s="657"/>
      <c r="H39" s="657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26"/>
      <c r="AC39" s="526"/>
      <c r="AD39" s="658"/>
      <c r="AE39" s="658"/>
      <c r="AF39" s="658"/>
      <c r="AG39" s="526">
        <v>0</v>
      </c>
      <c r="AH39" s="526"/>
      <c r="AI39" s="659" t="e">
        <v>#N/A</v>
      </c>
      <c r="AJ39" s="659"/>
      <c r="AK39" s="659"/>
      <c r="AL39" s="659"/>
      <c r="AM39" s="659"/>
      <c r="AN39" s="659"/>
      <c r="AO39" s="659"/>
      <c r="AP39" s="659"/>
      <c r="AQ39" s="659"/>
      <c r="AR39" s="659"/>
      <c r="AS39" s="659"/>
      <c r="AT39" s="659"/>
      <c r="AU39" s="659"/>
      <c r="AV39" s="659"/>
      <c r="AW39" s="658">
        <v>0</v>
      </c>
      <c r="AX39" s="658"/>
      <c r="AY39" s="658"/>
      <c r="AZ39" s="658"/>
      <c r="BA39" s="658"/>
      <c r="BB39" s="658"/>
      <c r="BC39" s="658">
        <v>0</v>
      </c>
      <c r="BD39" s="658"/>
      <c r="BE39" s="658"/>
      <c r="BF39" s="658">
        <v>182.49</v>
      </c>
      <c r="BG39" s="658"/>
      <c r="BH39" s="658"/>
      <c r="BI39" s="567">
        <v>0</v>
      </c>
      <c r="BJ39" s="567"/>
      <c r="BK39" s="567"/>
      <c r="BL39" s="567"/>
      <c r="BM39" s="660" t="s">
        <v>932</v>
      </c>
      <c r="BN39" s="660"/>
      <c r="BO39" s="660"/>
      <c r="BP39" s="660"/>
      <c r="BQ39" s="568">
        <v>1</v>
      </c>
      <c r="BR39" s="568"/>
      <c r="BS39" s="568"/>
      <c r="BT39" s="660" t="s">
        <v>932</v>
      </c>
      <c r="BU39" s="660"/>
      <c r="BV39" s="660"/>
      <c r="BW39" s="660"/>
      <c r="BX39" s="568" t="s">
        <v>932</v>
      </c>
      <c r="BY39" s="568"/>
      <c r="BZ39" s="568"/>
      <c r="CA39" s="660" t="s">
        <v>932</v>
      </c>
      <c r="CB39" s="660"/>
      <c r="CC39" s="660"/>
      <c r="CD39" s="660"/>
      <c r="CE39" s="568" t="s">
        <v>932</v>
      </c>
      <c r="CF39" s="568"/>
      <c r="CG39" s="568"/>
      <c r="CH39" s="660" t="s">
        <v>932</v>
      </c>
      <c r="CI39" s="660"/>
      <c r="CJ39" s="660"/>
      <c r="CK39" s="660"/>
      <c r="CL39" s="568" t="s">
        <v>932</v>
      </c>
      <c r="CM39" s="568"/>
      <c r="CN39" s="568"/>
    </row>
    <row r="40" customHeight="1" spans="1:92">
      <c r="A40" s="612" t="s">
        <v>842</v>
      </c>
      <c r="B40" s="612"/>
      <c r="C40" s="518"/>
      <c r="D40" s="518"/>
      <c r="E40" s="518"/>
      <c r="F40" s="657">
        <v>2306113</v>
      </c>
      <c r="G40" s="657"/>
      <c r="H40" s="657"/>
      <c r="I40" s="519" t="s">
        <v>102</v>
      </c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26" t="s">
        <v>9</v>
      </c>
      <c r="AC40" s="526"/>
      <c r="AD40" s="658">
        <v>120</v>
      </c>
      <c r="AE40" s="658"/>
      <c r="AF40" s="658"/>
      <c r="AG40" s="526" t="s">
        <v>935</v>
      </c>
      <c r="AH40" s="526"/>
      <c r="AI40" s="659" t="s">
        <v>936</v>
      </c>
      <c r="AJ40" s="659"/>
      <c r="AK40" s="659"/>
      <c r="AL40" s="659"/>
      <c r="AM40" s="659"/>
      <c r="AN40" s="659"/>
      <c r="AO40" s="659"/>
      <c r="AP40" s="659"/>
      <c r="AQ40" s="659"/>
      <c r="AR40" s="659"/>
      <c r="AS40" s="659"/>
      <c r="AT40" s="659"/>
      <c r="AU40" s="659"/>
      <c r="AV40" s="659"/>
      <c r="AW40" s="658">
        <v>2</v>
      </c>
      <c r="AX40" s="658"/>
      <c r="AY40" s="658"/>
      <c r="AZ40" s="658">
        <v>8.3</v>
      </c>
      <c r="BA40" s="658"/>
      <c r="BB40" s="658"/>
      <c r="BC40" s="658">
        <v>28.9156626506024</v>
      </c>
      <c r="BD40" s="658"/>
      <c r="BE40" s="658"/>
      <c r="BF40" s="658">
        <v>182.49</v>
      </c>
      <c r="BG40" s="658"/>
      <c r="BH40" s="658"/>
      <c r="BI40" s="567">
        <v>0.158450669355046</v>
      </c>
      <c r="BJ40" s="567"/>
      <c r="BK40" s="567"/>
      <c r="BL40" s="567"/>
      <c r="BM40" s="660">
        <v>0.158450669355046</v>
      </c>
      <c r="BN40" s="660"/>
      <c r="BO40" s="660"/>
      <c r="BP40" s="660"/>
      <c r="BQ40" s="568">
        <v>1</v>
      </c>
      <c r="BR40" s="568"/>
      <c r="BS40" s="568"/>
      <c r="BT40" s="660" t="s">
        <v>932</v>
      </c>
      <c r="BU40" s="660"/>
      <c r="BV40" s="660"/>
      <c r="BW40" s="660"/>
      <c r="BX40" s="568" t="s">
        <v>932</v>
      </c>
      <c r="BY40" s="568"/>
      <c r="BZ40" s="568"/>
      <c r="CA40" s="660" t="s">
        <v>932</v>
      </c>
      <c r="CB40" s="660"/>
      <c r="CC40" s="660"/>
      <c r="CD40" s="660"/>
      <c r="CE40" s="568" t="s">
        <v>932</v>
      </c>
      <c r="CF40" s="568"/>
      <c r="CG40" s="568"/>
      <c r="CH40" s="660" t="s">
        <v>932</v>
      </c>
      <c r="CI40" s="660"/>
      <c r="CJ40" s="660"/>
      <c r="CK40" s="660"/>
      <c r="CL40" s="568" t="s">
        <v>932</v>
      </c>
      <c r="CM40" s="568"/>
      <c r="CN40" s="568"/>
    </row>
    <row r="41" hidden="1" customHeight="1" spans="1:92">
      <c r="A41" s="612"/>
      <c r="B41" s="612"/>
      <c r="C41" s="518"/>
      <c r="D41" s="518"/>
      <c r="E41" s="518"/>
      <c r="F41" s="657"/>
      <c r="G41" s="657"/>
      <c r="H41" s="657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26"/>
      <c r="AC41" s="526"/>
      <c r="AD41" s="658"/>
      <c r="AE41" s="658"/>
      <c r="AF41" s="658"/>
      <c r="AG41" s="526">
        <v>0</v>
      </c>
      <c r="AH41" s="526"/>
      <c r="AI41" s="659" t="e">
        <v>#N/A</v>
      </c>
      <c r="AJ41" s="659"/>
      <c r="AK41" s="659"/>
      <c r="AL41" s="659"/>
      <c r="AM41" s="659"/>
      <c r="AN41" s="659"/>
      <c r="AO41" s="659"/>
      <c r="AP41" s="659"/>
      <c r="AQ41" s="659"/>
      <c r="AR41" s="659"/>
      <c r="AS41" s="659"/>
      <c r="AT41" s="659"/>
      <c r="AU41" s="659"/>
      <c r="AV41" s="659"/>
      <c r="AW41" s="658">
        <v>0</v>
      </c>
      <c r="AX41" s="658"/>
      <c r="AY41" s="658"/>
      <c r="AZ41" s="658"/>
      <c r="BA41" s="658"/>
      <c r="BB41" s="658"/>
      <c r="BC41" s="658">
        <v>0</v>
      </c>
      <c r="BD41" s="658"/>
      <c r="BE41" s="658"/>
      <c r="BF41" s="658">
        <v>182.49</v>
      </c>
      <c r="BG41" s="658"/>
      <c r="BH41" s="658"/>
      <c r="BI41" s="567">
        <v>0</v>
      </c>
      <c r="BJ41" s="567"/>
      <c r="BK41" s="567"/>
      <c r="BL41" s="567"/>
      <c r="BM41" s="660" t="s">
        <v>932</v>
      </c>
      <c r="BN41" s="660"/>
      <c r="BO41" s="660"/>
      <c r="BP41" s="660"/>
      <c r="BQ41" s="568">
        <v>1</v>
      </c>
      <c r="BR41" s="568"/>
      <c r="BS41" s="568"/>
      <c r="BT41" s="660" t="s">
        <v>932</v>
      </c>
      <c r="BU41" s="660"/>
      <c r="BV41" s="660"/>
      <c r="BW41" s="660"/>
      <c r="BX41" s="568" t="s">
        <v>932</v>
      </c>
      <c r="BY41" s="568"/>
      <c r="BZ41" s="568"/>
      <c r="CA41" s="660" t="s">
        <v>932</v>
      </c>
      <c r="CB41" s="660"/>
      <c r="CC41" s="660"/>
      <c r="CD41" s="660"/>
      <c r="CE41" s="568" t="s">
        <v>932</v>
      </c>
      <c r="CF41" s="568"/>
      <c r="CG41" s="568"/>
      <c r="CH41" s="660" t="s">
        <v>932</v>
      </c>
      <c r="CI41" s="660"/>
      <c r="CJ41" s="660"/>
      <c r="CK41" s="660"/>
      <c r="CL41" s="568" t="s">
        <v>932</v>
      </c>
      <c r="CM41" s="568"/>
      <c r="CN41" s="568"/>
    </row>
    <row r="42" hidden="1" customHeight="1" spans="1:92">
      <c r="A42" s="612"/>
      <c r="B42" s="612"/>
      <c r="C42" s="518"/>
      <c r="D42" s="518"/>
      <c r="E42" s="518"/>
      <c r="F42" s="657"/>
      <c r="G42" s="657"/>
      <c r="H42" s="657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26"/>
      <c r="AC42" s="526"/>
      <c r="AD42" s="658"/>
      <c r="AE42" s="658"/>
      <c r="AF42" s="658"/>
      <c r="AG42" s="526">
        <v>0</v>
      </c>
      <c r="AH42" s="526"/>
      <c r="AI42" s="659" t="e">
        <v>#N/A</v>
      </c>
      <c r="AJ42" s="659"/>
      <c r="AK42" s="659"/>
      <c r="AL42" s="659"/>
      <c r="AM42" s="659"/>
      <c r="AN42" s="659"/>
      <c r="AO42" s="659"/>
      <c r="AP42" s="659"/>
      <c r="AQ42" s="659"/>
      <c r="AR42" s="659"/>
      <c r="AS42" s="659"/>
      <c r="AT42" s="659"/>
      <c r="AU42" s="659"/>
      <c r="AV42" s="659"/>
      <c r="AW42" s="658">
        <v>0</v>
      </c>
      <c r="AX42" s="658"/>
      <c r="AY42" s="658"/>
      <c r="AZ42" s="658"/>
      <c r="BA42" s="658"/>
      <c r="BB42" s="658"/>
      <c r="BC42" s="658">
        <v>0</v>
      </c>
      <c r="BD42" s="658"/>
      <c r="BE42" s="658"/>
      <c r="BF42" s="658">
        <v>182.49</v>
      </c>
      <c r="BG42" s="658"/>
      <c r="BH42" s="658"/>
      <c r="BI42" s="567">
        <v>0</v>
      </c>
      <c r="BJ42" s="567"/>
      <c r="BK42" s="567"/>
      <c r="BL42" s="567"/>
      <c r="BM42" s="660" t="s">
        <v>932</v>
      </c>
      <c r="BN42" s="660"/>
      <c r="BO42" s="660"/>
      <c r="BP42" s="660"/>
      <c r="BQ42" s="568">
        <v>1</v>
      </c>
      <c r="BR42" s="568"/>
      <c r="BS42" s="568"/>
      <c r="BT42" s="660" t="s">
        <v>932</v>
      </c>
      <c r="BU42" s="660"/>
      <c r="BV42" s="660"/>
      <c r="BW42" s="660"/>
      <c r="BX42" s="568" t="s">
        <v>932</v>
      </c>
      <c r="BY42" s="568"/>
      <c r="BZ42" s="568"/>
      <c r="CA42" s="660" t="s">
        <v>932</v>
      </c>
      <c r="CB42" s="660"/>
      <c r="CC42" s="660"/>
      <c r="CD42" s="660"/>
      <c r="CE42" s="568" t="s">
        <v>932</v>
      </c>
      <c r="CF42" s="568"/>
      <c r="CG42" s="568"/>
      <c r="CH42" s="660" t="s">
        <v>932</v>
      </c>
      <c r="CI42" s="660"/>
      <c r="CJ42" s="660"/>
      <c r="CK42" s="660"/>
      <c r="CL42" s="568" t="s">
        <v>932</v>
      </c>
      <c r="CM42" s="568"/>
      <c r="CN42" s="568"/>
    </row>
    <row r="43" hidden="1" customHeight="1" spans="1:92">
      <c r="A43" s="612"/>
      <c r="B43" s="612"/>
      <c r="C43" s="518"/>
      <c r="D43" s="518"/>
      <c r="E43" s="518"/>
      <c r="F43" s="657"/>
      <c r="G43" s="657"/>
      <c r="H43" s="657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26"/>
      <c r="AC43" s="526"/>
      <c r="AD43" s="658"/>
      <c r="AE43" s="658"/>
      <c r="AF43" s="658"/>
      <c r="AG43" s="526">
        <v>0</v>
      </c>
      <c r="AH43" s="526"/>
      <c r="AI43" s="659" t="e">
        <v>#N/A</v>
      </c>
      <c r="AJ43" s="659"/>
      <c r="AK43" s="659"/>
      <c r="AL43" s="659"/>
      <c r="AM43" s="659"/>
      <c r="AN43" s="659"/>
      <c r="AO43" s="659"/>
      <c r="AP43" s="659"/>
      <c r="AQ43" s="659"/>
      <c r="AR43" s="659"/>
      <c r="AS43" s="659"/>
      <c r="AT43" s="659"/>
      <c r="AU43" s="659"/>
      <c r="AV43" s="659"/>
      <c r="AW43" s="658">
        <v>0</v>
      </c>
      <c r="AX43" s="658"/>
      <c r="AY43" s="658"/>
      <c r="AZ43" s="658"/>
      <c r="BA43" s="658"/>
      <c r="BB43" s="658"/>
      <c r="BC43" s="658">
        <v>0</v>
      </c>
      <c r="BD43" s="658"/>
      <c r="BE43" s="658"/>
      <c r="BF43" s="658">
        <v>182.49</v>
      </c>
      <c r="BG43" s="658"/>
      <c r="BH43" s="658"/>
      <c r="BI43" s="567">
        <v>0</v>
      </c>
      <c r="BJ43" s="567"/>
      <c r="BK43" s="567"/>
      <c r="BL43" s="567"/>
      <c r="BM43" s="660" t="s">
        <v>932</v>
      </c>
      <c r="BN43" s="660"/>
      <c r="BO43" s="660"/>
      <c r="BP43" s="660"/>
      <c r="BQ43" s="568">
        <v>1</v>
      </c>
      <c r="BR43" s="568"/>
      <c r="BS43" s="568"/>
      <c r="BT43" s="660" t="s">
        <v>932</v>
      </c>
      <c r="BU43" s="660"/>
      <c r="BV43" s="660"/>
      <c r="BW43" s="660"/>
      <c r="BX43" s="568" t="s">
        <v>932</v>
      </c>
      <c r="BY43" s="568"/>
      <c r="BZ43" s="568"/>
      <c r="CA43" s="660" t="s">
        <v>932</v>
      </c>
      <c r="CB43" s="660"/>
      <c r="CC43" s="660"/>
      <c r="CD43" s="660"/>
      <c r="CE43" s="568" t="s">
        <v>932</v>
      </c>
      <c r="CF43" s="568"/>
      <c r="CG43" s="568"/>
      <c r="CH43" s="660" t="s">
        <v>932</v>
      </c>
      <c r="CI43" s="660"/>
      <c r="CJ43" s="660"/>
      <c r="CK43" s="660"/>
      <c r="CL43" s="568" t="s">
        <v>932</v>
      </c>
      <c r="CM43" s="568"/>
      <c r="CN43" s="568"/>
    </row>
    <row r="44" hidden="1" customHeight="1" spans="1:92">
      <c r="A44" s="612"/>
      <c r="B44" s="612"/>
      <c r="C44" s="518"/>
      <c r="D44" s="518"/>
      <c r="E44" s="518"/>
      <c r="F44" s="657"/>
      <c r="G44" s="657"/>
      <c r="H44" s="657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26"/>
      <c r="AC44" s="526"/>
      <c r="AD44" s="658"/>
      <c r="AE44" s="658"/>
      <c r="AF44" s="658"/>
      <c r="AG44" s="526">
        <v>0</v>
      </c>
      <c r="AH44" s="526"/>
      <c r="AI44" s="659" t="e">
        <v>#N/A</v>
      </c>
      <c r="AJ44" s="659"/>
      <c r="AK44" s="659"/>
      <c r="AL44" s="659"/>
      <c r="AM44" s="659"/>
      <c r="AN44" s="659"/>
      <c r="AO44" s="659"/>
      <c r="AP44" s="659"/>
      <c r="AQ44" s="659"/>
      <c r="AR44" s="659"/>
      <c r="AS44" s="659"/>
      <c r="AT44" s="659"/>
      <c r="AU44" s="659"/>
      <c r="AV44" s="659"/>
      <c r="AW44" s="658">
        <v>0</v>
      </c>
      <c r="AX44" s="658"/>
      <c r="AY44" s="658"/>
      <c r="AZ44" s="658"/>
      <c r="BA44" s="658"/>
      <c r="BB44" s="658"/>
      <c r="BC44" s="658">
        <v>0</v>
      </c>
      <c r="BD44" s="658"/>
      <c r="BE44" s="658"/>
      <c r="BF44" s="658">
        <v>182.49</v>
      </c>
      <c r="BG44" s="658"/>
      <c r="BH44" s="658"/>
      <c r="BI44" s="567">
        <v>0</v>
      </c>
      <c r="BJ44" s="567"/>
      <c r="BK44" s="567"/>
      <c r="BL44" s="567"/>
      <c r="BM44" s="660" t="s">
        <v>932</v>
      </c>
      <c r="BN44" s="660"/>
      <c r="BO44" s="660"/>
      <c r="BP44" s="660"/>
      <c r="BQ44" s="568">
        <v>1</v>
      </c>
      <c r="BR44" s="568"/>
      <c r="BS44" s="568"/>
      <c r="BT44" s="660" t="s">
        <v>932</v>
      </c>
      <c r="BU44" s="660"/>
      <c r="BV44" s="660"/>
      <c r="BW44" s="660"/>
      <c r="BX44" s="568" t="s">
        <v>932</v>
      </c>
      <c r="BY44" s="568"/>
      <c r="BZ44" s="568"/>
      <c r="CA44" s="660" t="s">
        <v>932</v>
      </c>
      <c r="CB44" s="660"/>
      <c r="CC44" s="660"/>
      <c r="CD44" s="660"/>
      <c r="CE44" s="568" t="s">
        <v>932</v>
      </c>
      <c r="CF44" s="568"/>
      <c r="CG44" s="568"/>
      <c r="CH44" s="660" t="s">
        <v>932</v>
      </c>
      <c r="CI44" s="660"/>
      <c r="CJ44" s="660"/>
      <c r="CK44" s="660"/>
      <c r="CL44" s="568" t="s">
        <v>932</v>
      </c>
      <c r="CM44" s="568"/>
      <c r="CN44" s="568"/>
    </row>
    <row r="45" hidden="1" customHeight="1" spans="1:92">
      <c r="A45" s="612"/>
      <c r="B45" s="612"/>
      <c r="C45" s="518"/>
      <c r="D45" s="518"/>
      <c r="E45" s="518"/>
      <c r="F45" s="657"/>
      <c r="G45" s="657"/>
      <c r="H45" s="657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26"/>
      <c r="AC45" s="526"/>
      <c r="AD45" s="658"/>
      <c r="AE45" s="658"/>
      <c r="AF45" s="658"/>
      <c r="AG45" s="526">
        <v>0</v>
      </c>
      <c r="AH45" s="526"/>
      <c r="AI45" s="659" t="e">
        <v>#N/A</v>
      </c>
      <c r="AJ45" s="659"/>
      <c r="AK45" s="659"/>
      <c r="AL45" s="659"/>
      <c r="AM45" s="659"/>
      <c r="AN45" s="659"/>
      <c r="AO45" s="659"/>
      <c r="AP45" s="659"/>
      <c r="AQ45" s="659"/>
      <c r="AR45" s="659"/>
      <c r="AS45" s="659"/>
      <c r="AT45" s="659"/>
      <c r="AU45" s="659"/>
      <c r="AV45" s="659"/>
      <c r="AW45" s="658">
        <v>0</v>
      </c>
      <c r="AX45" s="658"/>
      <c r="AY45" s="658"/>
      <c r="AZ45" s="658"/>
      <c r="BA45" s="658"/>
      <c r="BB45" s="658"/>
      <c r="BC45" s="658">
        <v>0</v>
      </c>
      <c r="BD45" s="658"/>
      <c r="BE45" s="658"/>
      <c r="BF45" s="658">
        <v>182.49</v>
      </c>
      <c r="BG45" s="658"/>
      <c r="BH45" s="658"/>
      <c r="BI45" s="567">
        <v>0</v>
      </c>
      <c r="BJ45" s="567"/>
      <c r="BK45" s="567"/>
      <c r="BL45" s="567"/>
      <c r="BM45" s="660" t="s">
        <v>932</v>
      </c>
      <c r="BN45" s="660"/>
      <c r="BO45" s="660"/>
      <c r="BP45" s="660"/>
      <c r="BQ45" s="568">
        <v>1</v>
      </c>
      <c r="BR45" s="568"/>
      <c r="BS45" s="568"/>
      <c r="BT45" s="660" t="s">
        <v>932</v>
      </c>
      <c r="BU45" s="660"/>
      <c r="BV45" s="660"/>
      <c r="BW45" s="660"/>
      <c r="BX45" s="568" t="s">
        <v>932</v>
      </c>
      <c r="BY45" s="568"/>
      <c r="BZ45" s="568"/>
      <c r="CA45" s="660" t="s">
        <v>932</v>
      </c>
      <c r="CB45" s="660"/>
      <c r="CC45" s="660"/>
      <c r="CD45" s="660"/>
      <c r="CE45" s="568" t="s">
        <v>932</v>
      </c>
      <c r="CF45" s="568"/>
      <c r="CG45" s="568"/>
      <c r="CH45" s="660" t="s">
        <v>932</v>
      </c>
      <c r="CI45" s="660"/>
      <c r="CJ45" s="660"/>
      <c r="CK45" s="660"/>
      <c r="CL45" s="568" t="s">
        <v>932</v>
      </c>
      <c r="CM45" s="568"/>
      <c r="CN45" s="568"/>
    </row>
    <row r="46" hidden="1" customHeight="1" spans="1:92">
      <c r="A46" s="612"/>
      <c r="B46" s="612"/>
      <c r="C46" s="518"/>
      <c r="D46" s="518"/>
      <c r="E46" s="518"/>
      <c r="F46" s="657"/>
      <c r="G46" s="657"/>
      <c r="H46" s="657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26"/>
      <c r="AC46" s="526"/>
      <c r="AD46" s="658"/>
      <c r="AE46" s="658"/>
      <c r="AF46" s="658"/>
      <c r="AG46" s="526">
        <v>0</v>
      </c>
      <c r="AH46" s="526"/>
      <c r="AI46" s="659" t="e">
        <v>#N/A</v>
      </c>
      <c r="AJ46" s="659"/>
      <c r="AK46" s="659"/>
      <c r="AL46" s="659"/>
      <c r="AM46" s="659"/>
      <c r="AN46" s="659"/>
      <c r="AO46" s="659"/>
      <c r="AP46" s="659"/>
      <c r="AQ46" s="659"/>
      <c r="AR46" s="659"/>
      <c r="AS46" s="659"/>
      <c r="AT46" s="659"/>
      <c r="AU46" s="659"/>
      <c r="AV46" s="659"/>
      <c r="AW46" s="658">
        <v>0</v>
      </c>
      <c r="AX46" s="658"/>
      <c r="AY46" s="658"/>
      <c r="AZ46" s="658"/>
      <c r="BA46" s="658"/>
      <c r="BB46" s="658"/>
      <c r="BC46" s="658">
        <v>0</v>
      </c>
      <c r="BD46" s="658"/>
      <c r="BE46" s="658"/>
      <c r="BF46" s="658">
        <v>182.49</v>
      </c>
      <c r="BG46" s="658"/>
      <c r="BH46" s="658"/>
      <c r="BI46" s="567">
        <v>0</v>
      </c>
      <c r="BJ46" s="567"/>
      <c r="BK46" s="567"/>
      <c r="BL46" s="567"/>
      <c r="BM46" s="660" t="s">
        <v>932</v>
      </c>
      <c r="BN46" s="660"/>
      <c r="BO46" s="660"/>
      <c r="BP46" s="660"/>
      <c r="BQ46" s="568">
        <v>1</v>
      </c>
      <c r="BR46" s="568"/>
      <c r="BS46" s="568"/>
      <c r="BT46" s="660" t="s">
        <v>932</v>
      </c>
      <c r="BU46" s="660"/>
      <c r="BV46" s="660"/>
      <c r="BW46" s="660"/>
      <c r="BX46" s="568" t="s">
        <v>932</v>
      </c>
      <c r="BY46" s="568"/>
      <c r="BZ46" s="568"/>
      <c r="CA46" s="660" t="s">
        <v>932</v>
      </c>
      <c r="CB46" s="660"/>
      <c r="CC46" s="660"/>
      <c r="CD46" s="660"/>
      <c r="CE46" s="568" t="s">
        <v>932</v>
      </c>
      <c r="CF46" s="568"/>
      <c r="CG46" s="568"/>
      <c r="CH46" s="660" t="s">
        <v>932</v>
      </c>
      <c r="CI46" s="660"/>
      <c r="CJ46" s="660"/>
      <c r="CK46" s="660"/>
      <c r="CL46" s="568" t="s">
        <v>932</v>
      </c>
      <c r="CM46" s="568"/>
      <c r="CN46" s="568"/>
    </row>
    <row r="47" hidden="1" customHeight="1" spans="1:92">
      <c r="A47" s="612"/>
      <c r="B47" s="612"/>
      <c r="C47" s="518"/>
      <c r="D47" s="518"/>
      <c r="E47" s="518"/>
      <c r="F47" s="657"/>
      <c r="G47" s="657"/>
      <c r="H47" s="657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26"/>
      <c r="AC47" s="526"/>
      <c r="AD47" s="658"/>
      <c r="AE47" s="658"/>
      <c r="AF47" s="658"/>
      <c r="AG47" s="526">
        <v>0</v>
      </c>
      <c r="AH47" s="526"/>
      <c r="AI47" s="659" t="e">
        <v>#N/A</v>
      </c>
      <c r="AJ47" s="659"/>
      <c r="AK47" s="659"/>
      <c r="AL47" s="659"/>
      <c r="AM47" s="659"/>
      <c r="AN47" s="659"/>
      <c r="AO47" s="659"/>
      <c r="AP47" s="659"/>
      <c r="AQ47" s="659"/>
      <c r="AR47" s="659"/>
      <c r="AS47" s="659"/>
      <c r="AT47" s="659"/>
      <c r="AU47" s="659"/>
      <c r="AV47" s="659"/>
      <c r="AW47" s="658">
        <v>0</v>
      </c>
      <c r="AX47" s="658"/>
      <c r="AY47" s="658"/>
      <c r="AZ47" s="658"/>
      <c r="BA47" s="658"/>
      <c r="BB47" s="658"/>
      <c r="BC47" s="658">
        <v>0</v>
      </c>
      <c r="BD47" s="658"/>
      <c r="BE47" s="658"/>
      <c r="BF47" s="658">
        <v>182.49</v>
      </c>
      <c r="BG47" s="658"/>
      <c r="BH47" s="658"/>
      <c r="BI47" s="567">
        <v>0</v>
      </c>
      <c r="BJ47" s="567"/>
      <c r="BK47" s="567"/>
      <c r="BL47" s="567"/>
      <c r="BM47" s="660" t="s">
        <v>932</v>
      </c>
      <c r="BN47" s="660"/>
      <c r="BO47" s="660"/>
      <c r="BP47" s="660"/>
      <c r="BQ47" s="568">
        <v>1</v>
      </c>
      <c r="BR47" s="568"/>
      <c r="BS47" s="568"/>
      <c r="BT47" s="660" t="s">
        <v>932</v>
      </c>
      <c r="BU47" s="660"/>
      <c r="BV47" s="660"/>
      <c r="BW47" s="660"/>
      <c r="BX47" s="568" t="s">
        <v>932</v>
      </c>
      <c r="BY47" s="568"/>
      <c r="BZ47" s="568"/>
      <c r="CA47" s="660" t="s">
        <v>932</v>
      </c>
      <c r="CB47" s="660"/>
      <c r="CC47" s="660"/>
      <c r="CD47" s="660"/>
      <c r="CE47" s="568" t="s">
        <v>932</v>
      </c>
      <c r="CF47" s="568"/>
      <c r="CG47" s="568"/>
      <c r="CH47" s="660" t="s">
        <v>932</v>
      </c>
      <c r="CI47" s="660"/>
      <c r="CJ47" s="660"/>
      <c r="CK47" s="660"/>
      <c r="CL47" s="568" t="s">
        <v>932</v>
      </c>
      <c r="CM47" s="568"/>
      <c r="CN47" s="568"/>
    </row>
    <row r="48" customHeight="1" spans="1:92">
      <c r="A48" s="612" t="s">
        <v>845</v>
      </c>
      <c r="B48" s="612"/>
      <c r="C48" s="518"/>
      <c r="D48" s="518"/>
      <c r="E48" s="518"/>
      <c r="F48" s="657">
        <v>2003864</v>
      </c>
      <c r="G48" s="657"/>
      <c r="H48" s="657"/>
      <c r="I48" s="519" t="s">
        <v>103</v>
      </c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26" t="s">
        <v>104</v>
      </c>
      <c r="AC48" s="526"/>
      <c r="AD48" s="658">
        <v>60</v>
      </c>
      <c r="AE48" s="658"/>
      <c r="AF48" s="658"/>
      <c r="AG48" s="526" t="s">
        <v>941</v>
      </c>
      <c r="AH48" s="526"/>
      <c r="AI48" s="659" t="s">
        <v>942</v>
      </c>
      <c r="AJ48" s="659"/>
      <c r="AK48" s="659"/>
      <c r="AL48" s="659"/>
      <c r="AM48" s="659"/>
      <c r="AN48" s="659"/>
      <c r="AO48" s="659"/>
      <c r="AP48" s="659"/>
      <c r="AQ48" s="659"/>
      <c r="AR48" s="659"/>
      <c r="AS48" s="659"/>
      <c r="AT48" s="659"/>
      <c r="AU48" s="659"/>
      <c r="AV48" s="659"/>
      <c r="AW48" s="658">
        <v>0.05</v>
      </c>
      <c r="AX48" s="658"/>
      <c r="AY48" s="658"/>
      <c r="AZ48" s="658">
        <v>1</v>
      </c>
      <c r="BA48" s="658"/>
      <c r="BB48" s="658"/>
      <c r="BC48" s="658">
        <v>3</v>
      </c>
      <c r="BD48" s="658"/>
      <c r="BE48" s="658"/>
      <c r="BF48" s="658">
        <v>182.49</v>
      </c>
      <c r="BG48" s="658"/>
      <c r="BH48" s="658"/>
      <c r="BI48" s="567">
        <v>0.0164392569455861</v>
      </c>
      <c r="BJ48" s="567"/>
      <c r="BK48" s="567"/>
      <c r="BL48" s="567"/>
      <c r="BM48" s="660">
        <v>0.0164392569455861</v>
      </c>
      <c r="BN48" s="660"/>
      <c r="BO48" s="660"/>
      <c r="BP48" s="660"/>
      <c r="BQ48" s="568">
        <v>1</v>
      </c>
      <c r="BR48" s="568"/>
      <c r="BS48" s="568"/>
      <c r="BT48" s="660" t="s">
        <v>932</v>
      </c>
      <c r="BU48" s="660"/>
      <c r="BV48" s="660"/>
      <c r="BW48" s="660"/>
      <c r="BX48" s="568" t="s">
        <v>932</v>
      </c>
      <c r="BY48" s="568"/>
      <c r="BZ48" s="568"/>
      <c r="CA48" s="660" t="s">
        <v>932</v>
      </c>
      <c r="CB48" s="660"/>
      <c r="CC48" s="660"/>
      <c r="CD48" s="660"/>
      <c r="CE48" s="568" t="s">
        <v>932</v>
      </c>
      <c r="CF48" s="568"/>
      <c r="CG48" s="568"/>
      <c r="CH48" s="660" t="s">
        <v>932</v>
      </c>
      <c r="CI48" s="660"/>
      <c r="CJ48" s="660"/>
      <c r="CK48" s="660"/>
      <c r="CL48" s="568" t="s">
        <v>932</v>
      </c>
      <c r="CM48" s="568"/>
      <c r="CN48" s="568"/>
    </row>
    <row r="49" customHeight="1" spans="1:92">
      <c r="A49" s="612"/>
      <c r="B49" s="612"/>
      <c r="C49" s="518"/>
      <c r="D49" s="518"/>
      <c r="E49" s="518"/>
      <c r="F49" s="657"/>
      <c r="G49" s="657"/>
      <c r="H49" s="657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26"/>
      <c r="AC49" s="526"/>
      <c r="AD49" s="658"/>
      <c r="AE49" s="658"/>
      <c r="AF49" s="658"/>
      <c r="AG49" s="526" t="s">
        <v>943</v>
      </c>
      <c r="AH49" s="526"/>
      <c r="AI49" s="659" t="s">
        <v>944</v>
      </c>
      <c r="AJ49" s="659"/>
      <c r="AK49" s="659"/>
      <c r="AL49" s="659"/>
      <c r="AM49" s="659"/>
      <c r="AN49" s="659"/>
      <c r="AO49" s="659"/>
      <c r="AP49" s="659"/>
      <c r="AQ49" s="659"/>
      <c r="AR49" s="659"/>
      <c r="AS49" s="659"/>
      <c r="AT49" s="659"/>
      <c r="AU49" s="659"/>
      <c r="AV49" s="659"/>
      <c r="AW49" s="658">
        <v>0.01</v>
      </c>
      <c r="AX49" s="658"/>
      <c r="AY49" s="658"/>
      <c r="AZ49" s="658"/>
      <c r="BA49" s="658"/>
      <c r="BB49" s="658"/>
      <c r="BC49" s="658">
        <v>0.6</v>
      </c>
      <c r="BD49" s="658"/>
      <c r="BE49" s="658"/>
      <c r="BF49" s="658">
        <v>182.49</v>
      </c>
      <c r="BG49" s="658"/>
      <c r="BH49" s="658"/>
      <c r="BI49" s="567">
        <v>0.00328785138911721</v>
      </c>
      <c r="BJ49" s="567"/>
      <c r="BK49" s="567"/>
      <c r="BL49" s="567"/>
      <c r="BM49" s="660">
        <v>0.00328785138911721</v>
      </c>
      <c r="BN49" s="660"/>
      <c r="BO49" s="660"/>
      <c r="BP49" s="660"/>
      <c r="BQ49" s="568">
        <v>1</v>
      </c>
      <c r="BR49" s="568"/>
      <c r="BS49" s="568"/>
      <c r="BT49" s="660" t="s">
        <v>932</v>
      </c>
      <c r="BU49" s="660"/>
      <c r="BV49" s="660"/>
      <c r="BW49" s="660"/>
      <c r="BX49" s="568" t="s">
        <v>932</v>
      </c>
      <c r="BY49" s="568"/>
      <c r="BZ49" s="568"/>
      <c r="CA49" s="660" t="s">
        <v>932</v>
      </c>
      <c r="CB49" s="660"/>
      <c r="CC49" s="660"/>
      <c r="CD49" s="660"/>
      <c r="CE49" s="568" t="s">
        <v>932</v>
      </c>
      <c r="CF49" s="568"/>
      <c r="CG49" s="568"/>
      <c r="CH49" s="660" t="s">
        <v>932</v>
      </c>
      <c r="CI49" s="660"/>
      <c r="CJ49" s="660"/>
      <c r="CK49" s="660"/>
      <c r="CL49" s="568" t="s">
        <v>932</v>
      </c>
      <c r="CM49" s="568"/>
      <c r="CN49" s="568"/>
    </row>
    <row r="50" hidden="1" customHeight="1" spans="1:92">
      <c r="A50" s="612"/>
      <c r="B50" s="612"/>
      <c r="C50" s="518"/>
      <c r="D50" s="518"/>
      <c r="E50" s="518"/>
      <c r="F50" s="657"/>
      <c r="G50" s="657"/>
      <c r="H50" s="657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26"/>
      <c r="AC50" s="526"/>
      <c r="AD50" s="658"/>
      <c r="AE50" s="658"/>
      <c r="AF50" s="658"/>
      <c r="AG50" s="526">
        <v>0</v>
      </c>
      <c r="AH50" s="526"/>
      <c r="AI50" s="659" t="e">
        <v>#N/A</v>
      </c>
      <c r="AJ50" s="659"/>
      <c r="AK50" s="659"/>
      <c r="AL50" s="659"/>
      <c r="AM50" s="659"/>
      <c r="AN50" s="659"/>
      <c r="AO50" s="659"/>
      <c r="AP50" s="659"/>
      <c r="AQ50" s="659"/>
      <c r="AR50" s="659"/>
      <c r="AS50" s="659"/>
      <c r="AT50" s="659"/>
      <c r="AU50" s="659"/>
      <c r="AV50" s="659"/>
      <c r="AW50" s="658">
        <v>0</v>
      </c>
      <c r="AX50" s="658"/>
      <c r="AY50" s="658"/>
      <c r="AZ50" s="658"/>
      <c r="BA50" s="658"/>
      <c r="BB50" s="658"/>
      <c r="BC50" s="658">
        <v>0</v>
      </c>
      <c r="BD50" s="658"/>
      <c r="BE50" s="658"/>
      <c r="BF50" s="658">
        <v>182.49</v>
      </c>
      <c r="BG50" s="658"/>
      <c r="BH50" s="658"/>
      <c r="BI50" s="567">
        <v>0</v>
      </c>
      <c r="BJ50" s="567"/>
      <c r="BK50" s="567"/>
      <c r="BL50" s="567"/>
      <c r="BM50" s="660" t="s">
        <v>932</v>
      </c>
      <c r="BN50" s="660"/>
      <c r="BO50" s="660"/>
      <c r="BP50" s="660"/>
      <c r="BQ50" s="568">
        <v>1</v>
      </c>
      <c r="BR50" s="568"/>
      <c r="BS50" s="568"/>
      <c r="BT50" s="660" t="s">
        <v>932</v>
      </c>
      <c r="BU50" s="660"/>
      <c r="BV50" s="660"/>
      <c r="BW50" s="660"/>
      <c r="BX50" s="568" t="s">
        <v>932</v>
      </c>
      <c r="BY50" s="568"/>
      <c r="BZ50" s="568"/>
      <c r="CA50" s="660" t="s">
        <v>932</v>
      </c>
      <c r="CB50" s="660"/>
      <c r="CC50" s="660"/>
      <c r="CD50" s="660"/>
      <c r="CE50" s="568" t="s">
        <v>932</v>
      </c>
      <c r="CF50" s="568"/>
      <c r="CG50" s="568"/>
      <c r="CH50" s="660" t="s">
        <v>932</v>
      </c>
      <c r="CI50" s="660"/>
      <c r="CJ50" s="660"/>
      <c r="CK50" s="660"/>
      <c r="CL50" s="568" t="s">
        <v>932</v>
      </c>
      <c r="CM50" s="568"/>
      <c r="CN50" s="568"/>
    </row>
    <row r="51" hidden="1" customHeight="1" spans="1:92">
      <c r="A51" s="612"/>
      <c r="B51" s="612"/>
      <c r="C51" s="518"/>
      <c r="D51" s="518"/>
      <c r="E51" s="518"/>
      <c r="F51" s="657"/>
      <c r="G51" s="657"/>
      <c r="H51" s="657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26"/>
      <c r="AC51" s="526"/>
      <c r="AD51" s="658"/>
      <c r="AE51" s="658"/>
      <c r="AF51" s="658"/>
      <c r="AG51" s="526">
        <v>0</v>
      </c>
      <c r="AH51" s="526"/>
      <c r="AI51" s="659" t="e">
        <v>#N/A</v>
      </c>
      <c r="AJ51" s="659"/>
      <c r="AK51" s="659"/>
      <c r="AL51" s="659"/>
      <c r="AM51" s="659"/>
      <c r="AN51" s="659"/>
      <c r="AO51" s="659"/>
      <c r="AP51" s="659"/>
      <c r="AQ51" s="659"/>
      <c r="AR51" s="659"/>
      <c r="AS51" s="659"/>
      <c r="AT51" s="659"/>
      <c r="AU51" s="659"/>
      <c r="AV51" s="659"/>
      <c r="AW51" s="658">
        <v>0</v>
      </c>
      <c r="AX51" s="658"/>
      <c r="AY51" s="658"/>
      <c r="AZ51" s="658"/>
      <c r="BA51" s="658"/>
      <c r="BB51" s="658"/>
      <c r="BC51" s="658">
        <v>0</v>
      </c>
      <c r="BD51" s="658"/>
      <c r="BE51" s="658"/>
      <c r="BF51" s="658">
        <v>182.49</v>
      </c>
      <c r="BG51" s="658"/>
      <c r="BH51" s="658"/>
      <c r="BI51" s="567">
        <v>0</v>
      </c>
      <c r="BJ51" s="567"/>
      <c r="BK51" s="567"/>
      <c r="BL51" s="567"/>
      <c r="BM51" s="660" t="s">
        <v>932</v>
      </c>
      <c r="BN51" s="660"/>
      <c r="BO51" s="660"/>
      <c r="BP51" s="660"/>
      <c r="BQ51" s="568">
        <v>1</v>
      </c>
      <c r="BR51" s="568"/>
      <c r="BS51" s="568"/>
      <c r="BT51" s="660" t="s">
        <v>932</v>
      </c>
      <c r="BU51" s="660"/>
      <c r="BV51" s="660"/>
      <c r="BW51" s="660"/>
      <c r="BX51" s="568" t="s">
        <v>932</v>
      </c>
      <c r="BY51" s="568"/>
      <c r="BZ51" s="568"/>
      <c r="CA51" s="660" t="s">
        <v>932</v>
      </c>
      <c r="CB51" s="660"/>
      <c r="CC51" s="660"/>
      <c r="CD51" s="660"/>
      <c r="CE51" s="568" t="s">
        <v>932</v>
      </c>
      <c r="CF51" s="568"/>
      <c r="CG51" s="568"/>
      <c r="CH51" s="660" t="s">
        <v>932</v>
      </c>
      <c r="CI51" s="660"/>
      <c r="CJ51" s="660"/>
      <c r="CK51" s="660"/>
      <c r="CL51" s="568" t="s">
        <v>932</v>
      </c>
      <c r="CM51" s="568"/>
      <c r="CN51" s="568"/>
    </row>
    <row r="52" hidden="1" customHeight="1" spans="1:92">
      <c r="A52" s="612"/>
      <c r="B52" s="612"/>
      <c r="C52" s="518"/>
      <c r="D52" s="518"/>
      <c r="E52" s="518"/>
      <c r="F52" s="657"/>
      <c r="G52" s="657"/>
      <c r="H52" s="657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26"/>
      <c r="AC52" s="526"/>
      <c r="AD52" s="658"/>
      <c r="AE52" s="658"/>
      <c r="AF52" s="658"/>
      <c r="AG52" s="526">
        <v>0</v>
      </c>
      <c r="AH52" s="526"/>
      <c r="AI52" s="659" t="e">
        <v>#N/A</v>
      </c>
      <c r="AJ52" s="659"/>
      <c r="AK52" s="659"/>
      <c r="AL52" s="659"/>
      <c r="AM52" s="659"/>
      <c r="AN52" s="659"/>
      <c r="AO52" s="659"/>
      <c r="AP52" s="659"/>
      <c r="AQ52" s="659"/>
      <c r="AR52" s="659"/>
      <c r="AS52" s="659"/>
      <c r="AT52" s="659"/>
      <c r="AU52" s="659"/>
      <c r="AV52" s="659"/>
      <c r="AW52" s="658">
        <v>0</v>
      </c>
      <c r="AX52" s="658"/>
      <c r="AY52" s="658"/>
      <c r="AZ52" s="658"/>
      <c r="BA52" s="658"/>
      <c r="BB52" s="658"/>
      <c r="BC52" s="658">
        <v>0</v>
      </c>
      <c r="BD52" s="658"/>
      <c r="BE52" s="658"/>
      <c r="BF52" s="658">
        <v>182.49</v>
      </c>
      <c r="BG52" s="658"/>
      <c r="BH52" s="658"/>
      <c r="BI52" s="567">
        <v>0</v>
      </c>
      <c r="BJ52" s="567"/>
      <c r="BK52" s="567"/>
      <c r="BL52" s="567"/>
      <c r="BM52" s="660" t="s">
        <v>932</v>
      </c>
      <c r="BN52" s="660"/>
      <c r="BO52" s="660"/>
      <c r="BP52" s="660"/>
      <c r="BQ52" s="568">
        <v>1</v>
      </c>
      <c r="BR52" s="568"/>
      <c r="BS52" s="568"/>
      <c r="BT52" s="660" t="s">
        <v>932</v>
      </c>
      <c r="BU52" s="660"/>
      <c r="BV52" s="660"/>
      <c r="BW52" s="660"/>
      <c r="BX52" s="568" t="s">
        <v>932</v>
      </c>
      <c r="BY52" s="568"/>
      <c r="BZ52" s="568"/>
      <c r="CA52" s="660" t="s">
        <v>932</v>
      </c>
      <c r="CB52" s="660"/>
      <c r="CC52" s="660"/>
      <c r="CD52" s="660"/>
      <c r="CE52" s="568" t="s">
        <v>932</v>
      </c>
      <c r="CF52" s="568"/>
      <c r="CG52" s="568"/>
      <c r="CH52" s="660" t="s">
        <v>932</v>
      </c>
      <c r="CI52" s="660"/>
      <c r="CJ52" s="660"/>
      <c r="CK52" s="660"/>
      <c r="CL52" s="568" t="s">
        <v>932</v>
      </c>
      <c r="CM52" s="568"/>
      <c r="CN52" s="568"/>
    </row>
    <row r="53" hidden="1" customHeight="1" spans="1:92">
      <c r="A53" s="612"/>
      <c r="B53" s="612"/>
      <c r="C53" s="518"/>
      <c r="D53" s="518"/>
      <c r="E53" s="518"/>
      <c r="F53" s="657"/>
      <c r="G53" s="657"/>
      <c r="H53" s="657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26"/>
      <c r="AC53" s="526"/>
      <c r="AD53" s="658"/>
      <c r="AE53" s="658"/>
      <c r="AF53" s="658"/>
      <c r="AG53" s="526">
        <v>0</v>
      </c>
      <c r="AH53" s="526"/>
      <c r="AI53" s="659" t="e">
        <v>#N/A</v>
      </c>
      <c r="AJ53" s="659"/>
      <c r="AK53" s="659"/>
      <c r="AL53" s="659"/>
      <c r="AM53" s="659"/>
      <c r="AN53" s="659"/>
      <c r="AO53" s="659"/>
      <c r="AP53" s="659"/>
      <c r="AQ53" s="659"/>
      <c r="AR53" s="659"/>
      <c r="AS53" s="659"/>
      <c r="AT53" s="659"/>
      <c r="AU53" s="659"/>
      <c r="AV53" s="659"/>
      <c r="AW53" s="658">
        <v>0</v>
      </c>
      <c r="AX53" s="658"/>
      <c r="AY53" s="658"/>
      <c r="AZ53" s="658"/>
      <c r="BA53" s="658"/>
      <c r="BB53" s="658"/>
      <c r="BC53" s="658">
        <v>0</v>
      </c>
      <c r="BD53" s="658"/>
      <c r="BE53" s="658"/>
      <c r="BF53" s="658">
        <v>182.49</v>
      </c>
      <c r="BG53" s="658"/>
      <c r="BH53" s="658"/>
      <c r="BI53" s="567">
        <v>0</v>
      </c>
      <c r="BJ53" s="567"/>
      <c r="BK53" s="567"/>
      <c r="BL53" s="567"/>
      <c r="BM53" s="660" t="s">
        <v>932</v>
      </c>
      <c r="BN53" s="660"/>
      <c r="BO53" s="660"/>
      <c r="BP53" s="660"/>
      <c r="BQ53" s="568">
        <v>1</v>
      </c>
      <c r="BR53" s="568"/>
      <c r="BS53" s="568"/>
      <c r="BT53" s="660" t="s">
        <v>932</v>
      </c>
      <c r="BU53" s="660"/>
      <c r="BV53" s="660"/>
      <c r="BW53" s="660"/>
      <c r="BX53" s="568" t="s">
        <v>932</v>
      </c>
      <c r="BY53" s="568"/>
      <c r="BZ53" s="568"/>
      <c r="CA53" s="660" t="s">
        <v>932</v>
      </c>
      <c r="CB53" s="660"/>
      <c r="CC53" s="660"/>
      <c r="CD53" s="660"/>
      <c r="CE53" s="568" t="s">
        <v>932</v>
      </c>
      <c r="CF53" s="568"/>
      <c r="CG53" s="568"/>
      <c r="CH53" s="660" t="s">
        <v>932</v>
      </c>
      <c r="CI53" s="660"/>
      <c r="CJ53" s="660"/>
      <c r="CK53" s="660"/>
      <c r="CL53" s="568" t="s">
        <v>932</v>
      </c>
      <c r="CM53" s="568"/>
      <c r="CN53" s="568"/>
    </row>
    <row r="54" hidden="1" customHeight="1" spans="1:92">
      <c r="A54" s="612"/>
      <c r="B54" s="612"/>
      <c r="C54" s="518"/>
      <c r="D54" s="518"/>
      <c r="E54" s="518"/>
      <c r="F54" s="657"/>
      <c r="G54" s="657"/>
      <c r="H54" s="657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26"/>
      <c r="AC54" s="526"/>
      <c r="AD54" s="658"/>
      <c r="AE54" s="658"/>
      <c r="AF54" s="658"/>
      <c r="AG54" s="526">
        <v>0</v>
      </c>
      <c r="AH54" s="526"/>
      <c r="AI54" s="659" t="e">
        <v>#N/A</v>
      </c>
      <c r="AJ54" s="659"/>
      <c r="AK54" s="659"/>
      <c r="AL54" s="659"/>
      <c r="AM54" s="659"/>
      <c r="AN54" s="659"/>
      <c r="AO54" s="659"/>
      <c r="AP54" s="659"/>
      <c r="AQ54" s="659"/>
      <c r="AR54" s="659"/>
      <c r="AS54" s="659"/>
      <c r="AT54" s="659"/>
      <c r="AU54" s="659"/>
      <c r="AV54" s="659"/>
      <c r="AW54" s="658">
        <v>0</v>
      </c>
      <c r="AX54" s="658"/>
      <c r="AY54" s="658"/>
      <c r="AZ54" s="658"/>
      <c r="BA54" s="658"/>
      <c r="BB54" s="658"/>
      <c r="BC54" s="658">
        <v>0</v>
      </c>
      <c r="BD54" s="658"/>
      <c r="BE54" s="658"/>
      <c r="BF54" s="658">
        <v>182.49</v>
      </c>
      <c r="BG54" s="658"/>
      <c r="BH54" s="658"/>
      <c r="BI54" s="567">
        <v>0</v>
      </c>
      <c r="BJ54" s="567"/>
      <c r="BK54" s="567"/>
      <c r="BL54" s="567"/>
      <c r="BM54" s="660" t="s">
        <v>932</v>
      </c>
      <c r="BN54" s="660"/>
      <c r="BO54" s="660"/>
      <c r="BP54" s="660"/>
      <c r="BQ54" s="568">
        <v>1</v>
      </c>
      <c r="BR54" s="568"/>
      <c r="BS54" s="568"/>
      <c r="BT54" s="660" t="s">
        <v>932</v>
      </c>
      <c r="BU54" s="660"/>
      <c r="BV54" s="660"/>
      <c r="BW54" s="660"/>
      <c r="BX54" s="568" t="s">
        <v>932</v>
      </c>
      <c r="BY54" s="568"/>
      <c r="BZ54" s="568"/>
      <c r="CA54" s="660" t="s">
        <v>932</v>
      </c>
      <c r="CB54" s="660"/>
      <c r="CC54" s="660"/>
      <c r="CD54" s="660"/>
      <c r="CE54" s="568" t="s">
        <v>932</v>
      </c>
      <c r="CF54" s="568"/>
      <c r="CG54" s="568"/>
      <c r="CH54" s="660" t="s">
        <v>932</v>
      </c>
      <c r="CI54" s="660"/>
      <c r="CJ54" s="660"/>
      <c r="CK54" s="660"/>
      <c r="CL54" s="568" t="s">
        <v>932</v>
      </c>
      <c r="CM54" s="568"/>
      <c r="CN54" s="568"/>
    </row>
    <row r="55" hidden="1" customHeight="1" spans="1:92">
      <c r="A55" s="612"/>
      <c r="B55" s="612"/>
      <c r="C55" s="518"/>
      <c r="D55" s="518"/>
      <c r="E55" s="518"/>
      <c r="F55" s="657"/>
      <c r="G55" s="657"/>
      <c r="H55" s="657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26"/>
      <c r="AC55" s="526"/>
      <c r="AD55" s="658"/>
      <c r="AE55" s="658"/>
      <c r="AF55" s="658"/>
      <c r="AG55" s="526">
        <v>0</v>
      </c>
      <c r="AH55" s="526"/>
      <c r="AI55" s="659" t="e">
        <v>#N/A</v>
      </c>
      <c r="AJ55" s="659"/>
      <c r="AK55" s="659"/>
      <c r="AL55" s="659"/>
      <c r="AM55" s="659"/>
      <c r="AN55" s="659"/>
      <c r="AO55" s="659"/>
      <c r="AP55" s="659"/>
      <c r="AQ55" s="659"/>
      <c r="AR55" s="659"/>
      <c r="AS55" s="659"/>
      <c r="AT55" s="659"/>
      <c r="AU55" s="659"/>
      <c r="AV55" s="659"/>
      <c r="AW55" s="658">
        <v>0</v>
      </c>
      <c r="AX55" s="658"/>
      <c r="AY55" s="658"/>
      <c r="AZ55" s="658"/>
      <c r="BA55" s="658"/>
      <c r="BB55" s="658"/>
      <c r="BC55" s="658">
        <v>0</v>
      </c>
      <c r="BD55" s="658"/>
      <c r="BE55" s="658"/>
      <c r="BF55" s="658">
        <v>182.49</v>
      </c>
      <c r="BG55" s="658"/>
      <c r="BH55" s="658"/>
      <c r="BI55" s="567">
        <v>0</v>
      </c>
      <c r="BJ55" s="567"/>
      <c r="BK55" s="567"/>
      <c r="BL55" s="567"/>
      <c r="BM55" s="660" t="s">
        <v>932</v>
      </c>
      <c r="BN55" s="660"/>
      <c r="BO55" s="660"/>
      <c r="BP55" s="660"/>
      <c r="BQ55" s="568">
        <v>1</v>
      </c>
      <c r="BR55" s="568"/>
      <c r="BS55" s="568"/>
      <c r="BT55" s="660" t="s">
        <v>932</v>
      </c>
      <c r="BU55" s="660"/>
      <c r="BV55" s="660"/>
      <c r="BW55" s="660"/>
      <c r="BX55" s="568" t="s">
        <v>932</v>
      </c>
      <c r="BY55" s="568"/>
      <c r="BZ55" s="568"/>
      <c r="CA55" s="660" t="s">
        <v>932</v>
      </c>
      <c r="CB55" s="660"/>
      <c r="CC55" s="660"/>
      <c r="CD55" s="660"/>
      <c r="CE55" s="568" t="s">
        <v>932</v>
      </c>
      <c r="CF55" s="568"/>
      <c r="CG55" s="568"/>
      <c r="CH55" s="660" t="s">
        <v>932</v>
      </c>
      <c r="CI55" s="660"/>
      <c r="CJ55" s="660"/>
      <c r="CK55" s="660"/>
      <c r="CL55" s="568" t="s">
        <v>932</v>
      </c>
      <c r="CM55" s="568"/>
      <c r="CN55" s="568"/>
    </row>
    <row r="56" customHeight="1" spans="1:92">
      <c r="A56" s="612" t="s">
        <v>850</v>
      </c>
      <c r="B56" s="612"/>
      <c r="C56" s="518"/>
      <c r="D56" s="518"/>
      <c r="E56" s="518"/>
      <c r="F56" s="657">
        <v>5502109</v>
      </c>
      <c r="G56" s="657"/>
      <c r="H56" s="657"/>
      <c r="I56" s="519" t="s">
        <v>98</v>
      </c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26" t="s">
        <v>99</v>
      </c>
      <c r="AC56" s="526"/>
      <c r="AD56" s="658">
        <v>57.6</v>
      </c>
      <c r="AE56" s="658"/>
      <c r="AF56" s="658"/>
      <c r="AG56" s="526" t="s">
        <v>935</v>
      </c>
      <c r="AH56" s="526"/>
      <c r="AI56" s="659" t="s">
        <v>936</v>
      </c>
      <c r="AJ56" s="659"/>
      <c r="AK56" s="659"/>
      <c r="AL56" s="659"/>
      <c r="AM56" s="659"/>
      <c r="AN56" s="659"/>
      <c r="AO56" s="659"/>
      <c r="AP56" s="659"/>
      <c r="AQ56" s="659"/>
      <c r="AR56" s="659"/>
      <c r="AS56" s="659"/>
      <c r="AT56" s="659"/>
      <c r="AU56" s="659"/>
      <c r="AV56" s="659"/>
      <c r="AW56" s="658">
        <v>1</v>
      </c>
      <c r="AX56" s="658"/>
      <c r="AY56" s="658"/>
      <c r="AZ56" s="658">
        <v>230.19</v>
      </c>
      <c r="BA56" s="658"/>
      <c r="BB56" s="658"/>
      <c r="BC56" s="658">
        <v>0.250228072461879</v>
      </c>
      <c r="BD56" s="658"/>
      <c r="BE56" s="658"/>
      <c r="BF56" s="658">
        <v>182.49</v>
      </c>
      <c r="BG56" s="658"/>
      <c r="BH56" s="658"/>
      <c r="BI56" s="567">
        <v>0.00137118785939985</v>
      </c>
      <c r="BJ56" s="567"/>
      <c r="BK56" s="567"/>
      <c r="BL56" s="567"/>
      <c r="BM56" s="660">
        <v>0.000342796964849963</v>
      </c>
      <c r="BN56" s="660"/>
      <c r="BO56" s="660"/>
      <c r="BP56" s="660"/>
      <c r="BQ56" s="568">
        <v>0.25</v>
      </c>
      <c r="BR56" s="568"/>
      <c r="BS56" s="568"/>
      <c r="BT56" s="660">
        <v>0.00102839089454989</v>
      </c>
      <c r="BU56" s="660"/>
      <c r="BV56" s="660"/>
      <c r="BW56" s="660"/>
      <c r="BX56" s="568">
        <v>0.75</v>
      </c>
      <c r="BY56" s="568"/>
      <c r="BZ56" s="568"/>
      <c r="CA56" s="660" t="s">
        <v>932</v>
      </c>
      <c r="CB56" s="660"/>
      <c r="CC56" s="660"/>
      <c r="CD56" s="660"/>
      <c r="CE56" s="568" t="s">
        <v>932</v>
      </c>
      <c r="CF56" s="568"/>
      <c r="CG56" s="568"/>
      <c r="CH56" s="660" t="s">
        <v>932</v>
      </c>
      <c r="CI56" s="660"/>
      <c r="CJ56" s="660"/>
      <c r="CK56" s="660"/>
      <c r="CL56" s="568" t="s">
        <v>932</v>
      </c>
      <c r="CM56" s="568"/>
      <c r="CN56" s="568"/>
    </row>
    <row r="57" hidden="1" customHeight="1" spans="1:92">
      <c r="A57" s="612"/>
      <c r="B57" s="612"/>
      <c r="C57" s="518"/>
      <c r="D57" s="518"/>
      <c r="E57" s="518"/>
      <c r="F57" s="657"/>
      <c r="G57" s="657"/>
      <c r="H57" s="657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26"/>
      <c r="AC57" s="526"/>
      <c r="AD57" s="658"/>
      <c r="AE57" s="658"/>
      <c r="AF57" s="658"/>
      <c r="AG57" s="526">
        <v>0</v>
      </c>
      <c r="AH57" s="526"/>
      <c r="AI57" s="659" t="e">
        <v>#N/A</v>
      </c>
      <c r="AJ57" s="659"/>
      <c r="AK57" s="659"/>
      <c r="AL57" s="659"/>
      <c r="AM57" s="659"/>
      <c r="AN57" s="659"/>
      <c r="AO57" s="659"/>
      <c r="AP57" s="659"/>
      <c r="AQ57" s="659"/>
      <c r="AR57" s="659"/>
      <c r="AS57" s="659"/>
      <c r="AT57" s="659"/>
      <c r="AU57" s="659"/>
      <c r="AV57" s="659"/>
      <c r="AW57" s="658">
        <v>0</v>
      </c>
      <c r="AX57" s="658"/>
      <c r="AY57" s="658"/>
      <c r="AZ57" s="658"/>
      <c r="BA57" s="658"/>
      <c r="BB57" s="658"/>
      <c r="BC57" s="658">
        <v>0</v>
      </c>
      <c r="BD57" s="658"/>
      <c r="BE57" s="658"/>
      <c r="BF57" s="658">
        <v>182.49</v>
      </c>
      <c r="BG57" s="658"/>
      <c r="BH57" s="658"/>
      <c r="BI57" s="567">
        <v>0</v>
      </c>
      <c r="BJ57" s="567"/>
      <c r="BK57" s="567"/>
      <c r="BL57" s="567"/>
      <c r="BM57" s="660" t="s">
        <v>932</v>
      </c>
      <c r="BN57" s="660"/>
      <c r="BO57" s="660"/>
      <c r="BP57" s="660"/>
      <c r="BQ57" s="568">
        <v>0.25</v>
      </c>
      <c r="BR57" s="568"/>
      <c r="BS57" s="568"/>
      <c r="BT57" s="660" t="s">
        <v>932</v>
      </c>
      <c r="BU57" s="660"/>
      <c r="BV57" s="660"/>
      <c r="BW57" s="660"/>
      <c r="BX57" s="568">
        <v>0.75</v>
      </c>
      <c r="BY57" s="568"/>
      <c r="BZ57" s="568"/>
      <c r="CA57" s="660" t="s">
        <v>932</v>
      </c>
      <c r="CB57" s="660"/>
      <c r="CC57" s="660"/>
      <c r="CD57" s="660"/>
      <c r="CE57" s="568" t="s">
        <v>932</v>
      </c>
      <c r="CF57" s="568"/>
      <c r="CG57" s="568"/>
      <c r="CH57" s="660" t="s">
        <v>932</v>
      </c>
      <c r="CI57" s="660"/>
      <c r="CJ57" s="660"/>
      <c r="CK57" s="660"/>
      <c r="CL57" s="568" t="s">
        <v>932</v>
      </c>
      <c r="CM57" s="568"/>
      <c r="CN57" s="568"/>
    </row>
    <row r="58" hidden="1" customHeight="1" spans="1:92">
      <c r="A58" s="612"/>
      <c r="B58" s="612"/>
      <c r="C58" s="518"/>
      <c r="D58" s="518"/>
      <c r="E58" s="518"/>
      <c r="F58" s="657"/>
      <c r="G58" s="657"/>
      <c r="H58" s="657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26"/>
      <c r="AC58" s="526"/>
      <c r="AD58" s="658"/>
      <c r="AE58" s="658"/>
      <c r="AF58" s="658"/>
      <c r="AG58" s="526">
        <v>0</v>
      </c>
      <c r="AH58" s="526"/>
      <c r="AI58" s="659" t="e">
        <v>#N/A</v>
      </c>
      <c r="AJ58" s="659"/>
      <c r="AK58" s="659"/>
      <c r="AL58" s="659"/>
      <c r="AM58" s="659"/>
      <c r="AN58" s="659"/>
      <c r="AO58" s="659"/>
      <c r="AP58" s="659"/>
      <c r="AQ58" s="659"/>
      <c r="AR58" s="659"/>
      <c r="AS58" s="659"/>
      <c r="AT58" s="659"/>
      <c r="AU58" s="659"/>
      <c r="AV58" s="659"/>
      <c r="AW58" s="658">
        <v>0</v>
      </c>
      <c r="AX58" s="658"/>
      <c r="AY58" s="658"/>
      <c r="AZ58" s="658"/>
      <c r="BA58" s="658"/>
      <c r="BB58" s="658"/>
      <c r="BC58" s="658">
        <v>0</v>
      </c>
      <c r="BD58" s="658"/>
      <c r="BE58" s="658"/>
      <c r="BF58" s="658">
        <v>182.49</v>
      </c>
      <c r="BG58" s="658"/>
      <c r="BH58" s="658"/>
      <c r="BI58" s="567">
        <v>0</v>
      </c>
      <c r="BJ58" s="567"/>
      <c r="BK58" s="567"/>
      <c r="BL58" s="567"/>
      <c r="BM58" s="660" t="s">
        <v>932</v>
      </c>
      <c r="BN58" s="660"/>
      <c r="BO58" s="660"/>
      <c r="BP58" s="660"/>
      <c r="BQ58" s="568">
        <v>0.25</v>
      </c>
      <c r="BR58" s="568"/>
      <c r="BS58" s="568"/>
      <c r="BT58" s="660" t="s">
        <v>932</v>
      </c>
      <c r="BU58" s="660"/>
      <c r="BV58" s="660"/>
      <c r="BW58" s="660"/>
      <c r="BX58" s="568">
        <v>0.75</v>
      </c>
      <c r="BY58" s="568"/>
      <c r="BZ58" s="568"/>
      <c r="CA58" s="660" t="s">
        <v>932</v>
      </c>
      <c r="CB58" s="660"/>
      <c r="CC58" s="660"/>
      <c r="CD58" s="660"/>
      <c r="CE58" s="568" t="s">
        <v>932</v>
      </c>
      <c r="CF58" s="568"/>
      <c r="CG58" s="568"/>
      <c r="CH58" s="660" t="s">
        <v>932</v>
      </c>
      <c r="CI58" s="660"/>
      <c r="CJ58" s="660"/>
      <c r="CK58" s="660"/>
      <c r="CL58" s="568" t="s">
        <v>932</v>
      </c>
      <c r="CM58" s="568"/>
      <c r="CN58" s="568"/>
    </row>
    <row r="59" hidden="1" customHeight="1" spans="1:92">
      <c r="A59" s="612"/>
      <c r="B59" s="612"/>
      <c r="C59" s="518"/>
      <c r="D59" s="518"/>
      <c r="E59" s="518"/>
      <c r="F59" s="657"/>
      <c r="G59" s="657"/>
      <c r="H59" s="657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26"/>
      <c r="AC59" s="526"/>
      <c r="AD59" s="658"/>
      <c r="AE59" s="658"/>
      <c r="AF59" s="658"/>
      <c r="AG59" s="526">
        <v>0</v>
      </c>
      <c r="AH59" s="526"/>
      <c r="AI59" s="659" t="e">
        <v>#N/A</v>
      </c>
      <c r="AJ59" s="659"/>
      <c r="AK59" s="659"/>
      <c r="AL59" s="659"/>
      <c r="AM59" s="659"/>
      <c r="AN59" s="659"/>
      <c r="AO59" s="659"/>
      <c r="AP59" s="659"/>
      <c r="AQ59" s="659"/>
      <c r="AR59" s="659"/>
      <c r="AS59" s="659"/>
      <c r="AT59" s="659"/>
      <c r="AU59" s="659"/>
      <c r="AV59" s="659"/>
      <c r="AW59" s="658">
        <v>0</v>
      </c>
      <c r="AX59" s="658"/>
      <c r="AY59" s="658"/>
      <c r="AZ59" s="658"/>
      <c r="BA59" s="658"/>
      <c r="BB59" s="658"/>
      <c r="BC59" s="658">
        <v>0</v>
      </c>
      <c r="BD59" s="658"/>
      <c r="BE59" s="658"/>
      <c r="BF59" s="658">
        <v>182.49</v>
      </c>
      <c r="BG59" s="658"/>
      <c r="BH59" s="658"/>
      <c r="BI59" s="567">
        <v>0</v>
      </c>
      <c r="BJ59" s="567"/>
      <c r="BK59" s="567"/>
      <c r="BL59" s="567"/>
      <c r="BM59" s="660" t="s">
        <v>932</v>
      </c>
      <c r="BN59" s="660"/>
      <c r="BO59" s="660"/>
      <c r="BP59" s="660"/>
      <c r="BQ59" s="568">
        <v>0.25</v>
      </c>
      <c r="BR59" s="568"/>
      <c r="BS59" s="568"/>
      <c r="BT59" s="660" t="s">
        <v>932</v>
      </c>
      <c r="BU59" s="660"/>
      <c r="BV59" s="660"/>
      <c r="BW59" s="660"/>
      <c r="BX59" s="568">
        <v>0.75</v>
      </c>
      <c r="BY59" s="568"/>
      <c r="BZ59" s="568"/>
      <c r="CA59" s="660" t="s">
        <v>932</v>
      </c>
      <c r="CB59" s="660"/>
      <c r="CC59" s="660"/>
      <c r="CD59" s="660"/>
      <c r="CE59" s="568" t="s">
        <v>932</v>
      </c>
      <c r="CF59" s="568"/>
      <c r="CG59" s="568"/>
      <c r="CH59" s="660" t="s">
        <v>932</v>
      </c>
      <c r="CI59" s="660"/>
      <c r="CJ59" s="660"/>
      <c r="CK59" s="660"/>
      <c r="CL59" s="568" t="s">
        <v>932</v>
      </c>
      <c r="CM59" s="568"/>
      <c r="CN59" s="568"/>
    </row>
    <row r="60" hidden="1" customHeight="1" spans="1:92">
      <c r="A60" s="612"/>
      <c r="B60" s="612"/>
      <c r="C60" s="518"/>
      <c r="D60" s="518"/>
      <c r="E60" s="518"/>
      <c r="F60" s="657"/>
      <c r="G60" s="657"/>
      <c r="H60" s="657"/>
      <c r="I60" s="519"/>
      <c r="J60" s="519"/>
      <c r="K60" s="519"/>
      <c r="L60" s="519"/>
      <c r="M60" s="519"/>
      <c r="N60" s="519"/>
      <c r="O60" s="519"/>
      <c r="P60" s="519"/>
      <c r="Q60" s="519"/>
      <c r="R60" s="519"/>
      <c r="S60" s="519"/>
      <c r="T60" s="519"/>
      <c r="U60" s="519"/>
      <c r="V60" s="519"/>
      <c r="W60" s="519"/>
      <c r="X60" s="519"/>
      <c r="Y60" s="519"/>
      <c r="Z60" s="519"/>
      <c r="AA60" s="519"/>
      <c r="AB60" s="526"/>
      <c r="AC60" s="526"/>
      <c r="AD60" s="658"/>
      <c r="AE60" s="658"/>
      <c r="AF60" s="658"/>
      <c r="AG60" s="526">
        <v>0</v>
      </c>
      <c r="AH60" s="526"/>
      <c r="AI60" s="659" t="e">
        <v>#N/A</v>
      </c>
      <c r="AJ60" s="659"/>
      <c r="AK60" s="659"/>
      <c r="AL60" s="659"/>
      <c r="AM60" s="659"/>
      <c r="AN60" s="659"/>
      <c r="AO60" s="659"/>
      <c r="AP60" s="659"/>
      <c r="AQ60" s="659"/>
      <c r="AR60" s="659"/>
      <c r="AS60" s="659"/>
      <c r="AT60" s="659"/>
      <c r="AU60" s="659"/>
      <c r="AV60" s="659"/>
      <c r="AW60" s="658">
        <v>0</v>
      </c>
      <c r="AX60" s="658"/>
      <c r="AY60" s="658"/>
      <c r="AZ60" s="658"/>
      <c r="BA60" s="658"/>
      <c r="BB60" s="658"/>
      <c r="BC60" s="658">
        <v>0</v>
      </c>
      <c r="BD60" s="658"/>
      <c r="BE60" s="658"/>
      <c r="BF60" s="658">
        <v>182.49</v>
      </c>
      <c r="BG60" s="658"/>
      <c r="BH60" s="658"/>
      <c r="BI60" s="567">
        <v>0</v>
      </c>
      <c r="BJ60" s="567"/>
      <c r="BK60" s="567"/>
      <c r="BL60" s="567"/>
      <c r="BM60" s="660" t="s">
        <v>932</v>
      </c>
      <c r="BN60" s="660"/>
      <c r="BO60" s="660"/>
      <c r="BP60" s="660"/>
      <c r="BQ60" s="568">
        <v>0.25</v>
      </c>
      <c r="BR60" s="568"/>
      <c r="BS60" s="568"/>
      <c r="BT60" s="660" t="s">
        <v>932</v>
      </c>
      <c r="BU60" s="660"/>
      <c r="BV60" s="660"/>
      <c r="BW60" s="660"/>
      <c r="BX60" s="568">
        <v>0.75</v>
      </c>
      <c r="BY60" s="568"/>
      <c r="BZ60" s="568"/>
      <c r="CA60" s="660" t="s">
        <v>932</v>
      </c>
      <c r="CB60" s="660"/>
      <c r="CC60" s="660"/>
      <c r="CD60" s="660"/>
      <c r="CE60" s="568" t="s">
        <v>932</v>
      </c>
      <c r="CF60" s="568"/>
      <c r="CG60" s="568"/>
      <c r="CH60" s="660" t="s">
        <v>932</v>
      </c>
      <c r="CI60" s="660"/>
      <c r="CJ60" s="660"/>
      <c r="CK60" s="660"/>
      <c r="CL60" s="568" t="s">
        <v>932</v>
      </c>
      <c r="CM60" s="568"/>
      <c r="CN60" s="568"/>
    </row>
    <row r="61" hidden="1" customHeight="1" spans="1:92">
      <c r="A61" s="612"/>
      <c r="B61" s="612"/>
      <c r="C61" s="518"/>
      <c r="D61" s="518"/>
      <c r="E61" s="518"/>
      <c r="F61" s="657"/>
      <c r="G61" s="657"/>
      <c r="H61" s="657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26"/>
      <c r="AC61" s="526"/>
      <c r="AD61" s="658"/>
      <c r="AE61" s="658"/>
      <c r="AF61" s="658"/>
      <c r="AG61" s="526">
        <v>0</v>
      </c>
      <c r="AH61" s="526"/>
      <c r="AI61" s="659" t="e">
        <v>#N/A</v>
      </c>
      <c r="AJ61" s="659"/>
      <c r="AK61" s="659"/>
      <c r="AL61" s="659"/>
      <c r="AM61" s="659"/>
      <c r="AN61" s="659"/>
      <c r="AO61" s="659"/>
      <c r="AP61" s="659"/>
      <c r="AQ61" s="659"/>
      <c r="AR61" s="659"/>
      <c r="AS61" s="659"/>
      <c r="AT61" s="659"/>
      <c r="AU61" s="659"/>
      <c r="AV61" s="659"/>
      <c r="AW61" s="658">
        <v>0</v>
      </c>
      <c r="AX61" s="658"/>
      <c r="AY61" s="658"/>
      <c r="AZ61" s="658"/>
      <c r="BA61" s="658"/>
      <c r="BB61" s="658"/>
      <c r="BC61" s="658">
        <v>0</v>
      </c>
      <c r="BD61" s="658"/>
      <c r="BE61" s="658"/>
      <c r="BF61" s="658">
        <v>182.49</v>
      </c>
      <c r="BG61" s="658"/>
      <c r="BH61" s="658"/>
      <c r="BI61" s="567">
        <v>0</v>
      </c>
      <c r="BJ61" s="567"/>
      <c r="BK61" s="567"/>
      <c r="BL61" s="567"/>
      <c r="BM61" s="660" t="s">
        <v>932</v>
      </c>
      <c r="BN61" s="660"/>
      <c r="BO61" s="660"/>
      <c r="BP61" s="660"/>
      <c r="BQ61" s="568">
        <v>0.25</v>
      </c>
      <c r="BR61" s="568"/>
      <c r="BS61" s="568"/>
      <c r="BT61" s="660" t="s">
        <v>932</v>
      </c>
      <c r="BU61" s="660"/>
      <c r="BV61" s="660"/>
      <c r="BW61" s="660"/>
      <c r="BX61" s="568">
        <v>0.75</v>
      </c>
      <c r="BY61" s="568"/>
      <c r="BZ61" s="568"/>
      <c r="CA61" s="660" t="s">
        <v>932</v>
      </c>
      <c r="CB61" s="660"/>
      <c r="CC61" s="660"/>
      <c r="CD61" s="660"/>
      <c r="CE61" s="568" t="s">
        <v>932</v>
      </c>
      <c r="CF61" s="568"/>
      <c r="CG61" s="568"/>
      <c r="CH61" s="660" t="s">
        <v>932</v>
      </c>
      <c r="CI61" s="660"/>
      <c r="CJ61" s="660"/>
      <c r="CK61" s="660"/>
      <c r="CL61" s="568" t="s">
        <v>932</v>
      </c>
      <c r="CM61" s="568"/>
      <c r="CN61" s="568"/>
    </row>
    <row r="62" hidden="1" customHeight="1" spans="1:92">
      <c r="A62" s="612"/>
      <c r="B62" s="612"/>
      <c r="C62" s="518"/>
      <c r="D62" s="518"/>
      <c r="E62" s="518"/>
      <c r="F62" s="657"/>
      <c r="G62" s="657"/>
      <c r="H62" s="657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26"/>
      <c r="AC62" s="526"/>
      <c r="AD62" s="658"/>
      <c r="AE62" s="658"/>
      <c r="AF62" s="658"/>
      <c r="AG62" s="526">
        <v>0</v>
      </c>
      <c r="AH62" s="526"/>
      <c r="AI62" s="659" t="e">
        <v>#N/A</v>
      </c>
      <c r="AJ62" s="659"/>
      <c r="AK62" s="659"/>
      <c r="AL62" s="659"/>
      <c r="AM62" s="659"/>
      <c r="AN62" s="659"/>
      <c r="AO62" s="659"/>
      <c r="AP62" s="659"/>
      <c r="AQ62" s="659"/>
      <c r="AR62" s="659"/>
      <c r="AS62" s="659"/>
      <c r="AT62" s="659"/>
      <c r="AU62" s="659"/>
      <c r="AV62" s="659"/>
      <c r="AW62" s="658">
        <v>0</v>
      </c>
      <c r="AX62" s="658"/>
      <c r="AY62" s="658"/>
      <c r="AZ62" s="658"/>
      <c r="BA62" s="658"/>
      <c r="BB62" s="658"/>
      <c r="BC62" s="658">
        <v>0</v>
      </c>
      <c r="BD62" s="658"/>
      <c r="BE62" s="658"/>
      <c r="BF62" s="658">
        <v>182.49</v>
      </c>
      <c r="BG62" s="658"/>
      <c r="BH62" s="658"/>
      <c r="BI62" s="567">
        <v>0</v>
      </c>
      <c r="BJ62" s="567"/>
      <c r="BK62" s="567"/>
      <c r="BL62" s="567"/>
      <c r="BM62" s="660" t="s">
        <v>932</v>
      </c>
      <c r="BN62" s="660"/>
      <c r="BO62" s="660"/>
      <c r="BP62" s="660"/>
      <c r="BQ62" s="568">
        <v>0.25</v>
      </c>
      <c r="BR62" s="568"/>
      <c r="BS62" s="568"/>
      <c r="BT62" s="660" t="s">
        <v>932</v>
      </c>
      <c r="BU62" s="660"/>
      <c r="BV62" s="660"/>
      <c r="BW62" s="660"/>
      <c r="BX62" s="568">
        <v>0.75</v>
      </c>
      <c r="BY62" s="568"/>
      <c r="BZ62" s="568"/>
      <c r="CA62" s="660" t="s">
        <v>932</v>
      </c>
      <c r="CB62" s="660"/>
      <c r="CC62" s="660"/>
      <c r="CD62" s="660"/>
      <c r="CE62" s="568" t="s">
        <v>932</v>
      </c>
      <c r="CF62" s="568"/>
      <c r="CG62" s="568"/>
      <c r="CH62" s="660" t="s">
        <v>932</v>
      </c>
      <c r="CI62" s="660"/>
      <c r="CJ62" s="660"/>
      <c r="CK62" s="660"/>
      <c r="CL62" s="568" t="s">
        <v>932</v>
      </c>
      <c r="CM62" s="568"/>
      <c r="CN62" s="568"/>
    </row>
    <row r="63" hidden="1" customHeight="1" spans="1:92">
      <c r="A63" s="612"/>
      <c r="B63" s="612"/>
      <c r="C63" s="518"/>
      <c r="D63" s="518"/>
      <c r="E63" s="518"/>
      <c r="F63" s="657"/>
      <c r="G63" s="657"/>
      <c r="H63" s="657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26"/>
      <c r="AC63" s="526"/>
      <c r="AD63" s="658"/>
      <c r="AE63" s="658"/>
      <c r="AF63" s="658"/>
      <c r="AG63" s="526">
        <v>0</v>
      </c>
      <c r="AH63" s="526"/>
      <c r="AI63" s="659" t="e">
        <v>#N/A</v>
      </c>
      <c r="AJ63" s="659"/>
      <c r="AK63" s="659"/>
      <c r="AL63" s="659"/>
      <c r="AM63" s="659"/>
      <c r="AN63" s="659"/>
      <c r="AO63" s="659"/>
      <c r="AP63" s="659"/>
      <c r="AQ63" s="659"/>
      <c r="AR63" s="659"/>
      <c r="AS63" s="659"/>
      <c r="AT63" s="659"/>
      <c r="AU63" s="659"/>
      <c r="AV63" s="659"/>
      <c r="AW63" s="658">
        <v>0</v>
      </c>
      <c r="AX63" s="658"/>
      <c r="AY63" s="658"/>
      <c r="AZ63" s="658"/>
      <c r="BA63" s="658"/>
      <c r="BB63" s="658"/>
      <c r="BC63" s="658">
        <v>0</v>
      </c>
      <c r="BD63" s="658"/>
      <c r="BE63" s="658"/>
      <c r="BF63" s="658">
        <v>182.49</v>
      </c>
      <c r="BG63" s="658"/>
      <c r="BH63" s="658"/>
      <c r="BI63" s="567">
        <v>0</v>
      </c>
      <c r="BJ63" s="567"/>
      <c r="BK63" s="567"/>
      <c r="BL63" s="567"/>
      <c r="BM63" s="660" t="s">
        <v>932</v>
      </c>
      <c r="BN63" s="660"/>
      <c r="BO63" s="660"/>
      <c r="BP63" s="660"/>
      <c r="BQ63" s="568">
        <v>0.25</v>
      </c>
      <c r="BR63" s="568"/>
      <c r="BS63" s="568"/>
      <c r="BT63" s="660" t="s">
        <v>932</v>
      </c>
      <c r="BU63" s="660"/>
      <c r="BV63" s="660"/>
      <c r="BW63" s="660"/>
      <c r="BX63" s="568">
        <v>0.75</v>
      </c>
      <c r="BY63" s="568"/>
      <c r="BZ63" s="568"/>
      <c r="CA63" s="660" t="s">
        <v>932</v>
      </c>
      <c r="CB63" s="660"/>
      <c r="CC63" s="660"/>
      <c r="CD63" s="660"/>
      <c r="CE63" s="568" t="s">
        <v>932</v>
      </c>
      <c r="CF63" s="568"/>
      <c r="CG63" s="568"/>
      <c r="CH63" s="660" t="s">
        <v>932</v>
      </c>
      <c r="CI63" s="660"/>
      <c r="CJ63" s="660"/>
      <c r="CK63" s="660"/>
      <c r="CL63" s="568" t="s">
        <v>932</v>
      </c>
      <c r="CM63" s="568"/>
      <c r="CN63" s="568"/>
    </row>
    <row r="64" ht="16.8" customHeight="1" spans="1:92">
      <c r="A64" s="612" t="s">
        <v>856</v>
      </c>
      <c r="B64" s="612"/>
      <c r="C64" s="518"/>
      <c r="D64" s="518"/>
      <c r="E64" s="518"/>
      <c r="F64" s="657">
        <v>407819</v>
      </c>
      <c r="G64" s="657"/>
      <c r="H64" s="657"/>
      <c r="I64" s="519" t="s">
        <v>100</v>
      </c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26" t="s">
        <v>101</v>
      </c>
      <c r="AC64" s="526"/>
      <c r="AD64" s="658">
        <v>81.4</v>
      </c>
      <c r="AE64" s="658"/>
      <c r="AF64" s="658"/>
      <c r="AG64" s="526" t="s">
        <v>937</v>
      </c>
      <c r="AH64" s="526"/>
      <c r="AI64" s="659" t="s">
        <v>938</v>
      </c>
      <c r="AJ64" s="659"/>
      <c r="AK64" s="659"/>
      <c r="AL64" s="659"/>
      <c r="AM64" s="659"/>
      <c r="AN64" s="659"/>
      <c r="AO64" s="659"/>
      <c r="AP64" s="659"/>
      <c r="AQ64" s="659"/>
      <c r="AR64" s="659"/>
      <c r="AS64" s="659"/>
      <c r="AT64" s="659"/>
      <c r="AU64" s="659"/>
      <c r="AV64" s="659"/>
      <c r="AW64" s="658">
        <v>0.09</v>
      </c>
      <c r="AX64" s="658"/>
      <c r="AY64" s="658"/>
      <c r="AZ64" s="658">
        <v>1</v>
      </c>
      <c r="BA64" s="658"/>
      <c r="BB64" s="658"/>
      <c r="BC64" s="658">
        <v>7.326</v>
      </c>
      <c r="BD64" s="658"/>
      <c r="BE64" s="658"/>
      <c r="BF64" s="658">
        <v>182.49</v>
      </c>
      <c r="BG64" s="658"/>
      <c r="BH64" s="658"/>
      <c r="BI64" s="567">
        <v>0.0401446654611212</v>
      </c>
      <c r="BJ64" s="567"/>
      <c r="BK64" s="567"/>
      <c r="BL64" s="567"/>
      <c r="BM64" s="660">
        <v>0.0100361663652803</v>
      </c>
      <c r="BN64" s="660"/>
      <c r="BO64" s="660"/>
      <c r="BP64" s="660"/>
      <c r="BQ64" s="568">
        <v>0.25</v>
      </c>
      <c r="BR64" s="568"/>
      <c r="BS64" s="568"/>
      <c r="BT64" s="660">
        <v>0.0301084990958409</v>
      </c>
      <c r="BU64" s="660"/>
      <c r="BV64" s="660"/>
      <c r="BW64" s="660"/>
      <c r="BX64" s="568">
        <v>0.75</v>
      </c>
      <c r="BY64" s="568"/>
      <c r="BZ64" s="568"/>
      <c r="CA64" s="660" t="s">
        <v>932</v>
      </c>
      <c r="CB64" s="660"/>
      <c r="CC64" s="660"/>
      <c r="CD64" s="660"/>
      <c r="CE64" s="568" t="s">
        <v>932</v>
      </c>
      <c r="CF64" s="568"/>
      <c r="CG64" s="568"/>
      <c r="CH64" s="660" t="s">
        <v>932</v>
      </c>
      <c r="CI64" s="660"/>
      <c r="CJ64" s="660"/>
      <c r="CK64" s="660"/>
      <c r="CL64" s="568" t="s">
        <v>932</v>
      </c>
      <c r="CM64" s="568"/>
      <c r="CN64" s="568"/>
    </row>
    <row r="65" customHeight="1" spans="1:92">
      <c r="A65" s="612"/>
      <c r="B65" s="612"/>
      <c r="C65" s="518"/>
      <c r="D65" s="518"/>
      <c r="E65" s="518"/>
      <c r="F65" s="657"/>
      <c r="G65" s="657"/>
      <c r="H65" s="657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26"/>
      <c r="AC65" s="526"/>
      <c r="AD65" s="658"/>
      <c r="AE65" s="658"/>
      <c r="AF65" s="658"/>
      <c r="AG65" s="526" t="s">
        <v>939</v>
      </c>
      <c r="AH65" s="526"/>
      <c r="AI65" s="659" t="s">
        <v>940</v>
      </c>
      <c r="AJ65" s="659"/>
      <c r="AK65" s="659"/>
      <c r="AL65" s="659"/>
      <c r="AM65" s="659"/>
      <c r="AN65" s="659"/>
      <c r="AO65" s="659"/>
      <c r="AP65" s="659"/>
      <c r="AQ65" s="659"/>
      <c r="AR65" s="659"/>
      <c r="AS65" s="659"/>
      <c r="AT65" s="659"/>
      <c r="AU65" s="659"/>
      <c r="AV65" s="659"/>
      <c r="AW65" s="658">
        <v>0.09</v>
      </c>
      <c r="AX65" s="658"/>
      <c r="AY65" s="658"/>
      <c r="AZ65" s="658"/>
      <c r="BA65" s="658"/>
      <c r="BB65" s="658"/>
      <c r="BC65" s="658">
        <v>7.326</v>
      </c>
      <c r="BD65" s="658"/>
      <c r="BE65" s="658"/>
      <c r="BF65" s="658">
        <v>182.49</v>
      </c>
      <c r="BG65" s="658"/>
      <c r="BH65" s="658"/>
      <c r="BI65" s="567">
        <v>0.0401446654611212</v>
      </c>
      <c r="BJ65" s="567"/>
      <c r="BK65" s="567"/>
      <c r="BL65" s="567"/>
      <c r="BM65" s="660">
        <v>0.0100361663652803</v>
      </c>
      <c r="BN65" s="660"/>
      <c r="BO65" s="660"/>
      <c r="BP65" s="660"/>
      <c r="BQ65" s="568">
        <v>0.25</v>
      </c>
      <c r="BR65" s="568"/>
      <c r="BS65" s="568"/>
      <c r="BT65" s="660">
        <v>0.0301084990958409</v>
      </c>
      <c r="BU65" s="660"/>
      <c r="BV65" s="660"/>
      <c r="BW65" s="660"/>
      <c r="BX65" s="568">
        <v>0.75</v>
      </c>
      <c r="BY65" s="568"/>
      <c r="BZ65" s="568"/>
      <c r="CA65" s="660" t="s">
        <v>932</v>
      </c>
      <c r="CB65" s="660"/>
      <c r="CC65" s="660"/>
      <c r="CD65" s="660"/>
      <c r="CE65" s="568" t="s">
        <v>932</v>
      </c>
      <c r="CF65" s="568"/>
      <c r="CG65" s="568"/>
      <c r="CH65" s="660" t="s">
        <v>932</v>
      </c>
      <c r="CI65" s="660"/>
      <c r="CJ65" s="660"/>
      <c r="CK65" s="660"/>
      <c r="CL65" s="568" t="s">
        <v>932</v>
      </c>
      <c r="CM65" s="568"/>
      <c r="CN65" s="568"/>
    </row>
    <row r="66" hidden="1" customHeight="1" spans="1:92">
      <c r="A66" s="612"/>
      <c r="B66" s="612"/>
      <c r="C66" s="518"/>
      <c r="D66" s="518"/>
      <c r="E66" s="518"/>
      <c r="F66" s="657"/>
      <c r="G66" s="657"/>
      <c r="H66" s="657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26"/>
      <c r="AC66" s="526"/>
      <c r="AD66" s="658"/>
      <c r="AE66" s="658"/>
      <c r="AF66" s="658"/>
      <c r="AG66" s="526">
        <v>0</v>
      </c>
      <c r="AH66" s="526"/>
      <c r="AI66" s="659" t="e">
        <v>#N/A</v>
      </c>
      <c r="AJ66" s="659"/>
      <c r="AK66" s="659"/>
      <c r="AL66" s="659"/>
      <c r="AM66" s="659"/>
      <c r="AN66" s="659"/>
      <c r="AO66" s="659"/>
      <c r="AP66" s="659"/>
      <c r="AQ66" s="659"/>
      <c r="AR66" s="659"/>
      <c r="AS66" s="659"/>
      <c r="AT66" s="659"/>
      <c r="AU66" s="659"/>
      <c r="AV66" s="659"/>
      <c r="AW66" s="658">
        <v>0</v>
      </c>
      <c r="AX66" s="658"/>
      <c r="AY66" s="658"/>
      <c r="AZ66" s="658"/>
      <c r="BA66" s="658"/>
      <c r="BB66" s="658"/>
      <c r="BC66" s="658">
        <v>0</v>
      </c>
      <c r="BD66" s="658"/>
      <c r="BE66" s="658"/>
      <c r="BF66" s="658">
        <v>182.49</v>
      </c>
      <c r="BG66" s="658"/>
      <c r="BH66" s="658"/>
      <c r="BI66" s="567">
        <v>0</v>
      </c>
      <c r="BJ66" s="567"/>
      <c r="BK66" s="567"/>
      <c r="BL66" s="567"/>
      <c r="BM66" s="660" t="s">
        <v>932</v>
      </c>
      <c r="BN66" s="660"/>
      <c r="BO66" s="660"/>
      <c r="BP66" s="660"/>
      <c r="BQ66" s="568">
        <v>0.25</v>
      </c>
      <c r="BR66" s="568"/>
      <c r="BS66" s="568"/>
      <c r="BT66" s="660" t="s">
        <v>932</v>
      </c>
      <c r="BU66" s="660"/>
      <c r="BV66" s="660"/>
      <c r="BW66" s="660"/>
      <c r="BX66" s="568">
        <v>0.75</v>
      </c>
      <c r="BY66" s="568"/>
      <c r="BZ66" s="568"/>
      <c r="CA66" s="660" t="s">
        <v>932</v>
      </c>
      <c r="CB66" s="660"/>
      <c r="CC66" s="660"/>
      <c r="CD66" s="660"/>
      <c r="CE66" s="568" t="s">
        <v>932</v>
      </c>
      <c r="CF66" s="568"/>
      <c r="CG66" s="568"/>
      <c r="CH66" s="660" t="s">
        <v>932</v>
      </c>
      <c r="CI66" s="660"/>
      <c r="CJ66" s="660"/>
      <c r="CK66" s="660"/>
      <c r="CL66" s="568" t="s">
        <v>932</v>
      </c>
      <c r="CM66" s="568"/>
      <c r="CN66" s="568"/>
    </row>
    <row r="67" hidden="1" customHeight="1" spans="1:92">
      <c r="A67" s="612"/>
      <c r="B67" s="612"/>
      <c r="C67" s="518"/>
      <c r="D67" s="518"/>
      <c r="E67" s="518"/>
      <c r="F67" s="657"/>
      <c r="G67" s="657"/>
      <c r="H67" s="657"/>
      <c r="I67" s="519"/>
      <c r="J67" s="519"/>
      <c r="K67" s="519"/>
      <c r="L67" s="519"/>
      <c r="M67" s="519"/>
      <c r="N67" s="519"/>
      <c r="O67" s="519"/>
      <c r="P67" s="519"/>
      <c r="Q67" s="519"/>
      <c r="R67" s="519"/>
      <c r="S67" s="519"/>
      <c r="T67" s="519"/>
      <c r="U67" s="519"/>
      <c r="V67" s="519"/>
      <c r="W67" s="519"/>
      <c r="X67" s="519"/>
      <c r="Y67" s="519"/>
      <c r="Z67" s="519"/>
      <c r="AA67" s="519"/>
      <c r="AB67" s="526"/>
      <c r="AC67" s="526"/>
      <c r="AD67" s="658"/>
      <c r="AE67" s="658"/>
      <c r="AF67" s="658"/>
      <c r="AG67" s="526">
        <v>0</v>
      </c>
      <c r="AH67" s="526"/>
      <c r="AI67" s="659" t="e">
        <v>#N/A</v>
      </c>
      <c r="AJ67" s="659"/>
      <c r="AK67" s="659"/>
      <c r="AL67" s="659"/>
      <c r="AM67" s="659"/>
      <c r="AN67" s="659"/>
      <c r="AO67" s="659"/>
      <c r="AP67" s="659"/>
      <c r="AQ67" s="659"/>
      <c r="AR67" s="659"/>
      <c r="AS67" s="659"/>
      <c r="AT67" s="659"/>
      <c r="AU67" s="659"/>
      <c r="AV67" s="659"/>
      <c r="AW67" s="658">
        <v>0</v>
      </c>
      <c r="AX67" s="658"/>
      <c r="AY67" s="658"/>
      <c r="AZ67" s="658"/>
      <c r="BA67" s="658"/>
      <c r="BB67" s="658"/>
      <c r="BC67" s="658">
        <v>0</v>
      </c>
      <c r="BD67" s="658"/>
      <c r="BE67" s="658"/>
      <c r="BF67" s="658">
        <v>182.49</v>
      </c>
      <c r="BG67" s="658"/>
      <c r="BH67" s="658"/>
      <c r="BI67" s="567">
        <v>0</v>
      </c>
      <c r="BJ67" s="567"/>
      <c r="BK67" s="567"/>
      <c r="BL67" s="567"/>
      <c r="BM67" s="660" t="s">
        <v>932</v>
      </c>
      <c r="BN67" s="660"/>
      <c r="BO67" s="660"/>
      <c r="BP67" s="660"/>
      <c r="BQ67" s="568">
        <v>0.25</v>
      </c>
      <c r="BR67" s="568"/>
      <c r="BS67" s="568"/>
      <c r="BT67" s="660" t="s">
        <v>932</v>
      </c>
      <c r="BU67" s="660"/>
      <c r="BV67" s="660"/>
      <c r="BW67" s="660"/>
      <c r="BX67" s="568">
        <v>0.75</v>
      </c>
      <c r="BY67" s="568"/>
      <c r="BZ67" s="568"/>
      <c r="CA67" s="660" t="s">
        <v>932</v>
      </c>
      <c r="CB67" s="660"/>
      <c r="CC67" s="660"/>
      <c r="CD67" s="660"/>
      <c r="CE67" s="568" t="s">
        <v>932</v>
      </c>
      <c r="CF67" s="568"/>
      <c r="CG67" s="568"/>
      <c r="CH67" s="660" t="s">
        <v>932</v>
      </c>
      <c r="CI67" s="660"/>
      <c r="CJ67" s="660"/>
      <c r="CK67" s="660"/>
      <c r="CL67" s="568" t="s">
        <v>932</v>
      </c>
      <c r="CM67" s="568"/>
      <c r="CN67" s="568"/>
    </row>
    <row r="68" hidden="1" customHeight="1" spans="1:92">
      <c r="A68" s="612"/>
      <c r="B68" s="612"/>
      <c r="C68" s="518"/>
      <c r="D68" s="518"/>
      <c r="E68" s="518"/>
      <c r="F68" s="657"/>
      <c r="G68" s="657"/>
      <c r="H68" s="657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26"/>
      <c r="AC68" s="526"/>
      <c r="AD68" s="658"/>
      <c r="AE68" s="658"/>
      <c r="AF68" s="658"/>
      <c r="AG68" s="526">
        <v>0</v>
      </c>
      <c r="AH68" s="526"/>
      <c r="AI68" s="659" t="e">
        <v>#N/A</v>
      </c>
      <c r="AJ68" s="659"/>
      <c r="AK68" s="659"/>
      <c r="AL68" s="659"/>
      <c r="AM68" s="659"/>
      <c r="AN68" s="659"/>
      <c r="AO68" s="659"/>
      <c r="AP68" s="659"/>
      <c r="AQ68" s="659"/>
      <c r="AR68" s="659"/>
      <c r="AS68" s="659"/>
      <c r="AT68" s="659"/>
      <c r="AU68" s="659"/>
      <c r="AV68" s="659"/>
      <c r="AW68" s="658">
        <v>0</v>
      </c>
      <c r="AX68" s="658"/>
      <c r="AY68" s="658"/>
      <c r="AZ68" s="658"/>
      <c r="BA68" s="658"/>
      <c r="BB68" s="658"/>
      <c r="BC68" s="658">
        <v>0</v>
      </c>
      <c r="BD68" s="658"/>
      <c r="BE68" s="658"/>
      <c r="BF68" s="658">
        <v>182.49</v>
      </c>
      <c r="BG68" s="658"/>
      <c r="BH68" s="658"/>
      <c r="BI68" s="567">
        <v>0</v>
      </c>
      <c r="BJ68" s="567"/>
      <c r="BK68" s="567"/>
      <c r="BL68" s="567"/>
      <c r="BM68" s="660" t="s">
        <v>932</v>
      </c>
      <c r="BN68" s="660"/>
      <c r="BO68" s="660"/>
      <c r="BP68" s="660"/>
      <c r="BQ68" s="568">
        <v>0.25</v>
      </c>
      <c r="BR68" s="568"/>
      <c r="BS68" s="568"/>
      <c r="BT68" s="660" t="s">
        <v>932</v>
      </c>
      <c r="BU68" s="660"/>
      <c r="BV68" s="660"/>
      <c r="BW68" s="660"/>
      <c r="BX68" s="568">
        <v>0.75</v>
      </c>
      <c r="BY68" s="568"/>
      <c r="BZ68" s="568"/>
      <c r="CA68" s="660" t="s">
        <v>932</v>
      </c>
      <c r="CB68" s="660"/>
      <c r="CC68" s="660"/>
      <c r="CD68" s="660"/>
      <c r="CE68" s="568" t="s">
        <v>932</v>
      </c>
      <c r="CF68" s="568"/>
      <c r="CG68" s="568"/>
      <c r="CH68" s="660" t="s">
        <v>932</v>
      </c>
      <c r="CI68" s="660"/>
      <c r="CJ68" s="660"/>
      <c r="CK68" s="660"/>
      <c r="CL68" s="568" t="s">
        <v>932</v>
      </c>
      <c r="CM68" s="568"/>
      <c r="CN68" s="568"/>
    </row>
    <row r="69" hidden="1" customHeight="1" spans="1:92">
      <c r="A69" s="612"/>
      <c r="B69" s="612"/>
      <c r="C69" s="518"/>
      <c r="D69" s="518"/>
      <c r="E69" s="518"/>
      <c r="F69" s="657"/>
      <c r="G69" s="657"/>
      <c r="H69" s="657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26"/>
      <c r="AC69" s="526"/>
      <c r="AD69" s="658"/>
      <c r="AE69" s="658"/>
      <c r="AF69" s="658"/>
      <c r="AG69" s="526">
        <v>0</v>
      </c>
      <c r="AH69" s="526"/>
      <c r="AI69" s="659" t="e">
        <v>#N/A</v>
      </c>
      <c r="AJ69" s="659"/>
      <c r="AK69" s="659"/>
      <c r="AL69" s="659"/>
      <c r="AM69" s="659"/>
      <c r="AN69" s="659"/>
      <c r="AO69" s="659"/>
      <c r="AP69" s="659"/>
      <c r="AQ69" s="659"/>
      <c r="AR69" s="659"/>
      <c r="AS69" s="659"/>
      <c r="AT69" s="659"/>
      <c r="AU69" s="659"/>
      <c r="AV69" s="659"/>
      <c r="AW69" s="658">
        <v>0</v>
      </c>
      <c r="AX69" s="658"/>
      <c r="AY69" s="658"/>
      <c r="AZ69" s="658"/>
      <c r="BA69" s="658"/>
      <c r="BB69" s="658"/>
      <c r="BC69" s="658">
        <v>0</v>
      </c>
      <c r="BD69" s="658"/>
      <c r="BE69" s="658"/>
      <c r="BF69" s="658">
        <v>182.49</v>
      </c>
      <c r="BG69" s="658"/>
      <c r="BH69" s="658"/>
      <c r="BI69" s="567">
        <v>0</v>
      </c>
      <c r="BJ69" s="567"/>
      <c r="BK69" s="567"/>
      <c r="BL69" s="567"/>
      <c r="BM69" s="660" t="s">
        <v>932</v>
      </c>
      <c r="BN69" s="660"/>
      <c r="BO69" s="660"/>
      <c r="BP69" s="660"/>
      <c r="BQ69" s="568">
        <v>0.25</v>
      </c>
      <c r="BR69" s="568"/>
      <c r="BS69" s="568"/>
      <c r="BT69" s="660" t="s">
        <v>932</v>
      </c>
      <c r="BU69" s="660"/>
      <c r="BV69" s="660"/>
      <c r="BW69" s="660"/>
      <c r="BX69" s="568">
        <v>0.75</v>
      </c>
      <c r="BY69" s="568"/>
      <c r="BZ69" s="568"/>
      <c r="CA69" s="660" t="s">
        <v>932</v>
      </c>
      <c r="CB69" s="660"/>
      <c r="CC69" s="660"/>
      <c r="CD69" s="660"/>
      <c r="CE69" s="568" t="s">
        <v>932</v>
      </c>
      <c r="CF69" s="568"/>
      <c r="CG69" s="568"/>
      <c r="CH69" s="660" t="s">
        <v>932</v>
      </c>
      <c r="CI69" s="660"/>
      <c r="CJ69" s="660"/>
      <c r="CK69" s="660"/>
      <c r="CL69" s="568" t="s">
        <v>932</v>
      </c>
      <c r="CM69" s="568"/>
      <c r="CN69" s="568"/>
    </row>
    <row r="70" hidden="1" customHeight="1" spans="1:92">
      <c r="A70" s="612"/>
      <c r="B70" s="612"/>
      <c r="C70" s="518"/>
      <c r="D70" s="518"/>
      <c r="E70" s="518"/>
      <c r="F70" s="657"/>
      <c r="G70" s="657"/>
      <c r="H70" s="657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26"/>
      <c r="AC70" s="526"/>
      <c r="AD70" s="658"/>
      <c r="AE70" s="658"/>
      <c r="AF70" s="658"/>
      <c r="AG70" s="526">
        <v>0</v>
      </c>
      <c r="AH70" s="526"/>
      <c r="AI70" s="659" t="e">
        <v>#N/A</v>
      </c>
      <c r="AJ70" s="659"/>
      <c r="AK70" s="659"/>
      <c r="AL70" s="659"/>
      <c r="AM70" s="659"/>
      <c r="AN70" s="659"/>
      <c r="AO70" s="659"/>
      <c r="AP70" s="659"/>
      <c r="AQ70" s="659"/>
      <c r="AR70" s="659"/>
      <c r="AS70" s="659"/>
      <c r="AT70" s="659"/>
      <c r="AU70" s="659"/>
      <c r="AV70" s="659"/>
      <c r="AW70" s="658">
        <v>0</v>
      </c>
      <c r="AX70" s="658"/>
      <c r="AY70" s="658"/>
      <c r="AZ70" s="658"/>
      <c r="BA70" s="658"/>
      <c r="BB70" s="658"/>
      <c r="BC70" s="658">
        <v>0</v>
      </c>
      <c r="BD70" s="658"/>
      <c r="BE70" s="658"/>
      <c r="BF70" s="658">
        <v>182.49</v>
      </c>
      <c r="BG70" s="658"/>
      <c r="BH70" s="658"/>
      <c r="BI70" s="567">
        <v>0</v>
      </c>
      <c r="BJ70" s="567"/>
      <c r="BK70" s="567"/>
      <c r="BL70" s="567"/>
      <c r="BM70" s="660" t="s">
        <v>932</v>
      </c>
      <c r="BN70" s="660"/>
      <c r="BO70" s="660"/>
      <c r="BP70" s="660"/>
      <c r="BQ70" s="568">
        <v>0.25</v>
      </c>
      <c r="BR70" s="568"/>
      <c r="BS70" s="568"/>
      <c r="BT70" s="660" t="s">
        <v>932</v>
      </c>
      <c r="BU70" s="660"/>
      <c r="BV70" s="660"/>
      <c r="BW70" s="660"/>
      <c r="BX70" s="568">
        <v>0.75</v>
      </c>
      <c r="BY70" s="568"/>
      <c r="BZ70" s="568"/>
      <c r="CA70" s="660" t="s">
        <v>932</v>
      </c>
      <c r="CB70" s="660"/>
      <c r="CC70" s="660"/>
      <c r="CD70" s="660"/>
      <c r="CE70" s="568" t="s">
        <v>932</v>
      </c>
      <c r="CF70" s="568"/>
      <c r="CG70" s="568"/>
      <c r="CH70" s="660" t="s">
        <v>932</v>
      </c>
      <c r="CI70" s="660"/>
      <c r="CJ70" s="660"/>
      <c r="CK70" s="660"/>
      <c r="CL70" s="568" t="s">
        <v>932</v>
      </c>
      <c r="CM70" s="568"/>
      <c r="CN70" s="568"/>
    </row>
    <row r="71" hidden="1" customHeight="1" spans="1:92">
      <c r="A71" s="612"/>
      <c r="B71" s="612"/>
      <c r="C71" s="518"/>
      <c r="D71" s="518"/>
      <c r="E71" s="518"/>
      <c r="F71" s="657"/>
      <c r="G71" s="657"/>
      <c r="H71" s="657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26"/>
      <c r="AC71" s="526"/>
      <c r="AD71" s="658"/>
      <c r="AE71" s="658"/>
      <c r="AF71" s="658"/>
      <c r="AG71" s="526">
        <v>0</v>
      </c>
      <c r="AH71" s="526"/>
      <c r="AI71" s="659" t="e">
        <v>#N/A</v>
      </c>
      <c r="AJ71" s="659"/>
      <c r="AK71" s="659"/>
      <c r="AL71" s="659"/>
      <c r="AM71" s="659"/>
      <c r="AN71" s="659"/>
      <c r="AO71" s="659"/>
      <c r="AP71" s="659"/>
      <c r="AQ71" s="659"/>
      <c r="AR71" s="659"/>
      <c r="AS71" s="659"/>
      <c r="AT71" s="659"/>
      <c r="AU71" s="659"/>
      <c r="AV71" s="659"/>
      <c r="AW71" s="658">
        <v>0</v>
      </c>
      <c r="AX71" s="658"/>
      <c r="AY71" s="658"/>
      <c r="AZ71" s="658"/>
      <c r="BA71" s="658"/>
      <c r="BB71" s="658"/>
      <c r="BC71" s="658">
        <v>0</v>
      </c>
      <c r="BD71" s="658"/>
      <c r="BE71" s="658"/>
      <c r="BF71" s="658">
        <v>182.49</v>
      </c>
      <c r="BG71" s="658"/>
      <c r="BH71" s="658"/>
      <c r="BI71" s="567">
        <v>0</v>
      </c>
      <c r="BJ71" s="567"/>
      <c r="BK71" s="567"/>
      <c r="BL71" s="567"/>
      <c r="BM71" s="660" t="s">
        <v>932</v>
      </c>
      <c r="BN71" s="660"/>
      <c r="BO71" s="660"/>
      <c r="BP71" s="660"/>
      <c r="BQ71" s="568">
        <v>0.25</v>
      </c>
      <c r="BR71" s="568"/>
      <c r="BS71" s="568"/>
      <c r="BT71" s="660" t="s">
        <v>932</v>
      </c>
      <c r="BU71" s="660"/>
      <c r="BV71" s="660"/>
      <c r="BW71" s="660"/>
      <c r="BX71" s="568">
        <v>0.75</v>
      </c>
      <c r="BY71" s="568"/>
      <c r="BZ71" s="568"/>
      <c r="CA71" s="660" t="s">
        <v>932</v>
      </c>
      <c r="CB71" s="660"/>
      <c r="CC71" s="660"/>
      <c r="CD71" s="660"/>
      <c r="CE71" s="568" t="s">
        <v>932</v>
      </c>
      <c r="CF71" s="568"/>
      <c r="CG71" s="568"/>
      <c r="CH71" s="660" t="s">
        <v>932</v>
      </c>
      <c r="CI71" s="660"/>
      <c r="CJ71" s="660"/>
      <c r="CK71" s="660"/>
      <c r="CL71" s="568" t="s">
        <v>932</v>
      </c>
      <c r="CM71" s="568"/>
      <c r="CN71" s="568"/>
    </row>
    <row r="72" customHeight="1" spans="1:92">
      <c r="A72" s="612" t="s">
        <v>858</v>
      </c>
      <c r="B72" s="612"/>
      <c r="C72" s="518"/>
      <c r="D72" s="518"/>
      <c r="E72" s="518"/>
      <c r="F72" s="657">
        <v>2306113</v>
      </c>
      <c r="G72" s="657"/>
      <c r="H72" s="657"/>
      <c r="I72" s="519" t="s">
        <v>102</v>
      </c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26" t="s">
        <v>9</v>
      </c>
      <c r="AC72" s="526"/>
      <c r="AD72" s="658">
        <v>120</v>
      </c>
      <c r="AE72" s="658"/>
      <c r="AF72" s="658"/>
      <c r="AG72" s="526" t="s">
        <v>935</v>
      </c>
      <c r="AH72" s="526"/>
      <c r="AI72" s="659" t="s">
        <v>936</v>
      </c>
      <c r="AJ72" s="659"/>
      <c r="AK72" s="659"/>
      <c r="AL72" s="659"/>
      <c r="AM72" s="659"/>
      <c r="AN72" s="659"/>
      <c r="AO72" s="659"/>
      <c r="AP72" s="659"/>
      <c r="AQ72" s="659"/>
      <c r="AR72" s="659"/>
      <c r="AS72" s="659"/>
      <c r="AT72" s="659"/>
      <c r="AU72" s="659"/>
      <c r="AV72" s="659"/>
      <c r="AW72" s="658">
        <v>2</v>
      </c>
      <c r="AX72" s="658"/>
      <c r="AY72" s="658"/>
      <c r="AZ72" s="658">
        <v>8.3</v>
      </c>
      <c r="BA72" s="658"/>
      <c r="BB72" s="658"/>
      <c r="BC72" s="658">
        <v>28.9156626506024</v>
      </c>
      <c r="BD72" s="658"/>
      <c r="BE72" s="658"/>
      <c r="BF72" s="658">
        <v>182.49</v>
      </c>
      <c r="BG72" s="658"/>
      <c r="BH72" s="658"/>
      <c r="BI72" s="567">
        <v>0.158450669355046</v>
      </c>
      <c r="BJ72" s="567"/>
      <c r="BK72" s="567"/>
      <c r="BL72" s="567"/>
      <c r="BM72" s="660">
        <v>0.0396126673387616</v>
      </c>
      <c r="BN72" s="660"/>
      <c r="BO72" s="660"/>
      <c r="BP72" s="660"/>
      <c r="BQ72" s="568">
        <v>0.25</v>
      </c>
      <c r="BR72" s="568"/>
      <c r="BS72" s="568"/>
      <c r="BT72" s="660">
        <v>0.118838002016285</v>
      </c>
      <c r="BU72" s="660"/>
      <c r="BV72" s="660"/>
      <c r="BW72" s="660"/>
      <c r="BX72" s="568">
        <v>0.75</v>
      </c>
      <c r="BY72" s="568"/>
      <c r="BZ72" s="568"/>
      <c r="CA72" s="660" t="s">
        <v>932</v>
      </c>
      <c r="CB72" s="660"/>
      <c r="CC72" s="660"/>
      <c r="CD72" s="660"/>
      <c r="CE72" s="568" t="s">
        <v>932</v>
      </c>
      <c r="CF72" s="568"/>
      <c r="CG72" s="568"/>
      <c r="CH72" s="660" t="s">
        <v>932</v>
      </c>
      <c r="CI72" s="660"/>
      <c r="CJ72" s="660"/>
      <c r="CK72" s="660"/>
      <c r="CL72" s="568" t="s">
        <v>932</v>
      </c>
      <c r="CM72" s="568"/>
      <c r="CN72" s="568"/>
    </row>
    <row r="73" hidden="1" customHeight="1" spans="1:92">
      <c r="A73" s="612"/>
      <c r="B73" s="612"/>
      <c r="C73" s="518"/>
      <c r="D73" s="518"/>
      <c r="E73" s="518"/>
      <c r="F73" s="657"/>
      <c r="G73" s="657"/>
      <c r="H73" s="657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26"/>
      <c r="AC73" s="526"/>
      <c r="AD73" s="658"/>
      <c r="AE73" s="658"/>
      <c r="AF73" s="658"/>
      <c r="AG73" s="526">
        <v>0</v>
      </c>
      <c r="AH73" s="526"/>
      <c r="AI73" s="659" t="e">
        <v>#N/A</v>
      </c>
      <c r="AJ73" s="659"/>
      <c r="AK73" s="659"/>
      <c r="AL73" s="659"/>
      <c r="AM73" s="659"/>
      <c r="AN73" s="659"/>
      <c r="AO73" s="659"/>
      <c r="AP73" s="659"/>
      <c r="AQ73" s="659"/>
      <c r="AR73" s="659"/>
      <c r="AS73" s="659"/>
      <c r="AT73" s="659"/>
      <c r="AU73" s="659"/>
      <c r="AV73" s="659"/>
      <c r="AW73" s="658">
        <v>0</v>
      </c>
      <c r="AX73" s="658"/>
      <c r="AY73" s="658"/>
      <c r="AZ73" s="658"/>
      <c r="BA73" s="658"/>
      <c r="BB73" s="658"/>
      <c r="BC73" s="658">
        <v>0</v>
      </c>
      <c r="BD73" s="658"/>
      <c r="BE73" s="658"/>
      <c r="BF73" s="658">
        <v>182.49</v>
      </c>
      <c r="BG73" s="658"/>
      <c r="BH73" s="658"/>
      <c r="BI73" s="567">
        <v>0</v>
      </c>
      <c r="BJ73" s="567"/>
      <c r="BK73" s="567"/>
      <c r="BL73" s="567"/>
      <c r="BM73" s="660" t="s">
        <v>932</v>
      </c>
      <c r="BN73" s="660"/>
      <c r="BO73" s="660"/>
      <c r="BP73" s="660"/>
      <c r="BQ73" s="568">
        <v>0.25</v>
      </c>
      <c r="BR73" s="568"/>
      <c r="BS73" s="568"/>
      <c r="BT73" s="660" t="s">
        <v>932</v>
      </c>
      <c r="BU73" s="660"/>
      <c r="BV73" s="660"/>
      <c r="BW73" s="660"/>
      <c r="BX73" s="568">
        <v>0.75</v>
      </c>
      <c r="BY73" s="568"/>
      <c r="BZ73" s="568"/>
      <c r="CA73" s="660" t="s">
        <v>932</v>
      </c>
      <c r="CB73" s="660"/>
      <c r="CC73" s="660"/>
      <c r="CD73" s="660"/>
      <c r="CE73" s="568" t="s">
        <v>932</v>
      </c>
      <c r="CF73" s="568"/>
      <c r="CG73" s="568"/>
      <c r="CH73" s="660" t="s">
        <v>932</v>
      </c>
      <c r="CI73" s="660"/>
      <c r="CJ73" s="660"/>
      <c r="CK73" s="660"/>
      <c r="CL73" s="568" t="s">
        <v>932</v>
      </c>
      <c r="CM73" s="568"/>
      <c r="CN73" s="568"/>
    </row>
    <row r="74" hidden="1" customHeight="1" spans="1:92">
      <c r="A74" s="612"/>
      <c r="B74" s="612"/>
      <c r="C74" s="518"/>
      <c r="D74" s="518"/>
      <c r="E74" s="518"/>
      <c r="F74" s="657"/>
      <c r="G74" s="657"/>
      <c r="H74" s="657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26"/>
      <c r="AC74" s="526"/>
      <c r="AD74" s="658"/>
      <c r="AE74" s="658"/>
      <c r="AF74" s="658"/>
      <c r="AG74" s="526">
        <v>0</v>
      </c>
      <c r="AH74" s="526"/>
      <c r="AI74" s="659" t="e">
        <v>#N/A</v>
      </c>
      <c r="AJ74" s="659"/>
      <c r="AK74" s="659"/>
      <c r="AL74" s="659"/>
      <c r="AM74" s="659"/>
      <c r="AN74" s="659"/>
      <c r="AO74" s="659"/>
      <c r="AP74" s="659"/>
      <c r="AQ74" s="659"/>
      <c r="AR74" s="659"/>
      <c r="AS74" s="659"/>
      <c r="AT74" s="659"/>
      <c r="AU74" s="659"/>
      <c r="AV74" s="659"/>
      <c r="AW74" s="658">
        <v>0</v>
      </c>
      <c r="AX74" s="658"/>
      <c r="AY74" s="658"/>
      <c r="AZ74" s="658"/>
      <c r="BA74" s="658"/>
      <c r="BB74" s="658"/>
      <c r="BC74" s="658">
        <v>0</v>
      </c>
      <c r="BD74" s="658"/>
      <c r="BE74" s="658"/>
      <c r="BF74" s="658">
        <v>182.49</v>
      </c>
      <c r="BG74" s="658"/>
      <c r="BH74" s="658"/>
      <c r="BI74" s="567">
        <v>0</v>
      </c>
      <c r="BJ74" s="567"/>
      <c r="BK74" s="567"/>
      <c r="BL74" s="567"/>
      <c r="BM74" s="660" t="s">
        <v>932</v>
      </c>
      <c r="BN74" s="660"/>
      <c r="BO74" s="660"/>
      <c r="BP74" s="660"/>
      <c r="BQ74" s="568">
        <v>0.25</v>
      </c>
      <c r="BR74" s="568"/>
      <c r="BS74" s="568"/>
      <c r="BT74" s="660" t="s">
        <v>932</v>
      </c>
      <c r="BU74" s="660"/>
      <c r="BV74" s="660"/>
      <c r="BW74" s="660"/>
      <c r="BX74" s="568">
        <v>0.75</v>
      </c>
      <c r="BY74" s="568"/>
      <c r="BZ74" s="568"/>
      <c r="CA74" s="660" t="s">
        <v>932</v>
      </c>
      <c r="CB74" s="660"/>
      <c r="CC74" s="660"/>
      <c r="CD74" s="660"/>
      <c r="CE74" s="568" t="s">
        <v>932</v>
      </c>
      <c r="CF74" s="568"/>
      <c r="CG74" s="568"/>
      <c r="CH74" s="660" t="s">
        <v>932</v>
      </c>
      <c r="CI74" s="660"/>
      <c r="CJ74" s="660"/>
      <c r="CK74" s="660"/>
      <c r="CL74" s="568" t="s">
        <v>932</v>
      </c>
      <c r="CM74" s="568"/>
      <c r="CN74" s="568"/>
    </row>
    <row r="75" hidden="1" customHeight="1" spans="1:92">
      <c r="A75" s="612"/>
      <c r="B75" s="612"/>
      <c r="C75" s="518"/>
      <c r="D75" s="518"/>
      <c r="E75" s="518"/>
      <c r="F75" s="657"/>
      <c r="G75" s="657"/>
      <c r="H75" s="657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26"/>
      <c r="AC75" s="526"/>
      <c r="AD75" s="658"/>
      <c r="AE75" s="658"/>
      <c r="AF75" s="658"/>
      <c r="AG75" s="526">
        <v>0</v>
      </c>
      <c r="AH75" s="526"/>
      <c r="AI75" s="659" t="e">
        <v>#N/A</v>
      </c>
      <c r="AJ75" s="659"/>
      <c r="AK75" s="659"/>
      <c r="AL75" s="659"/>
      <c r="AM75" s="659"/>
      <c r="AN75" s="659"/>
      <c r="AO75" s="659"/>
      <c r="AP75" s="659"/>
      <c r="AQ75" s="659"/>
      <c r="AR75" s="659"/>
      <c r="AS75" s="659"/>
      <c r="AT75" s="659"/>
      <c r="AU75" s="659"/>
      <c r="AV75" s="659"/>
      <c r="AW75" s="658">
        <v>0</v>
      </c>
      <c r="AX75" s="658"/>
      <c r="AY75" s="658"/>
      <c r="AZ75" s="658"/>
      <c r="BA75" s="658"/>
      <c r="BB75" s="658"/>
      <c r="BC75" s="658">
        <v>0</v>
      </c>
      <c r="BD75" s="658"/>
      <c r="BE75" s="658"/>
      <c r="BF75" s="658">
        <v>182.49</v>
      </c>
      <c r="BG75" s="658"/>
      <c r="BH75" s="658"/>
      <c r="BI75" s="567">
        <v>0</v>
      </c>
      <c r="BJ75" s="567"/>
      <c r="BK75" s="567"/>
      <c r="BL75" s="567"/>
      <c r="BM75" s="660" t="s">
        <v>932</v>
      </c>
      <c r="BN75" s="660"/>
      <c r="BO75" s="660"/>
      <c r="BP75" s="660"/>
      <c r="BQ75" s="568">
        <v>0.25</v>
      </c>
      <c r="BR75" s="568"/>
      <c r="BS75" s="568"/>
      <c r="BT75" s="660" t="s">
        <v>932</v>
      </c>
      <c r="BU75" s="660"/>
      <c r="BV75" s="660"/>
      <c r="BW75" s="660"/>
      <c r="BX75" s="568">
        <v>0.75</v>
      </c>
      <c r="BY75" s="568"/>
      <c r="BZ75" s="568"/>
      <c r="CA75" s="660" t="s">
        <v>932</v>
      </c>
      <c r="CB75" s="660"/>
      <c r="CC75" s="660"/>
      <c r="CD75" s="660"/>
      <c r="CE75" s="568" t="s">
        <v>932</v>
      </c>
      <c r="CF75" s="568"/>
      <c r="CG75" s="568"/>
      <c r="CH75" s="660" t="s">
        <v>932</v>
      </c>
      <c r="CI75" s="660"/>
      <c r="CJ75" s="660"/>
      <c r="CK75" s="660"/>
      <c r="CL75" s="568" t="s">
        <v>932</v>
      </c>
      <c r="CM75" s="568"/>
      <c r="CN75" s="568"/>
    </row>
    <row r="76" hidden="1" customHeight="1" spans="1:92">
      <c r="A76" s="612"/>
      <c r="B76" s="612"/>
      <c r="C76" s="518"/>
      <c r="D76" s="518"/>
      <c r="E76" s="518"/>
      <c r="F76" s="657"/>
      <c r="G76" s="657"/>
      <c r="H76" s="657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26"/>
      <c r="AC76" s="526"/>
      <c r="AD76" s="658"/>
      <c r="AE76" s="658"/>
      <c r="AF76" s="658"/>
      <c r="AG76" s="526">
        <v>0</v>
      </c>
      <c r="AH76" s="526"/>
      <c r="AI76" s="659" t="e">
        <v>#N/A</v>
      </c>
      <c r="AJ76" s="659"/>
      <c r="AK76" s="659"/>
      <c r="AL76" s="659"/>
      <c r="AM76" s="659"/>
      <c r="AN76" s="659"/>
      <c r="AO76" s="659"/>
      <c r="AP76" s="659"/>
      <c r="AQ76" s="659"/>
      <c r="AR76" s="659"/>
      <c r="AS76" s="659"/>
      <c r="AT76" s="659"/>
      <c r="AU76" s="659"/>
      <c r="AV76" s="659"/>
      <c r="AW76" s="658">
        <v>0</v>
      </c>
      <c r="AX76" s="658"/>
      <c r="AY76" s="658"/>
      <c r="AZ76" s="658"/>
      <c r="BA76" s="658"/>
      <c r="BB76" s="658"/>
      <c r="BC76" s="658">
        <v>0</v>
      </c>
      <c r="BD76" s="658"/>
      <c r="BE76" s="658"/>
      <c r="BF76" s="658">
        <v>182.49</v>
      </c>
      <c r="BG76" s="658"/>
      <c r="BH76" s="658"/>
      <c r="BI76" s="567">
        <v>0</v>
      </c>
      <c r="BJ76" s="567"/>
      <c r="BK76" s="567"/>
      <c r="BL76" s="567"/>
      <c r="BM76" s="660" t="s">
        <v>932</v>
      </c>
      <c r="BN76" s="660"/>
      <c r="BO76" s="660"/>
      <c r="BP76" s="660"/>
      <c r="BQ76" s="568">
        <v>0.25</v>
      </c>
      <c r="BR76" s="568"/>
      <c r="BS76" s="568"/>
      <c r="BT76" s="660" t="s">
        <v>932</v>
      </c>
      <c r="BU76" s="660"/>
      <c r="BV76" s="660"/>
      <c r="BW76" s="660"/>
      <c r="BX76" s="568">
        <v>0.75</v>
      </c>
      <c r="BY76" s="568"/>
      <c r="BZ76" s="568"/>
      <c r="CA76" s="660" t="s">
        <v>932</v>
      </c>
      <c r="CB76" s="660"/>
      <c r="CC76" s="660"/>
      <c r="CD76" s="660"/>
      <c r="CE76" s="568" t="s">
        <v>932</v>
      </c>
      <c r="CF76" s="568"/>
      <c r="CG76" s="568"/>
      <c r="CH76" s="660" t="s">
        <v>932</v>
      </c>
      <c r="CI76" s="660"/>
      <c r="CJ76" s="660"/>
      <c r="CK76" s="660"/>
      <c r="CL76" s="568" t="s">
        <v>932</v>
      </c>
      <c r="CM76" s="568"/>
      <c r="CN76" s="568"/>
    </row>
    <row r="77" hidden="1" customHeight="1" spans="1:92">
      <c r="A77" s="612"/>
      <c r="B77" s="612"/>
      <c r="C77" s="518"/>
      <c r="D77" s="518"/>
      <c r="E77" s="518"/>
      <c r="F77" s="657"/>
      <c r="G77" s="657"/>
      <c r="H77" s="657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26"/>
      <c r="AC77" s="526"/>
      <c r="AD77" s="658"/>
      <c r="AE77" s="658"/>
      <c r="AF77" s="658"/>
      <c r="AG77" s="526">
        <v>0</v>
      </c>
      <c r="AH77" s="526"/>
      <c r="AI77" s="659" t="e">
        <v>#N/A</v>
      </c>
      <c r="AJ77" s="659"/>
      <c r="AK77" s="659"/>
      <c r="AL77" s="659"/>
      <c r="AM77" s="659"/>
      <c r="AN77" s="659"/>
      <c r="AO77" s="659"/>
      <c r="AP77" s="659"/>
      <c r="AQ77" s="659"/>
      <c r="AR77" s="659"/>
      <c r="AS77" s="659"/>
      <c r="AT77" s="659"/>
      <c r="AU77" s="659"/>
      <c r="AV77" s="659"/>
      <c r="AW77" s="658">
        <v>0</v>
      </c>
      <c r="AX77" s="658"/>
      <c r="AY77" s="658"/>
      <c r="AZ77" s="658"/>
      <c r="BA77" s="658"/>
      <c r="BB77" s="658"/>
      <c r="BC77" s="658">
        <v>0</v>
      </c>
      <c r="BD77" s="658"/>
      <c r="BE77" s="658"/>
      <c r="BF77" s="658">
        <v>182.49</v>
      </c>
      <c r="BG77" s="658"/>
      <c r="BH77" s="658"/>
      <c r="BI77" s="567">
        <v>0</v>
      </c>
      <c r="BJ77" s="567"/>
      <c r="BK77" s="567"/>
      <c r="BL77" s="567"/>
      <c r="BM77" s="660" t="s">
        <v>932</v>
      </c>
      <c r="BN77" s="660"/>
      <c r="BO77" s="660"/>
      <c r="BP77" s="660"/>
      <c r="BQ77" s="568">
        <v>0.25</v>
      </c>
      <c r="BR77" s="568"/>
      <c r="BS77" s="568"/>
      <c r="BT77" s="660" t="s">
        <v>932</v>
      </c>
      <c r="BU77" s="660"/>
      <c r="BV77" s="660"/>
      <c r="BW77" s="660"/>
      <c r="BX77" s="568">
        <v>0.75</v>
      </c>
      <c r="BY77" s="568"/>
      <c r="BZ77" s="568"/>
      <c r="CA77" s="660" t="s">
        <v>932</v>
      </c>
      <c r="CB77" s="660"/>
      <c r="CC77" s="660"/>
      <c r="CD77" s="660"/>
      <c r="CE77" s="568" t="s">
        <v>932</v>
      </c>
      <c r="CF77" s="568"/>
      <c r="CG77" s="568"/>
      <c r="CH77" s="660" t="s">
        <v>932</v>
      </c>
      <c r="CI77" s="660"/>
      <c r="CJ77" s="660"/>
      <c r="CK77" s="660"/>
      <c r="CL77" s="568" t="s">
        <v>932</v>
      </c>
      <c r="CM77" s="568"/>
      <c r="CN77" s="568"/>
    </row>
    <row r="78" hidden="1" customHeight="1" spans="1:92">
      <c r="A78" s="612"/>
      <c r="B78" s="612"/>
      <c r="C78" s="518"/>
      <c r="D78" s="518"/>
      <c r="E78" s="518"/>
      <c r="F78" s="657"/>
      <c r="G78" s="657"/>
      <c r="H78" s="657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26"/>
      <c r="AC78" s="526"/>
      <c r="AD78" s="658"/>
      <c r="AE78" s="658"/>
      <c r="AF78" s="658"/>
      <c r="AG78" s="526">
        <v>0</v>
      </c>
      <c r="AH78" s="526"/>
      <c r="AI78" s="659" t="e">
        <v>#N/A</v>
      </c>
      <c r="AJ78" s="659"/>
      <c r="AK78" s="659"/>
      <c r="AL78" s="659"/>
      <c r="AM78" s="659"/>
      <c r="AN78" s="659"/>
      <c r="AO78" s="659"/>
      <c r="AP78" s="659"/>
      <c r="AQ78" s="659"/>
      <c r="AR78" s="659"/>
      <c r="AS78" s="659"/>
      <c r="AT78" s="659"/>
      <c r="AU78" s="659"/>
      <c r="AV78" s="659"/>
      <c r="AW78" s="658">
        <v>0</v>
      </c>
      <c r="AX78" s="658"/>
      <c r="AY78" s="658"/>
      <c r="AZ78" s="658"/>
      <c r="BA78" s="658"/>
      <c r="BB78" s="658"/>
      <c r="BC78" s="658">
        <v>0</v>
      </c>
      <c r="BD78" s="658"/>
      <c r="BE78" s="658"/>
      <c r="BF78" s="658">
        <v>182.49</v>
      </c>
      <c r="BG78" s="658"/>
      <c r="BH78" s="658"/>
      <c r="BI78" s="567">
        <v>0</v>
      </c>
      <c r="BJ78" s="567"/>
      <c r="BK78" s="567"/>
      <c r="BL78" s="567"/>
      <c r="BM78" s="660" t="s">
        <v>932</v>
      </c>
      <c r="BN78" s="660"/>
      <c r="BO78" s="660"/>
      <c r="BP78" s="660"/>
      <c r="BQ78" s="568">
        <v>0.25</v>
      </c>
      <c r="BR78" s="568"/>
      <c r="BS78" s="568"/>
      <c r="BT78" s="660" t="s">
        <v>932</v>
      </c>
      <c r="BU78" s="660"/>
      <c r="BV78" s="660"/>
      <c r="BW78" s="660"/>
      <c r="BX78" s="568">
        <v>0.75</v>
      </c>
      <c r="BY78" s="568"/>
      <c r="BZ78" s="568"/>
      <c r="CA78" s="660" t="s">
        <v>932</v>
      </c>
      <c r="CB78" s="660"/>
      <c r="CC78" s="660"/>
      <c r="CD78" s="660"/>
      <c r="CE78" s="568" t="s">
        <v>932</v>
      </c>
      <c r="CF78" s="568"/>
      <c r="CG78" s="568"/>
      <c r="CH78" s="660" t="s">
        <v>932</v>
      </c>
      <c r="CI78" s="660"/>
      <c r="CJ78" s="660"/>
      <c r="CK78" s="660"/>
      <c r="CL78" s="568" t="s">
        <v>932</v>
      </c>
      <c r="CM78" s="568"/>
      <c r="CN78" s="568"/>
    </row>
    <row r="79" hidden="1" customHeight="1" spans="1:92">
      <c r="A79" s="612"/>
      <c r="B79" s="612"/>
      <c r="C79" s="518"/>
      <c r="D79" s="518"/>
      <c r="E79" s="518"/>
      <c r="F79" s="657"/>
      <c r="G79" s="657"/>
      <c r="H79" s="657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26"/>
      <c r="AC79" s="526"/>
      <c r="AD79" s="658"/>
      <c r="AE79" s="658"/>
      <c r="AF79" s="658"/>
      <c r="AG79" s="526">
        <v>0</v>
      </c>
      <c r="AH79" s="526"/>
      <c r="AI79" s="659" t="e">
        <v>#N/A</v>
      </c>
      <c r="AJ79" s="659"/>
      <c r="AK79" s="659"/>
      <c r="AL79" s="659"/>
      <c r="AM79" s="659"/>
      <c r="AN79" s="659"/>
      <c r="AO79" s="659"/>
      <c r="AP79" s="659"/>
      <c r="AQ79" s="659"/>
      <c r="AR79" s="659"/>
      <c r="AS79" s="659"/>
      <c r="AT79" s="659"/>
      <c r="AU79" s="659"/>
      <c r="AV79" s="659"/>
      <c r="AW79" s="658">
        <v>0</v>
      </c>
      <c r="AX79" s="658"/>
      <c r="AY79" s="658"/>
      <c r="AZ79" s="658"/>
      <c r="BA79" s="658"/>
      <c r="BB79" s="658"/>
      <c r="BC79" s="658">
        <v>0</v>
      </c>
      <c r="BD79" s="658"/>
      <c r="BE79" s="658"/>
      <c r="BF79" s="658">
        <v>182.49</v>
      </c>
      <c r="BG79" s="658"/>
      <c r="BH79" s="658"/>
      <c r="BI79" s="567">
        <v>0</v>
      </c>
      <c r="BJ79" s="567"/>
      <c r="BK79" s="567"/>
      <c r="BL79" s="567"/>
      <c r="BM79" s="660" t="s">
        <v>932</v>
      </c>
      <c r="BN79" s="660"/>
      <c r="BO79" s="660"/>
      <c r="BP79" s="660"/>
      <c r="BQ79" s="568">
        <v>0.25</v>
      </c>
      <c r="BR79" s="568"/>
      <c r="BS79" s="568"/>
      <c r="BT79" s="660" t="s">
        <v>932</v>
      </c>
      <c r="BU79" s="660"/>
      <c r="BV79" s="660"/>
      <c r="BW79" s="660"/>
      <c r="BX79" s="568">
        <v>0.75</v>
      </c>
      <c r="BY79" s="568"/>
      <c r="BZ79" s="568"/>
      <c r="CA79" s="660" t="s">
        <v>932</v>
      </c>
      <c r="CB79" s="660"/>
      <c r="CC79" s="660"/>
      <c r="CD79" s="660"/>
      <c r="CE79" s="568" t="s">
        <v>932</v>
      </c>
      <c r="CF79" s="568"/>
      <c r="CG79" s="568"/>
      <c r="CH79" s="660" t="s">
        <v>932</v>
      </c>
      <c r="CI79" s="660"/>
      <c r="CJ79" s="660"/>
      <c r="CK79" s="660"/>
      <c r="CL79" s="568" t="s">
        <v>932</v>
      </c>
      <c r="CM79" s="568"/>
      <c r="CN79" s="568"/>
    </row>
    <row r="80" customHeight="1" spans="1:92">
      <c r="A80" s="612" t="s">
        <v>861</v>
      </c>
      <c r="B80" s="612"/>
      <c r="C80" s="518"/>
      <c r="D80" s="518"/>
      <c r="E80" s="518"/>
      <c r="F80" s="657">
        <v>2003864</v>
      </c>
      <c r="G80" s="657"/>
      <c r="H80" s="657"/>
      <c r="I80" s="519" t="s">
        <v>103</v>
      </c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26" t="s">
        <v>104</v>
      </c>
      <c r="AC80" s="526"/>
      <c r="AD80" s="658">
        <v>60</v>
      </c>
      <c r="AE80" s="658"/>
      <c r="AF80" s="658"/>
      <c r="AG80" s="526" t="s">
        <v>941</v>
      </c>
      <c r="AH80" s="526"/>
      <c r="AI80" s="659" t="s">
        <v>942</v>
      </c>
      <c r="AJ80" s="659"/>
      <c r="AK80" s="659"/>
      <c r="AL80" s="659"/>
      <c r="AM80" s="659"/>
      <c r="AN80" s="659"/>
      <c r="AO80" s="659"/>
      <c r="AP80" s="659"/>
      <c r="AQ80" s="659"/>
      <c r="AR80" s="659"/>
      <c r="AS80" s="659"/>
      <c r="AT80" s="659"/>
      <c r="AU80" s="659"/>
      <c r="AV80" s="659"/>
      <c r="AW80" s="658">
        <v>0.05</v>
      </c>
      <c r="AX80" s="658"/>
      <c r="AY80" s="658"/>
      <c r="AZ80" s="658">
        <v>1</v>
      </c>
      <c r="BA80" s="658"/>
      <c r="BB80" s="658"/>
      <c r="BC80" s="658">
        <v>3</v>
      </c>
      <c r="BD80" s="658"/>
      <c r="BE80" s="658"/>
      <c r="BF80" s="658">
        <v>182.49</v>
      </c>
      <c r="BG80" s="658"/>
      <c r="BH80" s="658"/>
      <c r="BI80" s="567">
        <v>0.0164392569455861</v>
      </c>
      <c r="BJ80" s="567"/>
      <c r="BK80" s="567"/>
      <c r="BL80" s="567"/>
      <c r="BM80" s="660">
        <v>0.00410981423639652</v>
      </c>
      <c r="BN80" s="660"/>
      <c r="BO80" s="660"/>
      <c r="BP80" s="660"/>
      <c r="BQ80" s="568">
        <v>0.25</v>
      </c>
      <c r="BR80" s="568"/>
      <c r="BS80" s="568"/>
      <c r="BT80" s="660">
        <v>0.0123294427091895</v>
      </c>
      <c r="BU80" s="660"/>
      <c r="BV80" s="660"/>
      <c r="BW80" s="660"/>
      <c r="BX80" s="568">
        <v>0.75</v>
      </c>
      <c r="BY80" s="568"/>
      <c r="BZ80" s="568"/>
      <c r="CA80" s="660" t="s">
        <v>932</v>
      </c>
      <c r="CB80" s="660"/>
      <c r="CC80" s="660"/>
      <c r="CD80" s="660"/>
      <c r="CE80" s="568" t="s">
        <v>932</v>
      </c>
      <c r="CF80" s="568"/>
      <c r="CG80" s="568"/>
      <c r="CH80" s="660" t="s">
        <v>932</v>
      </c>
      <c r="CI80" s="660"/>
      <c r="CJ80" s="660"/>
      <c r="CK80" s="660"/>
      <c r="CL80" s="568" t="s">
        <v>932</v>
      </c>
      <c r="CM80" s="568"/>
      <c r="CN80" s="568"/>
    </row>
    <row r="81" customHeight="1" spans="1:92">
      <c r="A81" s="612"/>
      <c r="B81" s="612"/>
      <c r="C81" s="518"/>
      <c r="D81" s="518"/>
      <c r="E81" s="518"/>
      <c r="F81" s="657"/>
      <c r="G81" s="657"/>
      <c r="H81" s="657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26"/>
      <c r="AC81" s="526"/>
      <c r="AD81" s="658"/>
      <c r="AE81" s="658"/>
      <c r="AF81" s="658"/>
      <c r="AG81" s="526" t="s">
        <v>943</v>
      </c>
      <c r="AH81" s="526"/>
      <c r="AI81" s="659" t="s">
        <v>944</v>
      </c>
      <c r="AJ81" s="659"/>
      <c r="AK81" s="659"/>
      <c r="AL81" s="659"/>
      <c r="AM81" s="659"/>
      <c r="AN81" s="659"/>
      <c r="AO81" s="659"/>
      <c r="AP81" s="659"/>
      <c r="AQ81" s="659"/>
      <c r="AR81" s="659"/>
      <c r="AS81" s="659"/>
      <c r="AT81" s="659"/>
      <c r="AU81" s="659"/>
      <c r="AV81" s="659"/>
      <c r="AW81" s="658">
        <v>0.01</v>
      </c>
      <c r="AX81" s="658"/>
      <c r="AY81" s="658"/>
      <c r="AZ81" s="658"/>
      <c r="BA81" s="658"/>
      <c r="BB81" s="658"/>
      <c r="BC81" s="658">
        <v>0.6</v>
      </c>
      <c r="BD81" s="658"/>
      <c r="BE81" s="658"/>
      <c r="BF81" s="658">
        <v>182.49</v>
      </c>
      <c r="BG81" s="658"/>
      <c r="BH81" s="658"/>
      <c r="BI81" s="567">
        <v>0.00328785138911721</v>
      </c>
      <c r="BJ81" s="567"/>
      <c r="BK81" s="567"/>
      <c r="BL81" s="567"/>
      <c r="BM81" s="660">
        <v>0.000821962847279303</v>
      </c>
      <c r="BN81" s="660"/>
      <c r="BO81" s="660"/>
      <c r="BP81" s="660"/>
      <c r="BQ81" s="568">
        <v>0.25</v>
      </c>
      <c r="BR81" s="568"/>
      <c r="BS81" s="568"/>
      <c r="BT81" s="660">
        <v>0.00246588854183791</v>
      </c>
      <c r="BU81" s="660"/>
      <c r="BV81" s="660"/>
      <c r="BW81" s="660"/>
      <c r="BX81" s="568">
        <v>0.75</v>
      </c>
      <c r="BY81" s="568"/>
      <c r="BZ81" s="568"/>
      <c r="CA81" s="660" t="s">
        <v>932</v>
      </c>
      <c r="CB81" s="660"/>
      <c r="CC81" s="660"/>
      <c r="CD81" s="660"/>
      <c r="CE81" s="568" t="s">
        <v>932</v>
      </c>
      <c r="CF81" s="568"/>
      <c r="CG81" s="568"/>
      <c r="CH81" s="660" t="s">
        <v>932</v>
      </c>
      <c r="CI81" s="660"/>
      <c r="CJ81" s="660"/>
      <c r="CK81" s="660"/>
      <c r="CL81" s="568" t="s">
        <v>932</v>
      </c>
      <c r="CM81" s="568"/>
      <c r="CN81" s="568"/>
    </row>
    <row r="82" hidden="1" customHeight="1" spans="1:92">
      <c r="A82" s="612"/>
      <c r="B82" s="612"/>
      <c r="C82" s="518"/>
      <c r="D82" s="518"/>
      <c r="E82" s="518"/>
      <c r="F82" s="657"/>
      <c r="G82" s="657"/>
      <c r="H82" s="657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26"/>
      <c r="AC82" s="526"/>
      <c r="AD82" s="658"/>
      <c r="AE82" s="658"/>
      <c r="AF82" s="658"/>
      <c r="AG82" s="526">
        <v>0</v>
      </c>
      <c r="AH82" s="526"/>
      <c r="AI82" s="659" t="e">
        <v>#N/A</v>
      </c>
      <c r="AJ82" s="659"/>
      <c r="AK82" s="659"/>
      <c r="AL82" s="659"/>
      <c r="AM82" s="659"/>
      <c r="AN82" s="659"/>
      <c r="AO82" s="659"/>
      <c r="AP82" s="659"/>
      <c r="AQ82" s="659"/>
      <c r="AR82" s="659"/>
      <c r="AS82" s="659"/>
      <c r="AT82" s="659"/>
      <c r="AU82" s="659"/>
      <c r="AV82" s="659"/>
      <c r="AW82" s="658">
        <v>0</v>
      </c>
      <c r="AX82" s="658"/>
      <c r="AY82" s="658"/>
      <c r="AZ82" s="658"/>
      <c r="BA82" s="658"/>
      <c r="BB82" s="658"/>
      <c r="BC82" s="658">
        <v>0</v>
      </c>
      <c r="BD82" s="658"/>
      <c r="BE82" s="658"/>
      <c r="BF82" s="658">
        <v>182.49</v>
      </c>
      <c r="BG82" s="658"/>
      <c r="BH82" s="658"/>
      <c r="BI82" s="567">
        <v>0</v>
      </c>
      <c r="BJ82" s="567"/>
      <c r="BK82" s="567"/>
      <c r="BL82" s="567"/>
      <c r="BM82" s="660" t="s">
        <v>932</v>
      </c>
      <c r="BN82" s="660"/>
      <c r="BO82" s="660"/>
      <c r="BP82" s="660"/>
      <c r="BQ82" s="568">
        <v>0.25</v>
      </c>
      <c r="BR82" s="568"/>
      <c r="BS82" s="568"/>
      <c r="BT82" s="660" t="s">
        <v>932</v>
      </c>
      <c r="BU82" s="660"/>
      <c r="BV82" s="660"/>
      <c r="BW82" s="660"/>
      <c r="BX82" s="568">
        <v>0.75</v>
      </c>
      <c r="BY82" s="568"/>
      <c r="BZ82" s="568"/>
      <c r="CA82" s="660" t="s">
        <v>932</v>
      </c>
      <c r="CB82" s="660"/>
      <c r="CC82" s="660"/>
      <c r="CD82" s="660"/>
      <c r="CE82" s="568" t="s">
        <v>932</v>
      </c>
      <c r="CF82" s="568"/>
      <c r="CG82" s="568"/>
      <c r="CH82" s="660" t="s">
        <v>932</v>
      </c>
      <c r="CI82" s="660"/>
      <c r="CJ82" s="660"/>
      <c r="CK82" s="660"/>
      <c r="CL82" s="568" t="s">
        <v>932</v>
      </c>
      <c r="CM82" s="568"/>
      <c r="CN82" s="568"/>
    </row>
    <row r="83" hidden="1" customHeight="1" spans="1:92">
      <c r="A83" s="612"/>
      <c r="B83" s="612"/>
      <c r="C83" s="518"/>
      <c r="D83" s="518"/>
      <c r="E83" s="518"/>
      <c r="F83" s="657"/>
      <c r="G83" s="657"/>
      <c r="H83" s="657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26"/>
      <c r="AC83" s="526"/>
      <c r="AD83" s="658"/>
      <c r="AE83" s="658"/>
      <c r="AF83" s="658"/>
      <c r="AG83" s="526">
        <v>0</v>
      </c>
      <c r="AH83" s="526"/>
      <c r="AI83" s="659" t="e">
        <v>#N/A</v>
      </c>
      <c r="AJ83" s="659"/>
      <c r="AK83" s="659"/>
      <c r="AL83" s="659"/>
      <c r="AM83" s="659"/>
      <c r="AN83" s="659"/>
      <c r="AO83" s="659"/>
      <c r="AP83" s="659"/>
      <c r="AQ83" s="659"/>
      <c r="AR83" s="659"/>
      <c r="AS83" s="659"/>
      <c r="AT83" s="659"/>
      <c r="AU83" s="659"/>
      <c r="AV83" s="659"/>
      <c r="AW83" s="658">
        <v>0</v>
      </c>
      <c r="AX83" s="658"/>
      <c r="AY83" s="658"/>
      <c r="AZ83" s="658"/>
      <c r="BA83" s="658"/>
      <c r="BB83" s="658"/>
      <c r="BC83" s="658">
        <v>0</v>
      </c>
      <c r="BD83" s="658"/>
      <c r="BE83" s="658"/>
      <c r="BF83" s="658">
        <v>182.49</v>
      </c>
      <c r="BG83" s="658"/>
      <c r="BH83" s="658"/>
      <c r="BI83" s="567">
        <v>0</v>
      </c>
      <c r="BJ83" s="567"/>
      <c r="BK83" s="567"/>
      <c r="BL83" s="567"/>
      <c r="BM83" s="660" t="s">
        <v>932</v>
      </c>
      <c r="BN83" s="660"/>
      <c r="BO83" s="660"/>
      <c r="BP83" s="660"/>
      <c r="BQ83" s="568">
        <v>0.25</v>
      </c>
      <c r="BR83" s="568"/>
      <c r="BS83" s="568"/>
      <c r="BT83" s="660" t="s">
        <v>932</v>
      </c>
      <c r="BU83" s="660"/>
      <c r="BV83" s="660"/>
      <c r="BW83" s="660"/>
      <c r="BX83" s="568">
        <v>0.75</v>
      </c>
      <c r="BY83" s="568"/>
      <c r="BZ83" s="568"/>
      <c r="CA83" s="660" t="s">
        <v>932</v>
      </c>
      <c r="CB83" s="660"/>
      <c r="CC83" s="660"/>
      <c r="CD83" s="660"/>
      <c r="CE83" s="568" t="s">
        <v>932</v>
      </c>
      <c r="CF83" s="568"/>
      <c r="CG83" s="568"/>
      <c r="CH83" s="660" t="s">
        <v>932</v>
      </c>
      <c r="CI83" s="660"/>
      <c r="CJ83" s="660"/>
      <c r="CK83" s="660"/>
      <c r="CL83" s="568" t="s">
        <v>932</v>
      </c>
      <c r="CM83" s="568"/>
      <c r="CN83" s="568"/>
    </row>
    <row r="84" hidden="1" customHeight="1" spans="1:92">
      <c r="A84" s="612"/>
      <c r="B84" s="612"/>
      <c r="C84" s="518"/>
      <c r="D84" s="518"/>
      <c r="E84" s="518"/>
      <c r="F84" s="657"/>
      <c r="G84" s="657"/>
      <c r="H84" s="657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26"/>
      <c r="AC84" s="526"/>
      <c r="AD84" s="658"/>
      <c r="AE84" s="658"/>
      <c r="AF84" s="658"/>
      <c r="AG84" s="526">
        <v>0</v>
      </c>
      <c r="AH84" s="526"/>
      <c r="AI84" s="659" t="e">
        <v>#N/A</v>
      </c>
      <c r="AJ84" s="659"/>
      <c r="AK84" s="659"/>
      <c r="AL84" s="659"/>
      <c r="AM84" s="659"/>
      <c r="AN84" s="659"/>
      <c r="AO84" s="659"/>
      <c r="AP84" s="659"/>
      <c r="AQ84" s="659"/>
      <c r="AR84" s="659"/>
      <c r="AS84" s="659"/>
      <c r="AT84" s="659"/>
      <c r="AU84" s="659"/>
      <c r="AV84" s="659"/>
      <c r="AW84" s="658">
        <v>0</v>
      </c>
      <c r="AX84" s="658"/>
      <c r="AY84" s="658"/>
      <c r="AZ84" s="658"/>
      <c r="BA84" s="658"/>
      <c r="BB84" s="658"/>
      <c r="BC84" s="658">
        <v>0</v>
      </c>
      <c r="BD84" s="658"/>
      <c r="BE84" s="658"/>
      <c r="BF84" s="658">
        <v>182.49</v>
      </c>
      <c r="BG84" s="658"/>
      <c r="BH84" s="658"/>
      <c r="BI84" s="567">
        <v>0</v>
      </c>
      <c r="BJ84" s="567"/>
      <c r="BK84" s="567"/>
      <c r="BL84" s="567"/>
      <c r="BM84" s="660" t="s">
        <v>932</v>
      </c>
      <c r="BN84" s="660"/>
      <c r="BO84" s="660"/>
      <c r="BP84" s="660"/>
      <c r="BQ84" s="568">
        <v>0.25</v>
      </c>
      <c r="BR84" s="568"/>
      <c r="BS84" s="568"/>
      <c r="BT84" s="660" t="s">
        <v>932</v>
      </c>
      <c r="BU84" s="660"/>
      <c r="BV84" s="660"/>
      <c r="BW84" s="660"/>
      <c r="BX84" s="568">
        <v>0.75</v>
      </c>
      <c r="BY84" s="568"/>
      <c r="BZ84" s="568"/>
      <c r="CA84" s="660" t="s">
        <v>932</v>
      </c>
      <c r="CB84" s="660"/>
      <c r="CC84" s="660"/>
      <c r="CD84" s="660"/>
      <c r="CE84" s="568" t="s">
        <v>932</v>
      </c>
      <c r="CF84" s="568"/>
      <c r="CG84" s="568"/>
      <c r="CH84" s="660" t="s">
        <v>932</v>
      </c>
      <c r="CI84" s="660"/>
      <c r="CJ84" s="660"/>
      <c r="CK84" s="660"/>
      <c r="CL84" s="568" t="s">
        <v>932</v>
      </c>
      <c r="CM84" s="568"/>
      <c r="CN84" s="568"/>
    </row>
    <row r="85" hidden="1" customHeight="1" spans="1:92">
      <c r="A85" s="612"/>
      <c r="B85" s="612"/>
      <c r="C85" s="518"/>
      <c r="D85" s="518"/>
      <c r="E85" s="518"/>
      <c r="F85" s="657"/>
      <c r="G85" s="657"/>
      <c r="H85" s="657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26"/>
      <c r="AC85" s="526"/>
      <c r="AD85" s="658"/>
      <c r="AE85" s="658"/>
      <c r="AF85" s="658"/>
      <c r="AG85" s="526">
        <v>0</v>
      </c>
      <c r="AH85" s="526"/>
      <c r="AI85" s="659" t="e">
        <v>#N/A</v>
      </c>
      <c r="AJ85" s="659"/>
      <c r="AK85" s="659"/>
      <c r="AL85" s="659"/>
      <c r="AM85" s="659"/>
      <c r="AN85" s="659"/>
      <c r="AO85" s="659"/>
      <c r="AP85" s="659"/>
      <c r="AQ85" s="659"/>
      <c r="AR85" s="659"/>
      <c r="AS85" s="659"/>
      <c r="AT85" s="659"/>
      <c r="AU85" s="659"/>
      <c r="AV85" s="659"/>
      <c r="AW85" s="658">
        <v>0</v>
      </c>
      <c r="AX85" s="658"/>
      <c r="AY85" s="658"/>
      <c r="AZ85" s="658"/>
      <c r="BA85" s="658"/>
      <c r="BB85" s="658"/>
      <c r="BC85" s="658">
        <v>0</v>
      </c>
      <c r="BD85" s="658"/>
      <c r="BE85" s="658"/>
      <c r="BF85" s="658">
        <v>182.49</v>
      </c>
      <c r="BG85" s="658"/>
      <c r="BH85" s="658"/>
      <c r="BI85" s="567">
        <v>0</v>
      </c>
      <c r="BJ85" s="567"/>
      <c r="BK85" s="567"/>
      <c r="BL85" s="567"/>
      <c r="BM85" s="660" t="s">
        <v>932</v>
      </c>
      <c r="BN85" s="660"/>
      <c r="BO85" s="660"/>
      <c r="BP85" s="660"/>
      <c r="BQ85" s="568">
        <v>0.25</v>
      </c>
      <c r="BR85" s="568"/>
      <c r="BS85" s="568"/>
      <c r="BT85" s="660" t="s">
        <v>932</v>
      </c>
      <c r="BU85" s="660"/>
      <c r="BV85" s="660"/>
      <c r="BW85" s="660"/>
      <c r="BX85" s="568">
        <v>0.75</v>
      </c>
      <c r="BY85" s="568"/>
      <c r="BZ85" s="568"/>
      <c r="CA85" s="660" t="s">
        <v>932</v>
      </c>
      <c r="CB85" s="660"/>
      <c r="CC85" s="660"/>
      <c r="CD85" s="660"/>
      <c r="CE85" s="568" t="s">
        <v>932</v>
      </c>
      <c r="CF85" s="568"/>
      <c r="CG85" s="568"/>
      <c r="CH85" s="660" t="s">
        <v>932</v>
      </c>
      <c r="CI85" s="660"/>
      <c r="CJ85" s="660"/>
      <c r="CK85" s="660"/>
      <c r="CL85" s="568" t="s">
        <v>932</v>
      </c>
      <c r="CM85" s="568"/>
      <c r="CN85" s="568"/>
    </row>
    <row r="86" hidden="1" customHeight="1" spans="1:92">
      <c r="A86" s="612"/>
      <c r="B86" s="612"/>
      <c r="C86" s="518"/>
      <c r="D86" s="518"/>
      <c r="E86" s="518"/>
      <c r="F86" s="657"/>
      <c r="G86" s="657"/>
      <c r="H86" s="657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26"/>
      <c r="AC86" s="526"/>
      <c r="AD86" s="658"/>
      <c r="AE86" s="658"/>
      <c r="AF86" s="658"/>
      <c r="AG86" s="526">
        <v>0</v>
      </c>
      <c r="AH86" s="526"/>
      <c r="AI86" s="659" t="e">
        <v>#N/A</v>
      </c>
      <c r="AJ86" s="659"/>
      <c r="AK86" s="659"/>
      <c r="AL86" s="659"/>
      <c r="AM86" s="659"/>
      <c r="AN86" s="659"/>
      <c r="AO86" s="659"/>
      <c r="AP86" s="659"/>
      <c r="AQ86" s="659"/>
      <c r="AR86" s="659"/>
      <c r="AS86" s="659"/>
      <c r="AT86" s="659"/>
      <c r="AU86" s="659"/>
      <c r="AV86" s="659"/>
      <c r="AW86" s="658">
        <v>0</v>
      </c>
      <c r="AX86" s="658"/>
      <c r="AY86" s="658"/>
      <c r="AZ86" s="658"/>
      <c r="BA86" s="658"/>
      <c r="BB86" s="658"/>
      <c r="BC86" s="658">
        <v>0</v>
      </c>
      <c r="BD86" s="658"/>
      <c r="BE86" s="658"/>
      <c r="BF86" s="658">
        <v>182.49</v>
      </c>
      <c r="BG86" s="658"/>
      <c r="BH86" s="658"/>
      <c r="BI86" s="567">
        <v>0</v>
      </c>
      <c r="BJ86" s="567"/>
      <c r="BK86" s="567"/>
      <c r="BL86" s="567"/>
      <c r="BM86" s="660" t="s">
        <v>932</v>
      </c>
      <c r="BN86" s="660"/>
      <c r="BO86" s="660"/>
      <c r="BP86" s="660"/>
      <c r="BQ86" s="568">
        <v>0.25</v>
      </c>
      <c r="BR86" s="568"/>
      <c r="BS86" s="568"/>
      <c r="BT86" s="660" t="s">
        <v>932</v>
      </c>
      <c r="BU86" s="660"/>
      <c r="BV86" s="660"/>
      <c r="BW86" s="660"/>
      <c r="BX86" s="568">
        <v>0.75</v>
      </c>
      <c r="BY86" s="568"/>
      <c r="BZ86" s="568"/>
      <c r="CA86" s="660" t="s">
        <v>932</v>
      </c>
      <c r="CB86" s="660"/>
      <c r="CC86" s="660"/>
      <c r="CD86" s="660"/>
      <c r="CE86" s="568" t="s">
        <v>932</v>
      </c>
      <c r="CF86" s="568"/>
      <c r="CG86" s="568"/>
      <c r="CH86" s="660" t="s">
        <v>932</v>
      </c>
      <c r="CI86" s="660"/>
      <c r="CJ86" s="660"/>
      <c r="CK86" s="660"/>
      <c r="CL86" s="568" t="s">
        <v>932</v>
      </c>
      <c r="CM86" s="568"/>
      <c r="CN86" s="568"/>
    </row>
    <row r="87" hidden="1" customHeight="1" spans="1:92">
      <c r="A87" s="612"/>
      <c r="B87" s="612"/>
      <c r="C87" s="518"/>
      <c r="D87" s="518"/>
      <c r="E87" s="518"/>
      <c r="F87" s="657"/>
      <c r="G87" s="657"/>
      <c r="H87" s="657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26"/>
      <c r="AC87" s="526"/>
      <c r="AD87" s="658"/>
      <c r="AE87" s="658"/>
      <c r="AF87" s="658"/>
      <c r="AG87" s="526">
        <v>0</v>
      </c>
      <c r="AH87" s="526"/>
      <c r="AI87" s="659" t="e">
        <v>#N/A</v>
      </c>
      <c r="AJ87" s="659"/>
      <c r="AK87" s="659"/>
      <c r="AL87" s="659"/>
      <c r="AM87" s="659"/>
      <c r="AN87" s="659"/>
      <c r="AO87" s="659"/>
      <c r="AP87" s="659"/>
      <c r="AQ87" s="659"/>
      <c r="AR87" s="659"/>
      <c r="AS87" s="659"/>
      <c r="AT87" s="659"/>
      <c r="AU87" s="659"/>
      <c r="AV87" s="659"/>
      <c r="AW87" s="658">
        <v>0</v>
      </c>
      <c r="AX87" s="658"/>
      <c r="AY87" s="658"/>
      <c r="AZ87" s="658"/>
      <c r="BA87" s="658"/>
      <c r="BB87" s="658"/>
      <c r="BC87" s="658">
        <v>0</v>
      </c>
      <c r="BD87" s="658"/>
      <c r="BE87" s="658"/>
      <c r="BF87" s="658">
        <v>182.49</v>
      </c>
      <c r="BG87" s="658"/>
      <c r="BH87" s="658"/>
      <c r="BI87" s="567">
        <v>0</v>
      </c>
      <c r="BJ87" s="567"/>
      <c r="BK87" s="567"/>
      <c r="BL87" s="567"/>
      <c r="BM87" s="660" t="s">
        <v>932</v>
      </c>
      <c r="BN87" s="660"/>
      <c r="BO87" s="660"/>
      <c r="BP87" s="660"/>
      <c r="BQ87" s="568">
        <v>0.25</v>
      </c>
      <c r="BR87" s="568"/>
      <c r="BS87" s="568"/>
      <c r="BT87" s="660" t="s">
        <v>932</v>
      </c>
      <c r="BU87" s="660"/>
      <c r="BV87" s="660"/>
      <c r="BW87" s="660"/>
      <c r="BX87" s="568">
        <v>0.75</v>
      </c>
      <c r="BY87" s="568"/>
      <c r="BZ87" s="568"/>
      <c r="CA87" s="660" t="s">
        <v>932</v>
      </c>
      <c r="CB87" s="660"/>
      <c r="CC87" s="660"/>
      <c r="CD87" s="660"/>
      <c r="CE87" s="568" t="s">
        <v>932</v>
      </c>
      <c r="CF87" s="568"/>
      <c r="CG87" s="568"/>
      <c r="CH87" s="660" t="s">
        <v>932</v>
      </c>
      <c r="CI87" s="660"/>
      <c r="CJ87" s="660"/>
      <c r="CK87" s="660"/>
      <c r="CL87" s="568" t="s">
        <v>932</v>
      </c>
      <c r="CM87" s="568"/>
      <c r="CN87" s="568"/>
    </row>
    <row r="88" customHeight="1" spans="1:92">
      <c r="A88" s="612" t="s">
        <v>945</v>
      </c>
      <c r="B88" s="612"/>
      <c r="C88" s="518"/>
      <c r="D88" s="518"/>
      <c r="E88" s="518"/>
      <c r="F88" s="657">
        <v>1107900</v>
      </c>
      <c r="G88" s="657"/>
      <c r="H88" s="657"/>
      <c r="I88" s="519" t="s">
        <v>108</v>
      </c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26" t="s">
        <v>99</v>
      </c>
      <c r="AC88" s="526"/>
      <c r="AD88" s="658">
        <v>33.62</v>
      </c>
      <c r="AE88" s="658"/>
      <c r="AF88" s="658"/>
      <c r="AG88" s="526" t="s">
        <v>946</v>
      </c>
      <c r="AH88" s="526"/>
      <c r="AI88" s="659" t="s">
        <v>947</v>
      </c>
      <c r="AJ88" s="659"/>
      <c r="AK88" s="659"/>
      <c r="AL88" s="659"/>
      <c r="AM88" s="659"/>
      <c r="AN88" s="659"/>
      <c r="AO88" s="659"/>
      <c r="AP88" s="659"/>
      <c r="AQ88" s="659"/>
      <c r="AR88" s="659"/>
      <c r="AS88" s="659"/>
      <c r="AT88" s="659"/>
      <c r="AU88" s="659"/>
      <c r="AV88" s="659"/>
      <c r="AW88" s="658">
        <v>1</v>
      </c>
      <c r="AX88" s="658"/>
      <c r="AY88" s="658"/>
      <c r="AZ88" s="658">
        <v>3.853</v>
      </c>
      <c r="BA88" s="658"/>
      <c r="BB88" s="658"/>
      <c r="BC88" s="658">
        <v>8.72566831040747</v>
      </c>
      <c r="BD88" s="658"/>
      <c r="BE88" s="658"/>
      <c r="BF88" s="658">
        <v>182.49</v>
      </c>
      <c r="BG88" s="658"/>
      <c r="BH88" s="658"/>
      <c r="BI88" s="567">
        <v>0.0478145011255821</v>
      </c>
      <c r="BJ88" s="567"/>
      <c r="BK88" s="567"/>
      <c r="BL88" s="567"/>
      <c r="BM88" s="660" t="s">
        <v>932</v>
      </c>
      <c r="BN88" s="660"/>
      <c r="BO88" s="660"/>
      <c r="BP88" s="660"/>
      <c r="BQ88" s="568" t="s">
        <v>932</v>
      </c>
      <c r="BR88" s="568"/>
      <c r="BS88" s="568"/>
      <c r="BT88" s="660">
        <v>0.0478145011255821</v>
      </c>
      <c r="BU88" s="660"/>
      <c r="BV88" s="660"/>
      <c r="BW88" s="660"/>
      <c r="BX88" s="568">
        <v>1</v>
      </c>
      <c r="BY88" s="568"/>
      <c r="BZ88" s="568"/>
      <c r="CA88" s="660" t="s">
        <v>932</v>
      </c>
      <c r="CB88" s="660"/>
      <c r="CC88" s="660"/>
      <c r="CD88" s="660"/>
      <c r="CE88" s="568" t="s">
        <v>932</v>
      </c>
      <c r="CF88" s="568"/>
      <c r="CG88" s="568"/>
      <c r="CH88" s="660" t="s">
        <v>932</v>
      </c>
      <c r="CI88" s="660"/>
      <c r="CJ88" s="660"/>
      <c r="CK88" s="660"/>
      <c r="CL88" s="568" t="s">
        <v>932</v>
      </c>
      <c r="CM88" s="568"/>
      <c r="CN88" s="568"/>
    </row>
    <row r="89" customHeight="1" spans="1:92">
      <c r="A89" s="612"/>
      <c r="B89" s="612"/>
      <c r="C89" s="518"/>
      <c r="D89" s="518"/>
      <c r="E89" s="518"/>
      <c r="F89" s="657"/>
      <c r="G89" s="657"/>
      <c r="H89" s="657"/>
      <c r="I89" s="519"/>
      <c r="J89" s="519"/>
      <c r="K89" s="519"/>
      <c r="L89" s="519"/>
      <c r="M89" s="519"/>
      <c r="N89" s="519"/>
      <c r="O89" s="519"/>
      <c r="P89" s="519"/>
      <c r="Q89" s="519"/>
      <c r="R89" s="519"/>
      <c r="S89" s="519"/>
      <c r="T89" s="519"/>
      <c r="U89" s="519"/>
      <c r="V89" s="519"/>
      <c r="W89" s="519"/>
      <c r="X89" s="519"/>
      <c r="Y89" s="519"/>
      <c r="Z89" s="519"/>
      <c r="AA89" s="519"/>
      <c r="AB89" s="526"/>
      <c r="AC89" s="526"/>
      <c r="AD89" s="658"/>
      <c r="AE89" s="658"/>
      <c r="AF89" s="658"/>
      <c r="AG89" s="526" t="s">
        <v>935</v>
      </c>
      <c r="AH89" s="526"/>
      <c r="AI89" s="659" t="s">
        <v>936</v>
      </c>
      <c r="AJ89" s="659"/>
      <c r="AK89" s="659"/>
      <c r="AL89" s="659"/>
      <c r="AM89" s="659"/>
      <c r="AN89" s="659"/>
      <c r="AO89" s="659"/>
      <c r="AP89" s="659"/>
      <c r="AQ89" s="659"/>
      <c r="AR89" s="659"/>
      <c r="AS89" s="659"/>
      <c r="AT89" s="659"/>
      <c r="AU89" s="659"/>
      <c r="AV89" s="659"/>
      <c r="AW89" s="658">
        <v>9</v>
      </c>
      <c r="AX89" s="658"/>
      <c r="AY89" s="658"/>
      <c r="AZ89" s="658"/>
      <c r="BA89" s="658"/>
      <c r="BB89" s="658"/>
      <c r="BC89" s="658">
        <v>78.5310147936673</v>
      </c>
      <c r="BD89" s="658"/>
      <c r="BE89" s="658"/>
      <c r="BF89" s="658">
        <v>182.49</v>
      </c>
      <c r="BG89" s="658"/>
      <c r="BH89" s="658"/>
      <c r="BI89" s="567">
        <v>0.430330510130239</v>
      </c>
      <c r="BJ89" s="567"/>
      <c r="BK89" s="567"/>
      <c r="BL89" s="567"/>
      <c r="BM89" s="660" t="s">
        <v>932</v>
      </c>
      <c r="BN89" s="660"/>
      <c r="BO89" s="660"/>
      <c r="BP89" s="660"/>
      <c r="BQ89" s="568" t="s">
        <v>932</v>
      </c>
      <c r="BR89" s="568"/>
      <c r="BS89" s="568"/>
      <c r="BT89" s="660">
        <v>0.430330510130239</v>
      </c>
      <c r="BU89" s="660"/>
      <c r="BV89" s="660"/>
      <c r="BW89" s="660"/>
      <c r="BX89" s="568">
        <v>1</v>
      </c>
      <c r="BY89" s="568"/>
      <c r="BZ89" s="568"/>
      <c r="CA89" s="660" t="s">
        <v>932</v>
      </c>
      <c r="CB89" s="660"/>
      <c r="CC89" s="660"/>
      <c r="CD89" s="660"/>
      <c r="CE89" s="568" t="s">
        <v>932</v>
      </c>
      <c r="CF89" s="568"/>
      <c r="CG89" s="568"/>
      <c r="CH89" s="660" t="s">
        <v>932</v>
      </c>
      <c r="CI89" s="660"/>
      <c r="CJ89" s="660"/>
      <c r="CK89" s="660"/>
      <c r="CL89" s="568" t="s">
        <v>932</v>
      </c>
      <c r="CM89" s="568"/>
      <c r="CN89" s="568"/>
    </row>
    <row r="90" hidden="1" customHeight="1" spans="1:92">
      <c r="A90" s="612"/>
      <c r="B90" s="612"/>
      <c r="C90" s="518"/>
      <c r="D90" s="518"/>
      <c r="E90" s="518"/>
      <c r="F90" s="657"/>
      <c r="G90" s="657"/>
      <c r="H90" s="657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26"/>
      <c r="AC90" s="526"/>
      <c r="AD90" s="658"/>
      <c r="AE90" s="658"/>
      <c r="AF90" s="658"/>
      <c r="AG90" s="526">
        <v>0</v>
      </c>
      <c r="AH90" s="526"/>
      <c r="AI90" s="659" t="e">
        <v>#N/A</v>
      </c>
      <c r="AJ90" s="659"/>
      <c r="AK90" s="659"/>
      <c r="AL90" s="659"/>
      <c r="AM90" s="659"/>
      <c r="AN90" s="659"/>
      <c r="AO90" s="659"/>
      <c r="AP90" s="659"/>
      <c r="AQ90" s="659"/>
      <c r="AR90" s="659"/>
      <c r="AS90" s="659"/>
      <c r="AT90" s="659"/>
      <c r="AU90" s="659"/>
      <c r="AV90" s="659"/>
      <c r="AW90" s="658">
        <v>0</v>
      </c>
      <c r="AX90" s="658"/>
      <c r="AY90" s="658"/>
      <c r="AZ90" s="658"/>
      <c r="BA90" s="658"/>
      <c r="BB90" s="658"/>
      <c r="BC90" s="658">
        <v>0</v>
      </c>
      <c r="BD90" s="658"/>
      <c r="BE90" s="658"/>
      <c r="BF90" s="658">
        <v>182.49</v>
      </c>
      <c r="BG90" s="658"/>
      <c r="BH90" s="658"/>
      <c r="BI90" s="567">
        <v>0</v>
      </c>
      <c r="BJ90" s="567"/>
      <c r="BK90" s="567"/>
      <c r="BL90" s="567"/>
      <c r="BM90" s="660" t="s">
        <v>932</v>
      </c>
      <c r="BN90" s="660"/>
      <c r="BO90" s="660"/>
      <c r="BP90" s="660"/>
      <c r="BQ90" s="568" t="s">
        <v>932</v>
      </c>
      <c r="BR90" s="568"/>
      <c r="BS90" s="568"/>
      <c r="BT90" s="660" t="s">
        <v>932</v>
      </c>
      <c r="BU90" s="660"/>
      <c r="BV90" s="660"/>
      <c r="BW90" s="660"/>
      <c r="BX90" s="568">
        <v>1</v>
      </c>
      <c r="BY90" s="568"/>
      <c r="BZ90" s="568"/>
      <c r="CA90" s="660" t="s">
        <v>932</v>
      </c>
      <c r="CB90" s="660"/>
      <c r="CC90" s="660"/>
      <c r="CD90" s="660"/>
      <c r="CE90" s="568" t="s">
        <v>932</v>
      </c>
      <c r="CF90" s="568"/>
      <c r="CG90" s="568"/>
      <c r="CH90" s="660" t="s">
        <v>932</v>
      </c>
      <c r="CI90" s="660"/>
      <c r="CJ90" s="660"/>
      <c r="CK90" s="660"/>
      <c r="CL90" s="568" t="s">
        <v>932</v>
      </c>
      <c r="CM90" s="568"/>
      <c r="CN90" s="568"/>
    </row>
    <row r="91" hidden="1" customHeight="1" spans="1:92">
      <c r="A91" s="612"/>
      <c r="B91" s="612"/>
      <c r="C91" s="518"/>
      <c r="D91" s="518"/>
      <c r="E91" s="518"/>
      <c r="F91" s="657"/>
      <c r="G91" s="657"/>
      <c r="H91" s="657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26"/>
      <c r="AC91" s="526"/>
      <c r="AD91" s="658"/>
      <c r="AE91" s="658"/>
      <c r="AF91" s="658"/>
      <c r="AG91" s="526">
        <v>0</v>
      </c>
      <c r="AH91" s="526"/>
      <c r="AI91" s="659" t="e">
        <v>#N/A</v>
      </c>
      <c r="AJ91" s="659"/>
      <c r="AK91" s="659"/>
      <c r="AL91" s="659"/>
      <c r="AM91" s="659"/>
      <c r="AN91" s="659"/>
      <c r="AO91" s="659"/>
      <c r="AP91" s="659"/>
      <c r="AQ91" s="659"/>
      <c r="AR91" s="659"/>
      <c r="AS91" s="659"/>
      <c r="AT91" s="659"/>
      <c r="AU91" s="659"/>
      <c r="AV91" s="659"/>
      <c r="AW91" s="658">
        <v>0</v>
      </c>
      <c r="AX91" s="658"/>
      <c r="AY91" s="658"/>
      <c r="AZ91" s="658"/>
      <c r="BA91" s="658"/>
      <c r="BB91" s="658"/>
      <c r="BC91" s="658">
        <v>0</v>
      </c>
      <c r="BD91" s="658"/>
      <c r="BE91" s="658"/>
      <c r="BF91" s="658">
        <v>182.49</v>
      </c>
      <c r="BG91" s="658"/>
      <c r="BH91" s="658"/>
      <c r="BI91" s="567">
        <v>0</v>
      </c>
      <c r="BJ91" s="567"/>
      <c r="BK91" s="567"/>
      <c r="BL91" s="567"/>
      <c r="BM91" s="660" t="s">
        <v>932</v>
      </c>
      <c r="BN91" s="660"/>
      <c r="BO91" s="660"/>
      <c r="BP91" s="660"/>
      <c r="BQ91" s="568" t="s">
        <v>932</v>
      </c>
      <c r="BR91" s="568"/>
      <c r="BS91" s="568"/>
      <c r="BT91" s="660" t="s">
        <v>932</v>
      </c>
      <c r="BU91" s="660"/>
      <c r="BV91" s="660"/>
      <c r="BW91" s="660"/>
      <c r="BX91" s="568">
        <v>1</v>
      </c>
      <c r="BY91" s="568"/>
      <c r="BZ91" s="568"/>
      <c r="CA91" s="660" t="s">
        <v>932</v>
      </c>
      <c r="CB91" s="660"/>
      <c r="CC91" s="660"/>
      <c r="CD91" s="660"/>
      <c r="CE91" s="568" t="s">
        <v>932</v>
      </c>
      <c r="CF91" s="568"/>
      <c r="CG91" s="568"/>
      <c r="CH91" s="660" t="s">
        <v>932</v>
      </c>
      <c r="CI91" s="660"/>
      <c r="CJ91" s="660"/>
      <c r="CK91" s="660"/>
      <c r="CL91" s="568" t="s">
        <v>932</v>
      </c>
      <c r="CM91" s="568"/>
      <c r="CN91" s="568"/>
    </row>
    <row r="92" hidden="1" customHeight="1" spans="1:92">
      <c r="A92" s="612"/>
      <c r="B92" s="612"/>
      <c r="C92" s="518"/>
      <c r="D92" s="518"/>
      <c r="E92" s="518"/>
      <c r="F92" s="657"/>
      <c r="G92" s="657"/>
      <c r="H92" s="657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26"/>
      <c r="AC92" s="526"/>
      <c r="AD92" s="658"/>
      <c r="AE92" s="658"/>
      <c r="AF92" s="658"/>
      <c r="AG92" s="526">
        <v>0</v>
      </c>
      <c r="AH92" s="526"/>
      <c r="AI92" s="659" t="e">
        <v>#N/A</v>
      </c>
      <c r="AJ92" s="659"/>
      <c r="AK92" s="659"/>
      <c r="AL92" s="659"/>
      <c r="AM92" s="659"/>
      <c r="AN92" s="659"/>
      <c r="AO92" s="659"/>
      <c r="AP92" s="659"/>
      <c r="AQ92" s="659"/>
      <c r="AR92" s="659"/>
      <c r="AS92" s="659"/>
      <c r="AT92" s="659"/>
      <c r="AU92" s="659"/>
      <c r="AV92" s="659"/>
      <c r="AW92" s="658">
        <v>0</v>
      </c>
      <c r="AX92" s="658"/>
      <c r="AY92" s="658"/>
      <c r="AZ92" s="658"/>
      <c r="BA92" s="658"/>
      <c r="BB92" s="658"/>
      <c r="BC92" s="658">
        <v>0</v>
      </c>
      <c r="BD92" s="658"/>
      <c r="BE92" s="658"/>
      <c r="BF92" s="658">
        <v>182.49</v>
      </c>
      <c r="BG92" s="658"/>
      <c r="BH92" s="658"/>
      <c r="BI92" s="567">
        <v>0</v>
      </c>
      <c r="BJ92" s="567"/>
      <c r="BK92" s="567"/>
      <c r="BL92" s="567"/>
      <c r="BM92" s="660" t="s">
        <v>932</v>
      </c>
      <c r="BN92" s="660"/>
      <c r="BO92" s="660"/>
      <c r="BP92" s="660"/>
      <c r="BQ92" s="568" t="s">
        <v>932</v>
      </c>
      <c r="BR92" s="568"/>
      <c r="BS92" s="568"/>
      <c r="BT92" s="660" t="s">
        <v>932</v>
      </c>
      <c r="BU92" s="660"/>
      <c r="BV92" s="660"/>
      <c r="BW92" s="660"/>
      <c r="BX92" s="568">
        <v>1</v>
      </c>
      <c r="BY92" s="568"/>
      <c r="BZ92" s="568"/>
      <c r="CA92" s="660" t="s">
        <v>932</v>
      </c>
      <c r="CB92" s="660"/>
      <c r="CC92" s="660"/>
      <c r="CD92" s="660"/>
      <c r="CE92" s="568" t="s">
        <v>932</v>
      </c>
      <c r="CF92" s="568"/>
      <c r="CG92" s="568"/>
      <c r="CH92" s="660" t="s">
        <v>932</v>
      </c>
      <c r="CI92" s="660"/>
      <c r="CJ92" s="660"/>
      <c r="CK92" s="660"/>
      <c r="CL92" s="568" t="s">
        <v>932</v>
      </c>
      <c r="CM92" s="568"/>
      <c r="CN92" s="568"/>
    </row>
    <row r="93" hidden="1" customHeight="1" spans="1:92">
      <c r="A93" s="612"/>
      <c r="B93" s="612"/>
      <c r="C93" s="518"/>
      <c r="D93" s="518"/>
      <c r="E93" s="518"/>
      <c r="F93" s="657"/>
      <c r="G93" s="657"/>
      <c r="H93" s="657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26"/>
      <c r="AC93" s="526"/>
      <c r="AD93" s="658"/>
      <c r="AE93" s="658"/>
      <c r="AF93" s="658"/>
      <c r="AG93" s="526">
        <v>0</v>
      </c>
      <c r="AH93" s="526"/>
      <c r="AI93" s="659" t="e">
        <v>#N/A</v>
      </c>
      <c r="AJ93" s="659"/>
      <c r="AK93" s="659"/>
      <c r="AL93" s="659"/>
      <c r="AM93" s="659"/>
      <c r="AN93" s="659"/>
      <c r="AO93" s="659"/>
      <c r="AP93" s="659"/>
      <c r="AQ93" s="659"/>
      <c r="AR93" s="659"/>
      <c r="AS93" s="659"/>
      <c r="AT93" s="659"/>
      <c r="AU93" s="659"/>
      <c r="AV93" s="659"/>
      <c r="AW93" s="658">
        <v>0</v>
      </c>
      <c r="AX93" s="658"/>
      <c r="AY93" s="658"/>
      <c r="AZ93" s="658"/>
      <c r="BA93" s="658"/>
      <c r="BB93" s="658"/>
      <c r="BC93" s="658">
        <v>0</v>
      </c>
      <c r="BD93" s="658"/>
      <c r="BE93" s="658"/>
      <c r="BF93" s="658">
        <v>182.49</v>
      </c>
      <c r="BG93" s="658"/>
      <c r="BH93" s="658"/>
      <c r="BI93" s="567">
        <v>0</v>
      </c>
      <c r="BJ93" s="567"/>
      <c r="BK93" s="567"/>
      <c r="BL93" s="567"/>
      <c r="BM93" s="660" t="s">
        <v>932</v>
      </c>
      <c r="BN93" s="660"/>
      <c r="BO93" s="660"/>
      <c r="BP93" s="660"/>
      <c r="BQ93" s="568" t="s">
        <v>932</v>
      </c>
      <c r="BR93" s="568"/>
      <c r="BS93" s="568"/>
      <c r="BT93" s="660" t="s">
        <v>932</v>
      </c>
      <c r="BU93" s="660"/>
      <c r="BV93" s="660"/>
      <c r="BW93" s="660"/>
      <c r="BX93" s="568">
        <v>1</v>
      </c>
      <c r="BY93" s="568"/>
      <c r="BZ93" s="568"/>
      <c r="CA93" s="660" t="s">
        <v>932</v>
      </c>
      <c r="CB93" s="660"/>
      <c r="CC93" s="660"/>
      <c r="CD93" s="660"/>
      <c r="CE93" s="568" t="s">
        <v>932</v>
      </c>
      <c r="CF93" s="568"/>
      <c r="CG93" s="568"/>
      <c r="CH93" s="660" t="s">
        <v>932</v>
      </c>
      <c r="CI93" s="660"/>
      <c r="CJ93" s="660"/>
      <c r="CK93" s="660"/>
      <c r="CL93" s="568" t="s">
        <v>932</v>
      </c>
      <c r="CM93" s="568"/>
      <c r="CN93" s="568"/>
    </row>
    <row r="94" hidden="1" customHeight="1" spans="1:92">
      <c r="A94" s="612"/>
      <c r="B94" s="612"/>
      <c r="C94" s="518"/>
      <c r="D94" s="518"/>
      <c r="E94" s="518"/>
      <c r="F94" s="657"/>
      <c r="G94" s="657"/>
      <c r="H94" s="657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26"/>
      <c r="AC94" s="526"/>
      <c r="AD94" s="658"/>
      <c r="AE94" s="658"/>
      <c r="AF94" s="658"/>
      <c r="AG94" s="526">
        <v>0</v>
      </c>
      <c r="AH94" s="526"/>
      <c r="AI94" s="659" t="e">
        <v>#N/A</v>
      </c>
      <c r="AJ94" s="659"/>
      <c r="AK94" s="659"/>
      <c r="AL94" s="659"/>
      <c r="AM94" s="659"/>
      <c r="AN94" s="659"/>
      <c r="AO94" s="659"/>
      <c r="AP94" s="659"/>
      <c r="AQ94" s="659"/>
      <c r="AR94" s="659"/>
      <c r="AS94" s="659"/>
      <c r="AT94" s="659"/>
      <c r="AU94" s="659"/>
      <c r="AV94" s="659"/>
      <c r="AW94" s="658">
        <v>0</v>
      </c>
      <c r="AX94" s="658"/>
      <c r="AY94" s="658"/>
      <c r="AZ94" s="658"/>
      <c r="BA94" s="658"/>
      <c r="BB94" s="658"/>
      <c r="BC94" s="658">
        <v>0</v>
      </c>
      <c r="BD94" s="658"/>
      <c r="BE94" s="658"/>
      <c r="BF94" s="658">
        <v>182.49</v>
      </c>
      <c r="BG94" s="658"/>
      <c r="BH94" s="658"/>
      <c r="BI94" s="567">
        <v>0</v>
      </c>
      <c r="BJ94" s="567"/>
      <c r="BK94" s="567"/>
      <c r="BL94" s="567"/>
      <c r="BM94" s="660" t="s">
        <v>932</v>
      </c>
      <c r="BN94" s="660"/>
      <c r="BO94" s="660"/>
      <c r="BP94" s="660"/>
      <c r="BQ94" s="568" t="s">
        <v>932</v>
      </c>
      <c r="BR94" s="568"/>
      <c r="BS94" s="568"/>
      <c r="BT94" s="660" t="s">
        <v>932</v>
      </c>
      <c r="BU94" s="660"/>
      <c r="BV94" s="660"/>
      <c r="BW94" s="660"/>
      <c r="BX94" s="568">
        <v>1</v>
      </c>
      <c r="BY94" s="568"/>
      <c r="BZ94" s="568"/>
      <c r="CA94" s="660" t="s">
        <v>932</v>
      </c>
      <c r="CB94" s="660"/>
      <c r="CC94" s="660"/>
      <c r="CD94" s="660"/>
      <c r="CE94" s="568" t="s">
        <v>932</v>
      </c>
      <c r="CF94" s="568"/>
      <c r="CG94" s="568"/>
      <c r="CH94" s="660" t="s">
        <v>932</v>
      </c>
      <c r="CI94" s="660"/>
      <c r="CJ94" s="660"/>
      <c r="CK94" s="660"/>
      <c r="CL94" s="568" t="s">
        <v>932</v>
      </c>
      <c r="CM94" s="568"/>
      <c r="CN94" s="568"/>
    </row>
    <row r="95" hidden="1" customHeight="1" spans="1:92">
      <c r="A95" s="612"/>
      <c r="B95" s="612"/>
      <c r="C95" s="518"/>
      <c r="D95" s="518"/>
      <c r="E95" s="518"/>
      <c r="F95" s="657"/>
      <c r="G95" s="657"/>
      <c r="H95" s="657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26"/>
      <c r="AC95" s="526"/>
      <c r="AD95" s="658"/>
      <c r="AE95" s="658"/>
      <c r="AF95" s="658"/>
      <c r="AG95" s="526">
        <v>0</v>
      </c>
      <c r="AH95" s="526"/>
      <c r="AI95" s="659" t="e">
        <v>#N/A</v>
      </c>
      <c r="AJ95" s="659"/>
      <c r="AK95" s="659"/>
      <c r="AL95" s="659"/>
      <c r="AM95" s="659"/>
      <c r="AN95" s="659"/>
      <c r="AO95" s="659"/>
      <c r="AP95" s="659"/>
      <c r="AQ95" s="659"/>
      <c r="AR95" s="659"/>
      <c r="AS95" s="659"/>
      <c r="AT95" s="659"/>
      <c r="AU95" s="659"/>
      <c r="AV95" s="659"/>
      <c r="AW95" s="658">
        <v>0</v>
      </c>
      <c r="AX95" s="658"/>
      <c r="AY95" s="658"/>
      <c r="AZ95" s="658"/>
      <c r="BA95" s="658"/>
      <c r="BB95" s="658"/>
      <c r="BC95" s="658">
        <v>0</v>
      </c>
      <c r="BD95" s="658"/>
      <c r="BE95" s="658"/>
      <c r="BF95" s="658">
        <v>182.49</v>
      </c>
      <c r="BG95" s="658"/>
      <c r="BH95" s="658"/>
      <c r="BI95" s="567">
        <v>0</v>
      </c>
      <c r="BJ95" s="567"/>
      <c r="BK95" s="567"/>
      <c r="BL95" s="567"/>
      <c r="BM95" s="660" t="s">
        <v>932</v>
      </c>
      <c r="BN95" s="660"/>
      <c r="BO95" s="660"/>
      <c r="BP95" s="660"/>
      <c r="BQ95" s="568" t="s">
        <v>932</v>
      </c>
      <c r="BR95" s="568"/>
      <c r="BS95" s="568"/>
      <c r="BT95" s="660" t="s">
        <v>932</v>
      </c>
      <c r="BU95" s="660"/>
      <c r="BV95" s="660"/>
      <c r="BW95" s="660"/>
      <c r="BX95" s="568">
        <v>1</v>
      </c>
      <c r="BY95" s="568"/>
      <c r="BZ95" s="568"/>
      <c r="CA95" s="660" t="s">
        <v>932</v>
      </c>
      <c r="CB95" s="660"/>
      <c r="CC95" s="660"/>
      <c r="CD95" s="660"/>
      <c r="CE95" s="568" t="s">
        <v>932</v>
      </c>
      <c r="CF95" s="568"/>
      <c r="CG95" s="568"/>
      <c r="CH95" s="660" t="s">
        <v>932</v>
      </c>
      <c r="CI95" s="660"/>
      <c r="CJ95" s="660"/>
      <c r="CK95" s="660"/>
      <c r="CL95" s="568" t="s">
        <v>932</v>
      </c>
      <c r="CM95" s="568"/>
      <c r="CN95" s="568"/>
    </row>
    <row r="96" customHeight="1" spans="1:92">
      <c r="A96" s="612" t="s">
        <v>948</v>
      </c>
      <c r="B96" s="612"/>
      <c r="C96" s="518"/>
      <c r="D96" s="518"/>
      <c r="E96" s="518"/>
      <c r="F96" s="657">
        <v>1106057</v>
      </c>
      <c r="G96" s="657"/>
      <c r="H96" s="657"/>
      <c r="I96" s="519" t="s">
        <v>109</v>
      </c>
      <c r="J96" s="519"/>
      <c r="K96" s="519"/>
      <c r="L96" s="519"/>
      <c r="M96" s="519"/>
      <c r="N96" s="519"/>
      <c r="O96" s="519"/>
      <c r="P96" s="519"/>
      <c r="Q96" s="519"/>
      <c r="R96" s="519"/>
      <c r="S96" s="519"/>
      <c r="T96" s="519"/>
      <c r="U96" s="519"/>
      <c r="V96" s="519"/>
      <c r="W96" s="519"/>
      <c r="X96" s="519"/>
      <c r="Y96" s="519"/>
      <c r="Z96" s="519"/>
      <c r="AA96" s="519"/>
      <c r="AB96" s="526" t="s">
        <v>99</v>
      </c>
      <c r="AC96" s="526"/>
      <c r="AD96" s="658">
        <v>0.42</v>
      </c>
      <c r="AE96" s="658"/>
      <c r="AF96" s="658"/>
      <c r="AG96" s="526" t="s">
        <v>946</v>
      </c>
      <c r="AH96" s="526"/>
      <c r="AI96" s="659" t="s">
        <v>947</v>
      </c>
      <c r="AJ96" s="659"/>
      <c r="AK96" s="659"/>
      <c r="AL96" s="659"/>
      <c r="AM96" s="659"/>
      <c r="AN96" s="659"/>
      <c r="AO96" s="659"/>
      <c r="AP96" s="659"/>
      <c r="AQ96" s="659"/>
      <c r="AR96" s="659"/>
      <c r="AS96" s="659"/>
      <c r="AT96" s="659"/>
      <c r="AU96" s="659"/>
      <c r="AV96" s="659"/>
      <c r="AW96" s="658">
        <v>1</v>
      </c>
      <c r="AX96" s="658"/>
      <c r="AY96" s="658"/>
      <c r="AZ96" s="658">
        <v>3.92899</v>
      </c>
      <c r="BA96" s="658"/>
      <c r="BB96" s="658"/>
      <c r="BC96" s="658">
        <v>0.106897701444901</v>
      </c>
      <c r="BD96" s="658"/>
      <c r="BE96" s="658"/>
      <c r="BF96" s="658">
        <v>182.49</v>
      </c>
      <c r="BG96" s="658"/>
      <c r="BH96" s="658"/>
      <c r="BI96" s="567">
        <v>0.000585772926981756</v>
      </c>
      <c r="BJ96" s="567"/>
      <c r="BK96" s="567"/>
      <c r="BL96" s="567"/>
      <c r="BM96" s="660" t="s">
        <v>932</v>
      </c>
      <c r="BN96" s="660"/>
      <c r="BO96" s="660"/>
      <c r="BP96" s="660"/>
      <c r="BQ96" s="568" t="s">
        <v>932</v>
      </c>
      <c r="BR96" s="568"/>
      <c r="BS96" s="568"/>
      <c r="BT96" s="660">
        <v>0.000585772926981756</v>
      </c>
      <c r="BU96" s="660"/>
      <c r="BV96" s="660"/>
      <c r="BW96" s="660"/>
      <c r="BX96" s="568">
        <v>1</v>
      </c>
      <c r="BY96" s="568"/>
      <c r="BZ96" s="568"/>
      <c r="CA96" s="660" t="s">
        <v>932</v>
      </c>
      <c r="CB96" s="660"/>
      <c r="CC96" s="660"/>
      <c r="CD96" s="660"/>
      <c r="CE96" s="568" t="s">
        <v>932</v>
      </c>
      <c r="CF96" s="568"/>
      <c r="CG96" s="568"/>
      <c r="CH96" s="660" t="s">
        <v>932</v>
      </c>
      <c r="CI96" s="660"/>
      <c r="CJ96" s="660"/>
      <c r="CK96" s="660"/>
      <c r="CL96" s="568" t="s">
        <v>932</v>
      </c>
      <c r="CM96" s="568"/>
      <c r="CN96" s="568"/>
    </row>
    <row r="97" customHeight="1" spans="1:92">
      <c r="A97" s="612"/>
      <c r="B97" s="612"/>
      <c r="C97" s="518"/>
      <c r="D97" s="518"/>
      <c r="E97" s="518"/>
      <c r="F97" s="657"/>
      <c r="G97" s="657"/>
      <c r="H97" s="657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26"/>
      <c r="AC97" s="526"/>
      <c r="AD97" s="658"/>
      <c r="AE97" s="658"/>
      <c r="AF97" s="658"/>
      <c r="AG97" s="526" t="s">
        <v>935</v>
      </c>
      <c r="AH97" s="526"/>
      <c r="AI97" s="659" t="s">
        <v>936</v>
      </c>
      <c r="AJ97" s="659"/>
      <c r="AK97" s="659"/>
      <c r="AL97" s="659"/>
      <c r="AM97" s="659"/>
      <c r="AN97" s="659"/>
      <c r="AO97" s="659"/>
      <c r="AP97" s="659"/>
      <c r="AQ97" s="659"/>
      <c r="AR97" s="659"/>
      <c r="AS97" s="659"/>
      <c r="AT97" s="659"/>
      <c r="AU97" s="659"/>
      <c r="AV97" s="659"/>
      <c r="AW97" s="658">
        <v>9</v>
      </c>
      <c r="AX97" s="658"/>
      <c r="AY97" s="658"/>
      <c r="AZ97" s="658"/>
      <c r="BA97" s="658"/>
      <c r="BB97" s="658"/>
      <c r="BC97" s="658">
        <v>0.962079313004105</v>
      </c>
      <c r="BD97" s="658"/>
      <c r="BE97" s="658"/>
      <c r="BF97" s="658">
        <v>182.49</v>
      </c>
      <c r="BG97" s="658"/>
      <c r="BH97" s="658"/>
      <c r="BI97" s="567">
        <v>0.0052719563428358</v>
      </c>
      <c r="BJ97" s="567"/>
      <c r="BK97" s="567"/>
      <c r="BL97" s="567"/>
      <c r="BM97" s="660" t="s">
        <v>932</v>
      </c>
      <c r="BN97" s="660"/>
      <c r="BO97" s="660"/>
      <c r="BP97" s="660"/>
      <c r="BQ97" s="568" t="s">
        <v>932</v>
      </c>
      <c r="BR97" s="568"/>
      <c r="BS97" s="568"/>
      <c r="BT97" s="660">
        <v>0.0052719563428358</v>
      </c>
      <c r="BU97" s="660"/>
      <c r="BV97" s="660"/>
      <c r="BW97" s="660"/>
      <c r="BX97" s="568">
        <v>1</v>
      </c>
      <c r="BY97" s="568"/>
      <c r="BZ97" s="568"/>
      <c r="CA97" s="660" t="s">
        <v>932</v>
      </c>
      <c r="CB97" s="660"/>
      <c r="CC97" s="660"/>
      <c r="CD97" s="660"/>
      <c r="CE97" s="568" t="s">
        <v>932</v>
      </c>
      <c r="CF97" s="568"/>
      <c r="CG97" s="568"/>
      <c r="CH97" s="660" t="s">
        <v>932</v>
      </c>
      <c r="CI97" s="660"/>
      <c r="CJ97" s="660"/>
      <c r="CK97" s="660"/>
      <c r="CL97" s="568" t="s">
        <v>932</v>
      </c>
      <c r="CM97" s="568"/>
      <c r="CN97" s="568"/>
    </row>
    <row r="98" hidden="1" customHeight="1" spans="1:92">
      <c r="A98" s="612"/>
      <c r="B98" s="612"/>
      <c r="C98" s="518"/>
      <c r="D98" s="518"/>
      <c r="E98" s="518"/>
      <c r="F98" s="657"/>
      <c r="G98" s="657"/>
      <c r="H98" s="657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26"/>
      <c r="AC98" s="526"/>
      <c r="AD98" s="658"/>
      <c r="AE98" s="658"/>
      <c r="AF98" s="658"/>
      <c r="AG98" s="526">
        <v>0</v>
      </c>
      <c r="AH98" s="526"/>
      <c r="AI98" s="659" t="e">
        <v>#N/A</v>
      </c>
      <c r="AJ98" s="659"/>
      <c r="AK98" s="659"/>
      <c r="AL98" s="659"/>
      <c r="AM98" s="659"/>
      <c r="AN98" s="659"/>
      <c r="AO98" s="659"/>
      <c r="AP98" s="659"/>
      <c r="AQ98" s="659"/>
      <c r="AR98" s="659"/>
      <c r="AS98" s="659"/>
      <c r="AT98" s="659"/>
      <c r="AU98" s="659"/>
      <c r="AV98" s="659"/>
      <c r="AW98" s="658">
        <v>0</v>
      </c>
      <c r="AX98" s="658"/>
      <c r="AY98" s="658"/>
      <c r="AZ98" s="658"/>
      <c r="BA98" s="658"/>
      <c r="BB98" s="658"/>
      <c r="BC98" s="658">
        <v>0</v>
      </c>
      <c r="BD98" s="658"/>
      <c r="BE98" s="658"/>
      <c r="BF98" s="658">
        <v>182.49</v>
      </c>
      <c r="BG98" s="658"/>
      <c r="BH98" s="658"/>
      <c r="BI98" s="567">
        <v>0</v>
      </c>
      <c r="BJ98" s="567"/>
      <c r="BK98" s="567"/>
      <c r="BL98" s="567"/>
      <c r="BM98" s="660" t="s">
        <v>932</v>
      </c>
      <c r="BN98" s="660"/>
      <c r="BO98" s="660"/>
      <c r="BP98" s="660"/>
      <c r="BQ98" s="568" t="s">
        <v>932</v>
      </c>
      <c r="BR98" s="568"/>
      <c r="BS98" s="568"/>
      <c r="BT98" s="660" t="s">
        <v>932</v>
      </c>
      <c r="BU98" s="660"/>
      <c r="BV98" s="660"/>
      <c r="BW98" s="660"/>
      <c r="BX98" s="568">
        <v>1</v>
      </c>
      <c r="BY98" s="568"/>
      <c r="BZ98" s="568"/>
      <c r="CA98" s="660" t="s">
        <v>932</v>
      </c>
      <c r="CB98" s="660"/>
      <c r="CC98" s="660"/>
      <c r="CD98" s="660"/>
      <c r="CE98" s="568" t="s">
        <v>932</v>
      </c>
      <c r="CF98" s="568"/>
      <c r="CG98" s="568"/>
      <c r="CH98" s="660" t="s">
        <v>932</v>
      </c>
      <c r="CI98" s="660"/>
      <c r="CJ98" s="660"/>
      <c r="CK98" s="660"/>
      <c r="CL98" s="568" t="s">
        <v>932</v>
      </c>
      <c r="CM98" s="568"/>
      <c r="CN98" s="568"/>
    </row>
    <row r="99" hidden="1" customHeight="1" spans="1:92">
      <c r="A99" s="612"/>
      <c r="B99" s="612"/>
      <c r="C99" s="518"/>
      <c r="D99" s="518"/>
      <c r="E99" s="518"/>
      <c r="F99" s="657"/>
      <c r="G99" s="657"/>
      <c r="H99" s="657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26"/>
      <c r="AC99" s="526"/>
      <c r="AD99" s="658"/>
      <c r="AE99" s="658"/>
      <c r="AF99" s="658"/>
      <c r="AG99" s="526">
        <v>0</v>
      </c>
      <c r="AH99" s="526"/>
      <c r="AI99" s="659" t="e">
        <v>#N/A</v>
      </c>
      <c r="AJ99" s="659"/>
      <c r="AK99" s="659"/>
      <c r="AL99" s="659"/>
      <c r="AM99" s="659"/>
      <c r="AN99" s="659"/>
      <c r="AO99" s="659"/>
      <c r="AP99" s="659"/>
      <c r="AQ99" s="659"/>
      <c r="AR99" s="659"/>
      <c r="AS99" s="659"/>
      <c r="AT99" s="659"/>
      <c r="AU99" s="659"/>
      <c r="AV99" s="659"/>
      <c r="AW99" s="658">
        <v>0</v>
      </c>
      <c r="AX99" s="658"/>
      <c r="AY99" s="658"/>
      <c r="AZ99" s="658"/>
      <c r="BA99" s="658"/>
      <c r="BB99" s="658"/>
      <c r="BC99" s="658">
        <v>0</v>
      </c>
      <c r="BD99" s="658"/>
      <c r="BE99" s="658"/>
      <c r="BF99" s="658">
        <v>182.49</v>
      </c>
      <c r="BG99" s="658"/>
      <c r="BH99" s="658"/>
      <c r="BI99" s="567">
        <v>0</v>
      </c>
      <c r="BJ99" s="567"/>
      <c r="BK99" s="567"/>
      <c r="BL99" s="567"/>
      <c r="BM99" s="660" t="s">
        <v>932</v>
      </c>
      <c r="BN99" s="660"/>
      <c r="BO99" s="660"/>
      <c r="BP99" s="660"/>
      <c r="BQ99" s="568" t="s">
        <v>932</v>
      </c>
      <c r="BR99" s="568"/>
      <c r="BS99" s="568"/>
      <c r="BT99" s="660" t="s">
        <v>932</v>
      </c>
      <c r="BU99" s="660"/>
      <c r="BV99" s="660"/>
      <c r="BW99" s="660"/>
      <c r="BX99" s="568">
        <v>1</v>
      </c>
      <c r="BY99" s="568"/>
      <c r="BZ99" s="568"/>
      <c r="CA99" s="660" t="s">
        <v>932</v>
      </c>
      <c r="CB99" s="660"/>
      <c r="CC99" s="660"/>
      <c r="CD99" s="660"/>
      <c r="CE99" s="568" t="s">
        <v>932</v>
      </c>
      <c r="CF99" s="568"/>
      <c r="CG99" s="568"/>
      <c r="CH99" s="660" t="s">
        <v>932</v>
      </c>
      <c r="CI99" s="660"/>
      <c r="CJ99" s="660"/>
      <c r="CK99" s="660"/>
      <c r="CL99" s="568" t="s">
        <v>932</v>
      </c>
      <c r="CM99" s="568"/>
      <c r="CN99" s="568"/>
    </row>
    <row r="100" hidden="1" customHeight="1" spans="1:92">
      <c r="A100" s="612"/>
      <c r="B100" s="612"/>
      <c r="C100" s="518"/>
      <c r="D100" s="518"/>
      <c r="E100" s="518"/>
      <c r="F100" s="657"/>
      <c r="G100" s="657"/>
      <c r="H100" s="657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26"/>
      <c r="AC100" s="526"/>
      <c r="AD100" s="658"/>
      <c r="AE100" s="658"/>
      <c r="AF100" s="658"/>
      <c r="AG100" s="526">
        <v>0</v>
      </c>
      <c r="AH100" s="526"/>
      <c r="AI100" s="659" t="e">
        <v>#N/A</v>
      </c>
      <c r="AJ100" s="659"/>
      <c r="AK100" s="659"/>
      <c r="AL100" s="659"/>
      <c r="AM100" s="659"/>
      <c r="AN100" s="659"/>
      <c r="AO100" s="659"/>
      <c r="AP100" s="659"/>
      <c r="AQ100" s="659"/>
      <c r="AR100" s="659"/>
      <c r="AS100" s="659"/>
      <c r="AT100" s="659"/>
      <c r="AU100" s="659"/>
      <c r="AV100" s="659"/>
      <c r="AW100" s="658">
        <v>0</v>
      </c>
      <c r="AX100" s="658"/>
      <c r="AY100" s="658"/>
      <c r="AZ100" s="658"/>
      <c r="BA100" s="658"/>
      <c r="BB100" s="658"/>
      <c r="BC100" s="658">
        <v>0</v>
      </c>
      <c r="BD100" s="658"/>
      <c r="BE100" s="658"/>
      <c r="BF100" s="658">
        <v>182.49</v>
      </c>
      <c r="BG100" s="658"/>
      <c r="BH100" s="658"/>
      <c r="BI100" s="567">
        <v>0</v>
      </c>
      <c r="BJ100" s="567"/>
      <c r="BK100" s="567"/>
      <c r="BL100" s="567"/>
      <c r="BM100" s="660" t="s">
        <v>932</v>
      </c>
      <c r="BN100" s="660"/>
      <c r="BO100" s="660"/>
      <c r="BP100" s="660"/>
      <c r="BQ100" s="568" t="s">
        <v>932</v>
      </c>
      <c r="BR100" s="568"/>
      <c r="BS100" s="568"/>
      <c r="BT100" s="660" t="s">
        <v>932</v>
      </c>
      <c r="BU100" s="660"/>
      <c r="BV100" s="660"/>
      <c r="BW100" s="660"/>
      <c r="BX100" s="568">
        <v>1</v>
      </c>
      <c r="BY100" s="568"/>
      <c r="BZ100" s="568"/>
      <c r="CA100" s="660" t="s">
        <v>932</v>
      </c>
      <c r="CB100" s="660"/>
      <c r="CC100" s="660"/>
      <c r="CD100" s="660"/>
      <c r="CE100" s="568" t="s">
        <v>932</v>
      </c>
      <c r="CF100" s="568"/>
      <c r="CG100" s="568"/>
      <c r="CH100" s="660" t="s">
        <v>932</v>
      </c>
      <c r="CI100" s="660"/>
      <c r="CJ100" s="660"/>
      <c r="CK100" s="660"/>
      <c r="CL100" s="568" t="s">
        <v>932</v>
      </c>
      <c r="CM100" s="568"/>
      <c r="CN100" s="568"/>
    </row>
    <row r="101" hidden="1" customHeight="1" spans="1:92">
      <c r="A101" s="612"/>
      <c r="B101" s="612"/>
      <c r="C101" s="518"/>
      <c r="D101" s="518"/>
      <c r="E101" s="518"/>
      <c r="F101" s="657"/>
      <c r="G101" s="657"/>
      <c r="H101" s="657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26"/>
      <c r="AC101" s="526"/>
      <c r="AD101" s="658"/>
      <c r="AE101" s="658"/>
      <c r="AF101" s="658"/>
      <c r="AG101" s="526">
        <v>0</v>
      </c>
      <c r="AH101" s="526"/>
      <c r="AI101" s="659" t="e">
        <v>#N/A</v>
      </c>
      <c r="AJ101" s="659"/>
      <c r="AK101" s="659"/>
      <c r="AL101" s="659"/>
      <c r="AM101" s="659"/>
      <c r="AN101" s="659"/>
      <c r="AO101" s="659"/>
      <c r="AP101" s="659"/>
      <c r="AQ101" s="659"/>
      <c r="AR101" s="659"/>
      <c r="AS101" s="659"/>
      <c r="AT101" s="659"/>
      <c r="AU101" s="659"/>
      <c r="AV101" s="659"/>
      <c r="AW101" s="658">
        <v>0</v>
      </c>
      <c r="AX101" s="658"/>
      <c r="AY101" s="658"/>
      <c r="AZ101" s="658"/>
      <c r="BA101" s="658"/>
      <c r="BB101" s="658"/>
      <c r="BC101" s="658">
        <v>0</v>
      </c>
      <c r="BD101" s="658"/>
      <c r="BE101" s="658"/>
      <c r="BF101" s="658">
        <v>182.49</v>
      </c>
      <c r="BG101" s="658"/>
      <c r="BH101" s="658"/>
      <c r="BI101" s="567">
        <v>0</v>
      </c>
      <c r="BJ101" s="567"/>
      <c r="BK101" s="567"/>
      <c r="BL101" s="567"/>
      <c r="BM101" s="660" t="s">
        <v>932</v>
      </c>
      <c r="BN101" s="660"/>
      <c r="BO101" s="660"/>
      <c r="BP101" s="660"/>
      <c r="BQ101" s="568" t="s">
        <v>932</v>
      </c>
      <c r="BR101" s="568"/>
      <c r="BS101" s="568"/>
      <c r="BT101" s="660" t="s">
        <v>932</v>
      </c>
      <c r="BU101" s="660"/>
      <c r="BV101" s="660"/>
      <c r="BW101" s="660"/>
      <c r="BX101" s="568">
        <v>1</v>
      </c>
      <c r="BY101" s="568"/>
      <c r="BZ101" s="568"/>
      <c r="CA101" s="660" t="s">
        <v>932</v>
      </c>
      <c r="CB101" s="660"/>
      <c r="CC101" s="660"/>
      <c r="CD101" s="660"/>
      <c r="CE101" s="568" t="s">
        <v>932</v>
      </c>
      <c r="CF101" s="568"/>
      <c r="CG101" s="568"/>
      <c r="CH101" s="660" t="s">
        <v>932</v>
      </c>
      <c r="CI101" s="660"/>
      <c r="CJ101" s="660"/>
      <c r="CK101" s="660"/>
      <c r="CL101" s="568" t="s">
        <v>932</v>
      </c>
      <c r="CM101" s="568"/>
      <c r="CN101" s="568"/>
    </row>
    <row r="102" hidden="1" customHeight="1" spans="1:92">
      <c r="A102" s="612"/>
      <c r="B102" s="612"/>
      <c r="C102" s="518"/>
      <c r="D102" s="518"/>
      <c r="E102" s="518"/>
      <c r="F102" s="657"/>
      <c r="G102" s="657"/>
      <c r="H102" s="657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26"/>
      <c r="AC102" s="526"/>
      <c r="AD102" s="658"/>
      <c r="AE102" s="658"/>
      <c r="AF102" s="658"/>
      <c r="AG102" s="526">
        <v>0</v>
      </c>
      <c r="AH102" s="526"/>
      <c r="AI102" s="659" t="e">
        <v>#N/A</v>
      </c>
      <c r="AJ102" s="659"/>
      <c r="AK102" s="659"/>
      <c r="AL102" s="659"/>
      <c r="AM102" s="659"/>
      <c r="AN102" s="659"/>
      <c r="AO102" s="659"/>
      <c r="AP102" s="659"/>
      <c r="AQ102" s="659"/>
      <c r="AR102" s="659"/>
      <c r="AS102" s="659"/>
      <c r="AT102" s="659"/>
      <c r="AU102" s="659"/>
      <c r="AV102" s="659"/>
      <c r="AW102" s="658">
        <v>0</v>
      </c>
      <c r="AX102" s="658"/>
      <c r="AY102" s="658"/>
      <c r="AZ102" s="658"/>
      <c r="BA102" s="658"/>
      <c r="BB102" s="658"/>
      <c r="BC102" s="658">
        <v>0</v>
      </c>
      <c r="BD102" s="658"/>
      <c r="BE102" s="658"/>
      <c r="BF102" s="658">
        <v>182.49</v>
      </c>
      <c r="BG102" s="658"/>
      <c r="BH102" s="658"/>
      <c r="BI102" s="567">
        <v>0</v>
      </c>
      <c r="BJ102" s="567"/>
      <c r="BK102" s="567"/>
      <c r="BL102" s="567"/>
      <c r="BM102" s="660" t="s">
        <v>932</v>
      </c>
      <c r="BN102" s="660"/>
      <c r="BO102" s="660"/>
      <c r="BP102" s="660"/>
      <c r="BQ102" s="568" t="s">
        <v>932</v>
      </c>
      <c r="BR102" s="568"/>
      <c r="BS102" s="568"/>
      <c r="BT102" s="660" t="s">
        <v>932</v>
      </c>
      <c r="BU102" s="660"/>
      <c r="BV102" s="660"/>
      <c r="BW102" s="660"/>
      <c r="BX102" s="568">
        <v>1</v>
      </c>
      <c r="BY102" s="568"/>
      <c r="BZ102" s="568"/>
      <c r="CA102" s="660" t="s">
        <v>932</v>
      </c>
      <c r="CB102" s="660"/>
      <c r="CC102" s="660"/>
      <c r="CD102" s="660"/>
      <c r="CE102" s="568" t="s">
        <v>932</v>
      </c>
      <c r="CF102" s="568"/>
      <c r="CG102" s="568"/>
      <c r="CH102" s="660" t="s">
        <v>932</v>
      </c>
      <c r="CI102" s="660"/>
      <c r="CJ102" s="660"/>
      <c r="CK102" s="660"/>
      <c r="CL102" s="568" t="s">
        <v>932</v>
      </c>
      <c r="CM102" s="568"/>
      <c r="CN102" s="568"/>
    </row>
    <row r="103" hidden="1" customHeight="1" spans="1:92">
      <c r="A103" s="612"/>
      <c r="B103" s="612"/>
      <c r="C103" s="518"/>
      <c r="D103" s="518"/>
      <c r="E103" s="518"/>
      <c r="F103" s="657"/>
      <c r="G103" s="657"/>
      <c r="H103" s="657"/>
      <c r="I103" s="519"/>
      <c r="J103" s="519"/>
      <c r="K103" s="519"/>
      <c r="L103" s="519"/>
      <c r="M103" s="519"/>
      <c r="N103" s="519"/>
      <c r="O103" s="519"/>
      <c r="P103" s="519"/>
      <c r="Q103" s="519"/>
      <c r="R103" s="519"/>
      <c r="S103" s="519"/>
      <c r="T103" s="519"/>
      <c r="U103" s="519"/>
      <c r="V103" s="519"/>
      <c r="W103" s="519"/>
      <c r="X103" s="519"/>
      <c r="Y103" s="519"/>
      <c r="Z103" s="519"/>
      <c r="AA103" s="519"/>
      <c r="AB103" s="526"/>
      <c r="AC103" s="526"/>
      <c r="AD103" s="658"/>
      <c r="AE103" s="658"/>
      <c r="AF103" s="658"/>
      <c r="AG103" s="526">
        <v>0</v>
      </c>
      <c r="AH103" s="526"/>
      <c r="AI103" s="659" t="e">
        <v>#N/A</v>
      </c>
      <c r="AJ103" s="659"/>
      <c r="AK103" s="659"/>
      <c r="AL103" s="659"/>
      <c r="AM103" s="659"/>
      <c r="AN103" s="659"/>
      <c r="AO103" s="659"/>
      <c r="AP103" s="659"/>
      <c r="AQ103" s="659"/>
      <c r="AR103" s="659"/>
      <c r="AS103" s="659"/>
      <c r="AT103" s="659"/>
      <c r="AU103" s="659"/>
      <c r="AV103" s="659"/>
      <c r="AW103" s="658">
        <v>0</v>
      </c>
      <c r="AX103" s="658"/>
      <c r="AY103" s="658"/>
      <c r="AZ103" s="658"/>
      <c r="BA103" s="658"/>
      <c r="BB103" s="658"/>
      <c r="BC103" s="658">
        <v>0</v>
      </c>
      <c r="BD103" s="658"/>
      <c r="BE103" s="658"/>
      <c r="BF103" s="658">
        <v>182.49</v>
      </c>
      <c r="BG103" s="658"/>
      <c r="BH103" s="658"/>
      <c r="BI103" s="567">
        <v>0</v>
      </c>
      <c r="BJ103" s="567"/>
      <c r="BK103" s="567"/>
      <c r="BL103" s="567"/>
      <c r="BM103" s="660" t="s">
        <v>932</v>
      </c>
      <c r="BN103" s="660"/>
      <c r="BO103" s="660"/>
      <c r="BP103" s="660"/>
      <c r="BQ103" s="568" t="s">
        <v>932</v>
      </c>
      <c r="BR103" s="568"/>
      <c r="BS103" s="568"/>
      <c r="BT103" s="660" t="s">
        <v>932</v>
      </c>
      <c r="BU103" s="660"/>
      <c r="BV103" s="660"/>
      <c r="BW103" s="660"/>
      <c r="BX103" s="568">
        <v>1</v>
      </c>
      <c r="BY103" s="568"/>
      <c r="BZ103" s="568"/>
      <c r="CA103" s="660" t="s">
        <v>932</v>
      </c>
      <c r="CB103" s="660"/>
      <c r="CC103" s="660"/>
      <c r="CD103" s="660"/>
      <c r="CE103" s="568" t="s">
        <v>932</v>
      </c>
      <c r="CF103" s="568"/>
      <c r="CG103" s="568"/>
      <c r="CH103" s="660" t="s">
        <v>932</v>
      </c>
      <c r="CI103" s="660"/>
      <c r="CJ103" s="660"/>
      <c r="CK103" s="660"/>
      <c r="CL103" s="568" t="s">
        <v>932</v>
      </c>
      <c r="CM103" s="568"/>
      <c r="CN103" s="568"/>
    </row>
    <row r="104" customHeight="1" spans="1:92">
      <c r="A104" s="612" t="s">
        <v>949</v>
      </c>
      <c r="B104" s="612"/>
      <c r="C104" s="518"/>
      <c r="D104" s="518"/>
      <c r="E104" s="518"/>
      <c r="F104" s="657">
        <v>3108000</v>
      </c>
      <c r="G104" s="657"/>
      <c r="H104" s="657"/>
      <c r="I104" s="519" t="s">
        <v>110</v>
      </c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26" t="s">
        <v>7</v>
      </c>
      <c r="AC104" s="526"/>
      <c r="AD104" s="658">
        <v>166.62</v>
      </c>
      <c r="AE104" s="658"/>
      <c r="AF104" s="658"/>
      <c r="AG104" s="526" t="s">
        <v>937</v>
      </c>
      <c r="AH104" s="526"/>
      <c r="AI104" s="659" t="s">
        <v>938</v>
      </c>
      <c r="AJ104" s="659"/>
      <c r="AK104" s="659"/>
      <c r="AL104" s="659"/>
      <c r="AM104" s="659"/>
      <c r="AN104" s="659"/>
      <c r="AO104" s="659"/>
      <c r="AP104" s="659"/>
      <c r="AQ104" s="659"/>
      <c r="AR104" s="659"/>
      <c r="AS104" s="659"/>
      <c r="AT104" s="659"/>
      <c r="AU104" s="659"/>
      <c r="AV104" s="659"/>
      <c r="AW104" s="658">
        <v>0.65</v>
      </c>
      <c r="AX104" s="658"/>
      <c r="AY104" s="658"/>
      <c r="AZ104" s="658">
        <v>1</v>
      </c>
      <c r="BA104" s="658"/>
      <c r="BB104" s="658"/>
      <c r="BC104" s="658">
        <v>108.303</v>
      </c>
      <c r="BD104" s="658"/>
      <c r="BE104" s="658"/>
      <c r="BF104" s="658">
        <v>182.49</v>
      </c>
      <c r="BG104" s="658"/>
      <c r="BH104" s="658"/>
      <c r="BI104" s="567">
        <v>0.593473614992602</v>
      </c>
      <c r="BJ104" s="567"/>
      <c r="BK104" s="567"/>
      <c r="BL104" s="567"/>
      <c r="BM104" s="660" t="s">
        <v>932</v>
      </c>
      <c r="BN104" s="660"/>
      <c r="BO104" s="660"/>
      <c r="BP104" s="660"/>
      <c r="BQ104" s="568" t="s">
        <v>932</v>
      </c>
      <c r="BR104" s="568"/>
      <c r="BS104" s="568"/>
      <c r="BT104" s="660">
        <v>0.593473614992602</v>
      </c>
      <c r="BU104" s="660"/>
      <c r="BV104" s="660"/>
      <c r="BW104" s="660"/>
      <c r="BX104" s="568">
        <v>1</v>
      </c>
      <c r="BY104" s="568"/>
      <c r="BZ104" s="568"/>
      <c r="CA104" s="660" t="s">
        <v>932</v>
      </c>
      <c r="CB104" s="660"/>
      <c r="CC104" s="660"/>
      <c r="CD104" s="660"/>
      <c r="CE104" s="568" t="s">
        <v>932</v>
      </c>
      <c r="CF104" s="568"/>
      <c r="CG104" s="568"/>
      <c r="CH104" s="660" t="s">
        <v>932</v>
      </c>
      <c r="CI104" s="660"/>
      <c r="CJ104" s="660"/>
      <c r="CK104" s="660"/>
      <c r="CL104" s="568" t="s">
        <v>932</v>
      </c>
      <c r="CM104" s="568"/>
      <c r="CN104" s="568"/>
    </row>
    <row r="105" customHeight="1" spans="1:92">
      <c r="A105" s="612"/>
      <c r="B105" s="612"/>
      <c r="C105" s="518"/>
      <c r="D105" s="518"/>
      <c r="E105" s="518"/>
      <c r="F105" s="657"/>
      <c r="G105" s="657"/>
      <c r="H105" s="657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26"/>
      <c r="AC105" s="526"/>
      <c r="AD105" s="658"/>
      <c r="AE105" s="658"/>
      <c r="AF105" s="658"/>
      <c r="AG105" s="526" t="s">
        <v>950</v>
      </c>
      <c r="AH105" s="526"/>
      <c r="AI105" s="659" t="s">
        <v>951</v>
      </c>
      <c r="AJ105" s="659"/>
      <c r="AK105" s="659"/>
      <c r="AL105" s="659"/>
      <c r="AM105" s="659"/>
      <c r="AN105" s="659"/>
      <c r="AO105" s="659"/>
      <c r="AP105" s="659"/>
      <c r="AQ105" s="659"/>
      <c r="AR105" s="659"/>
      <c r="AS105" s="659"/>
      <c r="AT105" s="659"/>
      <c r="AU105" s="659"/>
      <c r="AV105" s="659"/>
      <c r="AW105" s="658">
        <v>0.65</v>
      </c>
      <c r="AX105" s="658"/>
      <c r="AY105" s="658"/>
      <c r="AZ105" s="658"/>
      <c r="BA105" s="658"/>
      <c r="BB105" s="658"/>
      <c r="BC105" s="658">
        <v>108.303</v>
      </c>
      <c r="BD105" s="658"/>
      <c r="BE105" s="658"/>
      <c r="BF105" s="658">
        <v>182.49</v>
      </c>
      <c r="BG105" s="658"/>
      <c r="BH105" s="658"/>
      <c r="BI105" s="567">
        <v>0.593473614992602</v>
      </c>
      <c r="BJ105" s="567"/>
      <c r="BK105" s="567"/>
      <c r="BL105" s="567"/>
      <c r="BM105" s="660" t="s">
        <v>932</v>
      </c>
      <c r="BN105" s="660"/>
      <c r="BO105" s="660"/>
      <c r="BP105" s="660"/>
      <c r="BQ105" s="568" t="s">
        <v>932</v>
      </c>
      <c r="BR105" s="568"/>
      <c r="BS105" s="568"/>
      <c r="BT105" s="660">
        <v>0.593473614992602</v>
      </c>
      <c r="BU105" s="660"/>
      <c r="BV105" s="660"/>
      <c r="BW105" s="660"/>
      <c r="BX105" s="568">
        <v>1</v>
      </c>
      <c r="BY105" s="568"/>
      <c r="BZ105" s="568"/>
      <c r="CA105" s="660" t="s">
        <v>932</v>
      </c>
      <c r="CB105" s="660"/>
      <c r="CC105" s="660"/>
      <c r="CD105" s="660"/>
      <c r="CE105" s="568" t="s">
        <v>932</v>
      </c>
      <c r="CF105" s="568"/>
      <c r="CG105" s="568"/>
      <c r="CH105" s="660" t="s">
        <v>932</v>
      </c>
      <c r="CI105" s="660"/>
      <c r="CJ105" s="660"/>
      <c r="CK105" s="660"/>
      <c r="CL105" s="568" t="s">
        <v>932</v>
      </c>
      <c r="CM105" s="568"/>
      <c r="CN105" s="568"/>
    </row>
    <row r="106" hidden="1" customHeight="1" spans="1:92">
      <c r="A106" s="612"/>
      <c r="B106" s="612"/>
      <c r="C106" s="518"/>
      <c r="D106" s="518"/>
      <c r="E106" s="518"/>
      <c r="F106" s="657"/>
      <c r="G106" s="657"/>
      <c r="H106" s="657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26"/>
      <c r="AC106" s="526"/>
      <c r="AD106" s="658"/>
      <c r="AE106" s="658"/>
      <c r="AF106" s="658"/>
      <c r="AG106" s="526">
        <v>0</v>
      </c>
      <c r="AH106" s="526"/>
      <c r="AI106" s="659" t="e">
        <v>#N/A</v>
      </c>
      <c r="AJ106" s="659"/>
      <c r="AK106" s="659"/>
      <c r="AL106" s="659"/>
      <c r="AM106" s="659"/>
      <c r="AN106" s="659"/>
      <c r="AO106" s="659"/>
      <c r="AP106" s="659"/>
      <c r="AQ106" s="659"/>
      <c r="AR106" s="659"/>
      <c r="AS106" s="659"/>
      <c r="AT106" s="659"/>
      <c r="AU106" s="659"/>
      <c r="AV106" s="659"/>
      <c r="AW106" s="658">
        <v>0</v>
      </c>
      <c r="AX106" s="658"/>
      <c r="AY106" s="658"/>
      <c r="AZ106" s="658"/>
      <c r="BA106" s="658"/>
      <c r="BB106" s="658"/>
      <c r="BC106" s="658">
        <v>0</v>
      </c>
      <c r="BD106" s="658"/>
      <c r="BE106" s="658"/>
      <c r="BF106" s="658">
        <v>182.49</v>
      </c>
      <c r="BG106" s="658"/>
      <c r="BH106" s="658"/>
      <c r="BI106" s="567">
        <v>0</v>
      </c>
      <c r="BJ106" s="567"/>
      <c r="BK106" s="567"/>
      <c r="BL106" s="567"/>
      <c r="BM106" s="660" t="s">
        <v>932</v>
      </c>
      <c r="BN106" s="660"/>
      <c r="BO106" s="660"/>
      <c r="BP106" s="660"/>
      <c r="BQ106" s="568" t="s">
        <v>932</v>
      </c>
      <c r="BR106" s="568"/>
      <c r="BS106" s="568"/>
      <c r="BT106" s="660" t="s">
        <v>932</v>
      </c>
      <c r="BU106" s="660"/>
      <c r="BV106" s="660"/>
      <c r="BW106" s="660"/>
      <c r="BX106" s="568">
        <v>1</v>
      </c>
      <c r="BY106" s="568"/>
      <c r="BZ106" s="568"/>
      <c r="CA106" s="660" t="s">
        <v>932</v>
      </c>
      <c r="CB106" s="660"/>
      <c r="CC106" s="660"/>
      <c r="CD106" s="660"/>
      <c r="CE106" s="568" t="s">
        <v>932</v>
      </c>
      <c r="CF106" s="568"/>
      <c r="CG106" s="568"/>
      <c r="CH106" s="660" t="s">
        <v>932</v>
      </c>
      <c r="CI106" s="660"/>
      <c r="CJ106" s="660"/>
      <c r="CK106" s="660"/>
      <c r="CL106" s="568" t="s">
        <v>932</v>
      </c>
      <c r="CM106" s="568"/>
      <c r="CN106" s="568"/>
    </row>
    <row r="107" hidden="1" customHeight="1" spans="1:92">
      <c r="A107" s="612"/>
      <c r="B107" s="612"/>
      <c r="C107" s="518"/>
      <c r="D107" s="518"/>
      <c r="E107" s="518"/>
      <c r="F107" s="657"/>
      <c r="G107" s="657"/>
      <c r="H107" s="657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26"/>
      <c r="AC107" s="526"/>
      <c r="AD107" s="658"/>
      <c r="AE107" s="658"/>
      <c r="AF107" s="658"/>
      <c r="AG107" s="526">
        <v>0</v>
      </c>
      <c r="AH107" s="526"/>
      <c r="AI107" s="659" t="e">
        <v>#N/A</v>
      </c>
      <c r="AJ107" s="659"/>
      <c r="AK107" s="659"/>
      <c r="AL107" s="659"/>
      <c r="AM107" s="659"/>
      <c r="AN107" s="659"/>
      <c r="AO107" s="659"/>
      <c r="AP107" s="659"/>
      <c r="AQ107" s="659"/>
      <c r="AR107" s="659"/>
      <c r="AS107" s="659"/>
      <c r="AT107" s="659"/>
      <c r="AU107" s="659"/>
      <c r="AV107" s="659"/>
      <c r="AW107" s="658">
        <v>0</v>
      </c>
      <c r="AX107" s="658"/>
      <c r="AY107" s="658"/>
      <c r="AZ107" s="658"/>
      <c r="BA107" s="658"/>
      <c r="BB107" s="658"/>
      <c r="BC107" s="658">
        <v>0</v>
      </c>
      <c r="BD107" s="658"/>
      <c r="BE107" s="658"/>
      <c r="BF107" s="658">
        <v>182.49</v>
      </c>
      <c r="BG107" s="658"/>
      <c r="BH107" s="658"/>
      <c r="BI107" s="567">
        <v>0</v>
      </c>
      <c r="BJ107" s="567"/>
      <c r="BK107" s="567"/>
      <c r="BL107" s="567"/>
      <c r="BM107" s="660" t="s">
        <v>932</v>
      </c>
      <c r="BN107" s="660"/>
      <c r="BO107" s="660"/>
      <c r="BP107" s="660"/>
      <c r="BQ107" s="568" t="s">
        <v>932</v>
      </c>
      <c r="BR107" s="568"/>
      <c r="BS107" s="568"/>
      <c r="BT107" s="660" t="s">
        <v>932</v>
      </c>
      <c r="BU107" s="660"/>
      <c r="BV107" s="660"/>
      <c r="BW107" s="660"/>
      <c r="BX107" s="568">
        <v>1</v>
      </c>
      <c r="BY107" s="568"/>
      <c r="BZ107" s="568"/>
      <c r="CA107" s="660" t="s">
        <v>932</v>
      </c>
      <c r="CB107" s="660"/>
      <c r="CC107" s="660"/>
      <c r="CD107" s="660"/>
      <c r="CE107" s="568" t="s">
        <v>932</v>
      </c>
      <c r="CF107" s="568"/>
      <c r="CG107" s="568"/>
      <c r="CH107" s="660" t="s">
        <v>932</v>
      </c>
      <c r="CI107" s="660"/>
      <c r="CJ107" s="660"/>
      <c r="CK107" s="660"/>
      <c r="CL107" s="568" t="s">
        <v>932</v>
      </c>
      <c r="CM107" s="568"/>
      <c r="CN107" s="568"/>
    </row>
    <row r="108" hidden="1" customHeight="1" spans="1:92">
      <c r="A108" s="612"/>
      <c r="B108" s="612"/>
      <c r="C108" s="518"/>
      <c r="D108" s="518"/>
      <c r="E108" s="518"/>
      <c r="F108" s="657"/>
      <c r="G108" s="657"/>
      <c r="H108" s="657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26"/>
      <c r="AC108" s="526"/>
      <c r="AD108" s="658"/>
      <c r="AE108" s="658"/>
      <c r="AF108" s="658"/>
      <c r="AG108" s="526">
        <v>0</v>
      </c>
      <c r="AH108" s="526"/>
      <c r="AI108" s="659" t="e">
        <v>#N/A</v>
      </c>
      <c r="AJ108" s="659"/>
      <c r="AK108" s="659"/>
      <c r="AL108" s="659"/>
      <c r="AM108" s="659"/>
      <c r="AN108" s="659"/>
      <c r="AO108" s="659"/>
      <c r="AP108" s="659"/>
      <c r="AQ108" s="659"/>
      <c r="AR108" s="659"/>
      <c r="AS108" s="659"/>
      <c r="AT108" s="659"/>
      <c r="AU108" s="659"/>
      <c r="AV108" s="659"/>
      <c r="AW108" s="658">
        <v>0</v>
      </c>
      <c r="AX108" s="658"/>
      <c r="AY108" s="658"/>
      <c r="AZ108" s="658"/>
      <c r="BA108" s="658"/>
      <c r="BB108" s="658"/>
      <c r="BC108" s="658">
        <v>0</v>
      </c>
      <c r="BD108" s="658"/>
      <c r="BE108" s="658"/>
      <c r="BF108" s="658">
        <v>182.49</v>
      </c>
      <c r="BG108" s="658"/>
      <c r="BH108" s="658"/>
      <c r="BI108" s="567">
        <v>0</v>
      </c>
      <c r="BJ108" s="567"/>
      <c r="BK108" s="567"/>
      <c r="BL108" s="567"/>
      <c r="BM108" s="660" t="s">
        <v>932</v>
      </c>
      <c r="BN108" s="660"/>
      <c r="BO108" s="660"/>
      <c r="BP108" s="660"/>
      <c r="BQ108" s="568" t="s">
        <v>932</v>
      </c>
      <c r="BR108" s="568"/>
      <c r="BS108" s="568"/>
      <c r="BT108" s="660" t="s">
        <v>932</v>
      </c>
      <c r="BU108" s="660"/>
      <c r="BV108" s="660"/>
      <c r="BW108" s="660"/>
      <c r="BX108" s="568">
        <v>1</v>
      </c>
      <c r="BY108" s="568"/>
      <c r="BZ108" s="568"/>
      <c r="CA108" s="660" t="s">
        <v>932</v>
      </c>
      <c r="CB108" s="660"/>
      <c r="CC108" s="660"/>
      <c r="CD108" s="660"/>
      <c r="CE108" s="568" t="s">
        <v>932</v>
      </c>
      <c r="CF108" s="568"/>
      <c r="CG108" s="568"/>
      <c r="CH108" s="660" t="s">
        <v>932</v>
      </c>
      <c r="CI108" s="660"/>
      <c r="CJ108" s="660"/>
      <c r="CK108" s="660"/>
      <c r="CL108" s="568" t="s">
        <v>932</v>
      </c>
      <c r="CM108" s="568"/>
      <c r="CN108" s="568"/>
    </row>
    <row r="109" hidden="1" customHeight="1" spans="1:92">
      <c r="A109" s="612"/>
      <c r="B109" s="612"/>
      <c r="C109" s="518"/>
      <c r="D109" s="518"/>
      <c r="E109" s="518"/>
      <c r="F109" s="657"/>
      <c r="G109" s="657"/>
      <c r="H109" s="657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26"/>
      <c r="AC109" s="526"/>
      <c r="AD109" s="658"/>
      <c r="AE109" s="658"/>
      <c r="AF109" s="658"/>
      <c r="AG109" s="526">
        <v>0</v>
      </c>
      <c r="AH109" s="526"/>
      <c r="AI109" s="659" t="e">
        <v>#N/A</v>
      </c>
      <c r="AJ109" s="659"/>
      <c r="AK109" s="659"/>
      <c r="AL109" s="659"/>
      <c r="AM109" s="659"/>
      <c r="AN109" s="659"/>
      <c r="AO109" s="659"/>
      <c r="AP109" s="659"/>
      <c r="AQ109" s="659"/>
      <c r="AR109" s="659"/>
      <c r="AS109" s="659"/>
      <c r="AT109" s="659"/>
      <c r="AU109" s="659"/>
      <c r="AV109" s="659"/>
      <c r="AW109" s="658">
        <v>0</v>
      </c>
      <c r="AX109" s="658"/>
      <c r="AY109" s="658"/>
      <c r="AZ109" s="658"/>
      <c r="BA109" s="658"/>
      <c r="BB109" s="658"/>
      <c r="BC109" s="658">
        <v>0</v>
      </c>
      <c r="BD109" s="658"/>
      <c r="BE109" s="658"/>
      <c r="BF109" s="658">
        <v>182.49</v>
      </c>
      <c r="BG109" s="658"/>
      <c r="BH109" s="658"/>
      <c r="BI109" s="567">
        <v>0</v>
      </c>
      <c r="BJ109" s="567"/>
      <c r="BK109" s="567"/>
      <c r="BL109" s="567"/>
      <c r="BM109" s="660" t="s">
        <v>932</v>
      </c>
      <c r="BN109" s="660"/>
      <c r="BO109" s="660"/>
      <c r="BP109" s="660"/>
      <c r="BQ109" s="568" t="s">
        <v>932</v>
      </c>
      <c r="BR109" s="568"/>
      <c r="BS109" s="568"/>
      <c r="BT109" s="660" t="s">
        <v>932</v>
      </c>
      <c r="BU109" s="660"/>
      <c r="BV109" s="660"/>
      <c r="BW109" s="660"/>
      <c r="BX109" s="568">
        <v>1</v>
      </c>
      <c r="BY109" s="568"/>
      <c r="BZ109" s="568"/>
      <c r="CA109" s="660" t="s">
        <v>932</v>
      </c>
      <c r="CB109" s="660"/>
      <c r="CC109" s="660"/>
      <c r="CD109" s="660"/>
      <c r="CE109" s="568" t="s">
        <v>932</v>
      </c>
      <c r="CF109" s="568"/>
      <c r="CG109" s="568"/>
      <c r="CH109" s="660" t="s">
        <v>932</v>
      </c>
      <c r="CI109" s="660"/>
      <c r="CJ109" s="660"/>
      <c r="CK109" s="660"/>
      <c r="CL109" s="568" t="s">
        <v>932</v>
      </c>
      <c r="CM109" s="568"/>
      <c r="CN109" s="568"/>
    </row>
    <row r="110" hidden="1" customHeight="1" spans="1:92">
      <c r="A110" s="612"/>
      <c r="B110" s="612"/>
      <c r="C110" s="518"/>
      <c r="D110" s="518"/>
      <c r="E110" s="518"/>
      <c r="F110" s="657"/>
      <c r="G110" s="657"/>
      <c r="H110" s="657"/>
      <c r="I110" s="519"/>
      <c r="J110" s="519"/>
      <c r="K110" s="519"/>
      <c r="L110" s="519"/>
      <c r="M110" s="519"/>
      <c r="N110" s="519"/>
      <c r="O110" s="519"/>
      <c r="P110" s="519"/>
      <c r="Q110" s="519"/>
      <c r="R110" s="519"/>
      <c r="S110" s="519"/>
      <c r="T110" s="519"/>
      <c r="U110" s="519"/>
      <c r="V110" s="519"/>
      <c r="W110" s="519"/>
      <c r="X110" s="519"/>
      <c r="Y110" s="519"/>
      <c r="Z110" s="519"/>
      <c r="AA110" s="519"/>
      <c r="AB110" s="526"/>
      <c r="AC110" s="526"/>
      <c r="AD110" s="658"/>
      <c r="AE110" s="658"/>
      <c r="AF110" s="658"/>
      <c r="AG110" s="526">
        <v>0</v>
      </c>
      <c r="AH110" s="526"/>
      <c r="AI110" s="659" t="e">
        <v>#N/A</v>
      </c>
      <c r="AJ110" s="659"/>
      <c r="AK110" s="659"/>
      <c r="AL110" s="659"/>
      <c r="AM110" s="659"/>
      <c r="AN110" s="659"/>
      <c r="AO110" s="659"/>
      <c r="AP110" s="659"/>
      <c r="AQ110" s="659"/>
      <c r="AR110" s="659"/>
      <c r="AS110" s="659"/>
      <c r="AT110" s="659"/>
      <c r="AU110" s="659"/>
      <c r="AV110" s="659"/>
      <c r="AW110" s="658">
        <v>0</v>
      </c>
      <c r="AX110" s="658"/>
      <c r="AY110" s="658"/>
      <c r="AZ110" s="658"/>
      <c r="BA110" s="658"/>
      <c r="BB110" s="658"/>
      <c r="BC110" s="658">
        <v>0</v>
      </c>
      <c r="BD110" s="658"/>
      <c r="BE110" s="658"/>
      <c r="BF110" s="658">
        <v>182.49</v>
      </c>
      <c r="BG110" s="658"/>
      <c r="BH110" s="658"/>
      <c r="BI110" s="567">
        <v>0</v>
      </c>
      <c r="BJ110" s="567"/>
      <c r="BK110" s="567"/>
      <c r="BL110" s="567"/>
      <c r="BM110" s="660" t="s">
        <v>932</v>
      </c>
      <c r="BN110" s="660"/>
      <c r="BO110" s="660"/>
      <c r="BP110" s="660"/>
      <c r="BQ110" s="568" t="s">
        <v>932</v>
      </c>
      <c r="BR110" s="568"/>
      <c r="BS110" s="568"/>
      <c r="BT110" s="660" t="s">
        <v>932</v>
      </c>
      <c r="BU110" s="660"/>
      <c r="BV110" s="660"/>
      <c r="BW110" s="660"/>
      <c r="BX110" s="568">
        <v>1</v>
      </c>
      <c r="BY110" s="568"/>
      <c r="BZ110" s="568"/>
      <c r="CA110" s="660" t="s">
        <v>932</v>
      </c>
      <c r="CB110" s="660"/>
      <c r="CC110" s="660"/>
      <c r="CD110" s="660"/>
      <c r="CE110" s="568" t="s">
        <v>932</v>
      </c>
      <c r="CF110" s="568"/>
      <c r="CG110" s="568"/>
      <c r="CH110" s="660" t="s">
        <v>932</v>
      </c>
      <c r="CI110" s="660"/>
      <c r="CJ110" s="660"/>
      <c r="CK110" s="660"/>
      <c r="CL110" s="568" t="s">
        <v>932</v>
      </c>
      <c r="CM110" s="568"/>
      <c r="CN110" s="568"/>
    </row>
    <row r="111" hidden="1" customHeight="1" spans="1:92">
      <c r="A111" s="612"/>
      <c r="B111" s="612"/>
      <c r="C111" s="518"/>
      <c r="D111" s="518"/>
      <c r="E111" s="518"/>
      <c r="F111" s="657"/>
      <c r="G111" s="657"/>
      <c r="H111" s="657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26"/>
      <c r="AC111" s="526"/>
      <c r="AD111" s="658"/>
      <c r="AE111" s="658"/>
      <c r="AF111" s="658"/>
      <c r="AG111" s="526">
        <v>0</v>
      </c>
      <c r="AH111" s="526"/>
      <c r="AI111" s="659" t="e">
        <v>#N/A</v>
      </c>
      <c r="AJ111" s="659"/>
      <c r="AK111" s="659"/>
      <c r="AL111" s="659"/>
      <c r="AM111" s="659"/>
      <c r="AN111" s="659"/>
      <c r="AO111" s="659"/>
      <c r="AP111" s="659"/>
      <c r="AQ111" s="659"/>
      <c r="AR111" s="659"/>
      <c r="AS111" s="659"/>
      <c r="AT111" s="659"/>
      <c r="AU111" s="659"/>
      <c r="AV111" s="659"/>
      <c r="AW111" s="658">
        <v>0</v>
      </c>
      <c r="AX111" s="658"/>
      <c r="AY111" s="658"/>
      <c r="AZ111" s="658"/>
      <c r="BA111" s="658"/>
      <c r="BB111" s="658"/>
      <c r="BC111" s="658">
        <v>0</v>
      </c>
      <c r="BD111" s="658"/>
      <c r="BE111" s="658"/>
      <c r="BF111" s="658">
        <v>182.49</v>
      </c>
      <c r="BG111" s="658"/>
      <c r="BH111" s="658"/>
      <c r="BI111" s="567">
        <v>0</v>
      </c>
      <c r="BJ111" s="567"/>
      <c r="BK111" s="567"/>
      <c r="BL111" s="567"/>
      <c r="BM111" s="660" t="s">
        <v>932</v>
      </c>
      <c r="BN111" s="660"/>
      <c r="BO111" s="660"/>
      <c r="BP111" s="660"/>
      <c r="BQ111" s="568" t="s">
        <v>932</v>
      </c>
      <c r="BR111" s="568"/>
      <c r="BS111" s="568"/>
      <c r="BT111" s="660" t="s">
        <v>932</v>
      </c>
      <c r="BU111" s="660"/>
      <c r="BV111" s="660"/>
      <c r="BW111" s="660"/>
      <c r="BX111" s="568">
        <v>1</v>
      </c>
      <c r="BY111" s="568"/>
      <c r="BZ111" s="568"/>
      <c r="CA111" s="660" t="s">
        <v>932</v>
      </c>
      <c r="CB111" s="660"/>
      <c r="CC111" s="660"/>
      <c r="CD111" s="660"/>
      <c r="CE111" s="568" t="s">
        <v>932</v>
      </c>
      <c r="CF111" s="568"/>
      <c r="CG111" s="568"/>
      <c r="CH111" s="660" t="s">
        <v>932</v>
      </c>
      <c r="CI111" s="660"/>
      <c r="CJ111" s="660"/>
      <c r="CK111" s="660"/>
      <c r="CL111" s="568" t="s">
        <v>932</v>
      </c>
      <c r="CM111" s="568"/>
      <c r="CN111" s="568"/>
    </row>
    <row r="112" customHeight="1" spans="1:92">
      <c r="A112" s="612" t="s">
        <v>952</v>
      </c>
      <c r="B112" s="612"/>
      <c r="C112" s="518"/>
      <c r="D112" s="518"/>
      <c r="E112" s="518"/>
      <c r="F112" s="657">
        <v>407819</v>
      </c>
      <c r="G112" s="657"/>
      <c r="H112" s="657"/>
      <c r="I112" s="519" t="s">
        <v>100</v>
      </c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26" t="s">
        <v>101</v>
      </c>
      <c r="AC112" s="526"/>
      <c r="AD112" s="658">
        <v>3378.05</v>
      </c>
      <c r="AE112" s="658"/>
      <c r="AF112" s="658"/>
      <c r="AG112" s="526" t="s">
        <v>937</v>
      </c>
      <c r="AH112" s="526"/>
      <c r="AI112" s="659" t="s">
        <v>938</v>
      </c>
      <c r="AJ112" s="659"/>
      <c r="AK112" s="659"/>
      <c r="AL112" s="659"/>
      <c r="AM112" s="659"/>
      <c r="AN112" s="659"/>
      <c r="AO112" s="659"/>
      <c r="AP112" s="659"/>
      <c r="AQ112" s="659"/>
      <c r="AR112" s="659"/>
      <c r="AS112" s="659"/>
      <c r="AT112" s="659"/>
      <c r="AU112" s="659"/>
      <c r="AV112" s="659"/>
      <c r="AW112" s="658">
        <v>0.09</v>
      </c>
      <c r="AX112" s="658"/>
      <c r="AY112" s="658"/>
      <c r="AZ112" s="658">
        <v>1</v>
      </c>
      <c r="BA112" s="658"/>
      <c r="BB112" s="658"/>
      <c r="BC112" s="658">
        <v>304.0245</v>
      </c>
      <c r="BD112" s="658"/>
      <c r="BE112" s="658"/>
      <c r="BF112" s="658">
        <v>182.49</v>
      </c>
      <c r="BG112" s="658"/>
      <c r="BH112" s="658"/>
      <c r="BI112" s="567">
        <v>1.66597895775111</v>
      </c>
      <c r="BJ112" s="567"/>
      <c r="BK112" s="567"/>
      <c r="BL112" s="567"/>
      <c r="BM112" s="660" t="s">
        <v>932</v>
      </c>
      <c r="BN112" s="660"/>
      <c r="BO112" s="660"/>
      <c r="BP112" s="660"/>
      <c r="BQ112" s="568" t="s">
        <v>932</v>
      </c>
      <c r="BR112" s="568"/>
      <c r="BS112" s="568"/>
      <c r="BT112" s="660">
        <v>1.66597895775111</v>
      </c>
      <c r="BU112" s="660"/>
      <c r="BV112" s="660"/>
      <c r="BW112" s="660"/>
      <c r="BX112" s="568">
        <v>1</v>
      </c>
      <c r="BY112" s="568"/>
      <c r="BZ112" s="568"/>
      <c r="CA112" s="660" t="s">
        <v>932</v>
      </c>
      <c r="CB112" s="660"/>
      <c r="CC112" s="660"/>
      <c r="CD112" s="660"/>
      <c r="CE112" s="568" t="s">
        <v>932</v>
      </c>
      <c r="CF112" s="568"/>
      <c r="CG112" s="568"/>
      <c r="CH112" s="660" t="s">
        <v>932</v>
      </c>
      <c r="CI112" s="660"/>
      <c r="CJ112" s="660"/>
      <c r="CK112" s="660"/>
      <c r="CL112" s="568" t="s">
        <v>932</v>
      </c>
      <c r="CM112" s="568"/>
      <c r="CN112" s="568"/>
    </row>
    <row r="113" customHeight="1" spans="1:92">
      <c r="A113" s="612"/>
      <c r="B113" s="612"/>
      <c r="C113" s="518"/>
      <c r="D113" s="518"/>
      <c r="E113" s="518"/>
      <c r="F113" s="657"/>
      <c r="G113" s="657"/>
      <c r="H113" s="657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26"/>
      <c r="AC113" s="526"/>
      <c r="AD113" s="658"/>
      <c r="AE113" s="658"/>
      <c r="AF113" s="658"/>
      <c r="AG113" s="526" t="s">
        <v>939</v>
      </c>
      <c r="AH113" s="526"/>
      <c r="AI113" s="659" t="s">
        <v>940</v>
      </c>
      <c r="AJ113" s="659"/>
      <c r="AK113" s="659"/>
      <c r="AL113" s="659"/>
      <c r="AM113" s="659"/>
      <c r="AN113" s="659"/>
      <c r="AO113" s="659"/>
      <c r="AP113" s="659"/>
      <c r="AQ113" s="659"/>
      <c r="AR113" s="659"/>
      <c r="AS113" s="659"/>
      <c r="AT113" s="659"/>
      <c r="AU113" s="659"/>
      <c r="AV113" s="659"/>
      <c r="AW113" s="658">
        <v>0.09</v>
      </c>
      <c r="AX113" s="658"/>
      <c r="AY113" s="658"/>
      <c r="AZ113" s="658"/>
      <c r="BA113" s="658"/>
      <c r="BB113" s="658"/>
      <c r="BC113" s="658">
        <v>304.0245</v>
      </c>
      <c r="BD113" s="658"/>
      <c r="BE113" s="658"/>
      <c r="BF113" s="658">
        <v>182.49</v>
      </c>
      <c r="BG113" s="658"/>
      <c r="BH113" s="658"/>
      <c r="BI113" s="567">
        <v>1.66597895775111</v>
      </c>
      <c r="BJ113" s="567"/>
      <c r="BK113" s="567"/>
      <c r="BL113" s="567"/>
      <c r="BM113" s="660" t="s">
        <v>932</v>
      </c>
      <c r="BN113" s="660"/>
      <c r="BO113" s="660"/>
      <c r="BP113" s="660"/>
      <c r="BQ113" s="568" t="s">
        <v>932</v>
      </c>
      <c r="BR113" s="568"/>
      <c r="BS113" s="568"/>
      <c r="BT113" s="660">
        <v>1.66597895775111</v>
      </c>
      <c r="BU113" s="660"/>
      <c r="BV113" s="660"/>
      <c r="BW113" s="660"/>
      <c r="BX113" s="568">
        <v>1</v>
      </c>
      <c r="BY113" s="568"/>
      <c r="BZ113" s="568"/>
      <c r="CA113" s="660" t="s">
        <v>932</v>
      </c>
      <c r="CB113" s="660"/>
      <c r="CC113" s="660"/>
      <c r="CD113" s="660"/>
      <c r="CE113" s="568" t="s">
        <v>932</v>
      </c>
      <c r="CF113" s="568"/>
      <c r="CG113" s="568"/>
      <c r="CH113" s="660" t="s">
        <v>932</v>
      </c>
      <c r="CI113" s="660"/>
      <c r="CJ113" s="660"/>
      <c r="CK113" s="660"/>
      <c r="CL113" s="568" t="s">
        <v>932</v>
      </c>
      <c r="CM113" s="568"/>
      <c r="CN113" s="568"/>
    </row>
    <row r="114" hidden="1" customHeight="1" spans="1:92">
      <c r="A114" s="612"/>
      <c r="B114" s="612"/>
      <c r="C114" s="518"/>
      <c r="D114" s="518"/>
      <c r="E114" s="518"/>
      <c r="F114" s="657"/>
      <c r="G114" s="657"/>
      <c r="H114" s="657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26"/>
      <c r="AC114" s="526"/>
      <c r="AD114" s="658"/>
      <c r="AE114" s="658"/>
      <c r="AF114" s="658"/>
      <c r="AG114" s="526">
        <v>0</v>
      </c>
      <c r="AH114" s="526"/>
      <c r="AI114" s="659" t="e">
        <v>#N/A</v>
      </c>
      <c r="AJ114" s="659"/>
      <c r="AK114" s="659"/>
      <c r="AL114" s="659"/>
      <c r="AM114" s="659"/>
      <c r="AN114" s="659"/>
      <c r="AO114" s="659"/>
      <c r="AP114" s="659"/>
      <c r="AQ114" s="659"/>
      <c r="AR114" s="659"/>
      <c r="AS114" s="659"/>
      <c r="AT114" s="659"/>
      <c r="AU114" s="659"/>
      <c r="AV114" s="659"/>
      <c r="AW114" s="658">
        <v>0</v>
      </c>
      <c r="AX114" s="658"/>
      <c r="AY114" s="658"/>
      <c r="AZ114" s="658"/>
      <c r="BA114" s="658"/>
      <c r="BB114" s="658"/>
      <c r="BC114" s="658">
        <v>0</v>
      </c>
      <c r="BD114" s="658"/>
      <c r="BE114" s="658"/>
      <c r="BF114" s="658">
        <v>182.49</v>
      </c>
      <c r="BG114" s="658"/>
      <c r="BH114" s="658"/>
      <c r="BI114" s="567">
        <v>0</v>
      </c>
      <c r="BJ114" s="567"/>
      <c r="BK114" s="567"/>
      <c r="BL114" s="567"/>
      <c r="BM114" s="660" t="s">
        <v>932</v>
      </c>
      <c r="BN114" s="660"/>
      <c r="BO114" s="660"/>
      <c r="BP114" s="660"/>
      <c r="BQ114" s="568" t="s">
        <v>932</v>
      </c>
      <c r="BR114" s="568"/>
      <c r="BS114" s="568"/>
      <c r="BT114" s="660" t="s">
        <v>932</v>
      </c>
      <c r="BU114" s="660"/>
      <c r="BV114" s="660"/>
      <c r="BW114" s="660"/>
      <c r="BX114" s="568">
        <v>1</v>
      </c>
      <c r="BY114" s="568"/>
      <c r="BZ114" s="568"/>
      <c r="CA114" s="660" t="s">
        <v>932</v>
      </c>
      <c r="CB114" s="660"/>
      <c r="CC114" s="660"/>
      <c r="CD114" s="660"/>
      <c r="CE114" s="568" t="s">
        <v>932</v>
      </c>
      <c r="CF114" s="568"/>
      <c r="CG114" s="568"/>
      <c r="CH114" s="660" t="s">
        <v>932</v>
      </c>
      <c r="CI114" s="660"/>
      <c r="CJ114" s="660"/>
      <c r="CK114" s="660"/>
      <c r="CL114" s="568" t="s">
        <v>932</v>
      </c>
      <c r="CM114" s="568"/>
      <c r="CN114" s="568"/>
    </row>
    <row r="115" hidden="1" customHeight="1" spans="1:92">
      <c r="A115" s="612"/>
      <c r="B115" s="612"/>
      <c r="C115" s="518"/>
      <c r="D115" s="518"/>
      <c r="E115" s="518"/>
      <c r="F115" s="657"/>
      <c r="G115" s="657"/>
      <c r="H115" s="657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26"/>
      <c r="AC115" s="526"/>
      <c r="AD115" s="658"/>
      <c r="AE115" s="658"/>
      <c r="AF115" s="658"/>
      <c r="AG115" s="526">
        <v>0</v>
      </c>
      <c r="AH115" s="526"/>
      <c r="AI115" s="659" t="e">
        <v>#N/A</v>
      </c>
      <c r="AJ115" s="659"/>
      <c r="AK115" s="659"/>
      <c r="AL115" s="659"/>
      <c r="AM115" s="659"/>
      <c r="AN115" s="659"/>
      <c r="AO115" s="659"/>
      <c r="AP115" s="659"/>
      <c r="AQ115" s="659"/>
      <c r="AR115" s="659"/>
      <c r="AS115" s="659"/>
      <c r="AT115" s="659"/>
      <c r="AU115" s="659"/>
      <c r="AV115" s="659"/>
      <c r="AW115" s="658">
        <v>0</v>
      </c>
      <c r="AX115" s="658"/>
      <c r="AY115" s="658"/>
      <c r="AZ115" s="658"/>
      <c r="BA115" s="658"/>
      <c r="BB115" s="658"/>
      <c r="BC115" s="658">
        <v>0</v>
      </c>
      <c r="BD115" s="658"/>
      <c r="BE115" s="658"/>
      <c r="BF115" s="658">
        <v>182.49</v>
      </c>
      <c r="BG115" s="658"/>
      <c r="BH115" s="658"/>
      <c r="BI115" s="567">
        <v>0</v>
      </c>
      <c r="BJ115" s="567"/>
      <c r="BK115" s="567"/>
      <c r="BL115" s="567"/>
      <c r="BM115" s="660" t="s">
        <v>932</v>
      </c>
      <c r="BN115" s="660"/>
      <c r="BO115" s="660"/>
      <c r="BP115" s="660"/>
      <c r="BQ115" s="568" t="s">
        <v>932</v>
      </c>
      <c r="BR115" s="568"/>
      <c r="BS115" s="568"/>
      <c r="BT115" s="660" t="s">
        <v>932</v>
      </c>
      <c r="BU115" s="660"/>
      <c r="BV115" s="660"/>
      <c r="BW115" s="660"/>
      <c r="BX115" s="568">
        <v>1</v>
      </c>
      <c r="BY115" s="568"/>
      <c r="BZ115" s="568"/>
      <c r="CA115" s="660" t="s">
        <v>932</v>
      </c>
      <c r="CB115" s="660"/>
      <c r="CC115" s="660"/>
      <c r="CD115" s="660"/>
      <c r="CE115" s="568" t="s">
        <v>932</v>
      </c>
      <c r="CF115" s="568"/>
      <c r="CG115" s="568"/>
      <c r="CH115" s="660" t="s">
        <v>932</v>
      </c>
      <c r="CI115" s="660"/>
      <c r="CJ115" s="660"/>
      <c r="CK115" s="660"/>
      <c r="CL115" s="568" t="s">
        <v>932</v>
      </c>
      <c r="CM115" s="568"/>
      <c r="CN115" s="568"/>
    </row>
    <row r="116" hidden="1" customHeight="1" spans="1:92">
      <c r="A116" s="612"/>
      <c r="B116" s="612"/>
      <c r="C116" s="518"/>
      <c r="D116" s="518"/>
      <c r="E116" s="518"/>
      <c r="F116" s="657"/>
      <c r="G116" s="657"/>
      <c r="H116" s="657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26"/>
      <c r="AC116" s="526"/>
      <c r="AD116" s="658"/>
      <c r="AE116" s="658"/>
      <c r="AF116" s="658"/>
      <c r="AG116" s="526">
        <v>0</v>
      </c>
      <c r="AH116" s="526"/>
      <c r="AI116" s="659" t="e">
        <v>#N/A</v>
      </c>
      <c r="AJ116" s="659"/>
      <c r="AK116" s="659"/>
      <c r="AL116" s="659"/>
      <c r="AM116" s="659"/>
      <c r="AN116" s="659"/>
      <c r="AO116" s="659"/>
      <c r="AP116" s="659"/>
      <c r="AQ116" s="659"/>
      <c r="AR116" s="659"/>
      <c r="AS116" s="659"/>
      <c r="AT116" s="659"/>
      <c r="AU116" s="659"/>
      <c r="AV116" s="659"/>
      <c r="AW116" s="658">
        <v>0</v>
      </c>
      <c r="AX116" s="658"/>
      <c r="AY116" s="658"/>
      <c r="AZ116" s="658"/>
      <c r="BA116" s="658"/>
      <c r="BB116" s="658"/>
      <c r="BC116" s="658">
        <v>0</v>
      </c>
      <c r="BD116" s="658"/>
      <c r="BE116" s="658"/>
      <c r="BF116" s="658">
        <v>182.49</v>
      </c>
      <c r="BG116" s="658"/>
      <c r="BH116" s="658"/>
      <c r="BI116" s="567">
        <v>0</v>
      </c>
      <c r="BJ116" s="567"/>
      <c r="BK116" s="567"/>
      <c r="BL116" s="567"/>
      <c r="BM116" s="660" t="s">
        <v>932</v>
      </c>
      <c r="BN116" s="660"/>
      <c r="BO116" s="660"/>
      <c r="BP116" s="660"/>
      <c r="BQ116" s="568" t="s">
        <v>932</v>
      </c>
      <c r="BR116" s="568"/>
      <c r="BS116" s="568"/>
      <c r="BT116" s="660" t="s">
        <v>932</v>
      </c>
      <c r="BU116" s="660"/>
      <c r="BV116" s="660"/>
      <c r="BW116" s="660"/>
      <c r="BX116" s="568">
        <v>1</v>
      </c>
      <c r="BY116" s="568"/>
      <c r="BZ116" s="568"/>
      <c r="CA116" s="660" t="s">
        <v>932</v>
      </c>
      <c r="CB116" s="660"/>
      <c r="CC116" s="660"/>
      <c r="CD116" s="660"/>
      <c r="CE116" s="568" t="s">
        <v>932</v>
      </c>
      <c r="CF116" s="568"/>
      <c r="CG116" s="568"/>
      <c r="CH116" s="660" t="s">
        <v>932</v>
      </c>
      <c r="CI116" s="660"/>
      <c r="CJ116" s="660"/>
      <c r="CK116" s="660"/>
      <c r="CL116" s="568" t="s">
        <v>932</v>
      </c>
      <c r="CM116" s="568"/>
      <c r="CN116" s="568"/>
    </row>
    <row r="117" hidden="1" customHeight="1" spans="1:92">
      <c r="A117" s="612"/>
      <c r="B117" s="612"/>
      <c r="C117" s="518"/>
      <c r="D117" s="518"/>
      <c r="E117" s="518"/>
      <c r="F117" s="657"/>
      <c r="G117" s="657"/>
      <c r="H117" s="657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26"/>
      <c r="AC117" s="526"/>
      <c r="AD117" s="658"/>
      <c r="AE117" s="658"/>
      <c r="AF117" s="658"/>
      <c r="AG117" s="526">
        <v>0</v>
      </c>
      <c r="AH117" s="526"/>
      <c r="AI117" s="659" t="e">
        <v>#N/A</v>
      </c>
      <c r="AJ117" s="659"/>
      <c r="AK117" s="659"/>
      <c r="AL117" s="659"/>
      <c r="AM117" s="659"/>
      <c r="AN117" s="659"/>
      <c r="AO117" s="659"/>
      <c r="AP117" s="659"/>
      <c r="AQ117" s="659"/>
      <c r="AR117" s="659"/>
      <c r="AS117" s="659"/>
      <c r="AT117" s="659"/>
      <c r="AU117" s="659"/>
      <c r="AV117" s="659"/>
      <c r="AW117" s="658">
        <v>0</v>
      </c>
      <c r="AX117" s="658"/>
      <c r="AY117" s="658"/>
      <c r="AZ117" s="658"/>
      <c r="BA117" s="658"/>
      <c r="BB117" s="658"/>
      <c r="BC117" s="658">
        <v>0</v>
      </c>
      <c r="BD117" s="658"/>
      <c r="BE117" s="658"/>
      <c r="BF117" s="658">
        <v>182.49</v>
      </c>
      <c r="BG117" s="658"/>
      <c r="BH117" s="658"/>
      <c r="BI117" s="567">
        <v>0</v>
      </c>
      <c r="BJ117" s="567"/>
      <c r="BK117" s="567"/>
      <c r="BL117" s="567"/>
      <c r="BM117" s="660" t="s">
        <v>932</v>
      </c>
      <c r="BN117" s="660"/>
      <c r="BO117" s="660"/>
      <c r="BP117" s="660"/>
      <c r="BQ117" s="568" t="s">
        <v>932</v>
      </c>
      <c r="BR117" s="568"/>
      <c r="BS117" s="568"/>
      <c r="BT117" s="660" t="s">
        <v>932</v>
      </c>
      <c r="BU117" s="660"/>
      <c r="BV117" s="660"/>
      <c r="BW117" s="660"/>
      <c r="BX117" s="568">
        <v>1</v>
      </c>
      <c r="BY117" s="568"/>
      <c r="BZ117" s="568"/>
      <c r="CA117" s="660" t="s">
        <v>932</v>
      </c>
      <c r="CB117" s="660"/>
      <c r="CC117" s="660"/>
      <c r="CD117" s="660"/>
      <c r="CE117" s="568" t="s">
        <v>932</v>
      </c>
      <c r="CF117" s="568"/>
      <c r="CG117" s="568"/>
      <c r="CH117" s="660" t="s">
        <v>932</v>
      </c>
      <c r="CI117" s="660"/>
      <c r="CJ117" s="660"/>
      <c r="CK117" s="660"/>
      <c r="CL117" s="568" t="s">
        <v>932</v>
      </c>
      <c r="CM117" s="568"/>
      <c r="CN117" s="568"/>
    </row>
    <row r="118" hidden="1" customHeight="1" spans="1:92">
      <c r="A118" s="612"/>
      <c r="B118" s="612"/>
      <c r="C118" s="518"/>
      <c r="D118" s="518"/>
      <c r="E118" s="518"/>
      <c r="F118" s="657"/>
      <c r="G118" s="657"/>
      <c r="H118" s="657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26"/>
      <c r="AC118" s="526"/>
      <c r="AD118" s="658"/>
      <c r="AE118" s="658"/>
      <c r="AF118" s="658"/>
      <c r="AG118" s="526">
        <v>0</v>
      </c>
      <c r="AH118" s="526"/>
      <c r="AI118" s="659" t="e">
        <v>#N/A</v>
      </c>
      <c r="AJ118" s="659"/>
      <c r="AK118" s="659"/>
      <c r="AL118" s="659"/>
      <c r="AM118" s="659"/>
      <c r="AN118" s="659"/>
      <c r="AO118" s="659"/>
      <c r="AP118" s="659"/>
      <c r="AQ118" s="659"/>
      <c r="AR118" s="659"/>
      <c r="AS118" s="659"/>
      <c r="AT118" s="659"/>
      <c r="AU118" s="659"/>
      <c r="AV118" s="659"/>
      <c r="AW118" s="658">
        <v>0</v>
      </c>
      <c r="AX118" s="658"/>
      <c r="AY118" s="658"/>
      <c r="AZ118" s="658"/>
      <c r="BA118" s="658"/>
      <c r="BB118" s="658"/>
      <c r="BC118" s="658">
        <v>0</v>
      </c>
      <c r="BD118" s="658"/>
      <c r="BE118" s="658"/>
      <c r="BF118" s="658">
        <v>182.49</v>
      </c>
      <c r="BG118" s="658"/>
      <c r="BH118" s="658"/>
      <c r="BI118" s="567">
        <v>0</v>
      </c>
      <c r="BJ118" s="567"/>
      <c r="BK118" s="567"/>
      <c r="BL118" s="567"/>
      <c r="BM118" s="660" t="s">
        <v>932</v>
      </c>
      <c r="BN118" s="660"/>
      <c r="BO118" s="660"/>
      <c r="BP118" s="660"/>
      <c r="BQ118" s="568" t="s">
        <v>932</v>
      </c>
      <c r="BR118" s="568"/>
      <c r="BS118" s="568"/>
      <c r="BT118" s="660" t="s">
        <v>932</v>
      </c>
      <c r="BU118" s="660"/>
      <c r="BV118" s="660"/>
      <c r="BW118" s="660"/>
      <c r="BX118" s="568">
        <v>1</v>
      </c>
      <c r="BY118" s="568"/>
      <c r="BZ118" s="568"/>
      <c r="CA118" s="660" t="s">
        <v>932</v>
      </c>
      <c r="CB118" s="660"/>
      <c r="CC118" s="660"/>
      <c r="CD118" s="660"/>
      <c r="CE118" s="568" t="s">
        <v>932</v>
      </c>
      <c r="CF118" s="568"/>
      <c r="CG118" s="568"/>
      <c r="CH118" s="660" t="s">
        <v>932</v>
      </c>
      <c r="CI118" s="660"/>
      <c r="CJ118" s="660"/>
      <c r="CK118" s="660"/>
      <c r="CL118" s="568" t="s">
        <v>932</v>
      </c>
      <c r="CM118" s="568"/>
      <c r="CN118" s="568"/>
    </row>
    <row r="119" hidden="1" customHeight="1" spans="1:92">
      <c r="A119" s="612"/>
      <c r="B119" s="612"/>
      <c r="C119" s="518"/>
      <c r="D119" s="518"/>
      <c r="E119" s="518"/>
      <c r="F119" s="657"/>
      <c r="G119" s="657"/>
      <c r="H119" s="657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26"/>
      <c r="AC119" s="526"/>
      <c r="AD119" s="658"/>
      <c r="AE119" s="658"/>
      <c r="AF119" s="658"/>
      <c r="AG119" s="526">
        <v>0</v>
      </c>
      <c r="AH119" s="526"/>
      <c r="AI119" s="659" t="e">
        <v>#N/A</v>
      </c>
      <c r="AJ119" s="659"/>
      <c r="AK119" s="659"/>
      <c r="AL119" s="659"/>
      <c r="AM119" s="659"/>
      <c r="AN119" s="659"/>
      <c r="AO119" s="659"/>
      <c r="AP119" s="659"/>
      <c r="AQ119" s="659"/>
      <c r="AR119" s="659"/>
      <c r="AS119" s="659"/>
      <c r="AT119" s="659"/>
      <c r="AU119" s="659"/>
      <c r="AV119" s="659"/>
      <c r="AW119" s="658">
        <v>0</v>
      </c>
      <c r="AX119" s="658"/>
      <c r="AY119" s="658"/>
      <c r="AZ119" s="658"/>
      <c r="BA119" s="658"/>
      <c r="BB119" s="658"/>
      <c r="BC119" s="658">
        <v>0</v>
      </c>
      <c r="BD119" s="658"/>
      <c r="BE119" s="658"/>
      <c r="BF119" s="658">
        <v>182.49</v>
      </c>
      <c r="BG119" s="658"/>
      <c r="BH119" s="658"/>
      <c r="BI119" s="567">
        <v>0</v>
      </c>
      <c r="BJ119" s="567"/>
      <c r="BK119" s="567"/>
      <c r="BL119" s="567"/>
      <c r="BM119" s="660" t="s">
        <v>932</v>
      </c>
      <c r="BN119" s="660"/>
      <c r="BO119" s="660"/>
      <c r="BP119" s="660"/>
      <c r="BQ119" s="568" t="s">
        <v>932</v>
      </c>
      <c r="BR119" s="568"/>
      <c r="BS119" s="568"/>
      <c r="BT119" s="660" t="s">
        <v>932</v>
      </c>
      <c r="BU119" s="660"/>
      <c r="BV119" s="660"/>
      <c r="BW119" s="660"/>
      <c r="BX119" s="568">
        <v>1</v>
      </c>
      <c r="BY119" s="568"/>
      <c r="BZ119" s="568"/>
      <c r="CA119" s="660" t="s">
        <v>932</v>
      </c>
      <c r="CB119" s="660"/>
      <c r="CC119" s="660"/>
      <c r="CD119" s="660"/>
      <c r="CE119" s="568" t="s">
        <v>932</v>
      </c>
      <c r="CF119" s="568"/>
      <c r="CG119" s="568"/>
      <c r="CH119" s="660" t="s">
        <v>932</v>
      </c>
      <c r="CI119" s="660"/>
      <c r="CJ119" s="660"/>
      <c r="CK119" s="660"/>
      <c r="CL119" s="568" t="s">
        <v>932</v>
      </c>
      <c r="CM119" s="568"/>
      <c r="CN119" s="568"/>
    </row>
    <row r="120" customHeight="1" spans="1:92">
      <c r="A120" s="612" t="s">
        <v>953</v>
      </c>
      <c r="B120" s="612"/>
      <c r="C120" s="518"/>
      <c r="D120" s="518"/>
      <c r="E120" s="518"/>
      <c r="F120" s="657">
        <v>3806429</v>
      </c>
      <c r="G120" s="657"/>
      <c r="H120" s="657"/>
      <c r="I120" s="519" t="s">
        <v>111</v>
      </c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26" t="s">
        <v>99</v>
      </c>
      <c r="AC120" s="526"/>
      <c r="AD120" s="658">
        <v>189.84</v>
      </c>
      <c r="AE120" s="658"/>
      <c r="AF120" s="658"/>
      <c r="AG120" s="526" t="s">
        <v>937</v>
      </c>
      <c r="AH120" s="526"/>
      <c r="AI120" s="659" t="s">
        <v>938</v>
      </c>
      <c r="AJ120" s="659"/>
      <c r="AK120" s="659"/>
      <c r="AL120" s="659"/>
      <c r="AM120" s="659"/>
      <c r="AN120" s="659"/>
      <c r="AO120" s="659"/>
      <c r="AP120" s="659"/>
      <c r="AQ120" s="659"/>
      <c r="AR120" s="659"/>
      <c r="AS120" s="659"/>
      <c r="AT120" s="659"/>
      <c r="AU120" s="659"/>
      <c r="AV120" s="659"/>
      <c r="AW120" s="658">
        <v>1</v>
      </c>
      <c r="AX120" s="658"/>
      <c r="AY120" s="658"/>
      <c r="AZ120" s="658">
        <v>4.28571</v>
      </c>
      <c r="BA120" s="658"/>
      <c r="BB120" s="658"/>
      <c r="BC120" s="658">
        <v>44.2960442960443</v>
      </c>
      <c r="BD120" s="658"/>
      <c r="BE120" s="658"/>
      <c r="BF120" s="658">
        <v>182.49</v>
      </c>
      <c r="BG120" s="658"/>
      <c r="BH120" s="658"/>
      <c r="BI120" s="567">
        <v>0.242731351285245</v>
      </c>
      <c r="BJ120" s="567"/>
      <c r="BK120" s="567"/>
      <c r="BL120" s="567"/>
      <c r="BM120" s="660" t="s">
        <v>932</v>
      </c>
      <c r="BN120" s="660"/>
      <c r="BO120" s="660"/>
      <c r="BP120" s="660"/>
      <c r="BQ120" s="568" t="s">
        <v>932</v>
      </c>
      <c r="BR120" s="568"/>
      <c r="BS120" s="568"/>
      <c r="BT120" s="660">
        <v>0.242731351285245</v>
      </c>
      <c r="BU120" s="660"/>
      <c r="BV120" s="660"/>
      <c r="BW120" s="660"/>
      <c r="BX120" s="568">
        <v>1</v>
      </c>
      <c r="BY120" s="568"/>
      <c r="BZ120" s="568"/>
      <c r="CA120" s="660" t="s">
        <v>932</v>
      </c>
      <c r="CB120" s="660"/>
      <c r="CC120" s="660"/>
      <c r="CD120" s="660"/>
      <c r="CE120" s="568" t="s">
        <v>932</v>
      </c>
      <c r="CF120" s="568"/>
      <c r="CG120" s="568"/>
      <c r="CH120" s="660" t="s">
        <v>932</v>
      </c>
      <c r="CI120" s="660"/>
      <c r="CJ120" s="660"/>
      <c r="CK120" s="660"/>
      <c r="CL120" s="568" t="s">
        <v>932</v>
      </c>
      <c r="CM120" s="568"/>
      <c r="CN120" s="568"/>
    </row>
    <row r="121" customHeight="1" spans="1:92">
      <c r="A121" s="612"/>
      <c r="B121" s="612"/>
      <c r="C121" s="518"/>
      <c r="D121" s="518"/>
      <c r="E121" s="518"/>
      <c r="F121" s="657"/>
      <c r="G121" s="657"/>
      <c r="H121" s="657"/>
      <c r="I121" s="519"/>
      <c r="J121" s="519"/>
      <c r="K121" s="519"/>
      <c r="L121" s="519"/>
      <c r="M121" s="519"/>
      <c r="N121" s="519"/>
      <c r="O121" s="519"/>
      <c r="P121" s="519"/>
      <c r="Q121" s="519"/>
      <c r="R121" s="519"/>
      <c r="S121" s="519"/>
      <c r="T121" s="519"/>
      <c r="U121" s="519"/>
      <c r="V121" s="519"/>
      <c r="W121" s="519"/>
      <c r="X121" s="519"/>
      <c r="Y121" s="519"/>
      <c r="Z121" s="519"/>
      <c r="AA121" s="519"/>
      <c r="AB121" s="526"/>
      <c r="AC121" s="526"/>
      <c r="AD121" s="658"/>
      <c r="AE121" s="658"/>
      <c r="AF121" s="658"/>
      <c r="AG121" s="526" t="s">
        <v>954</v>
      </c>
      <c r="AH121" s="526"/>
      <c r="AI121" s="659" t="s">
        <v>955</v>
      </c>
      <c r="AJ121" s="659"/>
      <c r="AK121" s="659"/>
      <c r="AL121" s="659"/>
      <c r="AM121" s="659"/>
      <c r="AN121" s="659"/>
      <c r="AO121" s="659"/>
      <c r="AP121" s="659"/>
      <c r="AQ121" s="659"/>
      <c r="AR121" s="659"/>
      <c r="AS121" s="659"/>
      <c r="AT121" s="659"/>
      <c r="AU121" s="659"/>
      <c r="AV121" s="659"/>
      <c r="AW121" s="658">
        <v>1</v>
      </c>
      <c r="AX121" s="658"/>
      <c r="AY121" s="658"/>
      <c r="AZ121" s="658"/>
      <c r="BA121" s="658"/>
      <c r="BB121" s="658"/>
      <c r="BC121" s="658">
        <v>44.2960442960443</v>
      </c>
      <c r="BD121" s="658"/>
      <c r="BE121" s="658"/>
      <c r="BF121" s="658">
        <v>182.49</v>
      </c>
      <c r="BG121" s="658"/>
      <c r="BH121" s="658"/>
      <c r="BI121" s="567">
        <v>0.242731351285245</v>
      </c>
      <c r="BJ121" s="567"/>
      <c r="BK121" s="567"/>
      <c r="BL121" s="567"/>
      <c r="BM121" s="660" t="s">
        <v>932</v>
      </c>
      <c r="BN121" s="660"/>
      <c r="BO121" s="660"/>
      <c r="BP121" s="660"/>
      <c r="BQ121" s="568" t="s">
        <v>932</v>
      </c>
      <c r="BR121" s="568"/>
      <c r="BS121" s="568"/>
      <c r="BT121" s="660">
        <v>0.242731351285245</v>
      </c>
      <c r="BU121" s="660"/>
      <c r="BV121" s="660"/>
      <c r="BW121" s="660"/>
      <c r="BX121" s="568">
        <v>1</v>
      </c>
      <c r="BY121" s="568"/>
      <c r="BZ121" s="568"/>
      <c r="CA121" s="660" t="s">
        <v>932</v>
      </c>
      <c r="CB121" s="660"/>
      <c r="CC121" s="660"/>
      <c r="CD121" s="660"/>
      <c r="CE121" s="568" t="s">
        <v>932</v>
      </c>
      <c r="CF121" s="568"/>
      <c r="CG121" s="568"/>
      <c r="CH121" s="660" t="s">
        <v>932</v>
      </c>
      <c r="CI121" s="660"/>
      <c r="CJ121" s="660"/>
      <c r="CK121" s="660"/>
      <c r="CL121" s="568" t="s">
        <v>932</v>
      </c>
      <c r="CM121" s="568"/>
      <c r="CN121" s="568"/>
    </row>
    <row r="122" hidden="1" customHeight="1" spans="1:92">
      <c r="A122" s="612"/>
      <c r="B122" s="612"/>
      <c r="C122" s="518"/>
      <c r="D122" s="518"/>
      <c r="E122" s="518"/>
      <c r="F122" s="657"/>
      <c r="G122" s="657"/>
      <c r="H122" s="657"/>
      <c r="I122" s="519"/>
      <c r="J122" s="519"/>
      <c r="K122" s="519"/>
      <c r="L122" s="519"/>
      <c r="M122" s="519"/>
      <c r="N122" s="519"/>
      <c r="O122" s="519"/>
      <c r="P122" s="519"/>
      <c r="Q122" s="519"/>
      <c r="R122" s="519"/>
      <c r="S122" s="519"/>
      <c r="T122" s="519"/>
      <c r="U122" s="519"/>
      <c r="V122" s="519"/>
      <c r="W122" s="519"/>
      <c r="X122" s="519"/>
      <c r="Y122" s="519"/>
      <c r="Z122" s="519"/>
      <c r="AA122" s="519"/>
      <c r="AB122" s="526"/>
      <c r="AC122" s="526"/>
      <c r="AD122" s="658"/>
      <c r="AE122" s="658"/>
      <c r="AF122" s="658"/>
      <c r="AG122" s="526">
        <v>0</v>
      </c>
      <c r="AH122" s="526"/>
      <c r="AI122" s="659" t="e">
        <v>#N/A</v>
      </c>
      <c r="AJ122" s="659"/>
      <c r="AK122" s="659"/>
      <c r="AL122" s="659"/>
      <c r="AM122" s="659"/>
      <c r="AN122" s="659"/>
      <c r="AO122" s="659"/>
      <c r="AP122" s="659"/>
      <c r="AQ122" s="659"/>
      <c r="AR122" s="659"/>
      <c r="AS122" s="659"/>
      <c r="AT122" s="659"/>
      <c r="AU122" s="659"/>
      <c r="AV122" s="659"/>
      <c r="AW122" s="658">
        <v>0</v>
      </c>
      <c r="AX122" s="658"/>
      <c r="AY122" s="658"/>
      <c r="AZ122" s="658"/>
      <c r="BA122" s="658"/>
      <c r="BB122" s="658"/>
      <c r="BC122" s="658">
        <v>0</v>
      </c>
      <c r="BD122" s="658"/>
      <c r="BE122" s="658"/>
      <c r="BF122" s="658">
        <v>182.49</v>
      </c>
      <c r="BG122" s="658"/>
      <c r="BH122" s="658"/>
      <c r="BI122" s="567">
        <v>0</v>
      </c>
      <c r="BJ122" s="567"/>
      <c r="BK122" s="567"/>
      <c r="BL122" s="567"/>
      <c r="BM122" s="660" t="s">
        <v>932</v>
      </c>
      <c r="BN122" s="660"/>
      <c r="BO122" s="660"/>
      <c r="BP122" s="660"/>
      <c r="BQ122" s="568" t="s">
        <v>932</v>
      </c>
      <c r="BR122" s="568"/>
      <c r="BS122" s="568"/>
      <c r="BT122" s="660" t="s">
        <v>932</v>
      </c>
      <c r="BU122" s="660"/>
      <c r="BV122" s="660"/>
      <c r="BW122" s="660"/>
      <c r="BX122" s="568">
        <v>1</v>
      </c>
      <c r="BY122" s="568"/>
      <c r="BZ122" s="568"/>
      <c r="CA122" s="660" t="s">
        <v>932</v>
      </c>
      <c r="CB122" s="660"/>
      <c r="CC122" s="660"/>
      <c r="CD122" s="660"/>
      <c r="CE122" s="568" t="s">
        <v>932</v>
      </c>
      <c r="CF122" s="568"/>
      <c r="CG122" s="568"/>
      <c r="CH122" s="660" t="s">
        <v>932</v>
      </c>
      <c r="CI122" s="660"/>
      <c r="CJ122" s="660"/>
      <c r="CK122" s="660"/>
      <c r="CL122" s="568" t="s">
        <v>932</v>
      </c>
      <c r="CM122" s="568"/>
      <c r="CN122" s="568"/>
    </row>
    <row r="123" hidden="1" customHeight="1" spans="1:92">
      <c r="A123" s="612"/>
      <c r="B123" s="612"/>
      <c r="C123" s="518"/>
      <c r="D123" s="518"/>
      <c r="E123" s="518"/>
      <c r="F123" s="657"/>
      <c r="G123" s="657"/>
      <c r="H123" s="657"/>
      <c r="I123" s="519"/>
      <c r="J123" s="519"/>
      <c r="K123" s="519"/>
      <c r="L123" s="519"/>
      <c r="M123" s="519"/>
      <c r="N123" s="519"/>
      <c r="O123" s="519"/>
      <c r="P123" s="519"/>
      <c r="Q123" s="519"/>
      <c r="R123" s="519"/>
      <c r="S123" s="519"/>
      <c r="T123" s="519"/>
      <c r="U123" s="519"/>
      <c r="V123" s="519"/>
      <c r="W123" s="519"/>
      <c r="X123" s="519"/>
      <c r="Y123" s="519"/>
      <c r="Z123" s="519"/>
      <c r="AA123" s="519"/>
      <c r="AB123" s="526"/>
      <c r="AC123" s="526"/>
      <c r="AD123" s="658"/>
      <c r="AE123" s="658"/>
      <c r="AF123" s="658"/>
      <c r="AG123" s="526">
        <v>0</v>
      </c>
      <c r="AH123" s="526"/>
      <c r="AI123" s="659" t="e">
        <v>#N/A</v>
      </c>
      <c r="AJ123" s="659"/>
      <c r="AK123" s="659"/>
      <c r="AL123" s="659"/>
      <c r="AM123" s="659"/>
      <c r="AN123" s="659"/>
      <c r="AO123" s="659"/>
      <c r="AP123" s="659"/>
      <c r="AQ123" s="659"/>
      <c r="AR123" s="659"/>
      <c r="AS123" s="659"/>
      <c r="AT123" s="659"/>
      <c r="AU123" s="659"/>
      <c r="AV123" s="659"/>
      <c r="AW123" s="658">
        <v>0</v>
      </c>
      <c r="AX123" s="658"/>
      <c r="AY123" s="658"/>
      <c r="AZ123" s="658"/>
      <c r="BA123" s="658"/>
      <c r="BB123" s="658"/>
      <c r="BC123" s="658">
        <v>0</v>
      </c>
      <c r="BD123" s="658"/>
      <c r="BE123" s="658"/>
      <c r="BF123" s="658">
        <v>182.49</v>
      </c>
      <c r="BG123" s="658"/>
      <c r="BH123" s="658"/>
      <c r="BI123" s="567">
        <v>0</v>
      </c>
      <c r="BJ123" s="567"/>
      <c r="BK123" s="567"/>
      <c r="BL123" s="567"/>
      <c r="BM123" s="660" t="s">
        <v>932</v>
      </c>
      <c r="BN123" s="660"/>
      <c r="BO123" s="660"/>
      <c r="BP123" s="660"/>
      <c r="BQ123" s="568" t="s">
        <v>932</v>
      </c>
      <c r="BR123" s="568"/>
      <c r="BS123" s="568"/>
      <c r="BT123" s="660" t="s">
        <v>932</v>
      </c>
      <c r="BU123" s="660"/>
      <c r="BV123" s="660"/>
      <c r="BW123" s="660"/>
      <c r="BX123" s="568">
        <v>1</v>
      </c>
      <c r="BY123" s="568"/>
      <c r="BZ123" s="568"/>
      <c r="CA123" s="660" t="s">
        <v>932</v>
      </c>
      <c r="CB123" s="660"/>
      <c r="CC123" s="660"/>
      <c r="CD123" s="660"/>
      <c r="CE123" s="568" t="s">
        <v>932</v>
      </c>
      <c r="CF123" s="568"/>
      <c r="CG123" s="568"/>
      <c r="CH123" s="660" t="s">
        <v>932</v>
      </c>
      <c r="CI123" s="660"/>
      <c r="CJ123" s="660"/>
      <c r="CK123" s="660"/>
      <c r="CL123" s="568" t="s">
        <v>932</v>
      </c>
      <c r="CM123" s="568"/>
      <c r="CN123" s="568"/>
    </row>
    <row r="124" hidden="1" customHeight="1" spans="1:92">
      <c r="A124" s="612"/>
      <c r="B124" s="612"/>
      <c r="C124" s="518"/>
      <c r="D124" s="518"/>
      <c r="E124" s="518"/>
      <c r="F124" s="657"/>
      <c r="G124" s="657"/>
      <c r="H124" s="657"/>
      <c r="I124" s="519"/>
      <c r="J124" s="519"/>
      <c r="K124" s="519"/>
      <c r="L124" s="519"/>
      <c r="M124" s="519"/>
      <c r="N124" s="519"/>
      <c r="O124" s="519"/>
      <c r="P124" s="519"/>
      <c r="Q124" s="519"/>
      <c r="R124" s="519"/>
      <c r="S124" s="519"/>
      <c r="T124" s="519"/>
      <c r="U124" s="519"/>
      <c r="V124" s="519"/>
      <c r="W124" s="519"/>
      <c r="X124" s="519"/>
      <c r="Y124" s="519"/>
      <c r="Z124" s="519"/>
      <c r="AA124" s="519"/>
      <c r="AB124" s="526"/>
      <c r="AC124" s="526"/>
      <c r="AD124" s="658"/>
      <c r="AE124" s="658"/>
      <c r="AF124" s="658"/>
      <c r="AG124" s="526">
        <v>0</v>
      </c>
      <c r="AH124" s="526"/>
      <c r="AI124" s="659" t="e">
        <v>#N/A</v>
      </c>
      <c r="AJ124" s="659"/>
      <c r="AK124" s="659"/>
      <c r="AL124" s="659"/>
      <c r="AM124" s="659"/>
      <c r="AN124" s="659"/>
      <c r="AO124" s="659"/>
      <c r="AP124" s="659"/>
      <c r="AQ124" s="659"/>
      <c r="AR124" s="659"/>
      <c r="AS124" s="659"/>
      <c r="AT124" s="659"/>
      <c r="AU124" s="659"/>
      <c r="AV124" s="659"/>
      <c r="AW124" s="658">
        <v>0</v>
      </c>
      <c r="AX124" s="658"/>
      <c r="AY124" s="658"/>
      <c r="AZ124" s="658"/>
      <c r="BA124" s="658"/>
      <c r="BB124" s="658"/>
      <c r="BC124" s="658">
        <v>0</v>
      </c>
      <c r="BD124" s="658"/>
      <c r="BE124" s="658"/>
      <c r="BF124" s="658">
        <v>182.49</v>
      </c>
      <c r="BG124" s="658"/>
      <c r="BH124" s="658"/>
      <c r="BI124" s="567">
        <v>0</v>
      </c>
      <c r="BJ124" s="567"/>
      <c r="BK124" s="567"/>
      <c r="BL124" s="567"/>
      <c r="BM124" s="660" t="s">
        <v>932</v>
      </c>
      <c r="BN124" s="660"/>
      <c r="BO124" s="660"/>
      <c r="BP124" s="660"/>
      <c r="BQ124" s="568" t="s">
        <v>932</v>
      </c>
      <c r="BR124" s="568"/>
      <c r="BS124" s="568"/>
      <c r="BT124" s="660" t="s">
        <v>932</v>
      </c>
      <c r="BU124" s="660"/>
      <c r="BV124" s="660"/>
      <c r="BW124" s="660"/>
      <c r="BX124" s="568">
        <v>1</v>
      </c>
      <c r="BY124" s="568"/>
      <c r="BZ124" s="568"/>
      <c r="CA124" s="660" t="s">
        <v>932</v>
      </c>
      <c r="CB124" s="660"/>
      <c r="CC124" s="660"/>
      <c r="CD124" s="660"/>
      <c r="CE124" s="568" t="s">
        <v>932</v>
      </c>
      <c r="CF124" s="568"/>
      <c r="CG124" s="568"/>
      <c r="CH124" s="660" t="s">
        <v>932</v>
      </c>
      <c r="CI124" s="660"/>
      <c r="CJ124" s="660"/>
      <c r="CK124" s="660"/>
      <c r="CL124" s="568" t="s">
        <v>932</v>
      </c>
      <c r="CM124" s="568"/>
      <c r="CN124" s="568"/>
    </row>
    <row r="125" hidden="1" customHeight="1" spans="1:92">
      <c r="A125" s="612"/>
      <c r="B125" s="612"/>
      <c r="C125" s="518"/>
      <c r="D125" s="518"/>
      <c r="E125" s="518"/>
      <c r="F125" s="657"/>
      <c r="G125" s="657"/>
      <c r="H125" s="657"/>
      <c r="I125" s="519"/>
      <c r="J125" s="519"/>
      <c r="K125" s="519"/>
      <c r="L125" s="519"/>
      <c r="M125" s="519"/>
      <c r="N125" s="519"/>
      <c r="O125" s="519"/>
      <c r="P125" s="519"/>
      <c r="Q125" s="519"/>
      <c r="R125" s="519"/>
      <c r="S125" s="519"/>
      <c r="T125" s="519"/>
      <c r="U125" s="519"/>
      <c r="V125" s="519"/>
      <c r="W125" s="519"/>
      <c r="X125" s="519"/>
      <c r="Y125" s="519"/>
      <c r="Z125" s="519"/>
      <c r="AA125" s="519"/>
      <c r="AB125" s="526"/>
      <c r="AC125" s="526"/>
      <c r="AD125" s="658"/>
      <c r="AE125" s="658"/>
      <c r="AF125" s="658"/>
      <c r="AG125" s="526">
        <v>0</v>
      </c>
      <c r="AH125" s="526"/>
      <c r="AI125" s="659" t="e">
        <v>#N/A</v>
      </c>
      <c r="AJ125" s="659"/>
      <c r="AK125" s="659"/>
      <c r="AL125" s="659"/>
      <c r="AM125" s="659"/>
      <c r="AN125" s="659"/>
      <c r="AO125" s="659"/>
      <c r="AP125" s="659"/>
      <c r="AQ125" s="659"/>
      <c r="AR125" s="659"/>
      <c r="AS125" s="659"/>
      <c r="AT125" s="659"/>
      <c r="AU125" s="659"/>
      <c r="AV125" s="659"/>
      <c r="AW125" s="658">
        <v>0</v>
      </c>
      <c r="AX125" s="658"/>
      <c r="AY125" s="658"/>
      <c r="AZ125" s="658"/>
      <c r="BA125" s="658"/>
      <c r="BB125" s="658"/>
      <c r="BC125" s="658">
        <v>0</v>
      </c>
      <c r="BD125" s="658"/>
      <c r="BE125" s="658"/>
      <c r="BF125" s="658">
        <v>182.49</v>
      </c>
      <c r="BG125" s="658"/>
      <c r="BH125" s="658"/>
      <c r="BI125" s="567">
        <v>0</v>
      </c>
      <c r="BJ125" s="567"/>
      <c r="BK125" s="567"/>
      <c r="BL125" s="567"/>
      <c r="BM125" s="660" t="s">
        <v>932</v>
      </c>
      <c r="BN125" s="660"/>
      <c r="BO125" s="660"/>
      <c r="BP125" s="660"/>
      <c r="BQ125" s="568" t="s">
        <v>932</v>
      </c>
      <c r="BR125" s="568"/>
      <c r="BS125" s="568"/>
      <c r="BT125" s="660" t="s">
        <v>932</v>
      </c>
      <c r="BU125" s="660"/>
      <c r="BV125" s="660"/>
      <c r="BW125" s="660"/>
      <c r="BX125" s="568">
        <v>1</v>
      </c>
      <c r="BY125" s="568"/>
      <c r="BZ125" s="568"/>
      <c r="CA125" s="660" t="s">
        <v>932</v>
      </c>
      <c r="CB125" s="660"/>
      <c r="CC125" s="660"/>
      <c r="CD125" s="660"/>
      <c r="CE125" s="568" t="s">
        <v>932</v>
      </c>
      <c r="CF125" s="568"/>
      <c r="CG125" s="568"/>
      <c r="CH125" s="660" t="s">
        <v>932</v>
      </c>
      <c r="CI125" s="660"/>
      <c r="CJ125" s="660"/>
      <c r="CK125" s="660"/>
      <c r="CL125" s="568" t="s">
        <v>932</v>
      </c>
      <c r="CM125" s="568"/>
      <c r="CN125" s="568"/>
    </row>
    <row r="126" hidden="1" customHeight="1" spans="1:92">
      <c r="A126" s="612"/>
      <c r="B126" s="612"/>
      <c r="C126" s="518"/>
      <c r="D126" s="518"/>
      <c r="E126" s="518"/>
      <c r="F126" s="657"/>
      <c r="G126" s="657"/>
      <c r="H126" s="657"/>
      <c r="I126" s="519"/>
      <c r="J126" s="519"/>
      <c r="K126" s="519"/>
      <c r="L126" s="519"/>
      <c r="M126" s="519"/>
      <c r="N126" s="519"/>
      <c r="O126" s="519"/>
      <c r="P126" s="519"/>
      <c r="Q126" s="519"/>
      <c r="R126" s="519"/>
      <c r="S126" s="519"/>
      <c r="T126" s="519"/>
      <c r="U126" s="519"/>
      <c r="V126" s="519"/>
      <c r="W126" s="519"/>
      <c r="X126" s="519"/>
      <c r="Y126" s="519"/>
      <c r="Z126" s="519"/>
      <c r="AA126" s="519"/>
      <c r="AB126" s="526"/>
      <c r="AC126" s="526"/>
      <c r="AD126" s="658"/>
      <c r="AE126" s="658"/>
      <c r="AF126" s="658"/>
      <c r="AG126" s="526">
        <v>0</v>
      </c>
      <c r="AH126" s="526"/>
      <c r="AI126" s="659" t="e">
        <v>#N/A</v>
      </c>
      <c r="AJ126" s="659"/>
      <c r="AK126" s="659"/>
      <c r="AL126" s="659"/>
      <c r="AM126" s="659"/>
      <c r="AN126" s="659"/>
      <c r="AO126" s="659"/>
      <c r="AP126" s="659"/>
      <c r="AQ126" s="659"/>
      <c r="AR126" s="659"/>
      <c r="AS126" s="659"/>
      <c r="AT126" s="659"/>
      <c r="AU126" s="659"/>
      <c r="AV126" s="659"/>
      <c r="AW126" s="658">
        <v>0</v>
      </c>
      <c r="AX126" s="658"/>
      <c r="AY126" s="658"/>
      <c r="AZ126" s="658"/>
      <c r="BA126" s="658"/>
      <c r="BB126" s="658"/>
      <c r="BC126" s="658">
        <v>0</v>
      </c>
      <c r="BD126" s="658"/>
      <c r="BE126" s="658"/>
      <c r="BF126" s="658">
        <v>182.49</v>
      </c>
      <c r="BG126" s="658"/>
      <c r="BH126" s="658"/>
      <c r="BI126" s="567">
        <v>0</v>
      </c>
      <c r="BJ126" s="567"/>
      <c r="BK126" s="567"/>
      <c r="BL126" s="567"/>
      <c r="BM126" s="660" t="s">
        <v>932</v>
      </c>
      <c r="BN126" s="660"/>
      <c r="BO126" s="660"/>
      <c r="BP126" s="660"/>
      <c r="BQ126" s="568" t="s">
        <v>932</v>
      </c>
      <c r="BR126" s="568"/>
      <c r="BS126" s="568"/>
      <c r="BT126" s="660" t="s">
        <v>932</v>
      </c>
      <c r="BU126" s="660"/>
      <c r="BV126" s="660"/>
      <c r="BW126" s="660"/>
      <c r="BX126" s="568">
        <v>1</v>
      </c>
      <c r="BY126" s="568"/>
      <c r="BZ126" s="568"/>
      <c r="CA126" s="660" t="s">
        <v>932</v>
      </c>
      <c r="CB126" s="660"/>
      <c r="CC126" s="660"/>
      <c r="CD126" s="660"/>
      <c r="CE126" s="568" t="s">
        <v>932</v>
      </c>
      <c r="CF126" s="568"/>
      <c r="CG126" s="568"/>
      <c r="CH126" s="660" t="s">
        <v>932</v>
      </c>
      <c r="CI126" s="660"/>
      <c r="CJ126" s="660"/>
      <c r="CK126" s="660"/>
      <c r="CL126" s="568" t="s">
        <v>932</v>
      </c>
      <c r="CM126" s="568"/>
      <c r="CN126" s="568"/>
    </row>
    <row r="127" hidden="1" customHeight="1" spans="1:92">
      <c r="A127" s="612"/>
      <c r="B127" s="612"/>
      <c r="C127" s="518"/>
      <c r="D127" s="518"/>
      <c r="E127" s="518"/>
      <c r="F127" s="657"/>
      <c r="G127" s="657"/>
      <c r="H127" s="657"/>
      <c r="I127" s="519"/>
      <c r="J127" s="519"/>
      <c r="K127" s="519"/>
      <c r="L127" s="519"/>
      <c r="M127" s="519"/>
      <c r="N127" s="519"/>
      <c r="O127" s="519"/>
      <c r="P127" s="519"/>
      <c r="Q127" s="519"/>
      <c r="R127" s="519"/>
      <c r="S127" s="519"/>
      <c r="T127" s="519"/>
      <c r="U127" s="519"/>
      <c r="V127" s="519"/>
      <c r="W127" s="519"/>
      <c r="X127" s="519"/>
      <c r="Y127" s="519"/>
      <c r="Z127" s="519"/>
      <c r="AA127" s="519"/>
      <c r="AB127" s="526"/>
      <c r="AC127" s="526"/>
      <c r="AD127" s="658"/>
      <c r="AE127" s="658"/>
      <c r="AF127" s="658"/>
      <c r="AG127" s="526">
        <v>0</v>
      </c>
      <c r="AH127" s="526"/>
      <c r="AI127" s="659" t="e">
        <v>#N/A</v>
      </c>
      <c r="AJ127" s="659"/>
      <c r="AK127" s="659"/>
      <c r="AL127" s="659"/>
      <c r="AM127" s="659"/>
      <c r="AN127" s="659"/>
      <c r="AO127" s="659"/>
      <c r="AP127" s="659"/>
      <c r="AQ127" s="659"/>
      <c r="AR127" s="659"/>
      <c r="AS127" s="659"/>
      <c r="AT127" s="659"/>
      <c r="AU127" s="659"/>
      <c r="AV127" s="659"/>
      <c r="AW127" s="658">
        <v>0</v>
      </c>
      <c r="AX127" s="658"/>
      <c r="AY127" s="658"/>
      <c r="AZ127" s="658"/>
      <c r="BA127" s="658"/>
      <c r="BB127" s="658"/>
      <c r="BC127" s="658">
        <v>0</v>
      </c>
      <c r="BD127" s="658"/>
      <c r="BE127" s="658"/>
      <c r="BF127" s="658">
        <v>182.49</v>
      </c>
      <c r="BG127" s="658"/>
      <c r="BH127" s="658"/>
      <c r="BI127" s="567">
        <v>0</v>
      </c>
      <c r="BJ127" s="567"/>
      <c r="BK127" s="567"/>
      <c r="BL127" s="567"/>
      <c r="BM127" s="660" t="s">
        <v>932</v>
      </c>
      <c r="BN127" s="660"/>
      <c r="BO127" s="660"/>
      <c r="BP127" s="660"/>
      <c r="BQ127" s="568" t="s">
        <v>932</v>
      </c>
      <c r="BR127" s="568"/>
      <c r="BS127" s="568"/>
      <c r="BT127" s="660" t="s">
        <v>932</v>
      </c>
      <c r="BU127" s="660"/>
      <c r="BV127" s="660"/>
      <c r="BW127" s="660"/>
      <c r="BX127" s="568">
        <v>1</v>
      </c>
      <c r="BY127" s="568"/>
      <c r="BZ127" s="568"/>
      <c r="CA127" s="660" t="s">
        <v>932</v>
      </c>
      <c r="CB127" s="660"/>
      <c r="CC127" s="660"/>
      <c r="CD127" s="660"/>
      <c r="CE127" s="568" t="s">
        <v>932</v>
      </c>
      <c r="CF127" s="568"/>
      <c r="CG127" s="568"/>
      <c r="CH127" s="660" t="s">
        <v>932</v>
      </c>
      <c r="CI127" s="660"/>
      <c r="CJ127" s="660"/>
      <c r="CK127" s="660"/>
      <c r="CL127" s="568" t="s">
        <v>932</v>
      </c>
      <c r="CM127" s="568"/>
      <c r="CN127" s="568"/>
    </row>
    <row r="128" customHeight="1" spans="1:92">
      <c r="A128" s="612" t="s">
        <v>956</v>
      </c>
      <c r="B128" s="612"/>
      <c r="C128" s="518"/>
      <c r="D128" s="518"/>
      <c r="E128" s="518"/>
      <c r="F128" s="657">
        <v>4815671</v>
      </c>
      <c r="G128" s="657"/>
      <c r="H128" s="657"/>
      <c r="I128" s="519" t="s">
        <v>112</v>
      </c>
      <c r="J128" s="519"/>
      <c r="K128" s="519"/>
      <c r="L128" s="519"/>
      <c r="M128" s="519"/>
      <c r="N128" s="519"/>
      <c r="O128" s="519"/>
      <c r="P128" s="519"/>
      <c r="Q128" s="519"/>
      <c r="R128" s="519"/>
      <c r="S128" s="519"/>
      <c r="T128" s="519"/>
      <c r="U128" s="519"/>
      <c r="V128" s="519"/>
      <c r="W128" s="519"/>
      <c r="X128" s="519"/>
      <c r="Y128" s="519"/>
      <c r="Z128" s="519"/>
      <c r="AA128" s="519"/>
      <c r="AB128" s="526" t="s">
        <v>99</v>
      </c>
      <c r="AC128" s="526"/>
      <c r="AD128" s="658">
        <v>52.12</v>
      </c>
      <c r="AE128" s="658"/>
      <c r="AF128" s="658"/>
      <c r="AG128" s="526" t="s">
        <v>935</v>
      </c>
      <c r="AH128" s="526"/>
      <c r="AI128" s="659" t="s">
        <v>936</v>
      </c>
      <c r="AJ128" s="659"/>
      <c r="AK128" s="659"/>
      <c r="AL128" s="659"/>
      <c r="AM128" s="659"/>
      <c r="AN128" s="659"/>
      <c r="AO128" s="659"/>
      <c r="AP128" s="659"/>
      <c r="AQ128" s="659"/>
      <c r="AR128" s="659"/>
      <c r="AS128" s="659"/>
      <c r="AT128" s="659"/>
      <c r="AU128" s="659"/>
      <c r="AV128" s="659"/>
      <c r="AW128" s="658">
        <v>2</v>
      </c>
      <c r="AX128" s="658"/>
      <c r="AY128" s="658"/>
      <c r="AZ128" s="658">
        <v>3.1125</v>
      </c>
      <c r="BA128" s="658"/>
      <c r="BB128" s="658"/>
      <c r="BC128" s="658">
        <v>33.4907630522088</v>
      </c>
      <c r="BD128" s="658"/>
      <c r="BE128" s="658"/>
      <c r="BF128" s="658">
        <v>182.49</v>
      </c>
      <c r="BG128" s="658"/>
      <c r="BH128" s="658"/>
      <c r="BI128" s="567">
        <v>0.183521086373</v>
      </c>
      <c r="BJ128" s="567"/>
      <c r="BK128" s="567"/>
      <c r="BL128" s="567"/>
      <c r="BM128" s="660" t="s">
        <v>932</v>
      </c>
      <c r="BN128" s="660"/>
      <c r="BO128" s="660"/>
      <c r="BP128" s="660"/>
      <c r="BQ128" s="568" t="s">
        <v>932</v>
      </c>
      <c r="BR128" s="568"/>
      <c r="BS128" s="568"/>
      <c r="BT128" s="660">
        <v>0.183521086373</v>
      </c>
      <c r="BU128" s="660"/>
      <c r="BV128" s="660"/>
      <c r="BW128" s="660"/>
      <c r="BX128" s="568">
        <v>1</v>
      </c>
      <c r="BY128" s="568"/>
      <c r="BZ128" s="568"/>
      <c r="CA128" s="660" t="s">
        <v>932</v>
      </c>
      <c r="CB128" s="660"/>
      <c r="CC128" s="660"/>
      <c r="CD128" s="660"/>
      <c r="CE128" s="568" t="s">
        <v>932</v>
      </c>
      <c r="CF128" s="568"/>
      <c r="CG128" s="568"/>
      <c r="CH128" s="660" t="s">
        <v>932</v>
      </c>
      <c r="CI128" s="660"/>
      <c r="CJ128" s="660"/>
      <c r="CK128" s="660"/>
      <c r="CL128" s="568" t="s">
        <v>932</v>
      </c>
      <c r="CM128" s="568"/>
      <c r="CN128" s="568"/>
    </row>
    <row r="129" hidden="1" customHeight="1" spans="1:92">
      <c r="A129" s="612"/>
      <c r="B129" s="612"/>
      <c r="C129" s="518"/>
      <c r="D129" s="518"/>
      <c r="E129" s="518"/>
      <c r="F129" s="657"/>
      <c r="G129" s="657"/>
      <c r="H129" s="657"/>
      <c r="I129" s="519"/>
      <c r="J129" s="519"/>
      <c r="K129" s="519"/>
      <c r="L129" s="519"/>
      <c r="M129" s="519"/>
      <c r="N129" s="519"/>
      <c r="O129" s="519"/>
      <c r="P129" s="519"/>
      <c r="Q129" s="519"/>
      <c r="R129" s="519"/>
      <c r="S129" s="519"/>
      <c r="T129" s="519"/>
      <c r="U129" s="519"/>
      <c r="V129" s="519"/>
      <c r="W129" s="519"/>
      <c r="X129" s="519"/>
      <c r="Y129" s="519"/>
      <c r="Z129" s="519"/>
      <c r="AA129" s="519"/>
      <c r="AB129" s="526"/>
      <c r="AC129" s="526"/>
      <c r="AD129" s="658"/>
      <c r="AE129" s="658"/>
      <c r="AF129" s="658"/>
      <c r="AG129" s="526">
        <v>0</v>
      </c>
      <c r="AH129" s="526"/>
      <c r="AI129" s="659" t="e">
        <v>#N/A</v>
      </c>
      <c r="AJ129" s="659"/>
      <c r="AK129" s="659"/>
      <c r="AL129" s="659"/>
      <c r="AM129" s="659"/>
      <c r="AN129" s="659"/>
      <c r="AO129" s="659"/>
      <c r="AP129" s="659"/>
      <c r="AQ129" s="659"/>
      <c r="AR129" s="659"/>
      <c r="AS129" s="659"/>
      <c r="AT129" s="659"/>
      <c r="AU129" s="659"/>
      <c r="AV129" s="659"/>
      <c r="AW129" s="658">
        <v>0</v>
      </c>
      <c r="AX129" s="658"/>
      <c r="AY129" s="658"/>
      <c r="AZ129" s="658"/>
      <c r="BA129" s="658"/>
      <c r="BB129" s="658"/>
      <c r="BC129" s="658">
        <v>0</v>
      </c>
      <c r="BD129" s="658"/>
      <c r="BE129" s="658"/>
      <c r="BF129" s="658">
        <v>182.49</v>
      </c>
      <c r="BG129" s="658"/>
      <c r="BH129" s="658"/>
      <c r="BI129" s="567">
        <v>0</v>
      </c>
      <c r="BJ129" s="567"/>
      <c r="BK129" s="567"/>
      <c r="BL129" s="567"/>
      <c r="BM129" s="660" t="s">
        <v>932</v>
      </c>
      <c r="BN129" s="660"/>
      <c r="BO129" s="660"/>
      <c r="BP129" s="660"/>
      <c r="BQ129" s="568" t="s">
        <v>932</v>
      </c>
      <c r="BR129" s="568"/>
      <c r="BS129" s="568"/>
      <c r="BT129" s="660" t="s">
        <v>932</v>
      </c>
      <c r="BU129" s="660"/>
      <c r="BV129" s="660"/>
      <c r="BW129" s="660"/>
      <c r="BX129" s="568">
        <v>1</v>
      </c>
      <c r="BY129" s="568"/>
      <c r="BZ129" s="568"/>
      <c r="CA129" s="660" t="s">
        <v>932</v>
      </c>
      <c r="CB129" s="660"/>
      <c r="CC129" s="660"/>
      <c r="CD129" s="660"/>
      <c r="CE129" s="568" t="s">
        <v>932</v>
      </c>
      <c r="CF129" s="568"/>
      <c r="CG129" s="568"/>
      <c r="CH129" s="660" t="s">
        <v>932</v>
      </c>
      <c r="CI129" s="660"/>
      <c r="CJ129" s="660"/>
      <c r="CK129" s="660"/>
      <c r="CL129" s="568" t="s">
        <v>932</v>
      </c>
      <c r="CM129" s="568"/>
      <c r="CN129" s="568"/>
    </row>
    <row r="130" hidden="1" customHeight="1" spans="1:92">
      <c r="A130" s="612"/>
      <c r="B130" s="612"/>
      <c r="C130" s="518"/>
      <c r="D130" s="518"/>
      <c r="E130" s="518"/>
      <c r="F130" s="657"/>
      <c r="G130" s="657"/>
      <c r="H130" s="657"/>
      <c r="I130" s="519"/>
      <c r="J130" s="519"/>
      <c r="K130" s="519"/>
      <c r="L130" s="519"/>
      <c r="M130" s="519"/>
      <c r="N130" s="519"/>
      <c r="O130" s="519"/>
      <c r="P130" s="519"/>
      <c r="Q130" s="519"/>
      <c r="R130" s="519"/>
      <c r="S130" s="519"/>
      <c r="T130" s="519"/>
      <c r="U130" s="519"/>
      <c r="V130" s="519"/>
      <c r="W130" s="519"/>
      <c r="X130" s="519"/>
      <c r="Y130" s="519"/>
      <c r="Z130" s="519"/>
      <c r="AA130" s="519"/>
      <c r="AB130" s="526"/>
      <c r="AC130" s="526"/>
      <c r="AD130" s="658"/>
      <c r="AE130" s="658"/>
      <c r="AF130" s="658"/>
      <c r="AG130" s="526">
        <v>0</v>
      </c>
      <c r="AH130" s="526"/>
      <c r="AI130" s="659" t="e">
        <v>#N/A</v>
      </c>
      <c r="AJ130" s="659"/>
      <c r="AK130" s="659"/>
      <c r="AL130" s="659"/>
      <c r="AM130" s="659"/>
      <c r="AN130" s="659"/>
      <c r="AO130" s="659"/>
      <c r="AP130" s="659"/>
      <c r="AQ130" s="659"/>
      <c r="AR130" s="659"/>
      <c r="AS130" s="659"/>
      <c r="AT130" s="659"/>
      <c r="AU130" s="659"/>
      <c r="AV130" s="659"/>
      <c r="AW130" s="658">
        <v>0</v>
      </c>
      <c r="AX130" s="658"/>
      <c r="AY130" s="658"/>
      <c r="AZ130" s="658"/>
      <c r="BA130" s="658"/>
      <c r="BB130" s="658"/>
      <c r="BC130" s="658">
        <v>0</v>
      </c>
      <c r="BD130" s="658"/>
      <c r="BE130" s="658"/>
      <c r="BF130" s="658">
        <v>182.49</v>
      </c>
      <c r="BG130" s="658"/>
      <c r="BH130" s="658"/>
      <c r="BI130" s="567">
        <v>0</v>
      </c>
      <c r="BJ130" s="567"/>
      <c r="BK130" s="567"/>
      <c r="BL130" s="567"/>
      <c r="BM130" s="660" t="s">
        <v>932</v>
      </c>
      <c r="BN130" s="660"/>
      <c r="BO130" s="660"/>
      <c r="BP130" s="660"/>
      <c r="BQ130" s="568" t="s">
        <v>932</v>
      </c>
      <c r="BR130" s="568"/>
      <c r="BS130" s="568"/>
      <c r="BT130" s="660" t="s">
        <v>932</v>
      </c>
      <c r="BU130" s="660"/>
      <c r="BV130" s="660"/>
      <c r="BW130" s="660"/>
      <c r="BX130" s="568">
        <v>1</v>
      </c>
      <c r="BY130" s="568"/>
      <c r="BZ130" s="568"/>
      <c r="CA130" s="660" t="s">
        <v>932</v>
      </c>
      <c r="CB130" s="660"/>
      <c r="CC130" s="660"/>
      <c r="CD130" s="660"/>
      <c r="CE130" s="568" t="s">
        <v>932</v>
      </c>
      <c r="CF130" s="568"/>
      <c r="CG130" s="568"/>
      <c r="CH130" s="660" t="s">
        <v>932</v>
      </c>
      <c r="CI130" s="660"/>
      <c r="CJ130" s="660"/>
      <c r="CK130" s="660"/>
      <c r="CL130" s="568" t="s">
        <v>932</v>
      </c>
      <c r="CM130" s="568"/>
      <c r="CN130" s="568"/>
    </row>
    <row r="131" hidden="1" customHeight="1" spans="1:92">
      <c r="A131" s="612"/>
      <c r="B131" s="612"/>
      <c r="C131" s="518"/>
      <c r="D131" s="518"/>
      <c r="E131" s="518"/>
      <c r="F131" s="657"/>
      <c r="G131" s="657"/>
      <c r="H131" s="657"/>
      <c r="I131" s="519"/>
      <c r="J131" s="519"/>
      <c r="K131" s="519"/>
      <c r="L131" s="519"/>
      <c r="M131" s="519"/>
      <c r="N131" s="519"/>
      <c r="O131" s="519"/>
      <c r="P131" s="519"/>
      <c r="Q131" s="519"/>
      <c r="R131" s="519"/>
      <c r="S131" s="519"/>
      <c r="T131" s="519"/>
      <c r="U131" s="519"/>
      <c r="V131" s="519"/>
      <c r="W131" s="519"/>
      <c r="X131" s="519"/>
      <c r="Y131" s="519"/>
      <c r="Z131" s="519"/>
      <c r="AA131" s="519"/>
      <c r="AB131" s="526"/>
      <c r="AC131" s="526"/>
      <c r="AD131" s="658"/>
      <c r="AE131" s="658"/>
      <c r="AF131" s="658"/>
      <c r="AG131" s="526">
        <v>0</v>
      </c>
      <c r="AH131" s="526"/>
      <c r="AI131" s="659" t="e">
        <v>#N/A</v>
      </c>
      <c r="AJ131" s="659"/>
      <c r="AK131" s="659"/>
      <c r="AL131" s="659"/>
      <c r="AM131" s="659"/>
      <c r="AN131" s="659"/>
      <c r="AO131" s="659"/>
      <c r="AP131" s="659"/>
      <c r="AQ131" s="659"/>
      <c r="AR131" s="659"/>
      <c r="AS131" s="659"/>
      <c r="AT131" s="659"/>
      <c r="AU131" s="659"/>
      <c r="AV131" s="659"/>
      <c r="AW131" s="658">
        <v>0</v>
      </c>
      <c r="AX131" s="658"/>
      <c r="AY131" s="658"/>
      <c r="AZ131" s="658"/>
      <c r="BA131" s="658"/>
      <c r="BB131" s="658"/>
      <c r="BC131" s="658">
        <v>0</v>
      </c>
      <c r="BD131" s="658"/>
      <c r="BE131" s="658"/>
      <c r="BF131" s="658">
        <v>182.49</v>
      </c>
      <c r="BG131" s="658"/>
      <c r="BH131" s="658"/>
      <c r="BI131" s="567">
        <v>0</v>
      </c>
      <c r="BJ131" s="567"/>
      <c r="BK131" s="567"/>
      <c r="BL131" s="567"/>
      <c r="BM131" s="660" t="s">
        <v>932</v>
      </c>
      <c r="BN131" s="660"/>
      <c r="BO131" s="660"/>
      <c r="BP131" s="660"/>
      <c r="BQ131" s="568" t="s">
        <v>932</v>
      </c>
      <c r="BR131" s="568"/>
      <c r="BS131" s="568"/>
      <c r="BT131" s="660" t="s">
        <v>932</v>
      </c>
      <c r="BU131" s="660"/>
      <c r="BV131" s="660"/>
      <c r="BW131" s="660"/>
      <c r="BX131" s="568">
        <v>1</v>
      </c>
      <c r="BY131" s="568"/>
      <c r="BZ131" s="568"/>
      <c r="CA131" s="660" t="s">
        <v>932</v>
      </c>
      <c r="CB131" s="660"/>
      <c r="CC131" s="660"/>
      <c r="CD131" s="660"/>
      <c r="CE131" s="568" t="s">
        <v>932</v>
      </c>
      <c r="CF131" s="568"/>
      <c r="CG131" s="568"/>
      <c r="CH131" s="660" t="s">
        <v>932</v>
      </c>
      <c r="CI131" s="660"/>
      <c r="CJ131" s="660"/>
      <c r="CK131" s="660"/>
      <c r="CL131" s="568" t="s">
        <v>932</v>
      </c>
      <c r="CM131" s="568"/>
      <c r="CN131" s="568"/>
    </row>
    <row r="132" hidden="1" customHeight="1" spans="1:92">
      <c r="A132" s="612"/>
      <c r="B132" s="612"/>
      <c r="C132" s="518"/>
      <c r="D132" s="518"/>
      <c r="E132" s="518"/>
      <c r="F132" s="657"/>
      <c r="G132" s="657"/>
      <c r="H132" s="657"/>
      <c r="I132" s="519"/>
      <c r="J132" s="519"/>
      <c r="K132" s="519"/>
      <c r="L132" s="519"/>
      <c r="M132" s="519"/>
      <c r="N132" s="519"/>
      <c r="O132" s="519"/>
      <c r="P132" s="519"/>
      <c r="Q132" s="519"/>
      <c r="R132" s="519"/>
      <c r="S132" s="519"/>
      <c r="T132" s="519"/>
      <c r="U132" s="519"/>
      <c r="V132" s="519"/>
      <c r="W132" s="519"/>
      <c r="X132" s="519"/>
      <c r="Y132" s="519"/>
      <c r="Z132" s="519"/>
      <c r="AA132" s="519"/>
      <c r="AB132" s="526"/>
      <c r="AC132" s="526"/>
      <c r="AD132" s="658"/>
      <c r="AE132" s="658"/>
      <c r="AF132" s="658"/>
      <c r="AG132" s="526">
        <v>0</v>
      </c>
      <c r="AH132" s="526"/>
      <c r="AI132" s="659" t="e">
        <v>#N/A</v>
      </c>
      <c r="AJ132" s="659"/>
      <c r="AK132" s="659"/>
      <c r="AL132" s="659"/>
      <c r="AM132" s="659"/>
      <c r="AN132" s="659"/>
      <c r="AO132" s="659"/>
      <c r="AP132" s="659"/>
      <c r="AQ132" s="659"/>
      <c r="AR132" s="659"/>
      <c r="AS132" s="659"/>
      <c r="AT132" s="659"/>
      <c r="AU132" s="659"/>
      <c r="AV132" s="659"/>
      <c r="AW132" s="658">
        <v>0</v>
      </c>
      <c r="AX132" s="658"/>
      <c r="AY132" s="658"/>
      <c r="AZ132" s="658"/>
      <c r="BA132" s="658"/>
      <c r="BB132" s="658"/>
      <c r="BC132" s="658">
        <v>0</v>
      </c>
      <c r="BD132" s="658"/>
      <c r="BE132" s="658"/>
      <c r="BF132" s="658">
        <v>182.49</v>
      </c>
      <c r="BG132" s="658"/>
      <c r="BH132" s="658"/>
      <c r="BI132" s="567">
        <v>0</v>
      </c>
      <c r="BJ132" s="567"/>
      <c r="BK132" s="567"/>
      <c r="BL132" s="567"/>
      <c r="BM132" s="660" t="s">
        <v>932</v>
      </c>
      <c r="BN132" s="660"/>
      <c r="BO132" s="660"/>
      <c r="BP132" s="660"/>
      <c r="BQ132" s="568" t="s">
        <v>932</v>
      </c>
      <c r="BR132" s="568"/>
      <c r="BS132" s="568"/>
      <c r="BT132" s="660" t="s">
        <v>932</v>
      </c>
      <c r="BU132" s="660"/>
      <c r="BV132" s="660"/>
      <c r="BW132" s="660"/>
      <c r="BX132" s="568">
        <v>1</v>
      </c>
      <c r="BY132" s="568"/>
      <c r="BZ132" s="568"/>
      <c r="CA132" s="660" t="s">
        <v>932</v>
      </c>
      <c r="CB132" s="660"/>
      <c r="CC132" s="660"/>
      <c r="CD132" s="660"/>
      <c r="CE132" s="568" t="s">
        <v>932</v>
      </c>
      <c r="CF132" s="568"/>
      <c r="CG132" s="568"/>
      <c r="CH132" s="660" t="s">
        <v>932</v>
      </c>
      <c r="CI132" s="660"/>
      <c r="CJ132" s="660"/>
      <c r="CK132" s="660"/>
      <c r="CL132" s="568" t="s">
        <v>932</v>
      </c>
      <c r="CM132" s="568"/>
      <c r="CN132" s="568"/>
    </row>
    <row r="133" hidden="1" customHeight="1" spans="1:92">
      <c r="A133" s="612"/>
      <c r="B133" s="612"/>
      <c r="C133" s="518"/>
      <c r="D133" s="518"/>
      <c r="E133" s="518"/>
      <c r="F133" s="657"/>
      <c r="G133" s="657"/>
      <c r="H133" s="657"/>
      <c r="I133" s="519"/>
      <c r="J133" s="519"/>
      <c r="K133" s="519"/>
      <c r="L133" s="519"/>
      <c r="M133" s="519"/>
      <c r="N133" s="519"/>
      <c r="O133" s="519"/>
      <c r="P133" s="519"/>
      <c r="Q133" s="519"/>
      <c r="R133" s="519"/>
      <c r="S133" s="519"/>
      <c r="T133" s="519"/>
      <c r="U133" s="519"/>
      <c r="V133" s="519"/>
      <c r="W133" s="519"/>
      <c r="X133" s="519"/>
      <c r="Y133" s="519"/>
      <c r="Z133" s="519"/>
      <c r="AA133" s="519"/>
      <c r="AB133" s="526"/>
      <c r="AC133" s="526"/>
      <c r="AD133" s="658"/>
      <c r="AE133" s="658"/>
      <c r="AF133" s="658"/>
      <c r="AG133" s="526">
        <v>0</v>
      </c>
      <c r="AH133" s="526"/>
      <c r="AI133" s="659" t="e">
        <v>#N/A</v>
      </c>
      <c r="AJ133" s="659"/>
      <c r="AK133" s="659"/>
      <c r="AL133" s="659"/>
      <c r="AM133" s="659"/>
      <c r="AN133" s="659"/>
      <c r="AO133" s="659"/>
      <c r="AP133" s="659"/>
      <c r="AQ133" s="659"/>
      <c r="AR133" s="659"/>
      <c r="AS133" s="659"/>
      <c r="AT133" s="659"/>
      <c r="AU133" s="659"/>
      <c r="AV133" s="659"/>
      <c r="AW133" s="658">
        <v>0</v>
      </c>
      <c r="AX133" s="658"/>
      <c r="AY133" s="658"/>
      <c r="AZ133" s="658"/>
      <c r="BA133" s="658"/>
      <c r="BB133" s="658"/>
      <c r="BC133" s="658">
        <v>0</v>
      </c>
      <c r="BD133" s="658"/>
      <c r="BE133" s="658"/>
      <c r="BF133" s="658">
        <v>182.49</v>
      </c>
      <c r="BG133" s="658"/>
      <c r="BH133" s="658"/>
      <c r="BI133" s="567">
        <v>0</v>
      </c>
      <c r="BJ133" s="567"/>
      <c r="BK133" s="567"/>
      <c r="BL133" s="567"/>
      <c r="BM133" s="660" t="s">
        <v>932</v>
      </c>
      <c r="BN133" s="660"/>
      <c r="BO133" s="660"/>
      <c r="BP133" s="660"/>
      <c r="BQ133" s="568" t="s">
        <v>932</v>
      </c>
      <c r="BR133" s="568"/>
      <c r="BS133" s="568"/>
      <c r="BT133" s="660" t="s">
        <v>932</v>
      </c>
      <c r="BU133" s="660"/>
      <c r="BV133" s="660"/>
      <c r="BW133" s="660"/>
      <c r="BX133" s="568">
        <v>1</v>
      </c>
      <c r="BY133" s="568"/>
      <c r="BZ133" s="568"/>
      <c r="CA133" s="660" t="s">
        <v>932</v>
      </c>
      <c r="CB133" s="660"/>
      <c r="CC133" s="660"/>
      <c r="CD133" s="660"/>
      <c r="CE133" s="568" t="s">
        <v>932</v>
      </c>
      <c r="CF133" s="568"/>
      <c r="CG133" s="568"/>
      <c r="CH133" s="660" t="s">
        <v>932</v>
      </c>
      <c r="CI133" s="660"/>
      <c r="CJ133" s="660"/>
      <c r="CK133" s="660"/>
      <c r="CL133" s="568" t="s">
        <v>932</v>
      </c>
      <c r="CM133" s="568"/>
      <c r="CN133" s="568"/>
    </row>
    <row r="134" hidden="1" customHeight="1" spans="1:92">
      <c r="A134" s="612"/>
      <c r="B134" s="612"/>
      <c r="C134" s="518"/>
      <c r="D134" s="518"/>
      <c r="E134" s="518"/>
      <c r="F134" s="657"/>
      <c r="G134" s="657"/>
      <c r="H134" s="657"/>
      <c r="I134" s="519"/>
      <c r="J134" s="519"/>
      <c r="K134" s="519"/>
      <c r="L134" s="519"/>
      <c r="M134" s="519"/>
      <c r="N134" s="519"/>
      <c r="O134" s="519"/>
      <c r="P134" s="519"/>
      <c r="Q134" s="519"/>
      <c r="R134" s="519"/>
      <c r="S134" s="519"/>
      <c r="T134" s="519"/>
      <c r="U134" s="519"/>
      <c r="V134" s="519"/>
      <c r="W134" s="519"/>
      <c r="X134" s="519"/>
      <c r="Y134" s="519"/>
      <c r="Z134" s="519"/>
      <c r="AA134" s="519"/>
      <c r="AB134" s="526"/>
      <c r="AC134" s="526"/>
      <c r="AD134" s="658"/>
      <c r="AE134" s="658"/>
      <c r="AF134" s="658"/>
      <c r="AG134" s="526">
        <v>0</v>
      </c>
      <c r="AH134" s="526"/>
      <c r="AI134" s="659" t="e">
        <v>#N/A</v>
      </c>
      <c r="AJ134" s="659"/>
      <c r="AK134" s="659"/>
      <c r="AL134" s="659"/>
      <c r="AM134" s="659"/>
      <c r="AN134" s="659"/>
      <c r="AO134" s="659"/>
      <c r="AP134" s="659"/>
      <c r="AQ134" s="659"/>
      <c r="AR134" s="659"/>
      <c r="AS134" s="659"/>
      <c r="AT134" s="659"/>
      <c r="AU134" s="659"/>
      <c r="AV134" s="659"/>
      <c r="AW134" s="658">
        <v>0</v>
      </c>
      <c r="AX134" s="658"/>
      <c r="AY134" s="658"/>
      <c r="AZ134" s="658"/>
      <c r="BA134" s="658"/>
      <c r="BB134" s="658"/>
      <c r="BC134" s="658">
        <v>0</v>
      </c>
      <c r="BD134" s="658"/>
      <c r="BE134" s="658"/>
      <c r="BF134" s="658">
        <v>182.49</v>
      </c>
      <c r="BG134" s="658"/>
      <c r="BH134" s="658"/>
      <c r="BI134" s="567">
        <v>0</v>
      </c>
      <c r="BJ134" s="567"/>
      <c r="BK134" s="567"/>
      <c r="BL134" s="567"/>
      <c r="BM134" s="660" t="s">
        <v>932</v>
      </c>
      <c r="BN134" s="660"/>
      <c r="BO134" s="660"/>
      <c r="BP134" s="660"/>
      <c r="BQ134" s="568" t="s">
        <v>932</v>
      </c>
      <c r="BR134" s="568"/>
      <c r="BS134" s="568"/>
      <c r="BT134" s="660" t="s">
        <v>932</v>
      </c>
      <c r="BU134" s="660"/>
      <c r="BV134" s="660"/>
      <c r="BW134" s="660"/>
      <c r="BX134" s="568">
        <v>1</v>
      </c>
      <c r="BY134" s="568"/>
      <c r="BZ134" s="568"/>
      <c r="CA134" s="660" t="s">
        <v>932</v>
      </c>
      <c r="CB134" s="660"/>
      <c r="CC134" s="660"/>
      <c r="CD134" s="660"/>
      <c r="CE134" s="568" t="s">
        <v>932</v>
      </c>
      <c r="CF134" s="568"/>
      <c r="CG134" s="568"/>
      <c r="CH134" s="660" t="s">
        <v>932</v>
      </c>
      <c r="CI134" s="660"/>
      <c r="CJ134" s="660"/>
      <c r="CK134" s="660"/>
      <c r="CL134" s="568" t="s">
        <v>932</v>
      </c>
      <c r="CM134" s="568"/>
      <c r="CN134" s="568"/>
    </row>
    <row r="135" hidden="1" customHeight="1" spans="1:92">
      <c r="A135" s="612"/>
      <c r="B135" s="612"/>
      <c r="C135" s="518"/>
      <c r="D135" s="518"/>
      <c r="E135" s="518"/>
      <c r="F135" s="657"/>
      <c r="G135" s="657"/>
      <c r="H135" s="657"/>
      <c r="I135" s="519"/>
      <c r="J135" s="519"/>
      <c r="K135" s="519"/>
      <c r="L135" s="519"/>
      <c r="M135" s="519"/>
      <c r="N135" s="519"/>
      <c r="O135" s="519"/>
      <c r="P135" s="519"/>
      <c r="Q135" s="519"/>
      <c r="R135" s="519"/>
      <c r="S135" s="519"/>
      <c r="T135" s="519"/>
      <c r="U135" s="519"/>
      <c r="V135" s="519"/>
      <c r="W135" s="519"/>
      <c r="X135" s="519"/>
      <c r="Y135" s="519"/>
      <c r="Z135" s="519"/>
      <c r="AA135" s="519"/>
      <c r="AB135" s="526"/>
      <c r="AC135" s="526"/>
      <c r="AD135" s="658"/>
      <c r="AE135" s="658"/>
      <c r="AF135" s="658"/>
      <c r="AG135" s="526">
        <v>0</v>
      </c>
      <c r="AH135" s="526"/>
      <c r="AI135" s="659" t="e">
        <v>#N/A</v>
      </c>
      <c r="AJ135" s="659"/>
      <c r="AK135" s="659"/>
      <c r="AL135" s="659"/>
      <c r="AM135" s="659"/>
      <c r="AN135" s="659"/>
      <c r="AO135" s="659"/>
      <c r="AP135" s="659"/>
      <c r="AQ135" s="659"/>
      <c r="AR135" s="659"/>
      <c r="AS135" s="659"/>
      <c r="AT135" s="659"/>
      <c r="AU135" s="659"/>
      <c r="AV135" s="659"/>
      <c r="AW135" s="658">
        <v>0</v>
      </c>
      <c r="AX135" s="658"/>
      <c r="AY135" s="658"/>
      <c r="AZ135" s="658"/>
      <c r="BA135" s="658"/>
      <c r="BB135" s="658"/>
      <c r="BC135" s="658">
        <v>0</v>
      </c>
      <c r="BD135" s="658"/>
      <c r="BE135" s="658"/>
      <c r="BF135" s="658">
        <v>182.49</v>
      </c>
      <c r="BG135" s="658"/>
      <c r="BH135" s="658"/>
      <c r="BI135" s="567">
        <v>0</v>
      </c>
      <c r="BJ135" s="567"/>
      <c r="BK135" s="567"/>
      <c r="BL135" s="567"/>
      <c r="BM135" s="660" t="s">
        <v>932</v>
      </c>
      <c r="BN135" s="660"/>
      <c r="BO135" s="660"/>
      <c r="BP135" s="660"/>
      <c r="BQ135" s="568" t="s">
        <v>932</v>
      </c>
      <c r="BR135" s="568"/>
      <c r="BS135" s="568"/>
      <c r="BT135" s="660" t="s">
        <v>932</v>
      </c>
      <c r="BU135" s="660"/>
      <c r="BV135" s="660"/>
      <c r="BW135" s="660"/>
      <c r="BX135" s="568">
        <v>1</v>
      </c>
      <c r="BY135" s="568"/>
      <c r="BZ135" s="568"/>
      <c r="CA135" s="660" t="s">
        <v>932</v>
      </c>
      <c r="CB135" s="660"/>
      <c r="CC135" s="660"/>
      <c r="CD135" s="660"/>
      <c r="CE135" s="568" t="s">
        <v>932</v>
      </c>
      <c r="CF135" s="568"/>
      <c r="CG135" s="568"/>
      <c r="CH135" s="660" t="s">
        <v>932</v>
      </c>
      <c r="CI135" s="660"/>
      <c r="CJ135" s="660"/>
      <c r="CK135" s="660"/>
      <c r="CL135" s="568" t="s">
        <v>932</v>
      </c>
      <c r="CM135" s="568"/>
      <c r="CN135" s="568"/>
    </row>
    <row r="136" customHeight="1" spans="1:92">
      <c r="A136" s="612" t="s">
        <v>957</v>
      </c>
      <c r="B136" s="612"/>
      <c r="C136" s="518"/>
      <c r="D136" s="518"/>
      <c r="E136" s="518"/>
      <c r="F136" s="657">
        <v>1505860</v>
      </c>
      <c r="G136" s="657"/>
      <c r="H136" s="657"/>
      <c r="I136" s="519" t="s">
        <v>113</v>
      </c>
      <c r="J136" s="519"/>
      <c r="K136" s="519"/>
      <c r="L136" s="519"/>
      <c r="M136" s="519"/>
      <c r="N136" s="519"/>
      <c r="O136" s="519"/>
      <c r="P136" s="519"/>
      <c r="Q136" s="519"/>
      <c r="R136" s="519"/>
      <c r="S136" s="519"/>
      <c r="T136" s="519"/>
      <c r="U136" s="519"/>
      <c r="V136" s="519"/>
      <c r="W136" s="519"/>
      <c r="X136" s="519"/>
      <c r="Y136" s="519"/>
      <c r="Z136" s="519"/>
      <c r="AA136" s="519"/>
      <c r="AB136" s="526" t="s">
        <v>99</v>
      </c>
      <c r="AC136" s="526"/>
      <c r="AD136" s="658">
        <v>3.16</v>
      </c>
      <c r="AE136" s="658"/>
      <c r="AF136" s="658"/>
      <c r="AG136" s="526" t="s">
        <v>946</v>
      </c>
      <c r="AH136" s="526"/>
      <c r="AI136" s="659" t="s">
        <v>947</v>
      </c>
      <c r="AJ136" s="659"/>
      <c r="AK136" s="659"/>
      <c r="AL136" s="659"/>
      <c r="AM136" s="659"/>
      <c r="AN136" s="659"/>
      <c r="AO136" s="659"/>
      <c r="AP136" s="659"/>
      <c r="AQ136" s="659"/>
      <c r="AR136" s="659"/>
      <c r="AS136" s="659"/>
      <c r="AT136" s="659"/>
      <c r="AU136" s="659"/>
      <c r="AV136" s="659"/>
      <c r="AW136" s="658">
        <v>1</v>
      </c>
      <c r="AX136" s="658"/>
      <c r="AY136" s="658"/>
      <c r="AZ136" s="658">
        <v>4</v>
      </c>
      <c r="BA136" s="658"/>
      <c r="BB136" s="658"/>
      <c r="BC136" s="658">
        <v>0.79</v>
      </c>
      <c r="BD136" s="658"/>
      <c r="BE136" s="658"/>
      <c r="BF136" s="658">
        <v>182.49</v>
      </c>
      <c r="BG136" s="658"/>
      <c r="BH136" s="658"/>
      <c r="BI136" s="567">
        <v>0.00432900432900433</v>
      </c>
      <c r="BJ136" s="567"/>
      <c r="BK136" s="567"/>
      <c r="BL136" s="567"/>
      <c r="BM136" s="660" t="s">
        <v>932</v>
      </c>
      <c r="BN136" s="660"/>
      <c r="BO136" s="660"/>
      <c r="BP136" s="660"/>
      <c r="BQ136" s="568" t="s">
        <v>932</v>
      </c>
      <c r="BR136" s="568"/>
      <c r="BS136" s="568"/>
      <c r="BT136" s="660">
        <v>0.00432900432900433</v>
      </c>
      <c r="BU136" s="660"/>
      <c r="BV136" s="660"/>
      <c r="BW136" s="660"/>
      <c r="BX136" s="568">
        <v>1</v>
      </c>
      <c r="BY136" s="568"/>
      <c r="BZ136" s="568"/>
      <c r="CA136" s="660" t="s">
        <v>932</v>
      </c>
      <c r="CB136" s="660"/>
      <c r="CC136" s="660"/>
      <c r="CD136" s="660"/>
      <c r="CE136" s="568" t="s">
        <v>932</v>
      </c>
      <c r="CF136" s="568"/>
      <c r="CG136" s="568"/>
      <c r="CH136" s="660" t="s">
        <v>932</v>
      </c>
      <c r="CI136" s="660"/>
      <c r="CJ136" s="660"/>
      <c r="CK136" s="660"/>
      <c r="CL136" s="568" t="s">
        <v>932</v>
      </c>
      <c r="CM136" s="568"/>
      <c r="CN136" s="568"/>
    </row>
    <row r="137" customHeight="1" spans="1:92">
      <c r="A137" s="612"/>
      <c r="B137" s="612"/>
      <c r="C137" s="518"/>
      <c r="D137" s="518"/>
      <c r="E137" s="518"/>
      <c r="F137" s="657"/>
      <c r="G137" s="657"/>
      <c r="H137" s="657"/>
      <c r="I137" s="519"/>
      <c r="J137" s="519"/>
      <c r="K137" s="519"/>
      <c r="L137" s="519"/>
      <c r="M137" s="519"/>
      <c r="N137" s="519"/>
      <c r="O137" s="519"/>
      <c r="P137" s="519"/>
      <c r="Q137" s="519"/>
      <c r="R137" s="519"/>
      <c r="S137" s="519"/>
      <c r="T137" s="519"/>
      <c r="U137" s="519"/>
      <c r="V137" s="519"/>
      <c r="W137" s="519"/>
      <c r="X137" s="519"/>
      <c r="Y137" s="519"/>
      <c r="Z137" s="519"/>
      <c r="AA137" s="519"/>
      <c r="AB137" s="526"/>
      <c r="AC137" s="526"/>
      <c r="AD137" s="658"/>
      <c r="AE137" s="658"/>
      <c r="AF137" s="658"/>
      <c r="AG137" s="526" t="s">
        <v>935</v>
      </c>
      <c r="AH137" s="526"/>
      <c r="AI137" s="659" t="s">
        <v>936</v>
      </c>
      <c r="AJ137" s="659"/>
      <c r="AK137" s="659"/>
      <c r="AL137" s="659"/>
      <c r="AM137" s="659"/>
      <c r="AN137" s="659"/>
      <c r="AO137" s="659"/>
      <c r="AP137" s="659"/>
      <c r="AQ137" s="659"/>
      <c r="AR137" s="659"/>
      <c r="AS137" s="659"/>
      <c r="AT137" s="659"/>
      <c r="AU137" s="659"/>
      <c r="AV137" s="659"/>
      <c r="AW137" s="658">
        <v>8</v>
      </c>
      <c r="AX137" s="658"/>
      <c r="AY137" s="658"/>
      <c r="AZ137" s="658"/>
      <c r="BA137" s="658"/>
      <c r="BB137" s="658"/>
      <c r="BC137" s="658">
        <v>6.32</v>
      </c>
      <c r="BD137" s="658"/>
      <c r="BE137" s="658"/>
      <c r="BF137" s="658">
        <v>182.49</v>
      </c>
      <c r="BG137" s="658"/>
      <c r="BH137" s="658"/>
      <c r="BI137" s="567">
        <v>0.0346320346320346</v>
      </c>
      <c r="BJ137" s="567"/>
      <c r="BK137" s="567"/>
      <c r="BL137" s="567"/>
      <c r="BM137" s="660" t="s">
        <v>932</v>
      </c>
      <c r="BN137" s="660"/>
      <c r="BO137" s="660"/>
      <c r="BP137" s="660"/>
      <c r="BQ137" s="568" t="s">
        <v>932</v>
      </c>
      <c r="BR137" s="568"/>
      <c r="BS137" s="568"/>
      <c r="BT137" s="660">
        <v>0.0346320346320346</v>
      </c>
      <c r="BU137" s="660"/>
      <c r="BV137" s="660"/>
      <c r="BW137" s="660"/>
      <c r="BX137" s="568">
        <v>1</v>
      </c>
      <c r="BY137" s="568"/>
      <c r="BZ137" s="568"/>
      <c r="CA137" s="660" t="s">
        <v>932</v>
      </c>
      <c r="CB137" s="660"/>
      <c r="CC137" s="660"/>
      <c r="CD137" s="660"/>
      <c r="CE137" s="568" t="s">
        <v>932</v>
      </c>
      <c r="CF137" s="568"/>
      <c r="CG137" s="568"/>
      <c r="CH137" s="660" t="s">
        <v>932</v>
      </c>
      <c r="CI137" s="660"/>
      <c r="CJ137" s="660"/>
      <c r="CK137" s="660"/>
      <c r="CL137" s="568" t="s">
        <v>932</v>
      </c>
      <c r="CM137" s="568"/>
      <c r="CN137" s="568"/>
    </row>
    <row r="138" hidden="1" customHeight="1" spans="1:92">
      <c r="A138" s="612"/>
      <c r="B138" s="612"/>
      <c r="C138" s="518"/>
      <c r="D138" s="518"/>
      <c r="E138" s="518"/>
      <c r="F138" s="657"/>
      <c r="G138" s="657"/>
      <c r="H138" s="657"/>
      <c r="I138" s="519"/>
      <c r="J138" s="519"/>
      <c r="K138" s="519"/>
      <c r="L138" s="519"/>
      <c r="M138" s="519"/>
      <c r="N138" s="519"/>
      <c r="O138" s="519"/>
      <c r="P138" s="519"/>
      <c r="Q138" s="519"/>
      <c r="R138" s="519"/>
      <c r="S138" s="519"/>
      <c r="T138" s="519"/>
      <c r="U138" s="519"/>
      <c r="V138" s="519"/>
      <c r="W138" s="519"/>
      <c r="X138" s="519"/>
      <c r="Y138" s="519"/>
      <c r="Z138" s="519"/>
      <c r="AA138" s="519"/>
      <c r="AB138" s="526"/>
      <c r="AC138" s="526"/>
      <c r="AD138" s="658"/>
      <c r="AE138" s="658"/>
      <c r="AF138" s="658"/>
      <c r="AG138" s="526">
        <v>0</v>
      </c>
      <c r="AH138" s="526"/>
      <c r="AI138" s="659" t="e">
        <v>#N/A</v>
      </c>
      <c r="AJ138" s="659"/>
      <c r="AK138" s="659"/>
      <c r="AL138" s="659"/>
      <c r="AM138" s="659"/>
      <c r="AN138" s="659"/>
      <c r="AO138" s="659"/>
      <c r="AP138" s="659"/>
      <c r="AQ138" s="659"/>
      <c r="AR138" s="659"/>
      <c r="AS138" s="659"/>
      <c r="AT138" s="659"/>
      <c r="AU138" s="659"/>
      <c r="AV138" s="659"/>
      <c r="AW138" s="658">
        <v>0</v>
      </c>
      <c r="AX138" s="658"/>
      <c r="AY138" s="658"/>
      <c r="AZ138" s="658"/>
      <c r="BA138" s="658"/>
      <c r="BB138" s="658"/>
      <c r="BC138" s="658">
        <v>0</v>
      </c>
      <c r="BD138" s="658"/>
      <c r="BE138" s="658"/>
      <c r="BF138" s="658">
        <v>182.49</v>
      </c>
      <c r="BG138" s="658"/>
      <c r="BH138" s="658"/>
      <c r="BI138" s="567">
        <v>0</v>
      </c>
      <c r="BJ138" s="567"/>
      <c r="BK138" s="567"/>
      <c r="BL138" s="567"/>
      <c r="BM138" s="660" t="s">
        <v>932</v>
      </c>
      <c r="BN138" s="660"/>
      <c r="BO138" s="660"/>
      <c r="BP138" s="660"/>
      <c r="BQ138" s="568" t="s">
        <v>932</v>
      </c>
      <c r="BR138" s="568"/>
      <c r="BS138" s="568"/>
      <c r="BT138" s="660" t="s">
        <v>932</v>
      </c>
      <c r="BU138" s="660"/>
      <c r="BV138" s="660"/>
      <c r="BW138" s="660"/>
      <c r="BX138" s="568">
        <v>1</v>
      </c>
      <c r="BY138" s="568"/>
      <c r="BZ138" s="568"/>
      <c r="CA138" s="660" t="s">
        <v>932</v>
      </c>
      <c r="CB138" s="660"/>
      <c r="CC138" s="660"/>
      <c r="CD138" s="660"/>
      <c r="CE138" s="568" t="s">
        <v>932</v>
      </c>
      <c r="CF138" s="568"/>
      <c r="CG138" s="568"/>
      <c r="CH138" s="660" t="s">
        <v>932</v>
      </c>
      <c r="CI138" s="660"/>
      <c r="CJ138" s="660"/>
      <c r="CK138" s="660"/>
      <c r="CL138" s="568" t="s">
        <v>932</v>
      </c>
      <c r="CM138" s="568"/>
      <c r="CN138" s="568"/>
    </row>
    <row r="139" hidden="1" customHeight="1" spans="1:92">
      <c r="A139" s="612"/>
      <c r="B139" s="612"/>
      <c r="C139" s="518"/>
      <c r="D139" s="518"/>
      <c r="E139" s="518"/>
      <c r="F139" s="657"/>
      <c r="G139" s="657"/>
      <c r="H139" s="657"/>
      <c r="I139" s="519"/>
      <c r="J139" s="519"/>
      <c r="K139" s="519"/>
      <c r="L139" s="519"/>
      <c r="M139" s="519"/>
      <c r="N139" s="519"/>
      <c r="O139" s="519"/>
      <c r="P139" s="519"/>
      <c r="Q139" s="519"/>
      <c r="R139" s="519"/>
      <c r="S139" s="519"/>
      <c r="T139" s="519"/>
      <c r="U139" s="519"/>
      <c r="V139" s="519"/>
      <c r="W139" s="519"/>
      <c r="X139" s="519"/>
      <c r="Y139" s="519"/>
      <c r="Z139" s="519"/>
      <c r="AA139" s="519"/>
      <c r="AB139" s="526"/>
      <c r="AC139" s="526"/>
      <c r="AD139" s="658"/>
      <c r="AE139" s="658"/>
      <c r="AF139" s="658"/>
      <c r="AG139" s="526">
        <v>0</v>
      </c>
      <c r="AH139" s="526"/>
      <c r="AI139" s="659" t="e">
        <v>#N/A</v>
      </c>
      <c r="AJ139" s="659"/>
      <c r="AK139" s="659"/>
      <c r="AL139" s="659"/>
      <c r="AM139" s="659"/>
      <c r="AN139" s="659"/>
      <c r="AO139" s="659"/>
      <c r="AP139" s="659"/>
      <c r="AQ139" s="659"/>
      <c r="AR139" s="659"/>
      <c r="AS139" s="659"/>
      <c r="AT139" s="659"/>
      <c r="AU139" s="659"/>
      <c r="AV139" s="659"/>
      <c r="AW139" s="658">
        <v>0</v>
      </c>
      <c r="AX139" s="658"/>
      <c r="AY139" s="658"/>
      <c r="AZ139" s="658"/>
      <c r="BA139" s="658"/>
      <c r="BB139" s="658"/>
      <c r="BC139" s="658">
        <v>0</v>
      </c>
      <c r="BD139" s="658"/>
      <c r="BE139" s="658"/>
      <c r="BF139" s="658">
        <v>182.49</v>
      </c>
      <c r="BG139" s="658"/>
      <c r="BH139" s="658"/>
      <c r="BI139" s="567">
        <v>0</v>
      </c>
      <c r="BJ139" s="567"/>
      <c r="BK139" s="567"/>
      <c r="BL139" s="567"/>
      <c r="BM139" s="660" t="s">
        <v>932</v>
      </c>
      <c r="BN139" s="660"/>
      <c r="BO139" s="660"/>
      <c r="BP139" s="660"/>
      <c r="BQ139" s="568" t="s">
        <v>932</v>
      </c>
      <c r="BR139" s="568"/>
      <c r="BS139" s="568"/>
      <c r="BT139" s="660" t="s">
        <v>932</v>
      </c>
      <c r="BU139" s="660"/>
      <c r="BV139" s="660"/>
      <c r="BW139" s="660"/>
      <c r="BX139" s="568">
        <v>1</v>
      </c>
      <c r="BY139" s="568"/>
      <c r="BZ139" s="568"/>
      <c r="CA139" s="660" t="s">
        <v>932</v>
      </c>
      <c r="CB139" s="660"/>
      <c r="CC139" s="660"/>
      <c r="CD139" s="660"/>
      <c r="CE139" s="568" t="s">
        <v>932</v>
      </c>
      <c r="CF139" s="568"/>
      <c r="CG139" s="568"/>
      <c r="CH139" s="660" t="s">
        <v>932</v>
      </c>
      <c r="CI139" s="660"/>
      <c r="CJ139" s="660"/>
      <c r="CK139" s="660"/>
      <c r="CL139" s="568" t="s">
        <v>932</v>
      </c>
      <c r="CM139" s="568"/>
      <c r="CN139" s="568"/>
    </row>
    <row r="140" hidden="1" customHeight="1" spans="1:92">
      <c r="A140" s="612"/>
      <c r="B140" s="612"/>
      <c r="C140" s="518"/>
      <c r="D140" s="518"/>
      <c r="E140" s="518"/>
      <c r="F140" s="657"/>
      <c r="G140" s="657"/>
      <c r="H140" s="657"/>
      <c r="I140" s="519"/>
      <c r="J140" s="519"/>
      <c r="K140" s="519"/>
      <c r="L140" s="519"/>
      <c r="M140" s="519"/>
      <c r="N140" s="519"/>
      <c r="O140" s="519"/>
      <c r="P140" s="519"/>
      <c r="Q140" s="519"/>
      <c r="R140" s="519"/>
      <c r="S140" s="519"/>
      <c r="T140" s="519"/>
      <c r="U140" s="519"/>
      <c r="V140" s="519"/>
      <c r="W140" s="519"/>
      <c r="X140" s="519"/>
      <c r="Y140" s="519"/>
      <c r="Z140" s="519"/>
      <c r="AA140" s="519"/>
      <c r="AB140" s="526"/>
      <c r="AC140" s="526"/>
      <c r="AD140" s="658"/>
      <c r="AE140" s="658"/>
      <c r="AF140" s="658"/>
      <c r="AG140" s="526">
        <v>0</v>
      </c>
      <c r="AH140" s="526"/>
      <c r="AI140" s="659" t="e">
        <v>#N/A</v>
      </c>
      <c r="AJ140" s="659"/>
      <c r="AK140" s="659"/>
      <c r="AL140" s="659"/>
      <c r="AM140" s="659"/>
      <c r="AN140" s="659"/>
      <c r="AO140" s="659"/>
      <c r="AP140" s="659"/>
      <c r="AQ140" s="659"/>
      <c r="AR140" s="659"/>
      <c r="AS140" s="659"/>
      <c r="AT140" s="659"/>
      <c r="AU140" s="659"/>
      <c r="AV140" s="659"/>
      <c r="AW140" s="658">
        <v>0</v>
      </c>
      <c r="AX140" s="658"/>
      <c r="AY140" s="658"/>
      <c r="AZ140" s="658"/>
      <c r="BA140" s="658"/>
      <c r="BB140" s="658"/>
      <c r="BC140" s="658">
        <v>0</v>
      </c>
      <c r="BD140" s="658"/>
      <c r="BE140" s="658"/>
      <c r="BF140" s="658">
        <v>182.49</v>
      </c>
      <c r="BG140" s="658"/>
      <c r="BH140" s="658"/>
      <c r="BI140" s="567">
        <v>0</v>
      </c>
      <c r="BJ140" s="567"/>
      <c r="BK140" s="567"/>
      <c r="BL140" s="567"/>
      <c r="BM140" s="660" t="s">
        <v>932</v>
      </c>
      <c r="BN140" s="660"/>
      <c r="BO140" s="660"/>
      <c r="BP140" s="660"/>
      <c r="BQ140" s="568" t="s">
        <v>932</v>
      </c>
      <c r="BR140" s="568"/>
      <c r="BS140" s="568"/>
      <c r="BT140" s="660" t="s">
        <v>932</v>
      </c>
      <c r="BU140" s="660"/>
      <c r="BV140" s="660"/>
      <c r="BW140" s="660"/>
      <c r="BX140" s="568">
        <v>1</v>
      </c>
      <c r="BY140" s="568"/>
      <c r="BZ140" s="568"/>
      <c r="CA140" s="660" t="s">
        <v>932</v>
      </c>
      <c r="CB140" s="660"/>
      <c r="CC140" s="660"/>
      <c r="CD140" s="660"/>
      <c r="CE140" s="568" t="s">
        <v>932</v>
      </c>
      <c r="CF140" s="568"/>
      <c r="CG140" s="568"/>
      <c r="CH140" s="660" t="s">
        <v>932</v>
      </c>
      <c r="CI140" s="660"/>
      <c r="CJ140" s="660"/>
      <c r="CK140" s="660"/>
      <c r="CL140" s="568" t="s">
        <v>932</v>
      </c>
      <c r="CM140" s="568"/>
      <c r="CN140" s="568"/>
    </row>
    <row r="141" hidden="1" customHeight="1" spans="1:92">
      <c r="A141" s="612"/>
      <c r="B141" s="612"/>
      <c r="C141" s="518"/>
      <c r="D141" s="518"/>
      <c r="E141" s="518"/>
      <c r="F141" s="657"/>
      <c r="G141" s="657"/>
      <c r="H141" s="657"/>
      <c r="I141" s="519"/>
      <c r="J141" s="519"/>
      <c r="K141" s="519"/>
      <c r="L141" s="519"/>
      <c r="M141" s="519"/>
      <c r="N141" s="519"/>
      <c r="O141" s="519"/>
      <c r="P141" s="519"/>
      <c r="Q141" s="519"/>
      <c r="R141" s="519"/>
      <c r="S141" s="519"/>
      <c r="T141" s="519"/>
      <c r="U141" s="519"/>
      <c r="V141" s="519"/>
      <c r="W141" s="519"/>
      <c r="X141" s="519"/>
      <c r="Y141" s="519"/>
      <c r="Z141" s="519"/>
      <c r="AA141" s="519"/>
      <c r="AB141" s="526"/>
      <c r="AC141" s="526"/>
      <c r="AD141" s="658"/>
      <c r="AE141" s="658"/>
      <c r="AF141" s="658"/>
      <c r="AG141" s="526">
        <v>0</v>
      </c>
      <c r="AH141" s="526"/>
      <c r="AI141" s="659" t="e">
        <v>#N/A</v>
      </c>
      <c r="AJ141" s="659"/>
      <c r="AK141" s="659"/>
      <c r="AL141" s="659"/>
      <c r="AM141" s="659"/>
      <c r="AN141" s="659"/>
      <c r="AO141" s="659"/>
      <c r="AP141" s="659"/>
      <c r="AQ141" s="659"/>
      <c r="AR141" s="659"/>
      <c r="AS141" s="659"/>
      <c r="AT141" s="659"/>
      <c r="AU141" s="659"/>
      <c r="AV141" s="659"/>
      <c r="AW141" s="658">
        <v>0</v>
      </c>
      <c r="AX141" s="658"/>
      <c r="AY141" s="658"/>
      <c r="AZ141" s="658"/>
      <c r="BA141" s="658"/>
      <c r="BB141" s="658"/>
      <c r="BC141" s="658">
        <v>0</v>
      </c>
      <c r="BD141" s="658"/>
      <c r="BE141" s="658"/>
      <c r="BF141" s="658">
        <v>182.49</v>
      </c>
      <c r="BG141" s="658"/>
      <c r="BH141" s="658"/>
      <c r="BI141" s="567">
        <v>0</v>
      </c>
      <c r="BJ141" s="567"/>
      <c r="BK141" s="567"/>
      <c r="BL141" s="567"/>
      <c r="BM141" s="660" t="s">
        <v>932</v>
      </c>
      <c r="BN141" s="660"/>
      <c r="BO141" s="660"/>
      <c r="BP141" s="660"/>
      <c r="BQ141" s="568" t="s">
        <v>932</v>
      </c>
      <c r="BR141" s="568"/>
      <c r="BS141" s="568"/>
      <c r="BT141" s="660" t="s">
        <v>932</v>
      </c>
      <c r="BU141" s="660"/>
      <c r="BV141" s="660"/>
      <c r="BW141" s="660"/>
      <c r="BX141" s="568">
        <v>1</v>
      </c>
      <c r="BY141" s="568"/>
      <c r="BZ141" s="568"/>
      <c r="CA141" s="660" t="s">
        <v>932</v>
      </c>
      <c r="CB141" s="660"/>
      <c r="CC141" s="660"/>
      <c r="CD141" s="660"/>
      <c r="CE141" s="568" t="s">
        <v>932</v>
      </c>
      <c r="CF141" s="568"/>
      <c r="CG141" s="568"/>
      <c r="CH141" s="660" t="s">
        <v>932</v>
      </c>
      <c r="CI141" s="660"/>
      <c r="CJ141" s="660"/>
      <c r="CK141" s="660"/>
      <c r="CL141" s="568" t="s">
        <v>932</v>
      </c>
      <c r="CM141" s="568"/>
      <c r="CN141" s="568"/>
    </row>
    <row r="142" hidden="1" customHeight="1" spans="1:92">
      <c r="A142" s="612"/>
      <c r="B142" s="612"/>
      <c r="C142" s="518"/>
      <c r="D142" s="518"/>
      <c r="E142" s="518"/>
      <c r="F142" s="657"/>
      <c r="G142" s="657"/>
      <c r="H142" s="657"/>
      <c r="I142" s="519"/>
      <c r="J142" s="519"/>
      <c r="K142" s="519"/>
      <c r="L142" s="519"/>
      <c r="M142" s="519"/>
      <c r="N142" s="519"/>
      <c r="O142" s="519"/>
      <c r="P142" s="519"/>
      <c r="Q142" s="519"/>
      <c r="R142" s="519"/>
      <c r="S142" s="519"/>
      <c r="T142" s="519"/>
      <c r="U142" s="519"/>
      <c r="V142" s="519"/>
      <c r="W142" s="519"/>
      <c r="X142" s="519"/>
      <c r="Y142" s="519"/>
      <c r="Z142" s="519"/>
      <c r="AA142" s="519"/>
      <c r="AB142" s="526"/>
      <c r="AC142" s="526"/>
      <c r="AD142" s="658"/>
      <c r="AE142" s="658"/>
      <c r="AF142" s="658"/>
      <c r="AG142" s="526">
        <v>0</v>
      </c>
      <c r="AH142" s="526"/>
      <c r="AI142" s="659" t="e">
        <v>#N/A</v>
      </c>
      <c r="AJ142" s="659"/>
      <c r="AK142" s="659"/>
      <c r="AL142" s="659"/>
      <c r="AM142" s="659"/>
      <c r="AN142" s="659"/>
      <c r="AO142" s="659"/>
      <c r="AP142" s="659"/>
      <c r="AQ142" s="659"/>
      <c r="AR142" s="659"/>
      <c r="AS142" s="659"/>
      <c r="AT142" s="659"/>
      <c r="AU142" s="659"/>
      <c r="AV142" s="659"/>
      <c r="AW142" s="658">
        <v>0</v>
      </c>
      <c r="AX142" s="658"/>
      <c r="AY142" s="658"/>
      <c r="AZ142" s="658"/>
      <c r="BA142" s="658"/>
      <c r="BB142" s="658"/>
      <c r="BC142" s="658">
        <v>0</v>
      </c>
      <c r="BD142" s="658"/>
      <c r="BE142" s="658"/>
      <c r="BF142" s="658">
        <v>182.49</v>
      </c>
      <c r="BG142" s="658"/>
      <c r="BH142" s="658"/>
      <c r="BI142" s="567">
        <v>0</v>
      </c>
      <c r="BJ142" s="567"/>
      <c r="BK142" s="567"/>
      <c r="BL142" s="567"/>
      <c r="BM142" s="660" t="s">
        <v>932</v>
      </c>
      <c r="BN142" s="660"/>
      <c r="BO142" s="660"/>
      <c r="BP142" s="660"/>
      <c r="BQ142" s="568" t="s">
        <v>932</v>
      </c>
      <c r="BR142" s="568"/>
      <c r="BS142" s="568"/>
      <c r="BT142" s="660" t="s">
        <v>932</v>
      </c>
      <c r="BU142" s="660"/>
      <c r="BV142" s="660"/>
      <c r="BW142" s="660"/>
      <c r="BX142" s="568">
        <v>1</v>
      </c>
      <c r="BY142" s="568"/>
      <c r="BZ142" s="568"/>
      <c r="CA142" s="660" t="s">
        <v>932</v>
      </c>
      <c r="CB142" s="660"/>
      <c r="CC142" s="660"/>
      <c r="CD142" s="660"/>
      <c r="CE142" s="568" t="s">
        <v>932</v>
      </c>
      <c r="CF142" s="568"/>
      <c r="CG142" s="568"/>
      <c r="CH142" s="660" t="s">
        <v>932</v>
      </c>
      <c r="CI142" s="660"/>
      <c r="CJ142" s="660"/>
      <c r="CK142" s="660"/>
      <c r="CL142" s="568" t="s">
        <v>932</v>
      </c>
      <c r="CM142" s="568"/>
      <c r="CN142" s="568"/>
    </row>
    <row r="143" hidden="1" customHeight="1" spans="1:92">
      <c r="A143" s="612"/>
      <c r="B143" s="612"/>
      <c r="C143" s="518"/>
      <c r="D143" s="518"/>
      <c r="E143" s="518"/>
      <c r="F143" s="657"/>
      <c r="G143" s="657"/>
      <c r="H143" s="657"/>
      <c r="I143" s="519"/>
      <c r="J143" s="519"/>
      <c r="K143" s="519"/>
      <c r="L143" s="519"/>
      <c r="M143" s="519"/>
      <c r="N143" s="519"/>
      <c r="O143" s="519"/>
      <c r="P143" s="519"/>
      <c r="Q143" s="519"/>
      <c r="R143" s="519"/>
      <c r="S143" s="519"/>
      <c r="T143" s="519"/>
      <c r="U143" s="519"/>
      <c r="V143" s="519"/>
      <c r="W143" s="519"/>
      <c r="X143" s="519"/>
      <c r="Y143" s="519"/>
      <c r="Z143" s="519"/>
      <c r="AA143" s="519"/>
      <c r="AB143" s="526"/>
      <c r="AC143" s="526"/>
      <c r="AD143" s="658"/>
      <c r="AE143" s="658"/>
      <c r="AF143" s="658"/>
      <c r="AG143" s="526">
        <v>0</v>
      </c>
      <c r="AH143" s="526"/>
      <c r="AI143" s="659" t="e">
        <v>#N/A</v>
      </c>
      <c r="AJ143" s="659"/>
      <c r="AK143" s="659"/>
      <c r="AL143" s="659"/>
      <c r="AM143" s="659"/>
      <c r="AN143" s="659"/>
      <c r="AO143" s="659"/>
      <c r="AP143" s="659"/>
      <c r="AQ143" s="659"/>
      <c r="AR143" s="659"/>
      <c r="AS143" s="659"/>
      <c r="AT143" s="659"/>
      <c r="AU143" s="659"/>
      <c r="AV143" s="659"/>
      <c r="AW143" s="658">
        <v>0</v>
      </c>
      <c r="AX143" s="658"/>
      <c r="AY143" s="658"/>
      <c r="AZ143" s="658"/>
      <c r="BA143" s="658"/>
      <c r="BB143" s="658"/>
      <c r="BC143" s="658">
        <v>0</v>
      </c>
      <c r="BD143" s="658"/>
      <c r="BE143" s="658"/>
      <c r="BF143" s="658">
        <v>182.49</v>
      </c>
      <c r="BG143" s="658"/>
      <c r="BH143" s="658"/>
      <c r="BI143" s="567">
        <v>0</v>
      </c>
      <c r="BJ143" s="567"/>
      <c r="BK143" s="567"/>
      <c r="BL143" s="567"/>
      <c r="BM143" s="660" t="s">
        <v>932</v>
      </c>
      <c r="BN143" s="660"/>
      <c r="BO143" s="660"/>
      <c r="BP143" s="660"/>
      <c r="BQ143" s="568" t="s">
        <v>932</v>
      </c>
      <c r="BR143" s="568"/>
      <c r="BS143" s="568"/>
      <c r="BT143" s="660" t="s">
        <v>932</v>
      </c>
      <c r="BU143" s="660"/>
      <c r="BV143" s="660"/>
      <c r="BW143" s="660"/>
      <c r="BX143" s="568">
        <v>1</v>
      </c>
      <c r="BY143" s="568"/>
      <c r="BZ143" s="568"/>
      <c r="CA143" s="660" t="s">
        <v>932</v>
      </c>
      <c r="CB143" s="660"/>
      <c r="CC143" s="660"/>
      <c r="CD143" s="660"/>
      <c r="CE143" s="568" t="s">
        <v>932</v>
      </c>
      <c r="CF143" s="568"/>
      <c r="CG143" s="568"/>
      <c r="CH143" s="660" t="s">
        <v>932</v>
      </c>
      <c r="CI143" s="660"/>
      <c r="CJ143" s="660"/>
      <c r="CK143" s="660"/>
      <c r="CL143" s="568" t="s">
        <v>932</v>
      </c>
      <c r="CM143" s="568"/>
      <c r="CN143" s="568"/>
    </row>
    <row r="144" customHeight="1" spans="1:92">
      <c r="A144" s="612" t="s">
        <v>958</v>
      </c>
      <c r="B144" s="612"/>
      <c r="C144" s="518"/>
      <c r="D144" s="518"/>
      <c r="E144" s="518"/>
      <c r="F144" s="657">
        <v>1100657</v>
      </c>
      <c r="G144" s="657"/>
      <c r="H144" s="657"/>
      <c r="I144" s="519" t="s">
        <v>114</v>
      </c>
      <c r="J144" s="519"/>
      <c r="K144" s="519"/>
      <c r="L144" s="519"/>
      <c r="M144" s="519"/>
      <c r="N144" s="519"/>
      <c r="O144" s="519"/>
      <c r="P144" s="519"/>
      <c r="Q144" s="519"/>
      <c r="R144" s="519"/>
      <c r="S144" s="519"/>
      <c r="T144" s="519"/>
      <c r="U144" s="519"/>
      <c r="V144" s="519"/>
      <c r="W144" s="519"/>
      <c r="X144" s="519"/>
      <c r="Y144" s="519"/>
      <c r="Z144" s="519"/>
      <c r="AA144" s="519"/>
      <c r="AB144" s="526" t="s">
        <v>99</v>
      </c>
      <c r="AC144" s="526"/>
      <c r="AD144" s="658">
        <v>33.62</v>
      </c>
      <c r="AE144" s="658"/>
      <c r="AF144" s="658"/>
      <c r="AG144" s="526" t="s">
        <v>935</v>
      </c>
      <c r="AH144" s="526"/>
      <c r="AI144" s="659" t="s">
        <v>936</v>
      </c>
      <c r="AJ144" s="659"/>
      <c r="AK144" s="659"/>
      <c r="AL144" s="659"/>
      <c r="AM144" s="659"/>
      <c r="AN144" s="659"/>
      <c r="AO144" s="659"/>
      <c r="AP144" s="659"/>
      <c r="AQ144" s="659"/>
      <c r="AR144" s="659"/>
      <c r="AS144" s="659"/>
      <c r="AT144" s="659"/>
      <c r="AU144" s="659"/>
      <c r="AV144" s="659"/>
      <c r="AW144" s="658">
        <v>1</v>
      </c>
      <c r="AX144" s="658"/>
      <c r="AY144" s="658"/>
      <c r="AZ144" s="658">
        <v>9</v>
      </c>
      <c r="BA144" s="658"/>
      <c r="BB144" s="658"/>
      <c r="BC144" s="658">
        <v>3.73555555555555</v>
      </c>
      <c r="BD144" s="658"/>
      <c r="BE144" s="658"/>
      <c r="BF144" s="658">
        <v>182.49</v>
      </c>
      <c r="BG144" s="658"/>
      <c r="BH144" s="658"/>
      <c r="BI144" s="567">
        <v>0.0204699192040964</v>
      </c>
      <c r="BJ144" s="567"/>
      <c r="BK144" s="567"/>
      <c r="BL144" s="567"/>
      <c r="BM144" s="660" t="s">
        <v>932</v>
      </c>
      <c r="BN144" s="660"/>
      <c r="BO144" s="660"/>
      <c r="BP144" s="660"/>
      <c r="BQ144" s="568" t="s">
        <v>932</v>
      </c>
      <c r="BR144" s="568"/>
      <c r="BS144" s="568"/>
      <c r="BT144" s="660">
        <v>0.0204699192040964</v>
      </c>
      <c r="BU144" s="660"/>
      <c r="BV144" s="660"/>
      <c r="BW144" s="660"/>
      <c r="BX144" s="568">
        <v>1</v>
      </c>
      <c r="BY144" s="568"/>
      <c r="BZ144" s="568"/>
      <c r="CA144" s="660" t="s">
        <v>932</v>
      </c>
      <c r="CB144" s="660"/>
      <c r="CC144" s="660"/>
      <c r="CD144" s="660"/>
      <c r="CE144" s="568" t="s">
        <v>932</v>
      </c>
      <c r="CF144" s="568"/>
      <c r="CG144" s="568"/>
      <c r="CH144" s="660" t="s">
        <v>932</v>
      </c>
      <c r="CI144" s="660"/>
      <c r="CJ144" s="660"/>
      <c r="CK144" s="660"/>
      <c r="CL144" s="568" t="s">
        <v>932</v>
      </c>
      <c r="CM144" s="568"/>
      <c r="CN144" s="568"/>
    </row>
    <row r="145" hidden="1" customHeight="1" spans="1:92">
      <c r="A145" s="612"/>
      <c r="B145" s="612"/>
      <c r="C145" s="518"/>
      <c r="D145" s="518"/>
      <c r="E145" s="518"/>
      <c r="F145" s="657"/>
      <c r="G145" s="657"/>
      <c r="H145" s="657"/>
      <c r="I145" s="519"/>
      <c r="J145" s="519"/>
      <c r="K145" s="519"/>
      <c r="L145" s="519"/>
      <c r="M145" s="519"/>
      <c r="N145" s="519"/>
      <c r="O145" s="519"/>
      <c r="P145" s="519"/>
      <c r="Q145" s="519"/>
      <c r="R145" s="519"/>
      <c r="S145" s="519"/>
      <c r="T145" s="519"/>
      <c r="U145" s="519"/>
      <c r="V145" s="519"/>
      <c r="W145" s="519"/>
      <c r="X145" s="519"/>
      <c r="Y145" s="519"/>
      <c r="Z145" s="519"/>
      <c r="AA145" s="519"/>
      <c r="AB145" s="526"/>
      <c r="AC145" s="526"/>
      <c r="AD145" s="658"/>
      <c r="AE145" s="658"/>
      <c r="AF145" s="658"/>
      <c r="AG145" s="526">
        <v>0</v>
      </c>
      <c r="AH145" s="526"/>
      <c r="AI145" s="659" t="e">
        <v>#N/A</v>
      </c>
      <c r="AJ145" s="659"/>
      <c r="AK145" s="659"/>
      <c r="AL145" s="659"/>
      <c r="AM145" s="659"/>
      <c r="AN145" s="659"/>
      <c r="AO145" s="659"/>
      <c r="AP145" s="659"/>
      <c r="AQ145" s="659"/>
      <c r="AR145" s="659"/>
      <c r="AS145" s="659"/>
      <c r="AT145" s="659"/>
      <c r="AU145" s="659"/>
      <c r="AV145" s="659"/>
      <c r="AW145" s="658">
        <v>0</v>
      </c>
      <c r="AX145" s="658"/>
      <c r="AY145" s="658"/>
      <c r="AZ145" s="658"/>
      <c r="BA145" s="658"/>
      <c r="BB145" s="658"/>
      <c r="BC145" s="658">
        <v>0</v>
      </c>
      <c r="BD145" s="658"/>
      <c r="BE145" s="658"/>
      <c r="BF145" s="658">
        <v>182.49</v>
      </c>
      <c r="BG145" s="658"/>
      <c r="BH145" s="658"/>
      <c r="BI145" s="567">
        <v>0</v>
      </c>
      <c r="BJ145" s="567"/>
      <c r="BK145" s="567"/>
      <c r="BL145" s="567"/>
      <c r="BM145" s="660" t="s">
        <v>932</v>
      </c>
      <c r="BN145" s="660"/>
      <c r="BO145" s="660"/>
      <c r="BP145" s="660"/>
      <c r="BQ145" s="568" t="s">
        <v>932</v>
      </c>
      <c r="BR145" s="568"/>
      <c r="BS145" s="568"/>
      <c r="BT145" s="660" t="s">
        <v>932</v>
      </c>
      <c r="BU145" s="660"/>
      <c r="BV145" s="660"/>
      <c r="BW145" s="660"/>
      <c r="BX145" s="568">
        <v>1</v>
      </c>
      <c r="BY145" s="568"/>
      <c r="BZ145" s="568"/>
      <c r="CA145" s="660" t="s">
        <v>932</v>
      </c>
      <c r="CB145" s="660"/>
      <c r="CC145" s="660"/>
      <c r="CD145" s="660"/>
      <c r="CE145" s="568" t="s">
        <v>932</v>
      </c>
      <c r="CF145" s="568"/>
      <c r="CG145" s="568"/>
      <c r="CH145" s="660" t="s">
        <v>932</v>
      </c>
      <c r="CI145" s="660"/>
      <c r="CJ145" s="660"/>
      <c r="CK145" s="660"/>
      <c r="CL145" s="568" t="s">
        <v>932</v>
      </c>
      <c r="CM145" s="568"/>
      <c r="CN145" s="568"/>
    </row>
    <row r="146" hidden="1" customHeight="1" spans="1:92">
      <c r="A146" s="612"/>
      <c r="B146" s="612"/>
      <c r="C146" s="518"/>
      <c r="D146" s="518"/>
      <c r="E146" s="518"/>
      <c r="F146" s="657"/>
      <c r="G146" s="657"/>
      <c r="H146" s="657"/>
      <c r="I146" s="519"/>
      <c r="J146" s="519"/>
      <c r="K146" s="519"/>
      <c r="L146" s="519"/>
      <c r="M146" s="519"/>
      <c r="N146" s="519"/>
      <c r="O146" s="519"/>
      <c r="P146" s="519"/>
      <c r="Q146" s="519"/>
      <c r="R146" s="519"/>
      <c r="S146" s="519"/>
      <c r="T146" s="519"/>
      <c r="U146" s="519"/>
      <c r="V146" s="519"/>
      <c r="W146" s="519"/>
      <c r="X146" s="519"/>
      <c r="Y146" s="519"/>
      <c r="Z146" s="519"/>
      <c r="AA146" s="519"/>
      <c r="AB146" s="526"/>
      <c r="AC146" s="526"/>
      <c r="AD146" s="658"/>
      <c r="AE146" s="658"/>
      <c r="AF146" s="658"/>
      <c r="AG146" s="526">
        <v>0</v>
      </c>
      <c r="AH146" s="526"/>
      <c r="AI146" s="659" t="e">
        <v>#N/A</v>
      </c>
      <c r="AJ146" s="659"/>
      <c r="AK146" s="659"/>
      <c r="AL146" s="659"/>
      <c r="AM146" s="659"/>
      <c r="AN146" s="659"/>
      <c r="AO146" s="659"/>
      <c r="AP146" s="659"/>
      <c r="AQ146" s="659"/>
      <c r="AR146" s="659"/>
      <c r="AS146" s="659"/>
      <c r="AT146" s="659"/>
      <c r="AU146" s="659"/>
      <c r="AV146" s="659"/>
      <c r="AW146" s="658">
        <v>0</v>
      </c>
      <c r="AX146" s="658"/>
      <c r="AY146" s="658"/>
      <c r="AZ146" s="658"/>
      <c r="BA146" s="658"/>
      <c r="BB146" s="658"/>
      <c r="BC146" s="658">
        <v>0</v>
      </c>
      <c r="BD146" s="658"/>
      <c r="BE146" s="658"/>
      <c r="BF146" s="658">
        <v>182.49</v>
      </c>
      <c r="BG146" s="658"/>
      <c r="BH146" s="658"/>
      <c r="BI146" s="567">
        <v>0</v>
      </c>
      <c r="BJ146" s="567"/>
      <c r="BK146" s="567"/>
      <c r="BL146" s="567"/>
      <c r="BM146" s="660" t="s">
        <v>932</v>
      </c>
      <c r="BN146" s="660"/>
      <c r="BO146" s="660"/>
      <c r="BP146" s="660"/>
      <c r="BQ146" s="568" t="s">
        <v>932</v>
      </c>
      <c r="BR146" s="568"/>
      <c r="BS146" s="568"/>
      <c r="BT146" s="660" t="s">
        <v>932</v>
      </c>
      <c r="BU146" s="660"/>
      <c r="BV146" s="660"/>
      <c r="BW146" s="660"/>
      <c r="BX146" s="568">
        <v>1</v>
      </c>
      <c r="BY146" s="568"/>
      <c r="BZ146" s="568"/>
      <c r="CA146" s="660" t="s">
        <v>932</v>
      </c>
      <c r="CB146" s="660"/>
      <c r="CC146" s="660"/>
      <c r="CD146" s="660"/>
      <c r="CE146" s="568" t="s">
        <v>932</v>
      </c>
      <c r="CF146" s="568"/>
      <c r="CG146" s="568"/>
      <c r="CH146" s="660" t="s">
        <v>932</v>
      </c>
      <c r="CI146" s="660"/>
      <c r="CJ146" s="660"/>
      <c r="CK146" s="660"/>
      <c r="CL146" s="568" t="s">
        <v>932</v>
      </c>
      <c r="CM146" s="568"/>
      <c r="CN146" s="568"/>
    </row>
    <row r="147" hidden="1" customHeight="1" spans="1:92">
      <c r="A147" s="612"/>
      <c r="B147" s="612"/>
      <c r="C147" s="518"/>
      <c r="D147" s="518"/>
      <c r="E147" s="518"/>
      <c r="F147" s="657"/>
      <c r="G147" s="657"/>
      <c r="H147" s="657"/>
      <c r="I147" s="519"/>
      <c r="J147" s="519"/>
      <c r="K147" s="519"/>
      <c r="L147" s="519"/>
      <c r="M147" s="519"/>
      <c r="N147" s="519"/>
      <c r="O147" s="519"/>
      <c r="P147" s="519"/>
      <c r="Q147" s="519"/>
      <c r="R147" s="519"/>
      <c r="S147" s="519"/>
      <c r="T147" s="519"/>
      <c r="U147" s="519"/>
      <c r="V147" s="519"/>
      <c r="W147" s="519"/>
      <c r="X147" s="519"/>
      <c r="Y147" s="519"/>
      <c r="Z147" s="519"/>
      <c r="AA147" s="519"/>
      <c r="AB147" s="526"/>
      <c r="AC147" s="526"/>
      <c r="AD147" s="658"/>
      <c r="AE147" s="658"/>
      <c r="AF147" s="658"/>
      <c r="AG147" s="526">
        <v>0</v>
      </c>
      <c r="AH147" s="526"/>
      <c r="AI147" s="659" t="e">
        <v>#N/A</v>
      </c>
      <c r="AJ147" s="659"/>
      <c r="AK147" s="659"/>
      <c r="AL147" s="659"/>
      <c r="AM147" s="659"/>
      <c r="AN147" s="659"/>
      <c r="AO147" s="659"/>
      <c r="AP147" s="659"/>
      <c r="AQ147" s="659"/>
      <c r="AR147" s="659"/>
      <c r="AS147" s="659"/>
      <c r="AT147" s="659"/>
      <c r="AU147" s="659"/>
      <c r="AV147" s="659"/>
      <c r="AW147" s="658">
        <v>0</v>
      </c>
      <c r="AX147" s="658"/>
      <c r="AY147" s="658"/>
      <c r="AZ147" s="658"/>
      <c r="BA147" s="658"/>
      <c r="BB147" s="658"/>
      <c r="BC147" s="658">
        <v>0</v>
      </c>
      <c r="BD147" s="658"/>
      <c r="BE147" s="658"/>
      <c r="BF147" s="658">
        <v>182.49</v>
      </c>
      <c r="BG147" s="658"/>
      <c r="BH147" s="658"/>
      <c r="BI147" s="567">
        <v>0</v>
      </c>
      <c r="BJ147" s="567"/>
      <c r="BK147" s="567"/>
      <c r="BL147" s="567"/>
      <c r="BM147" s="660" t="s">
        <v>932</v>
      </c>
      <c r="BN147" s="660"/>
      <c r="BO147" s="660"/>
      <c r="BP147" s="660"/>
      <c r="BQ147" s="568" t="s">
        <v>932</v>
      </c>
      <c r="BR147" s="568"/>
      <c r="BS147" s="568"/>
      <c r="BT147" s="660" t="s">
        <v>932</v>
      </c>
      <c r="BU147" s="660"/>
      <c r="BV147" s="660"/>
      <c r="BW147" s="660"/>
      <c r="BX147" s="568">
        <v>1</v>
      </c>
      <c r="BY147" s="568"/>
      <c r="BZ147" s="568"/>
      <c r="CA147" s="660" t="s">
        <v>932</v>
      </c>
      <c r="CB147" s="660"/>
      <c r="CC147" s="660"/>
      <c r="CD147" s="660"/>
      <c r="CE147" s="568" t="s">
        <v>932</v>
      </c>
      <c r="CF147" s="568"/>
      <c r="CG147" s="568"/>
      <c r="CH147" s="660" t="s">
        <v>932</v>
      </c>
      <c r="CI147" s="660"/>
      <c r="CJ147" s="660"/>
      <c r="CK147" s="660"/>
      <c r="CL147" s="568" t="s">
        <v>932</v>
      </c>
      <c r="CM147" s="568"/>
      <c r="CN147" s="568"/>
    </row>
    <row r="148" hidden="1" customHeight="1" spans="1:92">
      <c r="A148" s="612"/>
      <c r="B148" s="612"/>
      <c r="C148" s="518"/>
      <c r="D148" s="518"/>
      <c r="E148" s="518"/>
      <c r="F148" s="657"/>
      <c r="G148" s="657"/>
      <c r="H148" s="657"/>
      <c r="I148" s="519"/>
      <c r="J148" s="519"/>
      <c r="K148" s="519"/>
      <c r="L148" s="519"/>
      <c r="M148" s="519"/>
      <c r="N148" s="519"/>
      <c r="O148" s="519"/>
      <c r="P148" s="519"/>
      <c r="Q148" s="519"/>
      <c r="R148" s="519"/>
      <c r="S148" s="519"/>
      <c r="T148" s="519"/>
      <c r="U148" s="519"/>
      <c r="V148" s="519"/>
      <c r="W148" s="519"/>
      <c r="X148" s="519"/>
      <c r="Y148" s="519"/>
      <c r="Z148" s="519"/>
      <c r="AA148" s="519"/>
      <c r="AB148" s="526"/>
      <c r="AC148" s="526"/>
      <c r="AD148" s="658"/>
      <c r="AE148" s="658"/>
      <c r="AF148" s="658"/>
      <c r="AG148" s="526">
        <v>0</v>
      </c>
      <c r="AH148" s="526"/>
      <c r="AI148" s="659" t="e">
        <v>#N/A</v>
      </c>
      <c r="AJ148" s="659"/>
      <c r="AK148" s="659"/>
      <c r="AL148" s="659"/>
      <c r="AM148" s="659"/>
      <c r="AN148" s="659"/>
      <c r="AO148" s="659"/>
      <c r="AP148" s="659"/>
      <c r="AQ148" s="659"/>
      <c r="AR148" s="659"/>
      <c r="AS148" s="659"/>
      <c r="AT148" s="659"/>
      <c r="AU148" s="659"/>
      <c r="AV148" s="659"/>
      <c r="AW148" s="658">
        <v>0</v>
      </c>
      <c r="AX148" s="658"/>
      <c r="AY148" s="658"/>
      <c r="AZ148" s="658"/>
      <c r="BA148" s="658"/>
      <c r="BB148" s="658"/>
      <c r="BC148" s="658">
        <v>0</v>
      </c>
      <c r="BD148" s="658"/>
      <c r="BE148" s="658"/>
      <c r="BF148" s="658">
        <v>182.49</v>
      </c>
      <c r="BG148" s="658"/>
      <c r="BH148" s="658"/>
      <c r="BI148" s="567">
        <v>0</v>
      </c>
      <c r="BJ148" s="567"/>
      <c r="BK148" s="567"/>
      <c r="BL148" s="567"/>
      <c r="BM148" s="660" t="s">
        <v>932</v>
      </c>
      <c r="BN148" s="660"/>
      <c r="BO148" s="660"/>
      <c r="BP148" s="660"/>
      <c r="BQ148" s="568" t="s">
        <v>932</v>
      </c>
      <c r="BR148" s="568"/>
      <c r="BS148" s="568"/>
      <c r="BT148" s="660" t="s">
        <v>932</v>
      </c>
      <c r="BU148" s="660"/>
      <c r="BV148" s="660"/>
      <c r="BW148" s="660"/>
      <c r="BX148" s="568">
        <v>1</v>
      </c>
      <c r="BY148" s="568"/>
      <c r="BZ148" s="568"/>
      <c r="CA148" s="660" t="s">
        <v>932</v>
      </c>
      <c r="CB148" s="660"/>
      <c r="CC148" s="660"/>
      <c r="CD148" s="660"/>
      <c r="CE148" s="568" t="s">
        <v>932</v>
      </c>
      <c r="CF148" s="568"/>
      <c r="CG148" s="568"/>
      <c r="CH148" s="660" t="s">
        <v>932</v>
      </c>
      <c r="CI148" s="660"/>
      <c r="CJ148" s="660"/>
      <c r="CK148" s="660"/>
      <c r="CL148" s="568" t="s">
        <v>932</v>
      </c>
      <c r="CM148" s="568"/>
      <c r="CN148" s="568"/>
    </row>
    <row r="149" hidden="1" customHeight="1" spans="1:92">
      <c r="A149" s="612"/>
      <c r="B149" s="612"/>
      <c r="C149" s="518"/>
      <c r="D149" s="518"/>
      <c r="E149" s="518"/>
      <c r="F149" s="657"/>
      <c r="G149" s="657"/>
      <c r="H149" s="657"/>
      <c r="I149" s="519"/>
      <c r="J149" s="519"/>
      <c r="K149" s="519"/>
      <c r="L149" s="519"/>
      <c r="M149" s="519"/>
      <c r="N149" s="519"/>
      <c r="O149" s="519"/>
      <c r="P149" s="519"/>
      <c r="Q149" s="519"/>
      <c r="R149" s="519"/>
      <c r="S149" s="519"/>
      <c r="T149" s="519"/>
      <c r="U149" s="519"/>
      <c r="V149" s="519"/>
      <c r="W149" s="519"/>
      <c r="X149" s="519"/>
      <c r="Y149" s="519"/>
      <c r="Z149" s="519"/>
      <c r="AA149" s="519"/>
      <c r="AB149" s="526"/>
      <c r="AC149" s="526"/>
      <c r="AD149" s="658"/>
      <c r="AE149" s="658"/>
      <c r="AF149" s="658"/>
      <c r="AG149" s="526">
        <v>0</v>
      </c>
      <c r="AH149" s="526"/>
      <c r="AI149" s="659" t="e">
        <v>#N/A</v>
      </c>
      <c r="AJ149" s="659"/>
      <c r="AK149" s="659"/>
      <c r="AL149" s="659"/>
      <c r="AM149" s="659"/>
      <c r="AN149" s="659"/>
      <c r="AO149" s="659"/>
      <c r="AP149" s="659"/>
      <c r="AQ149" s="659"/>
      <c r="AR149" s="659"/>
      <c r="AS149" s="659"/>
      <c r="AT149" s="659"/>
      <c r="AU149" s="659"/>
      <c r="AV149" s="659"/>
      <c r="AW149" s="658">
        <v>0</v>
      </c>
      <c r="AX149" s="658"/>
      <c r="AY149" s="658"/>
      <c r="AZ149" s="658"/>
      <c r="BA149" s="658"/>
      <c r="BB149" s="658"/>
      <c r="BC149" s="658">
        <v>0</v>
      </c>
      <c r="BD149" s="658"/>
      <c r="BE149" s="658"/>
      <c r="BF149" s="658">
        <v>182.49</v>
      </c>
      <c r="BG149" s="658"/>
      <c r="BH149" s="658"/>
      <c r="BI149" s="567">
        <v>0</v>
      </c>
      <c r="BJ149" s="567"/>
      <c r="BK149" s="567"/>
      <c r="BL149" s="567"/>
      <c r="BM149" s="660" t="s">
        <v>932</v>
      </c>
      <c r="BN149" s="660"/>
      <c r="BO149" s="660"/>
      <c r="BP149" s="660"/>
      <c r="BQ149" s="568" t="s">
        <v>932</v>
      </c>
      <c r="BR149" s="568"/>
      <c r="BS149" s="568"/>
      <c r="BT149" s="660" t="s">
        <v>932</v>
      </c>
      <c r="BU149" s="660"/>
      <c r="BV149" s="660"/>
      <c r="BW149" s="660"/>
      <c r="BX149" s="568">
        <v>1</v>
      </c>
      <c r="BY149" s="568"/>
      <c r="BZ149" s="568"/>
      <c r="CA149" s="660" t="s">
        <v>932</v>
      </c>
      <c r="CB149" s="660"/>
      <c r="CC149" s="660"/>
      <c r="CD149" s="660"/>
      <c r="CE149" s="568" t="s">
        <v>932</v>
      </c>
      <c r="CF149" s="568"/>
      <c r="CG149" s="568"/>
      <c r="CH149" s="660" t="s">
        <v>932</v>
      </c>
      <c r="CI149" s="660"/>
      <c r="CJ149" s="660"/>
      <c r="CK149" s="660"/>
      <c r="CL149" s="568" t="s">
        <v>932</v>
      </c>
      <c r="CM149" s="568"/>
      <c r="CN149" s="568"/>
    </row>
    <row r="150" hidden="1" customHeight="1" spans="1:92">
      <c r="A150" s="612"/>
      <c r="B150" s="612"/>
      <c r="C150" s="518"/>
      <c r="D150" s="518"/>
      <c r="E150" s="518"/>
      <c r="F150" s="657"/>
      <c r="G150" s="657"/>
      <c r="H150" s="657"/>
      <c r="I150" s="519"/>
      <c r="J150" s="519"/>
      <c r="K150" s="519"/>
      <c r="L150" s="519"/>
      <c r="M150" s="519"/>
      <c r="N150" s="519"/>
      <c r="O150" s="519"/>
      <c r="P150" s="519"/>
      <c r="Q150" s="519"/>
      <c r="R150" s="519"/>
      <c r="S150" s="519"/>
      <c r="T150" s="519"/>
      <c r="U150" s="519"/>
      <c r="V150" s="519"/>
      <c r="W150" s="519"/>
      <c r="X150" s="519"/>
      <c r="Y150" s="519"/>
      <c r="Z150" s="519"/>
      <c r="AA150" s="519"/>
      <c r="AB150" s="526"/>
      <c r="AC150" s="526"/>
      <c r="AD150" s="658"/>
      <c r="AE150" s="658"/>
      <c r="AF150" s="658"/>
      <c r="AG150" s="526">
        <v>0</v>
      </c>
      <c r="AH150" s="526"/>
      <c r="AI150" s="659" t="e">
        <v>#N/A</v>
      </c>
      <c r="AJ150" s="659"/>
      <c r="AK150" s="659"/>
      <c r="AL150" s="659"/>
      <c r="AM150" s="659"/>
      <c r="AN150" s="659"/>
      <c r="AO150" s="659"/>
      <c r="AP150" s="659"/>
      <c r="AQ150" s="659"/>
      <c r="AR150" s="659"/>
      <c r="AS150" s="659"/>
      <c r="AT150" s="659"/>
      <c r="AU150" s="659"/>
      <c r="AV150" s="659"/>
      <c r="AW150" s="658">
        <v>0</v>
      </c>
      <c r="AX150" s="658"/>
      <c r="AY150" s="658"/>
      <c r="AZ150" s="658"/>
      <c r="BA150" s="658"/>
      <c r="BB150" s="658"/>
      <c r="BC150" s="658">
        <v>0</v>
      </c>
      <c r="BD150" s="658"/>
      <c r="BE150" s="658"/>
      <c r="BF150" s="658">
        <v>182.49</v>
      </c>
      <c r="BG150" s="658"/>
      <c r="BH150" s="658"/>
      <c r="BI150" s="567">
        <v>0</v>
      </c>
      <c r="BJ150" s="567"/>
      <c r="BK150" s="567"/>
      <c r="BL150" s="567"/>
      <c r="BM150" s="660" t="s">
        <v>932</v>
      </c>
      <c r="BN150" s="660"/>
      <c r="BO150" s="660"/>
      <c r="BP150" s="660"/>
      <c r="BQ150" s="568" t="s">
        <v>932</v>
      </c>
      <c r="BR150" s="568"/>
      <c r="BS150" s="568"/>
      <c r="BT150" s="660" t="s">
        <v>932</v>
      </c>
      <c r="BU150" s="660"/>
      <c r="BV150" s="660"/>
      <c r="BW150" s="660"/>
      <c r="BX150" s="568">
        <v>1</v>
      </c>
      <c r="BY150" s="568"/>
      <c r="BZ150" s="568"/>
      <c r="CA150" s="660" t="s">
        <v>932</v>
      </c>
      <c r="CB150" s="660"/>
      <c r="CC150" s="660"/>
      <c r="CD150" s="660"/>
      <c r="CE150" s="568" t="s">
        <v>932</v>
      </c>
      <c r="CF150" s="568"/>
      <c r="CG150" s="568"/>
      <c r="CH150" s="660" t="s">
        <v>932</v>
      </c>
      <c r="CI150" s="660"/>
      <c r="CJ150" s="660"/>
      <c r="CK150" s="660"/>
      <c r="CL150" s="568" t="s">
        <v>932</v>
      </c>
      <c r="CM150" s="568"/>
      <c r="CN150" s="568"/>
    </row>
    <row r="151" hidden="1" customHeight="1" spans="1:92">
      <c r="A151" s="612"/>
      <c r="B151" s="612"/>
      <c r="C151" s="518"/>
      <c r="D151" s="518"/>
      <c r="E151" s="518"/>
      <c r="F151" s="657"/>
      <c r="G151" s="657"/>
      <c r="H151" s="657"/>
      <c r="I151" s="519"/>
      <c r="J151" s="519"/>
      <c r="K151" s="519"/>
      <c r="L151" s="519"/>
      <c r="M151" s="519"/>
      <c r="N151" s="519"/>
      <c r="O151" s="519"/>
      <c r="P151" s="519"/>
      <c r="Q151" s="519"/>
      <c r="R151" s="519"/>
      <c r="S151" s="519"/>
      <c r="T151" s="519"/>
      <c r="U151" s="519"/>
      <c r="V151" s="519"/>
      <c r="W151" s="519"/>
      <c r="X151" s="519"/>
      <c r="Y151" s="519"/>
      <c r="Z151" s="519"/>
      <c r="AA151" s="519"/>
      <c r="AB151" s="526"/>
      <c r="AC151" s="526"/>
      <c r="AD151" s="658"/>
      <c r="AE151" s="658"/>
      <c r="AF151" s="658"/>
      <c r="AG151" s="526">
        <v>0</v>
      </c>
      <c r="AH151" s="526"/>
      <c r="AI151" s="659" t="e">
        <v>#N/A</v>
      </c>
      <c r="AJ151" s="659"/>
      <c r="AK151" s="659"/>
      <c r="AL151" s="659"/>
      <c r="AM151" s="659"/>
      <c r="AN151" s="659"/>
      <c r="AO151" s="659"/>
      <c r="AP151" s="659"/>
      <c r="AQ151" s="659"/>
      <c r="AR151" s="659"/>
      <c r="AS151" s="659"/>
      <c r="AT151" s="659"/>
      <c r="AU151" s="659"/>
      <c r="AV151" s="659"/>
      <c r="AW151" s="658">
        <v>0</v>
      </c>
      <c r="AX151" s="658"/>
      <c r="AY151" s="658"/>
      <c r="AZ151" s="658"/>
      <c r="BA151" s="658"/>
      <c r="BB151" s="658"/>
      <c r="BC151" s="658">
        <v>0</v>
      </c>
      <c r="BD151" s="658"/>
      <c r="BE151" s="658"/>
      <c r="BF151" s="658">
        <v>182.49</v>
      </c>
      <c r="BG151" s="658"/>
      <c r="BH151" s="658"/>
      <c r="BI151" s="567">
        <v>0</v>
      </c>
      <c r="BJ151" s="567"/>
      <c r="BK151" s="567"/>
      <c r="BL151" s="567"/>
      <c r="BM151" s="660" t="s">
        <v>932</v>
      </c>
      <c r="BN151" s="660"/>
      <c r="BO151" s="660"/>
      <c r="BP151" s="660"/>
      <c r="BQ151" s="568" t="s">
        <v>932</v>
      </c>
      <c r="BR151" s="568"/>
      <c r="BS151" s="568"/>
      <c r="BT151" s="660" t="s">
        <v>932</v>
      </c>
      <c r="BU151" s="660"/>
      <c r="BV151" s="660"/>
      <c r="BW151" s="660"/>
      <c r="BX151" s="568">
        <v>1</v>
      </c>
      <c r="BY151" s="568"/>
      <c r="BZ151" s="568"/>
      <c r="CA151" s="660" t="s">
        <v>932</v>
      </c>
      <c r="CB151" s="660"/>
      <c r="CC151" s="660"/>
      <c r="CD151" s="660"/>
      <c r="CE151" s="568" t="s">
        <v>932</v>
      </c>
      <c r="CF151" s="568"/>
      <c r="CG151" s="568"/>
      <c r="CH151" s="660" t="s">
        <v>932</v>
      </c>
      <c r="CI151" s="660"/>
      <c r="CJ151" s="660"/>
      <c r="CK151" s="660"/>
      <c r="CL151" s="568" t="s">
        <v>932</v>
      </c>
      <c r="CM151" s="568"/>
      <c r="CN151" s="568"/>
    </row>
    <row r="152" customHeight="1" spans="1:92">
      <c r="A152" s="612" t="s">
        <v>959</v>
      </c>
      <c r="B152" s="612"/>
      <c r="C152" s="518"/>
      <c r="D152" s="518"/>
      <c r="E152" s="518"/>
      <c r="F152" s="657">
        <v>1107900</v>
      </c>
      <c r="G152" s="657"/>
      <c r="H152" s="657"/>
      <c r="I152" s="519" t="s">
        <v>108</v>
      </c>
      <c r="J152" s="519"/>
      <c r="K152" s="519"/>
      <c r="L152" s="519"/>
      <c r="M152" s="519"/>
      <c r="N152" s="519"/>
      <c r="O152" s="519"/>
      <c r="P152" s="519"/>
      <c r="Q152" s="519"/>
      <c r="R152" s="519"/>
      <c r="S152" s="519"/>
      <c r="T152" s="519"/>
      <c r="U152" s="519"/>
      <c r="V152" s="519"/>
      <c r="W152" s="519"/>
      <c r="X152" s="519"/>
      <c r="Y152" s="519"/>
      <c r="Z152" s="519"/>
      <c r="AA152" s="519"/>
      <c r="AB152" s="526" t="s">
        <v>99</v>
      </c>
      <c r="AC152" s="526"/>
      <c r="AD152" s="658">
        <v>33.62</v>
      </c>
      <c r="AE152" s="658"/>
      <c r="AF152" s="658"/>
      <c r="AG152" s="526" t="s">
        <v>946</v>
      </c>
      <c r="AH152" s="526"/>
      <c r="AI152" s="659" t="s">
        <v>947</v>
      </c>
      <c r="AJ152" s="659"/>
      <c r="AK152" s="659"/>
      <c r="AL152" s="659"/>
      <c r="AM152" s="659"/>
      <c r="AN152" s="659"/>
      <c r="AO152" s="659"/>
      <c r="AP152" s="659"/>
      <c r="AQ152" s="659"/>
      <c r="AR152" s="659"/>
      <c r="AS152" s="659"/>
      <c r="AT152" s="659"/>
      <c r="AU152" s="659"/>
      <c r="AV152" s="659"/>
      <c r="AW152" s="658">
        <v>1</v>
      </c>
      <c r="AX152" s="658"/>
      <c r="AY152" s="658"/>
      <c r="AZ152" s="658">
        <v>3.853</v>
      </c>
      <c r="BA152" s="658"/>
      <c r="BB152" s="658"/>
      <c r="BC152" s="658">
        <v>8.72566831040747</v>
      </c>
      <c r="BD152" s="658"/>
      <c r="BE152" s="658"/>
      <c r="BF152" s="658">
        <v>182.49</v>
      </c>
      <c r="BG152" s="658"/>
      <c r="BH152" s="658"/>
      <c r="BI152" s="567">
        <v>0.0478145011255821</v>
      </c>
      <c r="BJ152" s="567"/>
      <c r="BK152" s="567"/>
      <c r="BL152" s="567"/>
      <c r="BM152" s="660" t="s">
        <v>932</v>
      </c>
      <c r="BN152" s="660"/>
      <c r="BO152" s="660"/>
      <c r="BP152" s="660"/>
      <c r="BQ152" s="568" t="s">
        <v>932</v>
      </c>
      <c r="BR152" s="568"/>
      <c r="BS152" s="568"/>
      <c r="BT152" s="660" t="s">
        <v>932</v>
      </c>
      <c r="BU152" s="660"/>
      <c r="BV152" s="660"/>
      <c r="BW152" s="660"/>
      <c r="BX152" s="568" t="s">
        <v>932</v>
      </c>
      <c r="BY152" s="568"/>
      <c r="BZ152" s="568"/>
      <c r="CA152" s="660">
        <v>0.0478145011255821</v>
      </c>
      <c r="CB152" s="660"/>
      <c r="CC152" s="660"/>
      <c r="CD152" s="660"/>
      <c r="CE152" s="568">
        <v>1</v>
      </c>
      <c r="CF152" s="568"/>
      <c r="CG152" s="568"/>
      <c r="CH152" s="660" t="s">
        <v>932</v>
      </c>
      <c r="CI152" s="660"/>
      <c r="CJ152" s="660"/>
      <c r="CK152" s="660"/>
      <c r="CL152" s="568" t="s">
        <v>932</v>
      </c>
      <c r="CM152" s="568"/>
      <c r="CN152" s="568"/>
    </row>
    <row r="153" customHeight="1" spans="1:92">
      <c r="A153" s="612"/>
      <c r="B153" s="612"/>
      <c r="C153" s="518"/>
      <c r="D153" s="518"/>
      <c r="E153" s="518"/>
      <c r="F153" s="657"/>
      <c r="G153" s="657"/>
      <c r="H153" s="657"/>
      <c r="I153" s="519"/>
      <c r="J153" s="519"/>
      <c r="K153" s="519"/>
      <c r="L153" s="519"/>
      <c r="M153" s="519"/>
      <c r="N153" s="519"/>
      <c r="O153" s="519"/>
      <c r="P153" s="519"/>
      <c r="Q153" s="519"/>
      <c r="R153" s="519"/>
      <c r="S153" s="519"/>
      <c r="T153" s="519"/>
      <c r="U153" s="519"/>
      <c r="V153" s="519"/>
      <c r="W153" s="519"/>
      <c r="X153" s="519"/>
      <c r="Y153" s="519"/>
      <c r="Z153" s="519"/>
      <c r="AA153" s="519"/>
      <c r="AB153" s="526"/>
      <c r="AC153" s="526"/>
      <c r="AD153" s="658"/>
      <c r="AE153" s="658"/>
      <c r="AF153" s="658"/>
      <c r="AG153" s="526" t="s">
        <v>935</v>
      </c>
      <c r="AH153" s="526"/>
      <c r="AI153" s="659" t="s">
        <v>936</v>
      </c>
      <c r="AJ153" s="659"/>
      <c r="AK153" s="659"/>
      <c r="AL153" s="659"/>
      <c r="AM153" s="659"/>
      <c r="AN153" s="659"/>
      <c r="AO153" s="659"/>
      <c r="AP153" s="659"/>
      <c r="AQ153" s="659"/>
      <c r="AR153" s="659"/>
      <c r="AS153" s="659"/>
      <c r="AT153" s="659"/>
      <c r="AU153" s="659"/>
      <c r="AV153" s="659"/>
      <c r="AW153" s="658">
        <v>9</v>
      </c>
      <c r="AX153" s="658"/>
      <c r="AY153" s="658"/>
      <c r="AZ153" s="658"/>
      <c r="BA153" s="658"/>
      <c r="BB153" s="658"/>
      <c r="BC153" s="658">
        <v>78.5310147936673</v>
      </c>
      <c r="BD153" s="658"/>
      <c r="BE153" s="658"/>
      <c r="BF153" s="658">
        <v>182.49</v>
      </c>
      <c r="BG153" s="658"/>
      <c r="BH153" s="658"/>
      <c r="BI153" s="567">
        <v>0.430330510130239</v>
      </c>
      <c r="BJ153" s="567"/>
      <c r="BK153" s="567"/>
      <c r="BL153" s="567"/>
      <c r="BM153" s="660" t="s">
        <v>932</v>
      </c>
      <c r="BN153" s="660"/>
      <c r="BO153" s="660"/>
      <c r="BP153" s="660"/>
      <c r="BQ153" s="568" t="s">
        <v>932</v>
      </c>
      <c r="BR153" s="568"/>
      <c r="BS153" s="568"/>
      <c r="BT153" s="660" t="s">
        <v>932</v>
      </c>
      <c r="BU153" s="660"/>
      <c r="BV153" s="660"/>
      <c r="BW153" s="660"/>
      <c r="BX153" s="568" t="s">
        <v>932</v>
      </c>
      <c r="BY153" s="568"/>
      <c r="BZ153" s="568"/>
      <c r="CA153" s="660">
        <v>0.430330510130239</v>
      </c>
      <c r="CB153" s="660"/>
      <c r="CC153" s="660"/>
      <c r="CD153" s="660"/>
      <c r="CE153" s="568">
        <v>1</v>
      </c>
      <c r="CF153" s="568"/>
      <c r="CG153" s="568"/>
      <c r="CH153" s="660" t="s">
        <v>932</v>
      </c>
      <c r="CI153" s="660"/>
      <c r="CJ153" s="660"/>
      <c r="CK153" s="660"/>
      <c r="CL153" s="568" t="s">
        <v>932</v>
      </c>
      <c r="CM153" s="568"/>
      <c r="CN153" s="568"/>
    </row>
    <row r="154" hidden="1" customHeight="1" spans="1:92">
      <c r="A154" s="612"/>
      <c r="B154" s="612"/>
      <c r="C154" s="518"/>
      <c r="D154" s="518"/>
      <c r="E154" s="518"/>
      <c r="F154" s="657"/>
      <c r="G154" s="657"/>
      <c r="H154" s="657"/>
      <c r="I154" s="519"/>
      <c r="J154" s="519"/>
      <c r="K154" s="519"/>
      <c r="L154" s="519"/>
      <c r="M154" s="519"/>
      <c r="N154" s="519"/>
      <c r="O154" s="519"/>
      <c r="P154" s="519"/>
      <c r="Q154" s="519"/>
      <c r="R154" s="519"/>
      <c r="S154" s="519"/>
      <c r="T154" s="519"/>
      <c r="U154" s="519"/>
      <c r="V154" s="519"/>
      <c r="W154" s="519"/>
      <c r="X154" s="519"/>
      <c r="Y154" s="519"/>
      <c r="Z154" s="519"/>
      <c r="AA154" s="519"/>
      <c r="AB154" s="526"/>
      <c r="AC154" s="526"/>
      <c r="AD154" s="658"/>
      <c r="AE154" s="658"/>
      <c r="AF154" s="658"/>
      <c r="AG154" s="526">
        <v>0</v>
      </c>
      <c r="AH154" s="526"/>
      <c r="AI154" s="659" t="e">
        <v>#N/A</v>
      </c>
      <c r="AJ154" s="659"/>
      <c r="AK154" s="659"/>
      <c r="AL154" s="659"/>
      <c r="AM154" s="659"/>
      <c r="AN154" s="659"/>
      <c r="AO154" s="659"/>
      <c r="AP154" s="659"/>
      <c r="AQ154" s="659"/>
      <c r="AR154" s="659"/>
      <c r="AS154" s="659"/>
      <c r="AT154" s="659"/>
      <c r="AU154" s="659"/>
      <c r="AV154" s="659"/>
      <c r="AW154" s="658">
        <v>0</v>
      </c>
      <c r="AX154" s="658"/>
      <c r="AY154" s="658"/>
      <c r="AZ154" s="658"/>
      <c r="BA154" s="658"/>
      <c r="BB154" s="658"/>
      <c r="BC154" s="658">
        <v>0</v>
      </c>
      <c r="BD154" s="658"/>
      <c r="BE154" s="658"/>
      <c r="BF154" s="658">
        <v>182.49</v>
      </c>
      <c r="BG154" s="658"/>
      <c r="BH154" s="658"/>
      <c r="BI154" s="567">
        <v>0</v>
      </c>
      <c r="BJ154" s="567"/>
      <c r="BK154" s="567"/>
      <c r="BL154" s="567"/>
      <c r="BM154" s="660" t="s">
        <v>932</v>
      </c>
      <c r="BN154" s="660"/>
      <c r="BO154" s="660"/>
      <c r="BP154" s="660"/>
      <c r="BQ154" s="568" t="s">
        <v>932</v>
      </c>
      <c r="BR154" s="568"/>
      <c r="BS154" s="568"/>
      <c r="BT154" s="660" t="s">
        <v>932</v>
      </c>
      <c r="BU154" s="660"/>
      <c r="BV154" s="660"/>
      <c r="BW154" s="660"/>
      <c r="BX154" s="568" t="s">
        <v>932</v>
      </c>
      <c r="BY154" s="568"/>
      <c r="BZ154" s="568"/>
      <c r="CA154" s="660" t="s">
        <v>932</v>
      </c>
      <c r="CB154" s="660"/>
      <c r="CC154" s="660"/>
      <c r="CD154" s="660"/>
      <c r="CE154" s="568">
        <v>1</v>
      </c>
      <c r="CF154" s="568"/>
      <c r="CG154" s="568"/>
      <c r="CH154" s="660" t="s">
        <v>932</v>
      </c>
      <c r="CI154" s="660"/>
      <c r="CJ154" s="660"/>
      <c r="CK154" s="660"/>
      <c r="CL154" s="568" t="s">
        <v>932</v>
      </c>
      <c r="CM154" s="568"/>
      <c r="CN154" s="568"/>
    </row>
    <row r="155" hidden="1" customHeight="1" spans="1:92">
      <c r="A155" s="612"/>
      <c r="B155" s="612"/>
      <c r="C155" s="518"/>
      <c r="D155" s="518"/>
      <c r="E155" s="518"/>
      <c r="F155" s="657"/>
      <c r="G155" s="657"/>
      <c r="H155" s="657"/>
      <c r="I155" s="519"/>
      <c r="J155" s="519"/>
      <c r="K155" s="519"/>
      <c r="L155" s="519"/>
      <c r="M155" s="519"/>
      <c r="N155" s="519"/>
      <c r="O155" s="519"/>
      <c r="P155" s="519"/>
      <c r="Q155" s="519"/>
      <c r="R155" s="519"/>
      <c r="S155" s="519"/>
      <c r="T155" s="519"/>
      <c r="U155" s="519"/>
      <c r="V155" s="519"/>
      <c r="W155" s="519"/>
      <c r="X155" s="519"/>
      <c r="Y155" s="519"/>
      <c r="Z155" s="519"/>
      <c r="AA155" s="519"/>
      <c r="AB155" s="526"/>
      <c r="AC155" s="526"/>
      <c r="AD155" s="658"/>
      <c r="AE155" s="658"/>
      <c r="AF155" s="658"/>
      <c r="AG155" s="526">
        <v>0</v>
      </c>
      <c r="AH155" s="526"/>
      <c r="AI155" s="659" t="e">
        <v>#N/A</v>
      </c>
      <c r="AJ155" s="659"/>
      <c r="AK155" s="659"/>
      <c r="AL155" s="659"/>
      <c r="AM155" s="659"/>
      <c r="AN155" s="659"/>
      <c r="AO155" s="659"/>
      <c r="AP155" s="659"/>
      <c r="AQ155" s="659"/>
      <c r="AR155" s="659"/>
      <c r="AS155" s="659"/>
      <c r="AT155" s="659"/>
      <c r="AU155" s="659"/>
      <c r="AV155" s="659"/>
      <c r="AW155" s="658">
        <v>0</v>
      </c>
      <c r="AX155" s="658"/>
      <c r="AY155" s="658"/>
      <c r="AZ155" s="658"/>
      <c r="BA155" s="658"/>
      <c r="BB155" s="658"/>
      <c r="BC155" s="658">
        <v>0</v>
      </c>
      <c r="BD155" s="658"/>
      <c r="BE155" s="658"/>
      <c r="BF155" s="658">
        <v>182.49</v>
      </c>
      <c r="BG155" s="658"/>
      <c r="BH155" s="658"/>
      <c r="BI155" s="567">
        <v>0</v>
      </c>
      <c r="BJ155" s="567"/>
      <c r="BK155" s="567"/>
      <c r="BL155" s="567"/>
      <c r="BM155" s="660" t="s">
        <v>932</v>
      </c>
      <c r="BN155" s="660"/>
      <c r="BO155" s="660"/>
      <c r="BP155" s="660"/>
      <c r="BQ155" s="568" t="s">
        <v>932</v>
      </c>
      <c r="BR155" s="568"/>
      <c r="BS155" s="568"/>
      <c r="BT155" s="660" t="s">
        <v>932</v>
      </c>
      <c r="BU155" s="660"/>
      <c r="BV155" s="660"/>
      <c r="BW155" s="660"/>
      <c r="BX155" s="568" t="s">
        <v>932</v>
      </c>
      <c r="BY155" s="568"/>
      <c r="BZ155" s="568"/>
      <c r="CA155" s="660" t="s">
        <v>932</v>
      </c>
      <c r="CB155" s="660"/>
      <c r="CC155" s="660"/>
      <c r="CD155" s="660"/>
      <c r="CE155" s="568">
        <v>1</v>
      </c>
      <c r="CF155" s="568"/>
      <c r="CG155" s="568"/>
      <c r="CH155" s="660" t="s">
        <v>932</v>
      </c>
      <c r="CI155" s="660"/>
      <c r="CJ155" s="660"/>
      <c r="CK155" s="660"/>
      <c r="CL155" s="568" t="s">
        <v>932</v>
      </c>
      <c r="CM155" s="568"/>
      <c r="CN155" s="568"/>
    </row>
    <row r="156" hidden="1" customHeight="1" spans="1:92">
      <c r="A156" s="612"/>
      <c r="B156" s="612"/>
      <c r="C156" s="518"/>
      <c r="D156" s="518"/>
      <c r="E156" s="518"/>
      <c r="F156" s="657"/>
      <c r="G156" s="657"/>
      <c r="H156" s="657"/>
      <c r="I156" s="519"/>
      <c r="J156" s="519"/>
      <c r="K156" s="519"/>
      <c r="L156" s="519"/>
      <c r="M156" s="519"/>
      <c r="N156" s="519"/>
      <c r="O156" s="519"/>
      <c r="P156" s="519"/>
      <c r="Q156" s="519"/>
      <c r="R156" s="519"/>
      <c r="S156" s="519"/>
      <c r="T156" s="519"/>
      <c r="U156" s="519"/>
      <c r="V156" s="519"/>
      <c r="W156" s="519"/>
      <c r="X156" s="519"/>
      <c r="Y156" s="519"/>
      <c r="Z156" s="519"/>
      <c r="AA156" s="519"/>
      <c r="AB156" s="526"/>
      <c r="AC156" s="526"/>
      <c r="AD156" s="658"/>
      <c r="AE156" s="658"/>
      <c r="AF156" s="658"/>
      <c r="AG156" s="526">
        <v>0</v>
      </c>
      <c r="AH156" s="526"/>
      <c r="AI156" s="659" t="e">
        <v>#N/A</v>
      </c>
      <c r="AJ156" s="659"/>
      <c r="AK156" s="659"/>
      <c r="AL156" s="659"/>
      <c r="AM156" s="659"/>
      <c r="AN156" s="659"/>
      <c r="AO156" s="659"/>
      <c r="AP156" s="659"/>
      <c r="AQ156" s="659"/>
      <c r="AR156" s="659"/>
      <c r="AS156" s="659"/>
      <c r="AT156" s="659"/>
      <c r="AU156" s="659"/>
      <c r="AV156" s="659"/>
      <c r="AW156" s="658">
        <v>0</v>
      </c>
      <c r="AX156" s="658"/>
      <c r="AY156" s="658"/>
      <c r="AZ156" s="658"/>
      <c r="BA156" s="658"/>
      <c r="BB156" s="658"/>
      <c r="BC156" s="658">
        <v>0</v>
      </c>
      <c r="BD156" s="658"/>
      <c r="BE156" s="658"/>
      <c r="BF156" s="658">
        <v>182.49</v>
      </c>
      <c r="BG156" s="658"/>
      <c r="BH156" s="658"/>
      <c r="BI156" s="567">
        <v>0</v>
      </c>
      <c r="BJ156" s="567"/>
      <c r="BK156" s="567"/>
      <c r="BL156" s="567"/>
      <c r="BM156" s="660" t="s">
        <v>932</v>
      </c>
      <c r="BN156" s="660"/>
      <c r="BO156" s="660"/>
      <c r="BP156" s="660"/>
      <c r="BQ156" s="568" t="s">
        <v>932</v>
      </c>
      <c r="BR156" s="568"/>
      <c r="BS156" s="568"/>
      <c r="BT156" s="660" t="s">
        <v>932</v>
      </c>
      <c r="BU156" s="660"/>
      <c r="BV156" s="660"/>
      <c r="BW156" s="660"/>
      <c r="BX156" s="568" t="s">
        <v>932</v>
      </c>
      <c r="BY156" s="568"/>
      <c r="BZ156" s="568"/>
      <c r="CA156" s="660" t="s">
        <v>932</v>
      </c>
      <c r="CB156" s="660"/>
      <c r="CC156" s="660"/>
      <c r="CD156" s="660"/>
      <c r="CE156" s="568">
        <v>1</v>
      </c>
      <c r="CF156" s="568"/>
      <c r="CG156" s="568"/>
      <c r="CH156" s="660" t="s">
        <v>932</v>
      </c>
      <c r="CI156" s="660"/>
      <c r="CJ156" s="660"/>
      <c r="CK156" s="660"/>
      <c r="CL156" s="568" t="s">
        <v>932</v>
      </c>
      <c r="CM156" s="568"/>
      <c r="CN156" s="568"/>
    </row>
    <row r="157" hidden="1" customHeight="1" spans="1:92">
      <c r="A157" s="612"/>
      <c r="B157" s="612"/>
      <c r="C157" s="518"/>
      <c r="D157" s="518"/>
      <c r="E157" s="518"/>
      <c r="F157" s="657"/>
      <c r="G157" s="657"/>
      <c r="H157" s="657"/>
      <c r="I157" s="519"/>
      <c r="J157" s="519"/>
      <c r="K157" s="519"/>
      <c r="L157" s="519"/>
      <c r="M157" s="519"/>
      <c r="N157" s="519"/>
      <c r="O157" s="519"/>
      <c r="P157" s="519"/>
      <c r="Q157" s="519"/>
      <c r="R157" s="519"/>
      <c r="S157" s="519"/>
      <c r="T157" s="519"/>
      <c r="U157" s="519"/>
      <c r="V157" s="519"/>
      <c r="W157" s="519"/>
      <c r="X157" s="519"/>
      <c r="Y157" s="519"/>
      <c r="Z157" s="519"/>
      <c r="AA157" s="519"/>
      <c r="AB157" s="526"/>
      <c r="AC157" s="526"/>
      <c r="AD157" s="658"/>
      <c r="AE157" s="658"/>
      <c r="AF157" s="658"/>
      <c r="AG157" s="526">
        <v>0</v>
      </c>
      <c r="AH157" s="526"/>
      <c r="AI157" s="659" t="e">
        <v>#N/A</v>
      </c>
      <c r="AJ157" s="659"/>
      <c r="AK157" s="659"/>
      <c r="AL157" s="659"/>
      <c r="AM157" s="659"/>
      <c r="AN157" s="659"/>
      <c r="AO157" s="659"/>
      <c r="AP157" s="659"/>
      <c r="AQ157" s="659"/>
      <c r="AR157" s="659"/>
      <c r="AS157" s="659"/>
      <c r="AT157" s="659"/>
      <c r="AU157" s="659"/>
      <c r="AV157" s="659"/>
      <c r="AW157" s="658">
        <v>0</v>
      </c>
      <c r="AX157" s="658"/>
      <c r="AY157" s="658"/>
      <c r="AZ157" s="658"/>
      <c r="BA157" s="658"/>
      <c r="BB157" s="658"/>
      <c r="BC157" s="658">
        <v>0</v>
      </c>
      <c r="BD157" s="658"/>
      <c r="BE157" s="658"/>
      <c r="BF157" s="658">
        <v>182.49</v>
      </c>
      <c r="BG157" s="658"/>
      <c r="BH157" s="658"/>
      <c r="BI157" s="567">
        <v>0</v>
      </c>
      <c r="BJ157" s="567"/>
      <c r="BK157" s="567"/>
      <c r="BL157" s="567"/>
      <c r="BM157" s="660" t="s">
        <v>932</v>
      </c>
      <c r="BN157" s="660"/>
      <c r="BO157" s="660"/>
      <c r="BP157" s="660"/>
      <c r="BQ157" s="568" t="s">
        <v>932</v>
      </c>
      <c r="BR157" s="568"/>
      <c r="BS157" s="568"/>
      <c r="BT157" s="660" t="s">
        <v>932</v>
      </c>
      <c r="BU157" s="660"/>
      <c r="BV157" s="660"/>
      <c r="BW157" s="660"/>
      <c r="BX157" s="568" t="s">
        <v>932</v>
      </c>
      <c r="BY157" s="568"/>
      <c r="BZ157" s="568"/>
      <c r="CA157" s="660" t="s">
        <v>932</v>
      </c>
      <c r="CB157" s="660"/>
      <c r="CC157" s="660"/>
      <c r="CD157" s="660"/>
      <c r="CE157" s="568">
        <v>1</v>
      </c>
      <c r="CF157" s="568"/>
      <c r="CG157" s="568"/>
      <c r="CH157" s="660" t="s">
        <v>932</v>
      </c>
      <c r="CI157" s="660"/>
      <c r="CJ157" s="660"/>
      <c r="CK157" s="660"/>
      <c r="CL157" s="568" t="s">
        <v>932</v>
      </c>
      <c r="CM157" s="568"/>
      <c r="CN157" s="568"/>
    </row>
    <row r="158" hidden="1" customHeight="1" spans="1:92">
      <c r="A158" s="612"/>
      <c r="B158" s="612"/>
      <c r="C158" s="518"/>
      <c r="D158" s="518"/>
      <c r="E158" s="518"/>
      <c r="F158" s="657"/>
      <c r="G158" s="657"/>
      <c r="H158" s="657"/>
      <c r="I158" s="519"/>
      <c r="J158" s="519"/>
      <c r="K158" s="519"/>
      <c r="L158" s="519"/>
      <c r="M158" s="519"/>
      <c r="N158" s="519"/>
      <c r="O158" s="519"/>
      <c r="P158" s="519"/>
      <c r="Q158" s="519"/>
      <c r="R158" s="519"/>
      <c r="S158" s="519"/>
      <c r="T158" s="519"/>
      <c r="U158" s="519"/>
      <c r="V158" s="519"/>
      <c r="W158" s="519"/>
      <c r="X158" s="519"/>
      <c r="Y158" s="519"/>
      <c r="Z158" s="519"/>
      <c r="AA158" s="519"/>
      <c r="AB158" s="526"/>
      <c r="AC158" s="526"/>
      <c r="AD158" s="658"/>
      <c r="AE158" s="658"/>
      <c r="AF158" s="658"/>
      <c r="AG158" s="526">
        <v>0</v>
      </c>
      <c r="AH158" s="526"/>
      <c r="AI158" s="659" t="e">
        <v>#N/A</v>
      </c>
      <c r="AJ158" s="659"/>
      <c r="AK158" s="659"/>
      <c r="AL158" s="659"/>
      <c r="AM158" s="659"/>
      <c r="AN158" s="659"/>
      <c r="AO158" s="659"/>
      <c r="AP158" s="659"/>
      <c r="AQ158" s="659"/>
      <c r="AR158" s="659"/>
      <c r="AS158" s="659"/>
      <c r="AT158" s="659"/>
      <c r="AU158" s="659"/>
      <c r="AV158" s="659"/>
      <c r="AW158" s="658">
        <v>0</v>
      </c>
      <c r="AX158" s="658"/>
      <c r="AY158" s="658"/>
      <c r="AZ158" s="658"/>
      <c r="BA158" s="658"/>
      <c r="BB158" s="658"/>
      <c r="BC158" s="658">
        <v>0</v>
      </c>
      <c r="BD158" s="658"/>
      <c r="BE158" s="658"/>
      <c r="BF158" s="658">
        <v>182.49</v>
      </c>
      <c r="BG158" s="658"/>
      <c r="BH158" s="658"/>
      <c r="BI158" s="567">
        <v>0</v>
      </c>
      <c r="BJ158" s="567"/>
      <c r="BK158" s="567"/>
      <c r="BL158" s="567"/>
      <c r="BM158" s="660" t="s">
        <v>932</v>
      </c>
      <c r="BN158" s="660"/>
      <c r="BO158" s="660"/>
      <c r="BP158" s="660"/>
      <c r="BQ158" s="568" t="s">
        <v>932</v>
      </c>
      <c r="BR158" s="568"/>
      <c r="BS158" s="568"/>
      <c r="BT158" s="660" t="s">
        <v>932</v>
      </c>
      <c r="BU158" s="660"/>
      <c r="BV158" s="660"/>
      <c r="BW158" s="660"/>
      <c r="BX158" s="568" t="s">
        <v>932</v>
      </c>
      <c r="BY158" s="568"/>
      <c r="BZ158" s="568"/>
      <c r="CA158" s="660" t="s">
        <v>932</v>
      </c>
      <c r="CB158" s="660"/>
      <c r="CC158" s="660"/>
      <c r="CD158" s="660"/>
      <c r="CE158" s="568">
        <v>1</v>
      </c>
      <c r="CF158" s="568"/>
      <c r="CG158" s="568"/>
      <c r="CH158" s="660" t="s">
        <v>932</v>
      </c>
      <c r="CI158" s="660"/>
      <c r="CJ158" s="660"/>
      <c r="CK158" s="660"/>
      <c r="CL158" s="568" t="s">
        <v>932</v>
      </c>
      <c r="CM158" s="568"/>
      <c r="CN158" s="568"/>
    </row>
    <row r="159" hidden="1" customHeight="1" spans="1:92">
      <c r="A159" s="612"/>
      <c r="B159" s="612"/>
      <c r="C159" s="518"/>
      <c r="D159" s="518"/>
      <c r="E159" s="518"/>
      <c r="F159" s="657"/>
      <c r="G159" s="657"/>
      <c r="H159" s="657"/>
      <c r="I159" s="519"/>
      <c r="J159" s="519"/>
      <c r="K159" s="519"/>
      <c r="L159" s="519"/>
      <c r="M159" s="519"/>
      <c r="N159" s="519"/>
      <c r="O159" s="519"/>
      <c r="P159" s="519"/>
      <c r="Q159" s="519"/>
      <c r="R159" s="519"/>
      <c r="S159" s="519"/>
      <c r="T159" s="519"/>
      <c r="U159" s="519"/>
      <c r="V159" s="519"/>
      <c r="W159" s="519"/>
      <c r="X159" s="519"/>
      <c r="Y159" s="519"/>
      <c r="Z159" s="519"/>
      <c r="AA159" s="519"/>
      <c r="AB159" s="526"/>
      <c r="AC159" s="526"/>
      <c r="AD159" s="658"/>
      <c r="AE159" s="658"/>
      <c r="AF159" s="658"/>
      <c r="AG159" s="526">
        <v>0</v>
      </c>
      <c r="AH159" s="526"/>
      <c r="AI159" s="659" t="e">
        <v>#N/A</v>
      </c>
      <c r="AJ159" s="659"/>
      <c r="AK159" s="659"/>
      <c r="AL159" s="659"/>
      <c r="AM159" s="659"/>
      <c r="AN159" s="659"/>
      <c r="AO159" s="659"/>
      <c r="AP159" s="659"/>
      <c r="AQ159" s="659"/>
      <c r="AR159" s="659"/>
      <c r="AS159" s="659"/>
      <c r="AT159" s="659"/>
      <c r="AU159" s="659"/>
      <c r="AV159" s="659"/>
      <c r="AW159" s="658">
        <v>0</v>
      </c>
      <c r="AX159" s="658"/>
      <c r="AY159" s="658"/>
      <c r="AZ159" s="658"/>
      <c r="BA159" s="658"/>
      <c r="BB159" s="658"/>
      <c r="BC159" s="658">
        <v>0</v>
      </c>
      <c r="BD159" s="658"/>
      <c r="BE159" s="658"/>
      <c r="BF159" s="658">
        <v>182.49</v>
      </c>
      <c r="BG159" s="658"/>
      <c r="BH159" s="658"/>
      <c r="BI159" s="567">
        <v>0</v>
      </c>
      <c r="BJ159" s="567"/>
      <c r="BK159" s="567"/>
      <c r="BL159" s="567"/>
      <c r="BM159" s="660" t="s">
        <v>932</v>
      </c>
      <c r="BN159" s="660"/>
      <c r="BO159" s="660"/>
      <c r="BP159" s="660"/>
      <c r="BQ159" s="568" t="s">
        <v>932</v>
      </c>
      <c r="BR159" s="568"/>
      <c r="BS159" s="568"/>
      <c r="BT159" s="660" t="s">
        <v>932</v>
      </c>
      <c r="BU159" s="660"/>
      <c r="BV159" s="660"/>
      <c r="BW159" s="660"/>
      <c r="BX159" s="568" t="s">
        <v>932</v>
      </c>
      <c r="BY159" s="568"/>
      <c r="BZ159" s="568"/>
      <c r="CA159" s="660" t="s">
        <v>932</v>
      </c>
      <c r="CB159" s="660"/>
      <c r="CC159" s="660"/>
      <c r="CD159" s="660"/>
      <c r="CE159" s="568">
        <v>1</v>
      </c>
      <c r="CF159" s="568"/>
      <c r="CG159" s="568"/>
      <c r="CH159" s="660" t="s">
        <v>932</v>
      </c>
      <c r="CI159" s="660"/>
      <c r="CJ159" s="660"/>
      <c r="CK159" s="660"/>
      <c r="CL159" s="568" t="s">
        <v>932</v>
      </c>
      <c r="CM159" s="568"/>
      <c r="CN159" s="568"/>
    </row>
    <row r="160" customHeight="1" spans="1:92">
      <c r="A160" s="612" t="s">
        <v>960</v>
      </c>
      <c r="B160" s="612"/>
      <c r="C160" s="518"/>
      <c r="D160" s="518"/>
      <c r="E160" s="518"/>
      <c r="F160" s="657">
        <v>1106057</v>
      </c>
      <c r="G160" s="657"/>
      <c r="H160" s="657"/>
      <c r="I160" s="519" t="s">
        <v>109</v>
      </c>
      <c r="J160" s="519"/>
      <c r="K160" s="519"/>
      <c r="L160" s="519"/>
      <c r="M160" s="519"/>
      <c r="N160" s="519"/>
      <c r="O160" s="519"/>
      <c r="P160" s="519"/>
      <c r="Q160" s="519"/>
      <c r="R160" s="519"/>
      <c r="S160" s="519"/>
      <c r="T160" s="519"/>
      <c r="U160" s="519"/>
      <c r="V160" s="519"/>
      <c r="W160" s="519"/>
      <c r="X160" s="519"/>
      <c r="Y160" s="519"/>
      <c r="Z160" s="519"/>
      <c r="AA160" s="519"/>
      <c r="AB160" s="526" t="s">
        <v>99</v>
      </c>
      <c r="AC160" s="526"/>
      <c r="AD160" s="658">
        <v>0.42</v>
      </c>
      <c r="AE160" s="658"/>
      <c r="AF160" s="658"/>
      <c r="AG160" s="526" t="s">
        <v>946</v>
      </c>
      <c r="AH160" s="526"/>
      <c r="AI160" s="659" t="s">
        <v>947</v>
      </c>
      <c r="AJ160" s="659"/>
      <c r="AK160" s="659"/>
      <c r="AL160" s="659"/>
      <c r="AM160" s="659"/>
      <c r="AN160" s="659"/>
      <c r="AO160" s="659"/>
      <c r="AP160" s="659"/>
      <c r="AQ160" s="659"/>
      <c r="AR160" s="659"/>
      <c r="AS160" s="659"/>
      <c r="AT160" s="659"/>
      <c r="AU160" s="659"/>
      <c r="AV160" s="659"/>
      <c r="AW160" s="658">
        <v>1</v>
      </c>
      <c r="AX160" s="658"/>
      <c r="AY160" s="658"/>
      <c r="AZ160" s="658">
        <v>3.92899</v>
      </c>
      <c r="BA160" s="658"/>
      <c r="BB160" s="658"/>
      <c r="BC160" s="658">
        <v>0.106897701444901</v>
      </c>
      <c r="BD160" s="658"/>
      <c r="BE160" s="658"/>
      <c r="BF160" s="658">
        <v>182.49</v>
      </c>
      <c r="BG160" s="658"/>
      <c r="BH160" s="658"/>
      <c r="BI160" s="567">
        <v>0.000585772926981756</v>
      </c>
      <c r="BJ160" s="567"/>
      <c r="BK160" s="567"/>
      <c r="BL160" s="567"/>
      <c r="BM160" s="660" t="s">
        <v>932</v>
      </c>
      <c r="BN160" s="660"/>
      <c r="BO160" s="660"/>
      <c r="BP160" s="660"/>
      <c r="BQ160" s="568" t="s">
        <v>932</v>
      </c>
      <c r="BR160" s="568"/>
      <c r="BS160" s="568"/>
      <c r="BT160" s="660" t="s">
        <v>932</v>
      </c>
      <c r="BU160" s="660"/>
      <c r="BV160" s="660"/>
      <c r="BW160" s="660"/>
      <c r="BX160" s="568" t="s">
        <v>932</v>
      </c>
      <c r="BY160" s="568"/>
      <c r="BZ160" s="568"/>
      <c r="CA160" s="660">
        <v>0.000585772926981756</v>
      </c>
      <c r="CB160" s="660"/>
      <c r="CC160" s="660"/>
      <c r="CD160" s="660"/>
      <c r="CE160" s="568">
        <v>1</v>
      </c>
      <c r="CF160" s="568"/>
      <c r="CG160" s="568"/>
      <c r="CH160" s="660" t="s">
        <v>932</v>
      </c>
      <c r="CI160" s="660"/>
      <c r="CJ160" s="660"/>
      <c r="CK160" s="660"/>
      <c r="CL160" s="568" t="s">
        <v>932</v>
      </c>
      <c r="CM160" s="568"/>
      <c r="CN160" s="568"/>
    </row>
    <row r="161" customHeight="1" spans="1:92">
      <c r="A161" s="612"/>
      <c r="B161" s="612"/>
      <c r="C161" s="518"/>
      <c r="D161" s="518"/>
      <c r="E161" s="518"/>
      <c r="F161" s="657"/>
      <c r="G161" s="657"/>
      <c r="H161" s="657"/>
      <c r="I161" s="519"/>
      <c r="J161" s="519"/>
      <c r="K161" s="519"/>
      <c r="L161" s="519"/>
      <c r="M161" s="519"/>
      <c r="N161" s="519"/>
      <c r="O161" s="519"/>
      <c r="P161" s="519"/>
      <c r="Q161" s="519"/>
      <c r="R161" s="519"/>
      <c r="S161" s="519"/>
      <c r="T161" s="519"/>
      <c r="U161" s="519"/>
      <c r="V161" s="519"/>
      <c r="W161" s="519"/>
      <c r="X161" s="519"/>
      <c r="Y161" s="519"/>
      <c r="Z161" s="519"/>
      <c r="AA161" s="519"/>
      <c r="AB161" s="526"/>
      <c r="AC161" s="526"/>
      <c r="AD161" s="658"/>
      <c r="AE161" s="658"/>
      <c r="AF161" s="658"/>
      <c r="AG161" s="526" t="s">
        <v>935</v>
      </c>
      <c r="AH161" s="526"/>
      <c r="AI161" s="659" t="s">
        <v>936</v>
      </c>
      <c r="AJ161" s="659"/>
      <c r="AK161" s="659"/>
      <c r="AL161" s="659"/>
      <c r="AM161" s="659"/>
      <c r="AN161" s="659"/>
      <c r="AO161" s="659"/>
      <c r="AP161" s="659"/>
      <c r="AQ161" s="659"/>
      <c r="AR161" s="659"/>
      <c r="AS161" s="659"/>
      <c r="AT161" s="659"/>
      <c r="AU161" s="659"/>
      <c r="AV161" s="659"/>
      <c r="AW161" s="658">
        <v>9</v>
      </c>
      <c r="AX161" s="658"/>
      <c r="AY161" s="658"/>
      <c r="AZ161" s="658"/>
      <c r="BA161" s="658"/>
      <c r="BB161" s="658"/>
      <c r="BC161" s="658">
        <v>0.962079313004105</v>
      </c>
      <c r="BD161" s="658"/>
      <c r="BE161" s="658"/>
      <c r="BF161" s="658">
        <v>182.49</v>
      </c>
      <c r="BG161" s="658"/>
      <c r="BH161" s="658"/>
      <c r="BI161" s="567">
        <v>0.0052719563428358</v>
      </c>
      <c r="BJ161" s="567"/>
      <c r="BK161" s="567"/>
      <c r="BL161" s="567"/>
      <c r="BM161" s="660" t="s">
        <v>932</v>
      </c>
      <c r="BN161" s="660"/>
      <c r="BO161" s="660"/>
      <c r="BP161" s="660"/>
      <c r="BQ161" s="568" t="s">
        <v>932</v>
      </c>
      <c r="BR161" s="568"/>
      <c r="BS161" s="568"/>
      <c r="BT161" s="660" t="s">
        <v>932</v>
      </c>
      <c r="BU161" s="660"/>
      <c r="BV161" s="660"/>
      <c r="BW161" s="660"/>
      <c r="BX161" s="568" t="s">
        <v>932</v>
      </c>
      <c r="BY161" s="568"/>
      <c r="BZ161" s="568"/>
      <c r="CA161" s="660">
        <v>0.0052719563428358</v>
      </c>
      <c r="CB161" s="660"/>
      <c r="CC161" s="660"/>
      <c r="CD161" s="660"/>
      <c r="CE161" s="568">
        <v>1</v>
      </c>
      <c r="CF161" s="568"/>
      <c r="CG161" s="568"/>
      <c r="CH161" s="660" t="s">
        <v>932</v>
      </c>
      <c r="CI161" s="660"/>
      <c r="CJ161" s="660"/>
      <c r="CK161" s="660"/>
      <c r="CL161" s="568" t="s">
        <v>932</v>
      </c>
      <c r="CM161" s="568"/>
      <c r="CN161" s="568"/>
    </row>
    <row r="162" hidden="1" customHeight="1" spans="1:92">
      <c r="A162" s="612"/>
      <c r="B162" s="612"/>
      <c r="C162" s="518"/>
      <c r="D162" s="518"/>
      <c r="E162" s="518"/>
      <c r="F162" s="657"/>
      <c r="G162" s="657"/>
      <c r="H162" s="657"/>
      <c r="I162" s="519"/>
      <c r="J162" s="519"/>
      <c r="K162" s="519"/>
      <c r="L162" s="519"/>
      <c r="M162" s="519"/>
      <c r="N162" s="519"/>
      <c r="O162" s="519"/>
      <c r="P162" s="519"/>
      <c r="Q162" s="519"/>
      <c r="R162" s="519"/>
      <c r="S162" s="519"/>
      <c r="T162" s="519"/>
      <c r="U162" s="519"/>
      <c r="V162" s="519"/>
      <c r="W162" s="519"/>
      <c r="X162" s="519"/>
      <c r="Y162" s="519"/>
      <c r="Z162" s="519"/>
      <c r="AA162" s="519"/>
      <c r="AB162" s="526"/>
      <c r="AC162" s="526"/>
      <c r="AD162" s="658"/>
      <c r="AE162" s="658"/>
      <c r="AF162" s="658"/>
      <c r="AG162" s="526">
        <v>0</v>
      </c>
      <c r="AH162" s="526"/>
      <c r="AI162" s="659" t="e">
        <v>#N/A</v>
      </c>
      <c r="AJ162" s="659"/>
      <c r="AK162" s="659"/>
      <c r="AL162" s="659"/>
      <c r="AM162" s="659"/>
      <c r="AN162" s="659"/>
      <c r="AO162" s="659"/>
      <c r="AP162" s="659"/>
      <c r="AQ162" s="659"/>
      <c r="AR162" s="659"/>
      <c r="AS162" s="659"/>
      <c r="AT162" s="659"/>
      <c r="AU162" s="659"/>
      <c r="AV162" s="659"/>
      <c r="AW162" s="658">
        <v>0</v>
      </c>
      <c r="AX162" s="658"/>
      <c r="AY162" s="658"/>
      <c r="AZ162" s="658"/>
      <c r="BA162" s="658"/>
      <c r="BB162" s="658"/>
      <c r="BC162" s="658">
        <v>0</v>
      </c>
      <c r="BD162" s="658"/>
      <c r="BE162" s="658"/>
      <c r="BF162" s="658">
        <v>182.49</v>
      </c>
      <c r="BG162" s="658"/>
      <c r="BH162" s="658"/>
      <c r="BI162" s="567">
        <v>0</v>
      </c>
      <c r="BJ162" s="567"/>
      <c r="BK162" s="567"/>
      <c r="BL162" s="567"/>
      <c r="BM162" s="660" t="s">
        <v>932</v>
      </c>
      <c r="BN162" s="660"/>
      <c r="BO162" s="660"/>
      <c r="BP162" s="660"/>
      <c r="BQ162" s="568" t="s">
        <v>932</v>
      </c>
      <c r="BR162" s="568"/>
      <c r="BS162" s="568"/>
      <c r="BT162" s="660" t="s">
        <v>932</v>
      </c>
      <c r="BU162" s="660"/>
      <c r="BV162" s="660"/>
      <c r="BW162" s="660"/>
      <c r="BX162" s="568" t="s">
        <v>932</v>
      </c>
      <c r="BY162" s="568"/>
      <c r="BZ162" s="568"/>
      <c r="CA162" s="660" t="s">
        <v>932</v>
      </c>
      <c r="CB162" s="660"/>
      <c r="CC162" s="660"/>
      <c r="CD162" s="660"/>
      <c r="CE162" s="568">
        <v>1</v>
      </c>
      <c r="CF162" s="568"/>
      <c r="CG162" s="568"/>
      <c r="CH162" s="660" t="s">
        <v>932</v>
      </c>
      <c r="CI162" s="660"/>
      <c r="CJ162" s="660"/>
      <c r="CK162" s="660"/>
      <c r="CL162" s="568" t="s">
        <v>932</v>
      </c>
      <c r="CM162" s="568"/>
      <c r="CN162" s="568"/>
    </row>
    <row r="163" hidden="1" customHeight="1" spans="1:92">
      <c r="A163" s="612"/>
      <c r="B163" s="612"/>
      <c r="C163" s="518"/>
      <c r="D163" s="518"/>
      <c r="E163" s="518"/>
      <c r="F163" s="657"/>
      <c r="G163" s="657"/>
      <c r="H163" s="657"/>
      <c r="I163" s="519"/>
      <c r="J163" s="519"/>
      <c r="K163" s="519"/>
      <c r="L163" s="519"/>
      <c r="M163" s="519"/>
      <c r="N163" s="519"/>
      <c r="O163" s="519"/>
      <c r="P163" s="519"/>
      <c r="Q163" s="519"/>
      <c r="R163" s="519"/>
      <c r="S163" s="519"/>
      <c r="T163" s="519"/>
      <c r="U163" s="519"/>
      <c r="V163" s="519"/>
      <c r="W163" s="519"/>
      <c r="X163" s="519"/>
      <c r="Y163" s="519"/>
      <c r="Z163" s="519"/>
      <c r="AA163" s="519"/>
      <c r="AB163" s="526"/>
      <c r="AC163" s="526"/>
      <c r="AD163" s="658"/>
      <c r="AE163" s="658"/>
      <c r="AF163" s="658"/>
      <c r="AG163" s="526">
        <v>0</v>
      </c>
      <c r="AH163" s="526"/>
      <c r="AI163" s="659" t="e">
        <v>#N/A</v>
      </c>
      <c r="AJ163" s="659"/>
      <c r="AK163" s="659"/>
      <c r="AL163" s="659"/>
      <c r="AM163" s="659"/>
      <c r="AN163" s="659"/>
      <c r="AO163" s="659"/>
      <c r="AP163" s="659"/>
      <c r="AQ163" s="659"/>
      <c r="AR163" s="659"/>
      <c r="AS163" s="659"/>
      <c r="AT163" s="659"/>
      <c r="AU163" s="659"/>
      <c r="AV163" s="659"/>
      <c r="AW163" s="658">
        <v>0</v>
      </c>
      <c r="AX163" s="658"/>
      <c r="AY163" s="658"/>
      <c r="AZ163" s="658"/>
      <c r="BA163" s="658"/>
      <c r="BB163" s="658"/>
      <c r="BC163" s="658">
        <v>0</v>
      </c>
      <c r="BD163" s="658"/>
      <c r="BE163" s="658"/>
      <c r="BF163" s="658">
        <v>182.49</v>
      </c>
      <c r="BG163" s="658"/>
      <c r="BH163" s="658"/>
      <c r="BI163" s="567">
        <v>0</v>
      </c>
      <c r="BJ163" s="567"/>
      <c r="BK163" s="567"/>
      <c r="BL163" s="567"/>
      <c r="BM163" s="660" t="s">
        <v>932</v>
      </c>
      <c r="BN163" s="660"/>
      <c r="BO163" s="660"/>
      <c r="BP163" s="660"/>
      <c r="BQ163" s="568" t="s">
        <v>932</v>
      </c>
      <c r="BR163" s="568"/>
      <c r="BS163" s="568"/>
      <c r="BT163" s="660" t="s">
        <v>932</v>
      </c>
      <c r="BU163" s="660"/>
      <c r="BV163" s="660"/>
      <c r="BW163" s="660"/>
      <c r="BX163" s="568" t="s">
        <v>932</v>
      </c>
      <c r="BY163" s="568"/>
      <c r="BZ163" s="568"/>
      <c r="CA163" s="660" t="s">
        <v>932</v>
      </c>
      <c r="CB163" s="660"/>
      <c r="CC163" s="660"/>
      <c r="CD163" s="660"/>
      <c r="CE163" s="568">
        <v>1</v>
      </c>
      <c r="CF163" s="568"/>
      <c r="CG163" s="568"/>
      <c r="CH163" s="660" t="s">
        <v>932</v>
      </c>
      <c r="CI163" s="660"/>
      <c r="CJ163" s="660"/>
      <c r="CK163" s="660"/>
      <c r="CL163" s="568" t="s">
        <v>932</v>
      </c>
      <c r="CM163" s="568"/>
      <c r="CN163" s="568"/>
    </row>
    <row r="164" hidden="1" customHeight="1" spans="1:92">
      <c r="A164" s="612"/>
      <c r="B164" s="612"/>
      <c r="C164" s="518"/>
      <c r="D164" s="518"/>
      <c r="E164" s="518"/>
      <c r="F164" s="657"/>
      <c r="G164" s="657"/>
      <c r="H164" s="657"/>
      <c r="I164" s="519"/>
      <c r="J164" s="519"/>
      <c r="K164" s="519"/>
      <c r="L164" s="519"/>
      <c r="M164" s="519"/>
      <c r="N164" s="519"/>
      <c r="O164" s="519"/>
      <c r="P164" s="519"/>
      <c r="Q164" s="519"/>
      <c r="R164" s="519"/>
      <c r="S164" s="519"/>
      <c r="T164" s="519"/>
      <c r="U164" s="519"/>
      <c r="V164" s="519"/>
      <c r="W164" s="519"/>
      <c r="X164" s="519"/>
      <c r="Y164" s="519"/>
      <c r="Z164" s="519"/>
      <c r="AA164" s="519"/>
      <c r="AB164" s="526"/>
      <c r="AC164" s="526"/>
      <c r="AD164" s="658"/>
      <c r="AE164" s="658"/>
      <c r="AF164" s="658"/>
      <c r="AG164" s="526">
        <v>0</v>
      </c>
      <c r="AH164" s="526"/>
      <c r="AI164" s="659" t="e">
        <v>#N/A</v>
      </c>
      <c r="AJ164" s="659"/>
      <c r="AK164" s="659"/>
      <c r="AL164" s="659"/>
      <c r="AM164" s="659"/>
      <c r="AN164" s="659"/>
      <c r="AO164" s="659"/>
      <c r="AP164" s="659"/>
      <c r="AQ164" s="659"/>
      <c r="AR164" s="659"/>
      <c r="AS164" s="659"/>
      <c r="AT164" s="659"/>
      <c r="AU164" s="659"/>
      <c r="AV164" s="659"/>
      <c r="AW164" s="658">
        <v>0</v>
      </c>
      <c r="AX164" s="658"/>
      <c r="AY164" s="658"/>
      <c r="AZ164" s="658"/>
      <c r="BA164" s="658"/>
      <c r="BB164" s="658"/>
      <c r="BC164" s="658">
        <v>0</v>
      </c>
      <c r="BD164" s="658"/>
      <c r="BE164" s="658"/>
      <c r="BF164" s="658">
        <v>182.49</v>
      </c>
      <c r="BG164" s="658"/>
      <c r="BH164" s="658"/>
      <c r="BI164" s="567">
        <v>0</v>
      </c>
      <c r="BJ164" s="567"/>
      <c r="BK164" s="567"/>
      <c r="BL164" s="567"/>
      <c r="BM164" s="660" t="s">
        <v>932</v>
      </c>
      <c r="BN164" s="660"/>
      <c r="BO164" s="660"/>
      <c r="BP164" s="660"/>
      <c r="BQ164" s="568" t="s">
        <v>932</v>
      </c>
      <c r="BR164" s="568"/>
      <c r="BS164" s="568"/>
      <c r="BT164" s="660" t="s">
        <v>932</v>
      </c>
      <c r="BU164" s="660"/>
      <c r="BV164" s="660"/>
      <c r="BW164" s="660"/>
      <c r="BX164" s="568" t="s">
        <v>932</v>
      </c>
      <c r="BY164" s="568"/>
      <c r="BZ164" s="568"/>
      <c r="CA164" s="660" t="s">
        <v>932</v>
      </c>
      <c r="CB164" s="660"/>
      <c r="CC164" s="660"/>
      <c r="CD164" s="660"/>
      <c r="CE164" s="568">
        <v>1</v>
      </c>
      <c r="CF164" s="568"/>
      <c r="CG164" s="568"/>
      <c r="CH164" s="660" t="s">
        <v>932</v>
      </c>
      <c r="CI164" s="660"/>
      <c r="CJ164" s="660"/>
      <c r="CK164" s="660"/>
      <c r="CL164" s="568" t="s">
        <v>932</v>
      </c>
      <c r="CM164" s="568"/>
      <c r="CN164" s="568"/>
    </row>
    <row r="165" hidden="1" customHeight="1" spans="1:92">
      <c r="A165" s="612"/>
      <c r="B165" s="612"/>
      <c r="C165" s="518"/>
      <c r="D165" s="518"/>
      <c r="E165" s="518"/>
      <c r="F165" s="657"/>
      <c r="G165" s="657"/>
      <c r="H165" s="657"/>
      <c r="I165" s="519"/>
      <c r="J165" s="519"/>
      <c r="K165" s="519"/>
      <c r="L165" s="519"/>
      <c r="M165" s="519"/>
      <c r="N165" s="519"/>
      <c r="O165" s="519"/>
      <c r="P165" s="519"/>
      <c r="Q165" s="519"/>
      <c r="R165" s="519"/>
      <c r="S165" s="519"/>
      <c r="T165" s="519"/>
      <c r="U165" s="519"/>
      <c r="V165" s="519"/>
      <c r="W165" s="519"/>
      <c r="X165" s="519"/>
      <c r="Y165" s="519"/>
      <c r="Z165" s="519"/>
      <c r="AA165" s="519"/>
      <c r="AB165" s="526"/>
      <c r="AC165" s="526"/>
      <c r="AD165" s="658"/>
      <c r="AE165" s="658"/>
      <c r="AF165" s="658"/>
      <c r="AG165" s="526">
        <v>0</v>
      </c>
      <c r="AH165" s="526"/>
      <c r="AI165" s="659" t="e">
        <v>#N/A</v>
      </c>
      <c r="AJ165" s="659"/>
      <c r="AK165" s="659"/>
      <c r="AL165" s="659"/>
      <c r="AM165" s="659"/>
      <c r="AN165" s="659"/>
      <c r="AO165" s="659"/>
      <c r="AP165" s="659"/>
      <c r="AQ165" s="659"/>
      <c r="AR165" s="659"/>
      <c r="AS165" s="659"/>
      <c r="AT165" s="659"/>
      <c r="AU165" s="659"/>
      <c r="AV165" s="659"/>
      <c r="AW165" s="658">
        <v>0</v>
      </c>
      <c r="AX165" s="658"/>
      <c r="AY165" s="658"/>
      <c r="AZ165" s="658"/>
      <c r="BA165" s="658"/>
      <c r="BB165" s="658"/>
      <c r="BC165" s="658">
        <v>0</v>
      </c>
      <c r="BD165" s="658"/>
      <c r="BE165" s="658"/>
      <c r="BF165" s="658">
        <v>182.49</v>
      </c>
      <c r="BG165" s="658"/>
      <c r="BH165" s="658"/>
      <c r="BI165" s="567">
        <v>0</v>
      </c>
      <c r="BJ165" s="567"/>
      <c r="BK165" s="567"/>
      <c r="BL165" s="567"/>
      <c r="BM165" s="660" t="s">
        <v>932</v>
      </c>
      <c r="BN165" s="660"/>
      <c r="BO165" s="660"/>
      <c r="BP165" s="660"/>
      <c r="BQ165" s="568" t="s">
        <v>932</v>
      </c>
      <c r="BR165" s="568"/>
      <c r="BS165" s="568"/>
      <c r="BT165" s="660" t="s">
        <v>932</v>
      </c>
      <c r="BU165" s="660"/>
      <c r="BV165" s="660"/>
      <c r="BW165" s="660"/>
      <c r="BX165" s="568" t="s">
        <v>932</v>
      </c>
      <c r="BY165" s="568"/>
      <c r="BZ165" s="568"/>
      <c r="CA165" s="660" t="s">
        <v>932</v>
      </c>
      <c r="CB165" s="660"/>
      <c r="CC165" s="660"/>
      <c r="CD165" s="660"/>
      <c r="CE165" s="568">
        <v>1</v>
      </c>
      <c r="CF165" s="568"/>
      <c r="CG165" s="568"/>
      <c r="CH165" s="660" t="s">
        <v>932</v>
      </c>
      <c r="CI165" s="660"/>
      <c r="CJ165" s="660"/>
      <c r="CK165" s="660"/>
      <c r="CL165" s="568" t="s">
        <v>932</v>
      </c>
      <c r="CM165" s="568"/>
      <c r="CN165" s="568"/>
    </row>
    <row r="166" hidden="1" customHeight="1" spans="1:92">
      <c r="A166" s="612"/>
      <c r="B166" s="612"/>
      <c r="C166" s="518"/>
      <c r="D166" s="518"/>
      <c r="E166" s="518"/>
      <c r="F166" s="657"/>
      <c r="G166" s="657"/>
      <c r="H166" s="657"/>
      <c r="I166" s="519"/>
      <c r="J166" s="519"/>
      <c r="K166" s="519"/>
      <c r="L166" s="519"/>
      <c r="M166" s="519"/>
      <c r="N166" s="519"/>
      <c r="O166" s="519"/>
      <c r="P166" s="519"/>
      <c r="Q166" s="519"/>
      <c r="R166" s="519"/>
      <c r="S166" s="519"/>
      <c r="T166" s="519"/>
      <c r="U166" s="519"/>
      <c r="V166" s="519"/>
      <c r="W166" s="519"/>
      <c r="X166" s="519"/>
      <c r="Y166" s="519"/>
      <c r="Z166" s="519"/>
      <c r="AA166" s="519"/>
      <c r="AB166" s="526"/>
      <c r="AC166" s="526"/>
      <c r="AD166" s="658"/>
      <c r="AE166" s="658"/>
      <c r="AF166" s="658"/>
      <c r="AG166" s="526">
        <v>0</v>
      </c>
      <c r="AH166" s="526"/>
      <c r="AI166" s="659" t="e">
        <v>#N/A</v>
      </c>
      <c r="AJ166" s="659"/>
      <c r="AK166" s="659"/>
      <c r="AL166" s="659"/>
      <c r="AM166" s="659"/>
      <c r="AN166" s="659"/>
      <c r="AO166" s="659"/>
      <c r="AP166" s="659"/>
      <c r="AQ166" s="659"/>
      <c r="AR166" s="659"/>
      <c r="AS166" s="659"/>
      <c r="AT166" s="659"/>
      <c r="AU166" s="659"/>
      <c r="AV166" s="659"/>
      <c r="AW166" s="658">
        <v>0</v>
      </c>
      <c r="AX166" s="658"/>
      <c r="AY166" s="658"/>
      <c r="AZ166" s="658"/>
      <c r="BA166" s="658"/>
      <c r="BB166" s="658"/>
      <c r="BC166" s="658">
        <v>0</v>
      </c>
      <c r="BD166" s="658"/>
      <c r="BE166" s="658"/>
      <c r="BF166" s="658">
        <v>182.49</v>
      </c>
      <c r="BG166" s="658"/>
      <c r="BH166" s="658"/>
      <c r="BI166" s="567">
        <v>0</v>
      </c>
      <c r="BJ166" s="567"/>
      <c r="BK166" s="567"/>
      <c r="BL166" s="567"/>
      <c r="BM166" s="660" t="s">
        <v>932</v>
      </c>
      <c r="BN166" s="660"/>
      <c r="BO166" s="660"/>
      <c r="BP166" s="660"/>
      <c r="BQ166" s="568" t="s">
        <v>932</v>
      </c>
      <c r="BR166" s="568"/>
      <c r="BS166" s="568"/>
      <c r="BT166" s="660" t="s">
        <v>932</v>
      </c>
      <c r="BU166" s="660"/>
      <c r="BV166" s="660"/>
      <c r="BW166" s="660"/>
      <c r="BX166" s="568" t="s">
        <v>932</v>
      </c>
      <c r="BY166" s="568"/>
      <c r="BZ166" s="568"/>
      <c r="CA166" s="660" t="s">
        <v>932</v>
      </c>
      <c r="CB166" s="660"/>
      <c r="CC166" s="660"/>
      <c r="CD166" s="660"/>
      <c r="CE166" s="568">
        <v>1</v>
      </c>
      <c r="CF166" s="568"/>
      <c r="CG166" s="568"/>
      <c r="CH166" s="660" t="s">
        <v>932</v>
      </c>
      <c r="CI166" s="660"/>
      <c r="CJ166" s="660"/>
      <c r="CK166" s="660"/>
      <c r="CL166" s="568" t="s">
        <v>932</v>
      </c>
      <c r="CM166" s="568"/>
      <c r="CN166" s="568"/>
    </row>
    <row r="167" hidden="1" customHeight="1" spans="1:92">
      <c r="A167" s="612"/>
      <c r="B167" s="612"/>
      <c r="C167" s="518"/>
      <c r="D167" s="518"/>
      <c r="E167" s="518"/>
      <c r="F167" s="657"/>
      <c r="G167" s="657"/>
      <c r="H167" s="657"/>
      <c r="I167" s="519"/>
      <c r="J167" s="519"/>
      <c r="K167" s="519"/>
      <c r="L167" s="519"/>
      <c r="M167" s="519"/>
      <c r="N167" s="519"/>
      <c r="O167" s="519"/>
      <c r="P167" s="519"/>
      <c r="Q167" s="519"/>
      <c r="R167" s="519"/>
      <c r="S167" s="519"/>
      <c r="T167" s="519"/>
      <c r="U167" s="519"/>
      <c r="V167" s="519"/>
      <c r="W167" s="519"/>
      <c r="X167" s="519"/>
      <c r="Y167" s="519"/>
      <c r="Z167" s="519"/>
      <c r="AA167" s="519"/>
      <c r="AB167" s="526"/>
      <c r="AC167" s="526"/>
      <c r="AD167" s="658"/>
      <c r="AE167" s="658"/>
      <c r="AF167" s="658"/>
      <c r="AG167" s="526">
        <v>0</v>
      </c>
      <c r="AH167" s="526"/>
      <c r="AI167" s="659" t="e">
        <v>#N/A</v>
      </c>
      <c r="AJ167" s="659"/>
      <c r="AK167" s="659"/>
      <c r="AL167" s="659"/>
      <c r="AM167" s="659"/>
      <c r="AN167" s="659"/>
      <c r="AO167" s="659"/>
      <c r="AP167" s="659"/>
      <c r="AQ167" s="659"/>
      <c r="AR167" s="659"/>
      <c r="AS167" s="659"/>
      <c r="AT167" s="659"/>
      <c r="AU167" s="659"/>
      <c r="AV167" s="659"/>
      <c r="AW167" s="658">
        <v>0</v>
      </c>
      <c r="AX167" s="658"/>
      <c r="AY167" s="658"/>
      <c r="AZ167" s="658"/>
      <c r="BA167" s="658"/>
      <c r="BB167" s="658"/>
      <c r="BC167" s="658">
        <v>0</v>
      </c>
      <c r="BD167" s="658"/>
      <c r="BE167" s="658"/>
      <c r="BF167" s="658">
        <v>182.49</v>
      </c>
      <c r="BG167" s="658"/>
      <c r="BH167" s="658"/>
      <c r="BI167" s="567">
        <v>0</v>
      </c>
      <c r="BJ167" s="567"/>
      <c r="BK167" s="567"/>
      <c r="BL167" s="567"/>
      <c r="BM167" s="660" t="s">
        <v>932</v>
      </c>
      <c r="BN167" s="660"/>
      <c r="BO167" s="660"/>
      <c r="BP167" s="660"/>
      <c r="BQ167" s="568" t="s">
        <v>932</v>
      </c>
      <c r="BR167" s="568"/>
      <c r="BS167" s="568"/>
      <c r="BT167" s="660" t="s">
        <v>932</v>
      </c>
      <c r="BU167" s="660"/>
      <c r="BV167" s="660"/>
      <c r="BW167" s="660"/>
      <c r="BX167" s="568" t="s">
        <v>932</v>
      </c>
      <c r="BY167" s="568"/>
      <c r="BZ167" s="568"/>
      <c r="CA167" s="660" t="s">
        <v>932</v>
      </c>
      <c r="CB167" s="660"/>
      <c r="CC167" s="660"/>
      <c r="CD167" s="660"/>
      <c r="CE167" s="568">
        <v>1</v>
      </c>
      <c r="CF167" s="568"/>
      <c r="CG167" s="568"/>
      <c r="CH167" s="660" t="s">
        <v>932</v>
      </c>
      <c r="CI167" s="660"/>
      <c r="CJ167" s="660"/>
      <c r="CK167" s="660"/>
      <c r="CL167" s="568" t="s">
        <v>932</v>
      </c>
      <c r="CM167" s="568"/>
      <c r="CN167" s="568"/>
    </row>
    <row r="168" customHeight="1" spans="1:92">
      <c r="A168" s="612" t="s">
        <v>961</v>
      </c>
      <c r="B168" s="612"/>
      <c r="C168" s="518"/>
      <c r="D168" s="518"/>
      <c r="E168" s="518"/>
      <c r="F168" s="657">
        <v>3108000</v>
      </c>
      <c r="G168" s="657"/>
      <c r="H168" s="657"/>
      <c r="I168" s="519" t="s">
        <v>110</v>
      </c>
      <c r="J168" s="519"/>
      <c r="K168" s="519"/>
      <c r="L168" s="519"/>
      <c r="M168" s="519"/>
      <c r="N168" s="519"/>
      <c r="O168" s="519"/>
      <c r="P168" s="519"/>
      <c r="Q168" s="519"/>
      <c r="R168" s="519"/>
      <c r="S168" s="519"/>
      <c r="T168" s="519"/>
      <c r="U168" s="519"/>
      <c r="V168" s="519"/>
      <c r="W168" s="519"/>
      <c r="X168" s="519"/>
      <c r="Y168" s="519"/>
      <c r="Z168" s="519"/>
      <c r="AA168" s="519"/>
      <c r="AB168" s="526" t="s">
        <v>7</v>
      </c>
      <c r="AC168" s="526"/>
      <c r="AD168" s="658">
        <v>166.62</v>
      </c>
      <c r="AE168" s="658"/>
      <c r="AF168" s="658"/>
      <c r="AG168" s="526" t="s">
        <v>937</v>
      </c>
      <c r="AH168" s="526"/>
      <c r="AI168" s="659" t="s">
        <v>938</v>
      </c>
      <c r="AJ168" s="659"/>
      <c r="AK168" s="659"/>
      <c r="AL168" s="659"/>
      <c r="AM168" s="659"/>
      <c r="AN168" s="659"/>
      <c r="AO168" s="659"/>
      <c r="AP168" s="659"/>
      <c r="AQ168" s="659"/>
      <c r="AR168" s="659"/>
      <c r="AS168" s="659"/>
      <c r="AT168" s="659"/>
      <c r="AU168" s="659"/>
      <c r="AV168" s="659"/>
      <c r="AW168" s="658">
        <v>0.65</v>
      </c>
      <c r="AX168" s="658"/>
      <c r="AY168" s="658"/>
      <c r="AZ168" s="658">
        <v>1</v>
      </c>
      <c r="BA168" s="658"/>
      <c r="BB168" s="658"/>
      <c r="BC168" s="658">
        <v>108.303</v>
      </c>
      <c r="BD168" s="658"/>
      <c r="BE168" s="658"/>
      <c r="BF168" s="658">
        <v>182.49</v>
      </c>
      <c r="BG168" s="658"/>
      <c r="BH168" s="658"/>
      <c r="BI168" s="567">
        <v>0.593473614992602</v>
      </c>
      <c r="BJ168" s="567"/>
      <c r="BK168" s="567"/>
      <c r="BL168" s="567"/>
      <c r="BM168" s="660" t="s">
        <v>932</v>
      </c>
      <c r="BN168" s="660"/>
      <c r="BO168" s="660"/>
      <c r="BP168" s="660"/>
      <c r="BQ168" s="568" t="s">
        <v>932</v>
      </c>
      <c r="BR168" s="568"/>
      <c r="BS168" s="568"/>
      <c r="BT168" s="660" t="s">
        <v>932</v>
      </c>
      <c r="BU168" s="660"/>
      <c r="BV168" s="660"/>
      <c r="BW168" s="660"/>
      <c r="BX168" s="568" t="s">
        <v>932</v>
      </c>
      <c r="BY168" s="568"/>
      <c r="BZ168" s="568"/>
      <c r="CA168" s="660">
        <v>0.593473614992602</v>
      </c>
      <c r="CB168" s="660"/>
      <c r="CC168" s="660"/>
      <c r="CD168" s="660"/>
      <c r="CE168" s="568">
        <v>1</v>
      </c>
      <c r="CF168" s="568"/>
      <c r="CG168" s="568"/>
      <c r="CH168" s="660" t="s">
        <v>932</v>
      </c>
      <c r="CI168" s="660"/>
      <c r="CJ168" s="660"/>
      <c r="CK168" s="660"/>
      <c r="CL168" s="568" t="s">
        <v>932</v>
      </c>
      <c r="CM168" s="568"/>
      <c r="CN168" s="568"/>
    </row>
    <row r="169" customHeight="1" spans="1:92">
      <c r="A169" s="612"/>
      <c r="B169" s="612"/>
      <c r="C169" s="518"/>
      <c r="D169" s="518"/>
      <c r="E169" s="518"/>
      <c r="F169" s="657"/>
      <c r="G169" s="657"/>
      <c r="H169" s="657"/>
      <c r="I169" s="519"/>
      <c r="J169" s="519"/>
      <c r="K169" s="519"/>
      <c r="L169" s="519"/>
      <c r="M169" s="519"/>
      <c r="N169" s="519"/>
      <c r="O169" s="519"/>
      <c r="P169" s="519"/>
      <c r="Q169" s="519"/>
      <c r="R169" s="519"/>
      <c r="S169" s="519"/>
      <c r="T169" s="519"/>
      <c r="U169" s="519"/>
      <c r="V169" s="519"/>
      <c r="W169" s="519"/>
      <c r="X169" s="519"/>
      <c r="Y169" s="519"/>
      <c r="Z169" s="519"/>
      <c r="AA169" s="519"/>
      <c r="AB169" s="526"/>
      <c r="AC169" s="526"/>
      <c r="AD169" s="658"/>
      <c r="AE169" s="658"/>
      <c r="AF169" s="658"/>
      <c r="AG169" s="526" t="s">
        <v>950</v>
      </c>
      <c r="AH169" s="526"/>
      <c r="AI169" s="659" t="s">
        <v>951</v>
      </c>
      <c r="AJ169" s="659"/>
      <c r="AK169" s="659"/>
      <c r="AL169" s="659"/>
      <c r="AM169" s="659"/>
      <c r="AN169" s="659"/>
      <c r="AO169" s="659"/>
      <c r="AP169" s="659"/>
      <c r="AQ169" s="659"/>
      <c r="AR169" s="659"/>
      <c r="AS169" s="659"/>
      <c r="AT169" s="659"/>
      <c r="AU169" s="659"/>
      <c r="AV169" s="659"/>
      <c r="AW169" s="658">
        <v>0.65</v>
      </c>
      <c r="AX169" s="658"/>
      <c r="AY169" s="658"/>
      <c r="AZ169" s="658"/>
      <c r="BA169" s="658"/>
      <c r="BB169" s="658"/>
      <c r="BC169" s="658">
        <v>108.303</v>
      </c>
      <c r="BD169" s="658"/>
      <c r="BE169" s="658"/>
      <c r="BF169" s="658">
        <v>182.49</v>
      </c>
      <c r="BG169" s="658"/>
      <c r="BH169" s="658"/>
      <c r="BI169" s="567">
        <v>0.593473614992602</v>
      </c>
      <c r="BJ169" s="567"/>
      <c r="BK169" s="567"/>
      <c r="BL169" s="567"/>
      <c r="BM169" s="660" t="s">
        <v>932</v>
      </c>
      <c r="BN169" s="660"/>
      <c r="BO169" s="660"/>
      <c r="BP169" s="660"/>
      <c r="BQ169" s="568" t="s">
        <v>932</v>
      </c>
      <c r="BR169" s="568"/>
      <c r="BS169" s="568"/>
      <c r="BT169" s="660" t="s">
        <v>932</v>
      </c>
      <c r="BU169" s="660"/>
      <c r="BV169" s="660"/>
      <c r="BW169" s="660"/>
      <c r="BX169" s="568" t="s">
        <v>932</v>
      </c>
      <c r="BY169" s="568"/>
      <c r="BZ169" s="568"/>
      <c r="CA169" s="660">
        <v>0.593473614992602</v>
      </c>
      <c r="CB169" s="660"/>
      <c r="CC169" s="660"/>
      <c r="CD169" s="660"/>
      <c r="CE169" s="568">
        <v>1</v>
      </c>
      <c r="CF169" s="568"/>
      <c r="CG169" s="568"/>
      <c r="CH169" s="660" t="s">
        <v>932</v>
      </c>
      <c r="CI169" s="660"/>
      <c r="CJ169" s="660"/>
      <c r="CK169" s="660"/>
      <c r="CL169" s="568" t="s">
        <v>932</v>
      </c>
      <c r="CM169" s="568"/>
      <c r="CN169" s="568"/>
    </row>
    <row r="170" hidden="1" customHeight="1" spans="1:92">
      <c r="A170" s="612"/>
      <c r="B170" s="612"/>
      <c r="C170" s="518"/>
      <c r="D170" s="518"/>
      <c r="E170" s="518"/>
      <c r="F170" s="657"/>
      <c r="G170" s="657"/>
      <c r="H170" s="657"/>
      <c r="I170" s="519"/>
      <c r="J170" s="519"/>
      <c r="K170" s="519"/>
      <c r="L170" s="519"/>
      <c r="M170" s="519"/>
      <c r="N170" s="519"/>
      <c r="O170" s="519"/>
      <c r="P170" s="519"/>
      <c r="Q170" s="519"/>
      <c r="R170" s="519"/>
      <c r="S170" s="519"/>
      <c r="T170" s="519"/>
      <c r="U170" s="519"/>
      <c r="V170" s="519"/>
      <c r="W170" s="519"/>
      <c r="X170" s="519"/>
      <c r="Y170" s="519"/>
      <c r="Z170" s="519"/>
      <c r="AA170" s="519"/>
      <c r="AB170" s="526"/>
      <c r="AC170" s="526"/>
      <c r="AD170" s="658"/>
      <c r="AE170" s="658"/>
      <c r="AF170" s="658"/>
      <c r="AG170" s="526">
        <v>0</v>
      </c>
      <c r="AH170" s="526"/>
      <c r="AI170" s="659" t="e">
        <v>#N/A</v>
      </c>
      <c r="AJ170" s="659"/>
      <c r="AK170" s="659"/>
      <c r="AL170" s="659"/>
      <c r="AM170" s="659"/>
      <c r="AN170" s="659"/>
      <c r="AO170" s="659"/>
      <c r="AP170" s="659"/>
      <c r="AQ170" s="659"/>
      <c r="AR170" s="659"/>
      <c r="AS170" s="659"/>
      <c r="AT170" s="659"/>
      <c r="AU170" s="659"/>
      <c r="AV170" s="659"/>
      <c r="AW170" s="658">
        <v>0</v>
      </c>
      <c r="AX170" s="658"/>
      <c r="AY170" s="658"/>
      <c r="AZ170" s="658"/>
      <c r="BA170" s="658"/>
      <c r="BB170" s="658"/>
      <c r="BC170" s="658">
        <v>0</v>
      </c>
      <c r="BD170" s="658"/>
      <c r="BE170" s="658"/>
      <c r="BF170" s="658">
        <v>182.49</v>
      </c>
      <c r="BG170" s="658"/>
      <c r="BH170" s="658"/>
      <c r="BI170" s="567">
        <v>0</v>
      </c>
      <c r="BJ170" s="567"/>
      <c r="BK170" s="567"/>
      <c r="BL170" s="567"/>
      <c r="BM170" s="660" t="s">
        <v>932</v>
      </c>
      <c r="BN170" s="660"/>
      <c r="BO170" s="660"/>
      <c r="BP170" s="660"/>
      <c r="BQ170" s="568" t="s">
        <v>932</v>
      </c>
      <c r="BR170" s="568"/>
      <c r="BS170" s="568"/>
      <c r="BT170" s="660" t="s">
        <v>932</v>
      </c>
      <c r="BU170" s="660"/>
      <c r="BV170" s="660"/>
      <c r="BW170" s="660"/>
      <c r="BX170" s="568" t="s">
        <v>932</v>
      </c>
      <c r="BY170" s="568"/>
      <c r="BZ170" s="568"/>
      <c r="CA170" s="660" t="s">
        <v>932</v>
      </c>
      <c r="CB170" s="660"/>
      <c r="CC170" s="660"/>
      <c r="CD170" s="660"/>
      <c r="CE170" s="568">
        <v>1</v>
      </c>
      <c r="CF170" s="568"/>
      <c r="CG170" s="568"/>
      <c r="CH170" s="660" t="s">
        <v>932</v>
      </c>
      <c r="CI170" s="660"/>
      <c r="CJ170" s="660"/>
      <c r="CK170" s="660"/>
      <c r="CL170" s="568" t="s">
        <v>932</v>
      </c>
      <c r="CM170" s="568"/>
      <c r="CN170" s="568"/>
    </row>
    <row r="171" hidden="1" customHeight="1" spans="1:92">
      <c r="A171" s="612"/>
      <c r="B171" s="612"/>
      <c r="C171" s="518"/>
      <c r="D171" s="518"/>
      <c r="E171" s="518"/>
      <c r="F171" s="657"/>
      <c r="G171" s="657"/>
      <c r="H171" s="657"/>
      <c r="I171" s="519"/>
      <c r="J171" s="519"/>
      <c r="K171" s="519"/>
      <c r="L171" s="519"/>
      <c r="M171" s="519"/>
      <c r="N171" s="519"/>
      <c r="O171" s="519"/>
      <c r="P171" s="519"/>
      <c r="Q171" s="519"/>
      <c r="R171" s="519"/>
      <c r="S171" s="519"/>
      <c r="T171" s="519"/>
      <c r="U171" s="519"/>
      <c r="V171" s="519"/>
      <c r="W171" s="519"/>
      <c r="X171" s="519"/>
      <c r="Y171" s="519"/>
      <c r="Z171" s="519"/>
      <c r="AA171" s="519"/>
      <c r="AB171" s="526"/>
      <c r="AC171" s="526"/>
      <c r="AD171" s="658"/>
      <c r="AE171" s="658"/>
      <c r="AF171" s="658"/>
      <c r="AG171" s="526">
        <v>0</v>
      </c>
      <c r="AH171" s="526"/>
      <c r="AI171" s="659" t="e">
        <v>#N/A</v>
      </c>
      <c r="AJ171" s="659"/>
      <c r="AK171" s="659"/>
      <c r="AL171" s="659"/>
      <c r="AM171" s="659"/>
      <c r="AN171" s="659"/>
      <c r="AO171" s="659"/>
      <c r="AP171" s="659"/>
      <c r="AQ171" s="659"/>
      <c r="AR171" s="659"/>
      <c r="AS171" s="659"/>
      <c r="AT171" s="659"/>
      <c r="AU171" s="659"/>
      <c r="AV171" s="659"/>
      <c r="AW171" s="658">
        <v>0</v>
      </c>
      <c r="AX171" s="658"/>
      <c r="AY171" s="658"/>
      <c r="AZ171" s="658"/>
      <c r="BA171" s="658"/>
      <c r="BB171" s="658"/>
      <c r="BC171" s="658">
        <v>0</v>
      </c>
      <c r="BD171" s="658"/>
      <c r="BE171" s="658"/>
      <c r="BF171" s="658">
        <v>182.49</v>
      </c>
      <c r="BG171" s="658"/>
      <c r="BH171" s="658"/>
      <c r="BI171" s="567">
        <v>0</v>
      </c>
      <c r="BJ171" s="567"/>
      <c r="BK171" s="567"/>
      <c r="BL171" s="567"/>
      <c r="BM171" s="660" t="s">
        <v>932</v>
      </c>
      <c r="BN171" s="660"/>
      <c r="BO171" s="660"/>
      <c r="BP171" s="660"/>
      <c r="BQ171" s="568" t="s">
        <v>932</v>
      </c>
      <c r="BR171" s="568"/>
      <c r="BS171" s="568"/>
      <c r="BT171" s="660" t="s">
        <v>932</v>
      </c>
      <c r="BU171" s="660"/>
      <c r="BV171" s="660"/>
      <c r="BW171" s="660"/>
      <c r="BX171" s="568" t="s">
        <v>932</v>
      </c>
      <c r="BY171" s="568"/>
      <c r="BZ171" s="568"/>
      <c r="CA171" s="660" t="s">
        <v>932</v>
      </c>
      <c r="CB171" s="660"/>
      <c r="CC171" s="660"/>
      <c r="CD171" s="660"/>
      <c r="CE171" s="568">
        <v>1</v>
      </c>
      <c r="CF171" s="568"/>
      <c r="CG171" s="568"/>
      <c r="CH171" s="660" t="s">
        <v>932</v>
      </c>
      <c r="CI171" s="660"/>
      <c r="CJ171" s="660"/>
      <c r="CK171" s="660"/>
      <c r="CL171" s="568" t="s">
        <v>932</v>
      </c>
      <c r="CM171" s="568"/>
      <c r="CN171" s="568"/>
    </row>
    <row r="172" hidden="1" customHeight="1" spans="1:92">
      <c r="A172" s="612"/>
      <c r="B172" s="612"/>
      <c r="C172" s="518"/>
      <c r="D172" s="518"/>
      <c r="E172" s="518"/>
      <c r="F172" s="657"/>
      <c r="G172" s="657"/>
      <c r="H172" s="657"/>
      <c r="I172" s="519"/>
      <c r="J172" s="519"/>
      <c r="K172" s="519"/>
      <c r="L172" s="519"/>
      <c r="M172" s="519"/>
      <c r="N172" s="519"/>
      <c r="O172" s="519"/>
      <c r="P172" s="519"/>
      <c r="Q172" s="519"/>
      <c r="R172" s="519"/>
      <c r="S172" s="519"/>
      <c r="T172" s="519"/>
      <c r="U172" s="519"/>
      <c r="V172" s="519"/>
      <c r="W172" s="519"/>
      <c r="X172" s="519"/>
      <c r="Y172" s="519"/>
      <c r="Z172" s="519"/>
      <c r="AA172" s="519"/>
      <c r="AB172" s="526"/>
      <c r="AC172" s="526"/>
      <c r="AD172" s="658"/>
      <c r="AE172" s="658"/>
      <c r="AF172" s="658"/>
      <c r="AG172" s="526">
        <v>0</v>
      </c>
      <c r="AH172" s="526"/>
      <c r="AI172" s="659" t="e">
        <v>#N/A</v>
      </c>
      <c r="AJ172" s="659"/>
      <c r="AK172" s="659"/>
      <c r="AL172" s="659"/>
      <c r="AM172" s="659"/>
      <c r="AN172" s="659"/>
      <c r="AO172" s="659"/>
      <c r="AP172" s="659"/>
      <c r="AQ172" s="659"/>
      <c r="AR172" s="659"/>
      <c r="AS172" s="659"/>
      <c r="AT172" s="659"/>
      <c r="AU172" s="659"/>
      <c r="AV172" s="659"/>
      <c r="AW172" s="658">
        <v>0</v>
      </c>
      <c r="AX172" s="658"/>
      <c r="AY172" s="658"/>
      <c r="AZ172" s="658"/>
      <c r="BA172" s="658"/>
      <c r="BB172" s="658"/>
      <c r="BC172" s="658">
        <v>0</v>
      </c>
      <c r="BD172" s="658"/>
      <c r="BE172" s="658"/>
      <c r="BF172" s="658">
        <v>182.49</v>
      </c>
      <c r="BG172" s="658"/>
      <c r="BH172" s="658"/>
      <c r="BI172" s="567">
        <v>0</v>
      </c>
      <c r="BJ172" s="567"/>
      <c r="BK172" s="567"/>
      <c r="BL172" s="567"/>
      <c r="BM172" s="660" t="s">
        <v>932</v>
      </c>
      <c r="BN172" s="660"/>
      <c r="BO172" s="660"/>
      <c r="BP172" s="660"/>
      <c r="BQ172" s="568" t="s">
        <v>932</v>
      </c>
      <c r="BR172" s="568"/>
      <c r="BS172" s="568"/>
      <c r="BT172" s="660" t="s">
        <v>932</v>
      </c>
      <c r="BU172" s="660"/>
      <c r="BV172" s="660"/>
      <c r="BW172" s="660"/>
      <c r="BX172" s="568" t="s">
        <v>932</v>
      </c>
      <c r="BY172" s="568"/>
      <c r="BZ172" s="568"/>
      <c r="CA172" s="660" t="s">
        <v>932</v>
      </c>
      <c r="CB172" s="660"/>
      <c r="CC172" s="660"/>
      <c r="CD172" s="660"/>
      <c r="CE172" s="568">
        <v>1</v>
      </c>
      <c r="CF172" s="568"/>
      <c r="CG172" s="568"/>
      <c r="CH172" s="660" t="s">
        <v>932</v>
      </c>
      <c r="CI172" s="660"/>
      <c r="CJ172" s="660"/>
      <c r="CK172" s="660"/>
      <c r="CL172" s="568" t="s">
        <v>932</v>
      </c>
      <c r="CM172" s="568"/>
      <c r="CN172" s="568"/>
    </row>
    <row r="173" hidden="1" customHeight="1" spans="1:92">
      <c r="A173" s="612"/>
      <c r="B173" s="612"/>
      <c r="C173" s="518"/>
      <c r="D173" s="518"/>
      <c r="E173" s="518"/>
      <c r="F173" s="657"/>
      <c r="G173" s="657"/>
      <c r="H173" s="657"/>
      <c r="I173" s="519"/>
      <c r="J173" s="519"/>
      <c r="K173" s="519"/>
      <c r="L173" s="519"/>
      <c r="M173" s="519"/>
      <c r="N173" s="519"/>
      <c r="O173" s="519"/>
      <c r="P173" s="519"/>
      <c r="Q173" s="519"/>
      <c r="R173" s="519"/>
      <c r="S173" s="519"/>
      <c r="T173" s="519"/>
      <c r="U173" s="519"/>
      <c r="V173" s="519"/>
      <c r="W173" s="519"/>
      <c r="X173" s="519"/>
      <c r="Y173" s="519"/>
      <c r="Z173" s="519"/>
      <c r="AA173" s="519"/>
      <c r="AB173" s="526"/>
      <c r="AC173" s="526"/>
      <c r="AD173" s="658"/>
      <c r="AE173" s="658"/>
      <c r="AF173" s="658"/>
      <c r="AG173" s="526">
        <v>0</v>
      </c>
      <c r="AH173" s="526"/>
      <c r="AI173" s="659" t="e">
        <v>#N/A</v>
      </c>
      <c r="AJ173" s="659"/>
      <c r="AK173" s="659"/>
      <c r="AL173" s="659"/>
      <c r="AM173" s="659"/>
      <c r="AN173" s="659"/>
      <c r="AO173" s="659"/>
      <c r="AP173" s="659"/>
      <c r="AQ173" s="659"/>
      <c r="AR173" s="659"/>
      <c r="AS173" s="659"/>
      <c r="AT173" s="659"/>
      <c r="AU173" s="659"/>
      <c r="AV173" s="659"/>
      <c r="AW173" s="658">
        <v>0</v>
      </c>
      <c r="AX173" s="658"/>
      <c r="AY173" s="658"/>
      <c r="AZ173" s="658"/>
      <c r="BA173" s="658"/>
      <c r="BB173" s="658"/>
      <c r="BC173" s="658">
        <v>0</v>
      </c>
      <c r="BD173" s="658"/>
      <c r="BE173" s="658"/>
      <c r="BF173" s="658">
        <v>182.49</v>
      </c>
      <c r="BG173" s="658"/>
      <c r="BH173" s="658"/>
      <c r="BI173" s="567">
        <v>0</v>
      </c>
      <c r="BJ173" s="567"/>
      <c r="BK173" s="567"/>
      <c r="BL173" s="567"/>
      <c r="BM173" s="660" t="s">
        <v>932</v>
      </c>
      <c r="BN173" s="660"/>
      <c r="BO173" s="660"/>
      <c r="BP173" s="660"/>
      <c r="BQ173" s="568" t="s">
        <v>932</v>
      </c>
      <c r="BR173" s="568"/>
      <c r="BS173" s="568"/>
      <c r="BT173" s="660" t="s">
        <v>932</v>
      </c>
      <c r="BU173" s="660"/>
      <c r="BV173" s="660"/>
      <c r="BW173" s="660"/>
      <c r="BX173" s="568" t="s">
        <v>932</v>
      </c>
      <c r="BY173" s="568"/>
      <c r="BZ173" s="568"/>
      <c r="CA173" s="660" t="s">
        <v>932</v>
      </c>
      <c r="CB173" s="660"/>
      <c r="CC173" s="660"/>
      <c r="CD173" s="660"/>
      <c r="CE173" s="568">
        <v>1</v>
      </c>
      <c r="CF173" s="568"/>
      <c r="CG173" s="568"/>
      <c r="CH173" s="660" t="s">
        <v>932</v>
      </c>
      <c r="CI173" s="660"/>
      <c r="CJ173" s="660"/>
      <c r="CK173" s="660"/>
      <c r="CL173" s="568" t="s">
        <v>932</v>
      </c>
      <c r="CM173" s="568"/>
      <c r="CN173" s="568"/>
    </row>
    <row r="174" hidden="1" customHeight="1" spans="1:92">
      <c r="A174" s="612"/>
      <c r="B174" s="612"/>
      <c r="C174" s="518"/>
      <c r="D174" s="518"/>
      <c r="E174" s="518"/>
      <c r="F174" s="657"/>
      <c r="G174" s="657"/>
      <c r="H174" s="657"/>
      <c r="I174" s="519"/>
      <c r="J174" s="519"/>
      <c r="K174" s="519"/>
      <c r="L174" s="519"/>
      <c r="M174" s="519"/>
      <c r="N174" s="519"/>
      <c r="O174" s="519"/>
      <c r="P174" s="519"/>
      <c r="Q174" s="519"/>
      <c r="R174" s="519"/>
      <c r="S174" s="519"/>
      <c r="T174" s="519"/>
      <c r="U174" s="519"/>
      <c r="V174" s="519"/>
      <c r="W174" s="519"/>
      <c r="X174" s="519"/>
      <c r="Y174" s="519"/>
      <c r="Z174" s="519"/>
      <c r="AA174" s="519"/>
      <c r="AB174" s="526"/>
      <c r="AC174" s="526"/>
      <c r="AD174" s="658"/>
      <c r="AE174" s="658"/>
      <c r="AF174" s="658"/>
      <c r="AG174" s="526">
        <v>0</v>
      </c>
      <c r="AH174" s="526"/>
      <c r="AI174" s="659" t="e">
        <v>#N/A</v>
      </c>
      <c r="AJ174" s="659"/>
      <c r="AK174" s="659"/>
      <c r="AL174" s="659"/>
      <c r="AM174" s="659"/>
      <c r="AN174" s="659"/>
      <c r="AO174" s="659"/>
      <c r="AP174" s="659"/>
      <c r="AQ174" s="659"/>
      <c r="AR174" s="659"/>
      <c r="AS174" s="659"/>
      <c r="AT174" s="659"/>
      <c r="AU174" s="659"/>
      <c r="AV174" s="659"/>
      <c r="AW174" s="658">
        <v>0</v>
      </c>
      <c r="AX174" s="658"/>
      <c r="AY174" s="658"/>
      <c r="AZ174" s="658"/>
      <c r="BA174" s="658"/>
      <c r="BB174" s="658"/>
      <c r="BC174" s="658">
        <v>0</v>
      </c>
      <c r="BD174" s="658"/>
      <c r="BE174" s="658"/>
      <c r="BF174" s="658">
        <v>182.49</v>
      </c>
      <c r="BG174" s="658"/>
      <c r="BH174" s="658"/>
      <c r="BI174" s="567">
        <v>0</v>
      </c>
      <c r="BJ174" s="567"/>
      <c r="BK174" s="567"/>
      <c r="BL174" s="567"/>
      <c r="BM174" s="660" t="s">
        <v>932</v>
      </c>
      <c r="BN174" s="660"/>
      <c r="BO174" s="660"/>
      <c r="BP174" s="660"/>
      <c r="BQ174" s="568" t="s">
        <v>932</v>
      </c>
      <c r="BR174" s="568"/>
      <c r="BS174" s="568"/>
      <c r="BT174" s="660" t="s">
        <v>932</v>
      </c>
      <c r="BU174" s="660"/>
      <c r="BV174" s="660"/>
      <c r="BW174" s="660"/>
      <c r="BX174" s="568" t="s">
        <v>932</v>
      </c>
      <c r="BY174" s="568"/>
      <c r="BZ174" s="568"/>
      <c r="CA174" s="660" t="s">
        <v>932</v>
      </c>
      <c r="CB174" s="660"/>
      <c r="CC174" s="660"/>
      <c r="CD174" s="660"/>
      <c r="CE174" s="568">
        <v>1</v>
      </c>
      <c r="CF174" s="568"/>
      <c r="CG174" s="568"/>
      <c r="CH174" s="660" t="s">
        <v>932</v>
      </c>
      <c r="CI174" s="660"/>
      <c r="CJ174" s="660"/>
      <c r="CK174" s="660"/>
      <c r="CL174" s="568" t="s">
        <v>932</v>
      </c>
      <c r="CM174" s="568"/>
      <c r="CN174" s="568"/>
    </row>
    <row r="175" hidden="1" customHeight="1" spans="1:92">
      <c r="A175" s="612"/>
      <c r="B175" s="612"/>
      <c r="C175" s="518"/>
      <c r="D175" s="518"/>
      <c r="E175" s="518"/>
      <c r="F175" s="657"/>
      <c r="G175" s="657"/>
      <c r="H175" s="657"/>
      <c r="I175" s="519"/>
      <c r="J175" s="519"/>
      <c r="K175" s="519"/>
      <c r="L175" s="519"/>
      <c r="M175" s="519"/>
      <c r="N175" s="519"/>
      <c r="O175" s="519"/>
      <c r="P175" s="519"/>
      <c r="Q175" s="519"/>
      <c r="R175" s="519"/>
      <c r="S175" s="519"/>
      <c r="T175" s="519"/>
      <c r="U175" s="519"/>
      <c r="V175" s="519"/>
      <c r="W175" s="519"/>
      <c r="X175" s="519"/>
      <c r="Y175" s="519"/>
      <c r="Z175" s="519"/>
      <c r="AA175" s="519"/>
      <c r="AB175" s="526"/>
      <c r="AC175" s="526"/>
      <c r="AD175" s="658"/>
      <c r="AE175" s="658"/>
      <c r="AF175" s="658"/>
      <c r="AG175" s="526">
        <v>0</v>
      </c>
      <c r="AH175" s="526"/>
      <c r="AI175" s="659" t="e">
        <v>#N/A</v>
      </c>
      <c r="AJ175" s="659"/>
      <c r="AK175" s="659"/>
      <c r="AL175" s="659"/>
      <c r="AM175" s="659"/>
      <c r="AN175" s="659"/>
      <c r="AO175" s="659"/>
      <c r="AP175" s="659"/>
      <c r="AQ175" s="659"/>
      <c r="AR175" s="659"/>
      <c r="AS175" s="659"/>
      <c r="AT175" s="659"/>
      <c r="AU175" s="659"/>
      <c r="AV175" s="659"/>
      <c r="AW175" s="658">
        <v>0</v>
      </c>
      <c r="AX175" s="658"/>
      <c r="AY175" s="658"/>
      <c r="AZ175" s="658"/>
      <c r="BA175" s="658"/>
      <c r="BB175" s="658"/>
      <c r="BC175" s="658">
        <v>0</v>
      </c>
      <c r="BD175" s="658"/>
      <c r="BE175" s="658"/>
      <c r="BF175" s="658">
        <v>182.49</v>
      </c>
      <c r="BG175" s="658"/>
      <c r="BH175" s="658"/>
      <c r="BI175" s="567">
        <v>0</v>
      </c>
      <c r="BJ175" s="567"/>
      <c r="BK175" s="567"/>
      <c r="BL175" s="567"/>
      <c r="BM175" s="660" t="s">
        <v>932</v>
      </c>
      <c r="BN175" s="660"/>
      <c r="BO175" s="660"/>
      <c r="BP175" s="660"/>
      <c r="BQ175" s="568" t="s">
        <v>932</v>
      </c>
      <c r="BR175" s="568"/>
      <c r="BS175" s="568"/>
      <c r="BT175" s="660" t="s">
        <v>932</v>
      </c>
      <c r="BU175" s="660"/>
      <c r="BV175" s="660"/>
      <c r="BW175" s="660"/>
      <c r="BX175" s="568" t="s">
        <v>932</v>
      </c>
      <c r="BY175" s="568"/>
      <c r="BZ175" s="568"/>
      <c r="CA175" s="660" t="s">
        <v>932</v>
      </c>
      <c r="CB175" s="660"/>
      <c r="CC175" s="660"/>
      <c r="CD175" s="660"/>
      <c r="CE175" s="568">
        <v>1</v>
      </c>
      <c r="CF175" s="568"/>
      <c r="CG175" s="568"/>
      <c r="CH175" s="660" t="s">
        <v>932</v>
      </c>
      <c r="CI175" s="660"/>
      <c r="CJ175" s="660"/>
      <c r="CK175" s="660"/>
      <c r="CL175" s="568" t="s">
        <v>932</v>
      </c>
      <c r="CM175" s="568"/>
      <c r="CN175" s="568"/>
    </row>
    <row r="176" customHeight="1" spans="1:92">
      <c r="A176" s="612" t="s">
        <v>962</v>
      </c>
      <c r="B176" s="612"/>
      <c r="C176" s="518"/>
      <c r="D176" s="518"/>
      <c r="E176" s="518"/>
      <c r="F176" s="657">
        <v>407819</v>
      </c>
      <c r="G176" s="657"/>
      <c r="H176" s="657"/>
      <c r="I176" s="519" t="s">
        <v>100</v>
      </c>
      <c r="J176" s="519"/>
      <c r="K176" s="519"/>
      <c r="L176" s="519"/>
      <c r="M176" s="519"/>
      <c r="N176" s="519"/>
      <c r="O176" s="519"/>
      <c r="P176" s="519"/>
      <c r="Q176" s="519"/>
      <c r="R176" s="519"/>
      <c r="S176" s="519"/>
      <c r="T176" s="519"/>
      <c r="U176" s="519"/>
      <c r="V176" s="519"/>
      <c r="W176" s="519"/>
      <c r="X176" s="519"/>
      <c r="Y176" s="519"/>
      <c r="Z176" s="519"/>
      <c r="AA176" s="519"/>
      <c r="AB176" s="526" t="s">
        <v>101</v>
      </c>
      <c r="AC176" s="526"/>
      <c r="AD176" s="658">
        <v>3378.05</v>
      </c>
      <c r="AE176" s="658"/>
      <c r="AF176" s="658"/>
      <c r="AG176" s="526" t="s">
        <v>937</v>
      </c>
      <c r="AH176" s="526"/>
      <c r="AI176" s="659" t="s">
        <v>938</v>
      </c>
      <c r="AJ176" s="659"/>
      <c r="AK176" s="659"/>
      <c r="AL176" s="659"/>
      <c r="AM176" s="659"/>
      <c r="AN176" s="659"/>
      <c r="AO176" s="659"/>
      <c r="AP176" s="659"/>
      <c r="AQ176" s="659"/>
      <c r="AR176" s="659"/>
      <c r="AS176" s="659"/>
      <c r="AT176" s="659"/>
      <c r="AU176" s="659"/>
      <c r="AV176" s="659"/>
      <c r="AW176" s="658">
        <v>0.09</v>
      </c>
      <c r="AX176" s="658"/>
      <c r="AY176" s="658"/>
      <c r="AZ176" s="658">
        <v>1</v>
      </c>
      <c r="BA176" s="658"/>
      <c r="BB176" s="658"/>
      <c r="BC176" s="658">
        <v>304.0245</v>
      </c>
      <c r="BD176" s="658"/>
      <c r="BE176" s="658"/>
      <c r="BF176" s="658">
        <v>182.49</v>
      </c>
      <c r="BG176" s="658"/>
      <c r="BH176" s="658"/>
      <c r="BI176" s="567">
        <v>1.66597895775111</v>
      </c>
      <c r="BJ176" s="567"/>
      <c r="BK176" s="567"/>
      <c r="BL176" s="567"/>
      <c r="BM176" s="660" t="s">
        <v>932</v>
      </c>
      <c r="BN176" s="660"/>
      <c r="BO176" s="660"/>
      <c r="BP176" s="660"/>
      <c r="BQ176" s="568" t="s">
        <v>932</v>
      </c>
      <c r="BR176" s="568"/>
      <c r="BS176" s="568"/>
      <c r="BT176" s="660" t="s">
        <v>932</v>
      </c>
      <c r="BU176" s="660"/>
      <c r="BV176" s="660"/>
      <c r="BW176" s="660"/>
      <c r="BX176" s="568" t="s">
        <v>932</v>
      </c>
      <c r="BY176" s="568"/>
      <c r="BZ176" s="568"/>
      <c r="CA176" s="660">
        <v>1.66597895775111</v>
      </c>
      <c r="CB176" s="660"/>
      <c r="CC176" s="660"/>
      <c r="CD176" s="660"/>
      <c r="CE176" s="568">
        <v>1</v>
      </c>
      <c r="CF176" s="568"/>
      <c r="CG176" s="568"/>
      <c r="CH176" s="660" t="s">
        <v>932</v>
      </c>
      <c r="CI176" s="660"/>
      <c r="CJ176" s="660"/>
      <c r="CK176" s="660"/>
      <c r="CL176" s="568" t="s">
        <v>932</v>
      </c>
      <c r="CM176" s="568"/>
      <c r="CN176" s="568"/>
    </row>
    <row r="177" customHeight="1" spans="1:92">
      <c r="A177" s="612"/>
      <c r="B177" s="612"/>
      <c r="C177" s="518"/>
      <c r="D177" s="518"/>
      <c r="E177" s="518"/>
      <c r="F177" s="657"/>
      <c r="G177" s="657"/>
      <c r="H177" s="657"/>
      <c r="I177" s="519"/>
      <c r="J177" s="519"/>
      <c r="K177" s="519"/>
      <c r="L177" s="519"/>
      <c r="M177" s="519"/>
      <c r="N177" s="519"/>
      <c r="O177" s="519"/>
      <c r="P177" s="519"/>
      <c r="Q177" s="519"/>
      <c r="R177" s="519"/>
      <c r="S177" s="519"/>
      <c r="T177" s="519"/>
      <c r="U177" s="519"/>
      <c r="V177" s="519"/>
      <c r="W177" s="519"/>
      <c r="X177" s="519"/>
      <c r="Y177" s="519"/>
      <c r="Z177" s="519"/>
      <c r="AA177" s="519"/>
      <c r="AB177" s="526"/>
      <c r="AC177" s="526"/>
      <c r="AD177" s="658"/>
      <c r="AE177" s="658"/>
      <c r="AF177" s="658"/>
      <c r="AG177" s="526" t="s">
        <v>939</v>
      </c>
      <c r="AH177" s="526"/>
      <c r="AI177" s="659" t="s">
        <v>940</v>
      </c>
      <c r="AJ177" s="659"/>
      <c r="AK177" s="659"/>
      <c r="AL177" s="659"/>
      <c r="AM177" s="659"/>
      <c r="AN177" s="659"/>
      <c r="AO177" s="659"/>
      <c r="AP177" s="659"/>
      <c r="AQ177" s="659"/>
      <c r="AR177" s="659"/>
      <c r="AS177" s="659"/>
      <c r="AT177" s="659"/>
      <c r="AU177" s="659"/>
      <c r="AV177" s="659"/>
      <c r="AW177" s="658">
        <v>0.09</v>
      </c>
      <c r="AX177" s="658"/>
      <c r="AY177" s="658"/>
      <c r="AZ177" s="658"/>
      <c r="BA177" s="658"/>
      <c r="BB177" s="658"/>
      <c r="BC177" s="658">
        <v>304.0245</v>
      </c>
      <c r="BD177" s="658"/>
      <c r="BE177" s="658"/>
      <c r="BF177" s="658">
        <v>182.49</v>
      </c>
      <c r="BG177" s="658"/>
      <c r="BH177" s="658"/>
      <c r="BI177" s="567">
        <v>1.66597895775111</v>
      </c>
      <c r="BJ177" s="567"/>
      <c r="BK177" s="567"/>
      <c r="BL177" s="567"/>
      <c r="BM177" s="660" t="s">
        <v>932</v>
      </c>
      <c r="BN177" s="660"/>
      <c r="BO177" s="660"/>
      <c r="BP177" s="660"/>
      <c r="BQ177" s="568" t="s">
        <v>932</v>
      </c>
      <c r="BR177" s="568"/>
      <c r="BS177" s="568"/>
      <c r="BT177" s="660" t="s">
        <v>932</v>
      </c>
      <c r="BU177" s="660"/>
      <c r="BV177" s="660"/>
      <c r="BW177" s="660"/>
      <c r="BX177" s="568" t="s">
        <v>932</v>
      </c>
      <c r="BY177" s="568"/>
      <c r="BZ177" s="568"/>
      <c r="CA177" s="660">
        <v>1.66597895775111</v>
      </c>
      <c r="CB177" s="660"/>
      <c r="CC177" s="660"/>
      <c r="CD177" s="660"/>
      <c r="CE177" s="568">
        <v>1</v>
      </c>
      <c r="CF177" s="568"/>
      <c r="CG177" s="568"/>
      <c r="CH177" s="660" t="s">
        <v>932</v>
      </c>
      <c r="CI177" s="660"/>
      <c r="CJ177" s="660"/>
      <c r="CK177" s="660"/>
      <c r="CL177" s="568" t="s">
        <v>932</v>
      </c>
      <c r="CM177" s="568"/>
      <c r="CN177" s="568"/>
    </row>
    <row r="178" hidden="1" customHeight="1" spans="1:92">
      <c r="A178" s="612"/>
      <c r="B178" s="612"/>
      <c r="C178" s="518"/>
      <c r="D178" s="518"/>
      <c r="E178" s="518"/>
      <c r="F178" s="657"/>
      <c r="G178" s="657"/>
      <c r="H178" s="657"/>
      <c r="I178" s="519"/>
      <c r="J178" s="519"/>
      <c r="K178" s="519"/>
      <c r="L178" s="519"/>
      <c r="M178" s="519"/>
      <c r="N178" s="519"/>
      <c r="O178" s="519"/>
      <c r="P178" s="519"/>
      <c r="Q178" s="519"/>
      <c r="R178" s="519"/>
      <c r="S178" s="519"/>
      <c r="T178" s="519"/>
      <c r="U178" s="519"/>
      <c r="V178" s="519"/>
      <c r="W178" s="519"/>
      <c r="X178" s="519"/>
      <c r="Y178" s="519"/>
      <c r="Z178" s="519"/>
      <c r="AA178" s="519"/>
      <c r="AB178" s="526"/>
      <c r="AC178" s="526"/>
      <c r="AD178" s="658"/>
      <c r="AE178" s="658"/>
      <c r="AF178" s="658"/>
      <c r="AG178" s="526">
        <v>0</v>
      </c>
      <c r="AH178" s="526"/>
      <c r="AI178" s="659" t="e">
        <v>#N/A</v>
      </c>
      <c r="AJ178" s="659"/>
      <c r="AK178" s="659"/>
      <c r="AL178" s="659"/>
      <c r="AM178" s="659"/>
      <c r="AN178" s="659"/>
      <c r="AO178" s="659"/>
      <c r="AP178" s="659"/>
      <c r="AQ178" s="659"/>
      <c r="AR178" s="659"/>
      <c r="AS178" s="659"/>
      <c r="AT178" s="659"/>
      <c r="AU178" s="659"/>
      <c r="AV178" s="659"/>
      <c r="AW178" s="658">
        <v>0</v>
      </c>
      <c r="AX178" s="658"/>
      <c r="AY178" s="658"/>
      <c r="AZ178" s="658"/>
      <c r="BA178" s="658"/>
      <c r="BB178" s="658"/>
      <c r="BC178" s="658">
        <v>0</v>
      </c>
      <c r="BD178" s="658"/>
      <c r="BE178" s="658"/>
      <c r="BF178" s="658">
        <v>182.49</v>
      </c>
      <c r="BG178" s="658"/>
      <c r="BH178" s="658"/>
      <c r="BI178" s="567">
        <v>0</v>
      </c>
      <c r="BJ178" s="567"/>
      <c r="BK178" s="567"/>
      <c r="BL178" s="567"/>
      <c r="BM178" s="660" t="s">
        <v>932</v>
      </c>
      <c r="BN178" s="660"/>
      <c r="BO178" s="660"/>
      <c r="BP178" s="660"/>
      <c r="BQ178" s="568" t="s">
        <v>932</v>
      </c>
      <c r="BR178" s="568"/>
      <c r="BS178" s="568"/>
      <c r="BT178" s="660" t="s">
        <v>932</v>
      </c>
      <c r="BU178" s="660"/>
      <c r="BV178" s="660"/>
      <c r="BW178" s="660"/>
      <c r="BX178" s="568" t="s">
        <v>932</v>
      </c>
      <c r="BY178" s="568"/>
      <c r="BZ178" s="568"/>
      <c r="CA178" s="660" t="s">
        <v>932</v>
      </c>
      <c r="CB178" s="660"/>
      <c r="CC178" s="660"/>
      <c r="CD178" s="660"/>
      <c r="CE178" s="568">
        <v>1</v>
      </c>
      <c r="CF178" s="568"/>
      <c r="CG178" s="568"/>
      <c r="CH178" s="660" t="s">
        <v>932</v>
      </c>
      <c r="CI178" s="660"/>
      <c r="CJ178" s="660"/>
      <c r="CK178" s="660"/>
      <c r="CL178" s="568" t="s">
        <v>932</v>
      </c>
      <c r="CM178" s="568"/>
      <c r="CN178" s="568"/>
    </row>
    <row r="179" hidden="1" customHeight="1" spans="1:92">
      <c r="A179" s="612"/>
      <c r="B179" s="612"/>
      <c r="C179" s="518"/>
      <c r="D179" s="518"/>
      <c r="E179" s="518"/>
      <c r="F179" s="657"/>
      <c r="G179" s="657"/>
      <c r="H179" s="657"/>
      <c r="I179" s="519"/>
      <c r="J179" s="519"/>
      <c r="K179" s="519"/>
      <c r="L179" s="519"/>
      <c r="M179" s="519"/>
      <c r="N179" s="519"/>
      <c r="O179" s="519"/>
      <c r="P179" s="519"/>
      <c r="Q179" s="519"/>
      <c r="R179" s="519"/>
      <c r="S179" s="519"/>
      <c r="T179" s="519"/>
      <c r="U179" s="519"/>
      <c r="V179" s="519"/>
      <c r="W179" s="519"/>
      <c r="X179" s="519"/>
      <c r="Y179" s="519"/>
      <c r="Z179" s="519"/>
      <c r="AA179" s="519"/>
      <c r="AB179" s="526"/>
      <c r="AC179" s="526"/>
      <c r="AD179" s="658"/>
      <c r="AE179" s="658"/>
      <c r="AF179" s="658"/>
      <c r="AG179" s="526">
        <v>0</v>
      </c>
      <c r="AH179" s="526"/>
      <c r="AI179" s="659" t="e">
        <v>#N/A</v>
      </c>
      <c r="AJ179" s="659"/>
      <c r="AK179" s="659"/>
      <c r="AL179" s="659"/>
      <c r="AM179" s="659"/>
      <c r="AN179" s="659"/>
      <c r="AO179" s="659"/>
      <c r="AP179" s="659"/>
      <c r="AQ179" s="659"/>
      <c r="AR179" s="659"/>
      <c r="AS179" s="659"/>
      <c r="AT179" s="659"/>
      <c r="AU179" s="659"/>
      <c r="AV179" s="659"/>
      <c r="AW179" s="658">
        <v>0</v>
      </c>
      <c r="AX179" s="658"/>
      <c r="AY179" s="658"/>
      <c r="AZ179" s="658"/>
      <c r="BA179" s="658"/>
      <c r="BB179" s="658"/>
      <c r="BC179" s="658">
        <v>0</v>
      </c>
      <c r="BD179" s="658"/>
      <c r="BE179" s="658"/>
      <c r="BF179" s="658">
        <v>182.49</v>
      </c>
      <c r="BG179" s="658"/>
      <c r="BH179" s="658"/>
      <c r="BI179" s="567">
        <v>0</v>
      </c>
      <c r="BJ179" s="567"/>
      <c r="BK179" s="567"/>
      <c r="BL179" s="567"/>
      <c r="BM179" s="660" t="s">
        <v>932</v>
      </c>
      <c r="BN179" s="660"/>
      <c r="BO179" s="660"/>
      <c r="BP179" s="660"/>
      <c r="BQ179" s="568" t="s">
        <v>932</v>
      </c>
      <c r="BR179" s="568"/>
      <c r="BS179" s="568"/>
      <c r="BT179" s="660" t="s">
        <v>932</v>
      </c>
      <c r="BU179" s="660"/>
      <c r="BV179" s="660"/>
      <c r="BW179" s="660"/>
      <c r="BX179" s="568" t="s">
        <v>932</v>
      </c>
      <c r="BY179" s="568"/>
      <c r="BZ179" s="568"/>
      <c r="CA179" s="660" t="s">
        <v>932</v>
      </c>
      <c r="CB179" s="660"/>
      <c r="CC179" s="660"/>
      <c r="CD179" s="660"/>
      <c r="CE179" s="568">
        <v>1</v>
      </c>
      <c r="CF179" s="568"/>
      <c r="CG179" s="568"/>
      <c r="CH179" s="660" t="s">
        <v>932</v>
      </c>
      <c r="CI179" s="660"/>
      <c r="CJ179" s="660"/>
      <c r="CK179" s="660"/>
      <c r="CL179" s="568" t="s">
        <v>932</v>
      </c>
      <c r="CM179" s="568"/>
      <c r="CN179" s="568"/>
    </row>
    <row r="180" hidden="1" customHeight="1" spans="1:92">
      <c r="A180" s="612"/>
      <c r="B180" s="612"/>
      <c r="C180" s="518"/>
      <c r="D180" s="518"/>
      <c r="E180" s="518"/>
      <c r="F180" s="657"/>
      <c r="G180" s="657"/>
      <c r="H180" s="657"/>
      <c r="I180" s="519"/>
      <c r="J180" s="519"/>
      <c r="K180" s="519"/>
      <c r="L180" s="519"/>
      <c r="M180" s="519"/>
      <c r="N180" s="519"/>
      <c r="O180" s="519"/>
      <c r="P180" s="519"/>
      <c r="Q180" s="519"/>
      <c r="R180" s="519"/>
      <c r="S180" s="519"/>
      <c r="T180" s="519"/>
      <c r="U180" s="519"/>
      <c r="V180" s="519"/>
      <c r="W180" s="519"/>
      <c r="X180" s="519"/>
      <c r="Y180" s="519"/>
      <c r="Z180" s="519"/>
      <c r="AA180" s="519"/>
      <c r="AB180" s="526"/>
      <c r="AC180" s="526"/>
      <c r="AD180" s="658"/>
      <c r="AE180" s="658"/>
      <c r="AF180" s="658"/>
      <c r="AG180" s="526">
        <v>0</v>
      </c>
      <c r="AH180" s="526"/>
      <c r="AI180" s="659" t="e">
        <v>#N/A</v>
      </c>
      <c r="AJ180" s="659"/>
      <c r="AK180" s="659"/>
      <c r="AL180" s="659"/>
      <c r="AM180" s="659"/>
      <c r="AN180" s="659"/>
      <c r="AO180" s="659"/>
      <c r="AP180" s="659"/>
      <c r="AQ180" s="659"/>
      <c r="AR180" s="659"/>
      <c r="AS180" s="659"/>
      <c r="AT180" s="659"/>
      <c r="AU180" s="659"/>
      <c r="AV180" s="659"/>
      <c r="AW180" s="658">
        <v>0</v>
      </c>
      <c r="AX180" s="658"/>
      <c r="AY180" s="658"/>
      <c r="AZ180" s="658"/>
      <c r="BA180" s="658"/>
      <c r="BB180" s="658"/>
      <c r="BC180" s="658">
        <v>0</v>
      </c>
      <c r="BD180" s="658"/>
      <c r="BE180" s="658"/>
      <c r="BF180" s="658">
        <v>182.49</v>
      </c>
      <c r="BG180" s="658"/>
      <c r="BH180" s="658"/>
      <c r="BI180" s="567">
        <v>0</v>
      </c>
      <c r="BJ180" s="567"/>
      <c r="BK180" s="567"/>
      <c r="BL180" s="567"/>
      <c r="BM180" s="660" t="s">
        <v>932</v>
      </c>
      <c r="BN180" s="660"/>
      <c r="BO180" s="660"/>
      <c r="BP180" s="660"/>
      <c r="BQ180" s="568" t="s">
        <v>932</v>
      </c>
      <c r="BR180" s="568"/>
      <c r="BS180" s="568"/>
      <c r="BT180" s="660" t="s">
        <v>932</v>
      </c>
      <c r="BU180" s="660"/>
      <c r="BV180" s="660"/>
      <c r="BW180" s="660"/>
      <c r="BX180" s="568" t="s">
        <v>932</v>
      </c>
      <c r="BY180" s="568"/>
      <c r="BZ180" s="568"/>
      <c r="CA180" s="660" t="s">
        <v>932</v>
      </c>
      <c r="CB180" s="660"/>
      <c r="CC180" s="660"/>
      <c r="CD180" s="660"/>
      <c r="CE180" s="568">
        <v>1</v>
      </c>
      <c r="CF180" s="568"/>
      <c r="CG180" s="568"/>
      <c r="CH180" s="660" t="s">
        <v>932</v>
      </c>
      <c r="CI180" s="660"/>
      <c r="CJ180" s="660"/>
      <c r="CK180" s="660"/>
      <c r="CL180" s="568" t="s">
        <v>932</v>
      </c>
      <c r="CM180" s="568"/>
      <c r="CN180" s="568"/>
    </row>
    <row r="181" hidden="1" customHeight="1" spans="1:92">
      <c r="A181" s="612"/>
      <c r="B181" s="612"/>
      <c r="C181" s="518"/>
      <c r="D181" s="518"/>
      <c r="E181" s="518"/>
      <c r="F181" s="657"/>
      <c r="G181" s="657"/>
      <c r="H181" s="657"/>
      <c r="I181" s="519"/>
      <c r="J181" s="519"/>
      <c r="K181" s="519"/>
      <c r="L181" s="519"/>
      <c r="M181" s="519"/>
      <c r="N181" s="519"/>
      <c r="O181" s="519"/>
      <c r="P181" s="519"/>
      <c r="Q181" s="519"/>
      <c r="R181" s="519"/>
      <c r="S181" s="519"/>
      <c r="T181" s="519"/>
      <c r="U181" s="519"/>
      <c r="V181" s="519"/>
      <c r="W181" s="519"/>
      <c r="X181" s="519"/>
      <c r="Y181" s="519"/>
      <c r="Z181" s="519"/>
      <c r="AA181" s="519"/>
      <c r="AB181" s="526"/>
      <c r="AC181" s="526"/>
      <c r="AD181" s="658"/>
      <c r="AE181" s="658"/>
      <c r="AF181" s="658"/>
      <c r="AG181" s="526">
        <v>0</v>
      </c>
      <c r="AH181" s="526"/>
      <c r="AI181" s="659" t="e">
        <v>#N/A</v>
      </c>
      <c r="AJ181" s="659"/>
      <c r="AK181" s="659"/>
      <c r="AL181" s="659"/>
      <c r="AM181" s="659"/>
      <c r="AN181" s="659"/>
      <c r="AO181" s="659"/>
      <c r="AP181" s="659"/>
      <c r="AQ181" s="659"/>
      <c r="AR181" s="659"/>
      <c r="AS181" s="659"/>
      <c r="AT181" s="659"/>
      <c r="AU181" s="659"/>
      <c r="AV181" s="659"/>
      <c r="AW181" s="658">
        <v>0</v>
      </c>
      <c r="AX181" s="658"/>
      <c r="AY181" s="658"/>
      <c r="AZ181" s="658"/>
      <c r="BA181" s="658"/>
      <c r="BB181" s="658"/>
      <c r="BC181" s="658">
        <v>0</v>
      </c>
      <c r="BD181" s="658"/>
      <c r="BE181" s="658"/>
      <c r="BF181" s="658">
        <v>182.49</v>
      </c>
      <c r="BG181" s="658"/>
      <c r="BH181" s="658"/>
      <c r="BI181" s="567">
        <v>0</v>
      </c>
      <c r="BJ181" s="567"/>
      <c r="BK181" s="567"/>
      <c r="BL181" s="567"/>
      <c r="BM181" s="660" t="s">
        <v>932</v>
      </c>
      <c r="BN181" s="660"/>
      <c r="BO181" s="660"/>
      <c r="BP181" s="660"/>
      <c r="BQ181" s="568" t="s">
        <v>932</v>
      </c>
      <c r="BR181" s="568"/>
      <c r="BS181" s="568"/>
      <c r="BT181" s="660" t="s">
        <v>932</v>
      </c>
      <c r="BU181" s="660"/>
      <c r="BV181" s="660"/>
      <c r="BW181" s="660"/>
      <c r="BX181" s="568" t="s">
        <v>932</v>
      </c>
      <c r="BY181" s="568"/>
      <c r="BZ181" s="568"/>
      <c r="CA181" s="660" t="s">
        <v>932</v>
      </c>
      <c r="CB181" s="660"/>
      <c r="CC181" s="660"/>
      <c r="CD181" s="660"/>
      <c r="CE181" s="568">
        <v>1</v>
      </c>
      <c r="CF181" s="568"/>
      <c r="CG181" s="568"/>
      <c r="CH181" s="660" t="s">
        <v>932</v>
      </c>
      <c r="CI181" s="660"/>
      <c r="CJ181" s="660"/>
      <c r="CK181" s="660"/>
      <c r="CL181" s="568" t="s">
        <v>932</v>
      </c>
      <c r="CM181" s="568"/>
      <c r="CN181" s="568"/>
    </row>
    <row r="182" hidden="1" customHeight="1" spans="1:92">
      <c r="A182" s="612"/>
      <c r="B182" s="612"/>
      <c r="C182" s="518"/>
      <c r="D182" s="518"/>
      <c r="E182" s="518"/>
      <c r="F182" s="657"/>
      <c r="G182" s="657"/>
      <c r="H182" s="657"/>
      <c r="I182" s="519"/>
      <c r="J182" s="519"/>
      <c r="K182" s="519"/>
      <c r="L182" s="519"/>
      <c r="M182" s="519"/>
      <c r="N182" s="519"/>
      <c r="O182" s="519"/>
      <c r="P182" s="519"/>
      <c r="Q182" s="519"/>
      <c r="R182" s="519"/>
      <c r="S182" s="519"/>
      <c r="T182" s="519"/>
      <c r="U182" s="519"/>
      <c r="V182" s="519"/>
      <c r="W182" s="519"/>
      <c r="X182" s="519"/>
      <c r="Y182" s="519"/>
      <c r="Z182" s="519"/>
      <c r="AA182" s="519"/>
      <c r="AB182" s="526"/>
      <c r="AC182" s="526"/>
      <c r="AD182" s="658"/>
      <c r="AE182" s="658"/>
      <c r="AF182" s="658"/>
      <c r="AG182" s="526">
        <v>0</v>
      </c>
      <c r="AH182" s="526"/>
      <c r="AI182" s="659" t="e">
        <v>#N/A</v>
      </c>
      <c r="AJ182" s="659"/>
      <c r="AK182" s="659"/>
      <c r="AL182" s="659"/>
      <c r="AM182" s="659"/>
      <c r="AN182" s="659"/>
      <c r="AO182" s="659"/>
      <c r="AP182" s="659"/>
      <c r="AQ182" s="659"/>
      <c r="AR182" s="659"/>
      <c r="AS182" s="659"/>
      <c r="AT182" s="659"/>
      <c r="AU182" s="659"/>
      <c r="AV182" s="659"/>
      <c r="AW182" s="658">
        <v>0</v>
      </c>
      <c r="AX182" s="658"/>
      <c r="AY182" s="658"/>
      <c r="AZ182" s="658"/>
      <c r="BA182" s="658"/>
      <c r="BB182" s="658"/>
      <c r="BC182" s="658">
        <v>0</v>
      </c>
      <c r="BD182" s="658"/>
      <c r="BE182" s="658"/>
      <c r="BF182" s="658">
        <v>182.49</v>
      </c>
      <c r="BG182" s="658"/>
      <c r="BH182" s="658"/>
      <c r="BI182" s="567">
        <v>0</v>
      </c>
      <c r="BJ182" s="567"/>
      <c r="BK182" s="567"/>
      <c r="BL182" s="567"/>
      <c r="BM182" s="660" t="s">
        <v>932</v>
      </c>
      <c r="BN182" s="660"/>
      <c r="BO182" s="660"/>
      <c r="BP182" s="660"/>
      <c r="BQ182" s="568" t="s">
        <v>932</v>
      </c>
      <c r="BR182" s="568"/>
      <c r="BS182" s="568"/>
      <c r="BT182" s="660" t="s">
        <v>932</v>
      </c>
      <c r="BU182" s="660"/>
      <c r="BV182" s="660"/>
      <c r="BW182" s="660"/>
      <c r="BX182" s="568" t="s">
        <v>932</v>
      </c>
      <c r="BY182" s="568"/>
      <c r="BZ182" s="568"/>
      <c r="CA182" s="660" t="s">
        <v>932</v>
      </c>
      <c r="CB182" s="660"/>
      <c r="CC182" s="660"/>
      <c r="CD182" s="660"/>
      <c r="CE182" s="568">
        <v>1</v>
      </c>
      <c r="CF182" s="568"/>
      <c r="CG182" s="568"/>
      <c r="CH182" s="660" t="s">
        <v>932</v>
      </c>
      <c r="CI182" s="660"/>
      <c r="CJ182" s="660"/>
      <c r="CK182" s="660"/>
      <c r="CL182" s="568" t="s">
        <v>932</v>
      </c>
      <c r="CM182" s="568"/>
      <c r="CN182" s="568"/>
    </row>
    <row r="183" hidden="1" customHeight="1" spans="1:92">
      <c r="A183" s="612"/>
      <c r="B183" s="612"/>
      <c r="C183" s="518"/>
      <c r="D183" s="518"/>
      <c r="E183" s="518"/>
      <c r="F183" s="657"/>
      <c r="G183" s="657"/>
      <c r="H183" s="657"/>
      <c r="I183" s="519"/>
      <c r="J183" s="519"/>
      <c r="K183" s="519"/>
      <c r="L183" s="519"/>
      <c r="M183" s="519"/>
      <c r="N183" s="519"/>
      <c r="O183" s="519"/>
      <c r="P183" s="519"/>
      <c r="Q183" s="519"/>
      <c r="R183" s="519"/>
      <c r="S183" s="519"/>
      <c r="T183" s="519"/>
      <c r="U183" s="519"/>
      <c r="V183" s="519"/>
      <c r="W183" s="519"/>
      <c r="X183" s="519"/>
      <c r="Y183" s="519"/>
      <c r="Z183" s="519"/>
      <c r="AA183" s="519"/>
      <c r="AB183" s="526"/>
      <c r="AC183" s="526"/>
      <c r="AD183" s="658"/>
      <c r="AE183" s="658"/>
      <c r="AF183" s="658"/>
      <c r="AG183" s="526">
        <v>0</v>
      </c>
      <c r="AH183" s="526"/>
      <c r="AI183" s="659" t="e">
        <v>#N/A</v>
      </c>
      <c r="AJ183" s="659"/>
      <c r="AK183" s="659"/>
      <c r="AL183" s="659"/>
      <c r="AM183" s="659"/>
      <c r="AN183" s="659"/>
      <c r="AO183" s="659"/>
      <c r="AP183" s="659"/>
      <c r="AQ183" s="659"/>
      <c r="AR183" s="659"/>
      <c r="AS183" s="659"/>
      <c r="AT183" s="659"/>
      <c r="AU183" s="659"/>
      <c r="AV183" s="659"/>
      <c r="AW183" s="658">
        <v>0</v>
      </c>
      <c r="AX183" s="658"/>
      <c r="AY183" s="658"/>
      <c r="AZ183" s="658"/>
      <c r="BA183" s="658"/>
      <c r="BB183" s="658"/>
      <c r="BC183" s="658">
        <v>0</v>
      </c>
      <c r="BD183" s="658"/>
      <c r="BE183" s="658"/>
      <c r="BF183" s="658">
        <v>182.49</v>
      </c>
      <c r="BG183" s="658"/>
      <c r="BH183" s="658"/>
      <c r="BI183" s="567">
        <v>0</v>
      </c>
      <c r="BJ183" s="567"/>
      <c r="BK183" s="567"/>
      <c r="BL183" s="567"/>
      <c r="BM183" s="660" t="s">
        <v>932</v>
      </c>
      <c r="BN183" s="660"/>
      <c r="BO183" s="660"/>
      <c r="BP183" s="660"/>
      <c r="BQ183" s="568" t="s">
        <v>932</v>
      </c>
      <c r="BR183" s="568"/>
      <c r="BS183" s="568"/>
      <c r="BT183" s="660" t="s">
        <v>932</v>
      </c>
      <c r="BU183" s="660"/>
      <c r="BV183" s="660"/>
      <c r="BW183" s="660"/>
      <c r="BX183" s="568" t="s">
        <v>932</v>
      </c>
      <c r="BY183" s="568"/>
      <c r="BZ183" s="568"/>
      <c r="CA183" s="660" t="s">
        <v>932</v>
      </c>
      <c r="CB183" s="660"/>
      <c r="CC183" s="660"/>
      <c r="CD183" s="660"/>
      <c r="CE183" s="568">
        <v>1</v>
      </c>
      <c r="CF183" s="568"/>
      <c r="CG183" s="568"/>
      <c r="CH183" s="660" t="s">
        <v>932</v>
      </c>
      <c r="CI183" s="660"/>
      <c r="CJ183" s="660"/>
      <c r="CK183" s="660"/>
      <c r="CL183" s="568" t="s">
        <v>932</v>
      </c>
      <c r="CM183" s="568"/>
      <c r="CN183" s="568"/>
    </row>
    <row r="184" customHeight="1" spans="1:92">
      <c r="A184" s="612" t="s">
        <v>963</v>
      </c>
      <c r="B184" s="612"/>
      <c r="C184" s="518"/>
      <c r="D184" s="518"/>
      <c r="E184" s="518"/>
      <c r="F184" s="657">
        <v>3806429</v>
      </c>
      <c r="G184" s="657"/>
      <c r="H184" s="657"/>
      <c r="I184" s="519" t="s">
        <v>111</v>
      </c>
      <c r="J184" s="519"/>
      <c r="K184" s="519"/>
      <c r="L184" s="519"/>
      <c r="M184" s="519"/>
      <c r="N184" s="519"/>
      <c r="O184" s="519"/>
      <c r="P184" s="519"/>
      <c r="Q184" s="519"/>
      <c r="R184" s="519"/>
      <c r="S184" s="519"/>
      <c r="T184" s="519"/>
      <c r="U184" s="519"/>
      <c r="V184" s="519"/>
      <c r="W184" s="519"/>
      <c r="X184" s="519"/>
      <c r="Y184" s="519"/>
      <c r="Z184" s="519"/>
      <c r="AA184" s="519"/>
      <c r="AB184" s="526" t="s">
        <v>99</v>
      </c>
      <c r="AC184" s="526"/>
      <c r="AD184" s="658">
        <v>189.84</v>
      </c>
      <c r="AE184" s="658"/>
      <c r="AF184" s="658"/>
      <c r="AG184" s="526" t="s">
        <v>937</v>
      </c>
      <c r="AH184" s="526"/>
      <c r="AI184" s="659" t="s">
        <v>938</v>
      </c>
      <c r="AJ184" s="659"/>
      <c r="AK184" s="659"/>
      <c r="AL184" s="659"/>
      <c r="AM184" s="659"/>
      <c r="AN184" s="659"/>
      <c r="AO184" s="659"/>
      <c r="AP184" s="659"/>
      <c r="AQ184" s="659"/>
      <c r="AR184" s="659"/>
      <c r="AS184" s="659"/>
      <c r="AT184" s="659"/>
      <c r="AU184" s="659"/>
      <c r="AV184" s="659"/>
      <c r="AW184" s="658">
        <v>1</v>
      </c>
      <c r="AX184" s="658"/>
      <c r="AY184" s="658"/>
      <c r="AZ184" s="658">
        <v>4.28571</v>
      </c>
      <c r="BA184" s="658"/>
      <c r="BB184" s="658"/>
      <c r="BC184" s="658">
        <v>44.2960442960443</v>
      </c>
      <c r="BD184" s="658"/>
      <c r="BE184" s="658"/>
      <c r="BF184" s="658">
        <v>182.49</v>
      </c>
      <c r="BG184" s="658"/>
      <c r="BH184" s="658"/>
      <c r="BI184" s="567">
        <v>0.242731351285245</v>
      </c>
      <c r="BJ184" s="567"/>
      <c r="BK184" s="567"/>
      <c r="BL184" s="567"/>
      <c r="BM184" s="660" t="s">
        <v>932</v>
      </c>
      <c r="BN184" s="660"/>
      <c r="BO184" s="660"/>
      <c r="BP184" s="660"/>
      <c r="BQ184" s="568" t="s">
        <v>932</v>
      </c>
      <c r="BR184" s="568"/>
      <c r="BS184" s="568"/>
      <c r="BT184" s="660" t="s">
        <v>932</v>
      </c>
      <c r="BU184" s="660"/>
      <c r="BV184" s="660"/>
      <c r="BW184" s="660"/>
      <c r="BX184" s="568" t="s">
        <v>932</v>
      </c>
      <c r="BY184" s="568"/>
      <c r="BZ184" s="568"/>
      <c r="CA184" s="660">
        <v>0.242731351285245</v>
      </c>
      <c r="CB184" s="660"/>
      <c r="CC184" s="660"/>
      <c r="CD184" s="660"/>
      <c r="CE184" s="568">
        <v>1</v>
      </c>
      <c r="CF184" s="568"/>
      <c r="CG184" s="568"/>
      <c r="CH184" s="660" t="s">
        <v>932</v>
      </c>
      <c r="CI184" s="660"/>
      <c r="CJ184" s="660"/>
      <c r="CK184" s="660"/>
      <c r="CL184" s="568" t="s">
        <v>932</v>
      </c>
      <c r="CM184" s="568"/>
      <c r="CN184" s="568"/>
    </row>
    <row r="185" customHeight="1" spans="1:92">
      <c r="A185" s="612"/>
      <c r="B185" s="612"/>
      <c r="C185" s="518"/>
      <c r="D185" s="518"/>
      <c r="E185" s="518"/>
      <c r="F185" s="657"/>
      <c r="G185" s="657"/>
      <c r="H185" s="657"/>
      <c r="I185" s="519"/>
      <c r="J185" s="519"/>
      <c r="K185" s="519"/>
      <c r="L185" s="519"/>
      <c r="M185" s="519"/>
      <c r="N185" s="519"/>
      <c r="O185" s="519"/>
      <c r="P185" s="519"/>
      <c r="Q185" s="519"/>
      <c r="R185" s="519"/>
      <c r="S185" s="519"/>
      <c r="T185" s="519"/>
      <c r="U185" s="519"/>
      <c r="V185" s="519"/>
      <c r="W185" s="519"/>
      <c r="X185" s="519"/>
      <c r="Y185" s="519"/>
      <c r="Z185" s="519"/>
      <c r="AA185" s="519"/>
      <c r="AB185" s="526"/>
      <c r="AC185" s="526"/>
      <c r="AD185" s="658"/>
      <c r="AE185" s="658"/>
      <c r="AF185" s="658"/>
      <c r="AG185" s="526" t="s">
        <v>954</v>
      </c>
      <c r="AH185" s="526"/>
      <c r="AI185" s="659" t="s">
        <v>955</v>
      </c>
      <c r="AJ185" s="659"/>
      <c r="AK185" s="659"/>
      <c r="AL185" s="659"/>
      <c r="AM185" s="659"/>
      <c r="AN185" s="659"/>
      <c r="AO185" s="659"/>
      <c r="AP185" s="659"/>
      <c r="AQ185" s="659"/>
      <c r="AR185" s="659"/>
      <c r="AS185" s="659"/>
      <c r="AT185" s="659"/>
      <c r="AU185" s="659"/>
      <c r="AV185" s="659"/>
      <c r="AW185" s="658">
        <v>1</v>
      </c>
      <c r="AX185" s="658"/>
      <c r="AY185" s="658"/>
      <c r="AZ185" s="658"/>
      <c r="BA185" s="658"/>
      <c r="BB185" s="658"/>
      <c r="BC185" s="658">
        <v>44.2960442960443</v>
      </c>
      <c r="BD185" s="658"/>
      <c r="BE185" s="658"/>
      <c r="BF185" s="658">
        <v>182.49</v>
      </c>
      <c r="BG185" s="658"/>
      <c r="BH185" s="658"/>
      <c r="BI185" s="567">
        <v>0.242731351285245</v>
      </c>
      <c r="BJ185" s="567"/>
      <c r="BK185" s="567"/>
      <c r="BL185" s="567"/>
      <c r="BM185" s="660" t="s">
        <v>932</v>
      </c>
      <c r="BN185" s="660"/>
      <c r="BO185" s="660"/>
      <c r="BP185" s="660"/>
      <c r="BQ185" s="568" t="s">
        <v>932</v>
      </c>
      <c r="BR185" s="568"/>
      <c r="BS185" s="568"/>
      <c r="BT185" s="660" t="s">
        <v>932</v>
      </c>
      <c r="BU185" s="660"/>
      <c r="BV185" s="660"/>
      <c r="BW185" s="660"/>
      <c r="BX185" s="568" t="s">
        <v>932</v>
      </c>
      <c r="BY185" s="568"/>
      <c r="BZ185" s="568"/>
      <c r="CA185" s="660">
        <v>0.242731351285245</v>
      </c>
      <c r="CB185" s="660"/>
      <c r="CC185" s="660"/>
      <c r="CD185" s="660"/>
      <c r="CE185" s="568">
        <v>1</v>
      </c>
      <c r="CF185" s="568"/>
      <c r="CG185" s="568"/>
      <c r="CH185" s="660" t="s">
        <v>932</v>
      </c>
      <c r="CI185" s="660"/>
      <c r="CJ185" s="660"/>
      <c r="CK185" s="660"/>
      <c r="CL185" s="568" t="s">
        <v>932</v>
      </c>
      <c r="CM185" s="568"/>
      <c r="CN185" s="568"/>
    </row>
    <row r="186" hidden="1" customHeight="1" spans="1:92">
      <c r="A186" s="612"/>
      <c r="B186" s="612"/>
      <c r="C186" s="518"/>
      <c r="D186" s="518"/>
      <c r="E186" s="518"/>
      <c r="F186" s="657"/>
      <c r="G186" s="657"/>
      <c r="H186" s="657"/>
      <c r="I186" s="519"/>
      <c r="J186" s="519"/>
      <c r="K186" s="519"/>
      <c r="L186" s="519"/>
      <c r="M186" s="519"/>
      <c r="N186" s="519"/>
      <c r="O186" s="519"/>
      <c r="P186" s="519"/>
      <c r="Q186" s="519"/>
      <c r="R186" s="519"/>
      <c r="S186" s="519"/>
      <c r="T186" s="519"/>
      <c r="U186" s="519"/>
      <c r="V186" s="519"/>
      <c r="W186" s="519"/>
      <c r="X186" s="519"/>
      <c r="Y186" s="519"/>
      <c r="Z186" s="519"/>
      <c r="AA186" s="519"/>
      <c r="AB186" s="526"/>
      <c r="AC186" s="526"/>
      <c r="AD186" s="658"/>
      <c r="AE186" s="658"/>
      <c r="AF186" s="658"/>
      <c r="AG186" s="526">
        <v>0</v>
      </c>
      <c r="AH186" s="526"/>
      <c r="AI186" s="659" t="e">
        <v>#N/A</v>
      </c>
      <c r="AJ186" s="659"/>
      <c r="AK186" s="659"/>
      <c r="AL186" s="659"/>
      <c r="AM186" s="659"/>
      <c r="AN186" s="659"/>
      <c r="AO186" s="659"/>
      <c r="AP186" s="659"/>
      <c r="AQ186" s="659"/>
      <c r="AR186" s="659"/>
      <c r="AS186" s="659"/>
      <c r="AT186" s="659"/>
      <c r="AU186" s="659"/>
      <c r="AV186" s="659"/>
      <c r="AW186" s="658">
        <v>0</v>
      </c>
      <c r="AX186" s="658"/>
      <c r="AY186" s="658"/>
      <c r="AZ186" s="658"/>
      <c r="BA186" s="658"/>
      <c r="BB186" s="658"/>
      <c r="BC186" s="658">
        <v>0</v>
      </c>
      <c r="BD186" s="658"/>
      <c r="BE186" s="658"/>
      <c r="BF186" s="658">
        <v>182.49</v>
      </c>
      <c r="BG186" s="658"/>
      <c r="BH186" s="658"/>
      <c r="BI186" s="567">
        <v>0</v>
      </c>
      <c r="BJ186" s="567"/>
      <c r="BK186" s="567"/>
      <c r="BL186" s="567"/>
      <c r="BM186" s="660" t="s">
        <v>932</v>
      </c>
      <c r="BN186" s="660"/>
      <c r="BO186" s="660"/>
      <c r="BP186" s="660"/>
      <c r="BQ186" s="568" t="s">
        <v>932</v>
      </c>
      <c r="BR186" s="568"/>
      <c r="BS186" s="568"/>
      <c r="BT186" s="660" t="s">
        <v>932</v>
      </c>
      <c r="BU186" s="660"/>
      <c r="BV186" s="660"/>
      <c r="BW186" s="660"/>
      <c r="BX186" s="568" t="s">
        <v>932</v>
      </c>
      <c r="BY186" s="568"/>
      <c r="BZ186" s="568"/>
      <c r="CA186" s="660" t="s">
        <v>932</v>
      </c>
      <c r="CB186" s="660"/>
      <c r="CC186" s="660"/>
      <c r="CD186" s="660"/>
      <c r="CE186" s="568">
        <v>1</v>
      </c>
      <c r="CF186" s="568"/>
      <c r="CG186" s="568"/>
      <c r="CH186" s="660" t="s">
        <v>932</v>
      </c>
      <c r="CI186" s="660"/>
      <c r="CJ186" s="660"/>
      <c r="CK186" s="660"/>
      <c r="CL186" s="568" t="s">
        <v>932</v>
      </c>
      <c r="CM186" s="568"/>
      <c r="CN186" s="568"/>
    </row>
    <row r="187" hidden="1" customHeight="1" spans="1:92">
      <c r="A187" s="612"/>
      <c r="B187" s="612"/>
      <c r="C187" s="518"/>
      <c r="D187" s="518"/>
      <c r="E187" s="518"/>
      <c r="F187" s="657"/>
      <c r="G187" s="657"/>
      <c r="H187" s="657"/>
      <c r="I187" s="519"/>
      <c r="J187" s="519"/>
      <c r="K187" s="519"/>
      <c r="L187" s="519"/>
      <c r="M187" s="519"/>
      <c r="N187" s="519"/>
      <c r="O187" s="519"/>
      <c r="P187" s="519"/>
      <c r="Q187" s="519"/>
      <c r="R187" s="519"/>
      <c r="S187" s="519"/>
      <c r="T187" s="519"/>
      <c r="U187" s="519"/>
      <c r="V187" s="519"/>
      <c r="W187" s="519"/>
      <c r="X187" s="519"/>
      <c r="Y187" s="519"/>
      <c r="Z187" s="519"/>
      <c r="AA187" s="519"/>
      <c r="AB187" s="526"/>
      <c r="AC187" s="526"/>
      <c r="AD187" s="658"/>
      <c r="AE187" s="658"/>
      <c r="AF187" s="658"/>
      <c r="AG187" s="526">
        <v>0</v>
      </c>
      <c r="AH187" s="526"/>
      <c r="AI187" s="659" t="e">
        <v>#N/A</v>
      </c>
      <c r="AJ187" s="659"/>
      <c r="AK187" s="659"/>
      <c r="AL187" s="659"/>
      <c r="AM187" s="659"/>
      <c r="AN187" s="659"/>
      <c r="AO187" s="659"/>
      <c r="AP187" s="659"/>
      <c r="AQ187" s="659"/>
      <c r="AR187" s="659"/>
      <c r="AS187" s="659"/>
      <c r="AT187" s="659"/>
      <c r="AU187" s="659"/>
      <c r="AV187" s="659"/>
      <c r="AW187" s="658">
        <v>0</v>
      </c>
      <c r="AX187" s="658"/>
      <c r="AY187" s="658"/>
      <c r="AZ187" s="658"/>
      <c r="BA187" s="658"/>
      <c r="BB187" s="658"/>
      <c r="BC187" s="658">
        <v>0</v>
      </c>
      <c r="BD187" s="658"/>
      <c r="BE187" s="658"/>
      <c r="BF187" s="658">
        <v>182.49</v>
      </c>
      <c r="BG187" s="658"/>
      <c r="BH187" s="658"/>
      <c r="BI187" s="567">
        <v>0</v>
      </c>
      <c r="BJ187" s="567"/>
      <c r="BK187" s="567"/>
      <c r="BL187" s="567"/>
      <c r="BM187" s="660" t="s">
        <v>932</v>
      </c>
      <c r="BN187" s="660"/>
      <c r="BO187" s="660"/>
      <c r="BP187" s="660"/>
      <c r="BQ187" s="568" t="s">
        <v>932</v>
      </c>
      <c r="BR187" s="568"/>
      <c r="BS187" s="568"/>
      <c r="BT187" s="660" t="s">
        <v>932</v>
      </c>
      <c r="BU187" s="660"/>
      <c r="BV187" s="660"/>
      <c r="BW187" s="660"/>
      <c r="BX187" s="568" t="s">
        <v>932</v>
      </c>
      <c r="BY187" s="568"/>
      <c r="BZ187" s="568"/>
      <c r="CA187" s="660" t="s">
        <v>932</v>
      </c>
      <c r="CB187" s="660"/>
      <c r="CC187" s="660"/>
      <c r="CD187" s="660"/>
      <c r="CE187" s="568">
        <v>1</v>
      </c>
      <c r="CF187" s="568"/>
      <c r="CG187" s="568"/>
      <c r="CH187" s="660" t="s">
        <v>932</v>
      </c>
      <c r="CI187" s="660"/>
      <c r="CJ187" s="660"/>
      <c r="CK187" s="660"/>
      <c r="CL187" s="568" t="s">
        <v>932</v>
      </c>
      <c r="CM187" s="568"/>
      <c r="CN187" s="568"/>
    </row>
    <row r="188" hidden="1" customHeight="1" spans="1:92">
      <c r="A188" s="612"/>
      <c r="B188" s="612"/>
      <c r="C188" s="518"/>
      <c r="D188" s="518"/>
      <c r="E188" s="518"/>
      <c r="F188" s="657"/>
      <c r="G188" s="657"/>
      <c r="H188" s="657"/>
      <c r="I188" s="519"/>
      <c r="J188" s="519"/>
      <c r="K188" s="519"/>
      <c r="L188" s="519"/>
      <c r="M188" s="519"/>
      <c r="N188" s="519"/>
      <c r="O188" s="519"/>
      <c r="P188" s="519"/>
      <c r="Q188" s="519"/>
      <c r="R188" s="519"/>
      <c r="S188" s="519"/>
      <c r="T188" s="519"/>
      <c r="U188" s="519"/>
      <c r="V188" s="519"/>
      <c r="W188" s="519"/>
      <c r="X188" s="519"/>
      <c r="Y188" s="519"/>
      <c r="Z188" s="519"/>
      <c r="AA188" s="519"/>
      <c r="AB188" s="526"/>
      <c r="AC188" s="526"/>
      <c r="AD188" s="658"/>
      <c r="AE188" s="658"/>
      <c r="AF188" s="658"/>
      <c r="AG188" s="526">
        <v>0</v>
      </c>
      <c r="AH188" s="526"/>
      <c r="AI188" s="659" t="e">
        <v>#N/A</v>
      </c>
      <c r="AJ188" s="659"/>
      <c r="AK188" s="659"/>
      <c r="AL188" s="659"/>
      <c r="AM188" s="659"/>
      <c r="AN188" s="659"/>
      <c r="AO188" s="659"/>
      <c r="AP188" s="659"/>
      <c r="AQ188" s="659"/>
      <c r="AR188" s="659"/>
      <c r="AS188" s="659"/>
      <c r="AT188" s="659"/>
      <c r="AU188" s="659"/>
      <c r="AV188" s="659"/>
      <c r="AW188" s="658">
        <v>0</v>
      </c>
      <c r="AX188" s="658"/>
      <c r="AY188" s="658"/>
      <c r="AZ188" s="658"/>
      <c r="BA188" s="658"/>
      <c r="BB188" s="658"/>
      <c r="BC188" s="658">
        <v>0</v>
      </c>
      <c r="BD188" s="658"/>
      <c r="BE188" s="658"/>
      <c r="BF188" s="658">
        <v>182.49</v>
      </c>
      <c r="BG188" s="658"/>
      <c r="BH188" s="658"/>
      <c r="BI188" s="567">
        <v>0</v>
      </c>
      <c r="BJ188" s="567"/>
      <c r="BK188" s="567"/>
      <c r="BL188" s="567"/>
      <c r="BM188" s="660" t="s">
        <v>932</v>
      </c>
      <c r="BN188" s="660"/>
      <c r="BO188" s="660"/>
      <c r="BP188" s="660"/>
      <c r="BQ188" s="568" t="s">
        <v>932</v>
      </c>
      <c r="BR188" s="568"/>
      <c r="BS188" s="568"/>
      <c r="BT188" s="660" t="s">
        <v>932</v>
      </c>
      <c r="BU188" s="660"/>
      <c r="BV188" s="660"/>
      <c r="BW188" s="660"/>
      <c r="BX188" s="568" t="s">
        <v>932</v>
      </c>
      <c r="BY188" s="568"/>
      <c r="BZ188" s="568"/>
      <c r="CA188" s="660" t="s">
        <v>932</v>
      </c>
      <c r="CB188" s="660"/>
      <c r="CC188" s="660"/>
      <c r="CD188" s="660"/>
      <c r="CE188" s="568">
        <v>1</v>
      </c>
      <c r="CF188" s="568"/>
      <c r="CG188" s="568"/>
      <c r="CH188" s="660" t="s">
        <v>932</v>
      </c>
      <c r="CI188" s="660"/>
      <c r="CJ188" s="660"/>
      <c r="CK188" s="660"/>
      <c r="CL188" s="568" t="s">
        <v>932</v>
      </c>
      <c r="CM188" s="568"/>
      <c r="CN188" s="568"/>
    </row>
    <row r="189" hidden="1" customHeight="1" spans="1:92">
      <c r="A189" s="612"/>
      <c r="B189" s="612"/>
      <c r="C189" s="518"/>
      <c r="D189" s="518"/>
      <c r="E189" s="518"/>
      <c r="F189" s="657"/>
      <c r="G189" s="657"/>
      <c r="H189" s="657"/>
      <c r="I189" s="519"/>
      <c r="J189" s="519"/>
      <c r="K189" s="519"/>
      <c r="L189" s="519"/>
      <c r="M189" s="519"/>
      <c r="N189" s="519"/>
      <c r="O189" s="519"/>
      <c r="P189" s="519"/>
      <c r="Q189" s="519"/>
      <c r="R189" s="519"/>
      <c r="S189" s="519"/>
      <c r="T189" s="519"/>
      <c r="U189" s="519"/>
      <c r="V189" s="519"/>
      <c r="W189" s="519"/>
      <c r="X189" s="519"/>
      <c r="Y189" s="519"/>
      <c r="Z189" s="519"/>
      <c r="AA189" s="519"/>
      <c r="AB189" s="526"/>
      <c r="AC189" s="526"/>
      <c r="AD189" s="658"/>
      <c r="AE189" s="658"/>
      <c r="AF189" s="658"/>
      <c r="AG189" s="526">
        <v>0</v>
      </c>
      <c r="AH189" s="526"/>
      <c r="AI189" s="659" t="e">
        <v>#N/A</v>
      </c>
      <c r="AJ189" s="659"/>
      <c r="AK189" s="659"/>
      <c r="AL189" s="659"/>
      <c r="AM189" s="659"/>
      <c r="AN189" s="659"/>
      <c r="AO189" s="659"/>
      <c r="AP189" s="659"/>
      <c r="AQ189" s="659"/>
      <c r="AR189" s="659"/>
      <c r="AS189" s="659"/>
      <c r="AT189" s="659"/>
      <c r="AU189" s="659"/>
      <c r="AV189" s="659"/>
      <c r="AW189" s="658">
        <v>0</v>
      </c>
      <c r="AX189" s="658"/>
      <c r="AY189" s="658"/>
      <c r="AZ189" s="658"/>
      <c r="BA189" s="658"/>
      <c r="BB189" s="658"/>
      <c r="BC189" s="658">
        <v>0</v>
      </c>
      <c r="BD189" s="658"/>
      <c r="BE189" s="658"/>
      <c r="BF189" s="658">
        <v>182.49</v>
      </c>
      <c r="BG189" s="658"/>
      <c r="BH189" s="658"/>
      <c r="BI189" s="567">
        <v>0</v>
      </c>
      <c r="BJ189" s="567"/>
      <c r="BK189" s="567"/>
      <c r="BL189" s="567"/>
      <c r="BM189" s="660" t="s">
        <v>932</v>
      </c>
      <c r="BN189" s="660"/>
      <c r="BO189" s="660"/>
      <c r="BP189" s="660"/>
      <c r="BQ189" s="568" t="s">
        <v>932</v>
      </c>
      <c r="BR189" s="568"/>
      <c r="BS189" s="568"/>
      <c r="BT189" s="660" t="s">
        <v>932</v>
      </c>
      <c r="BU189" s="660"/>
      <c r="BV189" s="660"/>
      <c r="BW189" s="660"/>
      <c r="BX189" s="568" t="s">
        <v>932</v>
      </c>
      <c r="BY189" s="568"/>
      <c r="BZ189" s="568"/>
      <c r="CA189" s="660" t="s">
        <v>932</v>
      </c>
      <c r="CB189" s="660"/>
      <c r="CC189" s="660"/>
      <c r="CD189" s="660"/>
      <c r="CE189" s="568">
        <v>1</v>
      </c>
      <c r="CF189" s="568"/>
      <c r="CG189" s="568"/>
      <c r="CH189" s="660" t="s">
        <v>932</v>
      </c>
      <c r="CI189" s="660"/>
      <c r="CJ189" s="660"/>
      <c r="CK189" s="660"/>
      <c r="CL189" s="568" t="s">
        <v>932</v>
      </c>
      <c r="CM189" s="568"/>
      <c r="CN189" s="568"/>
    </row>
    <row r="190" hidden="1" customHeight="1" spans="1:92">
      <c r="A190" s="612"/>
      <c r="B190" s="612"/>
      <c r="C190" s="518"/>
      <c r="D190" s="518"/>
      <c r="E190" s="518"/>
      <c r="F190" s="657"/>
      <c r="G190" s="657"/>
      <c r="H190" s="657"/>
      <c r="I190" s="519"/>
      <c r="J190" s="519"/>
      <c r="K190" s="519"/>
      <c r="L190" s="519"/>
      <c r="M190" s="519"/>
      <c r="N190" s="519"/>
      <c r="O190" s="519"/>
      <c r="P190" s="519"/>
      <c r="Q190" s="519"/>
      <c r="R190" s="519"/>
      <c r="S190" s="519"/>
      <c r="T190" s="519"/>
      <c r="U190" s="519"/>
      <c r="V190" s="519"/>
      <c r="W190" s="519"/>
      <c r="X190" s="519"/>
      <c r="Y190" s="519"/>
      <c r="Z190" s="519"/>
      <c r="AA190" s="519"/>
      <c r="AB190" s="526"/>
      <c r="AC190" s="526"/>
      <c r="AD190" s="658"/>
      <c r="AE190" s="658"/>
      <c r="AF190" s="658"/>
      <c r="AG190" s="526">
        <v>0</v>
      </c>
      <c r="AH190" s="526"/>
      <c r="AI190" s="659" t="e">
        <v>#N/A</v>
      </c>
      <c r="AJ190" s="659"/>
      <c r="AK190" s="659"/>
      <c r="AL190" s="659"/>
      <c r="AM190" s="659"/>
      <c r="AN190" s="659"/>
      <c r="AO190" s="659"/>
      <c r="AP190" s="659"/>
      <c r="AQ190" s="659"/>
      <c r="AR190" s="659"/>
      <c r="AS190" s="659"/>
      <c r="AT190" s="659"/>
      <c r="AU190" s="659"/>
      <c r="AV190" s="659"/>
      <c r="AW190" s="658">
        <v>0</v>
      </c>
      <c r="AX190" s="658"/>
      <c r="AY190" s="658"/>
      <c r="AZ190" s="658"/>
      <c r="BA190" s="658"/>
      <c r="BB190" s="658"/>
      <c r="BC190" s="658">
        <v>0</v>
      </c>
      <c r="BD190" s="658"/>
      <c r="BE190" s="658"/>
      <c r="BF190" s="658">
        <v>182.49</v>
      </c>
      <c r="BG190" s="658"/>
      <c r="BH190" s="658"/>
      <c r="BI190" s="567">
        <v>0</v>
      </c>
      <c r="BJ190" s="567"/>
      <c r="BK190" s="567"/>
      <c r="BL190" s="567"/>
      <c r="BM190" s="660" t="s">
        <v>932</v>
      </c>
      <c r="BN190" s="660"/>
      <c r="BO190" s="660"/>
      <c r="BP190" s="660"/>
      <c r="BQ190" s="568" t="s">
        <v>932</v>
      </c>
      <c r="BR190" s="568"/>
      <c r="BS190" s="568"/>
      <c r="BT190" s="660" t="s">
        <v>932</v>
      </c>
      <c r="BU190" s="660"/>
      <c r="BV190" s="660"/>
      <c r="BW190" s="660"/>
      <c r="BX190" s="568" t="s">
        <v>932</v>
      </c>
      <c r="BY190" s="568"/>
      <c r="BZ190" s="568"/>
      <c r="CA190" s="660" t="s">
        <v>932</v>
      </c>
      <c r="CB190" s="660"/>
      <c r="CC190" s="660"/>
      <c r="CD190" s="660"/>
      <c r="CE190" s="568">
        <v>1</v>
      </c>
      <c r="CF190" s="568"/>
      <c r="CG190" s="568"/>
      <c r="CH190" s="660" t="s">
        <v>932</v>
      </c>
      <c r="CI190" s="660"/>
      <c r="CJ190" s="660"/>
      <c r="CK190" s="660"/>
      <c r="CL190" s="568" t="s">
        <v>932</v>
      </c>
      <c r="CM190" s="568"/>
      <c r="CN190" s="568"/>
    </row>
    <row r="191" hidden="1" customHeight="1" spans="1:92">
      <c r="A191" s="612"/>
      <c r="B191" s="612"/>
      <c r="C191" s="518"/>
      <c r="D191" s="518"/>
      <c r="E191" s="518"/>
      <c r="F191" s="657"/>
      <c r="G191" s="657"/>
      <c r="H191" s="657"/>
      <c r="I191" s="519"/>
      <c r="J191" s="519"/>
      <c r="K191" s="519"/>
      <c r="L191" s="519"/>
      <c r="M191" s="519"/>
      <c r="N191" s="519"/>
      <c r="O191" s="519"/>
      <c r="P191" s="519"/>
      <c r="Q191" s="519"/>
      <c r="R191" s="519"/>
      <c r="S191" s="519"/>
      <c r="T191" s="519"/>
      <c r="U191" s="519"/>
      <c r="V191" s="519"/>
      <c r="W191" s="519"/>
      <c r="X191" s="519"/>
      <c r="Y191" s="519"/>
      <c r="Z191" s="519"/>
      <c r="AA191" s="519"/>
      <c r="AB191" s="526"/>
      <c r="AC191" s="526"/>
      <c r="AD191" s="658"/>
      <c r="AE191" s="658"/>
      <c r="AF191" s="658"/>
      <c r="AG191" s="526">
        <v>0</v>
      </c>
      <c r="AH191" s="526"/>
      <c r="AI191" s="659" t="e">
        <v>#N/A</v>
      </c>
      <c r="AJ191" s="659"/>
      <c r="AK191" s="659"/>
      <c r="AL191" s="659"/>
      <c r="AM191" s="659"/>
      <c r="AN191" s="659"/>
      <c r="AO191" s="659"/>
      <c r="AP191" s="659"/>
      <c r="AQ191" s="659"/>
      <c r="AR191" s="659"/>
      <c r="AS191" s="659"/>
      <c r="AT191" s="659"/>
      <c r="AU191" s="659"/>
      <c r="AV191" s="659"/>
      <c r="AW191" s="658">
        <v>0</v>
      </c>
      <c r="AX191" s="658"/>
      <c r="AY191" s="658"/>
      <c r="AZ191" s="658"/>
      <c r="BA191" s="658"/>
      <c r="BB191" s="658"/>
      <c r="BC191" s="658">
        <v>0</v>
      </c>
      <c r="BD191" s="658"/>
      <c r="BE191" s="658"/>
      <c r="BF191" s="658">
        <v>182.49</v>
      </c>
      <c r="BG191" s="658"/>
      <c r="BH191" s="658"/>
      <c r="BI191" s="567">
        <v>0</v>
      </c>
      <c r="BJ191" s="567"/>
      <c r="BK191" s="567"/>
      <c r="BL191" s="567"/>
      <c r="BM191" s="660" t="s">
        <v>932</v>
      </c>
      <c r="BN191" s="660"/>
      <c r="BO191" s="660"/>
      <c r="BP191" s="660"/>
      <c r="BQ191" s="568" t="s">
        <v>932</v>
      </c>
      <c r="BR191" s="568"/>
      <c r="BS191" s="568"/>
      <c r="BT191" s="660" t="s">
        <v>932</v>
      </c>
      <c r="BU191" s="660"/>
      <c r="BV191" s="660"/>
      <c r="BW191" s="660"/>
      <c r="BX191" s="568" t="s">
        <v>932</v>
      </c>
      <c r="BY191" s="568"/>
      <c r="BZ191" s="568"/>
      <c r="CA191" s="660" t="s">
        <v>932</v>
      </c>
      <c r="CB191" s="660"/>
      <c r="CC191" s="660"/>
      <c r="CD191" s="660"/>
      <c r="CE191" s="568">
        <v>1</v>
      </c>
      <c r="CF191" s="568"/>
      <c r="CG191" s="568"/>
      <c r="CH191" s="660" t="s">
        <v>932</v>
      </c>
      <c r="CI191" s="660"/>
      <c r="CJ191" s="660"/>
      <c r="CK191" s="660"/>
      <c r="CL191" s="568" t="s">
        <v>932</v>
      </c>
      <c r="CM191" s="568"/>
      <c r="CN191" s="568"/>
    </row>
    <row r="192" customHeight="1" spans="1:92">
      <c r="A192" s="612" t="s">
        <v>964</v>
      </c>
      <c r="B192" s="612"/>
      <c r="C192" s="518"/>
      <c r="D192" s="518"/>
      <c r="E192" s="518"/>
      <c r="F192" s="657">
        <v>4815671</v>
      </c>
      <c r="G192" s="657"/>
      <c r="H192" s="657"/>
      <c r="I192" s="519" t="s">
        <v>112</v>
      </c>
      <c r="J192" s="519"/>
      <c r="K192" s="519"/>
      <c r="L192" s="519"/>
      <c r="M192" s="519"/>
      <c r="N192" s="519"/>
      <c r="O192" s="519"/>
      <c r="P192" s="519"/>
      <c r="Q192" s="519"/>
      <c r="R192" s="519"/>
      <c r="S192" s="519"/>
      <c r="T192" s="519"/>
      <c r="U192" s="519"/>
      <c r="V192" s="519"/>
      <c r="W192" s="519"/>
      <c r="X192" s="519"/>
      <c r="Y192" s="519"/>
      <c r="Z192" s="519"/>
      <c r="AA192" s="519"/>
      <c r="AB192" s="526" t="s">
        <v>99</v>
      </c>
      <c r="AC192" s="526"/>
      <c r="AD192" s="658">
        <v>56.77</v>
      </c>
      <c r="AE192" s="658"/>
      <c r="AF192" s="658"/>
      <c r="AG192" s="526" t="s">
        <v>935</v>
      </c>
      <c r="AH192" s="526"/>
      <c r="AI192" s="659" t="s">
        <v>936</v>
      </c>
      <c r="AJ192" s="659"/>
      <c r="AK192" s="659"/>
      <c r="AL192" s="659"/>
      <c r="AM192" s="659"/>
      <c r="AN192" s="659"/>
      <c r="AO192" s="659"/>
      <c r="AP192" s="659"/>
      <c r="AQ192" s="659"/>
      <c r="AR192" s="659"/>
      <c r="AS192" s="659"/>
      <c r="AT192" s="659"/>
      <c r="AU192" s="659"/>
      <c r="AV192" s="659"/>
      <c r="AW192" s="658">
        <v>2</v>
      </c>
      <c r="AX192" s="658"/>
      <c r="AY192" s="658"/>
      <c r="AZ192" s="658">
        <v>3.1125</v>
      </c>
      <c r="BA192" s="658"/>
      <c r="BB192" s="658"/>
      <c r="BC192" s="658">
        <v>36.4787148594378</v>
      </c>
      <c r="BD192" s="658"/>
      <c r="BE192" s="658"/>
      <c r="BF192" s="658">
        <v>182.49</v>
      </c>
      <c r="BG192" s="658"/>
      <c r="BH192" s="658"/>
      <c r="BI192" s="567">
        <v>0.199894322206355</v>
      </c>
      <c r="BJ192" s="567"/>
      <c r="BK192" s="567"/>
      <c r="BL192" s="567"/>
      <c r="BM192" s="660" t="s">
        <v>932</v>
      </c>
      <c r="BN192" s="660"/>
      <c r="BO192" s="660"/>
      <c r="BP192" s="660"/>
      <c r="BQ192" s="568" t="s">
        <v>932</v>
      </c>
      <c r="BR192" s="568"/>
      <c r="BS192" s="568"/>
      <c r="BT192" s="660" t="s">
        <v>932</v>
      </c>
      <c r="BU192" s="660"/>
      <c r="BV192" s="660"/>
      <c r="BW192" s="660"/>
      <c r="BX192" s="568" t="s">
        <v>932</v>
      </c>
      <c r="BY192" s="568"/>
      <c r="BZ192" s="568"/>
      <c r="CA192" s="660">
        <v>0.199894322206355</v>
      </c>
      <c r="CB192" s="660"/>
      <c r="CC192" s="660"/>
      <c r="CD192" s="660"/>
      <c r="CE192" s="568">
        <v>1</v>
      </c>
      <c r="CF192" s="568"/>
      <c r="CG192" s="568"/>
      <c r="CH192" s="660" t="s">
        <v>932</v>
      </c>
      <c r="CI192" s="660"/>
      <c r="CJ192" s="660"/>
      <c r="CK192" s="660"/>
      <c r="CL192" s="568" t="s">
        <v>932</v>
      </c>
      <c r="CM192" s="568"/>
      <c r="CN192" s="568"/>
    </row>
    <row r="193" hidden="1" customHeight="1" spans="1:92">
      <c r="A193" s="612"/>
      <c r="B193" s="612"/>
      <c r="C193" s="518"/>
      <c r="D193" s="518"/>
      <c r="E193" s="518"/>
      <c r="F193" s="657"/>
      <c r="G193" s="657"/>
      <c r="H193" s="657"/>
      <c r="I193" s="519"/>
      <c r="J193" s="519"/>
      <c r="K193" s="519"/>
      <c r="L193" s="519"/>
      <c r="M193" s="519"/>
      <c r="N193" s="519"/>
      <c r="O193" s="519"/>
      <c r="P193" s="519"/>
      <c r="Q193" s="519"/>
      <c r="R193" s="519"/>
      <c r="S193" s="519"/>
      <c r="T193" s="519"/>
      <c r="U193" s="519"/>
      <c r="V193" s="519"/>
      <c r="W193" s="519"/>
      <c r="X193" s="519"/>
      <c r="Y193" s="519"/>
      <c r="Z193" s="519"/>
      <c r="AA193" s="519"/>
      <c r="AB193" s="526"/>
      <c r="AC193" s="526"/>
      <c r="AD193" s="658"/>
      <c r="AE193" s="658"/>
      <c r="AF193" s="658"/>
      <c r="AG193" s="526">
        <v>0</v>
      </c>
      <c r="AH193" s="526"/>
      <c r="AI193" s="659" t="e">
        <v>#N/A</v>
      </c>
      <c r="AJ193" s="659"/>
      <c r="AK193" s="659"/>
      <c r="AL193" s="659"/>
      <c r="AM193" s="659"/>
      <c r="AN193" s="659"/>
      <c r="AO193" s="659"/>
      <c r="AP193" s="659"/>
      <c r="AQ193" s="659"/>
      <c r="AR193" s="659"/>
      <c r="AS193" s="659"/>
      <c r="AT193" s="659"/>
      <c r="AU193" s="659"/>
      <c r="AV193" s="659"/>
      <c r="AW193" s="658">
        <v>0</v>
      </c>
      <c r="AX193" s="658"/>
      <c r="AY193" s="658"/>
      <c r="AZ193" s="658"/>
      <c r="BA193" s="658"/>
      <c r="BB193" s="658"/>
      <c r="BC193" s="658">
        <v>0</v>
      </c>
      <c r="BD193" s="658"/>
      <c r="BE193" s="658"/>
      <c r="BF193" s="658">
        <v>182.49</v>
      </c>
      <c r="BG193" s="658"/>
      <c r="BH193" s="658"/>
      <c r="BI193" s="567">
        <v>0</v>
      </c>
      <c r="BJ193" s="567"/>
      <c r="BK193" s="567"/>
      <c r="BL193" s="567"/>
      <c r="BM193" s="660" t="s">
        <v>932</v>
      </c>
      <c r="BN193" s="660"/>
      <c r="BO193" s="660"/>
      <c r="BP193" s="660"/>
      <c r="BQ193" s="568" t="s">
        <v>932</v>
      </c>
      <c r="BR193" s="568"/>
      <c r="BS193" s="568"/>
      <c r="BT193" s="660" t="s">
        <v>932</v>
      </c>
      <c r="BU193" s="660"/>
      <c r="BV193" s="660"/>
      <c r="BW193" s="660"/>
      <c r="BX193" s="568" t="s">
        <v>932</v>
      </c>
      <c r="BY193" s="568"/>
      <c r="BZ193" s="568"/>
      <c r="CA193" s="660" t="s">
        <v>932</v>
      </c>
      <c r="CB193" s="660"/>
      <c r="CC193" s="660"/>
      <c r="CD193" s="660"/>
      <c r="CE193" s="568">
        <v>1</v>
      </c>
      <c r="CF193" s="568"/>
      <c r="CG193" s="568"/>
      <c r="CH193" s="660" t="s">
        <v>932</v>
      </c>
      <c r="CI193" s="660"/>
      <c r="CJ193" s="660"/>
      <c r="CK193" s="660"/>
      <c r="CL193" s="568" t="s">
        <v>932</v>
      </c>
      <c r="CM193" s="568"/>
      <c r="CN193" s="568"/>
    </row>
    <row r="194" hidden="1" customHeight="1" spans="1:92">
      <c r="A194" s="612"/>
      <c r="B194" s="612"/>
      <c r="C194" s="518"/>
      <c r="D194" s="518"/>
      <c r="E194" s="518"/>
      <c r="F194" s="657"/>
      <c r="G194" s="657"/>
      <c r="H194" s="657"/>
      <c r="I194" s="519"/>
      <c r="J194" s="519"/>
      <c r="K194" s="519"/>
      <c r="L194" s="519"/>
      <c r="M194" s="519"/>
      <c r="N194" s="519"/>
      <c r="O194" s="519"/>
      <c r="P194" s="519"/>
      <c r="Q194" s="519"/>
      <c r="R194" s="519"/>
      <c r="S194" s="519"/>
      <c r="T194" s="519"/>
      <c r="U194" s="519"/>
      <c r="V194" s="519"/>
      <c r="W194" s="519"/>
      <c r="X194" s="519"/>
      <c r="Y194" s="519"/>
      <c r="Z194" s="519"/>
      <c r="AA194" s="519"/>
      <c r="AB194" s="526"/>
      <c r="AC194" s="526"/>
      <c r="AD194" s="658"/>
      <c r="AE194" s="658"/>
      <c r="AF194" s="658"/>
      <c r="AG194" s="526">
        <v>0</v>
      </c>
      <c r="AH194" s="526"/>
      <c r="AI194" s="659" t="e">
        <v>#N/A</v>
      </c>
      <c r="AJ194" s="659"/>
      <c r="AK194" s="659"/>
      <c r="AL194" s="659"/>
      <c r="AM194" s="659"/>
      <c r="AN194" s="659"/>
      <c r="AO194" s="659"/>
      <c r="AP194" s="659"/>
      <c r="AQ194" s="659"/>
      <c r="AR194" s="659"/>
      <c r="AS194" s="659"/>
      <c r="AT194" s="659"/>
      <c r="AU194" s="659"/>
      <c r="AV194" s="659"/>
      <c r="AW194" s="658">
        <v>0</v>
      </c>
      <c r="AX194" s="658"/>
      <c r="AY194" s="658"/>
      <c r="AZ194" s="658"/>
      <c r="BA194" s="658"/>
      <c r="BB194" s="658"/>
      <c r="BC194" s="658">
        <v>0</v>
      </c>
      <c r="BD194" s="658"/>
      <c r="BE194" s="658"/>
      <c r="BF194" s="658">
        <v>182.49</v>
      </c>
      <c r="BG194" s="658"/>
      <c r="BH194" s="658"/>
      <c r="BI194" s="567">
        <v>0</v>
      </c>
      <c r="BJ194" s="567"/>
      <c r="BK194" s="567"/>
      <c r="BL194" s="567"/>
      <c r="BM194" s="660" t="s">
        <v>932</v>
      </c>
      <c r="BN194" s="660"/>
      <c r="BO194" s="660"/>
      <c r="BP194" s="660"/>
      <c r="BQ194" s="568" t="s">
        <v>932</v>
      </c>
      <c r="BR194" s="568"/>
      <c r="BS194" s="568"/>
      <c r="BT194" s="660" t="s">
        <v>932</v>
      </c>
      <c r="BU194" s="660"/>
      <c r="BV194" s="660"/>
      <c r="BW194" s="660"/>
      <c r="BX194" s="568" t="s">
        <v>932</v>
      </c>
      <c r="BY194" s="568"/>
      <c r="BZ194" s="568"/>
      <c r="CA194" s="660" t="s">
        <v>932</v>
      </c>
      <c r="CB194" s="660"/>
      <c r="CC194" s="660"/>
      <c r="CD194" s="660"/>
      <c r="CE194" s="568">
        <v>1</v>
      </c>
      <c r="CF194" s="568"/>
      <c r="CG194" s="568"/>
      <c r="CH194" s="660" t="s">
        <v>932</v>
      </c>
      <c r="CI194" s="660"/>
      <c r="CJ194" s="660"/>
      <c r="CK194" s="660"/>
      <c r="CL194" s="568" t="s">
        <v>932</v>
      </c>
      <c r="CM194" s="568"/>
      <c r="CN194" s="568"/>
    </row>
    <row r="195" hidden="1" customHeight="1" spans="1:92">
      <c r="A195" s="612"/>
      <c r="B195" s="612"/>
      <c r="C195" s="518"/>
      <c r="D195" s="518"/>
      <c r="E195" s="518"/>
      <c r="F195" s="657"/>
      <c r="G195" s="657"/>
      <c r="H195" s="657"/>
      <c r="I195" s="519"/>
      <c r="J195" s="519"/>
      <c r="K195" s="519"/>
      <c r="L195" s="519"/>
      <c r="M195" s="519"/>
      <c r="N195" s="519"/>
      <c r="O195" s="519"/>
      <c r="P195" s="519"/>
      <c r="Q195" s="519"/>
      <c r="R195" s="519"/>
      <c r="S195" s="519"/>
      <c r="T195" s="519"/>
      <c r="U195" s="519"/>
      <c r="V195" s="519"/>
      <c r="W195" s="519"/>
      <c r="X195" s="519"/>
      <c r="Y195" s="519"/>
      <c r="Z195" s="519"/>
      <c r="AA195" s="519"/>
      <c r="AB195" s="526"/>
      <c r="AC195" s="526"/>
      <c r="AD195" s="658"/>
      <c r="AE195" s="658"/>
      <c r="AF195" s="658"/>
      <c r="AG195" s="526">
        <v>0</v>
      </c>
      <c r="AH195" s="526"/>
      <c r="AI195" s="659" t="e">
        <v>#N/A</v>
      </c>
      <c r="AJ195" s="659"/>
      <c r="AK195" s="659"/>
      <c r="AL195" s="659"/>
      <c r="AM195" s="659"/>
      <c r="AN195" s="659"/>
      <c r="AO195" s="659"/>
      <c r="AP195" s="659"/>
      <c r="AQ195" s="659"/>
      <c r="AR195" s="659"/>
      <c r="AS195" s="659"/>
      <c r="AT195" s="659"/>
      <c r="AU195" s="659"/>
      <c r="AV195" s="659"/>
      <c r="AW195" s="658">
        <v>0</v>
      </c>
      <c r="AX195" s="658"/>
      <c r="AY195" s="658"/>
      <c r="AZ195" s="658"/>
      <c r="BA195" s="658"/>
      <c r="BB195" s="658"/>
      <c r="BC195" s="658">
        <v>0</v>
      </c>
      <c r="BD195" s="658"/>
      <c r="BE195" s="658"/>
      <c r="BF195" s="658">
        <v>182.49</v>
      </c>
      <c r="BG195" s="658"/>
      <c r="BH195" s="658"/>
      <c r="BI195" s="567">
        <v>0</v>
      </c>
      <c r="BJ195" s="567"/>
      <c r="BK195" s="567"/>
      <c r="BL195" s="567"/>
      <c r="BM195" s="660" t="s">
        <v>932</v>
      </c>
      <c r="BN195" s="660"/>
      <c r="BO195" s="660"/>
      <c r="BP195" s="660"/>
      <c r="BQ195" s="568" t="s">
        <v>932</v>
      </c>
      <c r="BR195" s="568"/>
      <c r="BS195" s="568"/>
      <c r="BT195" s="660" t="s">
        <v>932</v>
      </c>
      <c r="BU195" s="660"/>
      <c r="BV195" s="660"/>
      <c r="BW195" s="660"/>
      <c r="BX195" s="568" t="s">
        <v>932</v>
      </c>
      <c r="BY195" s="568"/>
      <c r="BZ195" s="568"/>
      <c r="CA195" s="660" t="s">
        <v>932</v>
      </c>
      <c r="CB195" s="660"/>
      <c r="CC195" s="660"/>
      <c r="CD195" s="660"/>
      <c r="CE195" s="568">
        <v>1</v>
      </c>
      <c r="CF195" s="568"/>
      <c r="CG195" s="568"/>
      <c r="CH195" s="660" t="s">
        <v>932</v>
      </c>
      <c r="CI195" s="660"/>
      <c r="CJ195" s="660"/>
      <c r="CK195" s="660"/>
      <c r="CL195" s="568" t="s">
        <v>932</v>
      </c>
      <c r="CM195" s="568"/>
      <c r="CN195" s="568"/>
    </row>
    <row r="196" hidden="1" customHeight="1" spans="1:92">
      <c r="A196" s="612"/>
      <c r="B196" s="612"/>
      <c r="C196" s="518"/>
      <c r="D196" s="518"/>
      <c r="E196" s="518"/>
      <c r="F196" s="657"/>
      <c r="G196" s="657"/>
      <c r="H196" s="657"/>
      <c r="I196" s="519"/>
      <c r="J196" s="519"/>
      <c r="K196" s="519"/>
      <c r="L196" s="519"/>
      <c r="M196" s="519"/>
      <c r="N196" s="519"/>
      <c r="O196" s="519"/>
      <c r="P196" s="519"/>
      <c r="Q196" s="519"/>
      <c r="R196" s="519"/>
      <c r="S196" s="519"/>
      <c r="T196" s="519"/>
      <c r="U196" s="519"/>
      <c r="V196" s="519"/>
      <c r="W196" s="519"/>
      <c r="X196" s="519"/>
      <c r="Y196" s="519"/>
      <c r="Z196" s="519"/>
      <c r="AA196" s="519"/>
      <c r="AB196" s="526"/>
      <c r="AC196" s="526"/>
      <c r="AD196" s="658"/>
      <c r="AE196" s="658"/>
      <c r="AF196" s="658"/>
      <c r="AG196" s="526">
        <v>0</v>
      </c>
      <c r="AH196" s="526"/>
      <c r="AI196" s="659" t="e">
        <v>#N/A</v>
      </c>
      <c r="AJ196" s="659"/>
      <c r="AK196" s="659"/>
      <c r="AL196" s="659"/>
      <c r="AM196" s="659"/>
      <c r="AN196" s="659"/>
      <c r="AO196" s="659"/>
      <c r="AP196" s="659"/>
      <c r="AQ196" s="659"/>
      <c r="AR196" s="659"/>
      <c r="AS196" s="659"/>
      <c r="AT196" s="659"/>
      <c r="AU196" s="659"/>
      <c r="AV196" s="659"/>
      <c r="AW196" s="658">
        <v>0</v>
      </c>
      <c r="AX196" s="658"/>
      <c r="AY196" s="658"/>
      <c r="AZ196" s="658"/>
      <c r="BA196" s="658"/>
      <c r="BB196" s="658"/>
      <c r="BC196" s="658">
        <v>0</v>
      </c>
      <c r="BD196" s="658"/>
      <c r="BE196" s="658"/>
      <c r="BF196" s="658">
        <v>182.49</v>
      </c>
      <c r="BG196" s="658"/>
      <c r="BH196" s="658"/>
      <c r="BI196" s="567">
        <v>0</v>
      </c>
      <c r="BJ196" s="567"/>
      <c r="BK196" s="567"/>
      <c r="BL196" s="567"/>
      <c r="BM196" s="660" t="s">
        <v>932</v>
      </c>
      <c r="BN196" s="660"/>
      <c r="BO196" s="660"/>
      <c r="BP196" s="660"/>
      <c r="BQ196" s="568" t="s">
        <v>932</v>
      </c>
      <c r="BR196" s="568"/>
      <c r="BS196" s="568"/>
      <c r="BT196" s="660" t="s">
        <v>932</v>
      </c>
      <c r="BU196" s="660"/>
      <c r="BV196" s="660"/>
      <c r="BW196" s="660"/>
      <c r="BX196" s="568" t="s">
        <v>932</v>
      </c>
      <c r="BY196" s="568"/>
      <c r="BZ196" s="568"/>
      <c r="CA196" s="660" t="s">
        <v>932</v>
      </c>
      <c r="CB196" s="660"/>
      <c r="CC196" s="660"/>
      <c r="CD196" s="660"/>
      <c r="CE196" s="568">
        <v>1</v>
      </c>
      <c r="CF196" s="568"/>
      <c r="CG196" s="568"/>
      <c r="CH196" s="660" t="s">
        <v>932</v>
      </c>
      <c r="CI196" s="660"/>
      <c r="CJ196" s="660"/>
      <c r="CK196" s="660"/>
      <c r="CL196" s="568" t="s">
        <v>932</v>
      </c>
      <c r="CM196" s="568"/>
      <c r="CN196" s="568"/>
    </row>
    <row r="197" hidden="1" customHeight="1" spans="1:92">
      <c r="A197" s="612"/>
      <c r="B197" s="612"/>
      <c r="C197" s="518"/>
      <c r="D197" s="518"/>
      <c r="E197" s="518"/>
      <c r="F197" s="657"/>
      <c r="G197" s="657"/>
      <c r="H197" s="657"/>
      <c r="I197" s="519"/>
      <c r="J197" s="519"/>
      <c r="K197" s="519"/>
      <c r="L197" s="519"/>
      <c r="M197" s="519"/>
      <c r="N197" s="519"/>
      <c r="O197" s="519"/>
      <c r="P197" s="519"/>
      <c r="Q197" s="519"/>
      <c r="R197" s="519"/>
      <c r="S197" s="519"/>
      <c r="T197" s="519"/>
      <c r="U197" s="519"/>
      <c r="V197" s="519"/>
      <c r="W197" s="519"/>
      <c r="X197" s="519"/>
      <c r="Y197" s="519"/>
      <c r="Z197" s="519"/>
      <c r="AA197" s="519"/>
      <c r="AB197" s="526"/>
      <c r="AC197" s="526"/>
      <c r="AD197" s="658"/>
      <c r="AE197" s="658"/>
      <c r="AF197" s="658"/>
      <c r="AG197" s="526">
        <v>0</v>
      </c>
      <c r="AH197" s="526"/>
      <c r="AI197" s="659" t="e">
        <v>#N/A</v>
      </c>
      <c r="AJ197" s="659"/>
      <c r="AK197" s="659"/>
      <c r="AL197" s="659"/>
      <c r="AM197" s="659"/>
      <c r="AN197" s="659"/>
      <c r="AO197" s="659"/>
      <c r="AP197" s="659"/>
      <c r="AQ197" s="659"/>
      <c r="AR197" s="659"/>
      <c r="AS197" s="659"/>
      <c r="AT197" s="659"/>
      <c r="AU197" s="659"/>
      <c r="AV197" s="659"/>
      <c r="AW197" s="658">
        <v>0</v>
      </c>
      <c r="AX197" s="658"/>
      <c r="AY197" s="658"/>
      <c r="AZ197" s="658"/>
      <c r="BA197" s="658"/>
      <c r="BB197" s="658"/>
      <c r="BC197" s="658">
        <v>0</v>
      </c>
      <c r="BD197" s="658"/>
      <c r="BE197" s="658"/>
      <c r="BF197" s="658">
        <v>182.49</v>
      </c>
      <c r="BG197" s="658"/>
      <c r="BH197" s="658"/>
      <c r="BI197" s="567">
        <v>0</v>
      </c>
      <c r="BJ197" s="567"/>
      <c r="BK197" s="567"/>
      <c r="BL197" s="567"/>
      <c r="BM197" s="660" t="s">
        <v>932</v>
      </c>
      <c r="BN197" s="660"/>
      <c r="BO197" s="660"/>
      <c r="BP197" s="660"/>
      <c r="BQ197" s="568" t="s">
        <v>932</v>
      </c>
      <c r="BR197" s="568"/>
      <c r="BS197" s="568"/>
      <c r="BT197" s="660" t="s">
        <v>932</v>
      </c>
      <c r="BU197" s="660"/>
      <c r="BV197" s="660"/>
      <c r="BW197" s="660"/>
      <c r="BX197" s="568" t="s">
        <v>932</v>
      </c>
      <c r="BY197" s="568"/>
      <c r="BZ197" s="568"/>
      <c r="CA197" s="660" t="s">
        <v>932</v>
      </c>
      <c r="CB197" s="660"/>
      <c r="CC197" s="660"/>
      <c r="CD197" s="660"/>
      <c r="CE197" s="568">
        <v>1</v>
      </c>
      <c r="CF197" s="568"/>
      <c r="CG197" s="568"/>
      <c r="CH197" s="660" t="s">
        <v>932</v>
      </c>
      <c r="CI197" s="660"/>
      <c r="CJ197" s="660"/>
      <c r="CK197" s="660"/>
      <c r="CL197" s="568" t="s">
        <v>932</v>
      </c>
      <c r="CM197" s="568"/>
      <c r="CN197" s="568"/>
    </row>
    <row r="198" hidden="1" customHeight="1" spans="1:92">
      <c r="A198" s="612"/>
      <c r="B198" s="612"/>
      <c r="C198" s="518"/>
      <c r="D198" s="518"/>
      <c r="E198" s="518"/>
      <c r="F198" s="657"/>
      <c r="G198" s="657"/>
      <c r="H198" s="657"/>
      <c r="I198" s="519"/>
      <c r="J198" s="519"/>
      <c r="K198" s="519"/>
      <c r="L198" s="519"/>
      <c r="M198" s="519"/>
      <c r="N198" s="519"/>
      <c r="O198" s="519"/>
      <c r="P198" s="519"/>
      <c r="Q198" s="519"/>
      <c r="R198" s="519"/>
      <c r="S198" s="519"/>
      <c r="T198" s="519"/>
      <c r="U198" s="519"/>
      <c r="V198" s="519"/>
      <c r="W198" s="519"/>
      <c r="X198" s="519"/>
      <c r="Y198" s="519"/>
      <c r="Z198" s="519"/>
      <c r="AA198" s="519"/>
      <c r="AB198" s="526"/>
      <c r="AC198" s="526"/>
      <c r="AD198" s="658"/>
      <c r="AE198" s="658"/>
      <c r="AF198" s="658"/>
      <c r="AG198" s="526">
        <v>0</v>
      </c>
      <c r="AH198" s="526"/>
      <c r="AI198" s="659" t="e">
        <v>#N/A</v>
      </c>
      <c r="AJ198" s="659"/>
      <c r="AK198" s="659"/>
      <c r="AL198" s="659"/>
      <c r="AM198" s="659"/>
      <c r="AN198" s="659"/>
      <c r="AO198" s="659"/>
      <c r="AP198" s="659"/>
      <c r="AQ198" s="659"/>
      <c r="AR198" s="659"/>
      <c r="AS198" s="659"/>
      <c r="AT198" s="659"/>
      <c r="AU198" s="659"/>
      <c r="AV198" s="659"/>
      <c r="AW198" s="658">
        <v>0</v>
      </c>
      <c r="AX198" s="658"/>
      <c r="AY198" s="658"/>
      <c r="AZ198" s="658"/>
      <c r="BA198" s="658"/>
      <c r="BB198" s="658"/>
      <c r="BC198" s="658">
        <v>0</v>
      </c>
      <c r="BD198" s="658"/>
      <c r="BE198" s="658"/>
      <c r="BF198" s="658">
        <v>182.49</v>
      </c>
      <c r="BG198" s="658"/>
      <c r="BH198" s="658"/>
      <c r="BI198" s="567">
        <v>0</v>
      </c>
      <c r="BJ198" s="567"/>
      <c r="BK198" s="567"/>
      <c r="BL198" s="567"/>
      <c r="BM198" s="660" t="s">
        <v>932</v>
      </c>
      <c r="BN198" s="660"/>
      <c r="BO198" s="660"/>
      <c r="BP198" s="660"/>
      <c r="BQ198" s="568" t="s">
        <v>932</v>
      </c>
      <c r="BR198" s="568"/>
      <c r="BS198" s="568"/>
      <c r="BT198" s="660" t="s">
        <v>932</v>
      </c>
      <c r="BU198" s="660"/>
      <c r="BV198" s="660"/>
      <c r="BW198" s="660"/>
      <c r="BX198" s="568" t="s">
        <v>932</v>
      </c>
      <c r="BY198" s="568"/>
      <c r="BZ198" s="568"/>
      <c r="CA198" s="660" t="s">
        <v>932</v>
      </c>
      <c r="CB198" s="660"/>
      <c r="CC198" s="660"/>
      <c r="CD198" s="660"/>
      <c r="CE198" s="568">
        <v>1</v>
      </c>
      <c r="CF198" s="568"/>
      <c r="CG198" s="568"/>
      <c r="CH198" s="660" t="s">
        <v>932</v>
      </c>
      <c r="CI198" s="660"/>
      <c r="CJ198" s="660"/>
      <c r="CK198" s="660"/>
      <c r="CL198" s="568" t="s">
        <v>932</v>
      </c>
      <c r="CM198" s="568"/>
      <c r="CN198" s="568"/>
    </row>
    <row r="199" hidden="1" customHeight="1" spans="1:92">
      <c r="A199" s="612"/>
      <c r="B199" s="612"/>
      <c r="C199" s="518"/>
      <c r="D199" s="518"/>
      <c r="E199" s="518"/>
      <c r="F199" s="657"/>
      <c r="G199" s="657"/>
      <c r="H199" s="657"/>
      <c r="I199" s="519"/>
      <c r="J199" s="519"/>
      <c r="K199" s="519"/>
      <c r="L199" s="519"/>
      <c r="M199" s="519"/>
      <c r="N199" s="519"/>
      <c r="O199" s="519"/>
      <c r="P199" s="519"/>
      <c r="Q199" s="519"/>
      <c r="R199" s="519"/>
      <c r="S199" s="519"/>
      <c r="T199" s="519"/>
      <c r="U199" s="519"/>
      <c r="V199" s="519"/>
      <c r="W199" s="519"/>
      <c r="X199" s="519"/>
      <c r="Y199" s="519"/>
      <c r="Z199" s="519"/>
      <c r="AA199" s="519"/>
      <c r="AB199" s="526"/>
      <c r="AC199" s="526"/>
      <c r="AD199" s="658"/>
      <c r="AE199" s="658"/>
      <c r="AF199" s="658"/>
      <c r="AG199" s="526">
        <v>0</v>
      </c>
      <c r="AH199" s="526"/>
      <c r="AI199" s="659" t="e">
        <v>#N/A</v>
      </c>
      <c r="AJ199" s="659"/>
      <c r="AK199" s="659"/>
      <c r="AL199" s="659"/>
      <c r="AM199" s="659"/>
      <c r="AN199" s="659"/>
      <c r="AO199" s="659"/>
      <c r="AP199" s="659"/>
      <c r="AQ199" s="659"/>
      <c r="AR199" s="659"/>
      <c r="AS199" s="659"/>
      <c r="AT199" s="659"/>
      <c r="AU199" s="659"/>
      <c r="AV199" s="659"/>
      <c r="AW199" s="658">
        <v>0</v>
      </c>
      <c r="AX199" s="658"/>
      <c r="AY199" s="658"/>
      <c r="AZ199" s="658"/>
      <c r="BA199" s="658"/>
      <c r="BB199" s="658"/>
      <c r="BC199" s="658">
        <v>0</v>
      </c>
      <c r="BD199" s="658"/>
      <c r="BE199" s="658"/>
      <c r="BF199" s="658">
        <v>182.49</v>
      </c>
      <c r="BG199" s="658"/>
      <c r="BH199" s="658"/>
      <c r="BI199" s="567">
        <v>0</v>
      </c>
      <c r="BJ199" s="567"/>
      <c r="BK199" s="567"/>
      <c r="BL199" s="567"/>
      <c r="BM199" s="660" t="s">
        <v>932</v>
      </c>
      <c r="BN199" s="660"/>
      <c r="BO199" s="660"/>
      <c r="BP199" s="660"/>
      <c r="BQ199" s="568" t="s">
        <v>932</v>
      </c>
      <c r="BR199" s="568"/>
      <c r="BS199" s="568"/>
      <c r="BT199" s="660" t="s">
        <v>932</v>
      </c>
      <c r="BU199" s="660"/>
      <c r="BV199" s="660"/>
      <c r="BW199" s="660"/>
      <c r="BX199" s="568" t="s">
        <v>932</v>
      </c>
      <c r="BY199" s="568"/>
      <c r="BZ199" s="568"/>
      <c r="CA199" s="660" t="s">
        <v>932</v>
      </c>
      <c r="CB199" s="660"/>
      <c r="CC199" s="660"/>
      <c r="CD199" s="660"/>
      <c r="CE199" s="568">
        <v>1</v>
      </c>
      <c r="CF199" s="568"/>
      <c r="CG199" s="568"/>
      <c r="CH199" s="660" t="s">
        <v>932</v>
      </c>
      <c r="CI199" s="660"/>
      <c r="CJ199" s="660"/>
      <c r="CK199" s="660"/>
      <c r="CL199" s="568" t="s">
        <v>932</v>
      </c>
      <c r="CM199" s="568"/>
      <c r="CN199" s="568"/>
    </row>
    <row r="200" customHeight="1" spans="1:92">
      <c r="A200" s="612" t="s">
        <v>965</v>
      </c>
      <c r="B200" s="612"/>
      <c r="C200" s="518"/>
      <c r="D200" s="518"/>
      <c r="E200" s="518"/>
      <c r="F200" s="657">
        <v>1505860</v>
      </c>
      <c r="G200" s="657"/>
      <c r="H200" s="657"/>
      <c r="I200" s="519" t="s">
        <v>113</v>
      </c>
      <c r="J200" s="519"/>
      <c r="K200" s="519"/>
      <c r="L200" s="519"/>
      <c r="M200" s="519"/>
      <c r="N200" s="519"/>
      <c r="O200" s="519"/>
      <c r="P200" s="519"/>
      <c r="Q200" s="519"/>
      <c r="R200" s="519"/>
      <c r="S200" s="519"/>
      <c r="T200" s="519"/>
      <c r="U200" s="519"/>
      <c r="V200" s="519"/>
      <c r="W200" s="519"/>
      <c r="X200" s="519"/>
      <c r="Y200" s="519"/>
      <c r="Z200" s="519"/>
      <c r="AA200" s="519"/>
      <c r="AB200" s="526" t="s">
        <v>99</v>
      </c>
      <c r="AC200" s="526"/>
      <c r="AD200" s="658">
        <v>3.3</v>
      </c>
      <c r="AE200" s="658"/>
      <c r="AF200" s="658"/>
      <c r="AG200" s="526" t="s">
        <v>946</v>
      </c>
      <c r="AH200" s="526"/>
      <c r="AI200" s="659" t="s">
        <v>947</v>
      </c>
      <c r="AJ200" s="659"/>
      <c r="AK200" s="659"/>
      <c r="AL200" s="659"/>
      <c r="AM200" s="659"/>
      <c r="AN200" s="659"/>
      <c r="AO200" s="659"/>
      <c r="AP200" s="659"/>
      <c r="AQ200" s="659"/>
      <c r="AR200" s="659"/>
      <c r="AS200" s="659"/>
      <c r="AT200" s="659"/>
      <c r="AU200" s="659"/>
      <c r="AV200" s="659"/>
      <c r="AW200" s="658">
        <v>1</v>
      </c>
      <c r="AX200" s="658"/>
      <c r="AY200" s="658"/>
      <c r="AZ200" s="658">
        <v>4</v>
      </c>
      <c r="BA200" s="658"/>
      <c r="BB200" s="658"/>
      <c r="BC200" s="658">
        <v>0.825</v>
      </c>
      <c r="BD200" s="658"/>
      <c r="BE200" s="658"/>
      <c r="BF200" s="658">
        <v>182.49</v>
      </c>
      <c r="BG200" s="658"/>
      <c r="BH200" s="658"/>
      <c r="BI200" s="567">
        <v>0.00452079566003617</v>
      </c>
      <c r="BJ200" s="567"/>
      <c r="BK200" s="567"/>
      <c r="BL200" s="567"/>
      <c r="BM200" s="660" t="s">
        <v>932</v>
      </c>
      <c r="BN200" s="660"/>
      <c r="BO200" s="660"/>
      <c r="BP200" s="660"/>
      <c r="BQ200" s="568" t="s">
        <v>932</v>
      </c>
      <c r="BR200" s="568"/>
      <c r="BS200" s="568"/>
      <c r="BT200" s="660" t="s">
        <v>932</v>
      </c>
      <c r="BU200" s="660"/>
      <c r="BV200" s="660"/>
      <c r="BW200" s="660"/>
      <c r="BX200" s="568" t="s">
        <v>932</v>
      </c>
      <c r="BY200" s="568"/>
      <c r="BZ200" s="568"/>
      <c r="CA200" s="660">
        <v>0.00452079566003617</v>
      </c>
      <c r="CB200" s="660"/>
      <c r="CC200" s="660"/>
      <c r="CD200" s="660"/>
      <c r="CE200" s="568">
        <v>1</v>
      </c>
      <c r="CF200" s="568"/>
      <c r="CG200" s="568"/>
      <c r="CH200" s="660" t="s">
        <v>932</v>
      </c>
      <c r="CI200" s="660"/>
      <c r="CJ200" s="660"/>
      <c r="CK200" s="660"/>
      <c r="CL200" s="568" t="s">
        <v>932</v>
      </c>
      <c r="CM200" s="568"/>
      <c r="CN200" s="568"/>
    </row>
    <row r="201" customHeight="1" spans="1:92">
      <c r="A201" s="612"/>
      <c r="B201" s="612"/>
      <c r="C201" s="518"/>
      <c r="D201" s="518"/>
      <c r="E201" s="518"/>
      <c r="F201" s="657"/>
      <c r="G201" s="657"/>
      <c r="H201" s="657"/>
      <c r="I201" s="519"/>
      <c r="J201" s="519"/>
      <c r="K201" s="519"/>
      <c r="L201" s="519"/>
      <c r="M201" s="519"/>
      <c r="N201" s="519"/>
      <c r="O201" s="519"/>
      <c r="P201" s="519"/>
      <c r="Q201" s="519"/>
      <c r="R201" s="519"/>
      <c r="S201" s="519"/>
      <c r="T201" s="519"/>
      <c r="U201" s="519"/>
      <c r="V201" s="519"/>
      <c r="W201" s="519"/>
      <c r="X201" s="519"/>
      <c r="Y201" s="519"/>
      <c r="Z201" s="519"/>
      <c r="AA201" s="519"/>
      <c r="AB201" s="526"/>
      <c r="AC201" s="526"/>
      <c r="AD201" s="658"/>
      <c r="AE201" s="658"/>
      <c r="AF201" s="658"/>
      <c r="AG201" s="526" t="s">
        <v>935</v>
      </c>
      <c r="AH201" s="526"/>
      <c r="AI201" s="659" t="s">
        <v>936</v>
      </c>
      <c r="AJ201" s="659"/>
      <c r="AK201" s="659"/>
      <c r="AL201" s="659"/>
      <c r="AM201" s="659"/>
      <c r="AN201" s="659"/>
      <c r="AO201" s="659"/>
      <c r="AP201" s="659"/>
      <c r="AQ201" s="659"/>
      <c r="AR201" s="659"/>
      <c r="AS201" s="659"/>
      <c r="AT201" s="659"/>
      <c r="AU201" s="659"/>
      <c r="AV201" s="659"/>
      <c r="AW201" s="658">
        <v>8</v>
      </c>
      <c r="AX201" s="658"/>
      <c r="AY201" s="658"/>
      <c r="AZ201" s="658"/>
      <c r="BA201" s="658"/>
      <c r="BB201" s="658"/>
      <c r="BC201" s="658">
        <v>6.6</v>
      </c>
      <c r="BD201" s="658"/>
      <c r="BE201" s="658"/>
      <c r="BF201" s="658">
        <v>182.49</v>
      </c>
      <c r="BG201" s="658"/>
      <c r="BH201" s="658"/>
      <c r="BI201" s="567">
        <v>0.0361663652802893</v>
      </c>
      <c r="BJ201" s="567"/>
      <c r="BK201" s="567"/>
      <c r="BL201" s="567"/>
      <c r="BM201" s="660" t="s">
        <v>932</v>
      </c>
      <c r="BN201" s="660"/>
      <c r="BO201" s="660"/>
      <c r="BP201" s="660"/>
      <c r="BQ201" s="568" t="s">
        <v>932</v>
      </c>
      <c r="BR201" s="568"/>
      <c r="BS201" s="568"/>
      <c r="BT201" s="660" t="s">
        <v>932</v>
      </c>
      <c r="BU201" s="660"/>
      <c r="BV201" s="660"/>
      <c r="BW201" s="660"/>
      <c r="BX201" s="568" t="s">
        <v>932</v>
      </c>
      <c r="BY201" s="568"/>
      <c r="BZ201" s="568"/>
      <c r="CA201" s="660">
        <v>0.0361663652802893</v>
      </c>
      <c r="CB201" s="660"/>
      <c r="CC201" s="660"/>
      <c r="CD201" s="660"/>
      <c r="CE201" s="568">
        <v>1</v>
      </c>
      <c r="CF201" s="568"/>
      <c r="CG201" s="568"/>
      <c r="CH201" s="660" t="s">
        <v>932</v>
      </c>
      <c r="CI201" s="660"/>
      <c r="CJ201" s="660"/>
      <c r="CK201" s="660"/>
      <c r="CL201" s="568" t="s">
        <v>932</v>
      </c>
      <c r="CM201" s="568"/>
      <c r="CN201" s="568"/>
    </row>
    <row r="202" hidden="1" customHeight="1" spans="1:92">
      <c r="A202" s="612"/>
      <c r="B202" s="612"/>
      <c r="C202" s="518"/>
      <c r="D202" s="518"/>
      <c r="E202" s="518"/>
      <c r="F202" s="657"/>
      <c r="G202" s="657"/>
      <c r="H202" s="657"/>
      <c r="I202" s="519"/>
      <c r="J202" s="519"/>
      <c r="K202" s="519"/>
      <c r="L202" s="519"/>
      <c r="M202" s="519"/>
      <c r="N202" s="519"/>
      <c r="O202" s="519"/>
      <c r="P202" s="519"/>
      <c r="Q202" s="519"/>
      <c r="R202" s="519"/>
      <c r="S202" s="519"/>
      <c r="T202" s="519"/>
      <c r="U202" s="519"/>
      <c r="V202" s="519"/>
      <c r="W202" s="519"/>
      <c r="X202" s="519"/>
      <c r="Y202" s="519"/>
      <c r="Z202" s="519"/>
      <c r="AA202" s="519"/>
      <c r="AB202" s="526"/>
      <c r="AC202" s="526"/>
      <c r="AD202" s="658"/>
      <c r="AE202" s="658"/>
      <c r="AF202" s="658"/>
      <c r="AG202" s="526">
        <v>0</v>
      </c>
      <c r="AH202" s="526"/>
      <c r="AI202" s="659" t="e">
        <v>#N/A</v>
      </c>
      <c r="AJ202" s="659"/>
      <c r="AK202" s="659"/>
      <c r="AL202" s="659"/>
      <c r="AM202" s="659"/>
      <c r="AN202" s="659"/>
      <c r="AO202" s="659"/>
      <c r="AP202" s="659"/>
      <c r="AQ202" s="659"/>
      <c r="AR202" s="659"/>
      <c r="AS202" s="659"/>
      <c r="AT202" s="659"/>
      <c r="AU202" s="659"/>
      <c r="AV202" s="659"/>
      <c r="AW202" s="658">
        <v>0</v>
      </c>
      <c r="AX202" s="658"/>
      <c r="AY202" s="658"/>
      <c r="AZ202" s="658"/>
      <c r="BA202" s="658"/>
      <c r="BB202" s="658"/>
      <c r="BC202" s="658">
        <v>0</v>
      </c>
      <c r="BD202" s="658"/>
      <c r="BE202" s="658"/>
      <c r="BF202" s="658">
        <v>182.49</v>
      </c>
      <c r="BG202" s="658"/>
      <c r="BH202" s="658"/>
      <c r="BI202" s="567">
        <v>0</v>
      </c>
      <c r="BJ202" s="567"/>
      <c r="BK202" s="567"/>
      <c r="BL202" s="567"/>
      <c r="BM202" s="660" t="s">
        <v>932</v>
      </c>
      <c r="BN202" s="660"/>
      <c r="BO202" s="660"/>
      <c r="BP202" s="660"/>
      <c r="BQ202" s="568" t="s">
        <v>932</v>
      </c>
      <c r="BR202" s="568"/>
      <c r="BS202" s="568"/>
      <c r="BT202" s="660" t="s">
        <v>932</v>
      </c>
      <c r="BU202" s="660"/>
      <c r="BV202" s="660"/>
      <c r="BW202" s="660"/>
      <c r="BX202" s="568" t="s">
        <v>932</v>
      </c>
      <c r="BY202" s="568"/>
      <c r="BZ202" s="568"/>
      <c r="CA202" s="660" t="s">
        <v>932</v>
      </c>
      <c r="CB202" s="660"/>
      <c r="CC202" s="660"/>
      <c r="CD202" s="660"/>
      <c r="CE202" s="568">
        <v>1</v>
      </c>
      <c r="CF202" s="568"/>
      <c r="CG202" s="568"/>
      <c r="CH202" s="660" t="s">
        <v>932</v>
      </c>
      <c r="CI202" s="660"/>
      <c r="CJ202" s="660"/>
      <c r="CK202" s="660"/>
      <c r="CL202" s="568" t="s">
        <v>932</v>
      </c>
      <c r="CM202" s="568"/>
      <c r="CN202" s="568"/>
    </row>
    <row r="203" hidden="1" customHeight="1" spans="1:92">
      <c r="A203" s="612"/>
      <c r="B203" s="612"/>
      <c r="C203" s="518"/>
      <c r="D203" s="518"/>
      <c r="E203" s="518"/>
      <c r="F203" s="657"/>
      <c r="G203" s="657"/>
      <c r="H203" s="657"/>
      <c r="I203" s="519"/>
      <c r="J203" s="519"/>
      <c r="K203" s="519"/>
      <c r="L203" s="519"/>
      <c r="M203" s="519"/>
      <c r="N203" s="519"/>
      <c r="O203" s="519"/>
      <c r="P203" s="519"/>
      <c r="Q203" s="519"/>
      <c r="R203" s="519"/>
      <c r="S203" s="519"/>
      <c r="T203" s="519"/>
      <c r="U203" s="519"/>
      <c r="V203" s="519"/>
      <c r="W203" s="519"/>
      <c r="X203" s="519"/>
      <c r="Y203" s="519"/>
      <c r="Z203" s="519"/>
      <c r="AA203" s="519"/>
      <c r="AB203" s="526"/>
      <c r="AC203" s="526"/>
      <c r="AD203" s="658"/>
      <c r="AE203" s="658"/>
      <c r="AF203" s="658"/>
      <c r="AG203" s="526">
        <v>0</v>
      </c>
      <c r="AH203" s="526"/>
      <c r="AI203" s="659" t="e">
        <v>#N/A</v>
      </c>
      <c r="AJ203" s="659"/>
      <c r="AK203" s="659"/>
      <c r="AL203" s="659"/>
      <c r="AM203" s="659"/>
      <c r="AN203" s="659"/>
      <c r="AO203" s="659"/>
      <c r="AP203" s="659"/>
      <c r="AQ203" s="659"/>
      <c r="AR203" s="659"/>
      <c r="AS203" s="659"/>
      <c r="AT203" s="659"/>
      <c r="AU203" s="659"/>
      <c r="AV203" s="659"/>
      <c r="AW203" s="658">
        <v>0</v>
      </c>
      <c r="AX203" s="658"/>
      <c r="AY203" s="658"/>
      <c r="AZ203" s="658"/>
      <c r="BA203" s="658"/>
      <c r="BB203" s="658"/>
      <c r="BC203" s="658">
        <v>0</v>
      </c>
      <c r="BD203" s="658"/>
      <c r="BE203" s="658"/>
      <c r="BF203" s="658">
        <v>182.49</v>
      </c>
      <c r="BG203" s="658"/>
      <c r="BH203" s="658"/>
      <c r="BI203" s="567">
        <v>0</v>
      </c>
      <c r="BJ203" s="567"/>
      <c r="BK203" s="567"/>
      <c r="BL203" s="567"/>
      <c r="BM203" s="660" t="s">
        <v>932</v>
      </c>
      <c r="BN203" s="660"/>
      <c r="BO203" s="660"/>
      <c r="BP203" s="660"/>
      <c r="BQ203" s="568" t="s">
        <v>932</v>
      </c>
      <c r="BR203" s="568"/>
      <c r="BS203" s="568"/>
      <c r="BT203" s="660" t="s">
        <v>932</v>
      </c>
      <c r="BU203" s="660"/>
      <c r="BV203" s="660"/>
      <c r="BW203" s="660"/>
      <c r="BX203" s="568" t="s">
        <v>932</v>
      </c>
      <c r="BY203" s="568"/>
      <c r="BZ203" s="568"/>
      <c r="CA203" s="660" t="s">
        <v>932</v>
      </c>
      <c r="CB203" s="660"/>
      <c r="CC203" s="660"/>
      <c r="CD203" s="660"/>
      <c r="CE203" s="568">
        <v>1</v>
      </c>
      <c r="CF203" s="568"/>
      <c r="CG203" s="568"/>
      <c r="CH203" s="660" t="s">
        <v>932</v>
      </c>
      <c r="CI203" s="660"/>
      <c r="CJ203" s="660"/>
      <c r="CK203" s="660"/>
      <c r="CL203" s="568" t="s">
        <v>932</v>
      </c>
      <c r="CM203" s="568"/>
      <c r="CN203" s="568"/>
    </row>
    <row r="204" hidden="1" customHeight="1" spans="1:92">
      <c r="A204" s="612"/>
      <c r="B204" s="612"/>
      <c r="C204" s="518"/>
      <c r="D204" s="518"/>
      <c r="E204" s="518"/>
      <c r="F204" s="657"/>
      <c r="G204" s="657"/>
      <c r="H204" s="657"/>
      <c r="I204" s="519"/>
      <c r="J204" s="519"/>
      <c r="K204" s="519"/>
      <c r="L204" s="519"/>
      <c r="M204" s="519"/>
      <c r="N204" s="519"/>
      <c r="O204" s="519"/>
      <c r="P204" s="519"/>
      <c r="Q204" s="519"/>
      <c r="R204" s="519"/>
      <c r="S204" s="519"/>
      <c r="T204" s="519"/>
      <c r="U204" s="519"/>
      <c r="V204" s="519"/>
      <c r="W204" s="519"/>
      <c r="X204" s="519"/>
      <c r="Y204" s="519"/>
      <c r="Z204" s="519"/>
      <c r="AA204" s="519"/>
      <c r="AB204" s="526"/>
      <c r="AC204" s="526"/>
      <c r="AD204" s="658"/>
      <c r="AE204" s="658"/>
      <c r="AF204" s="658"/>
      <c r="AG204" s="526">
        <v>0</v>
      </c>
      <c r="AH204" s="526"/>
      <c r="AI204" s="659" t="e">
        <v>#N/A</v>
      </c>
      <c r="AJ204" s="659"/>
      <c r="AK204" s="659"/>
      <c r="AL204" s="659"/>
      <c r="AM204" s="659"/>
      <c r="AN204" s="659"/>
      <c r="AO204" s="659"/>
      <c r="AP204" s="659"/>
      <c r="AQ204" s="659"/>
      <c r="AR204" s="659"/>
      <c r="AS204" s="659"/>
      <c r="AT204" s="659"/>
      <c r="AU204" s="659"/>
      <c r="AV204" s="659"/>
      <c r="AW204" s="658">
        <v>0</v>
      </c>
      <c r="AX204" s="658"/>
      <c r="AY204" s="658"/>
      <c r="AZ204" s="658"/>
      <c r="BA204" s="658"/>
      <c r="BB204" s="658"/>
      <c r="BC204" s="658">
        <v>0</v>
      </c>
      <c r="BD204" s="658"/>
      <c r="BE204" s="658"/>
      <c r="BF204" s="658">
        <v>182.49</v>
      </c>
      <c r="BG204" s="658"/>
      <c r="BH204" s="658"/>
      <c r="BI204" s="567">
        <v>0</v>
      </c>
      <c r="BJ204" s="567"/>
      <c r="BK204" s="567"/>
      <c r="BL204" s="567"/>
      <c r="BM204" s="660" t="s">
        <v>932</v>
      </c>
      <c r="BN204" s="660"/>
      <c r="BO204" s="660"/>
      <c r="BP204" s="660"/>
      <c r="BQ204" s="568" t="s">
        <v>932</v>
      </c>
      <c r="BR204" s="568"/>
      <c r="BS204" s="568"/>
      <c r="BT204" s="660" t="s">
        <v>932</v>
      </c>
      <c r="BU204" s="660"/>
      <c r="BV204" s="660"/>
      <c r="BW204" s="660"/>
      <c r="BX204" s="568" t="s">
        <v>932</v>
      </c>
      <c r="BY204" s="568"/>
      <c r="BZ204" s="568"/>
      <c r="CA204" s="660" t="s">
        <v>932</v>
      </c>
      <c r="CB204" s="660"/>
      <c r="CC204" s="660"/>
      <c r="CD204" s="660"/>
      <c r="CE204" s="568">
        <v>1</v>
      </c>
      <c r="CF204" s="568"/>
      <c r="CG204" s="568"/>
      <c r="CH204" s="660" t="s">
        <v>932</v>
      </c>
      <c r="CI204" s="660"/>
      <c r="CJ204" s="660"/>
      <c r="CK204" s="660"/>
      <c r="CL204" s="568" t="s">
        <v>932</v>
      </c>
      <c r="CM204" s="568"/>
      <c r="CN204" s="568"/>
    </row>
    <row r="205" hidden="1" customHeight="1" spans="1:92">
      <c r="A205" s="612"/>
      <c r="B205" s="612"/>
      <c r="C205" s="518"/>
      <c r="D205" s="518"/>
      <c r="E205" s="518"/>
      <c r="F205" s="657"/>
      <c r="G205" s="657"/>
      <c r="H205" s="657"/>
      <c r="I205" s="519"/>
      <c r="J205" s="519"/>
      <c r="K205" s="519"/>
      <c r="L205" s="519"/>
      <c r="M205" s="519"/>
      <c r="N205" s="519"/>
      <c r="O205" s="519"/>
      <c r="P205" s="519"/>
      <c r="Q205" s="519"/>
      <c r="R205" s="519"/>
      <c r="S205" s="519"/>
      <c r="T205" s="519"/>
      <c r="U205" s="519"/>
      <c r="V205" s="519"/>
      <c r="W205" s="519"/>
      <c r="X205" s="519"/>
      <c r="Y205" s="519"/>
      <c r="Z205" s="519"/>
      <c r="AA205" s="519"/>
      <c r="AB205" s="526"/>
      <c r="AC205" s="526"/>
      <c r="AD205" s="658"/>
      <c r="AE205" s="658"/>
      <c r="AF205" s="658"/>
      <c r="AG205" s="526">
        <v>0</v>
      </c>
      <c r="AH205" s="526"/>
      <c r="AI205" s="659" t="e">
        <v>#N/A</v>
      </c>
      <c r="AJ205" s="659"/>
      <c r="AK205" s="659"/>
      <c r="AL205" s="659"/>
      <c r="AM205" s="659"/>
      <c r="AN205" s="659"/>
      <c r="AO205" s="659"/>
      <c r="AP205" s="659"/>
      <c r="AQ205" s="659"/>
      <c r="AR205" s="659"/>
      <c r="AS205" s="659"/>
      <c r="AT205" s="659"/>
      <c r="AU205" s="659"/>
      <c r="AV205" s="659"/>
      <c r="AW205" s="658">
        <v>0</v>
      </c>
      <c r="AX205" s="658"/>
      <c r="AY205" s="658"/>
      <c r="AZ205" s="658"/>
      <c r="BA205" s="658"/>
      <c r="BB205" s="658"/>
      <c r="BC205" s="658">
        <v>0</v>
      </c>
      <c r="BD205" s="658"/>
      <c r="BE205" s="658"/>
      <c r="BF205" s="658">
        <v>182.49</v>
      </c>
      <c r="BG205" s="658"/>
      <c r="BH205" s="658"/>
      <c r="BI205" s="567">
        <v>0</v>
      </c>
      <c r="BJ205" s="567"/>
      <c r="BK205" s="567"/>
      <c r="BL205" s="567"/>
      <c r="BM205" s="660" t="s">
        <v>932</v>
      </c>
      <c r="BN205" s="660"/>
      <c r="BO205" s="660"/>
      <c r="BP205" s="660"/>
      <c r="BQ205" s="568" t="s">
        <v>932</v>
      </c>
      <c r="BR205" s="568"/>
      <c r="BS205" s="568"/>
      <c r="BT205" s="660" t="s">
        <v>932</v>
      </c>
      <c r="BU205" s="660"/>
      <c r="BV205" s="660"/>
      <c r="BW205" s="660"/>
      <c r="BX205" s="568" t="s">
        <v>932</v>
      </c>
      <c r="BY205" s="568"/>
      <c r="BZ205" s="568"/>
      <c r="CA205" s="660" t="s">
        <v>932</v>
      </c>
      <c r="CB205" s="660"/>
      <c r="CC205" s="660"/>
      <c r="CD205" s="660"/>
      <c r="CE205" s="568">
        <v>1</v>
      </c>
      <c r="CF205" s="568"/>
      <c r="CG205" s="568"/>
      <c r="CH205" s="660" t="s">
        <v>932</v>
      </c>
      <c r="CI205" s="660"/>
      <c r="CJ205" s="660"/>
      <c r="CK205" s="660"/>
      <c r="CL205" s="568" t="s">
        <v>932</v>
      </c>
      <c r="CM205" s="568"/>
      <c r="CN205" s="568"/>
    </row>
    <row r="206" hidden="1" customHeight="1" spans="1:92">
      <c r="A206" s="612"/>
      <c r="B206" s="612"/>
      <c r="C206" s="518"/>
      <c r="D206" s="518"/>
      <c r="E206" s="518"/>
      <c r="F206" s="657"/>
      <c r="G206" s="657"/>
      <c r="H206" s="657"/>
      <c r="I206" s="519"/>
      <c r="J206" s="519"/>
      <c r="K206" s="519"/>
      <c r="L206" s="519"/>
      <c r="M206" s="519"/>
      <c r="N206" s="519"/>
      <c r="O206" s="519"/>
      <c r="P206" s="519"/>
      <c r="Q206" s="519"/>
      <c r="R206" s="519"/>
      <c r="S206" s="519"/>
      <c r="T206" s="519"/>
      <c r="U206" s="519"/>
      <c r="V206" s="519"/>
      <c r="W206" s="519"/>
      <c r="X206" s="519"/>
      <c r="Y206" s="519"/>
      <c r="Z206" s="519"/>
      <c r="AA206" s="519"/>
      <c r="AB206" s="526"/>
      <c r="AC206" s="526"/>
      <c r="AD206" s="658"/>
      <c r="AE206" s="658"/>
      <c r="AF206" s="658"/>
      <c r="AG206" s="526">
        <v>0</v>
      </c>
      <c r="AH206" s="526"/>
      <c r="AI206" s="659" t="e">
        <v>#N/A</v>
      </c>
      <c r="AJ206" s="659"/>
      <c r="AK206" s="659"/>
      <c r="AL206" s="659"/>
      <c r="AM206" s="659"/>
      <c r="AN206" s="659"/>
      <c r="AO206" s="659"/>
      <c r="AP206" s="659"/>
      <c r="AQ206" s="659"/>
      <c r="AR206" s="659"/>
      <c r="AS206" s="659"/>
      <c r="AT206" s="659"/>
      <c r="AU206" s="659"/>
      <c r="AV206" s="659"/>
      <c r="AW206" s="658">
        <v>0</v>
      </c>
      <c r="AX206" s="658"/>
      <c r="AY206" s="658"/>
      <c r="AZ206" s="658"/>
      <c r="BA206" s="658"/>
      <c r="BB206" s="658"/>
      <c r="BC206" s="658">
        <v>0</v>
      </c>
      <c r="BD206" s="658"/>
      <c r="BE206" s="658"/>
      <c r="BF206" s="658">
        <v>182.49</v>
      </c>
      <c r="BG206" s="658"/>
      <c r="BH206" s="658"/>
      <c r="BI206" s="567">
        <v>0</v>
      </c>
      <c r="BJ206" s="567"/>
      <c r="BK206" s="567"/>
      <c r="BL206" s="567"/>
      <c r="BM206" s="660" t="s">
        <v>932</v>
      </c>
      <c r="BN206" s="660"/>
      <c r="BO206" s="660"/>
      <c r="BP206" s="660"/>
      <c r="BQ206" s="568" t="s">
        <v>932</v>
      </c>
      <c r="BR206" s="568"/>
      <c r="BS206" s="568"/>
      <c r="BT206" s="660" t="s">
        <v>932</v>
      </c>
      <c r="BU206" s="660"/>
      <c r="BV206" s="660"/>
      <c r="BW206" s="660"/>
      <c r="BX206" s="568" t="s">
        <v>932</v>
      </c>
      <c r="BY206" s="568"/>
      <c r="BZ206" s="568"/>
      <c r="CA206" s="660" t="s">
        <v>932</v>
      </c>
      <c r="CB206" s="660"/>
      <c r="CC206" s="660"/>
      <c r="CD206" s="660"/>
      <c r="CE206" s="568">
        <v>1</v>
      </c>
      <c r="CF206" s="568"/>
      <c r="CG206" s="568"/>
      <c r="CH206" s="660" t="s">
        <v>932</v>
      </c>
      <c r="CI206" s="660"/>
      <c r="CJ206" s="660"/>
      <c r="CK206" s="660"/>
      <c r="CL206" s="568" t="s">
        <v>932</v>
      </c>
      <c r="CM206" s="568"/>
      <c r="CN206" s="568"/>
    </row>
    <row r="207" hidden="1" customHeight="1" spans="1:92">
      <c r="A207" s="612"/>
      <c r="B207" s="612"/>
      <c r="C207" s="518"/>
      <c r="D207" s="518"/>
      <c r="E207" s="518"/>
      <c r="F207" s="657"/>
      <c r="G207" s="657"/>
      <c r="H207" s="657"/>
      <c r="I207" s="519"/>
      <c r="J207" s="519"/>
      <c r="K207" s="519"/>
      <c r="L207" s="519"/>
      <c r="M207" s="519"/>
      <c r="N207" s="519"/>
      <c r="O207" s="519"/>
      <c r="P207" s="519"/>
      <c r="Q207" s="519"/>
      <c r="R207" s="519"/>
      <c r="S207" s="519"/>
      <c r="T207" s="519"/>
      <c r="U207" s="519"/>
      <c r="V207" s="519"/>
      <c r="W207" s="519"/>
      <c r="X207" s="519"/>
      <c r="Y207" s="519"/>
      <c r="Z207" s="519"/>
      <c r="AA207" s="519"/>
      <c r="AB207" s="526"/>
      <c r="AC207" s="526"/>
      <c r="AD207" s="658"/>
      <c r="AE207" s="658"/>
      <c r="AF207" s="658"/>
      <c r="AG207" s="526">
        <v>0</v>
      </c>
      <c r="AH207" s="526"/>
      <c r="AI207" s="659" t="e">
        <v>#N/A</v>
      </c>
      <c r="AJ207" s="659"/>
      <c r="AK207" s="659"/>
      <c r="AL207" s="659"/>
      <c r="AM207" s="659"/>
      <c r="AN207" s="659"/>
      <c r="AO207" s="659"/>
      <c r="AP207" s="659"/>
      <c r="AQ207" s="659"/>
      <c r="AR207" s="659"/>
      <c r="AS207" s="659"/>
      <c r="AT207" s="659"/>
      <c r="AU207" s="659"/>
      <c r="AV207" s="659"/>
      <c r="AW207" s="658">
        <v>0</v>
      </c>
      <c r="AX207" s="658"/>
      <c r="AY207" s="658"/>
      <c r="AZ207" s="658"/>
      <c r="BA207" s="658"/>
      <c r="BB207" s="658"/>
      <c r="BC207" s="658">
        <v>0</v>
      </c>
      <c r="BD207" s="658"/>
      <c r="BE207" s="658"/>
      <c r="BF207" s="658">
        <v>182.49</v>
      </c>
      <c r="BG207" s="658"/>
      <c r="BH207" s="658"/>
      <c r="BI207" s="567">
        <v>0</v>
      </c>
      <c r="BJ207" s="567"/>
      <c r="BK207" s="567"/>
      <c r="BL207" s="567"/>
      <c r="BM207" s="660" t="s">
        <v>932</v>
      </c>
      <c r="BN207" s="660"/>
      <c r="BO207" s="660"/>
      <c r="BP207" s="660"/>
      <c r="BQ207" s="568" t="s">
        <v>932</v>
      </c>
      <c r="BR207" s="568"/>
      <c r="BS207" s="568"/>
      <c r="BT207" s="660" t="s">
        <v>932</v>
      </c>
      <c r="BU207" s="660"/>
      <c r="BV207" s="660"/>
      <c r="BW207" s="660"/>
      <c r="BX207" s="568" t="s">
        <v>932</v>
      </c>
      <c r="BY207" s="568"/>
      <c r="BZ207" s="568"/>
      <c r="CA207" s="660" t="s">
        <v>932</v>
      </c>
      <c r="CB207" s="660"/>
      <c r="CC207" s="660"/>
      <c r="CD207" s="660"/>
      <c r="CE207" s="568">
        <v>1</v>
      </c>
      <c r="CF207" s="568"/>
      <c r="CG207" s="568"/>
      <c r="CH207" s="660" t="s">
        <v>932</v>
      </c>
      <c r="CI207" s="660"/>
      <c r="CJ207" s="660"/>
      <c r="CK207" s="660"/>
      <c r="CL207" s="568" t="s">
        <v>932</v>
      </c>
      <c r="CM207" s="568"/>
      <c r="CN207" s="568"/>
    </row>
    <row r="208" customHeight="1" spans="1:92">
      <c r="A208" s="612" t="s">
        <v>966</v>
      </c>
      <c r="B208" s="612"/>
      <c r="C208" s="518"/>
      <c r="D208" s="518"/>
      <c r="E208" s="518"/>
      <c r="F208" s="657">
        <v>1100657</v>
      </c>
      <c r="G208" s="657"/>
      <c r="H208" s="657"/>
      <c r="I208" s="519" t="s">
        <v>114</v>
      </c>
      <c r="J208" s="519"/>
      <c r="K208" s="519"/>
      <c r="L208" s="519"/>
      <c r="M208" s="519"/>
      <c r="N208" s="519"/>
      <c r="O208" s="519"/>
      <c r="P208" s="519"/>
      <c r="Q208" s="519"/>
      <c r="R208" s="519"/>
      <c r="S208" s="519"/>
      <c r="T208" s="519"/>
      <c r="U208" s="519"/>
      <c r="V208" s="519"/>
      <c r="W208" s="519"/>
      <c r="X208" s="519"/>
      <c r="Y208" s="519"/>
      <c r="Z208" s="519"/>
      <c r="AA208" s="519"/>
      <c r="AB208" s="526" t="s">
        <v>99</v>
      </c>
      <c r="AC208" s="526"/>
      <c r="AD208" s="658">
        <v>33.62</v>
      </c>
      <c r="AE208" s="658"/>
      <c r="AF208" s="658"/>
      <c r="AG208" s="526" t="s">
        <v>935</v>
      </c>
      <c r="AH208" s="526"/>
      <c r="AI208" s="659" t="s">
        <v>936</v>
      </c>
      <c r="AJ208" s="659"/>
      <c r="AK208" s="659"/>
      <c r="AL208" s="659"/>
      <c r="AM208" s="659"/>
      <c r="AN208" s="659"/>
      <c r="AO208" s="659"/>
      <c r="AP208" s="659"/>
      <c r="AQ208" s="659"/>
      <c r="AR208" s="659"/>
      <c r="AS208" s="659"/>
      <c r="AT208" s="659"/>
      <c r="AU208" s="659"/>
      <c r="AV208" s="659"/>
      <c r="AW208" s="658">
        <v>1</v>
      </c>
      <c r="AX208" s="658"/>
      <c r="AY208" s="658"/>
      <c r="AZ208" s="658">
        <v>9</v>
      </c>
      <c r="BA208" s="658"/>
      <c r="BB208" s="658"/>
      <c r="BC208" s="658">
        <v>3.73555555555555</v>
      </c>
      <c r="BD208" s="658"/>
      <c r="BE208" s="658"/>
      <c r="BF208" s="658">
        <v>182.49</v>
      </c>
      <c r="BG208" s="658"/>
      <c r="BH208" s="658"/>
      <c r="BI208" s="567">
        <v>0.0204699192040964</v>
      </c>
      <c r="BJ208" s="567"/>
      <c r="BK208" s="567"/>
      <c r="BL208" s="567"/>
      <c r="BM208" s="660" t="s">
        <v>932</v>
      </c>
      <c r="BN208" s="660"/>
      <c r="BO208" s="660"/>
      <c r="BP208" s="660"/>
      <c r="BQ208" s="568" t="s">
        <v>932</v>
      </c>
      <c r="BR208" s="568"/>
      <c r="BS208" s="568"/>
      <c r="BT208" s="660" t="s">
        <v>932</v>
      </c>
      <c r="BU208" s="660"/>
      <c r="BV208" s="660"/>
      <c r="BW208" s="660"/>
      <c r="BX208" s="568" t="s">
        <v>932</v>
      </c>
      <c r="BY208" s="568"/>
      <c r="BZ208" s="568"/>
      <c r="CA208" s="660">
        <v>0.0204699192040964</v>
      </c>
      <c r="CB208" s="660"/>
      <c r="CC208" s="660"/>
      <c r="CD208" s="660"/>
      <c r="CE208" s="568">
        <v>1</v>
      </c>
      <c r="CF208" s="568"/>
      <c r="CG208" s="568"/>
      <c r="CH208" s="660" t="s">
        <v>932</v>
      </c>
      <c r="CI208" s="660"/>
      <c r="CJ208" s="660"/>
      <c r="CK208" s="660"/>
      <c r="CL208" s="568" t="s">
        <v>932</v>
      </c>
      <c r="CM208" s="568"/>
      <c r="CN208" s="568"/>
    </row>
    <row r="209" hidden="1" customHeight="1" spans="1:92">
      <c r="A209" s="612"/>
      <c r="B209" s="612"/>
      <c r="C209" s="518"/>
      <c r="D209" s="518"/>
      <c r="E209" s="518"/>
      <c r="F209" s="657"/>
      <c r="G209" s="657"/>
      <c r="H209" s="657"/>
      <c r="I209" s="519"/>
      <c r="J209" s="519"/>
      <c r="K209" s="519"/>
      <c r="L209" s="519"/>
      <c r="M209" s="519"/>
      <c r="N209" s="519"/>
      <c r="O209" s="519"/>
      <c r="P209" s="519"/>
      <c r="Q209" s="519"/>
      <c r="R209" s="519"/>
      <c r="S209" s="519"/>
      <c r="T209" s="519"/>
      <c r="U209" s="519"/>
      <c r="V209" s="519"/>
      <c r="W209" s="519"/>
      <c r="X209" s="519"/>
      <c r="Y209" s="519"/>
      <c r="Z209" s="519"/>
      <c r="AA209" s="519"/>
      <c r="AB209" s="526"/>
      <c r="AC209" s="526"/>
      <c r="AD209" s="658"/>
      <c r="AE209" s="658"/>
      <c r="AF209" s="658"/>
      <c r="AG209" s="526">
        <v>0</v>
      </c>
      <c r="AH209" s="526"/>
      <c r="AI209" s="659" t="e">
        <v>#N/A</v>
      </c>
      <c r="AJ209" s="659"/>
      <c r="AK209" s="659"/>
      <c r="AL209" s="659"/>
      <c r="AM209" s="659"/>
      <c r="AN209" s="659"/>
      <c r="AO209" s="659"/>
      <c r="AP209" s="659"/>
      <c r="AQ209" s="659"/>
      <c r="AR209" s="659"/>
      <c r="AS209" s="659"/>
      <c r="AT209" s="659"/>
      <c r="AU209" s="659"/>
      <c r="AV209" s="659"/>
      <c r="AW209" s="658">
        <v>0</v>
      </c>
      <c r="AX209" s="658"/>
      <c r="AY209" s="658"/>
      <c r="AZ209" s="658"/>
      <c r="BA209" s="658"/>
      <c r="BB209" s="658"/>
      <c r="BC209" s="658">
        <v>0</v>
      </c>
      <c r="BD209" s="658"/>
      <c r="BE209" s="658"/>
      <c r="BF209" s="658">
        <v>182.49</v>
      </c>
      <c r="BG209" s="658"/>
      <c r="BH209" s="658"/>
      <c r="BI209" s="567">
        <v>0</v>
      </c>
      <c r="BJ209" s="567"/>
      <c r="BK209" s="567"/>
      <c r="BL209" s="567"/>
      <c r="BM209" s="660" t="s">
        <v>932</v>
      </c>
      <c r="BN209" s="660"/>
      <c r="BO209" s="660"/>
      <c r="BP209" s="660"/>
      <c r="BQ209" s="568" t="s">
        <v>932</v>
      </c>
      <c r="BR209" s="568"/>
      <c r="BS209" s="568"/>
      <c r="BT209" s="660" t="s">
        <v>932</v>
      </c>
      <c r="BU209" s="660"/>
      <c r="BV209" s="660"/>
      <c r="BW209" s="660"/>
      <c r="BX209" s="568" t="s">
        <v>932</v>
      </c>
      <c r="BY209" s="568"/>
      <c r="BZ209" s="568"/>
      <c r="CA209" s="660" t="s">
        <v>932</v>
      </c>
      <c r="CB209" s="660"/>
      <c r="CC209" s="660"/>
      <c r="CD209" s="660"/>
      <c r="CE209" s="568">
        <v>1</v>
      </c>
      <c r="CF209" s="568"/>
      <c r="CG209" s="568"/>
      <c r="CH209" s="660" t="s">
        <v>932</v>
      </c>
      <c r="CI209" s="660"/>
      <c r="CJ209" s="660"/>
      <c r="CK209" s="660"/>
      <c r="CL209" s="568" t="s">
        <v>932</v>
      </c>
      <c r="CM209" s="568"/>
      <c r="CN209" s="568"/>
    </row>
    <row r="210" hidden="1" customHeight="1" spans="1:92">
      <c r="A210" s="612"/>
      <c r="B210" s="612"/>
      <c r="C210" s="518"/>
      <c r="D210" s="518"/>
      <c r="E210" s="518"/>
      <c r="F210" s="657"/>
      <c r="G210" s="657"/>
      <c r="H210" s="657"/>
      <c r="I210" s="519"/>
      <c r="J210" s="519"/>
      <c r="K210" s="519"/>
      <c r="L210" s="519"/>
      <c r="M210" s="519"/>
      <c r="N210" s="519"/>
      <c r="O210" s="519"/>
      <c r="P210" s="519"/>
      <c r="Q210" s="519"/>
      <c r="R210" s="519"/>
      <c r="S210" s="519"/>
      <c r="T210" s="519"/>
      <c r="U210" s="519"/>
      <c r="V210" s="519"/>
      <c r="W210" s="519"/>
      <c r="X210" s="519"/>
      <c r="Y210" s="519"/>
      <c r="Z210" s="519"/>
      <c r="AA210" s="519"/>
      <c r="AB210" s="526"/>
      <c r="AC210" s="526"/>
      <c r="AD210" s="658"/>
      <c r="AE210" s="658"/>
      <c r="AF210" s="658"/>
      <c r="AG210" s="526">
        <v>0</v>
      </c>
      <c r="AH210" s="526"/>
      <c r="AI210" s="659" t="e">
        <v>#N/A</v>
      </c>
      <c r="AJ210" s="659"/>
      <c r="AK210" s="659"/>
      <c r="AL210" s="659"/>
      <c r="AM210" s="659"/>
      <c r="AN210" s="659"/>
      <c r="AO210" s="659"/>
      <c r="AP210" s="659"/>
      <c r="AQ210" s="659"/>
      <c r="AR210" s="659"/>
      <c r="AS210" s="659"/>
      <c r="AT210" s="659"/>
      <c r="AU210" s="659"/>
      <c r="AV210" s="659"/>
      <c r="AW210" s="658">
        <v>0</v>
      </c>
      <c r="AX210" s="658"/>
      <c r="AY210" s="658"/>
      <c r="AZ210" s="658"/>
      <c r="BA210" s="658"/>
      <c r="BB210" s="658"/>
      <c r="BC210" s="658">
        <v>0</v>
      </c>
      <c r="BD210" s="658"/>
      <c r="BE210" s="658"/>
      <c r="BF210" s="658">
        <v>182.49</v>
      </c>
      <c r="BG210" s="658"/>
      <c r="BH210" s="658"/>
      <c r="BI210" s="567">
        <v>0</v>
      </c>
      <c r="BJ210" s="567"/>
      <c r="BK210" s="567"/>
      <c r="BL210" s="567"/>
      <c r="BM210" s="660" t="s">
        <v>932</v>
      </c>
      <c r="BN210" s="660"/>
      <c r="BO210" s="660"/>
      <c r="BP210" s="660"/>
      <c r="BQ210" s="568" t="s">
        <v>932</v>
      </c>
      <c r="BR210" s="568"/>
      <c r="BS210" s="568"/>
      <c r="BT210" s="660" t="s">
        <v>932</v>
      </c>
      <c r="BU210" s="660"/>
      <c r="BV210" s="660"/>
      <c r="BW210" s="660"/>
      <c r="BX210" s="568" t="s">
        <v>932</v>
      </c>
      <c r="BY210" s="568"/>
      <c r="BZ210" s="568"/>
      <c r="CA210" s="660" t="s">
        <v>932</v>
      </c>
      <c r="CB210" s="660"/>
      <c r="CC210" s="660"/>
      <c r="CD210" s="660"/>
      <c r="CE210" s="568">
        <v>1</v>
      </c>
      <c r="CF210" s="568"/>
      <c r="CG210" s="568"/>
      <c r="CH210" s="660" t="s">
        <v>932</v>
      </c>
      <c r="CI210" s="660"/>
      <c r="CJ210" s="660"/>
      <c r="CK210" s="660"/>
      <c r="CL210" s="568" t="s">
        <v>932</v>
      </c>
      <c r="CM210" s="568"/>
      <c r="CN210" s="568"/>
    </row>
    <row r="211" hidden="1" customHeight="1" spans="1:92">
      <c r="A211" s="612"/>
      <c r="B211" s="612"/>
      <c r="C211" s="518"/>
      <c r="D211" s="518"/>
      <c r="E211" s="518"/>
      <c r="F211" s="657"/>
      <c r="G211" s="657"/>
      <c r="H211" s="657"/>
      <c r="I211" s="519"/>
      <c r="J211" s="519"/>
      <c r="K211" s="519"/>
      <c r="L211" s="519"/>
      <c r="M211" s="519"/>
      <c r="N211" s="519"/>
      <c r="O211" s="519"/>
      <c r="P211" s="519"/>
      <c r="Q211" s="519"/>
      <c r="R211" s="519"/>
      <c r="S211" s="519"/>
      <c r="T211" s="519"/>
      <c r="U211" s="519"/>
      <c r="V211" s="519"/>
      <c r="W211" s="519"/>
      <c r="X211" s="519"/>
      <c r="Y211" s="519"/>
      <c r="Z211" s="519"/>
      <c r="AA211" s="519"/>
      <c r="AB211" s="526"/>
      <c r="AC211" s="526"/>
      <c r="AD211" s="658"/>
      <c r="AE211" s="658"/>
      <c r="AF211" s="658"/>
      <c r="AG211" s="526">
        <v>0</v>
      </c>
      <c r="AH211" s="526"/>
      <c r="AI211" s="659" t="e">
        <v>#N/A</v>
      </c>
      <c r="AJ211" s="659"/>
      <c r="AK211" s="659"/>
      <c r="AL211" s="659"/>
      <c r="AM211" s="659"/>
      <c r="AN211" s="659"/>
      <c r="AO211" s="659"/>
      <c r="AP211" s="659"/>
      <c r="AQ211" s="659"/>
      <c r="AR211" s="659"/>
      <c r="AS211" s="659"/>
      <c r="AT211" s="659"/>
      <c r="AU211" s="659"/>
      <c r="AV211" s="659"/>
      <c r="AW211" s="658">
        <v>0</v>
      </c>
      <c r="AX211" s="658"/>
      <c r="AY211" s="658"/>
      <c r="AZ211" s="658"/>
      <c r="BA211" s="658"/>
      <c r="BB211" s="658"/>
      <c r="BC211" s="658">
        <v>0</v>
      </c>
      <c r="BD211" s="658"/>
      <c r="BE211" s="658"/>
      <c r="BF211" s="658">
        <v>182.49</v>
      </c>
      <c r="BG211" s="658"/>
      <c r="BH211" s="658"/>
      <c r="BI211" s="567">
        <v>0</v>
      </c>
      <c r="BJ211" s="567"/>
      <c r="BK211" s="567"/>
      <c r="BL211" s="567"/>
      <c r="BM211" s="660" t="s">
        <v>932</v>
      </c>
      <c r="BN211" s="660"/>
      <c r="BO211" s="660"/>
      <c r="BP211" s="660"/>
      <c r="BQ211" s="568" t="s">
        <v>932</v>
      </c>
      <c r="BR211" s="568"/>
      <c r="BS211" s="568"/>
      <c r="BT211" s="660" t="s">
        <v>932</v>
      </c>
      <c r="BU211" s="660"/>
      <c r="BV211" s="660"/>
      <c r="BW211" s="660"/>
      <c r="BX211" s="568" t="s">
        <v>932</v>
      </c>
      <c r="BY211" s="568"/>
      <c r="BZ211" s="568"/>
      <c r="CA211" s="660" t="s">
        <v>932</v>
      </c>
      <c r="CB211" s="660"/>
      <c r="CC211" s="660"/>
      <c r="CD211" s="660"/>
      <c r="CE211" s="568">
        <v>1</v>
      </c>
      <c r="CF211" s="568"/>
      <c r="CG211" s="568"/>
      <c r="CH211" s="660" t="s">
        <v>932</v>
      </c>
      <c r="CI211" s="660"/>
      <c r="CJ211" s="660"/>
      <c r="CK211" s="660"/>
      <c r="CL211" s="568" t="s">
        <v>932</v>
      </c>
      <c r="CM211" s="568"/>
      <c r="CN211" s="568"/>
    </row>
    <row r="212" hidden="1" customHeight="1" spans="1:92">
      <c r="A212" s="612"/>
      <c r="B212" s="612"/>
      <c r="C212" s="518"/>
      <c r="D212" s="518"/>
      <c r="E212" s="518"/>
      <c r="F212" s="657"/>
      <c r="G212" s="657"/>
      <c r="H212" s="657"/>
      <c r="I212" s="519"/>
      <c r="J212" s="519"/>
      <c r="K212" s="519"/>
      <c r="L212" s="519"/>
      <c r="M212" s="519"/>
      <c r="N212" s="519"/>
      <c r="O212" s="519"/>
      <c r="P212" s="519"/>
      <c r="Q212" s="519"/>
      <c r="R212" s="519"/>
      <c r="S212" s="519"/>
      <c r="T212" s="519"/>
      <c r="U212" s="519"/>
      <c r="V212" s="519"/>
      <c r="W212" s="519"/>
      <c r="X212" s="519"/>
      <c r="Y212" s="519"/>
      <c r="Z212" s="519"/>
      <c r="AA212" s="519"/>
      <c r="AB212" s="526"/>
      <c r="AC212" s="526"/>
      <c r="AD212" s="658"/>
      <c r="AE212" s="658"/>
      <c r="AF212" s="658"/>
      <c r="AG212" s="526">
        <v>0</v>
      </c>
      <c r="AH212" s="526"/>
      <c r="AI212" s="659" t="e">
        <v>#N/A</v>
      </c>
      <c r="AJ212" s="659"/>
      <c r="AK212" s="659"/>
      <c r="AL212" s="659"/>
      <c r="AM212" s="659"/>
      <c r="AN212" s="659"/>
      <c r="AO212" s="659"/>
      <c r="AP212" s="659"/>
      <c r="AQ212" s="659"/>
      <c r="AR212" s="659"/>
      <c r="AS212" s="659"/>
      <c r="AT212" s="659"/>
      <c r="AU212" s="659"/>
      <c r="AV212" s="659"/>
      <c r="AW212" s="658">
        <v>0</v>
      </c>
      <c r="AX212" s="658"/>
      <c r="AY212" s="658"/>
      <c r="AZ212" s="658"/>
      <c r="BA212" s="658"/>
      <c r="BB212" s="658"/>
      <c r="BC212" s="658">
        <v>0</v>
      </c>
      <c r="BD212" s="658"/>
      <c r="BE212" s="658"/>
      <c r="BF212" s="658">
        <v>182.49</v>
      </c>
      <c r="BG212" s="658"/>
      <c r="BH212" s="658"/>
      <c r="BI212" s="567">
        <v>0</v>
      </c>
      <c r="BJ212" s="567"/>
      <c r="BK212" s="567"/>
      <c r="BL212" s="567"/>
      <c r="BM212" s="660" t="s">
        <v>932</v>
      </c>
      <c r="BN212" s="660"/>
      <c r="BO212" s="660"/>
      <c r="BP212" s="660"/>
      <c r="BQ212" s="568" t="s">
        <v>932</v>
      </c>
      <c r="BR212" s="568"/>
      <c r="BS212" s="568"/>
      <c r="BT212" s="660" t="s">
        <v>932</v>
      </c>
      <c r="BU212" s="660"/>
      <c r="BV212" s="660"/>
      <c r="BW212" s="660"/>
      <c r="BX212" s="568" t="s">
        <v>932</v>
      </c>
      <c r="BY212" s="568"/>
      <c r="BZ212" s="568"/>
      <c r="CA212" s="660" t="s">
        <v>932</v>
      </c>
      <c r="CB212" s="660"/>
      <c r="CC212" s="660"/>
      <c r="CD212" s="660"/>
      <c r="CE212" s="568">
        <v>1</v>
      </c>
      <c r="CF212" s="568"/>
      <c r="CG212" s="568"/>
      <c r="CH212" s="660" t="s">
        <v>932</v>
      </c>
      <c r="CI212" s="660"/>
      <c r="CJ212" s="660"/>
      <c r="CK212" s="660"/>
      <c r="CL212" s="568" t="s">
        <v>932</v>
      </c>
      <c r="CM212" s="568"/>
      <c r="CN212" s="568"/>
    </row>
    <row r="213" hidden="1" customHeight="1" spans="1:92">
      <c r="A213" s="612"/>
      <c r="B213" s="612"/>
      <c r="C213" s="518"/>
      <c r="D213" s="518"/>
      <c r="E213" s="518"/>
      <c r="F213" s="657"/>
      <c r="G213" s="657"/>
      <c r="H213" s="657"/>
      <c r="I213" s="519"/>
      <c r="J213" s="519"/>
      <c r="K213" s="519"/>
      <c r="L213" s="519"/>
      <c r="M213" s="519"/>
      <c r="N213" s="519"/>
      <c r="O213" s="519"/>
      <c r="P213" s="519"/>
      <c r="Q213" s="519"/>
      <c r="R213" s="519"/>
      <c r="S213" s="519"/>
      <c r="T213" s="519"/>
      <c r="U213" s="519"/>
      <c r="V213" s="519"/>
      <c r="W213" s="519"/>
      <c r="X213" s="519"/>
      <c r="Y213" s="519"/>
      <c r="Z213" s="519"/>
      <c r="AA213" s="519"/>
      <c r="AB213" s="526"/>
      <c r="AC213" s="526"/>
      <c r="AD213" s="658"/>
      <c r="AE213" s="658"/>
      <c r="AF213" s="658"/>
      <c r="AG213" s="526">
        <v>0</v>
      </c>
      <c r="AH213" s="526"/>
      <c r="AI213" s="659" t="e">
        <v>#N/A</v>
      </c>
      <c r="AJ213" s="659"/>
      <c r="AK213" s="659"/>
      <c r="AL213" s="659"/>
      <c r="AM213" s="659"/>
      <c r="AN213" s="659"/>
      <c r="AO213" s="659"/>
      <c r="AP213" s="659"/>
      <c r="AQ213" s="659"/>
      <c r="AR213" s="659"/>
      <c r="AS213" s="659"/>
      <c r="AT213" s="659"/>
      <c r="AU213" s="659"/>
      <c r="AV213" s="659"/>
      <c r="AW213" s="658">
        <v>0</v>
      </c>
      <c r="AX213" s="658"/>
      <c r="AY213" s="658"/>
      <c r="AZ213" s="658"/>
      <c r="BA213" s="658"/>
      <c r="BB213" s="658"/>
      <c r="BC213" s="658">
        <v>0</v>
      </c>
      <c r="BD213" s="658"/>
      <c r="BE213" s="658"/>
      <c r="BF213" s="658">
        <v>182.49</v>
      </c>
      <c r="BG213" s="658"/>
      <c r="BH213" s="658"/>
      <c r="BI213" s="567">
        <v>0</v>
      </c>
      <c r="BJ213" s="567"/>
      <c r="BK213" s="567"/>
      <c r="BL213" s="567"/>
      <c r="BM213" s="660" t="s">
        <v>932</v>
      </c>
      <c r="BN213" s="660"/>
      <c r="BO213" s="660"/>
      <c r="BP213" s="660"/>
      <c r="BQ213" s="568" t="s">
        <v>932</v>
      </c>
      <c r="BR213" s="568"/>
      <c r="BS213" s="568"/>
      <c r="BT213" s="660" t="s">
        <v>932</v>
      </c>
      <c r="BU213" s="660"/>
      <c r="BV213" s="660"/>
      <c r="BW213" s="660"/>
      <c r="BX213" s="568" t="s">
        <v>932</v>
      </c>
      <c r="BY213" s="568"/>
      <c r="BZ213" s="568"/>
      <c r="CA213" s="660" t="s">
        <v>932</v>
      </c>
      <c r="CB213" s="660"/>
      <c r="CC213" s="660"/>
      <c r="CD213" s="660"/>
      <c r="CE213" s="568">
        <v>1</v>
      </c>
      <c r="CF213" s="568"/>
      <c r="CG213" s="568"/>
      <c r="CH213" s="660" t="s">
        <v>932</v>
      </c>
      <c r="CI213" s="660"/>
      <c r="CJ213" s="660"/>
      <c r="CK213" s="660"/>
      <c r="CL213" s="568" t="s">
        <v>932</v>
      </c>
      <c r="CM213" s="568"/>
      <c r="CN213" s="568"/>
    </row>
    <row r="214" hidden="1" customHeight="1" spans="1:92">
      <c r="A214" s="612"/>
      <c r="B214" s="612"/>
      <c r="C214" s="518"/>
      <c r="D214" s="518"/>
      <c r="E214" s="518"/>
      <c r="F214" s="657"/>
      <c r="G214" s="657"/>
      <c r="H214" s="657"/>
      <c r="I214" s="519"/>
      <c r="J214" s="519"/>
      <c r="K214" s="519"/>
      <c r="L214" s="519"/>
      <c r="M214" s="519"/>
      <c r="N214" s="519"/>
      <c r="O214" s="519"/>
      <c r="P214" s="519"/>
      <c r="Q214" s="519"/>
      <c r="R214" s="519"/>
      <c r="S214" s="519"/>
      <c r="T214" s="519"/>
      <c r="U214" s="519"/>
      <c r="V214" s="519"/>
      <c r="W214" s="519"/>
      <c r="X214" s="519"/>
      <c r="Y214" s="519"/>
      <c r="Z214" s="519"/>
      <c r="AA214" s="519"/>
      <c r="AB214" s="526"/>
      <c r="AC214" s="526"/>
      <c r="AD214" s="658"/>
      <c r="AE214" s="658"/>
      <c r="AF214" s="658"/>
      <c r="AG214" s="526">
        <v>0</v>
      </c>
      <c r="AH214" s="526"/>
      <c r="AI214" s="659" t="e">
        <v>#N/A</v>
      </c>
      <c r="AJ214" s="659"/>
      <c r="AK214" s="659"/>
      <c r="AL214" s="659"/>
      <c r="AM214" s="659"/>
      <c r="AN214" s="659"/>
      <c r="AO214" s="659"/>
      <c r="AP214" s="659"/>
      <c r="AQ214" s="659"/>
      <c r="AR214" s="659"/>
      <c r="AS214" s="659"/>
      <c r="AT214" s="659"/>
      <c r="AU214" s="659"/>
      <c r="AV214" s="659"/>
      <c r="AW214" s="658">
        <v>0</v>
      </c>
      <c r="AX214" s="658"/>
      <c r="AY214" s="658"/>
      <c r="AZ214" s="658"/>
      <c r="BA214" s="658"/>
      <c r="BB214" s="658"/>
      <c r="BC214" s="658">
        <v>0</v>
      </c>
      <c r="BD214" s="658"/>
      <c r="BE214" s="658"/>
      <c r="BF214" s="658">
        <v>182.49</v>
      </c>
      <c r="BG214" s="658"/>
      <c r="BH214" s="658"/>
      <c r="BI214" s="567">
        <v>0</v>
      </c>
      <c r="BJ214" s="567"/>
      <c r="BK214" s="567"/>
      <c r="BL214" s="567"/>
      <c r="BM214" s="660" t="s">
        <v>932</v>
      </c>
      <c r="BN214" s="660"/>
      <c r="BO214" s="660"/>
      <c r="BP214" s="660"/>
      <c r="BQ214" s="568" t="s">
        <v>932</v>
      </c>
      <c r="BR214" s="568"/>
      <c r="BS214" s="568"/>
      <c r="BT214" s="660" t="s">
        <v>932</v>
      </c>
      <c r="BU214" s="660"/>
      <c r="BV214" s="660"/>
      <c r="BW214" s="660"/>
      <c r="BX214" s="568" t="s">
        <v>932</v>
      </c>
      <c r="BY214" s="568"/>
      <c r="BZ214" s="568"/>
      <c r="CA214" s="660" t="s">
        <v>932</v>
      </c>
      <c r="CB214" s="660"/>
      <c r="CC214" s="660"/>
      <c r="CD214" s="660"/>
      <c r="CE214" s="568">
        <v>1</v>
      </c>
      <c r="CF214" s="568"/>
      <c r="CG214" s="568"/>
      <c r="CH214" s="660" t="s">
        <v>932</v>
      </c>
      <c r="CI214" s="660"/>
      <c r="CJ214" s="660"/>
      <c r="CK214" s="660"/>
      <c r="CL214" s="568" t="s">
        <v>932</v>
      </c>
      <c r="CM214" s="568"/>
      <c r="CN214" s="568"/>
    </row>
    <row r="215" hidden="1" customHeight="1" spans="1:92">
      <c r="A215" s="612"/>
      <c r="B215" s="612"/>
      <c r="C215" s="518"/>
      <c r="D215" s="518"/>
      <c r="E215" s="518"/>
      <c r="F215" s="657"/>
      <c r="G215" s="657"/>
      <c r="H215" s="657"/>
      <c r="I215" s="519"/>
      <c r="J215" s="519"/>
      <c r="K215" s="519"/>
      <c r="L215" s="519"/>
      <c r="M215" s="519"/>
      <c r="N215" s="519"/>
      <c r="O215" s="519"/>
      <c r="P215" s="519"/>
      <c r="Q215" s="519"/>
      <c r="R215" s="519"/>
      <c r="S215" s="519"/>
      <c r="T215" s="519"/>
      <c r="U215" s="519"/>
      <c r="V215" s="519"/>
      <c r="W215" s="519"/>
      <c r="X215" s="519"/>
      <c r="Y215" s="519"/>
      <c r="Z215" s="519"/>
      <c r="AA215" s="519"/>
      <c r="AB215" s="526"/>
      <c r="AC215" s="526"/>
      <c r="AD215" s="658"/>
      <c r="AE215" s="658"/>
      <c r="AF215" s="658"/>
      <c r="AG215" s="526">
        <v>0</v>
      </c>
      <c r="AH215" s="526"/>
      <c r="AI215" s="659" t="e">
        <v>#N/A</v>
      </c>
      <c r="AJ215" s="659"/>
      <c r="AK215" s="659"/>
      <c r="AL215" s="659"/>
      <c r="AM215" s="659"/>
      <c r="AN215" s="659"/>
      <c r="AO215" s="659"/>
      <c r="AP215" s="659"/>
      <c r="AQ215" s="659"/>
      <c r="AR215" s="659"/>
      <c r="AS215" s="659"/>
      <c r="AT215" s="659"/>
      <c r="AU215" s="659"/>
      <c r="AV215" s="659"/>
      <c r="AW215" s="658">
        <v>0</v>
      </c>
      <c r="AX215" s="658"/>
      <c r="AY215" s="658"/>
      <c r="AZ215" s="658"/>
      <c r="BA215" s="658"/>
      <c r="BB215" s="658"/>
      <c r="BC215" s="658">
        <v>0</v>
      </c>
      <c r="BD215" s="658"/>
      <c r="BE215" s="658"/>
      <c r="BF215" s="658">
        <v>182.49</v>
      </c>
      <c r="BG215" s="658"/>
      <c r="BH215" s="658"/>
      <c r="BI215" s="567">
        <v>0</v>
      </c>
      <c r="BJ215" s="567"/>
      <c r="BK215" s="567"/>
      <c r="BL215" s="567"/>
      <c r="BM215" s="660" t="s">
        <v>932</v>
      </c>
      <c r="BN215" s="660"/>
      <c r="BO215" s="660"/>
      <c r="BP215" s="660"/>
      <c r="BQ215" s="568" t="s">
        <v>932</v>
      </c>
      <c r="BR215" s="568"/>
      <c r="BS215" s="568"/>
      <c r="BT215" s="660" t="s">
        <v>932</v>
      </c>
      <c r="BU215" s="660"/>
      <c r="BV215" s="660"/>
      <c r="BW215" s="660"/>
      <c r="BX215" s="568" t="s">
        <v>932</v>
      </c>
      <c r="BY215" s="568"/>
      <c r="BZ215" s="568"/>
      <c r="CA215" s="660" t="s">
        <v>932</v>
      </c>
      <c r="CB215" s="660"/>
      <c r="CC215" s="660"/>
      <c r="CD215" s="660"/>
      <c r="CE215" s="568">
        <v>1</v>
      </c>
      <c r="CF215" s="568"/>
      <c r="CG215" s="568"/>
      <c r="CH215" s="660" t="s">
        <v>932</v>
      </c>
      <c r="CI215" s="660"/>
      <c r="CJ215" s="660"/>
      <c r="CK215" s="660"/>
      <c r="CL215" s="568" t="s">
        <v>932</v>
      </c>
      <c r="CM215" s="568"/>
      <c r="CN215" s="568"/>
    </row>
    <row r="216" customHeight="1" spans="1:92">
      <c r="A216" s="612" t="s">
        <v>967</v>
      </c>
      <c r="B216" s="612"/>
      <c r="C216" s="518"/>
      <c r="D216" s="518"/>
      <c r="E216" s="518"/>
      <c r="F216" s="657">
        <v>1107900</v>
      </c>
      <c r="G216" s="657"/>
      <c r="H216" s="657"/>
      <c r="I216" s="519" t="s">
        <v>108</v>
      </c>
      <c r="J216" s="519"/>
      <c r="K216" s="519"/>
      <c r="L216" s="519"/>
      <c r="M216" s="519"/>
      <c r="N216" s="519"/>
      <c r="O216" s="519"/>
      <c r="P216" s="519"/>
      <c r="Q216" s="519"/>
      <c r="R216" s="519"/>
      <c r="S216" s="519"/>
      <c r="T216" s="519"/>
      <c r="U216" s="519"/>
      <c r="V216" s="519"/>
      <c r="W216" s="519"/>
      <c r="X216" s="519"/>
      <c r="Y216" s="519"/>
      <c r="Z216" s="519"/>
      <c r="AA216" s="519"/>
      <c r="AB216" s="526" t="s">
        <v>99</v>
      </c>
      <c r="AC216" s="526"/>
      <c r="AD216" s="658">
        <v>4.8</v>
      </c>
      <c r="AE216" s="658"/>
      <c r="AF216" s="658"/>
      <c r="AG216" s="526" t="s">
        <v>946</v>
      </c>
      <c r="AH216" s="526"/>
      <c r="AI216" s="659" t="s">
        <v>947</v>
      </c>
      <c r="AJ216" s="659"/>
      <c r="AK216" s="659"/>
      <c r="AL216" s="659"/>
      <c r="AM216" s="659"/>
      <c r="AN216" s="659"/>
      <c r="AO216" s="659"/>
      <c r="AP216" s="659"/>
      <c r="AQ216" s="659"/>
      <c r="AR216" s="659"/>
      <c r="AS216" s="659"/>
      <c r="AT216" s="659"/>
      <c r="AU216" s="659"/>
      <c r="AV216" s="659"/>
      <c r="AW216" s="658">
        <v>1</v>
      </c>
      <c r="AX216" s="658"/>
      <c r="AY216" s="658"/>
      <c r="AZ216" s="658">
        <v>3.853</v>
      </c>
      <c r="BA216" s="658"/>
      <c r="BB216" s="658"/>
      <c r="BC216" s="658">
        <v>1.2457825071373</v>
      </c>
      <c r="BD216" s="658"/>
      <c r="BE216" s="658"/>
      <c r="BF216" s="658">
        <v>182.49</v>
      </c>
      <c r="BG216" s="658"/>
      <c r="BH216" s="658"/>
      <c r="BI216" s="567">
        <v>0.00682657957771547</v>
      </c>
      <c r="BJ216" s="567"/>
      <c r="BK216" s="567"/>
      <c r="BL216" s="567"/>
      <c r="BM216" s="660" t="s">
        <v>932</v>
      </c>
      <c r="BN216" s="660"/>
      <c r="BO216" s="660"/>
      <c r="BP216" s="660"/>
      <c r="BQ216" s="568" t="s">
        <v>932</v>
      </c>
      <c r="BR216" s="568"/>
      <c r="BS216" s="568"/>
      <c r="BT216" s="660" t="s">
        <v>932</v>
      </c>
      <c r="BU216" s="660"/>
      <c r="BV216" s="660"/>
      <c r="BW216" s="660"/>
      <c r="BX216" s="568" t="s">
        <v>932</v>
      </c>
      <c r="BY216" s="568"/>
      <c r="BZ216" s="568"/>
      <c r="CA216" s="660">
        <v>0.00682657957771547</v>
      </c>
      <c r="CB216" s="660"/>
      <c r="CC216" s="660"/>
      <c r="CD216" s="660"/>
      <c r="CE216" s="568">
        <v>1</v>
      </c>
      <c r="CF216" s="568"/>
      <c r="CG216" s="568"/>
      <c r="CH216" s="660" t="s">
        <v>932</v>
      </c>
      <c r="CI216" s="660"/>
      <c r="CJ216" s="660"/>
      <c r="CK216" s="660"/>
      <c r="CL216" s="568" t="s">
        <v>932</v>
      </c>
      <c r="CM216" s="568"/>
      <c r="CN216" s="568"/>
    </row>
    <row r="217" customHeight="1" spans="1:92">
      <c r="A217" s="612"/>
      <c r="B217" s="612"/>
      <c r="C217" s="518"/>
      <c r="D217" s="518"/>
      <c r="E217" s="518"/>
      <c r="F217" s="657"/>
      <c r="G217" s="657"/>
      <c r="H217" s="657"/>
      <c r="I217" s="519"/>
      <c r="J217" s="519"/>
      <c r="K217" s="519"/>
      <c r="L217" s="519"/>
      <c r="M217" s="519"/>
      <c r="N217" s="519"/>
      <c r="O217" s="519"/>
      <c r="P217" s="519"/>
      <c r="Q217" s="519"/>
      <c r="R217" s="519"/>
      <c r="S217" s="519"/>
      <c r="T217" s="519"/>
      <c r="U217" s="519"/>
      <c r="V217" s="519"/>
      <c r="W217" s="519"/>
      <c r="X217" s="519"/>
      <c r="Y217" s="519"/>
      <c r="Z217" s="519"/>
      <c r="AA217" s="519"/>
      <c r="AB217" s="526"/>
      <c r="AC217" s="526"/>
      <c r="AD217" s="658"/>
      <c r="AE217" s="658"/>
      <c r="AF217" s="658"/>
      <c r="AG217" s="526" t="s">
        <v>935</v>
      </c>
      <c r="AH217" s="526"/>
      <c r="AI217" s="659" t="s">
        <v>936</v>
      </c>
      <c r="AJ217" s="659"/>
      <c r="AK217" s="659"/>
      <c r="AL217" s="659"/>
      <c r="AM217" s="659"/>
      <c r="AN217" s="659"/>
      <c r="AO217" s="659"/>
      <c r="AP217" s="659"/>
      <c r="AQ217" s="659"/>
      <c r="AR217" s="659"/>
      <c r="AS217" s="659"/>
      <c r="AT217" s="659"/>
      <c r="AU217" s="659"/>
      <c r="AV217" s="659"/>
      <c r="AW217" s="658">
        <v>9</v>
      </c>
      <c r="AX217" s="658"/>
      <c r="AY217" s="658"/>
      <c r="AZ217" s="658"/>
      <c r="BA217" s="658"/>
      <c r="BB217" s="658"/>
      <c r="BC217" s="658">
        <v>11.2120425642357</v>
      </c>
      <c r="BD217" s="658"/>
      <c r="BE217" s="658"/>
      <c r="BF217" s="658">
        <v>182.49</v>
      </c>
      <c r="BG217" s="658"/>
      <c r="BH217" s="658"/>
      <c r="BI217" s="567">
        <v>0.0614392161994392</v>
      </c>
      <c r="BJ217" s="567"/>
      <c r="BK217" s="567"/>
      <c r="BL217" s="567"/>
      <c r="BM217" s="660" t="s">
        <v>932</v>
      </c>
      <c r="BN217" s="660"/>
      <c r="BO217" s="660"/>
      <c r="BP217" s="660"/>
      <c r="BQ217" s="568" t="s">
        <v>932</v>
      </c>
      <c r="BR217" s="568"/>
      <c r="BS217" s="568"/>
      <c r="BT217" s="660" t="s">
        <v>932</v>
      </c>
      <c r="BU217" s="660"/>
      <c r="BV217" s="660"/>
      <c r="BW217" s="660"/>
      <c r="BX217" s="568" t="s">
        <v>932</v>
      </c>
      <c r="BY217" s="568"/>
      <c r="BZ217" s="568"/>
      <c r="CA217" s="660">
        <v>0.0614392161994392</v>
      </c>
      <c r="CB217" s="660"/>
      <c r="CC217" s="660"/>
      <c r="CD217" s="660"/>
      <c r="CE217" s="568">
        <v>1</v>
      </c>
      <c r="CF217" s="568"/>
      <c r="CG217" s="568"/>
      <c r="CH217" s="660" t="s">
        <v>932</v>
      </c>
      <c r="CI217" s="660"/>
      <c r="CJ217" s="660"/>
      <c r="CK217" s="660"/>
      <c r="CL217" s="568" t="s">
        <v>932</v>
      </c>
      <c r="CM217" s="568"/>
      <c r="CN217" s="568"/>
    </row>
    <row r="218" hidden="1" customHeight="1" spans="1:92">
      <c r="A218" s="612"/>
      <c r="B218" s="612"/>
      <c r="C218" s="518"/>
      <c r="D218" s="518"/>
      <c r="E218" s="518"/>
      <c r="F218" s="657"/>
      <c r="G218" s="657"/>
      <c r="H218" s="657"/>
      <c r="I218" s="519"/>
      <c r="J218" s="519"/>
      <c r="K218" s="519"/>
      <c r="L218" s="519"/>
      <c r="M218" s="519"/>
      <c r="N218" s="519"/>
      <c r="O218" s="519"/>
      <c r="P218" s="519"/>
      <c r="Q218" s="519"/>
      <c r="R218" s="519"/>
      <c r="S218" s="519"/>
      <c r="T218" s="519"/>
      <c r="U218" s="519"/>
      <c r="V218" s="519"/>
      <c r="W218" s="519"/>
      <c r="X218" s="519"/>
      <c r="Y218" s="519"/>
      <c r="Z218" s="519"/>
      <c r="AA218" s="519"/>
      <c r="AB218" s="526"/>
      <c r="AC218" s="526"/>
      <c r="AD218" s="658"/>
      <c r="AE218" s="658"/>
      <c r="AF218" s="658"/>
      <c r="AG218" s="526">
        <v>0</v>
      </c>
      <c r="AH218" s="526"/>
      <c r="AI218" s="659" t="e">
        <v>#N/A</v>
      </c>
      <c r="AJ218" s="659"/>
      <c r="AK218" s="659"/>
      <c r="AL218" s="659"/>
      <c r="AM218" s="659"/>
      <c r="AN218" s="659"/>
      <c r="AO218" s="659"/>
      <c r="AP218" s="659"/>
      <c r="AQ218" s="659"/>
      <c r="AR218" s="659"/>
      <c r="AS218" s="659"/>
      <c r="AT218" s="659"/>
      <c r="AU218" s="659"/>
      <c r="AV218" s="659"/>
      <c r="AW218" s="658">
        <v>0</v>
      </c>
      <c r="AX218" s="658"/>
      <c r="AY218" s="658"/>
      <c r="AZ218" s="658"/>
      <c r="BA218" s="658"/>
      <c r="BB218" s="658"/>
      <c r="BC218" s="658">
        <v>0</v>
      </c>
      <c r="BD218" s="658"/>
      <c r="BE218" s="658"/>
      <c r="BF218" s="658">
        <v>182.49</v>
      </c>
      <c r="BG218" s="658"/>
      <c r="BH218" s="658"/>
      <c r="BI218" s="567">
        <v>0</v>
      </c>
      <c r="BJ218" s="567"/>
      <c r="BK218" s="567"/>
      <c r="BL218" s="567"/>
      <c r="BM218" s="660" t="s">
        <v>932</v>
      </c>
      <c r="BN218" s="660"/>
      <c r="BO218" s="660"/>
      <c r="BP218" s="660"/>
      <c r="BQ218" s="568" t="s">
        <v>932</v>
      </c>
      <c r="BR218" s="568"/>
      <c r="BS218" s="568"/>
      <c r="BT218" s="660" t="s">
        <v>932</v>
      </c>
      <c r="BU218" s="660"/>
      <c r="BV218" s="660"/>
      <c r="BW218" s="660"/>
      <c r="BX218" s="568" t="s">
        <v>932</v>
      </c>
      <c r="BY218" s="568"/>
      <c r="BZ218" s="568"/>
      <c r="CA218" s="660" t="s">
        <v>932</v>
      </c>
      <c r="CB218" s="660"/>
      <c r="CC218" s="660"/>
      <c r="CD218" s="660"/>
      <c r="CE218" s="568">
        <v>1</v>
      </c>
      <c r="CF218" s="568"/>
      <c r="CG218" s="568"/>
      <c r="CH218" s="660" t="s">
        <v>932</v>
      </c>
      <c r="CI218" s="660"/>
      <c r="CJ218" s="660"/>
      <c r="CK218" s="660"/>
      <c r="CL218" s="568" t="s">
        <v>932</v>
      </c>
      <c r="CM218" s="568"/>
      <c r="CN218" s="568"/>
    </row>
    <row r="219" hidden="1" customHeight="1" spans="1:92">
      <c r="A219" s="612"/>
      <c r="B219" s="612"/>
      <c r="C219" s="518"/>
      <c r="D219" s="518"/>
      <c r="E219" s="518"/>
      <c r="F219" s="657"/>
      <c r="G219" s="657"/>
      <c r="H219" s="657"/>
      <c r="I219" s="519"/>
      <c r="J219" s="519"/>
      <c r="K219" s="519"/>
      <c r="L219" s="519"/>
      <c r="M219" s="519"/>
      <c r="N219" s="519"/>
      <c r="O219" s="519"/>
      <c r="P219" s="519"/>
      <c r="Q219" s="519"/>
      <c r="R219" s="519"/>
      <c r="S219" s="519"/>
      <c r="T219" s="519"/>
      <c r="U219" s="519"/>
      <c r="V219" s="519"/>
      <c r="W219" s="519"/>
      <c r="X219" s="519"/>
      <c r="Y219" s="519"/>
      <c r="Z219" s="519"/>
      <c r="AA219" s="519"/>
      <c r="AB219" s="526"/>
      <c r="AC219" s="526"/>
      <c r="AD219" s="658"/>
      <c r="AE219" s="658"/>
      <c r="AF219" s="658"/>
      <c r="AG219" s="526">
        <v>0</v>
      </c>
      <c r="AH219" s="526"/>
      <c r="AI219" s="659" t="e">
        <v>#N/A</v>
      </c>
      <c r="AJ219" s="659"/>
      <c r="AK219" s="659"/>
      <c r="AL219" s="659"/>
      <c r="AM219" s="659"/>
      <c r="AN219" s="659"/>
      <c r="AO219" s="659"/>
      <c r="AP219" s="659"/>
      <c r="AQ219" s="659"/>
      <c r="AR219" s="659"/>
      <c r="AS219" s="659"/>
      <c r="AT219" s="659"/>
      <c r="AU219" s="659"/>
      <c r="AV219" s="659"/>
      <c r="AW219" s="658">
        <v>0</v>
      </c>
      <c r="AX219" s="658"/>
      <c r="AY219" s="658"/>
      <c r="AZ219" s="658"/>
      <c r="BA219" s="658"/>
      <c r="BB219" s="658"/>
      <c r="BC219" s="658">
        <v>0</v>
      </c>
      <c r="BD219" s="658"/>
      <c r="BE219" s="658"/>
      <c r="BF219" s="658">
        <v>182.49</v>
      </c>
      <c r="BG219" s="658"/>
      <c r="BH219" s="658"/>
      <c r="BI219" s="567">
        <v>0</v>
      </c>
      <c r="BJ219" s="567"/>
      <c r="BK219" s="567"/>
      <c r="BL219" s="567"/>
      <c r="BM219" s="660" t="s">
        <v>932</v>
      </c>
      <c r="BN219" s="660"/>
      <c r="BO219" s="660"/>
      <c r="BP219" s="660"/>
      <c r="BQ219" s="568" t="s">
        <v>932</v>
      </c>
      <c r="BR219" s="568"/>
      <c r="BS219" s="568"/>
      <c r="BT219" s="660" t="s">
        <v>932</v>
      </c>
      <c r="BU219" s="660"/>
      <c r="BV219" s="660"/>
      <c r="BW219" s="660"/>
      <c r="BX219" s="568" t="s">
        <v>932</v>
      </c>
      <c r="BY219" s="568"/>
      <c r="BZ219" s="568"/>
      <c r="CA219" s="660" t="s">
        <v>932</v>
      </c>
      <c r="CB219" s="660"/>
      <c r="CC219" s="660"/>
      <c r="CD219" s="660"/>
      <c r="CE219" s="568">
        <v>1</v>
      </c>
      <c r="CF219" s="568"/>
      <c r="CG219" s="568"/>
      <c r="CH219" s="660" t="s">
        <v>932</v>
      </c>
      <c r="CI219" s="660"/>
      <c r="CJ219" s="660"/>
      <c r="CK219" s="660"/>
      <c r="CL219" s="568" t="s">
        <v>932</v>
      </c>
      <c r="CM219" s="568"/>
      <c r="CN219" s="568"/>
    </row>
    <row r="220" hidden="1" customHeight="1" spans="1:92">
      <c r="A220" s="612"/>
      <c r="B220" s="612"/>
      <c r="C220" s="518"/>
      <c r="D220" s="518"/>
      <c r="E220" s="518"/>
      <c r="F220" s="657"/>
      <c r="G220" s="657"/>
      <c r="H220" s="657"/>
      <c r="I220" s="519"/>
      <c r="J220" s="519"/>
      <c r="K220" s="519"/>
      <c r="L220" s="519"/>
      <c r="M220" s="519"/>
      <c r="N220" s="519"/>
      <c r="O220" s="519"/>
      <c r="P220" s="519"/>
      <c r="Q220" s="519"/>
      <c r="R220" s="519"/>
      <c r="S220" s="519"/>
      <c r="T220" s="519"/>
      <c r="U220" s="519"/>
      <c r="V220" s="519"/>
      <c r="W220" s="519"/>
      <c r="X220" s="519"/>
      <c r="Y220" s="519"/>
      <c r="Z220" s="519"/>
      <c r="AA220" s="519"/>
      <c r="AB220" s="526"/>
      <c r="AC220" s="526"/>
      <c r="AD220" s="658"/>
      <c r="AE220" s="658"/>
      <c r="AF220" s="658"/>
      <c r="AG220" s="526">
        <v>0</v>
      </c>
      <c r="AH220" s="526"/>
      <c r="AI220" s="659" t="e">
        <v>#N/A</v>
      </c>
      <c r="AJ220" s="659"/>
      <c r="AK220" s="659"/>
      <c r="AL220" s="659"/>
      <c r="AM220" s="659"/>
      <c r="AN220" s="659"/>
      <c r="AO220" s="659"/>
      <c r="AP220" s="659"/>
      <c r="AQ220" s="659"/>
      <c r="AR220" s="659"/>
      <c r="AS220" s="659"/>
      <c r="AT220" s="659"/>
      <c r="AU220" s="659"/>
      <c r="AV220" s="659"/>
      <c r="AW220" s="658">
        <v>0</v>
      </c>
      <c r="AX220" s="658"/>
      <c r="AY220" s="658"/>
      <c r="AZ220" s="658"/>
      <c r="BA220" s="658"/>
      <c r="BB220" s="658"/>
      <c r="BC220" s="658">
        <v>0</v>
      </c>
      <c r="BD220" s="658"/>
      <c r="BE220" s="658"/>
      <c r="BF220" s="658">
        <v>182.49</v>
      </c>
      <c r="BG220" s="658"/>
      <c r="BH220" s="658"/>
      <c r="BI220" s="567">
        <v>0</v>
      </c>
      <c r="BJ220" s="567"/>
      <c r="BK220" s="567"/>
      <c r="BL220" s="567"/>
      <c r="BM220" s="660" t="s">
        <v>932</v>
      </c>
      <c r="BN220" s="660"/>
      <c r="BO220" s="660"/>
      <c r="BP220" s="660"/>
      <c r="BQ220" s="568" t="s">
        <v>932</v>
      </c>
      <c r="BR220" s="568"/>
      <c r="BS220" s="568"/>
      <c r="BT220" s="660" t="s">
        <v>932</v>
      </c>
      <c r="BU220" s="660"/>
      <c r="BV220" s="660"/>
      <c r="BW220" s="660"/>
      <c r="BX220" s="568" t="s">
        <v>932</v>
      </c>
      <c r="BY220" s="568"/>
      <c r="BZ220" s="568"/>
      <c r="CA220" s="660" t="s">
        <v>932</v>
      </c>
      <c r="CB220" s="660"/>
      <c r="CC220" s="660"/>
      <c r="CD220" s="660"/>
      <c r="CE220" s="568">
        <v>1</v>
      </c>
      <c r="CF220" s="568"/>
      <c r="CG220" s="568"/>
      <c r="CH220" s="660" t="s">
        <v>932</v>
      </c>
      <c r="CI220" s="660"/>
      <c r="CJ220" s="660"/>
      <c r="CK220" s="660"/>
      <c r="CL220" s="568" t="s">
        <v>932</v>
      </c>
      <c r="CM220" s="568"/>
      <c r="CN220" s="568"/>
    </row>
    <row r="221" hidden="1" customHeight="1" spans="1:92">
      <c r="A221" s="612"/>
      <c r="B221" s="612"/>
      <c r="C221" s="518"/>
      <c r="D221" s="518"/>
      <c r="E221" s="518"/>
      <c r="F221" s="657"/>
      <c r="G221" s="657"/>
      <c r="H221" s="657"/>
      <c r="I221" s="519"/>
      <c r="J221" s="519"/>
      <c r="K221" s="519"/>
      <c r="L221" s="519"/>
      <c r="M221" s="519"/>
      <c r="N221" s="519"/>
      <c r="O221" s="519"/>
      <c r="P221" s="519"/>
      <c r="Q221" s="519"/>
      <c r="R221" s="519"/>
      <c r="S221" s="519"/>
      <c r="T221" s="519"/>
      <c r="U221" s="519"/>
      <c r="V221" s="519"/>
      <c r="W221" s="519"/>
      <c r="X221" s="519"/>
      <c r="Y221" s="519"/>
      <c r="Z221" s="519"/>
      <c r="AA221" s="519"/>
      <c r="AB221" s="526"/>
      <c r="AC221" s="526"/>
      <c r="AD221" s="658"/>
      <c r="AE221" s="658"/>
      <c r="AF221" s="658"/>
      <c r="AG221" s="526">
        <v>0</v>
      </c>
      <c r="AH221" s="526"/>
      <c r="AI221" s="659" t="e">
        <v>#N/A</v>
      </c>
      <c r="AJ221" s="659"/>
      <c r="AK221" s="659"/>
      <c r="AL221" s="659"/>
      <c r="AM221" s="659"/>
      <c r="AN221" s="659"/>
      <c r="AO221" s="659"/>
      <c r="AP221" s="659"/>
      <c r="AQ221" s="659"/>
      <c r="AR221" s="659"/>
      <c r="AS221" s="659"/>
      <c r="AT221" s="659"/>
      <c r="AU221" s="659"/>
      <c r="AV221" s="659"/>
      <c r="AW221" s="658">
        <v>0</v>
      </c>
      <c r="AX221" s="658"/>
      <c r="AY221" s="658"/>
      <c r="AZ221" s="658"/>
      <c r="BA221" s="658"/>
      <c r="BB221" s="658"/>
      <c r="BC221" s="658">
        <v>0</v>
      </c>
      <c r="BD221" s="658"/>
      <c r="BE221" s="658"/>
      <c r="BF221" s="658">
        <v>182.49</v>
      </c>
      <c r="BG221" s="658"/>
      <c r="BH221" s="658"/>
      <c r="BI221" s="567">
        <v>0</v>
      </c>
      <c r="BJ221" s="567"/>
      <c r="BK221" s="567"/>
      <c r="BL221" s="567"/>
      <c r="BM221" s="660" t="s">
        <v>932</v>
      </c>
      <c r="BN221" s="660"/>
      <c r="BO221" s="660"/>
      <c r="BP221" s="660"/>
      <c r="BQ221" s="568" t="s">
        <v>932</v>
      </c>
      <c r="BR221" s="568"/>
      <c r="BS221" s="568"/>
      <c r="BT221" s="660" t="s">
        <v>932</v>
      </c>
      <c r="BU221" s="660"/>
      <c r="BV221" s="660"/>
      <c r="BW221" s="660"/>
      <c r="BX221" s="568" t="s">
        <v>932</v>
      </c>
      <c r="BY221" s="568"/>
      <c r="BZ221" s="568"/>
      <c r="CA221" s="660" t="s">
        <v>932</v>
      </c>
      <c r="CB221" s="660"/>
      <c r="CC221" s="660"/>
      <c r="CD221" s="660"/>
      <c r="CE221" s="568">
        <v>1</v>
      </c>
      <c r="CF221" s="568"/>
      <c r="CG221" s="568"/>
      <c r="CH221" s="660" t="s">
        <v>932</v>
      </c>
      <c r="CI221" s="660"/>
      <c r="CJ221" s="660"/>
      <c r="CK221" s="660"/>
      <c r="CL221" s="568" t="s">
        <v>932</v>
      </c>
      <c r="CM221" s="568"/>
      <c r="CN221" s="568"/>
    </row>
    <row r="222" hidden="1" customHeight="1" spans="1:92">
      <c r="A222" s="612"/>
      <c r="B222" s="612"/>
      <c r="C222" s="518"/>
      <c r="D222" s="518"/>
      <c r="E222" s="518"/>
      <c r="F222" s="657"/>
      <c r="G222" s="657"/>
      <c r="H222" s="657"/>
      <c r="I222" s="519"/>
      <c r="J222" s="519"/>
      <c r="K222" s="519"/>
      <c r="L222" s="519"/>
      <c r="M222" s="519"/>
      <c r="N222" s="519"/>
      <c r="O222" s="519"/>
      <c r="P222" s="519"/>
      <c r="Q222" s="519"/>
      <c r="R222" s="519"/>
      <c r="S222" s="519"/>
      <c r="T222" s="519"/>
      <c r="U222" s="519"/>
      <c r="V222" s="519"/>
      <c r="W222" s="519"/>
      <c r="X222" s="519"/>
      <c r="Y222" s="519"/>
      <c r="Z222" s="519"/>
      <c r="AA222" s="519"/>
      <c r="AB222" s="526"/>
      <c r="AC222" s="526"/>
      <c r="AD222" s="658"/>
      <c r="AE222" s="658"/>
      <c r="AF222" s="658"/>
      <c r="AG222" s="526">
        <v>0</v>
      </c>
      <c r="AH222" s="526"/>
      <c r="AI222" s="659" t="e">
        <v>#N/A</v>
      </c>
      <c r="AJ222" s="659"/>
      <c r="AK222" s="659"/>
      <c r="AL222" s="659"/>
      <c r="AM222" s="659"/>
      <c r="AN222" s="659"/>
      <c r="AO222" s="659"/>
      <c r="AP222" s="659"/>
      <c r="AQ222" s="659"/>
      <c r="AR222" s="659"/>
      <c r="AS222" s="659"/>
      <c r="AT222" s="659"/>
      <c r="AU222" s="659"/>
      <c r="AV222" s="659"/>
      <c r="AW222" s="658">
        <v>0</v>
      </c>
      <c r="AX222" s="658"/>
      <c r="AY222" s="658"/>
      <c r="AZ222" s="658"/>
      <c r="BA222" s="658"/>
      <c r="BB222" s="658"/>
      <c r="BC222" s="658">
        <v>0</v>
      </c>
      <c r="BD222" s="658"/>
      <c r="BE222" s="658"/>
      <c r="BF222" s="658">
        <v>182.49</v>
      </c>
      <c r="BG222" s="658"/>
      <c r="BH222" s="658"/>
      <c r="BI222" s="567">
        <v>0</v>
      </c>
      <c r="BJ222" s="567"/>
      <c r="BK222" s="567"/>
      <c r="BL222" s="567"/>
      <c r="BM222" s="660" t="s">
        <v>932</v>
      </c>
      <c r="BN222" s="660"/>
      <c r="BO222" s="660"/>
      <c r="BP222" s="660"/>
      <c r="BQ222" s="568" t="s">
        <v>932</v>
      </c>
      <c r="BR222" s="568"/>
      <c r="BS222" s="568"/>
      <c r="BT222" s="660" t="s">
        <v>932</v>
      </c>
      <c r="BU222" s="660"/>
      <c r="BV222" s="660"/>
      <c r="BW222" s="660"/>
      <c r="BX222" s="568" t="s">
        <v>932</v>
      </c>
      <c r="BY222" s="568"/>
      <c r="BZ222" s="568"/>
      <c r="CA222" s="660" t="s">
        <v>932</v>
      </c>
      <c r="CB222" s="660"/>
      <c r="CC222" s="660"/>
      <c r="CD222" s="660"/>
      <c r="CE222" s="568">
        <v>1</v>
      </c>
      <c r="CF222" s="568"/>
      <c r="CG222" s="568"/>
      <c r="CH222" s="660" t="s">
        <v>932</v>
      </c>
      <c r="CI222" s="660"/>
      <c r="CJ222" s="660"/>
      <c r="CK222" s="660"/>
      <c r="CL222" s="568" t="s">
        <v>932</v>
      </c>
      <c r="CM222" s="568"/>
      <c r="CN222" s="568"/>
    </row>
    <row r="223" hidden="1" customHeight="1" spans="1:92">
      <c r="A223" s="612"/>
      <c r="B223" s="612"/>
      <c r="C223" s="518"/>
      <c r="D223" s="518"/>
      <c r="E223" s="518"/>
      <c r="F223" s="657"/>
      <c r="G223" s="657"/>
      <c r="H223" s="657"/>
      <c r="I223" s="519"/>
      <c r="J223" s="519"/>
      <c r="K223" s="519"/>
      <c r="L223" s="519"/>
      <c r="M223" s="519"/>
      <c r="N223" s="519"/>
      <c r="O223" s="519"/>
      <c r="P223" s="519"/>
      <c r="Q223" s="519"/>
      <c r="R223" s="519"/>
      <c r="S223" s="519"/>
      <c r="T223" s="519"/>
      <c r="U223" s="519"/>
      <c r="V223" s="519"/>
      <c r="W223" s="519"/>
      <c r="X223" s="519"/>
      <c r="Y223" s="519"/>
      <c r="Z223" s="519"/>
      <c r="AA223" s="519"/>
      <c r="AB223" s="526"/>
      <c r="AC223" s="526"/>
      <c r="AD223" s="658"/>
      <c r="AE223" s="658"/>
      <c r="AF223" s="658"/>
      <c r="AG223" s="526">
        <v>0</v>
      </c>
      <c r="AH223" s="526"/>
      <c r="AI223" s="659" t="e">
        <v>#N/A</v>
      </c>
      <c r="AJ223" s="659"/>
      <c r="AK223" s="659"/>
      <c r="AL223" s="659"/>
      <c r="AM223" s="659"/>
      <c r="AN223" s="659"/>
      <c r="AO223" s="659"/>
      <c r="AP223" s="659"/>
      <c r="AQ223" s="659"/>
      <c r="AR223" s="659"/>
      <c r="AS223" s="659"/>
      <c r="AT223" s="659"/>
      <c r="AU223" s="659"/>
      <c r="AV223" s="659"/>
      <c r="AW223" s="658">
        <v>0</v>
      </c>
      <c r="AX223" s="658"/>
      <c r="AY223" s="658"/>
      <c r="AZ223" s="658"/>
      <c r="BA223" s="658"/>
      <c r="BB223" s="658"/>
      <c r="BC223" s="658">
        <v>0</v>
      </c>
      <c r="BD223" s="658"/>
      <c r="BE223" s="658"/>
      <c r="BF223" s="658">
        <v>182.49</v>
      </c>
      <c r="BG223" s="658"/>
      <c r="BH223" s="658"/>
      <c r="BI223" s="567">
        <v>0</v>
      </c>
      <c r="BJ223" s="567"/>
      <c r="BK223" s="567"/>
      <c r="BL223" s="567"/>
      <c r="BM223" s="660" t="s">
        <v>932</v>
      </c>
      <c r="BN223" s="660"/>
      <c r="BO223" s="660"/>
      <c r="BP223" s="660"/>
      <c r="BQ223" s="568" t="s">
        <v>932</v>
      </c>
      <c r="BR223" s="568"/>
      <c r="BS223" s="568"/>
      <c r="BT223" s="660" t="s">
        <v>932</v>
      </c>
      <c r="BU223" s="660"/>
      <c r="BV223" s="660"/>
      <c r="BW223" s="660"/>
      <c r="BX223" s="568" t="s">
        <v>932</v>
      </c>
      <c r="BY223" s="568"/>
      <c r="BZ223" s="568"/>
      <c r="CA223" s="660" t="s">
        <v>932</v>
      </c>
      <c r="CB223" s="660"/>
      <c r="CC223" s="660"/>
      <c r="CD223" s="660"/>
      <c r="CE223" s="568">
        <v>1</v>
      </c>
      <c r="CF223" s="568"/>
      <c r="CG223" s="568"/>
      <c r="CH223" s="660" t="s">
        <v>932</v>
      </c>
      <c r="CI223" s="660"/>
      <c r="CJ223" s="660"/>
      <c r="CK223" s="660"/>
      <c r="CL223" s="568" t="s">
        <v>932</v>
      </c>
      <c r="CM223" s="568"/>
      <c r="CN223" s="568"/>
    </row>
    <row r="224" customHeight="1" spans="1:92">
      <c r="A224" s="612" t="s">
        <v>968</v>
      </c>
      <c r="B224" s="612"/>
      <c r="C224" s="518"/>
      <c r="D224" s="518"/>
      <c r="E224" s="518"/>
      <c r="F224" s="657">
        <v>1106057</v>
      </c>
      <c r="G224" s="657"/>
      <c r="H224" s="657"/>
      <c r="I224" s="519" t="s">
        <v>109</v>
      </c>
      <c r="J224" s="519"/>
      <c r="K224" s="519"/>
      <c r="L224" s="519"/>
      <c r="M224" s="519"/>
      <c r="N224" s="519"/>
      <c r="O224" s="519"/>
      <c r="P224" s="519"/>
      <c r="Q224" s="519"/>
      <c r="R224" s="519"/>
      <c r="S224" s="519"/>
      <c r="T224" s="519"/>
      <c r="U224" s="519"/>
      <c r="V224" s="519"/>
      <c r="W224" s="519"/>
      <c r="X224" s="519"/>
      <c r="Y224" s="519"/>
      <c r="Z224" s="519"/>
      <c r="AA224" s="519"/>
      <c r="AB224" s="526" t="s">
        <v>99</v>
      </c>
      <c r="AC224" s="526"/>
      <c r="AD224" s="658">
        <v>1.2</v>
      </c>
      <c r="AE224" s="658"/>
      <c r="AF224" s="658"/>
      <c r="AG224" s="526" t="s">
        <v>946</v>
      </c>
      <c r="AH224" s="526"/>
      <c r="AI224" s="659" t="s">
        <v>947</v>
      </c>
      <c r="AJ224" s="659"/>
      <c r="AK224" s="659"/>
      <c r="AL224" s="659"/>
      <c r="AM224" s="659"/>
      <c r="AN224" s="659"/>
      <c r="AO224" s="659"/>
      <c r="AP224" s="659"/>
      <c r="AQ224" s="659"/>
      <c r="AR224" s="659"/>
      <c r="AS224" s="659"/>
      <c r="AT224" s="659"/>
      <c r="AU224" s="659"/>
      <c r="AV224" s="659"/>
      <c r="AW224" s="658">
        <v>1</v>
      </c>
      <c r="AX224" s="658"/>
      <c r="AY224" s="658"/>
      <c r="AZ224" s="658">
        <v>3.92899</v>
      </c>
      <c r="BA224" s="658"/>
      <c r="BB224" s="658"/>
      <c r="BC224" s="658">
        <v>0.305422004128287</v>
      </c>
      <c r="BD224" s="658"/>
      <c r="BE224" s="658"/>
      <c r="BF224" s="658">
        <v>182.49</v>
      </c>
      <c r="BG224" s="658"/>
      <c r="BH224" s="658"/>
      <c r="BI224" s="567">
        <v>0.00167363693423359</v>
      </c>
      <c r="BJ224" s="567"/>
      <c r="BK224" s="567"/>
      <c r="BL224" s="567"/>
      <c r="BM224" s="660" t="s">
        <v>932</v>
      </c>
      <c r="BN224" s="660"/>
      <c r="BO224" s="660"/>
      <c r="BP224" s="660"/>
      <c r="BQ224" s="568" t="s">
        <v>932</v>
      </c>
      <c r="BR224" s="568"/>
      <c r="BS224" s="568"/>
      <c r="BT224" s="660" t="s">
        <v>932</v>
      </c>
      <c r="BU224" s="660"/>
      <c r="BV224" s="660"/>
      <c r="BW224" s="660"/>
      <c r="BX224" s="568" t="s">
        <v>932</v>
      </c>
      <c r="BY224" s="568"/>
      <c r="BZ224" s="568"/>
      <c r="CA224" s="660">
        <v>0.00167363693423359</v>
      </c>
      <c r="CB224" s="660"/>
      <c r="CC224" s="660"/>
      <c r="CD224" s="660"/>
      <c r="CE224" s="568">
        <v>1</v>
      </c>
      <c r="CF224" s="568"/>
      <c r="CG224" s="568"/>
      <c r="CH224" s="660" t="s">
        <v>932</v>
      </c>
      <c r="CI224" s="660"/>
      <c r="CJ224" s="660"/>
      <c r="CK224" s="660"/>
      <c r="CL224" s="568" t="s">
        <v>932</v>
      </c>
      <c r="CM224" s="568"/>
      <c r="CN224" s="568"/>
    </row>
    <row r="225" customHeight="1" spans="1:92">
      <c r="A225" s="612"/>
      <c r="B225" s="612"/>
      <c r="C225" s="518"/>
      <c r="D225" s="518"/>
      <c r="E225" s="518"/>
      <c r="F225" s="657"/>
      <c r="G225" s="657"/>
      <c r="H225" s="657"/>
      <c r="I225" s="519"/>
      <c r="J225" s="519"/>
      <c r="K225" s="519"/>
      <c r="L225" s="519"/>
      <c r="M225" s="519"/>
      <c r="N225" s="519"/>
      <c r="O225" s="519"/>
      <c r="P225" s="519"/>
      <c r="Q225" s="519"/>
      <c r="R225" s="519"/>
      <c r="S225" s="519"/>
      <c r="T225" s="519"/>
      <c r="U225" s="519"/>
      <c r="V225" s="519"/>
      <c r="W225" s="519"/>
      <c r="X225" s="519"/>
      <c r="Y225" s="519"/>
      <c r="Z225" s="519"/>
      <c r="AA225" s="519"/>
      <c r="AB225" s="526"/>
      <c r="AC225" s="526"/>
      <c r="AD225" s="658"/>
      <c r="AE225" s="658"/>
      <c r="AF225" s="658"/>
      <c r="AG225" s="526" t="s">
        <v>935</v>
      </c>
      <c r="AH225" s="526"/>
      <c r="AI225" s="659" t="s">
        <v>936</v>
      </c>
      <c r="AJ225" s="659"/>
      <c r="AK225" s="659"/>
      <c r="AL225" s="659"/>
      <c r="AM225" s="659"/>
      <c r="AN225" s="659"/>
      <c r="AO225" s="659"/>
      <c r="AP225" s="659"/>
      <c r="AQ225" s="659"/>
      <c r="AR225" s="659"/>
      <c r="AS225" s="659"/>
      <c r="AT225" s="659"/>
      <c r="AU225" s="659"/>
      <c r="AV225" s="659"/>
      <c r="AW225" s="658">
        <v>9</v>
      </c>
      <c r="AX225" s="658"/>
      <c r="AY225" s="658"/>
      <c r="AZ225" s="658"/>
      <c r="BA225" s="658"/>
      <c r="BB225" s="658"/>
      <c r="BC225" s="658">
        <v>2.74879803715459</v>
      </c>
      <c r="BD225" s="658"/>
      <c r="BE225" s="658"/>
      <c r="BF225" s="658">
        <v>182.49</v>
      </c>
      <c r="BG225" s="658"/>
      <c r="BH225" s="658"/>
      <c r="BI225" s="567">
        <v>0.0150627324081023</v>
      </c>
      <c r="BJ225" s="567"/>
      <c r="BK225" s="567"/>
      <c r="BL225" s="567"/>
      <c r="BM225" s="660" t="s">
        <v>932</v>
      </c>
      <c r="BN225" s="660"/>
      <c r="BO225" s="660"/>
      <c r="BP225" s="660"/>
      <c r="BQ225" s="568" t="s">
        <v>932</v>
      </c>
      <c r="BR225" s="568"/>
      <c r="BS225" s="568"/>
      <c r="BT225" s="660" t="s">
        <v>932</v>
      </c>
      <c r="BU225" s="660"/>
      <c r="BV225" s="660"/>
      <c r="BW225" s="660"/>
      <c r="BX225" s="568" t="s">
        <v>932</v>
      </c>
      <c r="BY225" s="568"/>
      <c r="BZ225" s="568"/>
      <c r="CA225" s="660">
        <v>0.0150627324081023</v>
      </c>
      <c r="CB225" s="660"/>
      <c r="CC225" s="660"/>
      <c r="CD225" s="660"/>
      <c r="CE225" s="568">
        <v>1</v>
      </c>
      <c r="CF225" s="568"/>
      <c r="CG225" s="568"/>
      <c r="CH225" s="660" t="s">
        <v>932</v>
      </c>
      <c r="CI225" s="660"/>
      <c r="CJ225" s="660"/>
      <c r="CK225" s="660"/>
      <c r="CL225" s="568" t="s">
        <v>932</v>
      </c>
      <c r="CM225" s="568"/>
      <c r="CN225" s="568"/>
    </row>
    <row r="226" hidden="1" customHeight="1" spans="1:92">
      <c r="A226" s="612"/>
      <c r="B226" s="612"/>
      <c r="C226" s="518"/>
      <c r="D226" s="518"/>
      <c r="E226" s="518"/>
      <c r="F226" s="657"/>
      <c r="G226" s="657"/>
      <c r="H226" s="657"/>
      <c r="I226" s="519"/>
      <c r="J226" s="519"/>
      <c r="K226" s="519"/>
      <c r="L226" s="519"/>
      <c r="M226" s="519"/>
      <c r="N226" s="519"/>
      <c r="O226" s="519"/>
      <c r="P226" s="519"/>
      <c r="Q226" s="519"/>
      <c r="R226" s="519"/>
      <c r="S226" s="519"/>
      <c r="T226" s="519"/>
      <c r="U226" s="519"/>
      <c r="V226" s="519"/>
      <c r="W226" s="519"/>
      <c r="X226" s="519"/>
      <c r="Y226" s="519"/>
      <c r="Z226" s="519"/>
      <c r="AA226" s="519"/>
      <c r="AB226" s="526"/>
      <c r="AC226" s="526"/>
      <c r="AD226" s="658"/>
      <c r="AE226" s="658"/>
      <c r="AF226" s="658"/>
      <c r="AG226" s="526">
        <v>0</v>
      </c>
      <c r="AH226" s="526"/>
      <c r="AI226" s="659" t="e">
        <v>#N/A</v>
      </c>
      <c r="AJ226" s="659"/>
      <c r="AK226" s="659"/>
      <c r="AL226" s="659"/>
      <c r="AM226" s="659"/>
      <c r="AN226" s="659"/>
      <c r="AO226" s="659"/>
      <c r="AP226" s="659"/>
      <c r="AQ226" s="659"/>
      <c r="AR226" s="659"/>
      <c r="AS226" s="659"/>
      <c r="AT226" s="659"/>
      <c r="AU226" s="659"/>
      <c r="AV226" s="659"/>
      <c r="AW226" s="658">
        <v>0</v>
      </c>
      <c r="AX226" s="658"/>
      <c r="AY226" s="658"/>
      <c r="AZ226" s="658"/>
      <c r="BA226" s="658"/>
      <c r="BB226" s="658"/>
      <c r="BC226" s="658">
        <v>0</v>
      </c>
      <c r="BD226" s="658"/>
      <c r="BE226" s="658"/>
      <c r="BF226" s="658">
        <v>182.49</v>
      </c>
      <c r="BG226" s="658"/>
      <c r="BH226" s="658"/>
      <c r="BI226" s="567">
        <v>0</v>
      </c>
      <c r="BJ226" s="567"/>
      <c r="BK226" s="567"/>
      <c r="BL226" s="567"/>
      <c r="BM226" s="660" t="s">
        <v>932</v>
      </c>
      <c r="BN226" s="660"/>
      <c r="BO226" s="660"/>
      <c r="BP226" s="660"/>
      <c r="BQ226" s="568" t="s">
        <v>932</v>
      </c>
      <c r="BR226" s="568"/>
      <c r="BS226" s="568"/>
      <c r="BT226" s="660" t="s">
        <v>932</v>
      </c>
      <c r="BU226" s="660"/>
      <c r="BV226" s="660"/>
      <c r="BW226" s="660"/>
      <c r="BX226" s="568" t="s">
        <v>932</v>
      </c>
      <c r="BY226" s="568"/>
      <c r="BZ226" s="568"/>
      <c r="CA226" s="660" t="s">
        <v>932</v>
      </c>
      <c r="CB226" s="660"/>
      <c r="CC226" s="660"/>
      <c r="CD226" s="660"/>
      <c r="CE226" s="568">
        <v>1</v>
      </c>
      <c r="CF226" s="568"/>
      <c r="CG226" s="568"/>
      <c r="CH226" s="660" t="s">
        <v>932</v>
      </c>
      <c r="CI226" s="660"/>
      <c r="CJ226" s="660"/>
      <c r="CK226" s="660"/>
      <c r="CL226" s="568" t="s">
        <v>932</v>
      </c>
      <c r="CM226" s="568"/>
      <c r="CN226" s="568"/>
    </row>
    <row r="227" hidden="1" customHeight="1" spans="1:92">
      <c r="A227" s="612"/>
      <c r="B227" s="612"/>
      <c r="C227" s="518"/>
      <c r="D227" s="518"/>
      <c r="E227" s="518"/>
      <c r="F227" s="657"/>
      <c r="G227" s="657"/>
      <c r="H227" s="657"/>
      <c r="I227" s="519"/>
      <c r="J227" s="519"/>
      <c r="K227" s="519"/>
      <c r="L227" s="519"/>
      <c r="M227" s="519"/>
      <c r="N227" s="519"/>
      <c r="O227" s="519"/>
      <c r="P227" s="519"/>
      <c r="Q227" s="519"/>
      <c r="R227" s="519"/>
      <c r="S227" s="519"/>
      <c r="T227" s="519"/>
      <c r="U227" s="519"/>
      <c r="V227" s="519"/>
      <c r="W227" s="519"/>
      <c r="X227" s="519"/>
      <c r="Y227" s="519"/>
      <c r="Z227" s="519"/>
      <c r="AA227" s="519"/>
      <c r="AB227" s="526"/>
      <c r="AC227" s="526"/>
      <c r="AD227" s="658"/>
      <c r="AE227" s="658"/>
      <c r="AF227" s="658"/>
      <c r="AG227" s="526">
        <v>0</v>
      </c>
      <c r="AH227" s="526"/>
      <c r="AI227" s="659" t="e">
        <v>#N/A</v>
      </c>
      <c r="AJ227" s="659"/>
      <c r="AK227" s="659"/>
      <c r="AL227" s="659"/>
      <c r="AM227" s="659"/>
      <c r="AN227" s="659"/>
      <c r="AO227" s="659"/>
      <c r="AP227" s="659"/>
      <c r="AQ227" s="659"/>
      <c r="AR227" s="659"/>
      <c r="AS227" s="659"/>
      <c r="AT227" s="659"/>
      <c r="AU227" s="659"/>
      <c r="AV227" s="659"/>
      <c r="AW227" s="658">
        <v>0</v>
      </c>
      <c r="AX227" s="658"/>
      <c r="AY227" s="658"/>
      <c r="AZ227" s="658"/>
      <c r="BA227" s="658"/>
      <c r="BB227" s="658"/>
      <c r="BC227" s="658">
        <v>0</v>
      </c>
      <c r="BD227" s="658"/>
      <c r="BE227" s="658"/>
      <c r="BF227" s="658">
        <v>182.49</v>
      </c>
      <c r="BG227" s="658"/>
      <c r="BH227" s="658"/>
      <c r="BI227" s="567">
        <v>0</v>
      </c>
      <c r="BJ227" s="567"/>
      <c r="BK227" s="567"/>
      <c r="BL227" s="567"/>
      <c r="BM227" s="660" t="s">
        <v>932</v>
      </c>
      <c r="BN227" s="660"/>
      <c r="BO227" s="660"/>
      <c r="BP227" s="660"/>
      <c r="BQ227" s="568" t="s">
        <v>932</v>
      </c>
      <c r="BR227" s="568"/>
      <c r="BS227" s="568"/>
      <c r="BT227" s="660" t="s">
        <v>932</v>
      </c>
      <c r="BU227" s="660"/>
      <c r="BV227" s="660"/>
      <c r="BW227" s="660"/>
      <c r="BX227" s="568" t="s">
        <v>932</v>
      </c>
      <c r="BY227" s="568"/>
      <c r="BZ227" s="568"/>
      <c r="CA227" s="660" t="s">
        <v>932</v>
      </c>
      <c r="CB227" s="660"/>
      <c r="CC227" s="660"/>
      <c r="CD227" s="660"/>
      <c r="CE227" s="568">
        <v>1</v>
      </c>
      <c r="CF227" s="568"/>
      <c r="CG227" s="568"/>
      <c r="CH227" s="660" t="s">
        <v>932</v>
      </c>
      <c r="CI227" s="660"/>
      <c r="CJ227" s="660"/>
      <c r="CK227" s="660"/>
      <c r="CL227" s="568" t="s">
        <v>932</v>
      </c>
      <c r="CM227" s="568"/>
      <c r="CN227" s="568"/>
    </row>
    <row r="228" hidden="1" customHeight="1" spans="1:92">
      <c r="A228" s="612"/>
      <c r="B228" s="612"/>
      <c r="C228" s="518"/>
      <c r="D228" s="518"/>
      <c r="E228" s="518"/>
      <c r="F228" s="657"/>
      <c r="G228" s="657"/>
      <c r="H228" s="657"/>
      <c r="I228" s="519"/>
      <c r="J228" s="519"/>
      <c r="K228" s="519"/>
      <c r="L228" s="519"/>
      <c r="M228" s="519"/>
      <c r="N228" s="519"/>
      <c r="O228" s="519"/>
      <c r="P228" s="519"/>
      <c r="Q228" s="519"/>
      <c r="R228" s="519"/>
      <c r="S228" s="519"/>
      <c r="T228" s="519"/>
      <c r="U228" s="519"/>
      <c r="V228" s="519"/>
      <c r="W228" s="519"/>
      <c r="X228" s="519"/>
      <c r="Y228" s="519"/>
      <c r="Z228" s="519"/>
      <c r="AA228" s="519"/>
      <c r="AB228" s="526"/>
      <c r="AC228" s="526"/>
      <c r="AD228" s="658"/>
      <c r="AE228" s="658"/>
      <c r="AF228" s="658"/>
      <c r="AG228" s="526">
        <v>0</v>
      </c>
      <c r="AH228" s="526"/>
      <c r="AI228" s="659" t="e">
        <v>#N/A</v>
      </c>
      <c r="AJ228" s="659"/>
      <c r="AK228" s="659"/>
      <c r="AL228" s="659"/>
      <c r="AM228" s="659"/>
      <c r="AN228" s="659"/>
      <c r="AO228" s="659"/>
      <c r="AP228" s="659"/>
      <c r="AQ228" s="659"/>
      <c r="AR228" s="659"/>
      <c r="AS228" s="659"/>
      <c r="AT228" s="659"/>
      <c r="AU228" s="659"/>
      <c r="AV228" s="659"/>
      <c r="AW228" s="658">
        <v>0</v>
      </c>
      <c r="AX228" s="658"/>
      <c r="AY228" s="658"/>
      <c r="AZ228" s="658"/>
      <c r="BA228" s="658"/>
      <c r="BB228" s="658"/>
      <c r="BC228" s="658">
        <v>0</v>
      </c>
      <c r="BD228" s="658"/>
      <c r="BE228" s="658"/>
      <c r="BF228" s="658">
        <v>182.49</v>
      </c>
      <c r="BG228" s="658"/>
      <c r="BH228" s="658"/>
      <c r="BI228" s="567">
        <v>0</v>
      </c>
      <c r="BJ228" s="567"/>
      <c r="BK228" s="567"/>
      <c r="BL228" s="567"/>
      <c r="BM228" s="660" t="s">
        <v>932</v>
      </c>
      <c r="BN228" s="660"/>
      <c r="BO228" s="660"/>
      <c r="BP228" s="660"/>
      <c r="BQ228" s="568" t="s">
        <v>932</v>
      </c>
      <c r="BR228" s="568"/>
      <c r="BS228" s="568"/>
      <c r="BT228" s="660" t="s">
        <v>932</v>
      </c>
      <c r="BU228" s="660"/>
      <c r="BV228" s="660"/>
      <c r="BW228" s="660"/>
      <c r="BX228" s="568" t="s">
        <v>932</v>
      </c>
      <c r="BY228" s="568"/>
      <c r="BZ228" s="568"/>
      <c r="CA228" s="660" t="s">
        <v>932</v>
      </c>
      <c r="CB228" s="660"/>
      <c r="CC228" s="660"/>
      <c r="CD228" s="660"/>
      <c r="CE228" s="568">
        <v>1</v>
      </c>
      <c r="CF228" s="568"/>
      <c r="CG228" s="568"/>
      <c r="CH228" s="660" t="s">
        <v>932</v>
      </c>
      <c r="CI228" s="660"/>
      <c r="CJ228" s="660"/>
      <c r="CK228" s="660"/>
      <c r="CL228" s="568" t="s">
        <v>932</v>
      </c>
      <c r="CM228" s="568"/>
      <c r="CN228" s="568"/>
    </row>
    <row r="229" hidden="1" customHeight="1" spans="1:92">
      <c r="A229" s="612"/>
      <c r="B229" s="612"/>
      <c r="C229" s="518"/>
      <c r="D229" s="518"/>
      <c r="E229" s="518"/>
      <c r="F229" s="657"/>
      <c r="G229" s="657"/>
      <c r="H229" s="657"/>
      <c r="I229" s="519"/>
      <c r="J229" s="519"/>
      <c r="K229" s="519"/>
      <c r="L229" s="519"/>
      <c r="M229" s="519"/>
      <c r="N229" s="519"/>
      <c r="O229" s="519"/>
      <c r="P229" s="519"/>
      <c r="Q229" s="519"/>
      <c r="R229" s="519"/>
      <c r="S229" s="519"/>
      <c r="T229" s="519"/>
      <c r="U229" s="519"/>
      <c r="V229" s="519"/>
      <c r="W229" s="519"/>
      <c r="X229" s="519"/>
      <c r="Y229" s="519"/>
      <c r="Z229" s="519"/>
      <c r="AA229" s="519"/>
      <c r="AB229" s="526"/>
      <c r="AC229" s="526"/>
      <c r="AD229" s="658"/>
      <c r="AE229" s="658"/>
      <c r="AF229" s="658"/>
      <c r="AG229" s="526">
        <v>0</v>
      </c>
      <c r="AH229" s="526"/>
      <c r="AI229" s="659" t="e">
        <v>#N/A</v>
      </c>
      <c r="AJ229" s="659"/>
      <c r="AK229" s="659"/>
      <c r="AL229" s="659"/>
      <c r="AM229" s="659"/>
      <c r="AN229" s="659"/>
      <c r="AO229" s="659"/>
      <c r="AP229" s="659"/>
      <c r="AQ229" s="659"/>
      <c r="AR229" s="659"/>
      <c r="AS229" s="659"/>
      <c r="AT229" s="659"/>
      <c r="AU229" s="659"/>
      <c r="AV229" s="659"/>
      <c r="AW229" s="658">
        <v>0</v>
      </c>
      <c r="AX229" s="658"/>
      <c r="AY229" s="658"/>
      <c r="AZ229" s="658"/>
      <c r="BA229" s="658"/>
      <c r="BB229" s="658"/>
      <c r="BC229" s="658">
        <v>0</v>
      </c>
      <c r="BD229" s="658"/>
      <c r="BE229" s="658"/>
      <c r="BF229" s="658">
        <v>182.49</v>
      </c>
      <c r="BG229" s="658"/>
      <c r="BH229" s="658"/>
      <c r="BI229" s="567">
        <v>0</v>
      </c>
      <c r="BJ229" s="567"/>
      <c r="BK229" s="567"/>
      <c r="BL229" s="567"/>
      <c r="BM229" s="660" t="s">
        <v>932</v>
      </c>
      <c r="BN229" s="660"/>
      <c r="BO229" s="660"/>
      <c r="BP229" s="660"/>
      <c r="BQ229" s="568" t="s">
        <v>932</v>
      </c>
      <c r="BR229" s="568"/>
      <c r="BS229" s="568"/>
      <c r="BT229" s="660" t="s">
        <v>932</v>
      </c>
      <c r="BU229" s="660"/>
      <c r="BV229" s="660"/>
      <c r="BW229" s="660"/>
      <c r="BX229" s="568" t="s">
        <v>932</v>
      </c>
      <c r="BY229" s="568"/>
      <c r="BZ229" s="568"/>
      <c r="CA229" s="660" t="s">
        <v>932</v>
      </c>
      <c r="CB229" s="660"/>
      <c r="CC229" s="660"/>
      <c r="CD229" s="660"/>
      <c r="CE229" s="568">
        <v>1</v>
      </c>
      <c r="CF229" s="568"/>
      <c r="CG229" s="568"/>
      <c r="CH229" s="660" t="s">
        <v>932</v>
      </c>
      <c r="CI229" s="660"/>
      <c r="CJ229" s="660"/>
      <c r="CK229" s="660"/>
      <c r="CL229" s="568" t="s">
        <v>932</v>
      </c>
      <c r="CM229" s="568"/>
      <c r="CN229" s="568"/>
    </row>
    <row r="230" hidden="1" customHeight="1" spans="1:92">
      <c r="A230" s="612"/>
      <c r="B230" s="612"/>
      <c r="C230" s="518"/>
      <c r="D230" s="518"/>
      <c r="E230" s="518"/>
      <c r="F230" s="657"/>
      <c r="G230" s="657"/>
      <c r="H230" s="657"/>
      <c r="I230" s="519"/>
      <c r="J230" s="519"/>
      <c r="K230" s="519"/>
      <c r="L230" s="519"/>
      <c r="M230" s="519"/>
      <c r="N230" s="519"/>
      <c r="O230" s="519"/>
      <c r="P230" s="519"/>
      <c r="Q230" s="519"/>
      <c r="R230" s="519"/>
      <c r="S230" s="519"/>
      <c r="T230" s="519"/>
      <c r="U230" s="519"/>
      <c r="V230" s="519"/>
      <c r="W230" s="519"/>
      <c r="X230" s="519"/>
      <c r="Y230" s="519"/>
      <c r="Z230" s="519"/>
      <c r="AA230" s="519"/>
      <c r="AB230" s="526"/>
      <c r="AC230" s="526"/>
      <c r="AD230" s="658"/>
      <c r="AE230" s="658"/>
      <c r="AF230" s="658"/>
      <c r="AG230" s="526">
        <v>0</v>
      </c>
      <c r="AH230" s="526"/>
      <c r="AI230" s="659" t="e">
        <v>#N/A</v>
      </c>
      <c r="AJ230" s="659"/>
      <c r="AK230" s="659"/>
      <c r="AL230" s="659"/>
      <c r="AM230" s="659"/>
      <c r="AN230" s="659"/>
      <c r="AO230" s="659"/>
      <c r="AP230" s="659"/>
      <c r="AQ230" s="659"/>
      <c r="AR230" s="659"/>
      <c r="AS230" s="659"/>
      <c r="AT230" s="659"/>
      <c r="AU230" s="659"/>
      <c r="AV230" s="659"/>
      <c r="AW230" s="658">
        <v>0</v>
      </c>
      <c r="AX230" s="658"/>
      <c r="AY230" s="658"/>
      <c r="AZ230" s="658"/>
      <c r="BA230" s="658"/>
      <c r="BB230" s="658"/>
      <c r="BC230" s="658">
        <v>0</v>
      </c>
      <c r="BD230" s="658"/>
      <c r="BE230" s="658"/>
      <c r="BF230" s="658">
        <v>182.49</v>
      </c>
      <c r="BG230" s="658"/>
      <c r="BH230" s="658"/>
      <c r="BI230" s="567">
        <v>0</v>
      </c>
      <c r="BJ230" s="567"/>
      <c r="BK230" s="567"/>
      <c r="BL230" s="567"/>
      <c r="BM230" s="660" t="s">
        <v>932</v>
      </c>
      <c r="BN230" s="660"/>
      <c r="BO230" s="660"/>
      <c r="BP230" s="660"/>
      <c r="BQ230" s="568" t="s">
        <v>932</v>
      </c>
      <c r="BR230" s="568"/>
      <c r="BS230" s="568"/>
      <c r="BT230" s="660" t="s">
        <v>932</v>
      </c>
      <c r="BU230" s="660"/>
      <c r="BV230" s="660"/>
      <c r="BW230" s="660"/>
      <c r="BX230" s="568" t="s">
        <v>932</v>
      </c>
      <c r="BY230" s="568"/>
      <c r="BZ230" s="568"/>
      <c r="CA230" s="660" t="s">
        <v>932</v>
      </c>
      <c r="CB230" s="660"/>
      <c r="CC230" s="660"/>
      <c r="CD230" s="660"/>
      <c r="CE230" s="568">
        <v>1</v>
      </c>
      <c r="CF230" s="568"/>
      <c r="CG230" s="568"/>
      <c r="CH230" s="660" t="s">
        <v>932</v>
      </c>
      <c r="CI230" s="660"/>
      <c r="CJ230" s="660"/>
      <c r="CK230" s="660"/>
      <c r="CL230" s="568" t="s">
        <v>932</v>
      </c>
      <c r="CM230" s="568"/>
      <c r="CN230" s="568"/>
    </row>
    <row r="231" hidden="1" customHeight="1" spans="1:92">
      <c r="A231" s="612"/>
      <c r="B231" s="612"/>
      <c r="C231" s="518"/>
      <c r="D231" s="518"/>
      <c r="E231" s="518"/>
      <c r="F231" s="657"/>
      <c r="G231" s="657"/>
      <c r="H231" s="657"/>
      <c r="I231" s="519"/>
      <c r="J231" s="519"/>
      <c r="K231" s="519"/>
      <c r="L231" s="519"/>
      <c r="M231" s="519"/>
      <c r="N231" s="519"/>
      <c r="O231" s="519"/>
      <c r="P231" s="519"/>
      <c r="Q231" s="519"/>
      <c r="R231" s="519"/>
      <c r="S231" s="519"/>
      <c r="T231" s="519"/>
      <c r="U231" s="519"/>
      <c r="V231" s="519"/>
      <c r="W231" s="519"/>
      <c r="X231" s="519"/>
      <c r="Y231" s="519"/>
      <c r="Z231" s="519"/>
      <c r="AA231" s="519"/>
      <c r="AB231" s="526"/>
      <c r="AC231" s="526"/>
      <c r="AD231" s="658"/>
      <c r="AE231" s="658"/>
      <c r="AF231" s="658"/>
      <c r="AG231" s="526">
        <v>0</v>
      </c>
      <c r="AH231" s="526"/>
      <c r="AI231" s="659" t="e">
        <v>#N/A</v>
      </c>
      <c r="AJ231" s="659"/>
      <c r="AK231" s="659"/>
      <c r="AL231" s="659"/>
      <c r="AM231" s="659"/>
      <c r="AN231" s="659"/>
      <c r="AO231" s="659"/>
      <c r="AP231" s="659"/>
      <c r="AQ231" s="659"/>
      <c r="AR231" s="659"/>
      <c r="AS231" s="659"/>
      <c r="AT231" s="659"/>
      <c r="AU231" s="659"/>
      <c r="AV231" s="659"/>
      <c r="AW231" s="658">
        <v>0</v>
      </c>
      <c r="AX231" s="658"/>
      <c r="AY231" s="658"/>
      <c r="AZ231" s="658"/>
      <c r="BA231" s="658"/>
      <c r="BB231" s="658"/>
      <c r="BC231" s="658">
        <v>0</v>
      </c>
      <c r="BD231" s="658"/>
      <c r="BE231" s="658"/>
      <c r="BF231" s="658">
        <v>182.49</v>
      </c>
      <c r="BG231" s="658"/>
      <c r="BH231" s="658"/>
      <c r="BI231" s="567">
        <v>0</v>
      </c>
      <c r="BJ231" s="567"/>
      <c r="BK231" s="567"/>
      <c r="BL231" s="567"/>
      <c r="BM231" s="660" t="s">
        <v>932</v>
      </c>
      <c r="BN231" s="660"/>
      <c r="BO231" s="660"/>
      <c r="BP231" s="660"/>
      <c r="BQ231" s="568" t="s">
        <v>932</v>
      </c>
      <c r="BR231" s="568"/>
      <c r="BS231" s="568"/>
      <c r="BT231" s="660" t="s">
        <v>932</v>
      </c>
      <c r="BU231" s="660"/>
      <c r="BV231" s="660"/>
      <c r="BW231" s="660"/>
      <c r="BX231" s="568" t="s">
        <v>932</v>
      </c>
      <c r="BY231" s="568"/>
      <c r="BZ231" s="568"/>
      <c r="CA231" s="660" t="s">
        <v>932</v>
      </c>
      <c r="CB231" s="660"/>
      <c r="CC231" s="660"/>
      <c r="CD231" s="660"/>
      <c r="CE231" s="568">
        <v>1</v>
      </c>
      <c r="CF231" s="568"/>
      <c r="CG231" s="568"/>
      <c r="CH231" s="660" t="s">
        <v>932</v>
      </c>
      <c r="CI231" s="660"/>
      <c r="CJ231" s="660"/>
      <c r="CK231" s="660"/>
      <c r="CL231" s="568" t="s">
        <v>932</v>
      </c>
      <c r="CM231" s="568"/>
      <c r="CN231" s="568"/>
    </row>
    <row r="232" customHeight="1" spans="1:92">
      <c r="A232" s="612" t="s">
        <v>969</v>
      </c>
      <c r="B232" s="612"/>
      <c r="C232" s="518"/>
      <c r="D232" s="518"/>
      <c r="E232" s="518"/>
      <c r="F232" s="657">
        <v>3108000</v>
      </c>
      <c r="G232" s="657"/>
      <c r="H232" s="657"/>
      <c r="I232" s="519" t="s">
        <v>110</v>
      </c>
      <c r="J232" s="519"/>
      <c r="K232" s="519"/>
      <c r="L232" s="519"/>
      <c r="M232" s="519"/>
      <c r="N232" s="519"/>
      <c r="O232" s="519"/>
      <c r="P232" s="519"/>
      <c r="Q232" s="519"/>
      <c r="R232" s="519"/>
      <c r="S232" s="519"/>
      <c r="T232" s="519"/>
      <c r="U232" s="519"/>
      <c r="V232" s="519"/>
      <c r="W232" s="519"/>
      <c r="X232" s="519"/>
      <c r="Y232" s="519"/>
      <c r="Z232" s="519"/>
      <c r="AA232" s="519"/>
      <c r="AB232" s="526" t="s">
        <v>7</v>
      </c>
      <c r="AC232" s="526"/>
      <c r="AD232" s="658">
        <v>4</v>
      </c>
      <c r="AE232" s="658"/>
      <c r="AF232" s="658"/>
      <c r="AG232" s="526" t="s">
        <v>937</v>
      </c>
      <c r="AH232" s="526"/>
      <c r="AI232" s="659" t="s">
        <v>938</v>
      </c>
      <c r="AJ232" s="659"/>
      <c r="AK232" s="659"/>
      <c r="AL232" s="659"/>
      <c r="AM232" s="659"/>
      <c r="AN232" s="659"/>
      <c r="AO232" s="659"/>
      <c r="AP232" s="659"/>
      <c r="AQ232" s="659"/>
      <c r="AR232" s="659"/>
      <c r="AS232" s="659"/>
      <c r="AT232" s="659"/>
      <c r="AU232" s="659"/>
      <c r="AV232" s="659"/>
      <c r="AW232" s="658">
        <v>0.65</v>
      </c>
      <c r="AX232" s="658"/>
      <c r="AY232" s="658"/>
      <c r="AZ232" s="658">
        <v>1</v>
      </c>
      <c r="BA232" s="658"/>
      <c r="BB232" s="658"/>
      <c r="BC232" s="658">
        <v>2.6</v>
      </c>
      <c r="BD232" s="658"/>
      <c r="BE232" s="658"/>
      <c r="BF232" s="658">
        <v>182.49</v>
      </c>
      <c r="BG232" s="658"/>
      <c r="BH232" s="658"/>
      <c r="BI232" s="567">
        <v>0.0142473560195079</v>
      </c>
      <c r="BJ232" s="567"/>
      <c r="BK232" s="567"/>
      <c r="BL232" s="567"/>
      <c r="BM232" s="660" t="s">
        <v>932</v>
      </c>
      <c r="BN232" s="660"/>
      <c r="BO232" s="660"/>
      <c r="BP232" s="660"/>
      <c r="BQ232" s="568" t="s">
        <v>932</v>
      </c>
      <c r="BR232" s="568"/>
      <c r="BS232" s="568"/>
      <c r="BT232" s="660" t="s">
        <v>932</v>
      </c>
      <c r="BU232" s="660"/>
      <c r="BV232" s="660"/>
      <c r="BW232" s="660"/>
      <c r="BX232" s="568" t="s">
        <v>932</v>
      </c>
      <c r="BY232" s="568"/>
      <c r="BZ232" s="568"/>
      <c r="CA232" s="660">
        <v>0.0142473560195079</v>
      </c>
      <c r="CB232" s="660"/>
      <c r="CC232" s="660"/>
      <c r="CD232" s="660"/>
      <c r="CE232" s="568">
        <v>1</v>
      </c>
      <c r="CF232" s="568"/>
      <c r="CG232" s="568"/>
      <c r="CH232" s="660" t="s">
        <v>932</v>
      </c>
      <c r="CI232" s="660"/>
      <c r="CJ232" s="660"/>
      <c r="CK232" s="660"/>
      <c r="CL232" s="568" t="s">
        <v>932</v>
      </c>
      <c r="CM232" s="568"/>
      <c r="CN232" s="568"/>
    </row>
    <row r="233" customHeight="1" spans="1:92">
      <c r="A233" s="612"/>
      <c r="B233" s="612"/>
      <c r="C233" s="518"/>
      <c r="D233" s="518"/>
      <c r="E233" s="518"/>
      <c r="F233" s="657"/>
      <c r="G233" s="657"/>
      <c r="H233" s="657"/>
      <c r="I233" s="519"/>
      <c r="J233" s="519"/>
      <c r="K233" s="519"/>
      <c r="L233" s="519"/>
      <c r="M233" s="519"/>
      <c r="N233" s="519"/>
      <c r="O233" s="519"/>
      <c r="P233" s="519"/>
      <c r="Q233" s="519"/>
      <c r="R233" s="519"/>
      <c r="S233" s="519"/>
      <c r="T233" s="519"/>
      <c r="U233" s="519"/>
      <c r="V233" s="519"/>
      <c r="W233" s="519"/>
      <c r="X233" s="519"/>
      <c r="Y233" s="519"/>
      <c r="Z233" s="519"/>
      <c r="AA233" s="519"/>
      <c r="AB233" s="526"/>
      <c r="AC233" s="526"/>
      <c r="AD233" s="658"/>
      <c r="AE233" s="658"/>
      <c r="AF233" s="658"/>
      <c r="AG233" s="526" t="s">
        <v>950</v>
      </c>
      <c r="AH233" s="526"/>
      <c r="AI233" s="659" t="s">
        <v>951</v>
      </c>
      <c r="AJ233" s="659"/>
      <c r="AK233" s="659"/>
      <c r="AL233" s="659"/>
      <c r="AM233" s="659"/>
      <c r="AN233" s="659"/>
      <c r="AO233" s="659"/>
      <c r="AP233" s="659"/>
      <c r="AQ233" s="659"/>
      <c r="AR233" s="659"/>
      <c r="AS233" s="659"/>
      <c r="AT233" s="659"/>
      <c r="AU233" s="659"/>
      <c r="AV233" s="659"/>
      <c r="AW233" s="658">
        <v>0.65</v>
      </c>
      <c r="AX233" s="658"/>
      <c r="AY233" s="658"/>
      <c r="AZ233" s="658"/>
      <c r="BA233" s="658"/>
      <c r="BB233" s="658"/>
      <c r="BC233" s="658">
        <v>2.6</v>
      </c>
      <c r="BD233" s="658"/>
      <c r="BE233" s="658"/>
      <c r="BF233" s="658">
        <v>182.49</v>
      </c>
      <c r="BG233" s="658"/>
      <c r="BH233" s="658"/>
      <c r="BI233" s="567">
        <v>0.0142473560195079</v>
      </c>
      <c r="BJ233" s="567"/>
      <c r="BK233" s="567"/>
      <c r="BL233" s="567"/>
      <c r="BM233" s="660" t="s">
        <v>932</v>
      </c>
      <c r="BN233" s="660"/>
      <c r="BO233" s="660"/>
      <c r="BP233" s="660"/>
      <c r="BQ233" s="568" t="s">
        <v>932</v>
      </c>
      <c r="BR233" s="568"/>
      <c r="BS233" s="568"/>
      <c r="BT233" s="660" t="s">
        <v>932</v>
      </c>
      <c r="BU233" s="660"/>
      <c r="BV233" s="660"/>
      <c r="BW233" s="660"/>
      <c r="BX233" s="568" t="s">
        <v>932</v>
      </c>
      <c r="BY233" s="568"/>
      <c r="BZ233" s="568"/>
      <c r="CA233" s="660">
        <v>0.0142473560195079</v>
      </c>
      <c r="CB233" s="660"/>
      <c r="CC233" s="660"/>
      <c r="CD233" s="660"/>
      <c r="CE233" s="568">
        <v>1</v>
      </c>
      <c r="CF233" s="568"/>
      <c r="CG233" s="568"/>
      <c r="CH233" s="660" t="s">
        <v>932</v>
      </c>
      <c r="CI233" s="660"/>
      <c r="CJ233" s="660"/>
      <c r="CK233" s="660"/>
      <c r="CL233" s="568" t="s">
        <v>932</v>
      </c>
      <c r="CM233" s="568"/>
      <c r="CN233" s="568"/>
    </row>
    <row r="234" hidden="1" customHeight="1" spans="1:92">
      <c r="A234" s="612"/>
      <c r="B234" s="612"/>
      <c r="C234" s="518"/>
      <c r="D234" s="518"/>
      <c r="E234" s="518"/>
      <c r="F234" s="657"/>
      <c r="G234" s="657"/>
      <c r="H234" s="657"/>
      <c r="I234" s="519"/>
      <c r="J234" s="519"/>
      <c r="K234" s="519"/>
      <c r="L234" s="519"/>
      <c r="M234" s="519"/>
      <c r="N234" s="519"/>
      <c r="O234" s="519"/>
      <c r="P234" s="519"/>
      <c r="Q234" s="519"/>
      <c r="R234" s="519"/>
      <c r="S234" s="519"/>
      <c r="T234" s="519"/>
      <c r="U234" s="519"/>
      <c r="V234" s="519"/>
      <c r="W234" s="519"/>
      <c r="X234" s="519"/>
      <c r="Y234" s="519"/>
      <c r="Z234" s="519"/>
      <c r="AA234" s="519"/>
      <c r="AB234" s="526"/>
      <c r="AC234" s="526"/>
      <c r="AD234" s="658"/>
      <c r="AE234" s="658"/>
      <c r="AF234" s="658"/>
      <c r="AG234" s="526">
        <v>0</v>
      </c>
      <c r="AH234" s="526"/>
      <c r="AI234" s="659" t="e">
        <v>#N/A</v>
      </c>
      <c r="AJ234" s="659"/>
      <c r="AK234" s="659"/>
      <c r="AL234" s="659"/>
      <c r="AM234" s="659"/>
      <c r="AN234" s="659"/>
      <c r="AO234" s="659"/>
      <c r="AP234" s="659"/>
      <c r="AQ234" s="659"/>
      <c r="AR234" s="659"/>
      <c r="AS234" s="659"/>
      <c r="AT234" s="659"/>
      <c r="AU234" s="659"/>
      <c r="AV234" s="659"/>
      <c r="AW234" s="658">
        <v>0</v>
      </c>
      <c r="AX234" s="658"/>
      <c r="AY234" s="658"/>
      <c r="AZ234" s="658"/>
      <c r="BA234" s="658"/>
      <c r="BB234" s="658"/>
      <c r="BC234" s="658">
        <v>0</v>
      </c>
      <c r="BD234" s="658"/>
      <c r="BE234" s="658"/>
      <c r="BF234" s="658">
        <v>182.49</v>
      </c>
      <c r="BG234" s="658"/>
      <c r="BH234" s="658"/>
      <c r="BI234" s="567">
        <v>0</v>
      </c>
      <c r="BJ234" s="567"/>
      <c r="BK234" s="567"/>
      <c r="BL234" s="567"/>
      <c r="BM234" s="660" t="s">
        <v>932</v>
      </c>
      <c r="BN234" s="660"/>
      <c r="BO234" s="660"/>
      <c r="BP234" s="660"/>
      <c r="BQ234" s="568" t="s">
        <v>932</v>
      </c>
      <c r="BR234" s="568"/>
      <c r="BS234" s="568"/>
      <c r="BT234" s="660" t="s">
        <v>932</v>
      </c>
      <c r="BU234" s="660"/>
      <c r="BV234" s="660"/>
      <c r="BW234" s="660"/>
      <c r="BX234" s="568" t="s">
        <v>932</v>
      </c>
      <c r="BY234" s="568"/>
      <c r="BZ234" s="568"/>
      <c r="CA234" s="660" t="s">
        <v>932</v>
      </c>
      <c r="CB234" s="660"/>
      <c r="CC234" s="660"/>
      <c r="CD234" s="660"/>
      <c r="CE234" s="568">
        <v>1</v>
      </c>
      <c r="CF234" s="568"/>
      <c r="CG234" s="568"/>
      <c r="CH234" s="660" t="s">
        <v>932</v>
      </c>
      <c r="CI234" s="660"/>
      <c r="CJ234" s="660"/>
      <c r="CK234" s="660"/>
      <c r="CL234" s="568" t="s">
        <v>932</v>
      </c>
      <c r="CM234" s="568"/>
      <c r="CN234" s="568"/>
    </row>
    <row r="235" hidden="1" customHeight="1" spans="1:92">
      <c r="A235" s="612"/>
      <c r="B235" s="612"/>
      <c r="C235" s="518"/>
      <c r="D235" s="518"/>
      <c r="E235" s="518"/>
      <c r="F235" s="657"/>
      <c r="G235" s="657"/>
      <c r="H235" s="657"/>
      <c r="I235" s="519"/>
      <c r="J235" s="519"/>
      <c r="K235" s="519"/>
      <c r="L235" s="519"/>
      <c r="M235" s="519"/>
      <c r="N235" s="519"/>
      <c r="O235" s="519"/>
      <c r="P235" s="519"/>
      <c r="Q235" s="519"/>
      <c r="R235" s="519"/>
      <c r="S235" s="519"/>
      <c r="T235" s="519"/>
      <c r="U235" s="519"/>
      <c r="V235" s="519"/>
      <c r="W235" s="519"/>
      <c r="X235" s="519"/>
      <c r="Y235" s="519"/>
      <c r="Z235" s="519"/>
      <c r="AA235" s="519"/>
      <c r="AB235" s="526"/>
      <c r="AC235" s="526"/>
      <c r="AD235" s="658"/>
      <c r="AE235" s="658"/>
      <c r="AF235" s="658"/>
      <c r="AG235" s="526">
        <v>0</v>
      </c>
      <c r="AH235" s="526"/>
      <c r="AI235" s="659" t="e">
        <v>#N/A</v>
      </c>
      <c r="AJ235" s="659"/>
      <c r="AK235" s="659"/>
      <c r="AL235" s="659"/>
      <c r="AM235" s="659"/>
      <c r="AN235" s="659"/>
      <c r="AO235" s="659"/>
      <c r="AP235" s="659"/>
      <c r="AQ235" s="659"/>
      <c r="AR235" s="659"/>
      <c r="AS235" s="659"/>
      <c r="AT235" s="659"/>
      <c r="AU235" s="659"/>
      <c r="AV235" s="659"/>
      <c r="AW235" s="658">
        <v>0</v>
      </c>
      <c r="AX235" s="658"/>
      <c r="AY235" s="658"/>
      <c r="AZ235" s="658"/>
      <c r="BA235" s="658"/>
      <c r="BB235" s="658"/>
      <c r="BC235" s="658">
        <v>0</v>
      </c>
      <c r="BD235" s="658"/>
      <c r="BE235" s="658"/>
      <c r="BF235" s="658">
        <v>182.49</v>
      </c>
      <c r="BG235" s="658"/>
      <c r="BH235" s="658"/>
      <c r="BI235" s="567">
        <v>0</v>
      </c>
      <c r="BJ235" s="567"/>
      <c r="BK235" s="567"/>
      <c r="BL235" s="567"/>
      <c r="BM235" s="660" t="s">
        <v>932</v>
      </c>
      <c r="BN235" s="660"/>
      <c r="BO235" s="660"/>
      <c r="BP235" s="660"/>
      <c r="BQ235" s="568" t="s">
        <v>932</v>
      </c>
      <c r="BR235" s="568"/>
      <c r="BS235" s="568"/>
      <c r="BT235" s="660" t="s">
        <v>932</v>
      </c>
      <c r="BU235" s="660"/>
      <c r="BV235" s="660"/>
      <c r="BW235" s="660"/>
      <c r="BX235" s="568" t="s">
        <v>932</v>
      </c>
      <c r="BY235" s="568"/>
      <c r="BZ235" s="568"/>
      <c r="CA235" s="660" t="s">
        <v>932</v>
      </c>
      <c r="CB235" s="660"/>
      <c r="CC235" s="660"/>
      <c r="CD235" s="660"/>
      <c r="CE235" s="568">
        <v>1</v>
      </c>
      <c r="CF235" s="568"/>
      <c r="CG235" s="568"/>
      <c r="CH235" s="660" t="s">
        <v>932</v>
      </c>
      <c r="CI235" s="660"/>
      <c r="CJ235" s="660"/>
      <c r="CK235" s="660"/>
      <c r="CL235" s="568" t="s">
        <v>932</v>
      </c>
      <c r="CM235" s="568"/>
      <c r="CN235" s="568"/>
    </row>
    <row r="236" hidden="1" customHeight="1" spans="1:92">
      <c r="A236" s="612"/>
      <c r="B236" s="612"/>
      <c r="C236" s="518"/>
      <c r="D236" s="518"/>
      <c r="E236" s="518"/>
      <c r="F236" s="657"/>
      <c r="G236" s="657"/>
      <c r="H236" s="657"/>
      <c r="I236" s="519"/>
      <c r="J236" s="519"/>
      <c r="K236" s="519"/>
      <c r="L236" s="519"/>
      <c r="M236" s="519"/>
      <c r="N236" s="519"/>
      <c r="O236" s="519"/>
      <c r="P236" s="519"/>
      <c r="Q236" s="519"/>
      <c r="R236" s="519"/>
      <c r="S236" s="519"/>
      <c r="T236" s="519"/>
      <c r="U236" s="519"/>
      <c r="V236" s="519"/>
      <c r="W236" s="519"/>
      <c r="X236" s="519"/>
      <c r="Y236" s="519"/>
      <c r="Z236" s="519"/>
      <c r="AA236" s="519"/>
      <c r="AB236" s="526"/>
      <c r="AC236" s="526"/>
      <c r="AD236" s="658"/>
      <c r="AE236" s="658"/>
      <c r="AF236" s="658"/>
      <c r="AG236" s="526">
        <v>0</v>
      </c>
      <c r="AH236" s="526"/>
      <c r="AI236" s="659" t="e">
        <v>#N/A</v>
      </c>
      <c r="AJ236" s="659"/>
      <c r="AK236" s="659"/>
      <c r="AL236" s="659"/>
      <c r="AM236" s="659"/>
      <c r="AN236" s="659"/>
      <c r="AO236" s="659"/>
      <c r="AP236" s="659"/>
      <c r="AQ236" s="659"/>
      <c r="AR236" s="659"/>
      <c r="AS236" s="659"/>
      <c r="AT236" s="659"/>
      <c r="AU236" s="659"/>
      <c r="AV236" s="659"/>
      <c r="AW236" s="658">
        <v>0</v>
      </c>
      <c r="AX236" s="658"/>
      <c r="AY236" s="658"/>
      <c r="AZ236" s="658"/>
      <c r="BA236" s="658"/>
      <c r="BB236" s="658"/>
      <c r="BC236" s="658">
        <v>0</v>
      </c>
      <c r="BD236" s="658"/>
      <c r="BE236" s="658"/>
      <c r="BF236" s="658">
        <v>182.49</v>
      </c>
      <c r="BG236" s="658"/>
      <c r="BH236" s="658"/>
      <c r="BI236" s="567">
        <v>0</v>
      </c>
      <c r="BJ236" s="567"/>
      <c r="BK236" s="567"/>
      <c r="BL236" s="567"/>
      <c r="BM236" s="660" t="s">
        <v>932</v>
      </c>
      <c r="BN236" s="660"/>
      <c r="BO236" s="660"/>
      <c r="BP236" s="660"/>
      <c r="BQ236" s="568" t="s">
        <v>932</v>
      </c>
      <c r="BR236" s="568"/>
      <c r="BS236" s="568"/>
      <c r="BT236" s="660" t="s">
        <v>932</v>
      </c>
      <c r="BU236" s="660"/>
      <c r="BV236" s="660"/>
      <c r="BW236" s="660"/>
      <c r="BX236" s="568" t="s">
        <v>932</v>
      </c>
      <c r="BY236" s="568"/>
      <c r="BZ236" s="568"/>
      <c r="CA236" s="660" t="s">
        <v>932</v>
      </c>
      <c r="CB236" s="660"/>
      <c r="CC236" s="660"/>
      <c r="CD236" s="660"/>
      <c r="CE236" s="568">
        <v>1</v>
      </c>
      <c r="CF236" s="568"/>
      <c r="CG236" s="568"/>
      <c r="CH236" s="660" t="s">
        <v>932</v>
      </c>
      <c r="CI236" s="660"/>
      <c r="CJ236" s="660"/>
      <c r="CK236" s="660"/>
      <c r="CL236" s="568" t="s">
        <v>932</v>
      </c>
      <c r="CM236" s="568"/>
      <c r="CN236" s="568"/>
    </row>
    <row r="237" hidden="1" customHeight="1" spans="1:92">
      <c r="A237" s="612"/>
      <c r="B237" s="612"/>
      <c r="C237" s="518"/>
      <c r="D237" s="518"/>
      <c r="E237" s="518"/>
      <c r="F237" s="657"/>
      <c r="G237" s="657"/>
      <c r="H237" s="657"/>
      <c r="I237" s="519"/>
      <c r="J237" s="519"/>
      <c r="K237" s="519"/>
      <c r="L237" s="519"/>
      <c r="M237" s="519"/>
      <c r="N237" s="519"/>
      <c r="O237" s="519"/>
      <c r="P237" s="519"/>
      <c r="Q237" s="519"/>
      <c r="R237" s="519"/>
      <c r="S237" s="519"/>
      <c r="T237" s="519"/>
      <c r="U237" s="519"/>
      <c r="V237" s="519"/>
      <c r="W237" s="519"/>
      <c r="X237" s="519"/>
      <c r="Y237" s="519"/>
      <c r="Z237" s="519"/>
      <c r="AA237" s="519"/>
      <c r="AB237" s="526"/>
      <c r="AC237" s="526"/>
      <c r="AD237" s="658"/>
      <c r="AE237" s="658"/>
      <c r="AF237" s="658"/>
      <c r="AG237" s="526">
        <v>0</v>
      </c>
      <c r="AH237" s="526"/>
      <c r="AI237" s="659" t="e">
        <v>#N/A</v>
      </c>
      <c r="AJ237" s="659"/>
      <c r="AK237" s="659"/>
      <c r="AL237" s="659"/>
      <c r="AM237" s="659"/>
      <c r="AN237" s="659"/>
      <c r="AO237" s="659"/>
      <c r="AP237" s="659"/>
      <c r="AQ237" s="659"/>
      <c r="AR237" s="659"/>
      <c r="AS237" s="659"/>
      <c r="AT237" s="659"/>
      <c r="AU237" s="659"/>
      <c r="AV237" s="659"/>
      <c r="AW237" s="658">
        <v>0</v>
      </c>
      <c r="AX237" s="658"/>
      <c r="AY237" s="658"/>
      <c r="AZ237" s="658"/>
      <c r="BA237" s="658"/>
      <c r="BB237" s="658"/>
      <c r="BC237" s="658">
        <v>0</v>
      </c>
      <c r="BD237" s="658"/>
      <c r="BE237" s="658"/>
      <c r="BF237" s="658">
        <v>182.49</v>
      </c>
      <c r="BG237" s="658"/>
      <c r="BH237" s="658"/>
      <c r="BI237" s="567">
        <v>0</v>
      </c>
      <c r="BJ237" s="567"/>
      <c r="BK237" s="567"/>
      <c r="BL237" s="567"/>
      <c r="BM237" s="660" t="s">
        <v>932</v>
      </c>
      <c r="BN237" s="660"/>
      <c r="BO237" s="660"/>
      <c r="BP237" s="660"/>
      <c r="BQ237" s="568" t="s">
        <v>932</v>
      </c>
      <c r="BR237" s="568"/>
      <c r="BS237" s="568"/>
      <c r="BT237" s="660" t="s">
        <v>932</v>
      </c>
      <c r="BU237" s="660"/>
      <c r="BV237" s="660"/>
      <c r="BW237" s="660"/>
      <c r="BX237" s="568" t="s">
        <v>932</v>
      </c>
      <c r="BY237" s="568"/>
      <c r="BZ237" s="568"/>
      <c r="CA237" s="660" t="s">
        <v>932</v>
      </c>
      <c r="CB237" s="660"/>
      <c r="CC237" s="660"/>
      <c r="CD237" s="660"/>
      <c r="CE237" s="568">
        <v>1</v>
      </c>
      <c r="CF237" s="568"/>
      <c r="CG237" s="568"/>
      <c r="CH237" s="660" t="s">
        <v>932</v>
      </c>
      <c r="CI237" s="660"/>
      <c r="CJ237" s="660"/>
      <c r="CK237" s="660"/>
      <c r="CL237" s="568" t="s">
        <v>932</v>
      </c>
      <c r="CM237" s="568"/>
      <c r="CN237" s="568"/>
    </row>
    <row r="238" hidden="1" customHeight="1" spans="1:92">
      <c r="A238" s="612"/>
      <c r="B238" s="612"/>
      <c r="C238" s="518"/>
      <c r="D238" s="518"/>
      <c r="E238" s="518"/>
      <c r="F238" s="657"/>
      <c r="G238" s="657"/>
      <c r="H238" s="657"/>
      <c r="I238" s="519"/>
      <c r="J238" s="519"/>
      <c r="K238" s="519"/>
      <c r="L238" s="519"/>
      <c r="M238" s="519"/>
      <c r="N238" s="519"/>
      <c r="O238" s="519"/>
      <c r="P238" s="519"/>
      <c r="Q238" s="519"/>
      <c r="R238" s="519"/>
      <c r="S238" s="519"/>
      <c r="T238" s="519"/>
      <c r="U238" s="519"/>
      <c r="V238" s="519"/>
      <c r="W238" s="519"/>
      <c r="X238" s="519"/>
      <c r="Y238" s="519"/>
      <c r="Z238" s="519"/>
      <c r="AA238" s="519"/>
      <c r="AB238" s="526"/>
      <c r="AC238" s="526"/>
      <c r="AD238" s="658"/>
      <c r="AE238" s="658"/>
      <c r="AF238" s="658"/>
      <c r="AG238" s="526">
        <v>0</v>
      </c>
      <c r="AH238" s="526"/>
      <c r="AI238" s="659" t="e">
        <v>#N/A</v>
      </c>
      <c r="AJ238" s="659"/>
      <c r="AK238" s="659"/>
      <c r="AL238" s="659"/>
      <c r="AM238" s="659"/>
      <c r="AN238" s="659"/>
      <c r="AO238" s="659"/>
      <c r="AP238" s="659"/>
      <c r="AQ238" s="659"/>
      <c r="AR238" s="659"/>
      <c r="AS238" s="659"/>
      <c r="AT238" s="659"/>
      <c r="AU238" s="659"/>
      <c r="AV238" s="659"/>
      <c r="AW238" s="658">
        <v>0</v>
      </c>
      <c r="AX238" s="658"/>
      <c r="AY238" s="658"/>
      <c r="AZ238" s="658"/>
      <c r="BA238" s="658"/>
      <c r="BB238" s="658"/>
      <c r="BC238" s="658">
        <v>0</v>
      </c>
      <c r="BD238" s="658"/>
      <c r="BE238" s="658"/>
      <c r="BF238" s="658">
        <v>182.49</v>
      </c>
      <c r="BG238" s="658"/>
      <c r="BH238" s="658"/>
      <c r="BI238" s="567">
        <v>0</v>
      </c>
      <c r="BJ238" s="567"/>
      <c r="BK238" s="567"/>
      <c r="BL238" s="567"/>
      <c r="BM238" s="660" t="s">
        <v>932</v>
      </c>
      <c r="BN238" s="660"/>
      <c r="BO238" s="660"/>
      <c r="BP238" s="660"/>
      <c r="BQ238" s="568" t="s">
        <v>932</v>
      </c>
      <c r="BR238" s="568"/>
      <c r="BS238" s="568"/>
      <c r="BT238" s="660" t="s">
        <v>932</v>
      </c>
      <c r="BU238" s="660"/>
      <c r="BV238" s="660"/>
      <c r="BW238" s="660"/>
      <c r="BX238" s="568" t="s">
        <v>932</v>
      </c>
      <c r="BY238" s="568"/>
      <c r="BZ238" s="568"/>
      <c r="CA238" s="660" t="s">
        <v>932</v>
      </c>
      <c r="CB238" s="660"/>
      <c r="CC238" s="660"/>
      <c r="CD238" s="660"/>
      <c r="CE238" s="568">
        <v>1</v>
      </c>
      <c r="CF238" s="568"/>
      <c r="CG238" s="568"/>
      <c r="CH238" s="660" t="s">
        <v>932</v>
      </c>
      <c r="CI238" s="660"/>
      <c r="CJ238" s="660"/>
      <c r="CK238" s="660"/>
      <c r="CL238" s="568" t="s">
        <v>932</v>
      </c>
      <c r="CM238" s="568"/>
      <c r="CN238" s="568"/>
    </row>
    <row r="239" hidden="1" customHeight="1" spans="1:92">
      <c r="A239" s="612"/>
      <c r="B239" s="612"/>
      <c r="C239" s="518"/>
      <c r="D239" s="518"/>
      <c r="E239" s="518"/>
      <c r="F239" s="657"/>
      <c r="G239" s="657"/>
      <c r="H239" s="657"/>
      <c r="I239" s="519"/>
      <c r="J239" s="519"/>
      <c r="K239" s="519"/>
      <c r="L239" s="519"/>
      <c r="M239" s="519"/>
      <c r="N239" s="519"/>
      <c r="O239" s="519"/>
      <c r="P239" s="519"/>
      <c r="Q239" s="519"/>
      <c r="R239" s="519"/>
      <c r="S239" s="519"/>
      <c r="T239" s="519"/>
      <c r="U239" s="519"/>
      <c r="V239" s="519"/>
      <c r="W239" s="519"/>
      <c r="X239" s="519"/>
      <c r="Y239" s="519"/>
      <c r="Z239" s="519"/>
      <c r="AA239" s="519"/>
      <c r="AB239" s="526"/>
      <c r="AC239" s="526"/>
      <c r="AD239" s="658"/>
      <c r="AE239" s="658"/>
      <c r="AF239" s="658"/>
      <c r="AG239" s="526">
        <v>0</v>
      </c>
      <c r="AH239" s="526"/>
      <c r="AI239" s="659" t="e">
        <v>#N/A</v>
      </c>
      <c r="AJ239" s="659"/>
      <c r="AK239" s="659"/>
      <c r="AL239" s="659"/>
      <c r="AM239" s="659"/>
      <c r="AN239" s="659"/>
      <c r="AO239" s="659"/>
      <c r="AP239" s="659"/>
      <c r="AQ239" s="659"/>
      <c r="AR239" s="659"/>
      <c r="AS239" s="659"/>
      <c r="AT239" s="659"/>
      <c r="AU239" s="659"/>
      <c r="AV239" s="659"/>
      <c r="AW239" s="658">
        <v>0</v>
      </c>
      <c r="AX239" s="658"/>
      <c r="AY239" s="658"/>
      <c r="AZ239" s="658"/>
      <c r="BA239" s="658"/>
      <c r="BB239" s="658"/>
      <c r="BC239" s="658">
        <v>0</v>
      </c>
      <c r="BD239" s="658"/>
      <c r="BE239" s="658"/>
      <c r="BF239" s="658">
        <v>182.49</v>
      </c>
      <c r="BG239" s="658"/>
      <c r="BH239" s="658"/>
      <c r="BI239" s="567">
        <v>0</v>
      </c>
      <c r="BJ239" s="567"/>
      <c r="BK239" s="567"/>
      <c r="BL239" s="567"/>
      <c r="BM239" s="660" t="s">
        <v>932</v>
      </c>
      <c r="BN239" s="660"/>
      <c r="BO239" s="660"/>
      <c r="BP239" s="660"/>
      <c r="BQ239" s="568" t="s">
        <v>932</v>
      </c>
      <c r="BR239" s="568"/>
      <c r="BS239" s="568"/>
      <c r="BT239" s="660" t="s">
        <v>932</v>
      </c>
      <c r="BU239" s="660"/>
      <c r="BV239" s="660"/>
      <c r="BW239" s="660"/>
      <c r="BX239" s="568" t="s">
        <v>932</v>
      </c>
      <c r="BY239" s="568"/>
      <c r="BZ239" s="568"/>
      <c r="CA239" s="660" t="s">
        <v>932</v>
      </c>
      <c r="CB239" s="660"/>
      <c r="CC239" s="660"/>
      <c r="CD239" s="660"/>
      <c r="CE239" s="568">
        <v>1</v>
      </c>
      <c r="CF239" s="568"/>
      <c r="CG239" s="568"/>
      <c r="CH239" s="660" t="s">
        <v>932</v>
      </c>
      <c r="CI239" s="660"/>
      <c r="CJ239" s="660"/>
      <c r="CK239" s="660"/>
      <c r="CL239" s="568" t="s">
        <v>932</v>
      </c>
      <c r="CM239" s="568"/>
      <c r="CN239" s="568"/>
    </row>
    <row r="240" customHeight="1" spans="1:92">
      <c r="A240" s="612" t="s">
        <v>970</v>
      </c>
      <c r="B240" s="612"/>
      <c r="C240" s="518"/>
      <c r="D240" s="518"/>
      <c r="E240" s="518"/>
      <c r="F240" s="657">
        <v>407819</v>
      </c>
      <c r="G240" s="657"/>
      <c r="H240" s="657"/>
      <c r="I240" s="519" t="s">
        <v>100</v>
      </c>
      <c r="J240" s="519"/>
      <c r="K240" s="519"/>
      <c r="L240" s="519"/>
      <c r="M240" s="519"/>
      <c r="N240" s="519"/>
      <c r="O240" s="519"/>
      <c r="P240" s="519"/>
      <c r="Q240" s="519"/>
      <c r="R240" s="519"/>
      <c r="S240" s="519"/>
      <c r="T240" s="519"/>
      <c r="U240" s="519"/>
      <c r="V240" s="519"/>
      <c r="W240" s="519"/>
      <c r="X240" s="519"/>
      <c r="Y240" s="519"/>
      <c r="Z240" s="519"/>
      <c r="AA240" s="519"/>
      <c r="AB240" s="526" t="s">
        <v>101</v>
      </c>
      <c r="AC240" s="526"/>
      <c r="AD240" s="658">
        <v>262.45</v>
      </c>
      <c r="AE240" s="658"/>
      <c r="AF240" s="658"/>
      <c r="AG240" s="526" t="s">
        <v>937</v>
      </c>
      <c r="AH240" s="526"/>
      <c r="AI240" s="659" t="s">
        <v>938</v>
      </c>
      <c r="AJ240" s="659"/>
      <c r="AK240" s="659"/>
      <c r="AL240" s="659"/>
      <c r="AM240" s="659"/>
      <c r="AN240" s="659"/>
      <c r="AO240" s="659"/>
      <c r="AP240" s="659"/>
      <c r="AQ240" s="659"/>
      <c r="AR240" s="659"/>
      <c r="AS240" s="659"/>
      <c r="AT240" s="659"/>
      <c r="AU240" s="659"/>
      <c r="AV240" s="659"/>
      <c r="AW240" s="658">
        <v>0.09</v>
      </c>
      <c r="AX240" s="658"/>
      <c r="AY240" s="658"/>
      <c r="AZ240" s="658">
        <v>1</v>
      </c>
      <c r="BA240" s="658"/>
      <c r="BB240" s="658"/>
      <c r="BC240" s="658">
        <v>23.6205</v>
      </c>
      <c r="BD240" s="658"/>
      <c r="BE240" s="658"/>
      <c r="BF240" s="658">
        <v>182.49</v>
      </c>
      <c r="BG240" s="658"/>
      <c r="BH240" s="658"/>
      <c r="BI240" s="567">
        <v>0.129434489561072</v>
      </c>
      <c r="BJ240" s="567"/>
      <c r="BK240" s="567"/>
      <c r="BL240" s="567"/>
      <c r="BM240" s="660" t="s">
        <v>932</v>
      </c>
      <c r="BN240" s="660"/>
      <c r="BO240" s="660"/>
      <c r="BP240" s="660"/>
      <c r="BQ240" s="568" t="s">
        <v>932</v>
      </c>
      <c r="BR240" s="568"/>
      <c r="BS240" s="568"/>
      <c r="BT240" s="660" t="s">
        <v>932</v>
      </c>
      <c r="BU240" s="660"/>
      <c r="BV240" s="660"/>
      <c r="BW240" s="660"/>
      <c r="BX240" s="568" t="s">
        <v>932</v>
      </c>
      <c r="BY240" s="568"/>
      <c r="BZ240" s="568"/>
      <c r="CA240" s="660">
        <v>0.129434489561072</v>
      </c>
      <c r="CB240" s="660"/>
      <c r="CC240" s="660"/>
      <c r="CD240" s="660"/>
      <c r="CE240" s="568">
        <v>1</v>
      </c>
      <c r="CF240" s="568"/>
      <c r="CG240" s="568"/>
      <c r="CH240" s="660" t="s">
        <v>932</v>
      </c>
      <c r="CI240" s="660"/>
      <c r="CJ240" s="660"/>
      <c r="CK240" s="660"/>
      <c r="CL240" s="568" t="s">
        <v>932</v>
      </c>
      <c r="CM240" s="568"/>
      <c r="CN240" s="568"/>
    </row>
    <row r="241" customHeight="1" spans="1:92">
      <c r="A241" s="612"/>
      <c r="B241" s="612"/>
      <c r="C241" s="518"/>
      <c r="D241" s="518"/>
      <c r="E241" s="518"/>
      <c r="F241" s="657"/>
      <c r="G241" s="657"/>
      <c r="H241" s="657"/>
      <c r="I241" s="519"/>
      <c r="J241" s="519"/>
      <c r="K241" s="519"/>
      <c r="L241" s="519"/>
      <c r="M241" s="519"/>
      <c r="N241" s="519"/>
      <c r="O241" s="519"/>
      <c r="P241" s="519"/>
      <c r="Q241" s="519"/>
      <c r="R241" s="519"/>
      <c r="S241" s="519"/>
      <c r="T241" s="519"/>
      <c r="U241" s="519"/>
      <c r="V241" s="519"/>
      <c r="W241" s="519"/>
      <c r="X241" s="519"/>
      <c r="Y241" s="519"/>
      <c r="Z241" s="519"/>
      <c r="AA241" s="519"/>
      <c r="AB241" s="526"/>
      <c r="AC241" s="526"/>
      <c r="AD241" s="658"/>
      <c r="AE241" s="658"/>
      <c r="AF241" s="658"/>
      <c r="AG241" s="526" t="s">
        <v>939</v>
      </c>
      <c r="AH241" s="526"/>
      <c r="AI241" s="659" t="s">
        <v>940</v>
      </c>
      <c r="AJ241" s="659"/>
      <c r="AK241" s="659"/>
      <c r="AL241" s="659"/>
      <c r="AM241" s="659"/>
      <c r="AN241" s="659"/>
      <c r="AO241" s="659"/>
      <c r="AP241" s="659"/>
      <c r="AQ241" s="659"/>
      <c r="AR241" s="659"/>
      <c r="AS241" s="659"/>
      <c r="AT241" s="659"/>
      <c r="AU241" s="659"/>
      <c r="AV241" s="659"/>
      <c r="AW241" s="658">
        <v>0.09</v>
      </c>
      <c r="AX241" s="658"/>
      <c r="AY241" s="658"/>
      <c r="AZ241" s="658"/>
      <c r="BA241" s="658"/>
      <c r="BB241" s="658"/>
      <c r="BC241" s="658">
        <v>23.6205</v>
      </c>
      <c r="BD241" s="658"/>
      <c r="BE241" s="658"/>
      <c r="BF241" s="658">
        <v>182.49</v>
      </c>
      <c r="BG241" s="658"/>
      <c r="BH241" s="658"/>
      <c r="BI241" s="567">
        <v>0.129434489561072</v>
      </c>
      <c r="BJ241" s="567"/>
      <c r="BK241" s="567"/>
      <c r="BL241" s="567"/>
      <c r="BM241" s="660" t="s">
        <v>932</v>
      </c>
      <c r="BN241" s="660"/>
      <c r="BO241" s="660"/>
      <c r="BP241" s="660"/>
      <c r="BQ241" s="568" t="s">
        <v>932</v>
      </c>
      <c r="BR241" s="568"/>
      <c r="BS241" s="568"/>
      <c r="BT241" s="660" t="s">
        <v>932</v>
      </c>
      <c r="BU241" s="660"/>
      <c r="BV241" s="660"/>
      <c r="BW241" s="660"/>
      <c r="BX241" s="568" t="s">
        <v>932</v>
      </c>
      <c r="BY241" s="568"/>
      <c r="BZ241" s="568"/>
      <c r="CA241" s="660">
        <v>0.129434489561072</v>
      </c>
      <c r="CB241" s="660"/>
      <c r="CC241" s="660"/>
      <c r="CD241" s="660"/>
      <c r="CE241" s="568">
        <v>1</v>
      </c>
      <c r="CF241" s="568"/>
      <c r="CG241" s="568"/>
      <c r="CH241" s="660" t="s">
        <v>932</v>
      </c>
      <c r="CI241" s="660"/>
      <c r="CJ241" s="660"/>
      <c r="CK241" s="660"/>
      <c r="CL241" s="568" t="s">
        <v>932</v>
      </c>
      <c r="CM241" s="568"/>
      <c r="CN241" s="568"/>
    </row>
    <row r="242" hidden="1" customHeight="1" spans="1:92">
      <c r="A242" s="612"/>
      <c r="B242" s="612"/>
      <c r="C242" s="518"/>
      <c r="D242" s="518"/>
      <c r="E242" s="518"/>
      <c r="F242" s="657"/>
      <c r="G242" s="657"/>
      <c r="H242" s="657"/>
      <c r="I242" s="519"/>
      <c r="J242" s="519"/>
      <c r="K242" s="519"/>
      <c r="L242" s="519"/>
      <c r="M242" s="519"/>
      <c r="N242" s="519"/>
      <c r="O242" s="519"/>
      <c r="P242" s="519"/>
      <c r="Q242" s="519"/>
      <c r="R242" s="519"/>
      <c r="S242" s="519"/>
      <c r="T242" s="519"/>
      <c r="U242" s="519"/>
      <c r="V242" s="519"/>
      <c r="W242" s="519"/>
      <c r="X242" s="519"/>
      <c r="Y242" s="519"/>
      <c r="Z242" s="519"/>
      <c r="AA242" s="519"/>
      <c r="AB242" s="526"/>
      <c r="AC242" s="526"/>
      <c r="AD242" s="658"/>
      <c r="AE242" s="658"/>
      <c r="AF242" s="658"/>
      <c r="AG242" s="526">
        <v>0</v>
      </c>
      <c r="AH242" s="526"/>
      <c r="AI242" s="659" t="e">
        <v>#N/A</v>
      </c>
      <c r="AJ242" s="659"/>
      <c r="AK242" s="659"/>
      <c r="AL242" s="659"/>
      <c r="AM242" s="659"/>
      <c r="AN242" s="659"/>
      <c r="AO242" s="659"/>
      <c r="AP242" s="659"/>
      <c r="AQ242" s="659"/>
      <c r="AR242" s="659"/>
      <c r="AS242" s="659"/>
      <c r="AT242" s="659"/>
      <c r="AU242" s="659"/>
      <c r="AV242" s="659"/>
      <c r="AW242" s="658">
        <v>0</v>
      </c>
      <c r="AX242" s="658"/>
      <c r="AY242" s="658"/>
      <c r="AZ242" s="658"/>
      <c r="BA242" s="658"/>
      <c r="BB242" s="658"/>
      <c r="BC242" s="658">
        <v>0</v>
      </c>
      <c r="BD242" s="658"/>
      <c r="BE242" s="658"/>
      <c r="BF242" s="658">
        <v>182.49</v>
      </c>
      <c r="BG242" s="658"/>
      <c r="BH242" s="658"/>
      <c r="BI242" s="567">
        <v>0</v>
      </c>
      <c r="BJ242" s="567"/>
      <c r="BK242" s="567"/>
      <c r="BL242" s="567"/>
      <c r="BM242" s="660" t="s">
        <v>932</v>
      </c>
      <c r="BN242" s="660"/>
      <c r="BO242" s="660"/>
      <c r="BP242" s="660"/>
      <c r="BQ242" s="568" t="s">
        <v>932</v>
      </c>
      <c r="BR242" s="568"/>
      <c r="BS242" s="568"/>
      <c r="BT242" s="660" t="s">
        <v>932</v>
      </c>
      <c r="BU242" s="660"/>
      <c r="BV242" s="660"/>
      <c r="BW242" s="660"/>
      <c r="BX242" s="568" t="s">
        <v>932</v>
      </c>
      <c r="BY242" s="568"/>
      <c r="BZ242" s="568"/>
      <c r="CA242" s="660" t="s">
        <v>932</v>
      </c>
      <c r="CB242" s="660"/>
      <c r="CC242" s="660"/>
      <c r="CD242" s="660"/>
      <c r="CE242" s="568">
        <v>1</v>
      </c>
      <c r="CF242" s="568"/>
      <c r="CG242" s="568"/>
      <c r="CH242" s="660" t="s">
        <v>932</v>
      </c>
      <c r="CI242" s="660"/>
      <c r="CJ242" s="660"/>
      <c r="CK242" s="660"/>
      <c r="CL242" s="568" t="s">
        <v>932</v>
      </c>
      <c r="CM242" s="568"/>
      <c r="CN242" s="568"/>
    </row>
    <row r="243" hidden="1" customHeight="1" spans="1:92">
      <c r="A243" s="612"/>
      <c r="B243" s="612"/>
      <c r="C243" s="518"/>
      <c r="D243" s="518"/>
      <c r="E243" s="518"/>
      <c r="F243" s="657"/>
      <c r="G243" s="657"/>
      <c r="H243" s="657"/>
      <c r="I243" s="519"/>
      <c r="J243" s="519"/>
      <c r="K243" s="519"/>
      <c r="L243" s="519"/>
      <c r="M243" s="519"/>
      <c r="N243" s="519"/>
      <c r="O243" s="519"/>
      <c r="P243" s="519"/>
      <c r="Q243" s="519"/>
      <c r="R243" s="519"/>
      <c r="S243" s="519"/>
      <c r="T243" s="519"/>
      <c r="U243" s="519"/>
      <c r="V243" s="519"/>
      <c r="W243" s="519"/>
      <c r="X243" s="519"/>
      <c r="Y243" s="519"/>
      <c r="Z243" s="519"/>
      <c r="AA243" s="519"/>
      <c r="AB243" s="526"/>
      <c r="AC243" s="526"/>
      <c r="AD243" s="658"/>
      <c r="AE243" s="658"/>
      <c r="AF243" s="658"/>
      <c r="AG243" s="526">
        <v>0</v>
      </c>
      <c r="AH243" s="526"/>
      <c r="AI243" s="659" t="e">
        <v>#N/A</v>
      </c>
      <c r="AJ243" s="659"/>
      <c r="AK243" s="659"/>
      <c r="AL243" s="659"/>
      <c r="AM243" s="659"/>
      <c r="AN243" s="659"/>
      <c r="AO243" s="659"/>
      <c r="AP243" s="659"/>
      <c r="AQ243" s="659"/>
      <c r="AR243" s="659"/>
      <c r="AS243" s="659"/>
      <c r="AT243" s="659"/>
      <c r="AU243" s="659"/>
      <c r="AV243" s="659"/>
      <c r="AW243" s="658">
        <v>0</v>
      </c>
      <c r="AX243" s="658"/>
      <c r="AY243" s="658"/>
      <c r="AZ243" s="658"/>
      <c r="BA243" s="658"/>
      <c r="BB243" s="658"/>
      <c r="BC243" s="658">
        <v>0</v>
      </c>
      <c r="BD243" s="658"/>
      <c r="BE243" s="658"/>
      <c r="BF243" s="658">
        <v>182.49</v>
      </c>
      <c r="BG243" s="658"/>
      <c r="BH243" s="658"/>
      <c r="BI243" s="567">
        <v>0</v>
      </c>
      <c r="BJ243" s="567"/>
      <c r="BK243" s="567"/>
      <c r="BL243" s="567"/>
      <c r="BM243" s="660" t="s">
        <v>932</v>
      </c>
      <c r="BN243" s="660"/>
      <c r="BO243" s="660"/>
      <c r="BP243" s="660"/>
      <c r="BQ243" s="568" t="s">
        <v>932</v>
      </c>
      <c r="BR243" s="568"/>
      <c r="BS243" s="568"/>
      <c r="BT243" s="660" t="s">
        <v>932</v>
      </c>
      <c r="BU243" s="660"/>
      <c r="BV243" s="660"/>
      <c r="BW243" s="660"/>
      <c r="BX243" s="568" t="s">
        <v>932</v>
      </c>
      <c r="BY243" s="568"/>
      <c r="BZ243" s="568"/>
      <c r="CA243" s="660" t="s">
        <v>932</v>
      </c>
      <c r="CB243" s="660"/>
      <c r="CC243" s="660"/>
      <c r="CD243" s="660"/>
      <c r="CE243" s="568">
        <v>1</v>
      </c>
      <c r="CF243" s="568"/>
      <c r="CG243" s="568"/>
      <c r="CH243" s="660" t="s">
        <v>932</v>
      </c>
      <c r="CI243" s="660"/>
      <c r="CJ243" s="660"/>
      <c r="CK243" s="660"/>
      <c r="CL243" s="568" t="s">
        <v>932</v>
      </c>
      <c r="CM243" s="568"/>
      <c r="CN243" s="568"/>
    </row>
    <row r="244" hidden="1" customHeight="1" spans="1:92">
      <c r="A244" s="612"/>
      <c r="B244" s="612"/>
      <c r="C244" s="518"/>
      <c r="D244" s="518"/>
      <c r="E244" s="518"/>
      <c r="F244" s="657"/>
      <c r="G244" s="657"/>
      <c r="H244" s="657"/>
      <c r="I244" s="519"/>
      <c r="J244" s="519"/>
      <c r="K244" s="519"/>
      <c r="L244" s="519"/>
      <c r="M244" s="519"/>
      <c r="N244" s="519"/>
      <c r="O244" s="519"/>
      <c r="P244" s="519"/>
      <c r="Q244" s="519"/>
      <c r="R244" s="519"/>
      <c r="S244" s="519"/>
      <c r="T244" s="519"/>
      <c r="U244" s="519"/>
      <c r="V244" s="519"/>
      <c r="W244" s="519"/>
      <c r="X244" s="519"/>
      <c r="Y244" s="519"/>
      <c r="Z244" s="519"/>
      <c r="AA244" s="519"/>
      <c r="AB244" s="526"/>
      <c r="AC244" s="526"/>
      <c r="AD244" s="658"/>
      <c r="AE244" s="658"/>
      <c r="AF244" s="658"/>
      <c r="AG244" s="526">
        <v>0</v>
      </c>
      <c r="AH244" s="526"/>
      <c r="AI244" s="659" t="e">
        <v>#N/A</v>
      </c>
      <c r="AJ244" s="659"/>
      <c r="AK244" s="659"/>
      <c r="AL244" s="659"/>
      <c r="AM244" s="659"/>
      <c r="AN244" s="659"/>
      <c r="AO244" s="659"/>
      <c r="AP244" s="659"/>
      <c r="AQ244" s="659"/>
      <c r="AR244" s="659"/>
      <c r="AS244" s="659"/>
      <c r="AT244" s="659"/>
      <c r="AU244" s="659"/>
      <c r="AV244" s="659"/>
      <c r="AW244" s="658">
        <v>0</v>
      </c>
      <c r="AX244" s="658"/>
      <c r="AY244" s="658"/>
      <c r="AZ244" s="658"/>
      <c r="BA244" s="658"/>
      <c r="BB244" s="658"/>
      <c r="BC244" s="658">
        <v>0</v>
      </c>
      <c r="BD244" s="658"/>
      <c r="BE244" s="658"/>
      <c r="BF244" s="658">
        <v>182.49</v>
      </c>
      <c r="BG244" s="658"/>
      <c r="BH244" s="658"/>
      <c r="BI244" s="567">
        <v>0</v>
      </c>
      <c r="BJ244" s="567"/>
      <c r="BK244" s="567"/>
      <c r="BL244" s="567"/>
      <c r="BM244" s="660" t="s">
        <v>932</v>
      </c>
      <c r="BN244" s="660"/>
      <c r="BO244" s="660"/>
      <c r="BP244" s="660"/>
      <c r="BQ244" s="568" t="s">
        <v>932</v>
      </c>
      <c r="BR244" s="568"/>
      <c r="BS244" s="568"/>
      <c r="BT244" s="660" t="s">
        <v>932</v>
      </c>
      <c r="BU244" s="660"/>
      <c r="BV244" s="660"/>
      <c r="BW244" s="660"/>
      <c r="BX244" s="568" t="s">
        <v>932</v>
      </c>
      <c r="BY244" s="568"/>
      <c r="BZ244" s="568"/>
      <c r="CA244" s="660" t="s">
        <v>932</v>
      </c>
      <c r="CB244" s="660"/>
      <c r="CC244" s="660"/>
      <c r="CD244" s="660"/>
      <c r="CE244" s="568">
        <v>1</v>
      </c>
      <c r="CF244" s="568"/>
      <c r="CG244" s="568"/>
      <c r="CH244" s="660" t="s">
        <v>932</v>
      </c>
      <c r="CI244" s="660"/>
      <c r="CJ244" s="660"/>
      <c r="CK244" s="660"/>
      <c r="CL244" s="568" t="s">
        <v>932</v>
      </c>
      <c r="CM244" s="568"/>
      <c r="CN244" s="568"/>
    </row>
    <row r="245" hidden="1" customHeight="1" spans="1:92">
      <c r="A245" s="612"/>
      <c r="B245" s="612"/>
      <c r="C245" s="518"/>
      <c r="D245" s="518"/>
      <c r="E245" s="518"/>
      <c r="F245" s="657"/>
      <c r="G245" s="657"/>
      <c r="H245" s="657"/>
      <c r="I245" s="519"/>
      <c r="J245" s="519"/>
      <c r="K245" s="519"/>
      <c r="L245" s="519"/>
      <c r="M245" s="519"/>
      <c r="N245" s="519"/>
      <c r="O245" s="519"/>
      <c r="P245" s="519"/>
      <c r="Q245" s="519"/>
      <c r="R245" s="519"/>
      <c r="S245" s="519"/>
      <c r="T245" s="519"/>
      <c r="U245" s="519"/>
      <c r="V245" s="519"/>
      <c r="W245" s="519"/>
      <c r="X245" s="519"/>
      <c r="Y245" s="519"/>
      <c r="Z245" s="519"/>
      <c r="AA245" s="519"/>
      <c r="AB245" s="526"/>
      <c r="AC245" s="526"/>
      <c r="AD245" s="658"/>
      <c r="AE245" s="658"/>
      <c r="AF245" s="658"/>
      <c r="AG245" s="526">
        <v>0</v>
      </c>
      <c r="AH245" s="526"/>
      <c r="AI245" s="659" t="e">
        <v>#N/A</v>
      </c>
      <c r="AJ245" s="659"/>
      <c r="AK245" s="659"/>
      <c r="AL245" s="659"/>
      <c r="AM245" s="659"/>
      <c r="AN245" s="659"/>
      <c r="AO245" s="659"/>
      <c r="AP245" s="659"/>
      <c r="AQ245" s="659"/>
      <c r="AR245" s="659"/>
      <c r="AS245" s="659"/>
      <c r="AT245" s="659"/>
      <c r="AU245" s="659"/>
      <c r="AV245" s="659"/>
      <c r="AW245" s="658">
        <v>0</v>
      </c>
      <c r="AX245" s="658"/>
      <c r="AY245" s="658"/>
      <c r="AZ245" s="658"/>
      <c r="BA245" s="658"/>
      <c r="BB245" s="658"/>
      <c r="BC245" s="658">
        <v>0</v>
      </c>
      <c r="BD245" s="658"/>
      <c r="BE245" s="658"/>
      <c r="BF245" s="658">
        <v>182.49</v>
      </c>
      <c r="BG245" s="658"/>
      <c r="BH245" s="658"/>
      <c r="BI245" s="567">
        <v>0</v>
      </c>
      <c r="BJ245" s="567"/>
      <c r="BK245" s="567"/>
      <c r="BL245" s="567"/>
      <c r="BM245" s="660" t="s">
        <v>932</v>
      </c>
      <c r="BN245" s="660"/>
      <c r="BO245" s="660"/>
      <c r="BP245" s="660"/>
      <c r="BQ245" s="568" t="s">
        <v>932</v>
      </c>
      <c r="BR245" s="568"/>
      <c r="BS245" s="568"/>
      <c r="BT245" s="660" t="s">
        <v>932</v>
      </c>
      <c r="BU245" s="660"/>
      <c r="BV245" s="660"/>
      <c r="BW245" s="660"/>
      <c r="BX245" s="568" t="s">
        <v>932</v>
      </c>
      <c r="BY245" s="568"/>
      <c r="BZ245" s="568"/>
      <c r="CA245" s="660" t="s">
        <v>932</v>
      </c>
      <c r="CB245" s="660"/>
      <c r="CC245" s="660"/>
      <c r="CD245" s="660"/>
      <c r="CE245" s="568">
        <v>1</v>
      </c>
      <c r="CF245" s="568"/>
      <c r="CG245" s="568"/>
      <c r="CH245" s="660" t="s">
        <v>932</v>
      </c>
      <c r="CI245" s="660"/>
      <c r="CJ245" s="660"/>
      <c r="CK245" s="660"/>
      <c r="CL245" s="568" t="s">
        <v>932</v>
      </c>
      <c r="CM245" s="568"/>
      <c r="CN245" s="568"/>
    </row>
    <row r="246" hidden="1" customHeight="1" spans="1:92">
      <c r="A246" s="612"/>
      <c r="B246" s="612"/>
      <c r="C246" s="518"/>
      <c r="D246" s="518"/>
      <c r="E246" s="518"/>
      <c r="F246" s="657"/>
      <c r="G246" s="657"/>
      <c r="H246" s="657"/>
      <c r="I246" s="519"/>
      <c r="J246" s="519"/>
      <c r="K246" s="519"/>
      <c r="L246" s="519"/>
      <c r="M246" s="519"/>
      <c r="N246" s="519"/>
      <c r="O246" s="519"/>
      <c r="P246" s="519"/>
      <c r="Q246" s="519"/>
      <c r="R246" s="519"/>
      <c r="S246" s="519"/>
      <c r="T246" s="519"/>
      <c r="U246" s="519"/>
      <c r="V246" s="519"/>
      <c r="W246" s="519"/>
      <c r="X246" s="519"/>
      <c r="Y246" s="519"/>
      <c r="Z246" s="519"/>
      <c r="AA246" s="519"/>
      <c r="AB246" s="526"/>
      <c r="AC246" s="526"/>
      <c r="AD246" s="658"/>
      <c r="AE246" s="658"/>
      <c r="AF246" s="658"/>
      <c r="AG246" s="526">
        <v>0</v>
      </c>
      <c r="AH246" s="526"/>
      <c r="AI246" s="659" t="e">
        <v>#N/A</v>
      </c>
      <c r="AJ246" s="659"/>
      <c r="AK246" s="659"/>
      <c r="AL246" s="659"/>
      <c r="AM246" s="659"/>
      <c r="AN246" s="659"/>
      <c r="AO246" s="659"/>
      <c r="AP246" s="659"/>
      <c r="AQ246" s="659"/>
      <c r="AR246" s="659"/>
      <c r="AS246" s="659"/>
      <c r="AT246" s="659"/>
      <c r="AU246" s="659"/>
      <c r="AV246" s="659"/>
      <c r="AW246" s="658">
        <v>0</v>
      </c>
      <c r="AX246" s="658"/>
      <c r="AY246" s="658"/>
      <c r="AZ246" s="658"/>
      <c r="BA246" s="658"/>
      <c r="BB246" s="658"/>
      <c r="BC246" s="658">
        <v>0</v>
      </c>
      <c r="BD246" s="658"/>
      <c r="BE246" s="658"/>
      <c r="BF246" s="658">
        <v>182.49</v>
      </c>
      <c r="BG246" s="658"/>
      <c r="BH246" s="658"/>
      <c r="BI246" s="567">
        <v>0</v>
      </c>
      <c r="BJ246" s="567"/>
      <c r="BK246" s="567"/>
      <c r="BL246" s="567"/>
      <c r="BM246" s="660" t="s">
        <v>932</v>
      </c>
      <c r="BN246" s="660"/>
      <c r="BO246" s="660"/>
      <c r="BP246" s="660"/>
      <c r="BQ246" s="568" t="s">
        <v>932</v>
      </c>
      <c r="BR246" s="568"/>
      <c r="BS246" s="568"/>
      <c r="BT246" s="660" t="s">
        <v>932</v>
      </c>
      <c r="BU246" s="660"/>
      <c r="BV246" s="660"/>
      <c r="BW246" s="660"/>
      <c r="BX246" s="568" t="s">
        <v>932</v>
      </c>
      <c r="BY246" s="568"/>
      <c r="BZ246" s="568"/>
      <c r="CA246" s="660" t="s">
        <v>932</v>
      </c>
      <c r="CB246" s="660"/>
      <c r="CC246" s="660"/>
      <c r="CD246" s="660"/>
      <c r="CE246" s="568">
        <v>1</v>
      </c>
      <c r="CF246" s="568"/>
      <c r="CG246" s="568"/>
      <c r="CH246" s="660" t="s">
        <v>932</v>
      </c>
      <c r="CI246" s="660"/>
      <c r="CJ246" s="660"/>
      <c r="CK246" s="660"/>
      <c r="CL246" s="568" t="s">
        <v>932</v>
      </c>
      <c r="CM246" s="568"/>
      <c r="CN246" s="568"/>
    </row>
    <row r="247" hidden="1" customHeight="1" spans="1:92">
      <c r="A247" s="612"/>
      <c r="B247" s="612"/>
      <c r="C247" s="518"/>
      <c r="D247" s="518"/>
      <c r="E247" s="518"/>
      <c r="F247" s="657"/>
      <c r="G247" s="657"/>
      <c r="H247" s="657"/>
      <c r="I247" s="519"/>
      <c r="J247" s="519"/>
      <c r="K247" s="519"/>
      <c r="L247" s="519"/>
      <c r="M247" s="519"/>
      <c r="N247" s="519"/>
      <c r="O247" s="519"/>
      <c r="P247" s="519"/>
      <c r="Q247" s="519"/>
      <c r="R247" s="519"/>
      <c r="S247" s="519"/>
      <c r="T247" s="519"/>
      <c r="U247" s="519"/>
      <c r="V247" s="519"/>
      <c r="W247" s="519"/>
      <c r="X247" s="519"/>
      <c r="Y247" s="519"/>
      <c r="Z247" s="519"/>
      <c r="AA247" s="519"/>
      <c r="AB247" s="526"/>
      <c r="AC247" s="526"/>
      <c r="AD247" s="658"/>
      <c r="AE247" s="658"/>
      <c r="AF247" s="658"/>
      <c r="AG247" s="526">
        <v>0</v>
      </c>
      <c r="AH247" s="526"/>
      <c r="AI247" s="659" t="e">
        <v>#N/A</v>
      </c>
      <c r="AJ247" s="659"/>
      <c r="AK247" s="659"/>
      <c r="AL247" s="659"/>
      <c r="AM247" s="659"/>
      <c r="AN247" s="659"/>
      <c r="AO247" s="659"/>
      <c r="AP247" s="659"/>
      <c r="AQ247" s="659"/>
      <c r="AR247" s="659"/>
      <c r="AS247" s="659"/>
      <c r="AT247" s="659"/>
      <c r="AU247" s="659"/>
      <c r="AV247" s="659"/>
      <c r="AW247" s="658">
        <v>0</v>
      </c>
      <c r="AX247" s="658"/>
      <c r="AY247" s="658"/>
      <c r="AZ247" s="658"/>
      <c r="BA247" s="658"/>
      <c r="BB247" s="658"/>
      <c r="BC247" s="658">
        <v>0</v>
      </c>
      <c r="BD247" s="658"/>
      <c r="BE247" s="658"/>
      <c r="BF247" s="658">
        <v>182.49</v>
      </c>
      <c r="BG247" s="658"/>
      <c r="BH247" s="658"/>
      <c r="BI247" s="567">
        <v>0</v>
      </c>
      <c r="BJ247" s="567"/>
      <c r="BK247" s="567"/>
      <c r="BL247" s="567"/>
      <c r="BM247" s="660" t="s">
        <v>932</v>
      </c>
      <c r="BN247" s="660"/>
      <c r="BO247" s="660"/>
      <c r="BP247" s="660"/>
      <c r="BQ247" s="568" t="s">
        <v>932</v>
      </c>
      <c r="BR247" s="568"/>
      <c r="BS247" s="568"/>
      <c r="BT247" s="660" t="s">
        <v>932</v>
      </c>
      <c r="BU247" s="660"/>
      <c r="BV247" s="660"/>
      <c r="BW247" s="660"/>
      <c r="BX247" s="568" t="s">
        <v>932</v>
      </c>
      <c r="BY247" s="568"/>
      <c r="BZ247" s="568"/>
      <c r="CA247" s="660" t="s">
        <v>932</v>
      </c>
      <c r="CB247" s="660"/>
      <c r="CC247" s="660"/>
      <c r="CD247" s="660"/>
      <c r="CE247" s="568">
        <v>1</v>
      </c>
      <c r="CF247" s="568"/>
      <c r="CG247" s="568"/>
      <c r="CH247" s="660" t="s">
        <v>932</v>
      </c>
      <c r="CI247" s="660"/>
      <c r="CJ247" s="660"/>
      <c r="CK247" s="660"/>
      <c r="CL247" s="568" t="s">
        <v>932</v>
      </c>
      <c r="CM247" s="568"/>
      <c r="CN247" s="568"/>
    </row>
    <row r="248" customHeight="1" spans="1:92">
      <c r="A248" s="612" t="s">
        <v>971</v>
      </c>
      <c r="B248" s="612"/>
      <c r="C248" s="518"/>
      <c r="D248" s="518"/>
      <c r="E248" s="518"/>
      <c r="F248" s="657">
        <v>5502109</v>
      </c>
      <c r="G248" s="657"/>
      <c r="H248" s="657"/>
      <c r="I248" s="519" t="s">
        <v>98</v>
      </c>
      <c r="J248" s="519"/>
      <c r="K248" s="519"/>
      <c r="L248" s="519"/>
      <c r="M248" s="519"/>
      <c r="N248" s="519"/>
      <c r="O248" s="519"/>
      <c r="P248" s="519"/>
      <c r="Q248" s="519"/>
      <c r="R248" s="519"/>
      <c r="S248" s="519"/>
      <c r="T248" s="519"/>
      <c r="U248" s="519"/>
      <c r="V248" s="519"/>
      <c r="W248" s="519"/>
      <c r="X248" s="519"/>
      <c r="Y248" s="519"/>
      <c r="Z248" s="519"/>
      <c r="AA248" s="519"/>
      <c r="AB248" s="526" t="s">
        <v>99</v>
      </c>
      <c r="AC248" s="526"/>
      <c r="AD248" s="658">
        <v>27.95</v>
      </c>
      <c r="AE248" s="658"/>
      <c r="AF248" s="658"/>
      <c r="AG248" s="526" t="s">
        <v>935</v>
      </c>
      <c r="AH248" s="526"/>
      <c r="AI248" s="659" t="s">
        <v>936</v>
      </c>
      <c r="AJ248" s="659"/>
      <c r="AK248" s="659"/>
      <c r="AL248" s="659"/>
      <c r="AM248" s="659"/>
      <c r="AN248" s="659"/>
      <c r="AO248" s="659"/>
      <c r="AP248" s="659"/>
      <c r="AQ248" s="659"/>
      <c r="AR248" s="659"/>
      <c r="AS248" s="659"/>
      <c r="AT248" s="659"/>
      <c r="AU248" s="659"/>
      <c r="AV248" s="659"/>
      <c r="AW248" s="658">
        <v>1</v>
      </c>
      <c r="AX248" s="658"/>
      <c r="AY248" s="658"/>
      <c r="AZ248" s="658">
        <v>230.19</v>
      </c>
      <c r="BA248" s="658"/>
      <c r="BB248" s="658"/>
      <c r="BC248" s="658">
        <v>0.121421434467179</v>
      </c>
      <c r="BD248" s="658"/>
      <c r="BE248" s="658"/>
      <c r="BF248" s="658">
        <v>182.49</v>
      </c>
      <c r="BG248" s="658"/>
      <c r="BH248" s="658"/>
      <c r="BI248" s="567">
        <v>0.000665359386635866</v>
      </c>
      <c r="BJ248" s="567"/>
      <c r="BK248" s="567"/>
      <c r="BL248" s="567"/>
      <c r="BM248" s="660" t="s">
        <v>932</v>
      </c>
      <c r="BN248" s="660"/>
      <c r="BO248" s="660"/>
      <c r="BP248" s="660"/>
      <c r="BQ248" s="568" t="s">
        <v>932</v>
      </c>
      <c r="BR248" s="568"/>
      <c r="BS248" s="568"/>
      <c r="BT248" s="660" t="s">
        <v>932</v>
      </c>
      <c r="BU248" s="660"/>
      <c r="BV248" s="660"/>
      <c r="BW248" s="660"/>
      <c r="BX248" s="568" t="s">
        <v>932</v>
      </c>
      <c r="BY248" s="568"/>
      <c r="BZ248" s="568"/>
      <c r="CA248" s="660">
        <v>0.000665359386635866</v>
      </c>
      <c r="CB248" s="660"/>
      <c r="CC248" s="660"/>
      <c r="CD248" s="660"/>
      <c r="CE248" s="568">
        <v>1</v>
      </c>
      <c r="CF248" s="568"/>
      <c r="CG248" s="568"/>
      <c r="CH248" s="660" t="s">
        <v>932</v>
      </c>
      <c r="CI248" s="660"/>
      <c r="CJ248" s="660"/>
      <c r="CK248" s="660"/>
      <c r="CL248" s="568" t="s">
        <v>932</v>
      </c>
      <c r="CM248" s="568"/>
      <c r="CN248" s="568"/>
    </row>
    <row r="249" hidden="1" customHeight="1" spans="1:92">
      <c r="A249" s="612"/>
      <c r="B249" s="612"/>
      <c r="C249" s="518"/>
      <c r="D249" s="518"/>
      <c r="E249" s="518"/>
      <c r="F249" s="657"/>
      <c r="G249" s="657"/>
      <c r="H249" s="657"/>
      <c r="I249" s="519"/>
      <c r="J249" s="519"/>
      <c r="K249" s="519"/>
      <c r="L249" s="519"/>
      <c r="M249" s="519"/>
      <c r="N249" s="519"/>
      <c r="O249" s="519"/>
      <c r="P249" s="519"/>
      <c r="Q249" s="519"/>
      <c r="R249" s="519"/>
      <c r="S249" s="519"/>
      <c r="T249" s="519"/>
      <c r="U249" s="519"/>
      <c r="V249" s="519"/>
      <c r="W249" s="519"/>
      <c r="X249" s="519"/>
      <c r="Y249" s="519"/>
      <c r="Z249" s="519"/>
      <c r="AA249" s="519"/>
      <c r="AB249" s="526"/>
      <c r="AC249" s="526"/>
      <c r="AD249" s="658"/>
      <c r="AE249" s="658"/>
      <c r="AF249" s="658"/>
      <c r="AG249" s="526">
        <v>0</v>
      </c>
      <c r="AH249" s="526"/>
      <c r="AI249" s="659" t="e">
        <v>#N/A</v>
      </c>
      <c r="AJ249" s="659"/>
      <c r="AK249" s="659"/>
      <c r="AL249" s="659"/>
      <c r="AM249" s="659"/>
      <c r="AN249" s="659"/>
      <c r="AO249" s="659"/>
      <c r="AP249" s="659"/>
      <c r="AQ249" s="659"/>
      <c r="AR249" s="659"/>
      <c r="AS249" s="659"/>
      <c r="AT249" s="659"/>
      <c r="AU249" s="659"/>
      <c r="AV249" s="659"/>
      <c r="AW249" s="658">
        <v>0</v>
      </c>
      <c r="AX249" s="658"/>
      <c r="AY249" s="658"/>
      <c r="AZ249" s="658"/>
      <c r="BA249" s="658"/>
      <c r="BB249" s="658"/>
      <c r="BC249" s="658">
        <v>0</v>
      </c>
      <c r="BD249" s="658"/>
      <c r="BE249" s="658"/>
      <c r="BF249" s="658">
        <v>182.49</v>
      </c>
      <c r="BG249" s="658"/>
      <c r="BH249" s="658"/>
      <c r="BI249" s="567">
        <v>0</v>
      </c>
      <c r="BJ249" s="567"/>
      <c r="BK249" s="567"/>
      <c r="BL249" s="567"/>
      <c r="BM249" s="660" t="s">
        <v>932</v>
      </c>
      <c r="BN249" s="660"/>
      <c r="BO249" s="660"/>
      <c r="BP249" s="660"/>
      <c r="BQ249" s="568" t="s">
        <v>932</v>
      </c>
      <c r="BR249" s="568"/>
      <c r="BS249" s="568"/>
      <c r="BT249" s="660" t="s">
        <v>932</v>
      </c>
      <c r="BU249" s="660"/>
      <c r="BV249" s="660"/>
      <c r="BW249" s="660"/>
      <c r="BX249" s="568" t="s">
        <v>932</v>
      </c>
      <c r="BY249" s="568"/>
      <c r="BZ249" s="568"/>
      <c r="CA249" s="660" t="s">
        <v>932</v>
      </c>
      <c r="CB249" s="660"/>
      <c r="CC249" s="660"/>
      <c r="CD249" s="660"/>
      <c r="CE249" s="568">
        <v>1</v>
      </c>
      <c r="CF249" s="568"/>
      <c r="CG249" s="568"/>
      <c r="CH249" s="660" t="s">
        <v>932</v>
      </c>
      <c r="CI249" s="660"/>
      <c r="CJ249" s="660"/>
      <c r="CK249" s="660"/>
      <c r="CL249" s="568" t="s">
        <v>932</v>
      </c>
      <c r="CM249" s="568"/>
      <c r="CN249" s="568"/>
    </row>
    <row r="250" hidden="1" customHeight="1" spans="1:92">
      <c r="A250" s="612"/>
      <c r="B250" s="612"/>
      <c r="C250" s="518"/>
      <c r="D250" s="518"/>
      <c r="E250" s="518"/>
      <c r="F250" s="657"/>
      <c r="G250" s="657"/>
      <c r="H250" s="657"/>
      <c r="I250" s="519"/>
      <c r="J250" s="519"/>
      <c r="K250" s="519"/>
      <c r="L250" s="519"/>
      <c r="M250" s="519"/>
      <c r="N250" s="519"/>
      <c r="O250" s="519"/>
      <c r="P250" s="519"/>
      <c r="Q250" s="519"/>
      <c r="R250" s="519"/>
      <c r="S250" s="519"/>
      <c r="T250" s="519"/>
      <c r="U250" s="519"/>
      <c r="V250" s="519"/>
      <c r="W250" s="519"/>
      <c r="X250" s="519"/>
      <c r="Y250" s="519"/>
      <c r="Z250" s="519"/>
      <c r="AA250" s="519"/>
      <c r="AB250" s="526"/>
      <c r="AC250" s="526"/>
      <c r="AD250" s="658"/>
      <c r="AE250" s="658"/>
      <c r="AF250" s="658"/>
      <c r="AG250" s="526">
        <v>0</v>
      </c>
      <c r="AH250" s="526"/>
      <c r="AI250" s="659" t="e">
        <v>#N/A</v>
      </c>
      <c r="AJ250" s="659"/>
      <c r="AK250" s="659"/>
      <c r="AL250" s="659"/>
      <c r="AM250" s="659"/>
      <c r="AN250" s="659"/>
      <c r="AO250" s="659"/>
      <c r="AP250" s="659"/>
      <c r="AQ250" s="659"/>
      <c r="AR250" s="659"/>
      <c r="AS250" s="659"/>
      <c r="AT250" s="659"/>
      <c r="AU250" s="659"/>
      <c r="AV250" s="659"/>
      <c r="AW250" s="658">
        <v>0</v>
      </c>
      <c r="AX250" s="658"/>
      <c r="AY250" s="658"/>
      <c r="AZ250" s="658"/>
      <c r="BA250" s="658"/>
      <c r="BB250" s="658"/>
      <c r="BC250" s="658">
        <v>0</v>
      </c>
      <c r="BD250" s="658"/>
      <c r="BE250" s="658"/>
      <c r="BF250" s="658">
        <v>182.49</v>
      </c>
      <c r="BG250" s="658"/>
      <c r="BH250" s="658"/>
      <c r="BI250" s="567">
        <v>0</v>
      </c>
      <c r="BJ250" s="567"/>
      <c r="BK250" s="567"/>
      <c r="BL250" s="567"/>
      <c r="BM250" s="660" t="s">
        <v>932</v>
      </c>
      <c r="BN250" s="660"/>
      <c r="BO250" s="660"/>
      <c r="BP250" s="660"/>
      <c r="BQ250" s="568" t="s">
        <v>932</v>
      </c>
      <c r="BR250" s="568"/>
      <c r="BS250" s="568"/>
      <c r="BT250" s="660" t="s">
        <v>932</v>
      </c>
      <c r="BU250" s="660"/>
      <c r="BV250" s="660"/>
      <c r="BW250" s="660"/>
      <c r="BX250" s="568" t="s">
        <v>932</v>
      </c>
      <c r="BY250" s="568"/>
      <c r="BZ250" s="568"/>
      <c r="CA250" s="660" t="s">
        <v>932</v>
      </c>
      <c r="CB250" s="660"/>
      <c r="CC250" s="660"/>
      <c r="CD250" s="660"/>
      <c r="CE250" s="568">
        <v>1</v>
      </c>
      <c r="CF250" s="568"/>
      <c r="CG250" s="568"/>
      <c r="CH250" s="660" t="s">
        <v>932</v>
      </c>
      <c r="CI250" s="660"/>
      <c r="CJ250" s="660"/>
      <c r="CK250" s="660"/>
      <c r="CL250" s="568" t="s">
        <v>932</v>
      </c>
      <c r="CM250" s="568"/>
      <c r="CN250" s="568"/>
    </row>
    <row r="251" hidden="1" customHeight="1" spans="1:92">
      <c r="A251" s="612"/>
      <c r="B251" s="612"/>
      <c r="C251" s="518"/>
      <c r="D251" s="518"/>
      <c r="E251" s="518"/>
      <c r="F251" s="657"/>
      <c r="G251" s="657"/>
      <c r="H251" s="657"/>
      <c r="I251" s="519"/>
      <c r="J251" s="519"/>
      <c r="K251" s="519"/>
      <c r="L251" s="519"/>
      <c r="M251" s="519"/>
      <c r="N251" s="519"/>
      <c r="O251" s="519"/>
      <c r="P251" s="519"/>
      <c r="Q251" s="519"/>
      <c r="R251" s="519"/>
      <c r="S251" s="519"/>
      <c r="T251" s="519"/>
      <c r="U251" s="519"/>
      <c r="V251" s="519"/>
      <c r="W251" s="519"/>
      <c r="X251" s="519"/>
      <c r="Y251" s="519"/>
      <c r="Z251" s="519"/>
      <c r="AA251" s="519"/>
      <c r="AB251" s="526"/>
      <c r="AC251" s="526"/>
      <c r="AD251" s="658"/>
      <c r="AE251" s="658"/>
      <c r="AF251" s="658"/>
      <c r="AG251" s="526">
        <v>0</v>
      </c>
      <c r="AH251" s="526"/>
      <c r="AI251" s="659" t="e">
        <v>#N/A</v>
      </c>
      <c r="AJ251" s="659"/>
      <c r="AK251" s="659"/>
      <c r="AL251" s="659"/>
      <c r="AM251" s="659"/>
      <c r="AN251" s="659"/>
      <c r="AO251" s="659"/>
      <c r="AP251" s="659"/>
      <c r="AQ251" s="659"/>
      <c r="AR251" s="659"/>
      <c r="AS251" s="659"/>
      <c r="AT251" s="659"/>
      <c r="AU251" s="659"/>
      <c r="AV251" s="659"/>
      <c r="AW251" s="658">
        <v>0</v>
      </c>
      <c r="AX251" s="658"/>
      <c r="AY251" s="658"/>
      <c r="AZ251" s="658"/>
      <c r="BA251" s="658"/>
      <c r="BB251" s="658"/>
      <c r="BC251" s="658">
        <v>0</v>
      </c>
      <c r="BD251" s="658"/>
      <c r="BE251" s="658"/>
      <c r="BF251" s="658">
        <v>182.49</v>
      </c>
      <c r="BG251" s="658"/>
      <c r="BH251" s="658"/>
      <c r="BI251" s="567">
        <v>0</v>
      </c>
      <c r="BJ251" s="567"/>
      <c r="BK251" s="567"/>
      <c r="BL251" s="567"/>
      <c r="BM251" s="660" t="s">
        <v>932</v>
      </c>
      <c r="BN251" s="660"/>
      <c r="BO251" s="660"/>
      <c r="BP251" s="660"/>
      <c r="BQ251" s="568" t="s">
        <v>932</v>
      </c>
      <c r="BR251" s="568"/>
      <c r="BS251" s="568"/>
      <c r="BT251" s="660" t="s">
        <v>932</v>
      </c>
      <c r="BU251" s="660"/>
      <c r="BV251" s="660"/>
      <c r="BW251" s="660"/>
      <c r="BX251" s="568" t="s">
        <v>932</v>
      </c>
      <c r="BY251" s="568"/>
      <c r="BZ251" s="568"/>
      <c r="CA251" s="660" t="s">
        <v>932</v>
      </c>
      <c r="CB251" s="660"/>
      <c r="CC251" s="660"/>
      <c r="CD251" s="660"/>
      <c r="CE251" s="568">
        <v>1</v>
      </c>
      <c r="CF251" s="568"/>
      <c r="CG251" s="568"/>
      <c r="CH251" s="660" t="s">
        <v>932</v>
      </c>
      <c r="CI251" s="660"/>
      <c r="CJ251" s="660"/>
      <c r="CK251" s="660"/>
      <c r="CL251" s="568" t="s">
        <v>932</v>
      </c>
      <c r="CM251" s="568"/>
      <c r="CN251" s="568"/>
    </row>
    <row r="252" hidden="1" customHeight="1" spans="1:92">
      <c r="A252" s="612"/>
      <c r="B252" s="612"/>
      <c r="C252" s="518"/>
      <c r="D252" s="518"/>
      <c r="E252" s="518"/>
      <c r="F252" s="657"/>
      <c r="G252" s="657"/>
      <c r="H252" s="657"/>
      <c r="I252" s="519"/>
      <c r="J252" s="519"/>
      <c r="K252" s="519"/>
      <c r="L252" s="519"/>
      <c r="M252" s="519"/>
      <c r="N252" s="519"/>
      <c r="O252" s="519"/>
      <c r="P252" s="519"/>
      <c r="Q252" s="519"/>
      <c r="R252" s="519"/>
      <c r="S252" s="519"/>
      <c r="T252" s="519"/>
      <c r="U252" s="519"/>
      <c r="V252" s="519"/>
      <c r="W252" s="519"/>
      <c r="X252" s="519"/>
      <c r="Y252" s="519"/>
      <c r="Z252" s="519"/>
      <c r="AA252" s="519"/>
      <c r="AB252" s="526"/>
      <c r="AC252" s="526"/>
      <c r="AD252" s="658"/>
      <c r="AE252" s="658"/>
      <c r="AF252" s="658"/>
      <c r="AG252" s="526">
        <v>0</v>
      </c>
      <c r="AH252" s="526"/>
      <c r="AI252" s="659" t="e">
        <v>#N/A</v>
      </c>
      <c r="AJ252" s="659"/>
      <c r="AK252" s="659"/>
      <c r="AL252" s="659"/>
      <c r="AM252" s="659"/>
      <c r="AN252" s="659"/>
      <c r="AO252" s="659"/>
      <c r="AP252" s="659"/>
      <c r="AQ252" s="659"/>
      <c r="AR252" s="659"/>
      <c r="AS252" s="659"/>
      <c r="AT252" s="659"/>
      <c r="AU252" s="659"/>
      <c r="AV252" s="659"/>
      <c r="AW252" s="658">
        <v>0</v>
      </c>
      <c r="AX252" s="658"/>
      <c r="AY252" s="658"/>
      <c r="AZ252" s="658"/>
      <c r="BA252" s="658"/>
      <c r="BB252" s="658"/>
      <c r="BC252" s="658">
        <v>0</v>
      </c>
      <c r="BD252" s="658"/>
      <c r="BE252" s="658"/>
      <c r="BF252" s="658">
        <v>182.49</v>
      </c>
      <c r="BG252" s="658"/>
      <c r="BH252" s="658"/>
      <c r="BI252" s="567">
        <v>0</v>
      </c>
      <c r="BJ252" s="567"/>
      <c r="BK252" s="567"/>
      <c r="BL252" s="567"/>
      <c r="BM252" s="660" t="s">
        <v>932</v>
      </c>
      <c r="BN252" s="660"/>
      <c r="BO252" s="660"/>
      <c r="BP252" s="660"/>
      <c r="BQ252" s="568" t="s">
        <v>932</v>
      </c>
      <c r="BR252" s="568"/>
      <c r="BS252" s="568"/>
      <c r="BT252" s="660" t="s">
        <v>932</v>
      </c>
      <c r="BU252" s="660"/>
      <c r="BV252" s="660"/>
      <c r="BW252" s="660"/>
      <c r="BX252" s="568" t="s">
        <v>932</v>
      </c>
      <c r="BY252" s="568"/>
      <c r="BZ252" s="568"/>
      <c r="CA252" s="660" t="s">
        <v>932</v>
      </c>
      <c r="CB252" s="660"/>
      <c r="CC252" s="660"/>
      <c r="CD252" s="660"/>
      <c r="CE252" s="568">
        <v>1</v>
      </c>
      <c r="CF252" s="568"/>
      <c r="CG252" s="568"/>
      <c r="CH252" s="660" t="s">
        <v>932</v>
      </c>
      <c r="CI252" s="660"/>
      <c r="CJ252" s="660"/>
      <c r="CK252" s="660"/>
      <c r="CL252" s="568" t="s">
        <v>932</v>
      </c>
      <c r="CM252" s="568"/>
      <c r="CN252" s="568"/>
    </row>
    <row r="253" hidden="1" customHeight="1" spans="1:92">
      <c r="A253" s="612"/>
      <c r="B253" s="612"/>
      <c r="C253" s="518"/>
      <c r="D253" s="518"/>
      <c r="E253" s="518"/>
      <c r="F253" s="657"/>
      <c r="G253" s="657"/>
      <c r="H253" s="657"/>
      <c r="I253" s="519"/>
      <c r="J253" s="519"/>
      <c r="K253" s="519"/>
      <c r="L253" s="519"/>
      <c r="M253" s="519"/>
      <c r="N253" s="519"/>
      <c r="O253" s="519"/>
      <c r="P253" s="519"/>
      <c r="Q253" s="519"/>
      <c r="R253" s="519"/>
      <c r="S253" s="519"/>
      <c r="T253" s="519"/>
      <c r="U253" s="519"/>
      <c r="V253" s="519"/>
      <c r="W253" s="519"/>
      <c r="X253" s="519"/>
      <c r="Y253" s="519"/>
      <c r="Z253" s="519"/>
      <c r="AA253" s="519"/>
      <c r="AB253" s="526"/>
      <c r="AC253" s="526"/>
      <c r="AD253" s="658"/>
      <c r="AE253" s="658"/>
      <c r="AF253" s="658"/>
      <c r="AG253" s="526">
        <v>0</v>
      </c>
      <c r="AH253" s="526"/>
      <c r="AI253" s="659" t="e">
        <v>#N/A</v>
      </c>
      <c r="AJ253" s="659"/>
      <c r="AK253" s="659"/>
      <c r="AL253" s="659"/>
      <c r="AM253" s="659"/>
      <c r="AN253" s="659"/>
      <c r="AO253" s="659"/>
      <c r="AP253" s="659"/>
      <c r="AQ253" s="659"/>
      <c r="AR253" s="659"/>
      <c r="AS253" s="659"/>
      <c r="AT253" s="659"/>
      <c r="AU253" s="659"/>
      <c r="AV253" s="659"/>
      <c r="AW253" s="658">
        <v>0</v>
      </c>
      <c r="AX253" s="658"/>
      <c r="AY253" s="658"/>
      <c r="AZ253" s="658"/>
      <c r="BA253" s="658"/>
      <c r="BB253" s="658"/>
      <c r="BC253" s="658">
        <v>0</v>
      </c>
      <c r="BD253" s="658"/>
      <c r="BE253" s="658"/>
      <c r="BF253" s="658">
        <v>182.49</v>
      </c>
      <c r="BG253" s="658"/>
      <c r="BH253" s="658"/>
      <c r="BI253" s="567">
        <v>0</v>
      </c>
      <c r="BJ253" s="567"/>
      <c r="BK253" s="567"/>
      <c r="BL253" s="567"/>
      <c r="BM253" s="660" t="s">
        <v>932</v>
      </c>
      <c r="BN253" s="660"/>
      <c r="BO253" s="660"/>
      <c r="BP253" s="660"/>
      <c r="BQ253" s="568" t="s">
        <v>932</v>
      </c>
      <c r="BR253" s="568"/>
      <c r="BS253" s="568"/>
      <c r="BT253" s="660" t="s">
        <v>932</v>
      </c>
      <c r="BU253" s="660"/>
      <c r="BV253" s="660"/>
      <c r="BW253" s="660"/>
      <c r="BX253" s="568" t="s">
        <v>932</v>
      </c>
      <c r="BY253" s="568"/>
      <c r="BZ253" s="568"/>
      <c r="CA253" s="660" t="s">
        <v>932</v>
      </c>
      <c r="CB253" s="660"/>
      <c r="CC253" s="660"/>
      <c r="CD253" s="660"/>
      <c r="CE253" s="568">
        <v>1</v>
      </c>
      <c r="CF253" s="568"/>
      <c r="CG253" s="568"/>
      <c r="CH253" s="660" t="s">
        <v>932</v>
      </c>
      <c r="CI253" s="660"/>
      <c r="CJ253" s="660"/>
      <c r="CK253" s="660"/>
      <c r="CL253" s="568" t="s">
        <v>932</v>
      </c>
      <c r="CM253" s="568"/>
      <c r="CN253" s="568"/>
    </row>
    <row r="254" hidden="1" customHeight="1" spans="1:92">
      <c r="A254" s="612"/>
      <c r="B254" s="612"/>
      <c r="C254" s="518"/>
      <c r="D254" s="518"/>
      <c r="E254" s="518"/>
      <c r="F254" s="657"/>
      <c r="G254" s="657"/>
      <c r="H254" s="657"/>
      <c r="I254" s="519"/>
      <c r="J254" s="519"/>
      <c r="K254" s="519"/>
      <c r="L254" s="519"/>
      <c r="M254" s="519"/>
      <c r="N254" s="519"/>
      <c r="O254" s="519"/>
      <c r="P254" s="519"/>
      <c r="Q254" s="519"/>
      <c r="R254" s="519"/>
      <c r="S254" s="519"/>
      <c r="T254" s="519"/>
      <c r="U254" s="519"/>
      <c r="V254" s="519"/>
      <c r="W254" s="519"/>
      <c r="X254" s="519"/>
      <c r="Y254" s="519"/>
      <c r="Z254" s="519"/>
      <c r="AA254" s="519"/>
      <c r="AB254" s="526"/>
      <c r="AC254" s="526"/>
      <c r="AD254" s="658"/>
      <c r="AE254" s="658"/>
      <c r="AF254" s="658"/>
      <c r="AG254" s="526">
        <v>0</v>
      </c>
      <c r="AH254" s="526"/>
      <c r="AI254" s="659" t="e">
        <v>#N/A</v>
      </c>
      <c r="AJ254" s="659"/>
      <c r="AK254" s="659"/>
      <c r="AL254" s="659"/>
      <c r="AM254" s="659"/>
      <c r="AN254" s="659"/>
      <c r="AO254" s="659"/>
      <c r="AP254" s="659"/>
      <c r="AQ254" s="659"/>
      <c r="AR254" s="659"/>
      <c r="AS254" s="659"/>
      <c r="AT254" s="659"/>
      <c r="AU254" s="659"/>
      <c r="AV254" s="659"/>
      <c r="AW254" s="658">
        <v>0</v>
      </c>
      <c r="AX254" s="658"/>
      <c r="AY254" s="658"/>
      <c r="AZ254" s="658"/>
      <c r="BA254" s="658"/>
      <c r="BB254" s="658"/>
      <c r="BC254" s="658">
        <v>0</v>
      </c>
      <c r="BD254" s="658"/>
      <c r="BE254" s="658"/>
      <c r="BF254" s="658">
        <v>182.49</v>
      </c>
      <c r="BG254" s="658"/>
      <c r="BH254" s="658"/>
      <c r="BI254" s="567">
        <v>0</v>
      </c>
      <c r="BJ254" s="567"/>
      <c r="BK254" s="567"/>
      <c r="BL254" s="567"/>
      <c r="BM254" s="660" t="s">
        <v>932</v>
      </c>
      <c r="BN254" s="660"/>
      <c r="BO254" s="660"/>
      <c r="BP254" s="660"/>
      <c r="BQ254" s="568" t="s">
        <v>932</v>
      </c>
      <c r="BR254" s="568"/>
      <c r="BS254" s="568"/>
      <c r="BT254" s="660" t="s">
        <v>932</v>
      </c>
      <c r="BU254" s="660"/>
      <c r="BV254" s="660"/>
      <c r="BW254" s="660"/>
      <c r="BX254" s="568" t="s">
        <v>932</v>
      </c>
      <c r="BY254" s="568"/>
      <c r="BZ254" s="568"/>
      <c r="CA254" s="660" t="s">
        <v>932</v>
      </c>
      <c r="CB254" s="660"/>
      <c r="CC254" s="660"/>
      <c r="CD254" s="660"/>
      <c r="CE254" s="568">
        <v>1</v>
      </c>
      <c r="CF254" s="568"/>
      <c r="CG254" s="568"/>
      <c r="CH254" s="660" t="s">
        <v>932</v>
      </c>
      <c r="CI254" s="660"/>
      <c r="CJ254" s="660"/>
      <c r="CK254" s="660"/>
      <c r="CL254" s="568" t="s">
        <v>932</v>
      </c>
      <c r="CM254" s="568"/>
      <c r="CN254" s="568"/>
    </row>
    <row r="255" hidden="1" customHeight="1" spans="1:92">
      <c r="A255" s="612"/>
      <c r="B255" s="612"/>
      <c r="C255" s="518"/>
      <c r="D255" s="518"/>
      <c r="E255" s="518"/>
      <c r="F255" s="657"/>
      <c r="G255" s="657"/>
      <c r="H255" s="657"/>
      <c r="I255" s="519"/>
      <c r="J255" s="519"/>
      <c r="K255" s="519"/>
      <c r="L255" s="519"/>
      <c r="M255" s="519"/>
      <c r="N255" s="519"/>
      <c r="O255" s="519"/>
      <c r="P255" s="519"/>
      <c r="Q255" s="519"/>
      <c r="R255" s="519"/>
      <c r="S255" s="519"/>
      <c r="T255" s="519"/>
      <c r="U255" s="519"/>
      <c r="V255" s="519"/>
      <c r="W255" s="519"/>
      <c r="X255" s="519"/>
      <c r="Y255" s="519"/>
      <c r="Z255" s="519"/>
      <c r="AA255" s="519"/>
      <c r="AB255" s="526"/>
      <c r="AC255" s="526"/>
      <c r="AD255" s="658"/>
      <c r="AE255" s="658"/>
      <c r="AF255" s="658"/>
      <c r="AG255" s="526">
        <v>0</v>
      </c>
      <c r="AH255" s="526"/>
      <c r="AI255" s="659" t="e">
        <v>#N/A</v>
      </c>
      <c r="AJ255" s="659"/>
      <c r="AK255" s="659"/>
      <c r="AL255" s="659"/>
      <c r="AM255" s="659"/>
      <c r="AN255" s="659"/>
      <c r="AO255" s="659"/>
      <c r="AP255" s="659"/>
      <c r="AQ255" s="659"/>
      <c r="AR255" s="659"/>
      <c r="AS255" s="659"/>
      <c r="AT255" s="659"/>
      <c r="AU255" s="659"/>
      <c r="AV255" s="659"/>
      <c r="AW255" s="658">
        <v>0</v>
      </c>
      <c r="AX255" s="658"/>
      <c r="AY255" s="658"/>
      <c r="AZ255" s="658"/>
      <c r="BA255" s="658"/>
      <c r="BB255" s="658"/>
      <c r="BC255" s="658">
        <v>0</v>
      </c>
      <c r="BD255" s="658"/>
      <c r="BE255" s="658"/>
      <c r="BF255" s="658">
        <v>182.49</v>
      </c>
      <c r="BG255" s="658"/>
      <c r="BH255" s="658"/>
      <c r="BI255" s="567">
        <v>0</v>
      </c>
      <c r="BJ255" s="567"/>
      <c r="BK255" s="567"/>
      <c r="BL255" s="567"/>
      <c r="BM255" s="660" t="s">
        <v>932</v>
      </c>
      <c r="BN255" s="660"/>
      <c r="BO255" s="660"/>
      <c r="BP255" s="660"/>
      <c r="BQ255" s="568" t="s">
        <v>932</v>
      </c>
      <c r="BR255" s="568"/>
      <c r="BS255" s="568"/>
      <c r="BT255" s="660" t="s">
        <v>932</v>
      </c>
      <c r="BU255" s="660"/>
      <c r="BV255" s="660"/>
      <c r="BW255" s="660"/>
      <c r="BX255" s="568" t="s">
        <v>932</v>
      </c>
      <c r="BY255" s="568"/>
      <c r="BZ255" s="568"/>
      <c r="CA255" s="660" t="s">
        <v>932</v>
      </c>
      <c r="CB255" s="660"/>
      <c r="CC255" s="660"/>
      <c r="CD255" s="660"/>
      <c r="CE255" s="568">
        <v>1</v>
      </c>
      <c r="CF255" s="568"/>
      <c r="CG255" s="568"/>
      <c r="CH255" s="660" t="s">
        <v>932</v>
      </c>
      <c r="CI255" s="660"/>
      <c r="CJ255" s="660"/>
      <c r="CK255" s="660"/>
      <c r="CL255" s="568" t="s">
        <v>932</v>
      </c>
      <c r="CM255" s="568"/>
      <c r="CN255" s="568"/>
    </row>
    <row r="256" customHeight="1" spans="1:92">
      <c r="A256" s="612" t="s">
        <v>972</v>
      </c>
      <c r="B256" s="612"/>
      <c r="C256" s="518"/>
      <c r="D256" s="518"/>
      <c r="E256" s="518"/>
      <c r="F256" s="657">
        <v>1100657</v>
      </c>
      <c r="G256" s="657"/>
      <c r="H256" s="657"/>
      <c r="I256" s="519" t="s">
        <v>114</v>
      </c>
      <c r="J256" s="519"/>
      <c r="K256" s="519"/>
      <c r="L256" s="519"/>
      <c r="M256" s="519"/>
      <c r="N256" s="519"/>
      <c r="O256" s="519"/>
      <c r="P256" s="519"/>
      <c r="Q256" s="519"/>
      <c r="R256" s="519"/>
      <c r="S256" s="519"/>
      <c r="T256" s="519"/>
      <c r="U256" s="519"/>
      <c r="V256" s="519"/>
      <c r="W256" s="519"/>
      <c r="X256" s="519"/>
      <c r="Y256" s="519"/>
      <c r="Z256" s="519"/>
      <c r="AA256" s="519"/>
      <c r="AB256" s="526" t="s">
        <v>99</v>
      </c>
      <c r="AC256" s="526"/>
      <c r="AD256" s="658">
        <v>4.8</v>
      </c>
      <c r="AE256" s="658"/>
      <c r="AF256" s="658"/>
      <c r="AG256" s="526" t="s">
        <v>935</v>
      </c>
      <c r="AH256" s="526"/>
      <c r="AI256" s="659" t="s">
        <v>936</v>
      </c>
      <c r="AJ256" s="659"/>
      <c r="AK256" s="659"/>
      <c r="AL256" s="659"/>
      <c r="AM256" s="659"/>
      <c r="AN256" s="659"/>
      <c r="AO256" s="659"/>
      <c r="AP256" s="659"/>
      <c r="AQ256" s="659"/>
      <c r="AR256" s="659"/>
      <c r="AS256" s="659"/>
      <c r="AT256" s="659"/>
      <c r="AU256" s="659"/>
      <c r="AV256" s="659"/>
      <c r="AW256" s="658">
        <v>1</v>
      </c>
      <c r="AX256" s="658"/>
      <c r="AY256" s="658"/>
      <c r="AZ256" s="658">
        <v>9</v>
      </c>
      <c r="BA256" s="658"/>
      <c r="BB256" s="658"/>
      <c r="BC256" s="658">
        <v>0.533333333333333</v>
      </c>
      <c r="BD256" s="658"/>
      <c r="BE256" s="658"/>
      <c r="BF256" s="658">
        <v>182.49</v>
      </c>
      <c r="BG256" s="658"/>
      <c r="BH256" s="658"/>
      <c r="BI256" s="567">
        <v>0.00292253456810419</v>
      </c>
      <c r="BJ256" s="567"/>
      <c r="BK256" s="567"/>
      <c r="BL256" s="567"/>
      <c r="BM256" s="660" t="s">
        <v>932</v>
      </c>
      <c r="BN256" s="660"/>
      <c r="BO256" s="660"/>
      <c r="BP256" s="660"/>
      <c r="BQ256" s="568" t="s">
        <v>932</v>
      </c>
      <c r="BR256" s="568"/>
      <c r="BS256" s="568"/>
      <c r="BT256" s="660" t="s">
        <v>932</v>
      </c>
      <c r="BU256" s="660"/>
      <c r="BV256" s="660"/>
      <c r="BW256" s="660"/>
      <c r="BX256" s="568" t="s">
        <v>932</v>
      </c>
      <c r="BY256" s="568"/>
      <c r="BZ256" s="568"/>
      <c r="CA256" s="660">
        <v>0.00292253456810419</v>
      </c>
      <c r="CB256" s="660"/>
      <c r="CC256" s="660"/>
      <c r="CD256" s="660"/>
      <c r="CE256" s="568">
        <v>1</v>
      </c>
      <c r="CF256" s="568"/>
      <c r="CG256" s="568"/>
      <c r="CH256" s="660" t="s">
        <v>932</v>
      </c>
      <c r="CI256" s="660"/>
      <c r="CJ256" s="660"/>
      <c r="CK256" s="660"/>
      <c r="CL256" s="568" t="s">
        <v>932</v>
      </c>
      <c r="CM256" s="568"/>
      <c r="CN256" s="568"/>
    </row>
    <row r="257" hidden="1" customHeight="1" spans="1:92">
      <c r="A257" s="612"/>
      <c r="B257" s="612"/>
      <c r="C257" s="518"/>
      <c r="D257" s="518"/>
      <c r="E257" s="518"/>
      <c r="F257" s="657"/>
      <c r="G257" s="657"/>
      <c r="H257" s="657"/>
      <c r="I257" s="519"/>
      <c r="J257" s="519"/>
      <c r="K257" s="519"/>
      <c r="L257" s="519"/>
      <c r="M257" s="519"/>
      <c r="N257" s="519"/>
      <c r="O257" s="519"/>
      <c r="P257" s="519"/>
      <c r="Q257" s="519"/>
      <c r="R257" s="519"/>
      <c r="S257" s="519"/>
      <c r="T257" s="519"/>
      <c r="U257" s="519"/>
      <c r="V257" s="519"/>
      <c r="W257" s="519"/>
      <c r="X257" s="519"/>
      <c r="Y257" s="519"/>
      <c r="Z257" s="519"/>
      <c r="AA257" s="519"/>
      <c r="AB257" s="526"/>
      <c r="AC257" s="526"/>
      <c r="AD257" s="658"/>
      <c r="AE257" s="658"/>
      <c r="AF257" s="658"/>
      <c r="AG257" s="526">
        <v>0</v>
      </c>
      <c r="AH257" s="526"/>
      <c r="AI257" s="659" t="e">
        <v>#N/A</v>
      </c>
      <c r="AJ257" s="659"/>
      <c r="AK257" s="659"/>
      <c r="AL257" s="659"/>
      <c r="AM257" s="659"/>
      <c r="AN257" s="659"/>
      <c r="AO257" s="659"/>
      <c r="AP257" s="659"/>
      <c r="AQ257" s="659"/>
      <c r="AR257" s="659"/>
      <c r="AS257" s="659"/>
      <c r="AT257" s="659"/>
      <c r="AU257" s="659"/>
      <c r="AV257" s="659"/>
      <c r="AW257" s="658">
        <v>0</v>
      </c>
      <c r="AX257" s="658"/>
      <c r="AY257" s="658"/>
      <c r="AZ257" s="658"/>
      <c r="BA257" s="658"/>
      <c r="BB257" s="658"/>
      <c r="BC257" s="658">
        <v>0</v>
      </c>
      <c r="BD257" s="658"/>
      <c r="BE257" s="658"/>
      <c r="BF257" s="658">
        <v>182.49</v>
      </c>
      <c r="BG257" s="658"/>
      <c r="BH257" s="658"/>
      <c r="BI257" s="567">
        <v>0</v>
      </c>
      <c r="BJ257" s="567"/>
      <c r="BK257" s="567"/>
      <c r="BL257" s="567"/>
      <c r="BM257" s="660" t="s">
        <v>932</v>
      </c>
      <c r="BN257" s="660"/>
      <c r="BO257" s="660"/>
      <c r="BP257" s="660"/>
      <c r="BQ257" s="568" t="s">
        <v>932</v>
      </c>
      <c r="BR257" s="568"/>
      <c r="BS257" s="568"/>
      <c r="BT257" s="660" t="s">
        <v>932</v>
      </c>
      <c r="BU257" s="660"/>
      <c r="BV257" s="660"/>
      <c r="BW257" s="660"/>
      <c r="BX257" s="568" t="s">
        <v>932</v>
      </c>
      <c r="BY257" s="568"/>
      <c r="BZ257" s="568"/>
      <c r="CA257" s="660" t="s">
        <v>932</v>
      </c>
      <c r="CB257" s="660"/>
      <c r="CC257" s="660"/>
      <c r="CD257" s="660"/>
      <c r="CE257" s="568">
        <v>1</v>
      </c>
      <c r="CF257" s="568"/>
      <c r="CG257" s="568"/>
      <c r="CH257" s="660" t="s">
        <v>932</v>
      </c>
      <c r="CI257" s="660"/>
      <c r="CJ257" s="660"/>
      <c r="CK257" s="660"/>
      <c r="CL257" s="568" t="s">
        <v>932</v>
      </c>
      <c r="CM257" s="568"/>
      <c r="CN257" s="568"/>
    </row>
    <row r="258" hidden="1" customHeight="1" spans="1:92">
      <c r="A258" s="612"/>
      <c r="B258" s="612"/>
      <c r="C258" s="518"/>
      <c r="D258" s="518"/>
      <c r="E258" s="518"/>
      <c r="F258" s="657"/>
      <c r="G258" s="657"/>
      <c r="H258" s="657"/>
      <c r="I258" s="519"/>
      <c r="J258" s="519"/>
      <c r="K258" s="519"/>
      <c r="L258" s="519"/>
      <c r="M258" s="519"/>
      <c r="N258" s="519"/>
      <c r="O258" s="519"/>
      <c r="P258" s="519"/>
      <c r="Q258" s="519"/>
      <c r="R258" s="519"/>
      <c r="S258" s="519"/>
      <c r="T258" s="519"/>
      <c r="U258" s="519"/>
      <c r="V258" s="519"/>
      <c r="W258" s="519"/>
      <c r="X258" s="519"/>
      <c r="Y258" s="519"/>
      <c r="Z258" s="519"/>
      <c r="AA258" s="519"/>
      <c r="AB258" s="526"/>
      <c r="AC258" s="526"/>
      <c r="AD258" s="658"/>
      <c r="AE258" s="658"/>
      <c r="AF258" s="658"/>
      <c r="AG258" s="526">
        <v>0</v>
      </c>
      <c r="AH258" s="526"/>
      <c r="AI258" s="659" t="e">
        <v>#N/A</v>
      </c>
      <c r="AJ258" s="659"/>
      <c r="AK258" s="659"/>
      <c r="AL258" s="659"/>
      <c r="AM258" s="659"/>
      <c r="AN258" s="659"/>
      <c r="AO258" s="659"/>
      <c r="AP258" s="659"/>
      <c r="AQ258" s="659"/>
      <c r="AR258" s="659"/>
      <c r="AS258" s="659"/>
      <c r="AT258" s="659"/>
      <c r="AU258" s="659"/>
      <c r="AV258" s="659"/>
      <c r="AW258" s="658">
        <v>0</v>
      </c>
      <c r="AX258" s="658"/>
      <c r="AY258" s="658"/>
      <c r="AZ258" s="658"/>
      <c r="BA258" s="658"/>
      <c r="BB258" s="658"/>
      <c r="BC258" s="658">
        <v>0</v>
      </c>
      <c r="BD258" s="658"/>
      <c r="BE258" s="658"/>
      <c r="BF258" s="658">
        <v>182.49</v>
      </c>
      <c r="BG258" s="658"/>
      <c r="BH258" s="658"/>
      <c r="BI258" s="567">
        <v>0</v>
      </c>
      <c r="BJ258" s="567"/>
      <c r="BK258" s="567"/>
      <c r="BL258" s="567"/>
      <c r="BM258" s="660" t="s">
        <v>932</v>
      </c>
      <c r="BN258" s="660"/>
      <c r="BO258" s="660"/>
      <c r="BP258" s="660"/>
      <c r="BQ258" s="568" t="s">
        <v>932</v>
      </c>
      <c r="BR258" s="568"/>
      <c r="BS258" s="568"/>
      <c r="BT258" s="660" t="s">
        <v>932</v>
      </c>
      <c r="BU258" s="660"/>
      <c r="BV258" s="660"/>
      <c r="BW258" s="660"/>
      <c r="BX258" s="568" t="s">
        <v>932</v>
      </c>
      <c r="BY258" s="568"/>
      <c r="BZ258" s="568"/>
      <c r="CA258" s="660" t="s">
        <v>932</v>
      </c>
      <c r="CB258" s="660"/>
      <c r="CC258" s="660"/>
      <c r="CD258" s="660"/>
      <c r="CE258" s="568">
        <v>1</v>
      </c>
      <c r="CF258" s="568"/>
      <c r="CG258" s="568"/>
      <c r="CH258" s="660" t="s">
        <v>932</v>
      </c>
      <c r="CI258" s="660"/>
      <c r="CJ258" s="660"/>
      <c r="CK258" s="660"/>
      <c r="CL258" s="568" t="s">
        <v>932</v>
      </c>
      <c r="CM258" s="568"/>
      <c r="CN258" s="568"/>
    </row>
    <row r="259" hidden="1" customHeight="1" spans="1:92">
      <c r="A259" s="612"/>
      <c r="B259" s="612"/>
      <c r="C259" s="518"/>
      <c r="D259" s="518"/>
      <c r="E259" s="518"/>
      <c r="F259" s="657"/>
      <c r="G259" s="657"/>
      <c r="H259" s="657"/>
      <c r="I259" s="519"/>
      <c r="J259" s="519"/>
      <c r="K259" s="519"/>
      <c r="L259" s="519"/>
      <c r="M259" s="519"/>
      <c r="N259" s="519"/>
      <c r="O259" s="519"/>
      <c r="P259" s="519"/>
      <c r="Q259" s="519"/>
      <c r="R259" s="519"/>
      <c r="S259" s="519"/>
      <c r="T259" s="519"/>
      <c r="U259" s="519"/>
      <c r="V259" s="519"/>
      <c r="W259" s="519"/>
      <c r="X259" s="519"/>
      <c r="Y259" s="519"/>
      <c r="Z259" s="519"/>
      <c r="AA259" s="519"/>
      <c r="AB259" s="526"/>
      <c r="AC259" s="526"/>
      <c r="AD259" s="658"/>
      <c r="AE259" s="658"/>
      <c r="AF259" s="658"/>
      <c r="AG259" s="526">
        <v>0</v>
      </c>
      <c r="AH259" s="526"/>
      <c r="AI259" s="659" t="e">
        <v>#N/A</v>
      </c>
      <c r="AJ259" s="659"/>
      <c r="AK259" s="659"/>
      <c r="AL259" s="659"/>
      <c r="AM259" s="659"/>
      <c r="AN259" s="659"/>
      <c r="AO259" s="659"/>
      <c r="AP259" s="659"/>
      <c r="AQ259" s="659"/>
      <c r="AR259" s="659"/>
      <c r="AS259" s="659"/>
      <c r="AT259" s="659"/>
      <c r="AU259" s="659"/>
      <c r="AV259" s="659"/>
      <c r="AW259" s="658">
        <v>0</v>
      </c>
      <c r="AX259" s="658"/>
      <c r="AY259" s="658"/>
      <c r="AZ259" s="658"/>
      <c r="BA259" s="658"/>
      <c r="BB259" s="658"/>
      <c r="BC259" s="658">
        <v>0</v>
      </c>
      <c r="BD259" s="658"/>
      <c r="BE259" s="658"/>
      <c r="BF259" s="658">
        <v>182.49</v>
      </c>
      <c r="BG259" s="658"/>
      <c r="BH259" s="658"/>
      <c r="BI259" s="567">
        <v>0</v>
      </c>
      <c r="BJ259" s="567"/>
      <c r="BK259" s="567"/>
      <c r="BL259" s="567"/>
      <c r="BM259" s="660" t="s">
        <v>932</v>
      </c>
      <c r="BN259" s="660"/>
      <c r="BO259" s="660"/>
      <c r="BP259" s="660"/>
      <c r="BQ259" s="568" t="s">
        <v>932</v>
      </c>
      <c r="BR259" s="568"/>
      <c r="BS259" s="568"/>
      <c r="BT259" s="660" t="s">
        <v>932</v>
      </c>
      <c r="BU259" s="660"/>
      <c r="BV259" s="660"/>
      <c r="BW259" s="660"/>
      <c r="BX259" s="568" t="s">
        <v>932</v>
      </c>
      <c r="BY259" s="568"/>
      <c r="BZ259" s="568"/>
      <c r="CA259" s="660" t="s">
        <v>932</v>
      </c>
      <c r="CB259" s="660"/>
      <c r="CC259" s="660"/>
      <c r="CD259" s="660"/>
      <c r="CE259" s="568">
        <v>1</v>
      </c>
      <c r="CF259" s="568"/>
      <c r="CG259" s="568"/>
      <c r="CH259" s="660" t="s">
        <v>932</v>
      </c>
      <c r="CI259" s="660"/>
      <c r="CJ259" s="660"/>
      <c r="CK259" s="660"/>
      <c r="CL259" s="568" t="s">
        <v>932</v>
      </c>
      <c r="CM259" s="568"/>
      <c r="CN259" s="568"/>
    </row>
    <row r="260" hidden="1" customHeight="1" spans="1:92">
      <c r="A260" s="612"/>
      <c r="B260" s="612"/>
      <c r="C260" s="518"/>
      <c r="D260" s="518"/>
      <c r="E260" s="518"/>
      <c r="F260" s="657"/>
      <c r="G260" s="657"/>
      <c r="H260" s="657"/>
      <c r="I260" s="519"/>
      <c r="J260" s="519"/>
      <c r="K260" s="519"/>
      <c r="L260" s="519"/>
      <c r="M260" s="519"/>
      <c r="N260" s="519"/>
      <c r="O260" s="519"/>
      <c r="P260" s="519"/>
      <c r="Q260" s="519"/>
      <c r="R260" s="519"/>
      <c r="S260" s="519"/>
      <c r="T260" s="519"/>
      <c r="U260" s="519"/>
      <c r="V260" s="519"/>
      <c r="W260" s="519"/>
      <c r="X260" s="519"/>
      <c r="Y260" s="519"/>
      <c r="Z260" s="519"/>
      <c r="AA260" s="519"/>
      <c r="AB260" s="526"/>
      <c r="AC260" s="526"/>
      <c r="AD260" s="658"/>
      <c r="AE260" s="658"/>
      <c r="AF260" s="658"/>
      <c r="AG260" s="526">
        <v>0</v>
      </c>
      <c r="AH260" s="526"/>
      <c r="AI260" s="659" t="e">
        <v>#N/A</v>
      </c>
      <c r="AJ260" s="659"/>
      <c r="AK260" s="659"/>
      <c r="AL260" s="659"/>
      <c r="AM260" s="659"/>
      <c r="AN260" s="659"/>
      <c r="AO260" s="659"/>
      <c r="AP260" s="659"/>
      <c r="AQ260" s="659"/>
      <c r="AR260" s="659"/>
      <c r="AS260" s="659"/>
      <c r="AT260" s="659"/>
      <c r="AU260" s="659"/>
      <c r="AV260" s="659"/>
      <c r="AW260" s="658">
        <v>0</v>
      </c>
      <c r="AX260" s="658"/>
      <c r="AY260" s="658"/>
      <c r="AZ260" s="658"/>
      <c r="BA260" s="658"/>
      <c r="BB260" s="658"/>
      <c r="BC260" s="658">
        <v>0</v>
      </c>
      <c r="BD260" s="658"/>
      <c r="BE260" s="658"/>
      <c r="BF260" s="658">
        <v>182.49</v>
      </c>
      <c r="BG260" s="658"/>
      <c r="BH260" s="658"/>
      <c r="BI260" s="567">
        <v>0</v>
      </c>
      <c r="BJ260" s="567"/>
      <c r="BK260" s="567"/>
      <c r="BL260" s="567"/>
      <c r="BM260" s="660" t="s">
        <v>932</v>
      </c>
      <c r="BN260" s="660"/>
      <c r="BO260" s="660"/>
      <c r="BP260" s="660"/>
      <c r="BQ260" s="568" t="s">
        <v>932</v>
      </c>
      <c r="BR260" s="568"/>
      <c r="BS260" s="568"/>
      <c r="BT260" s="660" t="s">
        <v>932</v>
      </c>
      <c r="BU260" s="660"/>
      <c r="BV260" s="660"/>
      <c r="BW260" s="660"/>
      <c r="BX260" s="568" t="s">
        <v>932</v>
      </c>
      <c r="BY260" s="568"/>
      <c r="BZ260" s="568"/>
      <c r="CA260" s="660" t="s">
        <v>932</v>
      </c>
      <c r="CB260" s="660"/>
      <c r="CC260" s="660"/>
      <c r="CD260" s="660"/>
      <c r="CE260" s="568">
        <v>1</v>
      </c>
      <c r="CF260" s="568"/>
      <c r="CG260" s="568"/>
      <c r="CH260" s="660" t="s">
        <v>932</v>
      </c>
      <c r="CI260" s="660"/>
      <c r="CJ260" s="660"/>
      <c r="CK260" s="660"/>
      <c r="CL260" s="568" t="s">
        <v>932</v>
      </c>
      <c r="CM260" s="568"/>
      <c r="CN260" s="568"/>
    </row>
    <row r="261" hidden="1" customHeight="1" spans="1:92">
      <c r="A261" s="612"/>
      <c r="B261" s="612"/>
      <c r="C261" s="518"/>
      <c r="D261" s="518"/>
      <c r="E261" s="518"/>
      <c r="F261" s="657"/>
      <c r="G261" s="657"/>
      <c r="H261" s="657"/>
      <c r="I261" s="519"/>
      <c r="J261" s="519"/>
      <c r="K261" s="519"/>
      <c r="L261" s="519"/>
      <c r="M261" s="519"/>
      <c r="N261" s="519"/>
      <c r="O261" s="519"/>
      <c r="P261" s="519"/>
      <c r="Q261" s="519"/>
      <c r="R261" s="519"/>
      <c r="S261" s="519"/>
      <c r="T261" s="519"/>
      <c r="U261" s="519"/>
      <c r="V261" s="519"/>
      <c r="W261" s="519"/>
      <c r="X261" s="519"/>
      <c r="Y261" s="519"/>
      <c r="Z261" s="519"/>
      <c r="AA261" s="519"/>
      <c r="AB261" s="526"/>
      <c r="AC261" s="526"/>
      <c r="AD261" s="658"/>
      <c r="AE261" s="658"/>
      <c r="AF261" s="658"/>
      <c r="AG261" s="526">
        <v>0</v>
      </c>
      <c r="AH261" s="526"/>
      <c r="AI261" s="659" t="e">
        <v>#N/A</v>
      </c>
      <c r="AJ261" s="659"/>
      <c r="AK261" s="659"/>
      <c r="AL261" s="659"/>
      <c r="AM261" s="659"/>
      <c r="AN261" s="659"/>
      <c r="AO261" s="659"/>
      <c r="AP261" s="659"/>
      <c r="AQ261" s="659"/>
      <c r="AR261" s="659"/>
      <c r="AS261" s="659"/>
      <c r="AT261" s="659"/>
      <c r="AU261" s="659"/>
      <c r="AV261" s="659"/>
      <c r="AW261" s="658">
        <v>0</v>
      </c>
      <c r="AX261" s="658"/>
      <c r="AY261" s="658"/>
      <c r="AZ261" s="658"/>
      <c r="BA261" s="658"/>
      <c r="BB261" s="658"/>
      <c r="BC261" s="658">
        <v>0</v>
      </c>
      <c r="BD261" s="658"/>
      <c r="BE261" s="658"/>
      <c r="BF261" s="658">
        <v>182.49</v>
      </c>
      <c r="BG261" s="658"/>
      <c r="BH261" s="658"/>
      <c r="BI261" s="567">
        <v>0</v>
      </c>
      <c r="BJ261" s="567"/>
      <c r="BK261" s="567"/>
      <c r="BL261" s="567"/>
      <c r="BM261" s="660" t="s">
        <v>932</v>
      </c>
      <c r="BN261" s="660"/>
      <c r="BO261" s="660"/>
      <c r="BP261" s="660"/>
      <c r="BQ261" s="568" t="s">
        <v>932</v>
      </c>
      <c r="BR261" s="568"/>
      <c r="BS261" s="568"/>
      <c r="BT261" s="660" t="s">
        <v>932</v>
      </c>
      <c r="BU261" s="660"/>
      <c r="BV261" s="660"/>
      <c r="BW261" s="660"/>
      <c r="BX261" s="568" t="s">
        <v>932</v>
      </c>
      <c r="BY261" s="568"/>
      <c r="BZ261" s="568"/>
      <c r="CA261" s="660" t="s">
        <v>932</v>
      </c>
      <c r="CB261" s="660"/>
      <c r="CC261" s="660"/>
      <c r="CD261" s="660"/>
      <c r="CE261" s="568">
        <v>1</v>
      </c>
      <c r="CF261" s="568"/>
      <c r="CG261" s="568"/>
      <c r="CH261" s="660" t="s">
        <v>932</v>
      </c>
      <c r="CI261" s="660"/>
      <c r="CJ261" s="660"/>
      <c r="CK261" s="660"/>
      <c r="CL261" s="568" t="s">
        <v>932</v>
      </c>
      <c r="CM261" s="568"/>
      <c r="CN261" s="568"/>
    </row>
    <row r="262" hidden="1" customHeight="1" spans="1:92">
      <c r="A262" s="612"/>
      <c r="B262" s="612"/>
      <c r="C262" s="518"/>
      <c r="D262" s="518"/>
      <c r="E262" s="518"/>
      <c r="F262" s="657"/>
      <c r="G262" s="657"/>
      <c r="H262" s="657"/>
      <c r="I262" s="519"/>
      <c r="J262" s="519"/>
      <c r="K262" s="519"/>
      <c r="L262" s="519"/>
      <c r="M262" s="519"/>
      <c r="N262" s="519"/>
      <c r="O262" s="519"/>
      <c r="P262" s="519"/>
      <c r="Q262" s="519"/>
      <c r="R262" s="519"/>
      <c r="S262" s="519"/>
      <c r="T262" s="519"/>
      <c r="U262" s="519"/>
      <c r="V262" s="519"/>
      <c r="W262" s="519"/>
      <c r="X262" s="519"/>
      <c r="Y262" s="519"/>
      <c r="Z262" s="519"/>
      <c r="AA262" s="519"/>
      <c r="AB262" s="526"/>
      <c r="AC262" s="526"/>
      <c r="AD262" s="658"/>
      <c r="AE262" s="658"/>
      <c r="AF262" s="658"/>
      <c r="AG262" s="526">
        <v>0</v>
      </c>
      <c r="AH262" s="526"/>
      <c r="AI262" s="659" t="e">
        <v>#N/A</v>
      </c>
      <c r="AJ262" s="659"/>
      <c r="AK262" s="659"/>
      <c r="AL262" s="659"/>
      <c r="AM262" s="659"/>
      <c r="AN262" s="659"/>
      <c r="AO262" s="659"/>
      <c r="AP262" s="659"/>
      <c r="AQ262" s="659"/>
      <c r="AR262" s="659"/>
      <c r="AS262" s="659"/>
      <c r="AT262" s="659"/>
      <c r="AU262" s="659"/>
      <c r="AV262" s="659"/>
      <c r="AW262" s="658">
        <v>0</v>
      </c>
      <c r="AX262" s="658"/>
      <c r="AY262" s="658"/>
      <c r="AZ262" s="658"/>
      <c r="BA262" s="658"/>
      <c r="BB262" s="658"/>
      <c r="BC262" s="658">
        <v>0</v>
      </c>
      <c r="BD262" s="658"/>
      <c r="BE262" s="658"/>
      <c r="BF262" s="658">
        <v>182.49</v>
      </c>
      <c r="BG262" s="658"/>
      <c r="BH262" s="658"/>
      <c r="BI262" s="567">
        <v>0</v>
      </c>
      <c r="BJ262" s="567"/>
      <c r="BK262" s="567"/>
      <c r="BL262" s="567"/>
      <c r="BM262" s="660" t="s">
        <v>932</v>
      </c>
      <c r="BN262" s="660"/>
      <c r="BO262" s="660"/>
      <c r="BP262" s="660"/>
      <c r="BQ262" s="568" t="s">
        <v>932</v>
      </c>
      <c r="BR262" s="568"/>
      <c r="BS262" s="568"/>
      <c r="BT262" s="660" t="s">
        <v>932</v>
      </c>
      <c r="BU262" s="660"/>
      <c r="BV262" s="660"/>
      <c r="BW262" s="660"/>
      <c r="BX262" s="568" t="s">
        <v>932</v>
      </c>
      <c r="BY262" s="568"/>
      <c r="BZ262" s="568"/>
      <c r="CA262" s="660" t="s">
        <v>932</v>
      </c>
      <c r="CB262" s="660"/>
      <c r="CC262" s="660"/>
      <c r="CD262" s="660"/>
      <c r="CE262" s="568">
        <v>1</v>
      </c>
      <c r="CF262" s="568"/>
      <c r="CG262" s="568"/>
      <c r="CH262" s="660" t="s">
        <v>932</v>
      </c>
      <c r="CI262" s="660"/>
      <c r="CJ262" s="660"/>
      <c r="CK262" s="660"/>
      <c r="CL262" s="568" t="s">
        <v>932</v>
      </c>
      <c r="CM262" s="568"/>
      <c r="CN262" s="568"/>
    </row>
    <row r="263" hidden="1" customHeight="1" spans="1:92">
      <c r="A263" s="612"/>
      <c r="B263" s="612"/>
      <c r="C263" s="518"/>
      <c r="D263" s="518"/>
      <c r="E263" s="518"/>
      <c r="F263" s="657"/>
      <c r="G263" s="657"/>
      <c r="H263" s="657"/>
      <c r="I263" s="519"/>
      <c r="J263" s="519"/>
      <c r="K263" s="519"/>
      <c r="L263" s="519"/>
      <c r="M263" s="519"/>
      <c r="N263" s="519"/>
      <c r="O263" s="519"/>
      <c r="P263" s="519"/>
      <c r="Q263" s="519"/>
      <c r="R263" s="519"/>
      <c r="S263" s="519"/>
      <c r="T263" s="519"/>
      <c r="U263" s="519"/>
      <c r="V263" s="519"/>
      <c r="W263" s="519"/>
      <c r="X263" s="519"/>
      <c r="Y263" s="519"/>
      <c r="Z263" s="519"/>
      <c r="AA263" s="519"/>
      <c r="AB263" s="526"/>
      <c r="AC263" s="526"/>
      <c r="AD263" s="658"/>
      <c r="AE263" s="658"/>
      <c r="AF263" s="658"/>
      <c r="AG263" s="526">
        <v>0</v>
      </c>
      <c r="AH263" s="526"/>
      <c r="AI263" s="659" t="e">
        <v>#N/A</v>
      </c>
      <c r="AJ263" s="659"/>
      <c r="AK263" s="659"/>
      <c r="AL263" s="659"/>
      <c r="AM263" s="659"/>
      <c r="AN263" s="659"/>
      <c r="AO263" s="659"/>
      <c r="AP263" s="659"/>
      <c r="AQ263" s="659"/>
      <c r="AR263" s="659"/>
      <c r="AS263" s="659"/>
      <c r="AT263" s="659"/>
      <c r="AU263" s="659"/>
      <c r="AV263" s="659"/>
      <c r="AW263" s="658">
        <v>0</v>
      </c>
      <c r="AX263" s="658"/>
      <c r="AY263" s="658"/>
      <c r="AZ263" s="658"/>
      <c r="BA263" s="658"/>
      <c r="BB263" s="658"/>
      <c r="BC263" s="658">
        <v>0</v>
      </c>
      <c r="BD263" s="658"/>
      <c r="BE263" s="658"/>
      <c r="BF263" s="658">
        <v>182.49</v>
      </c>
      <c r="BG263" s="658"/>
      <c r="BH263" s="658"/>
      <c r="BI263" s="567">
        <v>0</v>
      </c>
      <c r="BJ263" s="567"/>
      <c r="BK263" s="567"/>
      <c r="BL263" s="567"/>
      <c r="BM263" s="660" t="s">
        <v>932</v>
      </c>
      <c r="BN263" s="660"/>
      <c r="BO263" s="660"/>
      <c r="BP263" s="660"/>
      <c r="BQ263" s="568" t="s">
        <v>932</v>
      </c>
      <c r="BR263" s="568"/>
      <c r="BS263" s="568"/>
      <c r="BT263" s="660" t="s">
        <v>932</v>
      </c>
      <c r="BU263" s="660"/>
      <c r="BV263" s="660"/>
      <c r="BW263" s="660"/>
      <c r="BX263" s="568" t="s">
        <v>932</v>
      </c>
      <c r="BY263" s="568"/>
      <c r="BZ263" s="568"/>
      <c r="CA263" s="660" t="s">
        <v>932</v>
      </c>
      <c r="CB263" s="660"/>
      <c r="CC263" s="660"/>
      <c r="CD263" s="660"/>
      <c r="CE263" s="568">
        <v>1</v>
      </c>
      <c r="CF263" s="568"/>
      <c r="CG263" s="568"/>
      <c r="CH263" s="660" t="s">
        <v>932</v>
      </c>
      <c r="CI263" s="660"/>
      <c r="CJ263" s="660"/>
      <c r="CK263" s="660"/>
      <c r="CL263" s="568" t="s">
        <v>932</v>
      </c>
      <c r="CM263" s="568"/>
      <c r="CN263" s="568"/>
    </row>
    <row r="264" customHeight="1" spans="1:92">
      <c r="A264" s="612" t="s">
        <v>973</v>
      </c>
      <c r="B264" s="612"/>
      <c r="C264" s="518"/>
      <c r="D264" s="518"/>
      <c r="E264" s="518"/>
      <c r="F264" s="657">
        <v>1107900</v>
      </c>
      <c r="G264" s="657"/>
      <c r="H264" s="657"/>
      <c r="I264" s="519" t="s">
        <v>108</v>
      </c>
      <c r="J264" s="519"/>
      <c r="K264" s="519"/>
      <c r="L264" s="519"/>
      <c r="M264" s="519"/>
      <c r="N264" s="519"/>
      <c r="O264" s="519"/>
      <c r="P264" s="519"/>
      <c r="Q264" s="519"/>
      <c r="R264" s="519"/>
      <c r="S264" s="519"/>
      <c r="T264" s="519"/>
      <c r="U264" s="519"/>
      <c r="V264" s="519"/>
      <c r="W264" s="519"/>
      <c r="X264" s="519"/>
      <c r="Y264" s="519"/>
      <c r="Z264" s="519"/>
      <c r="AA264" s="519"/>
      <c r="AB264" s="526" t="s">
        <v>99</v>
      </c>
      <c r="AC264" s="526"/>
      <c r="AD264" s="658">
        <v>4.8</v>
      </c>
      <c r="AE264" s="658"/>
      <c r="AF264" s="658"/>
      <c r="AG264" s="526" t="s">
        <v>946</v>
      </c>
      <c r="AH264" s="526"/>
      <c r="AI264" s="659" t="s">
        <v>947</v>
      </c>
      <c r="AJ264" s="659"/>
      <c r="AK264" s="659"/>
      <c r="AL264" s="659"/>
      <c r="AM264" s="659"/>
      <c r="AN264" s="659"/>
      <c r="AO264" s="659"/>
      <c r="AP264" s="659"/>
      <c r="AQ264" s="659"/>
      <c r="AR264" s="659"/>
      <c r="AS264" s="659"/>
      <c r="AT264" s="659"/>
      <c r="AU264" s="659"/>
      <c r="AV264" s="659"/>
      <c r="AW264" s="658">
        <v>1</v>
      </c>
      <c r="AX264" s="658"/>
      <c r="AY264" s="658"/>
      <c r="AZ264" s="658">
        <v>3.853</v>
      </c>
      <c r="BA264" s="658"/>
      <c r="BB264" s="658"/>
      <c r="BC264" s="658">
        <v>1.2457825071373</v>
      </c>
      <c r="BD264" s="658"/>
      <c r="BE264" s="658"/>
      <c r="BF264" s="658">
        <v>182.49</v>
      </c>
      <c r="BG264" s="658"/>
      <c r="BH264" s="658"/>
      <c r="BI264" s="567">
        <v>0.00682657957771547</v>
      </c>
      <c r="BJ264" s="567"/>
      <c r="BK264" s="567"/>
      <c r="BL264" s="567"/>
      <c r="BM264" s="660" t="s">
        <v>932</v>
      </c>
      <c r="BN264" s="660"/>
      <c r="BO264" s="660"/>
      <c r="BP264" s="660"/>
      <c r="BQ264" s="568" t="s">
        <v>932</v>
      </c>
      <c r="BR264" s="568"/>
      <c r="BS264" s="568"/>
      <c r="BT264" s="660" t="s">
        <v>932</v>
      </c>
      <c r="BU264" s="660"/>
      <c r="BV264" s="660"/>
      <c r="BW264" s="660"/>
      <c r="BX264" s="568" t="s">
        <v>932</v>
      </c>
      <c r="BY264" s="568"/>
      <c r="BZ264" s="568"/>
      <c r="CA264" s="660">
        <v>0.00682657957771547</v>
      </c>
      <c r="CB264" s="660"/>
      <c r="CC264" s="660"/>
      <c r="CD264" s="660"/>
      <c r="CE264" s="568">
        <v>1</v>
      </c>
      <c r="CF264" s="568"/>
      <c r="CG264" s="568"/>
      <c r="CH264" s="660" t="s">
        <v>932</v>
      </c>
      <c r="CI264" s="660"/>
      <c r="CJ264" s="660"/>
      <c r="CK264" s="660"/>
      <c r="CL264" s="568" t="s">
        <v>932</v>
      </c>
      <c r="CM264" s="568"/>
      <c r="CN264" s="568"/>
    </row>
    <row r="265" customHeight="1" spans="1:92">
      <c r="A265" s="612"/>
      <c r="B265" s="612"/>
      <c r="C265" s="518"/>
      <c r="D265" s="518"/>
      <c r="E265" s="518"/>
      <c r="F265" s="657"/>
      <c r="G265" s="657"/>
      <c r="H265" s="657"/>
      <c r="I265" s="519"/>
      <c r="J265" s="519"/>
      <c r="K265" s="519"/>
      <c r="L265" s="519"/>
      <c r="M265" s="519"/>
      <c r="N265" s="519"/>
      <c r="O265" s="519"/>
      <c r="P265" s="519"/>
      <c r="Q265" s="519"/>
      <c r="R265" s="519"/>
      <c r="S265" s="519"/>
      <c r="T265" s="519"/>
      <c r="U265" s="519"/>
      <c r="V265" s="519"/>
      <c r="W265" s="519"/>
      <c r="X265" s="519"/>
      <c r="Y265" s="519"/>
      <c r="Z265" s="519"/>
      <c r="AA265" s="519"/>
      <c r="AB265" s="526"/>
      <c r="AC265" s="526"/>
      <c r="AD265" s="658"/>
      <c r="AE265" s="658"/>
      <c r="AF265" s="658"/>
      <c r="AG265" s="526" t="s">
        <v>935</v>
      </c>
      <c r="AH265" s="526"/>
      <c r="AI265" s="659" t="s">
        <v>936</v>
      </c>
      <c r="AJ265" s="659"/>
      <c r="AK265" s="659"/>
      <c r="AL265" s="659"/>
      <c r="AM265" s="659"/>
      <c r="AN265" s="659"/>
      <c r="AO265" s="659"/>
      <c r="AP265" s="659"/>
      <c r="AQ265" s="659"/>
      <c r="AR265" s="659"/>
      <c r="AS265" s="659"/>
      <c r="AT265" s="659"/>
      <c r="AU265" s="659"/>
      <c r="AV265" s="659"/>
      <c r="AW265" s="658">
        <v>9</v>
      </c>
      <c r="AX265" s="658"/>
      <c r="AY265" s="658"/>
      <c r="AZ265" s="658"/>
      <c r="BA265" s="658"/>
      <c r="BB265" s="658"/>
      <c r="BC265" s="658">
        <v>11.2120425642357</v>
      </c>
      <c r="BD265" s="658"/>
      <c r="BE265" s="658"/>
      <c r="BF265" s="658">
        <v>182.49</v>
      </c>
      <c r="BG265" s="658"/>
      <c r="BH265" s="658"/>
      <c r="BI265" s="567">
        <v>0.0614392161994392</v>
      </c>
      <c r="BJ265" s="567"/>
      <c r="BK265" s="567"/>
      <c r="BL265" s="567"/>
      <c r="BM265" s="660" t="s">
        <v>932</v>
      </c>
      <c r="BN265" s="660"/>
      <c r="BO265" s="660"/>
      <c r="BP265" s="660"/>
      <c r="BQ265" s="568" t="s">
        <v>932</v>
      </c>
      <c r="BR265" s="568"/>
      <c r="BS265" s="568"/>
      <c r="BT265" s="660" t="s">
        <v>932</v>
      </c>
      <c r="BU265" s="660"/>
      <c r="BV265" s="660"/>
      <c r="BW265" s="660"/>
      <c r="BX265" s="568" t="s">
        <v>932</v>
      </c>
      <c r="BY265" s="568"/>
      <c r="BZ265" s="568"/>
      <c r="CA265" s="660">
        <v>0.0614392161994392</v>
      </c>
      <c r="CB265" s="660"/>
      <c r="CC265" s="660"/>
      <c r="CD265" s="660"/>
      <c r="CE265" s="568">
        <v>1</v>
      </c>
      <c r="CF265" s="568"/>
      <c r="CG265" s="568"/>
      <c r="CH265" s="660" t="s">
        <v>932</v>
      </c>
      <c r="CI265" s="660"/>
      <c r="CJ265" s="660"/>
      <c r="CK265" s="660"/>
      <c r="CL265" s="568" t="s">
        <v>932</v>
      </c>
      <c r="CM265" s="568"/>
      <c r="CN265" s="568"/>
    </row>
    <row r="266" hidden="1" customHeight="1" spans="1:92">
      <c r="A266" s="612"/>
      <c r="B266" s="612"/>
      <c r="C266" s="518"/>
      <c r="D266" s="518"/>
      <c r="E266" s="518"/>
      <c r="F266" s="657"/>
      <c r="G266" s="657"/>
      <c r="H266" s="657"/>
      <c r="I266" s="519"/>
      <c r="J266" s="519"/>
      <c r="K266" s="519"/>
      <c r="L266" s="519"/>
      <c r="M266" s="519"/>
      <c r="N266" s="519"/>
      <c r="O266" s="519"/>
      <c r="P266" s="519"/>
      <c r="Q266" s="519"/>
      <c r="R266" s="519"/>
      <c r="S266" s="519"/>
      <c r="T266" s="519"/>
      <c r="U266" s="519"/>
      <c r="V266" s="519"/>
      <c r="W266" s="519"/>
      <c r="X266" s="519"/>
      <c r="Y266" s="519"/>
      <c r="Z266" s="519"/>
      <c r="AA266" s="519"/>
      <c r="AB266" s="526"/>
      <c r="AC266" s="526"/>
      <c r="AD266" s="658"/>
      <c r="AE266" s="658"/>
      <c r="AF266" s="658"/>
      <c r="AG266" s="526">
        <v>0</v>
      </c>
      <c r="AH266" s="526"/>
      <c r="AI266" s="659" t="e">
        <v>#N/A</v>
      </c>
      <c r="AJ266" s="659"/>
      <c r="AK266" s="659"/>
      <c r="AL266" s="659"/>
      <c r="AM266" s="659"/>
      <c r="AN266" s="659"/>
      <c r="AO266" s="659"/>
      <c r="AP266" s="659"/>
      <c r="AQ266" s="659"/>
      <c r="AR266" s="659"/>
      <c r="AS266" s="659"/>
      <c r="AT266" s="659"/>
      <c r="AU266" s="659"/>
      <c r="AV266" s="659"/>
      <c r="AW266" s="658">
        <v>0</v>
      </c>
      <c r="AX266" s="658"/>
      <c r="AY266" s="658"/>
      <c r="AZ266" s="658"/>
      <c r="BA266" s="658"/>
      <c r="BB266" s="658"/>
      <c r="BC266" s="658">
        <v>0</v>
      </c>
      <c r="BD266" s="658"/>
      <c r="BE266" s="658"/>
      <c r="BF266" s="658">
        <v>182.49</v>
      </c>
      <c r="BG266" s="658"/>
      <c r="BH266" s="658"/>
      <c r="BI266" s="567">
        <v>0</v>
      </c>
      <c r="BJ266" s="567"/>
      <c r="BK266" s="567"/>
      <c r="BL266" s="567"/>
      <c r="BM266" s="660" t="s">
        <v>932</v>
      </c>
      <c r="BN266" s="660"/>
      <c r="BO266" s="660"/>
      <c r="BP266" s="660"/>
      <c r="BQ266" s="568" t="s">
        <v>932</v>
      </c>
      <c r="BR266" s="568"/>
      <c r="BS266" s="568"/>
      <c r="BT266" s="660" t="s">
        <v>932</v>
      </c>
      <c r="BU266" s="660"/>
      <c r="BV266" s="660"/>
      <c r="BW266" s="660"/>
      <c r="BX266" s="568" t="s">
        <v>932</v>
      </c>
      <c r="BY266" s="568"/>
      <c r="BZ266" s="568"/>
      <c r="CA266" s="660" t="s">
        <v>932</v>
      </c>
      <c r="CB266" s="660"/>
      <c r="CC266" s="660"/>
      <c r="CD266" s="660"/>
      <c r="CE266" s="568">
        <v>1</v>
      </c>
      <c r="CF266" s="568"/>
      <c r="CG266" s="568"/>
      <c r="CH266" s="660" t="s">
        <v>932</v>
      </c>
      <c r="CI266" s="660"/>
      <c r="CJ266" s="660"/>
      <c r="CK266" s="660"/>
      <c r="CL266" s="568" t="s">
        <v>932</v>
      </c>
      <c r="CM266" s="568"/>
      <c r="CN266" s="568"/>
    </row>
    <row r="267" hidden="1" customHeight="1" spans="1:92">
      <c r="A267" s="612"/>
      <c r="B267" s="612"/>
      <c r="C267" s="518"/>
      <c r="D267" s="518"/>
      <c r="E267" s="518"/>
      <c r="F267" s="657"/>
      <c r="G267" s="657"/>
      <c r="H267" s="657"/>
      <c r="I267" s="519"/>
      <c r="J267" s="519"/>
      <c r="K267" s="519"/>
      <c r="L267" s="519"/>
      <c r="M267" s="519"/>
      <c r="N267" s="519"/>
      <c r="O267" s="519"/>
      <c r="P267" s="519"/>
      <c r="Q267" s="519"/>
      <c r="R267" s="519"/>
      <c r="S267" s="519"/>
      <c r="T267" s="519"/>
      <c r="U267" s="519"/>
      <c r="V267" s="519"/>
      <c r="W267" s="519"/>
      <c r="X267" s="519"/>
      <c r="Y267" s="519"/>
      <c r="Z267" s="519"/>
      <c r="AA267" s="519"/>
      <c r="AB267" s="526"/>
      <c r="AC267" s="526"/>
      <c r="AD267" s="658"/>
      <c r="AE267" s="658"/>
      <c r="AF267" s="658"/>
      <c r="AG267" s="526">
        <v>0</v>
      </c>
      <c r="AH267" s="526"/>
      <c r="AI267" s="659" t="e">
        <v>#N/A</v>
      </c>
      <c r="AJ267" s="659"/>
      <c r="AK267" s="659"/>
      <c r="AL267" s="659"/>
      <c r="AM267" s="659"/>
      <c r="AN267" s="659"/>
      <c r="AO267" s="659"/>
      <c r="AP267" s="659"/>
      <c r="AQ267" s="659"/>
      <c r="AR267" s="659"/>
      <c r="AS267" s="659"/>
      <c r="AT267" s="659"/>
      <c r="AU267" s="659"/>
      <c r="AV267" s="659"/>
      <c r="AW267" s="658">
        <v>0</v>
      </c>
      <c r="AX267" s="658"/>
      <c r="AY267" s="658"/>
      <c r="AZ267" s="658"/>
      <c r="BA267" s="658"/>
      <c r="BB267" s="658"/>
      <c r="BC267" s="658">
        <v>0</v>
      </c>
      <c r="BD267" s="658"/>
      <c r="BE267" s="658"/>
      <c r="BF267" s="658">
        <v>182.49</v>
      </c>
      <c r="BG267" s="658"/>
      <c r="BH267" s="658"/>
      <c r="BI267" s="567">
        <v>0</v>
      </c>
      <c r="BJ267" s="567"/>
      <c r="BK267" s="567"/>
      <c r="BL267" s="567"/>
      <c r="BM267" s="660" t="s">
        <v>932</v>
      </c>
      <c r="BN267" s="660"/>
      <c r="BO267" s="660"/>
      <c r="BP267" s="660"/>
      <c r="BQ267" s="568" t="s">
        <v>932</v>
      </c>
      <c r="BR267" s="568"/>
      <c r="BS267" s="568"/>
      <c r="BT267" s="660" t="s">
        <v>932</v>
      </c>
      <c r="BU267" s="660"/>
      <c r="BV267" s="660"/>
      <c r="BW267" s="660"/>
      <c r="BX267" s="568" t="s">
        <v>932</v>
      </c>
      <c r="BY267" s="568"/>
      <c r="BZ267" s="568"/>
      <c r="CA267" s="660" t="s">
        <v>932</v>
      </c>
      <c r="CB267" s="660"/>
      <c r="CC267" s="660"/>
      <c r="CD267" s="660"/>
      <c r="CE267" s="568">
        <v>1</v>
      </c>
      <c r="CF267" s="568"/>
      <c r="CG267" s="568"/>
      <c r="CH267" s="660" t="s">
        <v>932</v>
      </c>
      <c r="CI267" s="660"/>
      <c r="CJ267" s="660"/>
      <c r="CK267" s="660"/>
      <c r="CL267" s="568" t="s">
        <v>932</v>
      </c>
      <c r="CM267" s="568"/>
      <c r="CN267" s="568"/>
    </row>
    <row r="268" hidden="1" customHeight="1" spans="1:92">
      <c r="A268" s="612"/>
      <c r="B268" s="612"/>
      <c r="C268" s="518"/>
      <c r="D268" s="518"/>
      <c r="E268" s="518"/>
      <c r="F268" s="657"/>
      <c r="G268" s="657"/>
      <c r="H268" s="657"/>
      <c r="I268" s="519"/>
      <c r="J268" s="519"/>
      <c r="K268" s="519"/>
      <c r="L268" s="519"/>
      <c r="M268" s="519"/>
      <c r="N268" s="519"/>
      <c r="O268" s="519"/>
      <c r="P268" s="519"/>
      <c r="Q268" s="519"/>
      <c r="R268" s="519"/>
      <c r="S268" s="519"/>
      <c r="T268" s="519"/>
      <c r="U268" s="519"/>
      <c r="V268" s="519"/>
      <c r="W268" s="519"/>
      <c r="X268" s="519"/>
      <c r="Y268" s="519"/>
      <c r="Z268" s="519"/>
      <c r="AA268" s="519"/>
      <c r="AB268" s="526"/>
      <c r="AC268" s="526"/>
      <c r="AD268" s="658"/>
      <c r="AE268" s="658"/>
      <c r="AF268" s="658"/>
      <c r="AG268" s="526">
        <v>0</v>
      </c>
      <c r="AH268" s="526"/>
      <c r="AI268" s="659" t="e">
        <v>#N/A</v>
      </c>
      <c r="AJ268" s="659"/>
      <c r="AK268" s="659"/>
      <c r="AL268" s="659"/>
      <c r="AM268" s="659"/>
      <c r="AN268" s="659"/>
      <c r="AO268" s="659"/>
      <c r="AP268" s="659"/>
      <c r="AQ268" s="659"/>
      <c r="AR268" s="659"/>
      <c r="AS268" s="659"/>
      <c r="AT268" s="659"/>
      <c r="AU268" s="659"/>
      <c r="AV268" s="659"/>
      <c r="AW268" s="658">
        <v>0</v>
      </c>
      <c r="AX268" s="658"/>
      <c r="AY268" s="658"/>
      <c r="AZ268" s="658"/>
      <c r="BA268" s="658"/>
      <c r="BB268" s="658"/>
      <c r="BC268" s="658">
        <v>0</v>
      </c>
      <c r="BD268" s="658"/>
      <c r="BE268" s="658"/>
      <c r="BF268" s="658">
        <v>182.49</v>
      </c>
      <c r="BG268" s="658"/>
      <c r="BH268" s="658"/>
      <c r="BI268" s="567">
        <v>0</v>
      </c>
      <c r="BJ268" s="567"/>
      <c r="BK268" s="567"/>
      <c r="BL268" s="567"/>
      <c r="BM268" s="660" t="s">
        <v>932</v>
      </c>
      <c r="BN268" s="660"/>
      <c r="BO268" s="660"/>
      <c r="BP268" s="660"/>
      <c r="BQ268" s="568" t="s">
        <v>932</v>
      </c>
      <c r="BR268" s="568"/>
      <c r="BS268" s="568"/>
      <c r="BT268" s="660" t="s">
        <v>932</v>
      </c>
      <c r="BU268" s="660"/>
      <c r="BV268" s="660"/>
      <c r="BW268" s="660"/>
      <c r="BX268" s="568" t="s">
        <v>932</v>
      </c>
      <c r="BY268" s="568"/>
      <c r="BZ268" s="568"/>
      <c r="CA268" s="660" t="s">
        <v>932</v>
      </c>
      <c r="CB268" s="660"/>
      <c r="CC268" s="660"/>
      <c r="CD268" s="660"/>
      <c r="CE268" s="568">
        <v>1</v>
      </c>
      <c r="CF268" s="568"/>
      <c r="CG268" s="568"/>
      <c r="CH268" s="660" t="s">
        <v>932</v>
      </c>
      <c r="CI268" s="660"/>
      <c r="CJ268" s="660"/>
      <c r="CK268" s="660"/>
      <c r="CL268" s="568" t="s">
        <v>932</v>
      </c>
      <c r="CM268" s="568"/>
      <c r="CN268" s="568"/>
    </row>
    <row r="269" hidden="1" customHeight="1" spans="1:92">
      <c r="A269" s="612"/>
      <c r="B269" s="612"/>
      <c r="C269" s="518"/>
      <c r="D269" s="518"/>
      <c r="E269" s="518"/>
      <c r="F269" s="657"/>
      <c r="G269" s="657"/>
      <c r="H269" s="657"/>
      <c r="I269" s="519"/>
      <c r="J269" s="519"/>
      <c r="K269" s="519"/>
      <c r="L269" s="519"/>
      <c r="M269" s="519"/>
      <c r="N269" s="519"/>
      <c r="O269" s="519"/>
      <c r="P269" s="519"/>
      <c r="Q269" s="519"/>
      <c r="R269" s="519"/>
      <c r="S269" s="519"/>
      <c r="T269" s="519"/>
      <c r="U269" s="519"/>
      <c r="V269" s="519"/>
      <c r="W269" s="519"/>
      <c r="X269" s="519"/>
      <c r="Y269" s="519"/>
      <c r="Z269" s="519"/>
      <c r="AA269" s="519"/>
      <c r="AB269" s="526"/>
      <c r="AC269" s="526"/>
      <c r="AD269" s="658"/>
      <c r="AE269" s="658"/>
      <c r="AF269" s="658"/>
      <c r="AG269" s="526">
        <v>0</v>
      </c>
      <c r="AH269" s="526"/>
      <c r="AI269" s="659" t="e">
        <v>#N/A</v>
      </c>
      <c r="AJ269" s="659"/>
      <c r="AK269" s="659"/>
      <c r="AL269" s="659"/>
      <c r="AM269" s="659"/>
      <c r="AN269" s="659"/>
      <c r="AO269" s="659"/>
      <c r="AP269" s="659"/>
      <c r="AQ269" s="659"/>
      <c r="AR269" s="659"/>
      <c r="AS269" s="659"/>
      <c r="AT269" s="659"/>
      <c r="AU269" s="659"/>
      <c r="AV269" s="659"/>
      <c r="AW269" s="658">
        <v>0</v>
      </c>
      <c r="AX269" s="658"/>
      <c r="AY269" s="658"/>
      <c r="AZ269" s="658"/>
      <c r="BA269" s="658"/>
      <c r="BB269" s="658"/>
      <c r="BC269" s="658">
        <v>0</v>
      </c>
      <c r="BD269" s="658"/>
      <c r="BE269" s="658"/>
      <c r="BF269" s="658">
        <v>182.49</v>
      </c>
      <c r="BG269" s="658"/>
      <c r="BH269" s="658"/>
      <c r="BI269" s="567">
        <v>0</v>
      </c>
      <c r="BJ269" s="567"/>
      <c r="BK269" s="567"/>
      <c r="BL269" s="567"/>
      <c r="BM269" s="660" t="s">
        <v>932</v>
      </c>
      <c r="BN269" s="660"/>
      <c r="BO269" s="660"/>
      <c r="BP269" s="660"/>
      <c r="BQ269" s="568" t="s">
        <v>932</v>
      </c>
      <c r="BR269" s="568"/>
      <c r="BS269" s="568"/>
      <c r="BT269" s="660" t="s">
        <v>932</v>
      </c>
      <c r="BU269" s="660"/>
      <c r="BV269" s="660"/>
      <c r="BW269" s="660"/>
      <c r="BX269" s="568" t="s">
        <v>932</v>
      </c>
      <c r="BY269" s="568"/>
      <c r="BZ269" s="568"/>
      <c r="CA269" s="660" t="s">
        <v>932</v>
      </c>
      <c r="CB269" s="660"/>
      <c r="CC269" s="660"/>
      <c r="CD269" s="660"/>
      <c r="CE269" s="568">
        <v>1</v>
      </c>
      <c r="CF269" s="568"/>
      <c r="CG269" s="568"/>
      <c r="CH269" s="660" t="s">
        <v>932</v>
      </c>
      <c r="CI269" s="660"/>
      <c r="CJ269" s="660"/>
      <c r="CK269" s="660"/>
      <c r="CL269" s="568" t="s">
        <v>932</v>
      </c>
      <c r="CM269" s="568"/>
      <c r="CN269" s="568"/>
    </row>
    <row r="270" hidden="1" customHeight="1" spans="1:92">
      <c r="A270" s="612"/>
      <c r="B270" s="612"/>
      <c r="C270" s="518"/>
      <c r="D270" s="518"/>
      <c r="E270" s="518"/>
      <c r="F270" s="657"/>
      <c r="G270" s="657"/>
      <c r="H270" s="657"/>
      <c r="I270" s="519"/>
      <c r="J270" s="519"/>
      <c r="K270" s="519"/>
      <c r="L270" s="519"/>
      <c r="M270" s="519"/>
      <c r="N270" s="519"/>
      <c r="O270" s="519"/>
      <c r="P270" s="519"/>
      <c r="Q270" s="519"/>
      <c r="R270" s="519"/>
      <c r="S270" s="519"/>
      <c r="T270" s="519"/>
      <c r="U270" s="519"/>
      <c r="V270" s="519"/>
      <c r="W270" s="519"/>
      <c r="X270" s="519"/>
      <c r="Y270" s="519"/>
      <c r="Z270" s="519"/>
      <c r="AA270" s="519"/>
      <c r="AB270" s="526"/>
      <c r="AC270" s="526"/>
      <c r="AD270" s="658"/>
      <c r="AE270" s="658"/>
      <c r="AF270" s="658"/>
      <c r="AG270" s="526">
        <v>0</v>
      </c>
      <c r="AH270" s="526"/>
      <c r="AI270" s="659" t="e">
        <v>#N/A</v>
      </c>
      <c r="AJ270" s="659"/>
      <c r="AK270" s="659"/>
      <c r="AL270" s="659"/>
      <c r="AM270" s="659"/>
      <c r="AN270" s="659"/>
      <c r="AO270" s="659"/>
      <c r="AP270" s="659"/>
      <c r="AQ270" s="659"/>
      <c r="AR270" s="659"/>
      <c r="AS270" s="659"/>
      <c r="AT270" s="659"/>
      <c r="AU270" s="659"/>
      <c r="AV270" s="659"/>
      <c r="AW270" s="658">
        <v>0</v>
      </c>
      <c r="AX270" s="658"/>
      <c r="AY270" s="658"/>
      <c r="AZ270" s="658"/>
      <c r="BA270" s="658"/>
      <c r="BB270" s="658"/>
      <c r="BC270" s="658">
        <v>0</v>
      </c>
      <c r="BD270" s="658"/>
      <c r="BE270" s="658"/>
      <c r="BF270" s="658">
        <v>182.49</v>
      </c>
      <c r="BG270" s="658"/>
      <c r="BH270" s="658"/>
      <c r="BI270" s="567">
        <v>0</v>
      </c>
      <c r="BJ270" s="567"/>
      <c r="BK270" s="567"/>
      <c r="BL270" s="567"/>
      <c r="BM270" s="660" t="s">
        <v>932</v>
      </c>
      <c r="BN270" s="660"/>
      <c r="BO270" s="660"/>
      <c r="BP270" s="660"/>
      <c r="BQ270" s="568" t="s">
        <v>932</v>
      </c>
      <c r="BR270" s="568"/>
      <c r="BS270" s="568"/>
      <c r="BT270" s="660" t="s">
        <v>932</v>
      </c>
      <c r="BU270" s="660"/>
      <c r="BV270" s="660"/>
      <c r="BW270" s="660"/>
      <c r="BX270" s="568" t="s">
        <v>932</v>
      </c>
      <c r="BY270" s="568"/>
      <c r="BZ270" s="568"/>
      <c r="CA270" s="660" t="s">
        <v>932</v>
      </c>
      <c r="CB270" s="660"/>
      <c r="CC270" s="660"/>
      <c r="CD270" s="660"/>
      <c r="CE270" s="568">
        <v>1</v>
      </c>
      <c r="CF270" s="568"/>
      <c r="CG270" s="568"/>
      <c r="CH270" s="660" t="s">
        <v>932</v>
      </c>
      <c r="CI270" s="660"/>
      <c r="CJ270" s="660"/>
      <c r="CK270" s="660"/>
      <c r="CL270" s="568" t="s">
        <v>932</v>
      </c>
      <c r="CM270" s="568"/>
      <c r="CN270" s="568"/>
    </row>
    <row r="271" hidden="1" customHeight="1" spans="1:92">
      <c r="A271" s="612"/>
      <c r="B271" s="612"/>
      <c r="C271" s="518"/>
      <c r="D271" s="518"/>
      <c r="E271" s="518"/>
      <c r="F271" s="657"/>
      <c r="G271" s="657"/>
      <c r="H271" s="657"/>
      <c r="I271" s="519"/>
      <c r="J271" s="519"/>
      <c r="K271" s="519"/>
      <c r="L271" s="519"/>
      <c r="M271" s="519"/>
      <c r="N271" s="519"/>
      <c r="O271" s="519"/>
      <c r="P271" s="519"/>
      <c r="Q271" s="519"/>
      <c r="R271" s="519"/>
      <c r="S271" s="519"/>
      <c r="T271" s="519"/>
      <c r="U271" s="519"/>
      <c r="V271" s="519"/>
      <c r="W271" s="519"/>
      <c r="X271" s="519"/>
      <c r="Y271" s="519"/>
      <c r="Z271" s="519"/>
      <c r="AA271" s="519"/>
      <c r="AB271" s="526"/>
      <c r="AC271" s="526"/>
      <c r="AD271" s="658"/>
      <c r="AE271" s="658"/>
      <c r="AF271" s="658"/>
      <c r="AG271" s="526">
        <v>0</v>
      </c>
      <c r="AH271" s="526"/>
      <c r="AI271" s="659" t="e">
        <v>#N/A</v>
      </c>
      <c r="AJ271" s="659"/>
      <c r="AK271" s="659"/>
      <c r="AL271" s="659"/>
      <c r="AM271" s="659"/>
      <c r="AN271" s="659"/>
      <c r="AO271" s="659"/>
      <c r="AP271" s="659"/>
      <c r="AQ271" s="659"/>
      <c r="AR271" s="659"/>
      <c r="AS271" s="659"/>
      <c r="AT271" s="659"/>
      <c r="AU271" s="659"/>
      <c r="AV271" s="659"/>
      <c r="AW271" s="658">
        <v>0</v>
      </c>
      <c r="AX271" s="658"/>
      <c r="AY271" s="658"/>
      <c r="AZ271" s="658"/>
      <c r="BA271" s="658"/>
      <c r="BB271" s="658"/>
      <c r="BC271" s="658">
        <v>0</v>
      </c>
      <c r="BD271" s="658"/>
      <c r="BE271" s="658"/>
      <c r="BF271" s="658">
        <v>182.49</v>
      </c>
      <c r="BG271" s="658"/>
      <c r="BH271" s="658"/>
      <c r="BI271" s="567">
        <v>0</v>
      </c>
      <c r="BJ271" s="567"/>
      <c r="BK271" s="567"/>
      <c r="BL271" s="567"/>
      <c r="BM271" s="660" t="s">
        <v>932</v>
      </c>
      <c r="BN271" s="660"/>
      <c r="BO271" s="660"/>
      <c r="BP271" s="660"/>
      <c r="BQ271" s="568" t="s">
        <v>932</v>
      </c>
      <c r="BR271" s="568"/>
      <c r="BS271" s="568"/>
      <c r="BT271" s="660" t="s">
        <v>932</v>
      </c>
      <c r="BU271" s="660"/>
      <c r="BV271" s="660"/>
      <c r="BW271" s="660"/>
      <c r="BX271" s="568" t="s">
        <v>932</v>
      </c>
      <c r="BY271" s="568"/>
      <c r="BZ271" s="568"/>
      <c r="CA271" s="660" t="s">
        <v>932</v>
      </c>
      <c r="CB271" s="660"/>
      <c r="CC271" s="660"/>
      <c r="CD271" s="660"/>
      <c r="CE271" s="568">
        <v>1</v>
      </c>
      <c r="CF271" s="568"/>
      <c r="CG271" s="568"/>
      <c r="CH271" s="660" t="s">
        <v>932</v>
      </c>
      <c r="CI271" s="660"/>
      <c r="CJ271" s="660"/>
      <c r="CK271" s="660"/>
      <c r="CL271" s="568" t="s">
        <v>932</v>
      </c>
      <c r="CM271" s="568"/>
      <c r="CN271" s="568"/>
    </row>
    <row r="272" customHeight="1" spans="1:92">
      <c r="A272" s="612" t="s">
        <v>974</v>
      </c>
      <c r="B272" s="612"/>
      <c r="C272" s="518"/>
      <c r="D272" s="518"/>
      <c r="E272" s="518"/>
      <c r="F272" s="657">
        <v>1106057</v>
      </c>
      <c r="G272" s="657"/>
      <c r="H272" s="657"/>
      <c r="I272" s="519" t="s">
        <v>109</v>
      </c>
      <c r="J272" s="519"/>
      <c r="K272" s="519"/>
      <c r="L272" s="519"/>
      <c r="M272" s="519"/>
      <c r="N272" s="519"/>
      <c r="O272" s="519"/>
      <c r="P272" s="519"/>
      <c r="Q272" s="519"/>
      <c r="R272" s="519"/>
      <c r="S272" s="519"/>
      <c r="T272" s="519"/>
      <c r="U272" s="519"/>
      <c r="V272" s="519"/>
      <c r="W272" s="519"/>
      <c r="X272" s="519"/>
      <c r="Y272" s="519"/>
      <c r="Z272" s="519"/>
      <c r="AA272" s="519"/>
      <c r="AB272" s="526" t="s">
        <v>99</v>
      </c>
      <c r="AC272" s="526"/>
      <c r="AD272" s="658">
        <v>1.2</v>
      </c>
      <c r="AE272" s="658"/>
      <c r="AF272" s="658"/>
      <c r="AG272" s="526" t="s">
        <v>946</v>
      </c>
      <c r="AH272" s="526"/>
      <c r="AI272" s="659" t="s">
        <v>947</v>
      </c>
      <c r="AJ272" s="659"/>
      <c r="AK272" s="659"/>
      <c r="AL272" s="659"/>
      <c r="AM272" s="659"/>
      <c r="AN272" s="659"/>
      <c r="AO272" s="659"/>
      <c r="AP272" s="659"/>
      <c r="AQ272" s="659"/>
      <c r="AR272" s="659"/>
      <c r="AS272" s="659"/>
      <c r="AT272" s="659"/>
      <c r="AU272" s="659"/>
      <c r="AV272" s="659"/>
      <c r="AW272" s="658">
        <v>1</v>
      </c>
      <c r="AX272" s="658"/>
      <c r="AY272" s="658"/>
      <c r="AZ272" s="658">
        <v>3.92899</v>
      </c>
      <c r="BA272" s="658"/>
      <c r="BB272" s="658"/>
      <c r="BC272" s="658">
        <v>0.305422004128287</v>
      </c>
      <c r="BD272" s="658"/>
      <c r="BE272" s="658"/>
      <c r="BF272" s="658">
        <v>182.49</v>
      </c>
      <c r="BG272" s="658"/>
      <c r="BH272" s="658"/>
      <c r="BI272" s="567">
        <v>0.00167363693423359</v>
      </c>
      <c r="BJ272" s="567"/>
      <c r="BK272" s="567"/>
      <c r="BL272" s="567"/>
      <c r="BM272" s="660" t="s">
        <v>932</v>
      </c>
      <c r="BN272" s="660"/>
      <c r="BO272" s="660"/>
      <c r="BP272" s="660"/>
      <c r="BQ272" s="568" t="s">
        <v>932</v>
      </c>
      <c r="BR272" s="568"/>
      <c r="BS272" s="568"/>
      <c r="BT272" s="660" t="s">
        <v>932</v>
      </c>
      <c r="BU272" s="660"/>
      <c r="BV272" s="660"/>
      <c r="BW272" s="660"/>
      <c r="BX272" s="568" t="s">
        <v>932</v>
      </c>
      <c r="BY272" s="568"/>
      <c r="BZ272" s="568"/>
      <c r="CA272" s="660">
        <v>0.00167363693423359</v>
      </c>
      <c r="CB272" s="660"/>
      <c r="CC272" s="660"/>
      <c r="CD272" s="660"/>
      <c r="CE272" s="568">
        <v>1</v>
      </c>
      <c r="CF272" s="568"/>
      <c r="CG272" s="568"/>
      <c r="CH272" s="660" t="s">
        <v>932</v>
      </c>
      <c r="CI272" s="660"/>
      <c r="CJ272" s="660"/>
      <c r="CK272" s="660"/>
      <c r="CL272" s="568" t="s">
        <v>932</v>
      </c>
      <c r="CM272" s="568"/>
      <c r="CN272" s="568"/>
    </row>
    <row r="273" customHeight="1" spans="1:92">
      <c r="A273" s="612"/>
      <c r="B273" s="612"/>
      <c r="C273" s="518"/>
      <c r="D273" s="518"/>
      <c r="E273" s="518"/>
      <c r="F273" s="657"/>
      <c r="G273" s="657"/>
      <c r="H273" s="657"/>
      <c r="I273" s="519"/>
      <c r="J273" s="519"/>
      <c r="K273" s="519"/>
      <c r="L273" s="519"/>
      <c r="M273" s="519"/>
      <c r="N273" s="519"/>
      <c r="O273" s="519"/>
      <c r="P273" s="519"/>
      <c r="Q273" s="519"/>
      <c r="R273" s="519"/>
      <c r="S273" s="519"/>
      <c r="T273" s="519"/>
      <c r="U273" s="519"/>
      <c r="V273" s="519"/>
      <c r="W273" s="519"/>
      <c r="X273" s="519"/>
      <c r="Y273" s="519"/>
      <c r="Z273" s="519"/>
      <c r="AA273" s="519"/>
      <c r="AB273" s="526"/>
      <c r="AC273" s="526"/>
      <c r="AD273" s="658"/>
      <c r="AE273" s="658"/>
      <c r="AF273" s="658"/>
      <c r="AG273" s="526" t="s">
        <v>935</v>
      </c>
      <c r="AH273" s="526"/>
      <c r="AI273" s="659" t="s">
        <v>936</v>
      </c>
      <c r="AJ273" s="659"/>
      <c r="AK273" s="659"/>
      <c r="AL273" s="659"/>
      <c r="AM273" s="659"/>
      <c r="AN273" s="659"/>
      <c r="AO273" s="659"/>
      <c r="AP273" s="659"/>
      <c r="AQ273" s="659"/>
      <c r="AR273" s="659"/>
      <c r="AS273" s="659"/>
      <c r="AT273" s="659"/>
      <c r="AU273" s="659"/>
      <c r="AV273" s="659"/>
      <c r="AW273" s="658">
        <v>9</v>
      </c>
      <c r="AX273" s="658"/>
      <c r="AY273" s="658"/>
      <c r="AZ273" s="658"/>
      <c r="BA273" s="658"/>
      <c r="BB273" s="658"/>
      <c r="BC273" s="658">
        <v>2.74879803715459</v>
      </c>
      <c r="BD273" s="658"/>
      <c r="BE273" s="658"/>
      <c r="BF273" s="658">
        <v>182.49</v>
      </c>
      <c r="BG273" s="658"/>
      <c r="BH273" s="658"/>
      <c r="BI273" s="567">
        <v>0.0150627324081023</v>
      </c>
      <c r="BJ273" s="567"/>
      <c r="BK273" s="567"/>
      <c r="BL273" s="567"/>
      <c r="BM273" s="660" t="s">
        <v>932</v>
      </c>
      <c r="BN273" s="660"/>
      <c r="BO273" s="660"/>
      <c r="BP273" s="660"/>
      <c r="BQ273" s="568" t="s">
        <v>932</v>
      </c>
      <c r="BR273" s="568"/>
      <c r="BS273" s="568"/>
      <c r="BT273" s="660" t="s">
        <v>932</v>
      </c>
      <c r="BU273" s="660"/>
      <c r="BV273" s="660"/>
      <c r="BW273" s="660"/>
      <c r="BX273" s="568" t="s">
        <v>932</v>
      </c>
      <c r="BY273" s="568"/>
      <c r="BZ273" s="568"/>
      <c r="CA273" s="660">
        <v>0.0150627324081023</v>
      </c>
      <c r="CB273" s="660"/>
      <c r="CC273" s="660"/>
      <c r="CD273" s="660"/>
      <c r="CE273" s="568">
        <v>1</v>
      </c>
      <c r="CF273" s="568"/>
      <c r="CG273" s="568"/>
      <c r="CH273" s="660" t="s">
        <v>932</v>
      </c>
      <c r="CI273" s="660"/>
      <c r="CJ273" s="660"/>
      <c r="CK273" s="660"/>
      <c r="CL273" s="568" t="s">
        <v>932</v>
      </c>
      <c r="CM273" s="568"/>
      <c r="CN273" s="568"/>
    </row>
    <row r="274" hidden="1" customHeight="1" spans="1:92">
      <c r="A274" s="612"/>
      <c r="B274" s="612"/>
      <c r="C274" s="518"/>
      <c r="D274" s="518"/>
      <c r="E274" s="518"/>
      <c r="F274" s="657"/>
      <c r="G274" s="657"/>
      <c r="H274" s="657"/>
      <c r="I274" s="519"/>
      <c r="J274" s="519"/>
      <c r="K274" s="519"/>
      <c r="L274" s="519"/>
      <c r="M274" s="519"/>
      <c r="N274" s="519"/>
      <c r="O274" s="519"/>
      <c r="P274" s="519"/>
      <c r="Q274" s="519"/>
      <c r="R274" s="519"/>
      <c r="S274" s="519"/>
      <c r="T274" s="519"/>
      <c r="U274" s="519"/>
      <c r="V274" s="519"/>
      <c r="W274" s="519"/>
      <c r="X274" s="519"/>
      <c r="Y274" s="519"/>
      <c r="Z274" s="519"/>
      <c r="AA274" s="519"/>
      <c r="AB274" s="526"/>
      <c r="AC274" s="526"/>
      <c r="AD274" s="658"/>
      <c r="AE274" s="658"/>
      <c r="AF274" s="658"/>
      <c r="AG274" s="526">
        <v>0</v>
      </c>
      <c r="AH274" s="526"/>
      <c r="AI274" s="659" t="e">
        <v>#N/A</v>
      </c>
      <c r="AJ274" s="659"/>
      <c r="AK274" s="659"/>
      <c r="AL274" s="659"/>
      <c r="AM274" s="659"/>
      <c r="AN274" s="659"/>
      <c r="AO274" s="659"/>
      <c r="AP274" s="659"/>
      <c r="AQ274" s="659"/>
      <c r="AR274" s="659"/>
      <c r="AS274" s="659"/>
      <c r="AT274" s="659"/>
      <c r="AU274" s="659"/>
      <c r="AV274" s="659"/>
      <c r="AW274" s="658">
        <v>0</v>
      </c>
      <c r="AX274" s="658"/>
      <c r="AY274" s="658"/>
      <c r="AZ274" s="658"/>
      <c r="BA274" s="658"/>
      <c r="BB274" s="658"/>
      <c r="BC274" s="658">
        <v>0</v>
      </c>
      <c r="BD274" s="658"/>
      <c r="BE274" s="658"/>
      <c r="BF274" s="658">
        <v>182.49</v>
      </c>
      <c r="BG274" s="658"/>
      <c r="BH274" s="658"/>
      <c r="BI274" s="567">
        <v>0</v>
      </c>
      <c r="BJ274" s="567"/>
      <c r="BK274" s="567"/>
      <c r="BL274" s="567"/>
      <c r="BM274" s="660" t="s">
        <v>932</v>
      </c>
      <c r="BN274" s="660"/>
      <c r="BO274" s="660"/>
      <c r="BP274" s="660"/>
      <c r="BQ274" s="568" t="s">
        <v>932</v>
      </c>
      <c r="BR274" s="568"/>
      <c r="BS274" s="568"/>
      <c r="BT274" s="660" t="s">
        <v>932</v>
      </c>
      <c r="BU274" s="660"/>
      <c r="BV274" s="660"/>
      <c r="BW274" s="660"/>
      <c r="BX274" s="568" t="s">
        <v>932</v>
      </c>
      <c r="BY274" s="568"/>
      <c r="BZ274" s="568"/>
      <c r="CA274" s="660" t="s">
        <v>932</v>
      </c>
      <c r="CB274" s="660"/>
      <c r="CC274" s="660"/>
      <c r="CD274" s="660"/>
      <c r="CE274" s="568">
        <v>1</v>
      </c>
      <c r="CF274" s="568"/>
      <c r="CG274" s="568"/>
      <c r="CH274" s="660" t="s">
        <v>932</v>
      </c>
      <c r="CI274" s="660"/>
      <c r="CJ274" s="660"/>
      <c r="CK274" s="660"/>
      <c r="CL274" s="568" t="s">
        <v>932</v>
      </c>
      <c r="CM274" s="568"/>
      <c r="CN274" s="568"/>
    </row>
    <row r="275" hidden="1" customHeight="1" spans="1:92">
      <c r="A275" s="612"/>
      <c r="B275" s="612"/>
      <c r="C275" s="518"/>
      <c r="D275" s="518"/>
      <c r="E275" s="518"/>
      <c r="F275" s="657"/>
      <c r="G275" s="657"/>
      <c r="H275" s="657"/>
      <c r="I275" s="519"/>
      <c r="J275" s="519"/>
      <c r="K275" s="519"/>
      <c r="L275" s="519"/>
      <c r="M275" s="519"/>
      <c r="N275" s="519"/>
      <c r="O275" s="519"/>
      <c r="P275" s="519"/>
      <c r="Q275" s="519"/>
      <c r="R275" s="519"/>
      <c r="S275" s="519"/>
      <c r="T275" s="519"/>
      <c r="U275" s="519"/>
      <c r="V275" s="519"/>
      <c r="W275" s="519"/>
      <c r="X275" s="519"/>
      <c r="Y275" s="519"/>
      <c r="Z275" s="519"/>
      <c r="AA275" s="519"/>
      <c r="AB275" s="526"/>
      <c r="AC275" s="526"/>
      <c r="AD275" s="658"/>
      <c r="AE275" s="658"/>
      <c r="AF275" s="658"/>
      <c r="AG275" s="526">
        <v>0</v>
      </c>
      <c r="AH275" s="526"/>
      <c r="AI275" s="659" t="e">
        <v>#N/A</v>
      </c>
      <c r="AJ275" s="659"/>
      <c r="AK275" s="659"/>
      <c r="AL275" s="659"/>
      <c r="AM275" s="659"/>
      <c r="AN275" s="659"/>
      <c r="AO275" s="659"/>
      <c r="AP275" s="659"/>
      <c r="AQ275" s="659"/>
      <c r="AR275" s="659"/>
      <c r="AS275" s="659"/>
      <c r="AT275" s="659"/>
      <c r="AU275" s="659"/>
      <c r="AV275" s="659"/>
      <c r="AW275" s="658">
        <v>0</v>
      </c>
      <c r="AX275" s="658"/>
      <c r="AY275" s="658"/>
      <c r="AZ275" s="658"/>
      <c r="BA275" s="658"/>
      <c r="BB275" s="658"/>
      <c r="BC275" s="658">
        <v>0</v>
      </c>
      <c r="BD275" s="658"/>
      <c r="BE275" s="658"/>
      <c r="BF275" s="658">
        <v>182.49</v>
      </c>
      <c r="BG275" s="658"/>
      <c r="BH275" s="658"/>
      <c r="BI275" s="567">
        <v>0</v>
      </c>
      <c r="BJ275" s="567"/>
      <c r="BK275" s="567"/>
      <c r="BL275" s="567"/>
      <c r="BM275" s="660" t="s">
        <v>932</v>
      </c>
      <c r="BN275" s="660"/>
      <c r="BO275" s="660"/>
      <c r="BP275" s="660"/>
      <c r="BQ275" s="568" t="s">
        <v>932</v>
      </c>
      <c r="BR275" s="568"/>
      <c r="BS275" s="568"/>
      <c r="BT275" s="660" t="s">
        <v>932</v>
      </c>
      <c r="BU275" s="660"/>
      <c r="BV275" s="660"/>
      <c r="BW275" s="660"/>
      <c r="BX275" s="568" t="s">
        <v>932</v>
      </c>
      <c r="BY275" s="568"/>
      <c r="BZ275" s="568"/>
      <c r="CA275" s="660" t="s">
        <v>932</v>
      </c>
      <c r="CB275" s="660"/>
      <c r="CC275" s="660"/>
      <c r="CD275" s="660"/>
      <c r="CE275" s="568">
        <v>1</v>
      </c>
      <c r="CF275" s="568"/>
      <c r="CG275" s="568"/>
      <c r="CH275" s="660" t="s">
        <v>932</v>
      </c>
      <c r="CI275" s="660"/>
      <c r="CJ275" s="660"/>
      <c r="CK275" s="660"/>
      <c r="CL275" s="568" t="s">
        <v>932</v>
      </c>
      <c r="CM275" s="568"/>
      <c r="CN275" s="568"/>
    </row>
    <row r="276" hidden="1" customHeight="1" spans="1:92">
      <c r="A276" s="612"/>
      <c r="B276" s="612"/>
      <c r="C276" s="518"/>
      <c r="D276" s="518"/>
      <c r="E276" s="518"/>
      <c r="F276" s="657"/>
      <c r="G276" s="657"/>
      <c r="H276" s="657"/>
      <c r="I276" s="519"/>
      <c r="J276" s="519"/>
      <c r="K276" s="519"/>
      <c r="L276" s="519"/>
      <c r="M276" s="519"/>
      <c r="N276" s="519"/>
      <c r="O276" s="519"/>
      <c r="P276" s="519"/>
      <c r="Q276" s="519"/>
      <c r="R276" s="519"/>
      <c r="S276" s="519"/>
      <c r="T276" s="519"/>
      <c r="U276" s="519"/>
      <c r="V276" s="519"/>
      <c r="W276" s="519"/>
      <c r="X276" s="519"/>
      <c r="Y276" s="519"/>
      <c r="Z276" s="519"/>
      <c r="AA276" s="519"/>
      <c r="AB276" s="526"/>
      <c r="AC276" s="526"/>
      <c r="AD276" s="658"/>
      <c r="AE276" s="658"/>
      <c r="AF276" s="658"/>
      <c r="AG276" s="526">
        <v>0</v>
      </c>
      <c r="AH276" s="526"/>
      <c r="AI276" s="659" t="e">
        <v>#N/A</v>
      </c>
      <c r="AJ276" s="659"/>
      <c r="AK276" s="659"/>
      <c r="AL276" s="659"/>
      <c r="AM276" s="659"/>
      <c r="AN276" s="659"/>
      <c r="AO276" s="659"/>
      <c r="AP276" s="659"/>
      <c r="AQ276" s="659"/>
      <c r="AR276" s="659"/>
      <c r="AS276" s="659"/>
      <c r="AT276" s="659"/>
      <c r="AU276" s="659"/>
      <c r="AV276" s="659"/>
      <c r="AW276" s="658">
        <v>0</v>
      </c>
      <c r="AX276" s="658"/>
      <c r="AY276" s="658"/>
      <c r="AZ276" s="658"/>
      <c r="BA276" s="658"/>
      <c r="BB276" s="658"/>
      <c r="BC276" s="658">
        <v>0</v>
      </c>
      <c r="BD276" s="658"/>
      <c r="BE276" s="658"/>
      <c r="BF276" s="658">
        <v>182.49</v>
      </c>
      <c r="BG276" s="658"/>
      <c r="BH276" s="658"/>
      <c r="BI276" s="567">
        <v>0</v>
      </c>
      <c r="BJ276" s="567"/>
      <c r="BK276" s="567"/>
      <c r="BL276" s="567"/>
      <c r="BM276" s="660" t="s">
        <v>932</v>
      </c>
      <c r="BN276" s="660"/>
      <c r="BO276" s="660"/>
      <c r="BP276" s="660"/>
      <c r="BQ276" s="568" t="s">
        <v>932</v>
      </c>
      <c r="BR276" s="568"/>
      <c r="BS276" s="568"/>
      <c r="BT276" s="660" t="s">
        <v>932</v>
      </c>
      <c r="BU276" s="660"/>
      <c r="BV276" s="660"/>
      <c r="BW276" s="660"/>
      <c r="BX276" s="568" t="s">
        <v>932</v>
      </c>
      <c r="BY276" s="568"/>
      <c r="BZ276" s="568"/>
      <c r="CA276" s="660" t="s">
        <v>932</v>
      </c>
      <c r="CB276" s="660"/>
      <c r="CC276" s="660"/>
      <c r="CD276" s="660"/>
      <c r="CE276" s="568">
        <v>1</v>
      </c>
      <c r="CF276" s="568"/>
      <c r="CG276" s="568"/>
      <c r="CH276" s="660" t="s">
        <v>932</v>
      </c>
      <c r="CI276" s="660"/>
      <c r="CJ276" s="660"/>
      <c r="CK276" s="660"/>
      <c r="CL276" s="568" t="s">
        <v>932</v>
      </c>
      <c r="CM276" s="568"/>
      <c r="CN276" s="568"/>
    </row>
    <row r="277" hidden="1" customHeight="1" spans="1:92">
      <c r="A277" s="612"/>
      <c r="B277" s="612"/>
      <c r="C277" s="518"/>
      <c r="D277" s="518"/>
      <c r="E277" s="518"/>
      <c r="F277" s="657"/>
      <c r="G277" s="657"/>
      <c r="H277" s="657"/>
      <c r="I277" s="519"/>
      <c r="J277" s="519"/>
      <c r="K277" s="519"/>
      <c r="L277" s="519"/>
      <c r="M277" s="519"/>
      <c r="N277" s="519"/>
      <c r="O277" s="519"/>
      <c r="P277" s="519"/>
      <c r="Q277" s="519"/>
      <c r="R277" s="519"/>
      <c r="S277" s="519"/>
      <c r="T277" s="519"/>
      <c r="U277" s="519"/>
      <c r="V277" s="519"/>
      <c r="W277" s="519"/>
      <c r="X277" s="519"/>
      <c r="Y277" s="519"/>
      <c r="Z277" s="519"/>
      <c r="AA277" s="519"/>
      <c r="AB277" s="526"/>
      <c r="AC277" s="526"/>
      <c r="AD277" s="658"/>
      <c r="AE277" s="658"/>
      <c r="AF277" s="658"/>
      <c r="AG277" s="526">
        <v>0</v>
      </c>
      <c r="AH277" s="526"/>
      <c r="AI277" s="659" t="e">
        <v>#N/A</v>
      </c>
      <c r="AJ277" s="659"/>
      <c r="AK277" s="659"/>
      <c r="AL277" s="659"/>
      <c r="AM277" s="659"/>
      <c r="AN277" s="659"/>
      <c r="AO277" s="659"/>
      <c r="AP277" s="659"/>
      <c r="AQ277" s="659"/>
      <c r="AR277" s="659"/>
      <c r="AS277" s="659"/>
      <c r="AT277" s="659"/>
      <c r="AU277" s="659"/>
      <c r="AV277" s="659"/>
      <c r="AW277" s="658">
        <v>0</v>
      </c>
      <c r="AX277" s="658"/>
      <c r="AY277" s="658"/>
      <c r="AZ277" s="658"/>
      <c r="BA277" s="658"/>
      <c r="BB277" s="658"/>
      <c r="BC277" s="658">
        <v>0</v>
      </c>
      <c r="BD277" s="658"/>
      <c r="BE277" s="658"/>
      <c r="BF277" s="658">
        <v>182.49</v>
      </c>
      <c r="BG277" s="658"/>
      <c r="BH277" s="658"/>
      <c r="BI277" s="567">
        <v>0</v>
      </c>
      <c r="BJ277" s="567"/>
      <c r="BK277" s="567"/>
      <c r="BL277" s="567"/>
      <c r="BM277" s="660" t="s">
        <v>932</v>
      </c>
      <c r="BN277" s="660"/>
      <c r="BO277" s="660"/>
      <c r="BP277" s="660"/>
      <c r="BQ277" s="568" t="s">
        <v>932</v>
      </c>
      <c r="BR277" s="568"/>
      <c r="BS277" s="568"/>
      <c r="BT277" s="660" t="s">
        <v>932</v>
      </c>
      <c r="BU277" s="660"/>
      <c r="BV277" s="660"/>
      <c r="BW277" s="660"/>
      <c r="BX277" s="568" t="s">
        <v>932</v>
      </c>
      <c r="BY277" s="568"/>
      <c r="BZ277" s="568"/>
      <c r="CA277" s="660" t="s">
        <v>932</v>
      </c>
      <c r="CB277" s="660"/>
      <c r="CC277" s="660"/>
      <c r="CD277" s="660"/>
      <c r="CE277" s="568">
        <v>1</v>
      </c>
      <c r="CF277" s="568"/>
      <c r="CG277" s="568"/>
      <c r="CH277" s="660" t="s">
        <v>932</v>
      </c>
      <c r="CI277" s="660"/>
      <c r="CJ277" s="660"/>
      <c r="CK277" s="660"/>
      <c r="CL277" s="568" t="s">
        <v>932</v>
      </c>
      <c r="CM277" s="568"/>
      <c r="CN277" s="568"/>
    </row>
    <row r="278" hidden="1" customHeight="1" spans="1:92">
      <c r="A278" s="612"/>
      <c r="B278" s="612"/>
      <c r="C278" s="518"/>
      <c r="D278" s="518"/>
      <c r="E278" s="518"/>
      <c r="F278" s="657"/>
      <c r="G278" s="657"/>
      <c r="H278" s="657"/>
      <c r="I278" s="519"/>
      <c r="J278" s="519"/>
      <c r="K278" s="519"/>
      <c r="L278" s="519"/>
      <c r="M278" s="519"/>
      <c r="N278" s="519"/>
      <c r="O278" s="519"/>
      <c r="P278" s="519"/>
      <c r="Q278" s="519"/>
      <c r="R278" s="519"/>
      <c r="S278" s="519"/>
      <c r="T278" s="519"/>
      <c r="U278" s="519"/>
      <c r="V278" s="519"/>
      <c r="W278" s="519"/>
      <c r="X278" s="519"/>
      <c r="Y278" s="519"/>
      <c r="Z278" s="519"/>
      <c r="AA278" s="519"/>
      <c r="AB278" s="526"/>
      <c r="AC278" s="526"/>
      <c r="AD278" s="658"/>
      <c r="AE278" s="658"/>
      <c r="AF278" s="658"/>
      <c r="AG278" s="526">
        <v>0</v>
      </c>
      <c r="AH278" s="526"/>
      <c r="AI278" s="659" t="e">
        <v>#N/A</v>
      </c>
      <c r="AJ278" s="659"/>
      <c r="AK278" s="659"/>
      <c r="AL278" s="659"/>
      <c r="AM278" s="659"/>
      <c r="AN278" s="659"/>
      <c r="AO278" s="659"/>
      <c r="AP278" s="659"/>
      <c r="AQ278" s="659"/>
      <c r="AR278" s="659"/>
      <c r="AS278" s="659"/>
      <c r="AT278" s="659"/>
      <c r="AU278" s="659"/>
      <c r="AV278" s="659"/>
      <c r="AW278" s="658">
        <v>0</v>
      </c>
      <c r="AX278" s="658"/>
      <c r="AY278" s="658"/>
      <c r="AZ278" s="658"/>
      <c r="BA278" s="658"/>
      <c r="BB278" s="658"/>
      <c r="BC278" s="658">
        <v>0</v>
      </c>
      <c r="BD278" s="658"/>
      <c r="BE278" s="658"/>
      <c r="BF278" s="658">
        <v>182.49</v>
      </c>
      <c r="BG278" s="658"/>
      <c r="BH278" s="658"/>
      <c r="BI278" s="567">
        <v>0</v>
      </c>
      <c r="BJ278" s="567"/>
      <c r="BK278" s="567"/>
      <c r="BL278" s="567"/>
      <c r="BM278" s="660" t="s">
        <v>932</v>
      </c>
      <c r="BN278" s="660"/>
      <c r="BO278" s="660"/>
      <c r="BP278" s="660"/>
      <c r="BQ278" s="568" t="s">
        <v>932</v>
      </c>
      <c r="BR278" s="568"/>
      <c r="BS278" s="568"/>
      <c r="BT278" s="660" t="s">
        <v>932</v>
      </c>
      <c r="BU278" s="660"/>
      <c r="BV278" s="660"/>
      <c r="BW278" s="660"/>
      <c r="BX278" s="568" t="s">
        <v>932</v>
      </c>
      <c r="BY278" s="568"/>
      <c r="BZ278" s="568"/>
      <c r="CA278" s="660" t="s">
        <v>932</v>
      </c>
      <c r="CB278" s="660"/>
      <c r="CC278" s="660"/>
      <c r="CD278" s="660"/>
      <c r="CE278" s="568">
        <v>1</v>
      </c>
      <c r="CF278" s="568"/>
      <c r="CG278" s="568"/>
      <c r="CH278" s="660" t="s">
        <v>932</v>
      </c>
      <c r="CI278" s="660"/>
      <c r="CJ278" s="660"/>
      <c r="CK278" s="660"/>
      <c r="CL278" s="568" t="s">
        <v>932</v>
      </c>
      <c r="CM278" s="568"/>
      <c r="CN278" s="568"/>
    </row>
    <row r="279" hidden="1" customHeight="1" spans="1:92">
      <c r="A279" s="612"/>
      <c r="B279" s="612"/>
      <c r="C279" s="518"/>
      <c r="D279" s="518"/>
      <c r="E279" s="518"/>
      <c r="F279" s="657"/>
      <c r="G279" s="657"/>
      <c r="H279" s="657"/>
      <c r="I279" s="519"/>
      <c r="J279" s="519"/>
      <c r="K279" s="519"/>
      <c r="L279" s="519"/>
      <c r="M279" s="519"/>
      <c r="N279" s="519"/>
      <c r="O279" s="519"/>
      <c r="P279" s="519"/>
      <c r="Q279" s="519"/>
      <c r="R279" s="519"/>
      <c r="S279" s="519"/>
      <c r="T279" s="519"/>
      <c r="U279" s="519"/>
      <c r="V279" s="519"/>
      <c r="W279" s="519"/>
      <c r="X279" s="519"/>
      <c r="Y279" s="519"/>
      <c r="Z279" s="519"/>
      <c r="AA279" s="519"/>
      <c r="AB279" s="526"/>
      <c r="AC279" s="526"/>
      <c r="AD279" s="658"/>
      <c r="AE279" s="658"/>
      <c r="AF279" s="658"/>
      <c r="AG279" s="526">
        <v>0</v>
      </c>
      <c r="AH279" s="526"/>
      <c r="AI279" s="659" t="e">
        <v>#N/A</v>
      </c>
      <c r="AJ279" s="659"/>
      <c r="AK279" s="659"/>
      <c r="AL279" s="659"/>
      <c r="AM279" s="659"/>
      <c r="AN279" s="659"/>
      <c r="AO279" s="659"/>
      <c r="AP279" s="659"/>
      <c r="AQ279" s="659"/>
      <c r="AR279" s="659"/>
      <c r="AS279" s="659"/>
      <c r="AT279" s="659"/>
      <c r="AU279" s="659"/>
      <c r="AV279" s="659"/>
      <c r="AW279" s="658">
        <v>0</v>
      </c>
      <c r="AX279" s="658"/>
      <c r="AY279" s="658"/>
      <c r="AZ279" s="658"/>
      <c r="BA279" s="658"/>
      <c r="BB279" s="658"/>
      <c r="BC279" s="658">
        <v>0</v>
      </c>
      <c r="BD279" s="658"/>
      <c r="BE279" s="658"/>
      <c r="BF279" s="658">
        <v>182.49</v>
      </c>
      <c r="BG279" s="658"/>
      <c r="BH279" s="658"/>
      <c r="BI279" s="567">
        <v>0</v>
      </c>
      <c r="BJ279" s="567"/>
      <c r="BK279" s="567"/>
      <c r="BL279" s="567"/>
      <c r="BM279" s="660" t="s">
        <v>932</v>
      </c>
      <c r="BN279" s="660"/>
      <c r="BO279" s="660"/>
      <c r="BP279" s="660"/>
      <c r="BQ279" s="568" t="s">
        <v>932</v>
      </c>
      <c r="BR279" s="568"/>
      <c r="BS279" s="568"/>
      <c r="BT279" s="660" t="s">
        <v>932</v>
      </c>
      <c r="BU279" s="660"/>
      <c r="BV279" s="660"/>
      <c r="BW279" s="660"/>
      <c r="BX279" s="568" t="s">
        <v>932</v>
      </c>
      <c r="BY279" s="568"/>
      <c r="BZ279" s="568"/>
      <c r="CA279" s="660" t="s">
        <v>932</v>
      </c>
      <c r="CB279" s="660"/>
      <c r="CC279" s="660"/>
      <c r="CD279" s="660"/>
      <c r="CE279" s="568">
        <v>1</v>
      </c>
      <c r="CF279" s="568"/>
      <c r="CG279" s="568"/>
      <c r="CH279" s="660" t="s">
        <v>932</v>
      </c>
      <c r="CI279" s="660"/>
      <c r="CJ279" s="660"/>
      <c r="CK279" s="660"/>
      <c r="CL279" s="568" t="s">
        <v>932</v>
      </c>
      <c r="CM279" s="568"/>
      <c r="CN279" s="568"/>
    </row>
    <row r="280" customHeight="1" spans="1:92">
      <c r="A280" s="612" t="s">
        <v>975</v>
      </c>
      <c r="B280" s="612"/>
      <c r="C280" s="518"/>
      <c r="D280" s="518"/>
      <c r="E280" s="518"/>
      <c r="F280" s="657">
        <v>3108000</v>
      </c>
      <c r="G280" s="657"/>
      <c r="H280" s="657"/>
      <c r="I280" s="519" t="s">
        <v>110</v>
      </c>
      <c r="J280" s="519"/>
      <c r="K280" s="519"/>
      <c r="L280" s="519"/>
      <c r="M280" s="519"/>
      <c r="N280" s="519"/>
      <c r="O280" s="519"/>
      <c r="P280" s="519"/>
      <c r="Q280" s="519"/>
      <c r="R280" s="519"/>
      <c r="S280" s="519"/>
      <c r="T280" s="519"/>
      <c r="U280" s="519"/>
      <c r="V280" s="519"/>
      <c r="W280" s="519"/>
      <c r="X280" s="519"/>
      <c r="Y280" s="519"/>
      <c r="Z280" s="519"/>
      <c r="AA280" s="519"/>
      <c r="AB280" s="526" t="s">
        <v>7</v>
      </c>
      <c r="AC280" s="526"/>
      <c r="AD280" s="658">
        <v>4</v>
      </c>
      <c r="AE280" s="658"/>
      <c r="AF280" s="658"/>
      <c r="AG280" s="526" t="s">
        <v>937</v>
      </c>
      <c r="AH280" s="526"/>
      <c r="AI280" s="659" t="s">
        <v>938</v>
      </c>
      <c r="AJ280" s="659"/>
      <c r="AK280" s="659"/>
      <c r="AL280" s="659"/>
      <c r="AM280" s="659"/>
      <c r="AN280" s="659"/>
      <c r="AO280" s="659"/>
      <c r="AP280" s="659"/>
      <c r="AQ280" s="659"/>
      <c r="AR280" s="659"/>
      <c r="AS280" s="659"/>
      <c r="AT280" s="659"/>
      <c r="AU280" s="659"/>
      <c r="AV280" s="659"/>
      <c r="AW280" s="658">
        <v>0.65</v>
      </c>
      <c r="AX280" s="658"/>
      <c r="AY280" s="658"/>
      <c r="AZ280" s="658">
        <v>1</v>
      </c>
      <c r="BA280" s="658"/>
      <c r="BB280" s="658"/>
      <c r="BC280" s="658">
        <v>2.6</v>
      </c>
      <c r="BD280" s="658"/>
      <c r="BE280" s="658"/>
      <c r="BF280" s="658">
        <v>182.49</v>
      </c>
      <c r="BG280" s="658"/>
      <c r="BH280" s="658"/>
      <c r="BI280" s="567">
        <v>0.0142473560195079</v>
      </c>
      <c r="BJ280" s="567"/>
      <c r="BK280" s="567"/>
      <c r="BL280" s="567"/>
      <c r="BM280" s="660" t="s">
        <v>932</v>
      </c>
      <c r="BN280" s="660"/>
      <c r="BO280" s="660"/>
      <c r="BP280" s="660"/>
      <c r="BQ280" s="568" t="s">
        <v>932</v>
      </c>
      <c r="BR280" s="568"/>
      <c r="BS280" s="568"/>
      <c r="BT280" s="660" t="s">
        <v>932</v>
      </c>
      <c r="BU280" s="660"/>
      <c r="BV280" s="660"/>
      <c r="BW280" s="660"/>
      <c r="BX280" s="568" t="s">
        <v>932</v>
      </c>
      <c r="BY280" s="568"/>
      <c r="BZ280" s="568"/>
      <c r="CA280" s="660">
        <v>0.0142473560195079</v>
      </c>
      <c r="CB280" s="660"/>
      <c r="CC280" s="660"/>
      <c r="CD280" s="660"/>
      <c r="CE280" s="568">
        <v>1</v>
      </c>
      <c r="CF280" s="568"/>
      <c r="CG280" s="568"/>
      <c r="CH280" s="660" t="s">
        <v>932</v>
      </c>
      <c r="CI280" s="660"/>
      <c r="CJ280" s="660"/>
      <c r="CK280" s="660"/>
      <c r="CL280" s="568" t="s">
        <v>932</v>
      </c>
      <c r="CM280" s="568"/>
      <c r="CN280" s="568"/>
    </row>
    <row r="281" customHeight="1" spans="1:92">
      <c r="A281" s="612"/>
      <c r="B281" s="612"/>
      <c r="C281" s="518"/>
      <c r="D281" s="518"/>
      <c r="E281" s="518"/>
      <c r="F281" s="657"/>
      <c r="G281" s="657"/>
      <c r="H281" s="657"/>
      <c r="I281" s="519"/>
      <c r="J281" s="519"/>
      <c r="K281" s="519"/>
      <c r="L281" s="519"/>
      <c r="M281" s="519"/>
      <c r="N281" s="519"/>
      <c r="O281" s="519"/>
      <c r="P281" s="519"/>
      <c r="Q281" s="519"/>
      <c r="R281" s="519"/>
      <c r="S281" s="519"/>
      <c r="T281" s="519"/>
      <c r="U281" s="519"/>
      <c r="V281" s="519"/>
      <c r="W281" s="519"/>
      <c r="X281" s="519"/>
      <c r="Y281" s="519"/>
      <c r="Z281" s="519"/>
      <c r="AA281" s="519"/>
      <c r="AB281" s="526"/>
      <c r="AC281" s="526"/>
      <c r="AD281" s="658"/>
      <c r="AE281" s="658"/>
      <c r="AF281" s="658"/>
      <c r="AG281" s="526" t="s">
        <v>950</v>
      </c>
      <c r="AH281" s="526"/>
      <c r="AI281" s="659" t="s">
        <v>951</v>
      </c>
      <c r="AJ281" s="659"/>
      <c r="AK281" s="659"/>
      <c r="AL281" s="659"/>
      <c r="AM281" s="659"/>
      <c r="AN281" s="659"/>
      <c r="AO281" s="659"/>
      <c r="AP281" s="659"/>
      <c r="AQ281" s="659"/>
      <c r="AR281" s="659"/>
      <c r="AS281" s="659"/>
      <c r="AT281" s="659"/>
      <c r="AU281" s="659"/>
      <c r="AV281" s="659"/>
      <c r="AW281" s="658">
        <v>0.65</v>
      </c>
      <c r="AX281" s="658"/>
      <c r="AY281" s="658"/>
      <c r="AZ281" s="658"/>
      <c r="BA281" s="658"/>
      <c r="BB281" s="658"/>
      <c r="BC281" s="658">
        <v>2.6</v>
      </c>
      <c r="BD281" s="658"/>
      <c r="BE281" s="658"/>
      <c r="BF281" s="658">
        <v>182.49</v>
      </c>
      <c r="BG281" s="658"/>
      <c r="BH281" s="658"/>
      <c r="BI281" s="567">
        <v>0.0142473560195079</v>
      </c>
      <c r="BJ281" s="567"/>
      <c r="BK281" s="567"/>
      <c r="BL281" s="567"/>
      <c r="BM281" s="660" t="s">
        <v>932</v>
      </c>
      <c r="BN281" s="660"/>
      <c r="BO281" s="660"/>
      <c r="BP281" s="660"/>
      <c r="BQ281" s="568" t="s">
        <v>932</v>
      </c>
      <c r="BR281" s="568"/>
      <c r="BS281" s="568"/>
      <c r="BT281" s="660" t="s">
        <v>932</v>
      </c>
      <c r="BU281" s="660"/>
      <c r="BV281" s="660"/>
      <c r="BW281" s="660"/>
      <c r="BX281" s="568" t="s">
        <v>932</v>
      </c>
      <c r="BY281" s="568"/>
      <c r="BZ281" s="568"/>
      <c r="CA281" s="660">
        <v>0.0142473560195079</v>
      </c>
      <c r="CB281" s="660"/>
      <c r="CC281" s="660"/>
      <c r="CD281" s="660"/>
      <c r="CE281" s="568">
        <v>1</v>
      </c>
      <c r="CF281" s="568"/>
      <c r="CG281" s="568"/>
      <c r="CH281" s="660" t="s">
        <v>932</v>
      </c>
      <c r="CI281" s="660"/>
      <c r="CJ281" s="660"/>
      <c r="CK281" s="660"/>
      <c r="CL281" s="568" t="s">
        <v>932</v>
      </c>
      <c r="CM281" s="568"/>
      <c r="CN281" s="568"/>
    </row>
    <row r="282" hidden="1" customHeight="1" spans="1:92">
      <c r="A282" s="612"/>
      <c r="B282" s="612"/>
      <c r="C282" s="518"/>
      <c r="D282" s="518"/>
      <c r="E282" s="518"/>
      <c r="F282" s="657"/>
      <c r="G282" s="657"/>
      <c r="H282" s="657"/>
      <c r="I282" s="519"/>
      <c r="J282" s="519"/>
      <c r="K282" s="519"/>
      <c r="L282" s="519"/>
      <c r="M282" s="519"/>
      <c r="N282" s="519"/>
      <c r="O282" s="519"/>
      <c r="P282" s="519"/>
      <c r="Q282" s="519"/>
      <c r="R282" s="519"/>
      <c r="S282" s="519"/>
      <c r="T282" s="519"/>
      <c r="U282" s="519"/>
      <c r="V282" s="519"/>
      <c r="W282" s="519"/>
      <c r="X282" s="519"/>
      <c r="Y282" s="519"/>
      <c r="Z282" s="519"/>
      <c r="AA282" s="519"/>
      <c r="AB282" s="526"/>
      <c r="AC282" s="526"/>
      <c r="AD282" s="658"/>
      <c r="AE282" s="658"/>
      <c r="AF282" s="658"/>
      <c r="AG282" s="526">
        <v>0</v>
      </c>
      <c r="AH282" s="526"/>
      <c r="AI282" s="659" t="e">
        <v>#N/A</v>
      </c>
      <c r="AJ282" s="659"/>
      <c r="AK282" s="659"/>
      <c r="AL282" s="659"/>
      <c r="AM282" s="659"/>
      <c r="AN282" s="659"/>
      <c r="AO282" s="659"/>
      <c r="AP282" s="659"/>
      <c r="AQ282" s="659"/>
      <c r="AR282" s="659"/>
      <c r="AS282" s="659"/>
      <c r="AT282" s="659"/>
      <c r="AU282" s="659"/>
      <c r="AV282" s="659"/>
      <c r="AW282" s="658">
        <v>0</v>
      </c>
      <c r="AX282" s="658"/>
      <c r="AY282" s="658"/>
      <c r="AZ282" s="658"/>
      <c r="BA282" s="658"/>
      <c r="BB282" s="658"/>
      <c r="BC282" s="658">
        <v>0</v>
      </c>
      <c r="BD282" s="658"/>
      <c r="BE282" s="658"/>
      <c r="BF282" s="658">
        <v>182.49</v>
      </c>
      <c r="BG282" s="658"/>
      <c r="BH282" s="658"/>
      <c r="BI282" s="567">
        <v>0</v>
      </c>
      <c r="BJ282" s="567"/>
      <c r="BK282" s="567"/>
      <c r="BL282" s="567"/>
      <c r="BM282" s="660" t="s">
        <v>932</v>
      </c>
      <c r="BN282" s="660"/>
      <c r="BO282" s="660"/>
      <c r="BP282" s="660"/>
      <c r="BQ282" s="568" t="s">
        <v>932</v>
      </c>
      <c r="BR282" s="568"/>
      <c r="BS282" s="568"/>
      <c r="BT282" s="660" t="s">
        <v>932</v>
      </c>
      <c r="BU282" s="660"/>
      <c r="BV282" s="660"/>
      <c r="BW282" s="660"/>
      <c r="BX282" s="568" t="s">
        <v>932</v>
      </c>
      <c r="BY282" s="568"/>
      <c r="BZ282" s="568"/>
      <c r="CA282" s="660" t="s">
        <v>932</v>
      </c>
      <c r="CB282" s="660"/>
      <c r="CC282" s="660"/>
      <c r="CD282" s="660"/>
      <c r="CE282" s="568">
        <v>1</v>
      </c>
      <c r="CF282" s="568"/>
      <c r="CG282" s="568"/>
      <c r="CH282" s="660" t="s">
        <v>932</v>
      </c>
      <c r="CI282" s="660"/>
      <c r="CJ282" s="660"/>
      <c r="CK282" s="660"/>
      <c r="CL282" s="568" t="s">
        <v>932</v>
      </c>
      <c r="CM282" s="568"/>
      <c r="CN282" s="568"/>
    </row>
    <row r="283" hidden="1" customHeight="1" spans="1:92">
      <c r="A283" s="612"/>
      <c r="B283" s="612"/>
      <c r="C283" s="518"/>
      <c r="D283" s="518"/>
      <c r="E283" s="518"/>
      <c r="F283" s="657"/>
      <c r="G283" s="657"/>
      <c r="H283" s="657"/>
      <c r="I283" s="519"/>
      <c r="J283" s="519"/>
      <c r="K283" s="519"/>
      <c r="L283" s="519"/>
      <c r="M283" s="519"/>
      <c r="N283" s="519"/>
      <c r="O283" s="519"/>
      <c r="P283" s="519"/>
      <c r="Q283" s="519"/>
      <c r="R283" s="519"/>
      <c r="S283" s="519"/>
      <c r="T283" s="519"/>
      <c r="U283" s="519"/>
      <c r="V283" s="519"/>
      <c r="W283" s="519"/>
      <c r="X283" s="519"/>
      <c r="Y283" s="519"/>
      <c r="Z283" s="519"/>
      <c r="AA283" s="519"/>
      <c r="AB283" s="526"/>
      <c r="AC283" s="526"/>
      <c r="AD283" s="658"/>
      <c r="AE283" s="658"/>
      <c r="AF283" s="658"/>
      <c r="AG283" s="526">
        <v>0</v>
      </c>
      <c r="AH283" s="526"/>
      <c r="AI283" s="659" t="e">
        <v>#N/A</v>
      </c>
      <c r="AJ283" s="659"/>
      <c r="AK283" s="659"/>
      <c r="AL283" s="659"/>
      <c r="AM283" s="659"/>
      <c r="AN283" s="659"/>
      <c r="AO283" s="659"/>
      <c r="AP283" s="659"/>
      <c r="AQ283" s="659"/>
      <c r="AR283" s="659"/>
      <c r="AS283" s="659"/>
      <c r="AT283" s="659"/>
      <c r="AU283" s="659"/>
      <c r="AV283" s="659"/>
      <c r="AW283" s="658">
        <v>0</v>
      </c>
      <c r="AX283" s="658"/>
      <c r="AY283" s="658"/>
      <c r="AZ283" s="658"/>
      <c r="BA283" s="658"/>
      <c r="BB283" s="658"/>
      <c r="BC283" s="658">
        <v>0</v>
      </c>
      <c r="BD283" s="658"/>
      <c r="BE283" s="658"/>
      <c r="BF283" s="658">
        <v>182.49</v>
      </c>
      <c r="BG283" s="658"/>
      <c r="BH283" s="658"/>
      <c r="BI283" s="567">
        <v>0</v>
      </c>
      <c r="BJ283" s="567"/>
      <c r="BK283" s="567"/>
      <c r="BL283" s="567"/>
      <c r="BM283" s="660" t="s">
        <v>932</v>
      </c>
      <c r="BN283" s="660"/>
      <c r="BO283" s="660"/>
      <c r="BP283" s="660"/>
      <c r="BQ283" s="568" t="s">
        <v>932</v>
      </c>
      <c r="BR283" s="568"/>
      <c r="BS283" s="568"/>
      <c r="BT283" s="660" t="s">
        <v>932</v>
      </c>
      <c r="BU283" s="660"/>
      <c r="BV283" s="660"/>
      <c r="BW283" s="660"/>
      <c r="BX283" s="568" t="s">
        <v>932</v>
      </c>
      <c r="BY283" s="568"/>
      <c r="BZ283" s="568"/>
      <c r="CA283" s="660" t="s">
        <v>932</v>
      </c>
      <c r="CB283" s="660"/>
      <c r="CC283" s="660"/>
      <c r="CD283" s="660"/>
      <c r="CE283" s="568">
        <v>1</v>
      </c>
      <c r="CF283" s="568"/>
      <c r="CG283" s="568"/>
      <c r="CH283" s="660" t="s">
        <v>932</v>
      </c>
      <c r="CI283" s="660"/>
      <c r="CJ283" s="660"/>
      <c r="CK283" s="660"/>
      <c r="CL283" s="568" t="s">
        <v>932</v>
      </c>
      <c r="CM283" s="568"/>
      <c r="CN283" s="568"/>
    </row>
    <row r="284" hidden="1" customHeight="1" spans="1:92">
      <c r="A284" s="612"/>
      <c r="B284" s="612"/>
      <c r="C284" s="518"/>
      <c r="D284" s="518"/>
      <c r="E284" s="518"/>
      <c r="F284" s="657"/>
      <c r="G284" s="657"/>
      <c r="H284" s="657"/>
      <c r="I284" s="519"/>
      <c r="J284" s="519"/>
      <c r="K284" s="519"/>
      <c r="L284" s="519"/>
      <c r="M284" s="519"/>
      <c r="N284" s="519"/>
      <c r="O284" s="519"/>
      <c r="P284" s="519"/>
      <c r="Q284" s="519"/>
      <c r="R284" s="519"/>
      <c r="S284" s="519"/>
      <c r="T284" s="519"/>
      <c r="U284" s="519"/>
      <c r="V284" s="519"/>
      <c r="W284" s="519"/>
      <c r="X284" s="519"/>
      <c r="Y284" s="519"/>
      <c r="Z284" s="519"/>
      <c r="AA284" s="519"/>
      <c r="AB284" s="526"/>
      <c r="AC284" s="526"/>
      <c r="AD284" s="658"/>
      <c r="AE284" s="658"/>
      <c r="AF284" s="658"/>
      <c r="AG284" s="526">
        <v>0</v>
      </c>
      <c r="AH284" s="526"/>
      <c r="AI284" s="659" t="e">
        <v>#N/A</v>
      </c>
      <c r="AJ284" s="659"/>
      <c r="AK284" s="659"/>
      <c r="AL284" s="659"/>
      <c r="AM284" s="659"/>
      <c r="AN284" s="659"/>
      <c r="AO284" s="659"/>
      <c r="AP284" s="659"/>
      <c r="AQ284" s="659"/>
      <c r="AR284" s="659"/>
      <c r="AS284" s="659"/>
      <c r="AT284" s="659"/>
      <c r="AU284" s="659"/>
      <c r="AV284" s="659"/>
      <c r="AW284" s="658">
        <v>0</v>
      </c>
      <c r="AX284" s="658"/>
      <c r="AY284" s="658"/>
      <c r="AZ284" s="658"/>
      <c r="BA284" s="658"/>
      <c r="BB284" s="658"/>
      <c r="BC284" s="658">
        <v>0</v>
      </c>
      <c r="BD284" s="658"/>
      <c r="BE284" s="658"/>
      <c r="BF284" s="658">
        <v>182.49</v>
      </c>
      <c r="BG284" s="658"/>
      <c r="BH284" s="658"/>
      <c r="BI284" s="567">
        <v>0</v>
      </c>
      <c r="BJ284" s="567"/>
      <c r="BK284" s="567"/>
      <c r="BL284" s="567"/>
      <c r="BM284" s="660" t="s">
        <v>932</v>
      </c>
      <c r="BN284" s="660"/>
      <c r="BO284" s="660"/>
      <c r="BP284" s="660"/>
      <c r="BQ284" s="568" t="s">
        <v>932</v>
      </c>
      <c r="BR284" s="568"/>
      <c r="BS284" s="568"/>
      <c r="BT284" s="660" t="s">
        <v>932</v>
      </c>
      <c r="BU284" s="660"/>
      <c r="BV284" s="660"/>
      <c r="BW284" s="660"/>
      <c r="BX284" s="568" t="s">
        <v>932</v>
      </c>
      <c r="BY284" s="568"/>
      <c r="BZ284" s="568"/>
      <c r="CA284" s="660" t="s">
        <v>932</v>
      </c>
      <c r="CB284" s="660"/>
      <c r="CC284" s="660"/>
      <c r="CD284" s="660"/>
      <c r="CE284" s="568">
        <v>1</v>
      </c>
      <c r="CF284" s="568"/>
      <c r="CG284" s="568"/>
      <c r="CH284" s="660" t="s">
        <v>932</v>
      </c>
      <c r="CI284" s="660"/>
      <c r="CJ284" s="660"/>
      <c r="CK284" s="660"/>
      <c r="CL284" s="568" t="s">
        <v>932</v>
      </c>
      <c r="CM284" s="568"/>
      <c r="CN284" s="568"/>
    </row>
    <row r="285" hidden="1" customHeight="1" spans="1:92">
      <c r="A285" s="612"/>
      <c r="B285" s="612"/>
      <c r="C285" s="518"/>
      <c r="D285" s="518"/>
      <c r="E285" s="518"/>
      <c r="F285" s="657"/>
      <c r="G285" s="657"/>
      <c r="H285" s="657"/>
      <c r="I285" s="519"/>
      <c r="J285" s="519"/>
      <c r="K285" s="519"/>
      <c r="L285" s="519"/>
      <c r="M285" s="519"/>
      <c r="N285" s="519"/>
      <c r="O285" s="519"/>
      <c r="P285" s="519"/>
      <c r="Q285" s="519"/>
      <c r="R285" s="519"/>
      <c r="S285" s="519"/>
      <c r="T285" s="519"/>
      <c r="U285" s="519"/>
      <c r="V285" s="519"/>
      <c r="W285" s="519"/>
      <c r="X285" s="519"/>
      <c r="Y285" s="519"/>
      <c r="Z285" s="519"/>
      <c r="AA285" s="519"/>
      <c r="AB285" s="526"/>
      <c r="AC285" s="526"/>
      <c r="AD285" s="658"/>
      <c r="AE285" s="658"/>
      <c r="AF285" s="658"/>
      <c r="AG285" s="526">
        <v>0</v>
      </c>
      <c r="AH285" s="526"/>
      <c r="AI285" s="659" t="e">
        <v>#N/A</v>
      </c>
      <c r="AJ285" s="659"/>
      <c r="AK285" s="659"/>
      <c r="AL285" s="659"/>
      <c r="AM285" s="659"/>
      <c r="AN285" s="659"/>
      <c r="AO285" s="659"/>
      <c r="AP285" s="659"/>
      <c r="AQ285" s="659"/>
      <c r="AR285" s="659"/>
      <c r="AS285" s="659"/>
      <c r="AT285" s="659"/>
      <c r="AU285" s="659"/>
      <c r="AV285" s="659"/>
      <c r="AW285" s="658">
        <v>0</v>
      </c>
      <c r="AX285" s="658"/>
      <c r="AY285" s="658"/>
      <c r="AZ285" s="658"/>
      <c r="BA285" s="658"/>
      <c r="BB285" s="658"/>
      <c r="BC285" s="658">
        <v>0</v>
      </c>
      <c r="BD285" s="658"/>
      <c r="BE285" s="658"/>
      <c r="BF285" s="658">
        <v>182.49</v>
      </c>
      <c r="BG285" s="658"/>
      <c r="BH285" s="658"/>
      <c r="BI285" s="567">
        <v>0</v>
      </c>
      <c r="BJ285" s="567"/>
      <c r="BK285" s="567"/>
      <c r="BL285" s="567"/>
      <c r="BM285" s="660" t="s">
        <v>932</v>
      </c>
      <c r="BN285" s="660"/>
      <c r="BO285" s="660"/>
      <c r="BP285" s="660"/>
      <c r="BQ285" s="568" t="s">
        <v>932</v>
      </c>
      <c r="BR285" s="568"/>
      <c r="BS285" s="568"/>
      <c r="BT285" s="660" t="s">
        <v>932</v>
      </c>
      <c r="BU285" s="660"/>
      <c r="BV285" s="660"/>
      <c r="BW285" s="660"/>
      <c r="BX285" s="568" t="s">
        <v>932</v>
      </c>
      <c r="BY285" s="568"/>
      <c r="BZ285" s="568"/>
      <c r="CA285" s="660" t="s">
        <v>932</v>
      </c>
      <c r="CB285" s="660"/>
      <c r="CC285" s="660"/>
      <c r="CD285" s="660"/>
      <c r="CE285" s="568">
        <v>1</v>
      </c>
      <c r="CF285" s="568"/>
      <c r="CG285" s="568"/>
      <c r="CH285" s="660" t="s">
        <v>932</v>
      </c>
      <c r="CI285" s="660"/>
      <c r="CJ285" s="660"/>
      <c r="CK285" s="660"/>
      <c r="CL285" s="568" t="s">
        <v>932</v>
      </c>
      <c r="CM285" s="568"/>
      <c r="CN285" s="568"/>
    </row>
    <row r="286" hidden="1" customHeight="1" spans="1:92">
      <c r="A286" s="612"/>
      <c r="B286" s="612"/>
      <c r="C286" s="518"/>
      <c r="D286" s="518"/>
      <c r="E286" s="518"/>
      <c r="F286" s="657"/>
      <c r="G286" s="657"/>
      <c r="H286" s="657"/>
      <c r="I286" s="519"/>
      <c r="J286" s="519"/>
      <c r="K286" s="519"/>
      <c r="L286" s="519"/>
      <c r="M286" s="519"/>
      <c r="N286" s="519"/>
      <c r="O286" s="519"/>
      <c r="P286" s="519"/>
      <c r="Q286" s="519"/>
      <c r="R286" s="519"/>
      <c r="S286" s="519"/>
      <c r="T286" s="519"/>
      <c r="U286" s="519"/>
      <c r="V286" s="519"/>
      <c r="W286" s="519"/>
      <c r="X286" s="519"/>
      <c r="Y286" s="519"/>
      <c r="Z286" s="519"/>
      <c r="AA286" s="519"/>
      <c r="AB286" s="526"/>
      <c r="AC286" s="526"/>
      <c r="AD286" s="658"/>
      <c r="AE286" s="658"/>
      <c r="AF286" s="658"/>
      <c r="AG286" s="526">
        <v>0</v>
      </c>
      <c r="AH286" s="526"/>
      <c r="AI286" s="659" t="e">
        <v>#N/A</v>
      </c>
      <c r="AJ286" s="659"/>
      <c r="AK286" s="659"/>
      <c r="AL286" s="659"/>
      <c r="AM286" s="659"/>
      <c r="AN286" s="659"/>
      <c r="AO286" s="659"/>
      <c r="AP286" s="659"/>
      <c r="AQ286" s="659"/>
      <c r="AR286" s="659"/>
      <c r="AS286" s="659"/>
      <c r="AT286" s="659"/>
      <c r="AU286" s="659"/>
      <c r="AV286" s="659"/>
      <c r="AW286" s="658">
        <v>0</v>
      </c>
      <c r="AX286" s="658"/>
      <c r="AY286" s="658"/>
      <c r="AZ286" s="658"/>
      <c r="BA286" s="658"/>
      <c r="BB286" s="658"/>
      <c r="BC286" s="658">
        <v>0</v>
      </c>
      <c r="BD286" s="658"/>
      <c r="BE286" s="658"/>
      <c r="BF286" s="658">
        <v>182.49</v>
      </c>
      <c r="BG286" s="658"/>
      <c r="BH286" s="658"/>
      <c r="BI286" s="567">
        <v>0</v>
      </c>
      <c r="BJ286" s="567"/>
      <c r="BK286" s="567"/>
      <c r="BL286" s="567"/>
      <c r="BM286" s="660" t="s">
        <v>932</v>
      </c>
      <c r="BN286" s="660"/>
      <c r="BO286" s="660"/>
      <c r="BP286" s="660"/>
      <c r="BQ286" s="568" t="s">
        <v>932</v>
      </c>
      <c r="BR286" s="568"/>
      <c r="BS286" s="568"/>
      <c r="BT286" s="660" t="s">
        <v>932</v>
      </c>
      <c r="BU286" s="660"/>
      <c r="BV286" s="660"/>
      <c r="BW286" s="660"/>
      <c r="BX286" s="568" t="s">
        <v>932</v>
      </c>
      <c r="BY286" s="568"/>
      <c r="BZ286" s="568"/>
      <c r="CA286" s="660" t="s">
        <v>932</v>
      </c>
      <c r="CB286" s="660"/>
      <c r="CC286" s="660"/>
      <c r="CD286" s="660"/>
      <c r="CE286" s="568">
        <v>1</v>
      </c>
      <c r="CF286" s="568"/>
      <c r="CG286" s="568"/>
      <c r="CH286" s="660" t="s">
        <v>932</v>
      </c>
      <c r="CI286" s="660"/>
      <c r="CJ286" s="660"/>
      <c r="CK286" s="660"/>
      <c r="CL286" s="568" t="s">
        <v>932</v>
      </c>
      <c r="CM286" s="568"/>
      <c r="CN286" s="568"/>
    </row>
    <row r="287" hidden="1" customHeight="1" spans="1:92">
      <c r="A287" s="612"/>
      <c r="B287" s="612"/>
      <c r="C287" s="518"/>
      <c r="D287" s="518"/>
      <c r="E287" s="518"/>
      <c r="F287" s="657"/>
      <c r="G287" s="657"/>
      <c r="H287" s="657"/>
      <c r="I287" s="519"/>
      <c r="J287" s="519"/>
      <c r="K287" s="519"/>
      <c r="L287" s="519"/>
      <c r="M287" s="519"/>
      <c r="N287" s="519"/>
      <c r="O287" s="519"/>
      <c r="P287" s="519"/>
      <c r="Q287" s="519"/>
      <c r="R287" s="519"/>
      <c r="S287" s="519"/>
      <c r="T287" s="519"/>
      <c r="U287" s="519"/>
      <c r="V287" s="519"/>
      <c r="W287" s="519"/>
      <c r="X287" s="519"/>
      <c r="Y287" s="519"/>
      <c r="Z287" s="519"/>
      <c r="AA287" s="519"/>
      <c r="AB287" s="526"/>
      <c r="AC287" s="526"/>
      <c r="AD287" s="658"/>
      <c r="AE287" s="658"/>
      <c r="AF287" s="658"/>
      <c r="AG287" s="526">
        <v>0</v>
      </c>
      <c r="AH287" s="526"/>
      <c r="AI287" s="659" t="e">
        <v>#N/A</v>
      </c>
      <c r="AJ287" s="659"/>
      <c r="AK287" s="659"/>
      <c r="AL287" s="659"/>
      <c r="AM287" s="659"/>
      <c r="AN287" s="659"/>
      <c r="AO287" s="659"/>
      <c r="AP287" s="659"/>
      <c r="AQ287" s="659"/>
      <c r="AR287" s="659"/>
      <c r="AS287" s="659"/>
      <c r="AT287" s="659"/>
      <c r="AU287" s="659"/>
      <c r="AV287" s="659"/>
      <c r="AW287" s="658">
        <v>0</v>
      </c>
      <c r="AX287" s="658"/>
      <c r="AY287" s="658"/>
      <c r="AZ287" s="658"/>
      <c r="BA287" s="658"/>
      <c r="BB287" s="658"/>
      <c r="BC287" s="658">
        <v>0</v>
      </c>
      <c r="BD287" s="658"/>
      <c r="BE287" s="658"/>
      <c r="BF287" s="658">
        <v>182.49</v>
      </c>
      <c r="BG287" s="658"/>
      <c r="BH287" s="658"/>
      <c r="BI287" s="567">
        <v>0</v>
      </c>
      <c r="BJ287" s="567"/>
      <c r="BK287" s="567"/>
      <c r="BL287" s="567"/>
      <c r="BM287" s="660" t="s">
        <v>932</v>
      </c>
      <c r="BN287" s="660"/>
      <c r="BO287" s="660"/>
      <c r="BP287" s="660"/>
      <c r="BQ287" s="568" t="s">
        <v>932</v>
      </c>
      <c r="BR287" s="568"/>
      <c r="BS287" s="568"/>
      <c r="BT287" s="660" t="s">
        <v>932</v>
      </c>
      <c r="BU287" s="660"/>
      <c r="BV287" s="660"/>
      <c r="BW287" s="660"/>
      <c r="BX287" s="568" t="s">
        <v>932</v>
      </c>
      <c r="BY287" s="568"/>
      <c r="BZ287" s="568"/>
      <c r="CA287" s="660" t="s">
        <v>932</v>
      </c>
      <c r="CB287" s="660"/>
      <c r="CC287" s="660"/>
      <c r="CD287" s="660"/>
      <c r="CE287" s="568">
        <v>1</v>
      </c>
      <c r="CF287" s="568"/>
      <c r="CG287" s="568"/>
      <c r="CH287" s="660" t="s">
        <v>932</v>
      </c>
      <c r="CI287" s="660"/>
      <c r="CJ287" s="660"/>
      <c r="CK287" s="660"/>
      <c r="CL287" s="568" t="s">
        <v>932</v>
      </c>
      <c r="CM287" s="568"/>
      <c r="CN287" s="568"/>
    </row>
    <row r="288" customHeight="1" spans="1:92">
      <c r="A288" s="612" t="s">
        <v>976</v>
      </c>
      <c r="B288" s="612"/>
      <c r="C288" s="518"/>
      <c r="D288" s="518"/>
      <c r="E288" s="518"/>
      <c r="F288" s="657">
        <v>407819</v>
      </c>
      <c r="G288" s="657"/>
      <c r="H288" s="657"/>
      <c r="I288" s="519" t="s">
        <v>100</v>
      </c>
      <c r="J288" s="519"/>
      <c r="K288" s="519"/>
      <c r="L288" s="519"/>
      <c r="M288" s="519"/>
      <c r="N288" s="519"/>
      <c r="O288" s="519"/>
      <c r="P288" s="519"/>
      <c r="Q288" s="519"/>
      <c r="R288" s="519"/>
      <c r="S288" s="519"/>
      <c r="T288" s="519"/>
      <c r="U288" s="519"/>
      <c r="V288" s="519"/>
      <c r="W288" s="519"/>
      <c r="X288" s="519"/>
      <c r="Y288" s="519"/>
      <c r="Z288" s="519"/>
      <c r="AA288" s="519"/>
      <c r="AB288" s="526" t="s">
        <v>101</v>
      </c>
      <c r="AC288" s="526"/>
      <c r="AD288" s="658">
        <v>262.45</v>
      </c>
      <c r="AE288" s="658"/>
      <c r="AF288" s="658"/>
      <c r="AG288" s="526" t="s">
        <v>937</v>
      </c>
      <c r="AH288" s="526"/>
      <c r="AI288" s="659" t="s">
        <v>938</v>
      </c>
      <c r="AJ288" s="659"/>
      <c r="AK288" s="659"/>
      <c r="AL288" s="659"/>
      <c r="AM288" s="659"/>
      <c r="AN288" s="659"/>
      <c r="AO288" s="659"/>
      <c r="AP288" s="659"/>
      <c r="AQ288" s="659"/>
      <c r="AR288" s="659"/>
      <c r="AS288" s="659"/>
      <c r="AT288" s="659"/>
      <c r="AU288" s="659"/>
      <c r="AV288" s="659"/>
      <c r="AW288" s="658">
        <v>0.09</v>
      </c>
      <c r="AX288" s="658"/>
      <c r="AY288" s="658"/>
      <c r="AZ288" s="658">
        <v>1</v>
      </c>
      <c r="BA288" s="658"/>
      <c r="BB288" s="658"/>
      <c r="BC288" s="658">
        <v>23.6205</v>
      </c>
      <c r="BD288" s="658"/>
      <c r="BE288" s="658"/>
      <c r="BF288" s="658">
        <v>182.49</v>
      </c>
      <c r="BG288" s="658"/>
      <c r="BH288" s="658"/>
      <c r="BI288" s="567">
        <v>0.129434489561072</v>
      </c>
      <c r="BJ288" s="567"/>
      <c r="BK288" s="567"/>
      <c r="BL288" s="567"/>
      <c r="BM288" s="660" t="s">
        <v>932</v>
      </c>
      <c r="BN288" s="660"/>
      <c r="BO288" s="660"/>
      <c r="BP288" s="660"/>
      <c r="BQ288" s="568" t="s">
        <v>932</v>
      </c>
      <c r="BR288" s="568"/>
      <c r="BS288" s="568"/>
      <c r="BT288" s="660" t="s">
        <v>932</v>
      </c>
      <c r="BU288" s="660"/>
      <c r="BV288" s="660"/>
      <c r="BW288" s="660"/>
      <c r="BX288" s="568" t="s">
        <v>932</v>
      </c>
      <c r="BY288" s="568"/>
      <c r="BZ288" s="568"/>
      <c r="CA288" s="660">
        <v>0.129434489561072</v>
      </c>
      <c r="CB288" s="660"/>
      <c r="CC288" s="660"/>
      <c r="CD288" s="660"/>
      <c r="CE288" s="568">
        <v>1</v>
      </c>
      <c r="CF288" s="568"/>
      <c r="CG288" s="568"/>
      <c r="CH288" s="660" t="s">
        <v>932</v>
      </c>
      <c r="CI288" s="660"/>
      <c r="CJ288" s="660"/>
      <c r="CK288" s="660"/>
      <c r="CL288" s="568" t="s">
        <v>932</v>
      </c>
      <c r="CM288" s="568"/>
      <c r="CN288" s="568"/>
    </row>
    <row r="289" customHeight="1" spans="1:92">
      <c r="A289" s="612"/>
      <c r="B289" s="612"/>
      <c r="C289" s="518"/>
      <c r="D289" s="518"/>
      <c r="E289" s="518"/>
      <c r="F289" s="657"/>
      <c r="G289" s="657"/>
      <c r="H289" s="657"/>
      <c r="I289" s="519"/>
      <c r="J289" s="519"/>
      <c r="K289" s="519"/>
      <c r="L289" s="519"/>
      <c r="M289" s="519"/>
      <c r="N289" s="519"/>
      <c r="O289" s="519"/>
      <c r="P289" s="519"/>
      <c r="Q289" s="519"/>
      <c r="R289" s="519"/>
      <c r="S289" s="519"/>
      <c r="T289" s="519"/>
      <c r="U289" s="519"/>
      <c r="V289" s="519"/>
      <c r="W289" s="519"/>
      <c r="X289" s="519"/>
      <c r="Y289" s="519"/>
      <c r="Z289" s="519"/>
      <c r="AA289" s="519"/>
      <c r="AB289" s="526"/>
      <c r="AC289" s="526"/>
      <c r="AD289" s="658"/>
      <c r="AE289" s="658"/>
      <c r="AF289" s="658"/>
      <c r="AG289" s="526" t="s">
        <v>939</v>
      </c>
      <c r="AH289" s="526"/>
      <c r="AI289" s="659" t="s">
        <v>940</v>
      </c>
      <c r="AJ289" s="659"/>
      <c r="AK289" s="659"/>
      <c r="AL289" s="659"/>
      <c r="AM289" s="659"/>
      <c r="AN289" s="659"/>
      <c r="AO289" s="659"/>
      <c r="AP289" s="659"/>
      <c r="AQ289" s="659"/>
      <c r="AR289" s="659"/>
      <c r="AS289" s="659"/>
      <c r="AT289" s="659"/>
      <c r="AU289" s="659"/>
      <c r="AV289" s="659"/>
      <c r="AW289" s="658">
        <v>0.09</v>
      </c>
      <c r="AX289" s="658"/>
      <c r="AY289" s="658"/>
      <c r="AZ289" s="658"/>
      <c r="BA289" s="658"/>
      <c r="BB289" s="658"/>
      <c r="BC289" s="658">
        <v>23.6205</v>
      </c>
      <c r="BD289" s="658"/>
      <c r="BE289" s="658"/>
      <c r="BF289" s="658">
        <v>182.49</v>
      </c>
      <c r="BG289" s="658"/>
      <c r="BH289" s="658"/>
      <c r="BI289" s="567">
        <v>0.129434489561072</v>
      </c>
      <c r="BJ289" s="567"/>
      <c r="BK289" s="567"/>
      <c r="BL289" s="567"/>
      <c r="BM289" s="660" t="s">
        <v>932</v>
      </c>
      <c r="BN289" s="660"/>
      <c r="BO289" s="660"/>
      <c r="BP289" s="660"/>
      <c r="BQ289" s="568" t="s">
        <v>932</v>
      </c>
      <c r="BR289" s="568"/>
      <c r="BS289" s="568"/>
      <c r="BT289" s="660" t="s">
        <v>932</v>
      </c>
      <c r="BU289" s="660"/>
      <c r="BV289" s="660"/>
      <c r="BW289" s="660"/>
      <c r="BX289" s="568" t="s">
        <v>932</v>
      </c>
      <c r="BY289" s="568"/>
      <c r="BZ289" s="568"/>
      <c r="CA289" s="660">
        <v>0.129434489561072</v>
      </c>
      <c r="CB289" s="660"/>
      <c r="CC289" s="660"/>
      <c r="CD289" s="660"/>
      <c r="CE289" s="568">
        <v>1</v>
      </c>
      <c r="CF289" s="568"/>
      <c r="CG289" s="568"/>
      <c r="CH289" s="660" t="s">
        <v>932</v>
      </c>
      <c r="CI289" s="660"/>
      <c r="CJ289" s="660"/>
      <c r="CK289" s="660"/>
      <c r="CL289" s="568" t="s">
        <v>932</v>
      </c>
      <c r="CM289" s="568"/>
      <c r="CN289" s="568"/>
    </row>
    <row r="290" hidden="1" customHeight="1" spans="1:92">
      <c r="A290" s="612"/>
      <c r="B290" s="612"/>
      <c r="C290" s="518"/>
      <c r="D290" s="518"/>
      <c r="E290" s="518"/>
      <c r="F290" s="657"/>
      <c r="G290" s="657"/>
      <c r="H290" s="657"/>
      <c r="I290" s="519"/>
      <c r="J290" s="519"/>
      <c r="K290" s="519"/>
      <c r="L290" s="519"/>
      <c r="M290" s="519"/>
      <c r="N290" s="519"/>
      <c r="O290" s="519"/>
      <c r="P290" s="519"/>
      <c r="Q290" s="519"/>
      <c r="R290" s="519"/>
      <c r="S290" s="519"/>
      <c r="T290" s="519"/>
      <c r="U290" s="519"/>
      <c r="V290" s="519"/>
      <c r="W290" s="519"/>
      <c r="X290" s="519"/>
      <c r="Y290" s="519"/>
      <c r="Z290" s="519"/>
      <c r="AA290" s="519"/>
      <c r="AB290" s="526"/>
      <c r="AC290" s="526"/>
      <c r="AD290" s="658"/>
      <c r="AE290" s="658"/>
      <c r="AF290" s="658"/>
      <c r="AG290" s="526">
        <v>0</v>
      </c>
      <c r="AH290" s="526"/>
      <c r="AI290" s="659" t="e">
        <v>#N/A</v>
      </c>
      <c r="AJ290" s="659"/>
      <c r="AK290" s="659"/>
      <c r="AL290" s="659"/>
      <c r="AM290" s="659"/>
      <c r="AN290" s="659"/>
      <c r="AO290" s="659"/>
      <c r="AP290" s="659"/>
      <c r="AQ290" s="659"/>
      <c r="AR290" s="659"/>
      <c r="AS290" s="659"/>
      <c r="AT290" s="659"/>
      <c r="AU290" s="659"/>
      <c r="AV290" s="659"/>
      <c r="AW290" s="658">
        <v>0</v>
      </c>
      <c r="AX290" s="658"/>
      <c r="AY290" s="658"/>
      <c r="AZ290" s="658"/>
      <c r="BA290" s="658"/>
      <c r="BB290" s="658"/>
      <c r="BC290" s="658">
        <v>0</v>
      </c>
      <c r="BD290" s="658"/>
      <c r="BE290" s="658"/>
      <c r="BF290" s="658">
        <v>182.49</v>
      </c>
      <c r="BG290" s="658"/>
      <c r="BH290" s="658"/>
      <c r="BI290" s="567">
        <v>0</v>
      </c>
      <c r="BJ290" s="567"/>
      <c r="BK290" s="567"/>
      <c r="BL290" s="567"/>
      <c r="BM290" s="660" t="s">
        <v>932</v>
      </c>
      <c r="BN290" s="660"/>
      <c r="BO290" s="660"/>
      <c r="BP290" s="660"/>
      <c r="BQ290" s="568" t="s">
        <v>932</v>
      </c>
      <c r="BR290" s="568"/>
      <c r="BS290" s="568"/>
      <c r="BT290" s="660" t="s">
        <v>932</v>
      </c>
      <c r="BU290" s="660"/>
      <c r="BV290" s="660"/>
      <c r="BW290" s="660"/>
      <c r="BX290" s="568" t="s">
        <v>932</v>
      </c>
      <c r="BY290" s="568"/>
      <c r="BZ290" s="568"/>
      <c r="CA290" s="660" t="s">
        <v>932</v>
      </c>
      <c r="CB290" s="660"/>
      <c r="CC290" s="660"/>
      <c r="CD290" s="660"/>
      <c r="CE290" s="568">
        <v>1</v>
      </c>
      <c r="CF290" s="568"/>
      <c r="CG290" s="568"/>
      <c r="CH290" s="660" t="s">
        <v>932</v>
      </c>
      <c r="CI290" s="660"/>
      <c r="CJ290" s="660"/>
      <c r="CK290" s="660"/>
      <c r="CL290" s="568" t="s">
        <v>932</v>
      </c>
      <c r="CM290" s="568"/>
      <c r="CN290" s="568"/>
    </row>
    <row r="291" hidden="1" customHeight="1" spans="1:92">
      <c r="A291" s="612"/>
      <c r="B291" s="612"/>
      <c r="C291" s="518"/>
      <c r="D291" s="518"/>
      <c r="E291" s="518"/>
      <c r="F291" s="657"/>
      <c r="G291" s="657"/>
      <c r="H291" s="657"/>
      <c r="I291" s="519"/>
      <c r="J291" s="519"/>
      <c r="K291" s="519"/>
      <c r="L291" s="519"/>
      <c r="M291" s="519"/>
      <c r="N291" s="519"/>
      <c r="O291" s="519"/>
      <c r="P291" s="519"/>
      <c r="Q291" s="519"/>
      <c r="R291" s="519"/>
      <c r="S291" s="519"/>
      <c r="T291" s="519"/>
      <c r="U291" s="519"/>
      <c r="V291" s="519"/>
      <c r="W291" s="519"/>
      <c r="X291" s="519"/>
      <c r="Y291" s="519"/>
      <c r="Z291" s="519"/>
      <c r="AA291" s="519"/>
      <c r="AB291" s="526"/>
      <c r="AC291" s="526"/>
      <c r="AD291" s="658"/>
      <c r="AE291" s="658"/>
      <c r="AF291" s="658"/>
      <c r="AG291" s="526">
        <v>0</v>
      </c>
      <c r="AH291" s="526"/>
      <c r="AI291" s="659" t="e">
        <v>#N/A</v>
      </c>
      <c r="AJ291" s="659"/>
      <c r="AK291" s="659"/>
      <c r="AL291" s="659"/>
      <c r="AM291" s="659"/>
      <c r="AN291" s="659"/>
      <c r="AO291" s="659"/>
      <c r="AP291" s="659"/>
      <c r="AQ291" s="659"/>
      <c r="AR291" s="659"/>
      <c r="AS291" s="659"/>
      <c r="AT291" s="659"/>
      <c r="AU291" s="659"/>
      <c r="AV291" s="659"/>
      <c r="AW291" s="658">
        <v>0</v>
      </c>
      <c r="AX291" s="658"/>
      <c r="AY291" s="658"/>
      <c r="AZ291" s="658"/>
      <c r="BA291" s="658"/>
      <c r="BB291" s="658"/>
      <c r="BC291" s="658">
        <v>0</v>
      </c>
      <c r="BD291" s="658"/>
      <c r="BE291" s="658"/>
      <c r="BF291" s="658">
        <v>182.49</v>
      </c>
      <c r="BG291" s="658"/>
      <c r="BH291" s="658"/>
      <c r="BI291" s="567">
        <v>0</v>
      </c>
      <c r="BJ291" s="567"/>
      <c r="BK291" s="567"/>
      <c r="BL291" s="567"/>
      <c r="BM291" s="660" t="s">
        <v>932</v>
      </c>
      <c r="BN291" s="660"/>
      <c r="BO291" s="660"/>
      <c r="BP291" s="660"/>
      <c r="BQ291" s="568" t="s">
        <v>932</v>
      </c>
      <c r="BR291" s="568"/>
      <c r="BS291" s="568"/>
      <c r="BT291" s="660" t="s">
        <v>932</v>
      </c>
      <c r="BU291" s="660"/>
      <c r="BV291" s="660"/>
      <c r="BW291" s="660"/>
      <c r="BX291" s="568" t="s">
        <v>932</v>
      </c>
      <c r="BY291" s="568"/>
      <c r="BZ291" s="568"/>
      <c r="CA291" s="660" t="s">
        <v>932</v>
      </c>
      <c r="CB291" s="660"/>
      <c r="CC291" s="660"/>
      <c r="CD291" s="660"/>
      <c r="CE291" s="568">
        <v>1</v>
      </c>
      <c r="CF291" s="568"/>
      <c r="CG291" s="568"/>
      <c r="CH291" s="660" t="s">
        <v>932</v>
      </c>
      <c r="CI291" s="660"/>
      <c r="CJ291" s="660"/>
      <c r="CK291" s="660"/>
      <c r="CL291" s="568" t="s">
        <v>932</v>
      </c>
      <c r="CM291" s="568"/>
      <c r="CN291" s="568"/>
    </row>
    <row r="292" hidden="1" customHeight="1" spans="1:92">
      <c r="A292" s="612"/>
      <c r="B292" s="612"/>
      <c r="C292" s="518"/>
      <c r="D292" s="518"/>
      <c r="E292" s="518"/>
      <c r="F292" s="657"/>
      <c r="G292" s="657"/>
      <c r="H292" s="657"/>
      <c r="I292" s="519"/>
      <c r="J292" s="519"/>
      <c r="K292" s="519"/>
      <c r="L292" s="519"/>
      <c r="M292" s="519"/>
      <c r="N292" s="519"/>
      <c r="O292" s="519"/>
      <c r="P292" s="519"/>
      <c r="Q292" s="519"/>
      <c r="R292" s="519"/>
      <c r="S292" s="519"/>
      <c r="T292" s="519"/>
      <c r="U292" s="519"/>
      <c r="V292" s="519"/>
      <c r="W292" s="519"/>
      <c r="X292" s="519"/>
      <c r="Y292" s="519"/>
      <c r="Z292" s="519"/>
      <c r="AA292" s="519"/>
      <c r="AB292" s="526"/>
      <c r="AC292" s="526"/>
      <c r="AD292" s="658"/>
      <c r="AE292" s="658"/>
      <c r="AF292" s="658"/>
      <c r="AG292" s="526">
        <v>0</v>
      </c>
      <c r="AH292" s="526"/>
      <c r="AI292" s="659" t="e">
        <v>#N/A</v>
      </c>
      <c r="AJ292" s="659"/>
      <c r="AK292" s="659"/>
      <c r="AL292" s="659"/>
      <c r="AM292" s="659"/>
      <c r="AN292" s="659"/>
      <c r="AO292" s="659"/>
      <c r="AP292" s="659"/>
      <c r="AQ292" s="659"/>
      <c r="AR292" s="659"/>
      <c r="AS292" s="659"/>
      <c r="AT292" s="659"/>
      <c r="AU292" s="659"/>
      <c r="AV292" s="659"/>
      <c r="AW292" s="658">
        <v>0</v>
      </c>
      <c r="AX292" s="658"/>
      <c r="AY292" s="658"/>
      <c r="AZ292" s="658"/>
      <c r="BA292" s="658"/>
      <c r="BB292" s="658"/>
      <c r="BC292" s="658">
        <v>0</v>
      </c>
      <c r="BD292" s="658"/>
      <c r="BE292" s="658"/>
      <c r="BF292" s="658">
        <v>182.49</v>
      </c>
      <c r="BG292" s="658"/>
      <c r="BH292" s="658"/>
      <c r="BI292" s="567">
        <v>0</v>
      </c>
      <c r="BJ292" s="567"/>
      <c r="BK292" s="567"/>
      <c r="BL292" s="567"/>
      <c r="BM292" s="660" t="s">
        <v>932</v>
      </c>
      <c r="BN292" s="660"/>
      <c r="BO292" s="660"/>
      <c r="BP292" s="660"/>
      <c r="BQ292" s="568" t="s">
        <v>932</v>
      </c>
      <c r="BR292" s="568"/>
      <c r="BS292" s="568"/>
      <c r="BT292" s="660" t="s">
        <v>932</v>
      </c>
      <c r="BU292" s="660"/>
      <c r="BV292" s="660"/>
      <c r="BW292" s="660"/>
      <c r="BX292" s="568" t="s">
        <v>932</v>
      </c>
      <c r="BY292" s="568"/>
      <c r="BZ292" s="568"/>
      <c r="CA292" s="660" t="s">
        <v>932</v>
      </c>
      <c r="CB292" s="660"/>
      <c r="CC292" s="660"/>
      <c r="CD292" s="660"/>
      <c r="CE292" s="568">
        <v>1</v>
      </c>
      <c r="CF292" s="568"/>
      <c r="CG292" s="568"/>
      <c r="CH292" s="660" t="s">
        <v>932</v>
      </c>
      <c r="CI292" s="660"/>
      <c r="CJ292" s="660"/>
      <c r="CK292" s="660"/>
      <c r="CL292" s="568" t="s">
        <v>932</v>
      </c>
      <c r="CM292" s="568"/>
      <c r="CN292" s="568"/>
    </row>
    <row r="293" hidden="1" customHeight="1" spans="1:92">
      <c r="A293" s="612"/>
      <c r="B293" s="612"/>
      <c r="C293" s="518"/>
      <c r="D293" s="518"/>
      <c r="E293" s="518"/>
      <c r="F293" s="657"/>
      <c r="G293" s="657"/>
      <c r="H293" s="657"/>
      <c r="I293" s="519"/>
      <c r="J293" s="519"/>
      <c r="K293" s="519"/>
      <c r="L293" s="519"/>
      <c r="M293" s="519"/>
      <c r="N293" s="519"/>
      <c r="O293" s="519"/>
      <c r="P293" s="519"/>
      <c r="Q293" s="519"/>
      <c r="R293" s="519"/>
      <c r="S293" s="519"/>
      <c r="T293" s="519"/>
      <c r="U293" s="519"/>
      <c r="V293" s="519"/>
      <c r="W293" s="519"/>
      <c r="X293" s="519"/>
      <c r="Y293" s="519"/>
      <c r="Z293" s="519"/>
      <c r="AA293" s="519"/>
      <c r="AB293" s="526"/>
      <c r="AC293" s="526"/>
      <c r="AD293" s="658"/>
      <c r="AE293" s="658"/>
      <c r="AF293" s="658"/>
      <c r="AG293" s="526">
        <v>0</v>
      </c>
      <c r="AH293" s="526"/>
      <c r="AI293" s="659" t="e">
        <v>#N/A</v>
      </c>
      <c r="AJ293" s="659"/>
      <c r="AK293" s="659"/>
      <c r="AL293" s="659"/>
      <c r="AM293" s="659"/>
      <c r="AN293" s="659"/>
      <c r="AO293" s="659"/>
      <c r="AP293" s="659"/>
      <c r="AQ293" s="659"/>
      <c r="AR293" s="659"/>
      <c r="AS293" s="659"/>
      <c r="AT293" s="659"/>
      <c r="AU293" s="659"/>
      <c r="AV293" s="659"/>
      <c r="AW293" s="658">
        <v>0</v>
      </c>
      <c r="AX293" s="658"/>
      <c r="AY293" s="658"/>
      <c r="AZ293" s="658"/>
      <c r="BA293" s="658"/>
      <c r="BB293" s="658"/>
      <c r="BC293" s="658">
        <v>0</v>
      </c>
      <c r="BD293" s="658"/>
      <c r="BE293" s="658"/>
      <c r="BF293" s="658">
        <v>182.49</v>
      </c>
      <c r="BG293" s="658"/>
      <c r="BH293" s="658"/>
      <c r="BI293" s="567">
        <v>0</v>
      </c>
      <c r="BJ293" s="567"/>
      <c r="BK293" s="567"/>
      <c r="BL293" s="567"/>
      <c r="BM293" s="660" t="s">
        <v>932</v>
      </c>
      <c r="BN293" s="660"/>
      <c r="BO293" s="660"/>
      <c r="BP293" s="660"/>
      <c r="BQ293" s="568" t="s">
        <v>932</v>
      </c>
      <c r="BR293" s="568"/>
      <c r="BS293" s="568"/>
      <c r="BT293" s="660" t="s">
        <v>932</v>
      </c>
      <c r="BU293" s="660"/>
      <c r="BV293" s="660"/>
      <c r="BW293" s="660"/>
      <c r="BX293" s="568" t="s">
        <v>932</v>
      </c>
      <c r="BY293" s="568"/>
      <c r="BZ293" s="568"/>
      <c r="CA293" s="660" t="s">
        <v>932</v>
      </c>
      <c r="CB293" s="660"/>
      <c r="CC293" s="660"/>
      <c r="CD293" s="660"/>
      <c r="CE293" s="568">
        <v>1</v>
      </c>
      <c r="CF293" s="568"/>
      <c r="CG293" s="568"/>
      <c r="CH293" s="660" t="s">
        <v>932</v>
      </c>
      <c r="CI293" s="660"/>
      <c r="CJ293" s="660"/>
      <c r="CK293" s="660"/>
      <c r="CL293" s="568" t="s">
        <v>932</v>
      </c>
      <c r="CM293" s="568"/>
      <c r="CN293" s="568"/>
    </row>
    <row r="294" hidden="1" customHeight="1" spans="1:92">
      <c r="A294" s="612"/>
      <c r="B294" s="612"/>
      <c r="C294" s="518"/>
      <c r="D294" s="518"/>
      <c r="E294" s="518"/>
      <c r="F294" s="657"/>
      <c r="G294" s="657"/>
      <c r="H294" s="657"/>
      <c r="I294" s="519"/>
      <c r="J294" s="519"/>
      <c r="K294" s="519"/>
      <c r="L294" s="519"/>
      <c r="M294" s="519"/>
      <c r="N294" s="519"/>
      <c r="O294" s="519"/>
      <c r="P294" s="519"/>
      <c r="Q294" s="519"/>
      <c r="R294" s="519"/>
      <c r="S294" s="519"/>
      <c r="T294" s="519"/>
      <c r="U294" s="519"/>
      <c r="V294" s="519"/>
      <c r="W294" s="519"/>
      <c r="X294" s="519"/>
      <c r="Y294" s="519"/>
      <c r="Z294" s="519"/>
      <c r="AA294" s="519"/>
      <c r="AB294" s="526"/>
      <c r="AC294" s="526"/>
      <c r="AD294" s="658"/>
      <c r="AE294" s="658"/>
      <c r="AF294" s="658"/>
      <c r="AG294" s="526">
        <v>0</v>
      </c>
      <c r="AH294" s="526"/>
      <c r="AI294" s="659" t="e">
        <v>#N/A</v>
      </c>
      <c r="AJ294" s="659"/>
      <c r="AK294" s="659"/>
      <c r="AL294" s="659"/>
      <c r="AM294" s="659"/>
      <c r="AN294" s="659"/>
      <c r="AO294" s="659"/>
      <c r="AP294" s="659"/>
      <c r="AQ294" s="659"/>
      <c r="AR294" s="659"/>
      <c r="AS294" s="659"/>
      <c r="AT294" s="659"/>
      <c r="AU294" s="659"/>
      <c r="AV294" s="659"/>
      <c r="AW294" s="658">
        <v>0</v>
      </c>
      <c r="AX294" s="658"/>
      <c r="AY294" s="658"/>
      <c r="AZ294" s="658"/>
      <c r="BA294" s="658"/>
      <c r="BB294" s="658"/>
      <c r="BC294" s="658">
        <v>0</v>
      </c>
      <c r="BD294" s="658"/>
      <c r="BE294" s="658"/>
      <c r="BF294" s="658">
        <v>182.49</v>
      </c>
      <c r="BG294" s="658"/>
      <c r="BH294" s="658"/>
      <c r="BI294" s="567">
        <v>0</v>
      </c>
      <c r="BJ294" s="567"/>
      <c r="BK294" s="567"/>
      <c r="BL294" s="567"/>
      <c r="BM294" s="660" t="s">
        <v>932</v>
      </c>
      <c r="BN294" s="660"/>
      <c r="BO294" s="660"/>
      <c r="BP294" s="660"/>
      <c r="BQ294" s="568" t="s">
        <v>932</v>
      </c>
      <c r="BR294" s="568"/>
      <c r="BS294" s="568"/>
      <c r="BT294" s="660" t="s">
        <v>932</v>
      </c>
      <c r="BU294" s="660"/>
      <c r="BV294" s="660"/>
      <c r="BW294" s="660"/>
      <c r="BX294" s="568" t="s">
        <v>932</v>
      </c>
      <c r="BY294" s="568"/>
      <c r="BZ294" s="568"/>
      <c r="CA294" s="660" t="s">
        <v>932</v>
      </c>
      <c r="CB294" s="660"/>
      <c r="CC294" s="660"/>
      <c r="CD294" s="660"/>
      <c r="CE294" s="568">
        <v>1</v>
      </c>
      <c r="CF294" s="568"/>
      <c r="CG294" s="568"/>
      <c r="CH294" s="660" t="s">
        <v>932</v>
      </c>
      <c r="CI294" s="660"/>
      <c r="CJ294" s="660"/>
      <c r="CK294" s="660"/>
      <c r="CL294" s="568" t="s">
        <v>932</v>
      </c>
      <c r="CM294" s="568"/>
      <c r="CN294" s="568"/>
    </row>
    <row r="295" hidden="1" customHeight="1" spans="1:92">
      <c r="A295" s="612"/>
      <c r="B295" s="612"/>
      <c r="C295" s="518"/>
      <c r="D295" s="518"/>
      <c r="E295" s="518"/>
      <c r="F295" s="657"/>
      <c r="G295" s="657"/>
      <c r="H295" s="657"/>
      <c r="I295" s="519"/>
      <c r="J295" s="519"/>
      <c r="K295" s="519"/>
      <c r="L295" s="519"/>
      <c r="M295" s="519"/>
      <c r="N295" s="519"/>
      <c r="O295" s="519"/>
      <c r="P295" s="519"/>
      <c r="Q295" s="519"/>
      <c r="R295" s="519"/>
      <c r="S295" s="519"/>
      <c r="T295" s="519"/>
      <c r="U295" s="519"/>
      <c r="V295" s="519"/>
      <c r="W295" s="519"/>
      <c r="X295" s="519"/>
      <c r="Y295" s="519"/>
      <c r="Z295" s="519"/>
      <c r="AA295" s="519"/>
      <c r="AB295" s="526"/>
      <c r="AC295" s="526"/>
      <c r="AD295" s="658"/>
      <c r="AE295" s="658"/>
      <c r="AF295" s="658"/>
      <c r="AG295" s="526">
        <v>0</v>
      </c>
      <c r="AH295" s="526"/>
      <c r="AI295" s="659" t="e">
        <v>#N/A</v>
      </c>
      <c r="AJ295" s="659"/>
      <c r="AK295" s="659"/>
      <c r="AL295" s="659"/>
      <c r="AM295" s="659"/>
      <c r="AN295" s="659"/>
      <c r="AO295" s="659"/>
      <c r="AP295" s="659"/>
      <c r="AQ295" s="659"/>
      <c r="AR295" s="659"/>
      <c r="AS295" s="659"/>
      <c r="AT295" s="659"/>
      <c r="AU295" s="659"/>
      <c r="AV295" s="659"/>
      <c r="AW295" s="658">
        <v>0</v>
      </c>
      <c r="AX295" s="658"/>
      <c r="AY295" s="658"/>
      <c r="AZ295" s="658"/>
      <c r="BA295" s="658"/>
      <c r="BB295" s="658"/>
      <c r="BC295" s="658">
        <v>0</v>
      </c>
      <c r="BD295" s="658"/>
      <c r="BE295" s="658"/>
      <c r="BF295" s="658">
        <v>182.49</v>
      </c>
      <c r="BG295" s="658"/>
      <c r="BH295" s="658"/>
      <c r="BI295" s="567">
        <v>0</v>
      </c>
      <c r="BJ295" s="567"/>
      <c r="BK295" s="567"/>
      <c r="BL295" s="567"/>
      <c r="BM295" s="660" t="s">
        <v>932</v>
      </c>
      <c r="BN295" s="660"/>
      <c r="BO295" s="660"/>
      <c r="BP295" s="660"/>
      <c r="BQ295" s="568" t="s">
        <v>932</v>
      </c>
      <c r="BR295" s="568"/>
      <c r="BS295" s="568"/>
      <c r="BT295" s="660" t="s">
        <v>932</v>
      </c>
      <c r="BU295" s="660"/>
      <c r="BV295" s="660"/>
      <c r="BW295" s="660"/>
      <c r="BX295" s="568" t="s">
        <v>932</v>
      </c>
      <c r="BY295" s="568"/>
      <c r="BZ295" s="568"/>
      <c r="CA295" s="660" t="s">
        <v>932</v>
      </c>
      <c r="CB295" s="660"/>
      <c r="CC295" s="660"/>
      <c r="CD295" s="660"/>
      <c r="CE295" s="568">
        <v>1</v>
      </c>
      <c r="CF295" s="568"/>
      <c r="CG295" s="568"/>
      <c r="CH295" s="660" t="s">
        <v>932</v>
      </c>
      <c r="CI295" s="660"/>
      <c r="CJ295" s="660"/>
      <c r="CK295" s="660"/>
      <c r="CL295" s="568" t="s">
        <v>932</v>
      </c>
      <c r="CM295" s="568"/>
      <c r="CN295" s="568"/>
    </row>
    <row r="296" customHeight="1" spans="1:92">
      <c r="A296" s="612" t="s">
        <v>977</v>
      </c>
      <c r="B296" s="612"/>
      <c r="C296" s="518"/>
      <c r="D296" s="518"/>
      <c r="E296" s="518"/>
      <c r="F296" s="657">
        <v>5502109</v>
      </c>
      <c r="G296" s="657"/>
      <c r="H296" s="657"/>
      <c r="I296" s="519" t="s">
        <v>98</v>
      </c>
      <c r="J296" s="519"/>
      <c r="K296" s="519"/>
      <c r="L296" s="519"/>
      <c r="M296" s="519"/>
      <c r="N296" s="519"/>
      <c r="O296" s="519"/>
      <c r="P296" s="519"/>
      <c r="Q296" s="519"/>
      <c r="R296" s="519"/>
      <c r="S296" s="519"/>
      <c r="T296" s="519"/>
      <c r="U296" s="519"/>
      <c r="V296" s="519"/>
      <c r="W296" s="519"/>
      <c r="X296" s="519"/>
      <c r="Y296" s="519"/>
      <c r="Z296" s="519"/>
      <c r="AA296" s="519"/>
      <c r="AB296" s="526" t="s">
        <v>99</v>
      </c>
      <c r="AC296" s="526"/>
      <c r="AD296" s="658">
        <v>59.36</v>
      </c>
      <c r="AE296" s="658"/>
      <c r="AF296" s="658"/>
      <c r="AG296" s="526" t="s">
        <v>935</v>
      </c>
      <c r="AH296" s="526"/>
      <c r="AI296" s="659" t="s">
        <v>936</v>
      </c>
      <c r="AJ296" s="659"/>
      <c r="AK296" s="659"/>
      <c r="AL296" s="659"/>
      <c r="AM296" s="659"/>
      <c r="AN296" s="659"/>
      <c r="AO296" s="659"/>
      <c r="AP296" s="659"/>
      <c r="AQ296" s="659"/>
      <c r="AR296" s="659"/>
      <c r="AS296" s="659"/>
      <c r="AT296" s="659"/>
      <c r="AU296" s="659"/>
      <c r="AV296" s="659"/>
      <c r="AW296" s="658">
        <v>1</v>
      </c>
      <c r="AX296" s="658"/>
      <c r="AY296" s="658"/>
      <c r="AZ296" s="658">
        <v>230.19</v>
      </c>
      <c r="BA296" s="658"/>
      <c r="BB296" s="658"/>
      <c r="BC296" s="658">
        <v>0.257873930231548</v>
      </c>
      <c r="BD296" s="658"/>
      <c r="BE296" s="658"/>
      <c r="BF296" s="658">
        <v>182.49</v>
      </c>
      <c r="BG296" s="658"/>
      <c r="BH296" s="658"/>
      <c r="BI296" s="567">
        <v>0.00141308526621485</v>
      </c>
      <c r="BJ296" s="567"/>
      <c r="BK296" s="567"/>
      <c r="BL296" s="567"/>
      <c r="BM296" s="660" t="s">
        <v>932</v>
      </c>
      <c r="BN296" s="660"/>
      <c r="BO296" s="660"/>
      <c r="BP296" s="660"/>
      <c r="BQ296" s="568" t="s">
        <v>932</v>
      </c>
      <c r="BR296" s="568"/>
      <c r="BS296" s="568"/>
      <c r="BT296" s="660" t="s">
        <v>932</v>
      </c>
      <c r="BU296" s="660"/>
      <c r="BV296" s="660"/>
      <c r="BW296" s="660"/>
      <c r="BX296" s="568" t="s">
        <v>932</v>
      </c>
      <c r="BY296" s="568"/>
      <c r="BZ296" s="568"/>
      <c r="CA296" s="660">
        <v>0.00141308526621485</v>
      </c>
      <c r="CB296" s="660"/>
      <c r="CC296" s="660"/>
      <c r="CD296" s="660"/>
      <c r="CE296" s="568">
        <v>1</v>
      </c>
      <c r="CF296" s="568"/>
      <c r="CG296" s="568"/>
      <c r="CH296" s="660" t="s">
        <v>932</v>
      </c>
      <c r="CI296" s="660"/>
      <c r="CJ296" s="660"/>
      <c r="CK296" s="660"/>
      <c r="CL296" s="568" t="s">
        <v>932</v>
      </c>
      <c r="CM296" s="568"/>
      <c r="CN296" s="568"/>
    </row>
    <row r="297" hidden="1" customHeight="1" spans="1:92">
      <c r="A297" s="612"/>
      <c r="B297" s="612"/>
      <c r="C297" s="518"/>
      <c r="D297" s="518"/>
      <c r="E297" s="518"/>
      <c r="F297" s="657"/>
      <c r="G297" s="657"/>
      <c r="H297" s="657"/>
      <c r="I297" s="519"/>
      <c r="J297" s="519"/>
      <c r="K297" s="519"/>
      <c r="L297" s="519"/>
      <c r="M297" s="519"/>
      <c r="N297" s="519"/>
      <c r="O297" s="519"/>
      <c r="P297" s="519"/>
      <c r="Q297" s="519"/>
      <c r="R297" s="519"/>
      <c r="S297" s="519"/>
      <c r="T297" s="519"/>
      <c r="U297" s="519"/>
      <c r="V297" s="519"/>
      <c r="W297" s="519"/>
      <c r="X297" s="519"/>
      <c r="Y297" s="519"/>
      <c r="Z297" s="519"/>
      <c r="AA297" s="519"/>
      <c r="AB297" s="526"/>
      <c r="AC297" s="526"/>
      <c r="AD297" s="658"/>
      <c r="AE297" s="658"/>
      <c r="AF297" s="658"/>
      <c r="AG297" s="526">
        <v>0</v>
      </c>
      <c r="AH297" s="526"/>
      <c r="AI297" s="659" t="e">
        <v>#N/A</v>
      </c>
      <c r="AJ297" s="659"/>
      <c r="AK297" s="659"/>
      <c r="AL297" s="659"/>
      <c r="AM297" s="659"/>
      <c r="AN297" s="659"/>
      <c r="AO297" s="659"/>
      <c r="AP297" s="659"/>
      <c r="AQ297" s="659"/>
      <c r="AR297" s="659"/>
      <c r="AS297" s="659"/>
      <c r="AT297" s="659"/>
      <c r="AU297" s="659"/>
      <c r="AV297" s="659"/>
      <c r="AW297" s="658">
        <v>0</v>
      </c>
      <c r="AX297" s="658"/>
      <c r="AY297" s="658"/>
      <c r="AZ297" s="658"/>
      <c r="BA297" s="658"/>
      <c r="BB297" s="658"/>
      <c r="BC297" s="658">
        <v>0</v>
      </c>
      <c r="BD297" s="658"/>
      <c r="BE297" s="658"/>
      <c r="BF297" s="658">
        <v>182.49</v>
      </c>
      <c r="BG297" s="658"/>
      <c r="BH297" s="658"/>
      <c r="BI297" s="567">
        <v>0</v>
      </c>
      <c r="BJ297" s="567"/>
      <c r="BK297" s="567"/>
      <c r="BL297" s="567"/>
      <c r="BM297" s="660" t="s">
        <v>932</v>
      </c>
      <c r="BN297" s="660"/>
      <c r="BO297" s="660"/>
      <c r="BP297" s="660"/>
      <c r="BQ297" s="568" t="s">
        <v>932</v>
      </c>
      <c r="BR297" s="568"/>
      <c r="BS297" s="568"/>
      <c r="BT297" s="660" t="s">
        <v>932</v>
      </c>
      <c r="BU297" s="660"/>
      <c r="BV297" s="660"/>
      <c r="BW297" s="660"/>
      <c r="BX297" s="568" t="s">
        <v>932</v>
      </c>
      <c r="BY297" s="568"/>
      <c r="BZ297" s="568"/>
      <c r="CA297" s="660" t="s">
        <v>932</v>
      </c>
      <c r="CB297" s="660"/>
      <c r="CC297" s="660"/>
      <c r="CD297" s="660"/>
      <c r="CE297" s="568">
        <v>1</v>
      </c>
      <c r="CF297" s="568"/>
      <c r="CG297" s="568"/>
      <c r="CH297" s="660" t="s">
        <v>932</v>
      </c>
      <c r="CI297" s="660"/>
      <c r="CJ297" s="660"/>
      <c r="CK297" s="660"/>
      <c r="CL297" s="568" t="s">
        <v>932</v>
      </c>
      <c r="CM297" s="568"/>
      <c r="CN297" s="568"/>
    </row>
    <row r="298" hidden="1" customHeight="1" spans="1:92">
      <c r="A298" s="612"/>
      <c r="B298" s="612"/>
      <c r="C298" s="518"/>
      <c r="D298" s="518"/>
      <c r="E298" s="518"/>
      <c r="F298" s="657"/>
      <c r="G298" s="657"/>
      <c r="H298" s="657"/>
      <c r="I298" s="519"/>
      <c r="J298" s="519"/>
      <c r="K298" s="519"/>
      <c r="L298" s="519"/>
      <c r="M298" s="519"/>
      <c r="N298" s="519"/>
      <c r="O298" s="519"/>
      <c r="P298" s="519"/>
      <c r="Q298" s="519"/>
      <c r="R298" s="519"/>
      <c r="S298" s="519"/>
      <c r="T298" s="519"/>
      <c r="U298" s="519"/>
      <c r="V298" s="519"/>
      <c r="W298" s="519"/>
      <c r="X298" s="519"/>
      <c r="Y298" s="519"/>
      <c r="Z298" s="519"/>
      <c r="AA298" s="519"/>
      <c r="AB298" s="526"/>
      <c r="AC298" s="526"/>
      <c r="AD298" s="658"/>
      <c r="AE298" s="658"/>
      <c r="AF298" s="658"/>
      <c r="AG298" s="526">
        <v>0</v>
      </c>
      <c r="AH298" s="526"/>
      <c r="AI298" s="659" t="e">
        <v>#N/A</v>
      </c>
      <c r="AJ298" s="659"/>
      <c r="AK298" s="659"/>
      <c r="AL298" s="659"/>
      <c r="AM298" s="659"/>
      <c r="AN298" s="659"/>
      <c r="AO298" s="659"/>
      <c r="AP298" s="659"/>
      <c r="AQ298" s="659"/>
      <c r="AR298" s="659"/>
      <c r="AS298" s="659"/>
      <c r="AT298" s="659"/>
      <c r="AU298" s="659"/>
      <c r="AV298" s="659"/>
      <c r="AW298" s="658">
        <v>0</v>
      </c>
      <c r="AX298" s="658"/>
      <c r="AY298" s="658"/>
      <c r="AZ298" s="658"/>
      <c r="BA298" s="658"/>
      <c r="BB298" s="658"/>
      <c r="BC298" s="658">
        <v>0</v>
      </c>
      <c r="BD298" s="658"/>
      <c r="BE298" s="658"/>
      <c r="BF298" s="658">
        <v>182.49</v>
      </c>
      <c r="BG298" s="658"/>
      <c r="BH298" s="658"/>
      <c r="BI298" s="567">
        <v>0</v>
      </c>
      <c r="BJ298" s="567"/>
      <c r="BK298" s="567"/>
      <c r="BL298" s="567"/>
      <c r="BM298" s="660" t="s">
        <v>932</v>
      </c>
      <c r="BN298" s="660"/>
      <c r="BO298" s="660"/>
      <c r="BP298" s="660"/>
      <c r="BQ298" s="568" t="s">
        <v>932</v>
      </c>
      <c r="BR298" s="568"/>
      <c r="BS298" s="568"/>
      <c r="BT298" s="660" t="s">
        <v>932</v>
      </c>
      <c r="BU298" s="660"/>
      <c r="BV298" s="660"/>
      <c r="BW298" s="660"/>
      <c r="BX298" s="568" t="s">
        <v>932</v>
      </c>
      <c r="BY298" s="568"/>
      <c r="BZ298" s="568"/>
      <c r="CA298" s="660" t="s">
        <v>932</v>
      </c>
      <c r="CB298" s="660"/>
      <c r="CC298" s="660"/>
      <c r="CD298" s="660"/>
      <c r="CE298" s="568">
        <v>1</v>
      </c>
      <c r="CF298" s="568"/>
      <c r="CG298" s="568"/>
      <c r="CH298" s="660" t="s">
        <v>932</v>
      </c>
      <c r="CI298" s="660"/>
      <c r="CJ298" s="660"/>
      <c r="CK298" s="660"/>
      <c r="CL298" s="568" t="s">
        <v>932</v>
      </c>
      <c r="CM298" s="568"/>
      <c r="CN298" s="568"/>
    </row>
    <row r="299" hidden="1" customHeight="1" spans="1:92">
      <c r="A299" s="612"/>
      <c r="B299" s="612"/>
      <c r="C299" s="518"/>
      <c r="D299" s="518"/>
      <c r="E299" s="518"/>
      <c r="F299" s="657"/>
      <c r="G299" s="657"/>
      <c r="H299" s="657"/>
      <c r="I299" s="519"/>
      <c r="J299" s="519"/>
      <c r="K299" s="519"/>
      <c r="L299" s="519"/>
      <c r="M299" s="519"/>
      <c r="N299" s="519"/>
      <c r="O299" s="519"/>
      <c r="P299" s="519"/>
      <c r="Q299" s="519"/>
      <c r="R299" s="519"/>
      <c r="S299" s="519"/>
      <c r="T299" s="519"/>
      <c r="U299" s="519"/>
      <c r="V299" s="519"/>
      <c r="W299" s="519"/>
      <c r="X299" s="519"/>
      <c r="Y299" s="519"/>
      <c r="Z299" s="519"/>
      <c r="AA299" s="519"/>
      <c r="AB299" s="526"/>
      <c r="AC299" s="526"/>
      <c r="AD299" s="658"/>
      <c r="AE299" s="658"/>
      <c r="AF299" s="658"/>
      <c r="AG299" s="526">
        <v>0</v>
      </c>
      <c r="AH299" s="526"/>
      <c r="AI299" s="659" t="e">
        <v>#N/A</v>
      </c>
      <c r="AJ299" s="659"/>
      <c r="AK299" s="659"/>
      <c r="AL299" s="659"/>
      <c r="AM299" s="659"/>
      <c r="AN299" s="659"/>
      <c r="AO299" s="659"/>
      <c r="AP299" s="659"/>
      <c r="AQ299" s="659"/>
      <c r="AR299" s="659"/>
      <c r="AS299" s="659"/>
      <c r="AT299" s="659"/>
      <c r="AU299" s="659"/>
      <c r="AV299" s="659"/>
      <c r="AW299" s="658">
        <v>0</v>
      </c>
      <c r="AX299" s="658"/>
      <c r="AY299" s="658"/>
      <c r="AZ299" s="658"/>
      <c r="BA299" s="658"/>
      <c r="BB299" s="658"/>
      <c r="BC299" s="658">
        <v>0</v>
      </c>
      <c r="BD299" s="658"/>
      <c r="BE299" s="658"/>
      <c r="BF299" s="658">
        <v>182.49</v>
      </c>
      <c r="BG299" s="658"/>
      <c r="BH299" s="658"/>
      <c r="BI299" s="567">
        <v>0</v>
      </c>
      <c r="BJ299" s="567"/>
      <c r="BK299" s="567"/>
      <c r="BL299" s="567"/>
      <c r="BM299" s="660" t="s">
        <v>932</v>
      </c>
      <c r="BN299" s="660"/>
      <c r="BO299" s="660"/>
      <c r="BP299" s="660"/>
      <c r="BQ299" s="568" t="s">
        <v>932</v>
      </c>
      <c r="BR299" s="568"/>
      <c r="BS299" s="568"/>
      <c r="BT299" s="660" t="s">
        <v>932</v>
      </c>
      <c r="BU299" s="660"/>
      <c r="BV299" s="660"/>
      <c r="BW299" s="660"/>
      <c r="BX299" s="568" t="s">
        <v>932</v>
      </c>
      <c r="BY299" s="568"/>
      <c r="BZ299" s="568"/>
      <c r="CA299" s="660" t="s">
        <v>932</v>
      </c>
      <c r="CB299" s="660"/>
      <c r="CC299" s="660"/>
      <c r="CD299" s="660"/>
      <c r="CE299" s="568">
        <v>1</v>
      </c>
      <c r="CF299" s="568"/>
      <c r="CG299" s="568"/>
      <c r="CH299" s="660" t="s">
        <v>932</v>
      </c>
      <c r="CI299" s="660"/>
      <c r="CJ299" s="660"/>
      <c r="CK299" s="660"/>
      <c r="CL299" s="568" t="s">
        <v>932</v>
      </c>
      <c r="CM299" s="568"/>
      <c r="CN299" s="568"/>
    </row>
    <row r="300" hidden="1" customHeight="1" spans="1:92">
      <c r="A300" s="612"/>
      <c r="B300" s="612"/>
      <c r="C300" s="518"/>
      <c r="D300" s="518"/>
      <c r="E300" s="518"/>
      <c r="F300" s="657"/>
      <c r="G300" s="657"/>
      <c r="H300" s="657"/>
      <c r="I300" s="519"/>
      <c r="J300" s="519"/>
      <c r="K300" s="519"/>
      <c r="L300" s="519"/>
      <c r="M300" s="519"/>
      <c r="N300" s="519"/>
      <c r="O300" s="519"/>
      <c r="P300" s="519"/>
      <c r="Q300" s="519"/>
      <c r="R300" s="519"/>
      <c r="S300" s="519"/>
      <c r="T300" s="519"/>
      <c r="U300" s="519"/>
      <c r="V300" s="519"/>
      <c r="W300" s="519"/>
      <c r="X300" s="519"/>
      <c r="Y300" s="519"/>
      <c r="Z300" s="519"/>
      <c r="AA300" s="519"/>
      <c r="AB300" s="526"/>
      <c r="AC300" s="526"/>
      <c r="AD300" s="658"/>
      <c r="AE300" s="658"/>
      <c r="AF300" s="658"/>
      <c r="AG300" s="526">
        <v>0</v>
      </c>
      <c r="AH300" s="526"/>
      <c r="AI300" s="659" t="e">
        <v>#N/A</v>
      </c>
      <c r="AJ300" s="659"/>
      <c r="AK300" s="659"/>
      <c r="AL300" s="659"/>
      <c r="AM300" s="659"/>
      <c r="AN300" s="659"/>
      <c r="AO300" s="659"/>
      <c r="AP300" s="659"/>
      <c r="AQ300" s="659"/>
      <c r="AR300" s="659"/>
      <c r="AS300" s="659"/>
      <c r="AT300" s="659"/>
      <c r="AU300" s="659"/>
      <c r="AV300" s="659"/>
      <c r="AW300" s="658">
        <v>0</v>
      </c>
      <c r="AX300" s="658"/>
      <c r="AY300" s="658"/>
      <c r="AZ300" s="658"/>
      <c r="BA300" s="658"/>
      <c r="BB300" s="658"/>
      <c r="BC300" s="658">
        <v>0</v>
      </c>
      <c r="BD300" s="658"/>
      <c r="BE300" s="658"/>
      <c r="BF300" s="658">
        <v>182.49</v>
      </c>
      <c r="BG300" s="658"/>
      <c r="BH300" s="658"/>
      <c r="BI300" s="567">
        <v>0</v>
      </c>
      <c r="BJ300" s="567"/>
      <c r="BK300" s="567"/>
      <c r="BL300" s="567"/>
      <c r="BM300" s="660" t="s">
        <v>932</v>
      </c>
      <c r="BN300" s="660"/>
      <c r="BO300" s="660"/>
      <c r="BP300" s="660"/>
      <c r="BQ300" s="568" t="s">
        <v>932</v>
      </c>
      <c r="BR300" s="568"/>
      <c r="BS300" s="568"/>
      <c r="BT300" s="660" t="s">
        <v>932</v>
      </c>
      <c r="BU300" s="660"/>
      <c r="BV300" s="660"/>
      <c r="BW300" s="660"/>
      <c r="BX300" s="568" t="s">
        <v>932</v>
      </c>
      <c r="BY300" s="568"/>
      <c r="BZ300" s="568"/>
      <c r="CA300" s="660" t="s">
        <v>932</v>
      </c>
      <c r="CB300" s="660"/>
      <c r="CC300" s="660"/>
      <c r="CD300" s="660"/>
      <c r="CE300" s="568">
        <v>1</v>
      </c>
      <c r="CF300" s="568"/>
      <c r="CG300" s="568"/>
      <c r="CH300" s="660" t="s">
        <v>932</v>
      </c>
      <c r="CI300" s="660"/>
      <c r="CJ300" s="660"/>
      <c r="CK300" s="660"/>
      <c r="CL300" s="568" t="s">
        <v>932</v>
      </c>
      <c r="CM300" s="568"/>
      <c r="CN300" s="568"/>
    </row>
    <row r="301" hidden="1" customHeight="1" spans="1:92">
      <c r="A301" s="612"/>
      <c r="B301" s="612"/>
      <c r="C301" s="518"/>
      <c r="D301" s="518"/>
      <c r="E301" s="518"/>
      <c r="F301" s="657"/>
      <c r="G301" s="657"/>
      <c r="H301" s="657"/>
      <c r="I301" s="519"/>
      <c r="J301" s="519"/>
      <c r="K301" s="519"/>
      <c r="L301" s="519"/>
      <c r="M301" s="519"/>
      <c r="N301" s="519"/>
      <c r="O301" s="519"/>
      <c r="P301" s="519"/>
      <c r="Q301" s="519"/>
      <c r="R301" s="519"/>
      <c r="S301" s="519"/>
      <c r="T301" s="519"/>
      <c r="U301" s="519"/>
      <c r="V301" s="519"/>
      <c r="W301" s="519"/>
      <c r="X301" s="519"/>
      <c r="Y301" s="519"/>
      <c r="Z301" s="519"/>
      <c r="AA301" s="519"/>
      <c r="AB301" s="526"/>
      <c r="AC301" s="526"/>
      <c r="AD301" s="658"/>
      <c r="AE301" s="658"/>
      <c r="AF301" s="658"/>
      <c r="AG301" s="526">
        <v>0</v>
      </c>
      <c r="AH301" s="526"/>
      <c r="AI301" s="659" t="e">
        <v>#N/A</v>
      </c>
      <c r="AJ301" s="659"/>
      <c r="AK301" s="659"/>
      <c r="AL301" s="659"/>
      <c r="AM301" s="659"/>
      <c r="AN301" s="659"/>
      <c r="AO301" s="659"/>
      <c r="AP301" s="659"/>
      <c r="AQ301" s="659"/>
      <c r="AR301" s="659"/>
      <c r="AS301" s="659"/>
      <c r="AT301" s="659"/>
      <c r="AU301" s="659"/>
      <c r="AV301" s="659"/>
      <c r="AW301" s="658">
        <v>0</v>
      </c>
      <c r="AX301" s="658"/>
      <c r="AY301" s="658"/>
      <c r="AZ301" s="658"/>
      <c r="BA301" s="658"/>
      <c r="BB301" s="658"/>
      <c r="BC301" s="658">
        <v>0</v>
      </c>
      <c r="BD301" s="658"/>
      <c r="BE301" s="658"/>
      <c r="BF301" s="658">
        <v>182.49</v>
      </c>
      <c r="BG301" s="658"/>
      <c r="BH301" s="658"/>
      <c r="BI301" s="567">
        <v>0</v>
      </c>
      <c r="BJ301" s="567"/>
      <c r="BK301" s="567"/>
      <c r="BL301" s="567"/>
      <c r="BM301" s="660" t="s">
        <v>932</v>
      </c>
      <c r="BN301" s="660"/>
      <c r="BO301" s="660"/>
      <c r="BP301" s="660"/>
      <c r="BQ301" s="568" t="s">
        <v>932</v>
      </c>
      <c r="BR301" s="568"/>
      <c r="BS301" s="568"/>
      <c r="BT301" s="660" t="s">
        <v>932</v>
      </c>
      <c r="BU301" s="660"/>
      <c r="BV301" s="660"/>
      <c r="BW301" s="660"/>
      <c r="BX301" s="568" t="s">
        <v>932</v>
      </c>
      <c r="BY301" s="568"/>
      <c r="BZ301" s="568"/>
      <c r="CA301" s="660" t="s">
        <v>932</v>
      </c>
      <c r="CB301" s="660"/>
      <c r="CC301" s="660"/>
      <c r="CD301" s="660"/>
      <c r="CE301" s="568">
        <v>1</v>
      </c>
      <c r="CF301" s="568"/>
      <c r="CG301" s="568"/>
      <c r="CH301" s="660" t="s">
        <v>932</v>
      </c>
      <c r="CI301" s="660"/>
      <c r="CJ301" s="660"/>
      <c r="CK301" s="660"/>
      <c r="CL301" s="568" t="s">
        <v>932</v>
      </c>
      <c r="CM301" s="568"/>
      <c r="CN301" s="568"/>
    </row>
    <row r="302" hidden="1" customHeight="1" spans="1:92">
      <c r="A302" s="612"/>
      <c r="B302" s="612"/>
      <c r="C302" s="518"/>
      <c r="D302" s="518"/>
      <c r="E302" s="518"/>
      <c r="F302" s="657"/>
      <c r="G302" s="657"/>
      <c r="H302" s="657"/>
      <c r="I302" s="519"/>
      <c r="J302" s="519"/>
      <c r="K302" s="519"/>
      <c r="L302" s="519"/>
      <c r="M302" s="519"/>
      <c r="N302" s="519"/>
      <c r="O302" s="519"/>
      <c r="P302" s="519"/>
      <c r="Q302" s="519"/>
      <c r="R302" s="519"/>
      <c r="S302" s="519"/>
      <c r="T302" s="519"/>
      <c r="U302" s="519"/>
      <c r="V302" s="519"/>
      <c r="W302" s="519"/>
      <c r="X302" s="519"/>
      <c r="Y302" s="519"/>
      <c r="Z302" s="519"/>
      <c r="AA302" s="519"/>
      <c r="AB302" s="526"/>
      <c r="AC302" s="526"/>
      <c r="AD302" s="658"/>
      <c r="AE302" s="658"/>
      <c r="AF302" s="658"/>
      <c r="AG302" s="526">
        <v>0</v>
      </c>
      <c r="AH302" s="526"/>
      <c r="AI302" s="659" t="e">
        <v>#N/A</v>
      </c>
      <c r="AJ302" s="659"/>
      <c r="AK302" s="659"/>
      <c r="AL302" s="659"/>
      <c r="AM302" s="659"/>
      <c r="AN302" s="659"/>
      <c r="AO302" s="659"/>
      <c r="AP302" s="659"/>
      <c r="AQ302" s="659"/>
      <c r="AR302" s="659"/>
      <c r="AS302" s="659"/>
      <c r="AT302" s="659"/>
      <c r="AU302" s="659"/>
      <c r="AV302" s="659"/>
      <c r="AW302" s="658">
        <v>0</v>
      </c>
      <c r="AX302" s="658"/>
      <c r="AY302" s="658"/>
      <c r="AZ302" s="658"/>
      <c r="BA302" s="658"/>
      <c r="BB302" s="658"/>
      <c r="BC302" s="658">
        <v>0</v>
      </c>
      <c r="BD302" s="658"/>
      <c r="BE302" s="658"/>
      <c r="BF302" s="658">
        <v>182.49</v>
      </c>
      <c r="BG302" s="658"/>
      <c r="BH302" s="658"/>
      <c r="BI302" s="567">
        <v>0</v>
      </c>
      <c r="BJ302" s="567"/>
      <c r="BK302" s="567"/>
      <c r="BL302" s="567"/>
      <c r="BM302" s="660" t="s">
        <v>932</v>
      </c>
      <c r="BN302" s="660"/>
      <c r="BO302" s="660"/>
      <c r="BP302" s="660"/>
      <c r="BQ302" s="568" t="s">
        <v>932</v>
      </c>
      <c r="BR302" s="568"/>
      <c r="BS302" s="568"/>
      <c r="BT302" s="660" t="s">
        <v>932</v>
      </c>
      <c r="BU302" s="660"/>
      <c r="BV302" s="660"/>
      <c r="BW302" s="660"/>
      <c r="BX302" s="568" t="s">
        <v>932</v>
      </c>
      <c r="BY302" s="568"/>
      <c r="BZ302" s="568"/>
      <c r="CA302" s="660" t="s">
        <v>932</v>
      </c>
      <c r="CB302" s="660"/>
      <c r="CC302" s="660"/>
      <c r="CD302" s="660"/>
      <c r="CE302" s="568">
        <v>1</v>
      </c>
      <c r="CF302" s="568"/>
      <c r="CG302" s="568"/>
      <c r="CH302" s="660" t="s">
        <v>932</v>
      </c>
      <c r="CI302" s="660"/>
      <c r="CJ302" s="660"/>
      <c r="CK302" s="660"/>
      <c r="CL302" s="568" t="s">
        <v>932</v>
      </c>
      <c r="CM302" s="568"/>
      <c r="CN302" s="568"/>
    </row>
    <row r="303" hidden="1" customHeight="1" spans="1:92">
      <c r="A303" s="612"/>
      <c r="B303" s="612"/>
      <c r="C303" s="518"/>
      <c r="D303" s="518"/>
      <c r="E303" s="518"/>
      <c r="F303" s="657"/>
      <c r="G303" s="657"/>
      <c r="H303" s="657"/>
      <c r="I303" s="519"/>
      <c r="J303" s="519"/>
      <c r="K303" s="519"/>
      <c r="L303" s="519"/>
      <c r="M303" s="519"/>
      <c r="N303" s="519"/>
      <c r="O303" s="519"/>
      <c r="P303" s="519"/>
      <c r="Q303" s="519"/>
      <c r="R303" s="519"/>
      <c r="S303" s="519"/>
      <c r="T303" s="519"/>
      <c r="U303" s="519"/>
      <c r="V303" s="519"/>
      <c r="W303" s="519"/>
      <c r="X303" s="519"/>
      <c r="Y303" s="519"/>
      <c r="Z303" s="519"/>
      <c r="AA303" s="519"/>
      <c r="AB303" s="526"/>
      <c r="AC303" s="526"/>
      <c r="AD303" s="658"/>
      <c r="AE303" s="658"/>
      <c r="AF303" s="658"/>
      <c r="AG303" s="526">
        <v>0</v>
      </c>
      <c r="AH303" s="526"/>
      <c r="AI303" s="659" t="e">
        <v>#N/A</v>
      </c>
      <c r="AJ303" s="659"/>
      <c r="AK303" s="659"/>
      <c r="AL303" s="659"/>
      <c r="AM303" s="659"/>
      <c r="AN303" s="659"/>
      <c r="AO303" s="659"/>
      <c r="AP303" s="659"/>
      <c r="AQ303" s="659"/>
      <c r="AR303" s="659"/>
      <c r="AS303" s="659"/>
      <c r="AT303" s="659"/>
      <c r="AU303" s="659"/>
      <c r="AV303" s="659"/>
      <c r="AW303" s="658">
        <v>0</v>
      </c>
      <c r="AX303" s="658"/>
      <c r="AY303" s="658"/>
      <c r="AZ303" s="658"/>
      <c r="BA303" s="658"/>
      <c r="BB303" s="658"/>
      <c r="BC303" s="658">
        <v>0</v>
      </c>
      <c r="BD303" s="658"/>
      <c r="BE303" s="658"/>
      <c r="BF303" s="658">
        <v>182.49</v>
      </c>
      <c r="BG303" s="658"/>
      <c r="BH303" s="658"/>
      <c r="BI303" s="567">
        <v>0</v>
      </c>
      <c r="BJ303" s="567"/>
      <c r="BK303" s="567"/>
      <c r="BL303" s="567"/>
      <c r="BM303" s="660" t="s">
        <v>932</v>
      </c>
      <c r="BN303" s="660"/>
      <c r="BO303" s="660"/>
      <c r="BP303" s="660"/>
      <c r="BQ303" s="568" t="s">
        <v>932</v>
      </c>
      <c r="BR303" s="568"/>
      <c r="BS303" s="568"/>
      <c r="BT303" s="660" t="s">
        <v>932</v>
      </c>
      <c r="BU303" s="660"/>
      <c r="BV303" s="660"/>
      <c r="BW303" s="660"/>
      <c r="BX303" s="568" t="s">
        <v>932</v>
      </c>
      <c r="BY303" s="568"/>
      <c r="BZ303" s="568"/>
      <c r="CA303" s="660" t="s">
        <v>932</v>
      </c>
      <c r="CB303" s="660"/>
      <c r="CC303" s="660"/>
      <c r="CD303" s="660"/>
      <c r="CE303" s="568">
        <v>1</v>
      </c>
      <c r="CF303" s="568"/>
      <c r="CG303" s="568"/>
      <c r="CH303" s="660" t="s">
        <v>932</v>
      </c>
      <c r="CI303" s="660"/>
      <c r="CJ303" s="660"/>
      <c r="CK303" s="660"/>
      <c r="CL303" s="568" t="s">
        <v>932</v>
      </c>
      <c r="CM303" s="568"/>
      <c r="CN303" s="568"/>
    </row>
    <row r="304" customHeight="1" spans="1:92">
      <c r="A304" s="612" t="s">
        <v>978</v>
      </c>
      <c r="B304" s="612"/>
      <c r="C304" s="518"/>
      <c r="D304" s="518"/>
      <c r="E304" s="518"/>
      <c r="F304" s="657">
        <v>1100657</v>
      </c>
      <c r="G304" s="657"/>
      <c r="H304" s="657"/>
      <c r="I304" s="519" t="s">
        <v>114</v>
      </c>
      <c r="J304" s="519"/>
      <c r="K304" s="519"/>
      <c r="L304" s="519"/>
      <c r="M304" s="519"/>
      <c r="N304" s="519"/>
      <c r="O304" s="519"/>
      <c r="P304" s="519"/>
      <c r="Q304" s="519"/>
      <c r="R304" s="519"/>
      <c r="S304" s="519"/>
      <c r="T304" s="519"/>
      <c r="U304" s="519"/>
      <c r="V304" s="519"/>
      <c r="W304" s="519"/>
      <c r="X304" s="519"/>
      <c r="Y304" s="519"/>
      <c r="Z304" s="519"/>
      <c r="AA304" s="519"/>
      <c r="AB304" s="526" t="s">
        <v>99</v>
      </c>
      <c r="AC304" s="526"/>
      <c r="AD304" s="658">
        <v>4.8</v>
      </c>
      <c r="AE304" s="658"/>
      <c r="AF304" s="658"/>
      <c r="AG304" s="526" t="s">
        <v>935</v>
      </c>
      <c r="AH304" s="526"/>
      <c r="AI304" s="659" t="s">
        <v>936</v>
      </c>
      <c r="AJ304" s="659"/>
      <c r="AK304" s="659"/>
      <c r="AL304" s="659"/>
      <c r="AM304" s="659"/>
      <c r="AN304" s="659"/>
      <c r="AO304" s="659"/>
      <c r="AP304" s="659"/>
      <c r="AQ304" s="659"/>
      <c r="AR304" s="659"/>
      <c r="AS304" s="659"/>
      <c r="AT304" s="659"/>
      <c r="AU304" s="659"/>
      <c r="AV304" s="659"/>
      <c r="AW304" s="658">
        <v>1</v>
      </c>
      <c r="AX304" s="658"/>
      <c r="AY304" s="658"/>
      <c r="AZ304" s="658">
        <v>9</v>
      </c>
      <c r="BA304" s="658"/>
      <c r="BB304" s="658"/>
      <c r="BC304" s="658">
        <v>0.533333333333333</v>
      </c>
      <c r="BD304" s="658"/>
      <c r="BE304" s="658"/>
      <c r="BF304" s="658">
        <v>182.49</v>
      </c>
      <c r="BG304" s="658"/>
      <c r="BH304" s="658"/>
      <c r="BI304" s="567">
        <v>0.00292253456810419</v>
      </c>
      <c r="BJ304" s="567"/>
      <c r="BK304" s="567"/>
      <c r="BL304" s="567"/>
      <c r="BM304" s="660" t="s">
        <v>932</v>
      </c>
      <c r="BN304" s="660"/>
      <c r="BO304" s="660"/>
      <c r="BP304" s="660"/>
      <c r="BQ304" s="568" t="s">
        <v>932</v>
      </c>
      <c r="BR304" s="568"/>
      <c r="BS304" s="568"/>
      <c r="BT304" s="660" t="s">
        <v>932</v>
      </c>
      <c r="BU304" s="660"/>
      <c r="BV304" s="660"/>
      <c r="BW304" s="660"/>
      <c r="BX304" s="568" t="s">
        <v>932</v>
      </c>
      <c r="BY304" s="568"/>
      <c r="BZ304" s="568"/>
      <c r="CA304" s="660">
        <v>0.00292253456810419</v>
      </c>
      <c r="CB304" s="660"/>
      <c r="CC304" s="660"/>
      <c r="CD304" s="660"/>
      <c r="CE304" s="568">
        <v>1</v>
      </c>
      <c r="CF304" s="568"/>
      <c r="CG304" s="568"/>
      <c r="CH304" s="660" t="s">
        <v>932</v>
      </c>
      <c r="CI304" s="660"/>
      <c r="CJ304" s="660"/>
      <c r="CK304" s="660"/>
      <c r="CL304" s="568" t="s">
        <v>932</v>
      </c>
      <c r="CM304" s="568"/>
      <c r="CN304" s="568"/>
    </row>
    <row r="305" hidden="1" customHeight="1" spans="1:92">
      <c r="A305" s="612"/>
      <c r="B305" s="612"/>
      <c r="C305" s="518"/>
      <c r="D305" s="518"/>
      <c r="E305" s="518"/>
      <c r="F305" s="657"/>
      <c r="G305" s="657"/>
      <c r="H305" s="657"/>
      <c r="I305" s="519"/>
      <c r="J305" s="519"/>
      <c r="K305" s="519"/>
      <c r="L305" s="519"/>
      <c r="M305" s="519"/>
      <c r="N305" s="519"/>
      <c r="O305" s="519"/>
      <c r="P305" s="519"/>
      <c r="Q305" s="519"/>
      <c r="R305" s="519"/>
      <c r="S305" s="519"/>
      <c r="T305" s="519"/>
      <c r="U305" s="519"/>
      <c r="V305" s="519"/>
      <c r="W305" s="519"/>
      <c r="X305" s="519"/>
      <c r="Y305" s="519"/>
      <c r="Z305" s="519"/>
      <c r="AA305" s="519"/>
      <c r="AB305" s="526"/>
      <c r="AC305" s="526"/>
      <c r="AD305" s="658"/>
      <c r="AE305" s="658"/>
      <c r="AF305" s="658"/>
      <c r="AG305" s="526">
        <v>0</v>
      </c>
      <c r="AH305" s="526"/>
      <c r="AI305" s="659" t="e">
        <v>#N/A</v>
      </c>
      <c r="AJ305" s="659"/>
      <c r="AK305" s="659"/>
      <c r="AL305" s="659"/>
      <c r="AM305" s="659"/>
      <c r="AN305" s="659"/>
      <c r="AO305" s="659"/>
      <c r="AP305" s="659"/>
      <c r="AQ305" s="659"/>
      <c r="AR305" s="659"/>
      <c r="AS305" s="659"/>
      <c r="AT305" s="659"/>
      <c r="AU305" s="659"/>
      <c r="AV305" s="659"/>
      <c r="AW305" s="658">
        <v>0</v>
      </c>
      <c r="AX305" s="658"/>
      <c r="AY305" s="658"/>
      <c r="AZ305" s="658"/>
      <c r="BA305" s="658"/>
      <c r="BB305" s="658"/>
      <c r="BC305" s="658">
        <v>0</v>
      </c>
      <c r="BD305" s="658"/>
      <c r="BE305" s="658"/>
      <c r="BF305" s="658">
        <v>182.49</v>
      </c>
      <c r="BG305" s="658"/>
      <c r="BH305" s="658"/>
      <c r="BI305" s="567">
        <v>0</v>
      </c>
      <c r="BJ305" s="567"/>
      <c r="BK305" s="567"/>
      <c r="BL305" s="567"/>
      <c r="BM305" s="660" t="s">
        <v>932</v>
      </c>
      <c r="BN305" s="660"/>
      <c r="BO305" s="660"/>
      <c r="BP305" s="660"/>
      <c r="BQ305" s="568" t="s">
        <v>932</v>
      </c>
      <c r="BR305" s="568"/>
      <c r="BS305" s="568"/>
      <c r="BT305" s="660" t="s">
        <v>932</v>
      </c>
      <c r="BU305" s="660"/>
      <c r="BV305" s="660"/>
      <c r="BW305" s="660"/>
      <c r="BX305" s="568" t="s">
        <v>932</v>
      </c>
      <c r="BY305" s="568"/>
      <c r="BZ305" s="568"/>
      <c r="CA305" s="660" t="s">
        <v>932</v>
      </c>
      <c r="CB305" s="660"/>
      <c r="CC305" s="660"/>
      <c r="CD305" s="660"/>
      <c r="CE305" s="568">
        <v>1</v>
      </c>
      <c r="CF305" s="568"/>
      <c r="CG305" s="568"/>
      <c r="CH305" s="660" t="s">
        <v>932</v>
      </c>
      <c r="CI305" s="660"/>
      <c r="CJ305" s="660"/>
      <c r="CK305" s="660"/>
      <c r="CL305" s="568" t="s">
        <v>932</v>
      </c>
      <c r="CM305" s="568"/>
      <c r="CN305" s="568"/>
    </row>
    <row r="306" hidden="1" customHeight="1" spans="1:92">
      <c r="A306" s="612"/>
      <c r="B306" s="612"/>
      <c r="C306" s="518"/>
      <c r="D306" s="518"/>
      <c r="E306" s="518"/>
      <c r="F306" s="657"/>
      <c r="G306" s="657"/>
      <c r="H306" s="657"/>
      <c r="I306" s="519"/>
      <c r="J306" s="519"/>
      <c r="K306" s="519"/>
      <c r="L306" s="519"/>
      <c r="M306" s="519"/>
      <c r="N306" s="519"/>
      <c r="O306" s="519"/>
      <c r="P306" s="519"/>
      <c r="Q306" s="519"/>
      <c r="R306" s="519"/>
      <c r="S306" s="519"/>
      <c r="T306" s="519"/>
      <c r="U306" s="519"/>
      <c r="V306" s="519"/>
      <c r="W306" s="519"/>
      <c r="X306" s="519"/>
      <c r="Y306" s="519"/>
      <c r="Z306" s="519"/>
      <c r="AA306" s="519"/>
      <c r="AB306" s="526"/>
      <c r="AC306" s="526"/>
      <c r="AD306" s="658"/>
      <c r="AE306" s="658"/>
      <c r="AF306" s="658"/>
      <c r="AG306" s="526">
        <v>0</v>
      </c>
      <c r="AH306" s="526"/>
      <c r="AI306" s="659" t="e">
        <v>#N/A</v>
      </c>
      <c r="AJ306" s="659"/>
      <c r="AK306" s="659"/>
      <c r="AL306" s="659"/>
      <c r="AM306" s="659"/>
      <c r="AN306" s="659"/>
      <c r="AO306" s="659"/>
      <c r="AP306" s="659"/>
      <c r="AQ306" s="659"/>
      <c r="AR306" s="659"/>
      <c r="AS306" s="659"/>
      <c r="AT306" s="659"/>
      <c r="AU306" s="659"/>
      <c r="AV306" s="659"/>
      <c r="AW306" s="658">
        <v>0</v>
      </c>
      <c r="AX306" s="658"/>
      <c r="AY306" s="658"/>
      <c r="AZ306" s="658"/>
      <c r="BA306" s="658"/>
      <c r="BB306" s="658"/>
      <c r="BC306" s="658">
        <v>0</v>
      </c>
      <c r="BD306" s="658"/>
      <c r="BE306" s="658"/>
      <c r="BF306" s="658">
        <v>182.49</v>
      </c>
      <c r="BG306" s="658"/>
      <c r="BH306" s="658"/>
      <c r="BI306" s="567">
        <v>0</v>
      </c>
      <c r="BJ306" s="567"/>
      <c r="BK306" s="567"/>
      <c r="BL306" s="567"/>
      <c r="BM306" s="660" t="s">
        <v>932</v>
      </c>
      <c r="BN306" s="660"/>
      <c r="BO306" s="660"/>
      <c r="BP306" s="660"/>
      <c r="BQ306" s="568" t="s">
        <v>932</v>
      </c>
      <c r="BR306" s="568"/>
      <c r="BS306" s="568"/>
      <c r="BT306" s="660" t="s">
        <v>932</v>
      </c>
      <c r="BU306" s="660"/>
      <c r="BV306" s="660"/>
      <c r="BW306" s="660"/>
      <c r="BX306" s="568" t="s">
        <v>932</v>
      </c>
      <c r="BY306" s="568"/>
      <c r="BZ306" s="568"/>
      <c r="CA306" s="660" t="s">
        <v>932</v>
      </c>
      <c r="CB306" s="660"/>
      <c r="CC306" s="660"/>
      <c r="CD306" s="660"/>
      <c r="CE306" s="568">
        <v>1</v>
      </c>
      <c r="CF306" s="568"/>
      <c r="CG306" s="568"/>
      <c r="CH306" s="660" t="s">
        <v>932</v>
      </c>
      <c r="CI306" s="660"/>
      <c r="CJ306" s="660"/>
      <c r="CK306" s="660"/>
      <c r="CL306" s="568" t="s">
        <v>932</v>
      </c>
      <c r="CM306" s="568"/>
      <c r="CN306" s="568"/>
    </row>
    <row r="307" hidden="1" customHeight="1" spans="1:92">
      <c r="A307" s="612"/>
      <c r="B307" s="612"/>
      <c r="C307" s="518"/>
      <c r="D307" s="518"/>
      <c r="E307" s="518"/>
      <c r="F307" s="657"/>
      <c r="G307" s="657"/>
      <c r="H307" s="657"/>
      <c r="I307" s="519"/>
      <c r="J307" s="519"/>
      <c r="K307" s="519"/>
      <c r="L307" s="519"/>
      <c r="M307" s="519"/>
      <c r="N307" s="519"/>
      <c r="O307" s="519"/>
      <c r="P307" s="519"/>
      <c r="Q307" s="519"/>
      <c r="R307" s="519"/>
      <c r="S307" s="519"/>
      <c r="T307" s="519"/>
      <c r="U307" s="519"/>
      <c r="V307" s="519"/>
      <c r="W307" s="519"/>
      <c r="X307" s="519"/>
      <c r="Y307" s="519"/>
      <c r="Z307" s="519"/>
      <c r="AA307" s="519"/>
      <c r="AB307" s="526"/>
      <c r="AC307" s="526"/>
      <c r="AD307" s="658"/>
      <c r="AE307" s="658"/>
      <c r="AF307" s="658"/>
      <c r="AG307" s="526">
        <v>0</v>
      </c>
      <c r="AH307" s="526"/>
      <c r="AI307" s="659" t="e">
        <v>#N/A</v>
      </c>
      <c r="AJ307" s="659"/>
      <c r="AK307" s="659"/>
      <c r="AL307" s="659"/>
      <c r="AM307" s="659"/>
      <c r="AN307" s="659"/>
      <c r="AO307" s="659"/>
      <c r="AP307" s="659"/>
      <c r="AQ307" s="659"/>
      <c r="AR307" s="659"/>
      <c r="AS307" s="659"/>
      <c r="AT307" s="659"/>
      <c r="AU307" s="659"/>
      <c r="AV307" s="659"/>
      <c r="AW307" s="658">
        <v>0</v>
      </c>
      <c r="AX307" s="658"/>
      <c r="AY307" s="658"/>
      <c r="AZ307" s="658"/>
      <c r="BA307" s="658"/>
      <c r="BB307" s="658"/>
      <c r="BC307" s="658">
        <v>0</v>
      </c>
      <c r="BD307" s="658"/>
      <c r="BE307" s="658"/>
      <c r="BF307" s="658">
        <v>182.49</v>
      </c>
      <c r="BG307" s="658"/>
      <c r="BH307" s="658"/>
      <c r="BI307" s="567">
        <v>0</v>
      </c>
      <c r="BJ307" s="567"/>
      <c r="BK307" s="567"/>
      <c r="BL307" s="567"/>
      <c r="BM307" s="660" t="s">
        <v>932</v>
      </c>
      <c r="BN307" s="660"/>
      <c r="BO307" s="660"/>
      <c r="BP307" s="660"/>
      <c r="BQ307" s="568" t="s">
        <v>932</v>
      </c>
      <c r="BR307" s="568"/>
      <c r="BS307" s="568"/>
      <c r="BT307" s="660" t="s">
        <v>932</v>
      </c>
      <c r="BU307" s="660"/>
      <c r="BV307" s="660"/>
      <c r="BW307" s="660"/>
      <c r="BX307" s="568" t="s">
        <v>932</v>
      </c>
      <c r="BY307" s="568"/>
      <c r="BZ307" s="568"/>
      <c r="CA307" s="660" t="s">
        <v>932</v>
      </c>
      <c r="CB307" s="660"/>
      <c r="CC307" s="660"/>
      <c r="CD307" s="660"/>
      <c r="CE307" s="568">
        <v>1</v>
      </c>
      <c r="CF307" s="568"/>
      <c r="CG307" s="568"/>
      <c r="CH307" s="660" t="s">
        <v>932</v>
      </c>
      <c r="CI307" s="660"/>
      <c r="CJ307" s="660"/>
      <c r="CK307" s="660"/>
      <c r="CL307" s="568" t="s">
        <v>932</v>
      </c>
      <c r="CM307" s="568"/>
      <c r="CN307" s="568"/>
    </row>
    <row r="308" hidden="1" customHeight="1" spans="1:92">
      <c r="A308" s="612"/>
      <c r="B308" s="612"/>
      <c r="C308" s="518"/>
      <c r="D308" s="518"/>
      <c r="E308" s="518"/>
      <c r="F308" s="657"/>
      <c r="G308" s="657"/>
      <c r="H308" s="657"/>
      <c r="I308" s="519"/>
      <c r="J308" s="519"/>
      <c r="K308" s="519"/>
      <c r="L308" s="519"/>
      <c r="M308" s="519"/>
      <c r="N308" s="519"/>
      <c r="O308" s="519"/>
      <c r="P308" s="519"/>
      <c r="Q308" s="519"/>
      <c r="R308" s="519"/>
      <c r="S308" s="519"/>
      <c r="T308" s="519"/>
      <c r="U308" s="519"/>
      <c r="V308" s="519"/>
      <c r="W308" s="519"/>
      <c r="X308" s="519"/>
      <c r="Y308" s="519"/>
      <c r="Z308" s="519"/>
      <c r="AA308" s="519"/>
      <c r="AB308" s="526"/>
      <c r="AC308" s="526"/>
      <c r="AD308" s="658"/>
      <c r="AE308" s="658"/>
      <c r="AF308" s="658"/>
      <c r="AG308" s="526">
        <v>0</v>
      </c>
      <c r="AH308" s="526"/>
      <c r="AI308" s="659" t="e">
        <v>#N/A</v>
      </c>
      <c r="AJ308" s="659"/>
      <c r="AK308" s="659"/>
      <c r="AL308" s="659"/>
      <c r="AM308" s="659"/>
      <c r="AN308" s="659"/>
      <c r="AO308" s="659"/>
      <c r="AP308" s="659"/>
      <c r="AQ308" s="659"/>
      <c r="AR308" s="659"/>
      <c r="AS308" s="659"/>
      <c r="AT308" s="659"/>
      <c r="AU308" s="659"/>
      <c r="AV308" s="659"/>
      <c r="AW308" s="658">
        <v>0</v>
      </c>
      <c r="AX308" s="658"/>
      <c r="AY308" s="658"/>
      <c r="AZ308" s="658"/>
      <c r="BA308" s="658"/>
      <c r="BB308" s="658"/>
      <c r="BC308" s="658">
        <v>0</v>
      </c>
      <c r="BD308" s="658"/>
      <c r="BE308" s="658"/>
      <c r="BF308" s="658">
        <v>182.49</v>
      </c>
      <c r="BG308" s="658"/>
      <c r="BH308" s="658"/>
      <c r="BI308" s="567">
        <v>0</v>
      </c>
      <c r="BJ308" s="567"/>
      <c r="BK308" s="567"/>
      <c r="BL308" s="567"/>
      <c r="BM308" s="660" t="s">
        <v>932</v>
      </c>
      <c r="BN308" s="660"/>
      <c r="BO308" s="660"/>
      <c r="BP308" s="660"/>
      <c r="BQ308" s="568" t="s">
        <v>932</v>
      </c>
      <c r="BR308" s="568"/>
      <c r="BS308" s="568"/>
      <c r="BT308" s="660" t="s">
        <v>932</v>
      </c>
      <c r="BU308" s="660"/>
      <c r="BV308" s="660"/>
      <c r="BW308" s="660"/>
      <c r="BX308" s="568" t="s">
        <v>932</v>
      </c>
      <c r="BY308" s="568"/>
      <c r="BZ308" s="568"/>
      <c r="CA308" s="660" t="s">
        <v>932</v>
      </c>
      <c r="CB308" s="660"/>
      <c r="CC308" s="660"/>
      <c r="CD308" s="660"/>
      <c r="CE308" s="568">
        <v>1</v>
      </c>
      <c r="CF308" s="568"/>
      <c r="CG308" s="568"/>
      <c r="CH308" s="660" t="s">
        <v>932</v>
      </c>
      <c r="CI308" s="660"/>
      <c r="CJ308" s="660"/>
      <c r="CK308" s="660"/>
      <c r="CL308" s="568" t="s">
        <v>932</v>
      </c>
      <c r="CM308" s="568"/>
      <c r="CN308" s="568"/>
    </row>
    <row r="309" hidden="1" customHeight="1" spans="1:92">
      <c r="A309" s="612"/>
      <c r="B309" s="612"/>
      <c r="C309" s="518"/>
      <c r="D309" s="518"/>
      <c r="E309" s="518"/>
      <c r="F309" s="657"/>
      <c r="G309" s="657"/>
      <c r="H309" s="657"/>
      <c r="I309" s="519"/>
      <c r="J309" s="519"/>
      <c r="K309" s="519"/>
      <c r="L309" s="519"/>
      <c r="M309" s="519"/>
      <c r="N309" s="519"/>
      <c r="O309" s="519"/>
      <c r="P309" s="519"/>
      <c r="Q309" s="519"/>
      <c r="R309" s="519"/>
      <c r="S309" s="519"/>
      <c r="T309" s="519"/>
      <c r="U309" s="519"/>
      <c r="V309" s="519"/>
      <c r="W309" s="519"/>
      <c r="X309" s="519"/>
      <c r="Y309" s="519"/>
      <c r="Z309" s="519"/>
      <c r="AA309" s="519"/>
      <c r="AB309" s="526"/>
      <c r="AC309" s="526"/>
      <c r="AD309" s="658"/>
      <c r="AE309" s="658"/>
      <c r="AF309" s="658"/>
      <c r="AG309" s="526">
        <v>0</v>
      </c>
      <c r="AH309" s="526"/>
      <c r="AI309" s="659" t="e">
        <v>#N/A</v>
      </c>
      <c r="AJ309" s="659"/>
      <c r="AK309" s="659"/>
      <c r="AL309" s="659"/>
      <c r="AM309" s="659"/>
      <c r="AN309" s="659"/>
      <c r="AO309" s="659"/>
      <c r="AP309" s="659"/>
      <c r="AQ309" s="659"/>
      <c r="AR309" s="659"/>
      <c r="AS309" s="659"/>
      <c r="AT309" s="659"/>
      <c r="AU309" s="659"/>
      <c r="AV309" s="659"/>
      <c r="AW309" s="658">
        <v>0</v>
      </c>
      <c r="AX309" s="658"/>
      <c r="AY309" s="658"/>
      <c r="AZ309" s="658"/>
      <c r="BA309" s="658"/>
      <c r="BB309" s="658"/>
      <c r="BC309" s="658">
        <v>0</v>
      </c>
      <c r="BD309" s="658"/>
      <c r="BE309" s="658"/>
      <c r="BF309" s="658">
        <v>182.49</v>
      </c>
      <c r="BG309" s="658"/>
      <c r="BH309" s="658"/>
      <c r="BI309" s="567">
        <v>0</v>
      </c>
      <c r="BJ309" s="567"/>
      <c r="BK309" s="567"/>
      <c r="BL309" s="567"/>
      <c r="BM309" s="660" t="s">
        <v>932</v>
      </c>
      <c r="BN309" s="660"/>
      <c r="BO309" s="660"/>
      <c r="BP309" s="660"/>
      <c r="BQ309" s="568" t="s">
        <v>932</v>
      </c>
      <c r="BR309" s="568"/>
      <c r="BS309" s="568"/>
      <c r="BT309" s="660" t="s">
        <v>932</v>
      </c>
      <c r="BU309" s="660"/>
      <c r="BV309" s="660"/>
      <c r="BW309" s="660"/>
      <c r="BX309" s="568" t="s">
        <v>932</v>
      </c>
      <c r="BY309" s="568"/>
      <c r="BZ309" s="568"/>
      <c r="CA309" s="660" t="s">
        <v>932</v>
      </c>
      <c r="CB309" s="660"/>
      <c r="CC309" s="660"/>
      <c r="CD309" s="660"/>
      <c r="CE309" s="568">
        <v>1</v>
      </c>
      <c r="CF309" s="568"/>
      <c r="CG309" s="568"/>
      <c r="CH309" s="660" t="s">
        <v>932</v>
      </c>
      <c r="CI309" s="660"/>
      <c r="CJ309" s="660"/>
      <c r="CK309" s="660"/>
      <c r="CL309" s="568" t="s">
        <v>932</v>
      </c>
      <c r="CM309" s="568"/>
      <c r="CN309" s="568"/>
    </row>
    <row r="310" hidden="1" customHeight="1" spans="1:92">
      <c r="A310" s="612"/>
      <c r="B310" s="612"/>
      <c r="C310" s="518"/>
      <c r="D310" s="518"/>
      <c r="E310" s="518"/>
      <c r="F310" s="657"/>
      <c r="G310" s="657"/>
      <c r="H310" s="657"/>
      <c r="I310" s="519"/>
      <c r="J310" s="519"/>
      <c r="K310" s="519"/>
      <c r="L310" s="519"/>
      <c r="M310" s="519"/>
      <c r="N310" s="519"/>
      <c r="O310" s="519"/>
      <c r="P310" s="519"/>
      <c r="Q310" s="519"/>
      <c r="R310" s="519"/>
      <c r="S310" s="519"/>
      <c r="T310" s="519"/>
      <c r="U310" s="519"/>
      <c r="V310" s="519"/>
      <c r="W310" s="519"/>
      <c r="X310" s="519"/>
      <c r="Y310" s="519"/>
      <c r="Z310" s="519"/>
      <c r="AA310" s="519"/>
      <c r="AB310" s="526"/>
      <c r="AC310" s="526"/>
      <c r="AD310" s="658"/>
      <c r="AE310" s="658"/>
      <c r="AF310" s="658"/>
      <c r="AG310" s="526">
        <v>0</v>
      </c>
      <c r="AH310" s="526"/>
      <c r="AI310" s="659" t="e">
        <v>#N/A</v>
      </c>
      <c r="AJ310" s="659"/>
      <c r="AK310" s="659"/>
      <c r="AL310" s="659"/>
      <c r="AM310" s="659"/>
      <c r="AN310" s="659"/>
      <c r="AO310" s="659"/>
      <c r="AP310" s="659"/>
      <c r="AQ310" s="659"/>
      <c r="AR310" s="659"/>
      <c r="AS310" s="659"/>
      <c r="AT310" s="659"/>
      <c r="AU310" s="659"/>
      <c r="AV310" s="659"/>
      <c r="AW310" s="658">
        <v>0</v>
      </c>
      <c r="AX310" s="658"/>
      <c r="AY310" s="658"/>
      <c r="AZ310" s="658"/>
      <c r="BA310" s="658"/>
      <c r="BB310" s="658"/>
      <c r="BC310" s="658">
        <v>0</v>
      </c>
      <c r="BD310" s="658"/>
      <c r="BE310" s="658"/>
      <c r="BF310" s="658">
        <v>182.49</v>
      </c>
      <c r="BG310" s="658"/>
      <c r="BH310" s="658"/>
      <c r="BI310" s="567">
        <v>0</v>
      </c>
      <c r="BJ310" s="567"/>
      <c r="BK310" s="567"/>
      <c r="BL310" s="567"/>
      <c r="BM310" s="660" t="s">
        <v>932</v>
      </c>
      <c r="BN310" s="660"/>
      <c r="BO310" s="660"/>
      <c r="BP310" s="660"/>
      <c r="BQ310" s="568" t="s">
        <v>932</v>
      </c>
      <c r="BR310" s="568"/>
      <c r="BS310" s="568"/>
      <c r="BT310" s="660" t="s">
        <v>932</v>
      </c>
      <c r="BU310" s="660"/>
      <c r="BV310" s="660"/>
      <c r="BW310" s="660"/>
      <c r="BX310" s="568" t="s">
        <v>932</v>
      </c>
      <c r="BY310" s="568"/>
      <c r="BZ310" s="568"/>
      <c r="CA310" s="660" t="s">
        <v>932</v>
      </c>
      <c r="CB310" s="660"/>
      <c r="CC310" s="660"/>
      <c r="CD310" s="660"/>
      <c r="CE310" s="568">
        <v>1</v>
      </c>
      <c r="CF310" s="568"/>
      <c r="CG310" s="568"/>
      <c r="CH310" s="660" t="s">
        <v>932</v>
      </c>
      <c r="CI310" s="660"/>
      <c r="CJ310" s="660"/>
      <c r="CK310" s="660"/>
      <c r="CL310" s="568" t="s">
        <v>932</v>
      </c>
      <c r="CM310" s="568"/>
      <c r="CN310" s="568"/>
    </row>
    <row r="311" hidden="1" customHeight="1" spans="1:92">
      <c r="A311" s="612"/>
      <c r="B311" s="612"/>
      <c r="C311" s="518"/>
      <c r="D311" s="518"/>
      <c r="E311" s="518"/>
      <c r="F311" s="657"/>
      <c r="G311" s="657"/>
      <c r="H311" s="657"/>
      <c r="I311" s="519"/>
      <c r="J311" s="519"/>
      <c r="K311" s="519"/>
      <c r="L311" s="519"/>
      <c r="M311" s="519"/>
      <c r="N311" s="519"/>
      <c r="O311" s="519"/>
      <c r="P311" s="519"/>
      <c r="Q311" s="519"/>
      <c r="R311" s="519"/>
      <c r="S311" s="519"/>
      <c r="T311" s="519"/>
      <c r="U311" s="519"/>
      <c r="V311" s="519"/>
      <c r="W311" s="519"/>
      <c r="X311" s="519"/>
      <c r="Y311" s="519"/>
      <c r="Z311" s="519"/>
      <c r="AA311" s="519"/>
      <c r="AB311" s="526"/>
      <c r="AC311" s="526"/>
      <c r="AD311" s="658"/>
      <c r="AE311" s="658"/>
      <c r="AF311" s="658"/>
      <c r="AG311" s="526">
        <v>0</v>
      </c>
      <c r="AH311" s="526"/>
      <c r="AI311" s="659" t="e">
        <v>#N/A</v>
      </c>
      <c r="AJ311" s="659"/>
      <c r="AK311" s="659"/>
      <c r="AL311" s="659"/>
      <c r="AM311" s="659"/>
      <c r="AN311" s="659"/>
      <c r="AO311" s="659"/>
      <c r="AP311" s="659"/>
      <c r="AQ311" s="659"/>
      <c r="AR311" s="659"/>
      <c r="AS311" s="659"/>
      <c r="AT311" s="659"/>
      <c r="AU311" s="659"/>
      <c r="AV311" s="659"/>
      <c r="AW311" s="658">
        <v>0</v>
      </c>
      <c r="AX311" s="658"/>
      <c r="AY311" s="658"/>
      <c r="AZ311" s="658"/>
      <c r="BA311" s="658"/>
      <c r="BB311" s="658"/>
      <c r="BC311" s="658">
        <v>0</v>
      </c>
      <c r="BD311" s="658"/>
      <c r="BE311" s="658"/>
      <c r="BF311" s="658">
        <v>182.49</v>
      </c>
      <c r="BG311" s="658"/>
      <c r="BH311" s="658"/>
      <c r="BI311" s="567">
        <v>0</v>
      </c>
      <c r="BJ311" s="567"/>
      <c r="BK311" s="567"/>
      <c r="BL311" s="567"/>
      <c r="BM311" s="660" t="s">
        <v>932</v>
      </c>
      <c r="BN311" s="660"/>
      <c r="BO311" s="660"/>
      <c r="BP311" s="660"/>
      <c r="BQ311" s="568" t="s">
        <v>932</v>
      </c>
      <c r="BR311" s="568"/>
      <c r="BS311" s="568"/>
      <c r="BT311" s="660" t="s">
        <v>932</v>
      </c>
      <c r="BU311" s="660"/>
      <c r="BV311" s="660"/>
      <c r="BW311" s="660"/>
      <c r="BX311" s="568" t="s">
        <v>932</v>
      </c>
      <c r="BY311" s="568"/>
      <c r="BZ311" s="568"/>
      <c r="CA311" s="660" t="s">
        <v>932</v>
      </c>
      <c r="CB311" s="660"/>
      <c r="CC311" s="660"/>
      <c r="CD311" s="660"/>
      <c r="CE311" s="568">
        <v>1</v>
      </c>
      <c r="CF311" s="568"/>
      <c r="CG311" s="568"/>
      <c r="CH311" s="660" t="s">
        <v>932</v>
      </c>
      <c r="CI311" s="660"/>
      <c r="CJ311" s="660"/>
      <c r="CK311" s="660"/>
      <c r="CL311" s="568" t="s">
        <v>932</v>
      </c>
      <c r="CM311" s="568"/>
      <c r="CN311" s="568"/>
    </row>
    <row r="312" customHeight="1" spans="1:92">
      <c r="A312" s="612" t="s">
        <v>979</v>
      </c>
      <c r="B312" s="612"/>
      <c r="C312" s="518"/>
      <c r="D312" s="518"/>
      <c r="E312" s="518"/>
      <c r="F312" s="657" t="s">
        <v>119</v>
      </c>
      <c r="G312" s="657"/>
      <c r="H312" s="657"/>
      <c r="I312" s="519" t="s">
        <v>120</v>
      </c>
      <c r="J312" s="519"/>
      <c r="K312" s="519"/>
      <c r="L312" s="519"/>
      <c r="M312" s="519"/>
      <c r="N312" s="519"/>
      <c r="O312" s="519"/>
      <c r="P312" s="519"/>
      <c r="Q312" s="519"/>
      <c r="R312" s="519"/>
      <c r="S312" s="519"/>
      <c r="T312" s="519"/>
      <c r="U312" s="519"/>
      <c r="V312" s="519"/>
      <c r="W312" s="519"/>
      <c r="X312" s="519"/>
      <c r="Y312" s="519"/>
      <c r="Z312" s="519"/>
      <c r="AA312" s="519"/>
      <c r="AB312" s="526" t="s">
        <v>82</v>
      </c>
      <c r="AC312" s="526"/>
      <c r="AD312" s="658">
        <v>5</v>
      </c>
      <c r="AE312" s="658"/>
      <c r="AF312" s="658"/>
      <c r="AG312" s="526" t="s">
        <v>935</v>
      </c>
      <c r="AH312" s="526"/>
      <c r="AI312" s="659" t="s">
        <v>936</v>
      </c>
      <c r="AJ312" s="659"/>
      <c r="AK312" s="659"/>
      <c r="AL312" s="659"/>
      <c r="AM312" s="659"/>
      <c r="AN312" s="659"/>
      <c r="AO312" s="659"/>
      <c r="AP312" s="659"/>
      <c r="AQ312" s="659"/>
      <c r="AR312" s="659"/>
      <c r="AS312" s="659"/>
      <c r="AT312" s="659"/>
      <c r="AU312" s="659"/>
      <c r="AV312" s="659"/>
      <c r="AW312" s="658">
        <v>1</v>
      </c>
      <c r="AX312" s="658"/>
      <c r="AY312" s="658"/>
      <c r="AZ312" s="658">
        <v>1</v>
      </c>
      <c r="BA312" s="658"/>
      <c r="BB312" s="658"/>
      <c r="BC312" s="658">
        <v>5</v>
      </c>
      <c r="BD312" s="658"/>
      <c r="BE312" s="658"/>
      <c r="BF312" s="658">
        <v>182.49</v>
      </c>
      <c r="BG312" s="658"/>
      <c r="BH312" s="658"/>
      <c r="BI312" s="567">
        <v>0.0273987615759768</v>
      </c>
      <c r="BJ312" s="567"/>
      <c r="BK312" s="567"/>
      <c r="BL312" s="567"/>
      <c r="BM312" s="660" t="s">
        <v>932</v>
      </c>
      <c r="BN312" s="660"/>
      <c r="BO312" s="660"/>
      <c r="BP312" s="660"/>
      <c r="BQ312" s="568" t="s">
        <v>932</v>
      </c>
      <c r="BR312" s="568"/>
      <c r="BS312" s="568"/>
      <c r="BT312" s="660" t="s">
        <v>932</v>
      </c>
      <c r="BU312" s="660"/>
      <c r="BV312" s="660"/>
      <c r="BW312" s="660"/>
      <c r="BX312" s="568" t="s">
        <v>932</v>
      </c>
      <c r="BY312" s="568"/>
      <c r="BZ312" s="568"/>
      <c r="CA312" s="660">
        <v>0.0273987615759768</v>
      </c>
      <c r="CB312" s="660"/>
      <c r="CC312" s="660"/>
      <c r="CD312" s="660"/>
      <c r="CE312" s="568">
        <v>1</v>
      </c>
      <c r="CF312" s="568"/>
      <c r="CG312" s="568"/>
      <c r="CH312" s="660" t="s">
        <v>932</v>
      </c>
      <c r="CI312" s="660"/>
      <c r="CJ312" s="660"/>
      <c r="CK312" s="660"/>
      <c r="CL312" s="568" t="s">
        <v>932</v>
      </c>
      <c r="CM312" s="568"/>
      <c r="CN312" s="568"/>
    </row>
    <row r="313" hidden="1" customHeight="1" spans="1:92">
      <c r="A313" s="612"/>
      <c r="B313" s="612"/>
      <c r="C313" s="518"/>
      <c r="D313" s="518"/>
      <c r="E313" s="518"/>
      <c r="F313" s="657"/>
      <c r="G313" s="657"/>
      <c r="H313" s="657"/>
      <c r="I313" s="519"/>
      <c r="J313" s="519"/>
      <c r="K313" s="519"/>
      <c r="L313" s="519"/>
      <c r="M313" s="519"/>
      <c r="N313" s="519"/>
      <c r="O313" s="519"/>
      <c r="P313" s="519"/>
      <c r="Q313" s="519"/>
      <c r="R313" s="519"/>
      <c r="S313" s="519"/>
      <c r="T313" s="519"/>
      <c r="U313" s="519"/>
      <c r="V313" s="519"/>
      <c r="W313" s="519"/>
      <c r="X313" s="519"/>
      <c r="Y313" s="519"/>
      <c r="Z313" s="519"/>
      <c r="AA313" s="519"/>
      <c r="AB313" s="526"/>
      <c r="AC313" s="526"/>
      <c r="AD313" s="658"/>
      <c r="AE313" s="658"/>
      <c r="AF313" s="658"/>
      <c r="AG313" s="526">
        <v>0</v>
      </c>
      <c r="AH313" s="526"/>
      <c r="AI313" s="659" t="e">
        <v>#N/A</v>
      </c>
      <c r="AJ313" s="659"/>
      <c r="AK313" s="659"/>
      <c r="AL313" s="659"/>
      <c r="AM313" s="659"/>
      <c r="AN313" s="659"/>
      <c r="AO313" s="659"/>
      <c r="AP313" s="659"/>
      <c r="AQ313" s="659"/>
      <c r="AR313" s="659"/>
      <c r="AS313" s="659"/>
      <c r="AT313" s="659"/>
      <c r="AU313" s="659"/>
      <c r="AV313" s="659"/>
      <c r="AW313" s="658">
        <v>0</v>
      </c>
      <c r="AX313" s="658"/>
      <c r="AY313" s="658"/>
      <c r="AZ313" s="658"/>
      <c r="BA313" s="658"/>
      <c r="BB313" s="658"/>
      <c r="BC313" s="658">
        <v>0</v>
      </c>
      <c r="BD313" s="658"/>
      <c r="BE313" s="658"/>
      <c r="BF313" s="658">
        <v>182.49</v>
      </c>
      <c r="BG313" s="658"/>
      <c r="BH313" s="658"/>
      <c r="BI313" s="567">
        <v>0</v>
      </c>
      <c r="BJ313" s="567"/>
      <c r="BK313" s="567"/>
      <c r="BL313" s="567"/>
      <c r="BM313" s="660" t="s">
        <v>932</v>
      </c>
      <c r="BN313" s="660"/>
      <c r="BO313" s="660"/>
      <c r="BP313" s="660"/>
      <c r="BQ313" s="568" t="s">
        <v>932</v>
      </c>
      <c r="BR313" s="568"/>
      <c r="BS313" s="568"/>
      <c r="BT313" s="660" t="s">
        <v>932</v>
      </c>
      <c r="BU313" s="660"/>
      <c r="BV313" s="660"/>
      <c r="BW313" s="660"/>
      <c r="BX313" s="568" t="s">
        <v>932</v>
      </c>
      <c r="BY313" s="568"/>
      <c r="BZ313" s="568"/>
      <c r="CA313" s="660" t="s">
        <v>932</v>
      </c>
      <c r="CB313" s="660"/>
      <c r="CC313" s="660"/>
      <c r="CD313" s="660"/>
      <c r="CE313" s="568">
        <v>1</v>
      </c>
      <c r="CF313" s="568"/>
      <c r="CG313" s="568"/>
      <c r="CH313" s="660" t="s">
        <v>932</v>
      </c>
      <c r="CI313" s="660"/>
      <c r="CJ313" s="660"/>
      <c r="CK313" s="660"/>
      <c r="CL313" s="568" t="s">
        <v>932</v>
      </c>
      <c r="CM313" s="568"/>
      <c r="CN313" s="568"/>
    </row>
    <row r="314" hidden="1" customHeight="1" spans="1:92">
      <c r="A314" s="612"/>
      <c r="B314" s="612"/>
      <c r="C314" s="518"/>
      <c r="D314" s="518"/>
      <c r="E314" s="518"/>
      <c r="F314" s="657"/>
      <c r="G314" s="657"/>
      <c r="H314" s="657"/>
      <c r="I314" s="519"/>
      <c r="J314" s="519"/>
      <c r="K314" s="519"/>
      <c r="L314" s="519"/>
      <c r="M314" s="519"/>
      <c r="N314" s="519"/>
      <c r="O314" s="519"/>
      <c r="P314" s="519"/>
      <c r="Q314" s="519"/>
      <c r="R314" s="519"/>
      <c r="S314" s="519"/>
      <c r="T314" s="519"/>
      <c r="U314" s="519"/>
      <c r="V314" s="519"/>
      <c r="W314" s="519"/>
      <c r="X314" s="519"/>
      <c r="Y314" s="519"/>
      <c r="Z314" s="519"/>
      <c r="AA314" s="519"/>
      <c r="AB314" s="526"/>
      <c r="AC314" s="526"/>
      <c r="AD314" s="658"/>
      <c r="AE314" s="658"/>
      <c r="AF314" s="658"/>
      <c r="AG314" s="526">
        <v>0</v>
      </c>
      <c r="AH314" s="526"/>
      <c r="AI314" s="659" t="e">
        <v>#N/A</v>
      </c>
      <c r="AJ314" s="659"/>
      <c r="AK314" s="659"/>
      <c r="AL314" s="659"/>
      <c r="AM314" s="659"/>
      <c r="AN314" s="659"/>
      <c r="AO314" s="659"/>
      <c r="AP314" s="659"/>
      <c r="AQ314" s="659"/>
      <c r="AR314" s="659"/>
      <c r="AS314" s="659"/>
      <c r="AT314" s="659"/>
      <c r="AU314" s="659"/>
      <c r="AV314" s="659"/>
      <c r="AW314" s="658">
        <v>0</v>
      </c>
      <c r="AX314" s="658"/>
      <c r="AY314" s="658"/>
      <c r="AZ314" s="658"/>
      <c r="BA314" s="658"/>
      <c r="BB314" s="658"/>
      <c r="BC314" s="658">
        <v>0</v>
      </c>
      <c r="BD314" s="658"/>
      <c r="BE314" s="658"/>
      <c r="BF314" s="658">
        <v>182.49</v>
      </c>
      <c r="BG314" s="658"/>
      <c r="BH314" s="658"/>
      <c r="BI314" s="567">
        <v>0</v>
      </c>
      <c r="BJ314" s="567"/>
      <c r="BK314" s="567"/>
      <c r="BL314" s="567"/>
      <c r="BM314" s="660" t="s">
        <v>932</v>
      </c>
      <c r="BN314" s="660"/>
      <c r="BO314" s="660"/>
      <c r="BP314" s="660"/>
      <c r="BQ314" s="568" t="s">
        <v>932</v>
      </c>
      <c r="BR314" s="568"/>
      <c r="BS314" s="568"/>
      <c r="BT314" s="660" t="s">
        <v>932</v>
      </c>
      <c r="BU314" s="660"/>
      <c r="BV314" s="660"/>
      <c r="BW314" s="660"/>
      <c r="BX314" s="568" t="s">
        <v>932</v>
      </c>
      <c r="BY314" s="568"/>
      <c r="BZ314" s="568"/>
      <c r="CA314" s="660" t="s">
        <v>932</v>
      </c>
      <c r="CB314" s="660"/>
      <c r="CC314" s="660"/>
      <c r="CD314" s="660"/>
      <c r="CE314" s="568">
        <v>1</v>
      </c>
      <c r="CF314" s="568"/>
      <c r="CG314" s="568"/>
      <c r="CH314" s="660" t="s">
        <v>932</v>
      </c>
      <c r="CI314" s="660"/>
      <c r="CJ314" s="660"/>
      <c r="CK314" s="660"/>
      <c r="CL314" s="568" t="s">
        <v>932</v>
      </c>
      <c r="CM314" s="568"/>
      <c r="CN314" s="568"/>
    </row>
    <row r="315" hidden="1" customHeight="1" spans="1:92">
      <c r="A315" s="612"/>
      <c r="B315" s="612"/>
      <c r="C315" s="518"/>
      <c r="D315" s="518"/>
      <c r="E315" s="518"/>
      <c r="F315" s="657"/>
      <c r="G315" s="657"/>
      <c r="H315" s="657"/>
      <c r="I315" s="519"/>
      <c r="J315" s="519"/>
      <c r="K315" s="519"/>
      <c r="L315" s="519"/>
      <c r="M315" s="519"/>
      <c r="N315" s="519"/>
      <c r="O315" s="519"/>
      <c r="P315" s="519"/>
      <c r="Q315" s="519"/>
      <c r="R315" s="519"/>
      <c r="S315" s="519"/>
      <c r="T315" s="519"/>
      <c r="U315" s="519"/>
      <c r="V315" s="519"/>
      <c r="W315" s="519"/>
      <c r="X315" s="519"/>
      <c r="Y315" s="519"/>
      <c r="Z315" s="519"/>
      <c r="AA315" s="519"/>
      <c r="AB315" s="526"/>
      <c r="AC315" s="526"/>
      <c r="AD315" s="658"/>
      <c r="AE315" s="658"/>
      <c r="AF315" s="658"/>
      <c r="AG315" s="526">
        <v>0</v>
      </c>
      <c r="AH315" s="526"/>
      <c r="AI315" s="659" t="e">
        <v>#N/A</v>
      </c>
      <c r="AJ315" s="659"/>
      <c r="AK315" s="659"/>
      <c r="AL315" s="659"/>
      <c r="AM315" s="659"/>
      <c r="AN315" s="659"/>
      <c r="AO315" s="659"/>
      <c r="AP315" s="659"/>
      <c r="AQ315" s="659"/>
      <c r="AR315" s="659"/>
      <c r="AS315" s="659"/>
      <c r="AT315" s="659"/>
      <c r="AU315" s="659"/>
      <c r="AV315" s="659"/>
      <c r="AW315" s="658">
        <v>0</v>
      </c>
      <c r="AX315" s="658"/>
      <c r="AY315" s="658"/>
      <c r="AZ315" s="658"/>
      <c r="BA315" s="658"/>
      <c r="BB315" s="658"/>
      <c r="BC315" s="658">
        <v>0</v>
      </c>
      <c r="BD315" s="658"/>
      <c r="BE315" s="658"/>
      <c r="BF315" s="658">
        <v>182.49</v>
      </c>
      <c r="BG315" s="658"/>
      <c r="BH315" s="658"/>
      <c r="BI315" s="567">
        <v>0</v>
      </c>
      <c r="BJ315" s="567"/>
      <c r="BK315" s="567"/>
      <c r="BL315" s="567"/>
      <c r="BM315" s="660" t="s">
        <v>932</v>
      </c>
      <c r="BN315" s="660"/>
      <c r="BO315" s="660"/>
      <c r="BP315" s="660"/>
      <c r="BQ315" s="568" t="s">
        <v>932</v>
      </c>
      <c r="BR315" s="568"/>
      <c r="BS315" s="568"/>
      <c r="BT315" s="660" t="s">
        <v>932</v>
      </c>
      <c r="BU315" s="660"/>
      <c r="BV315" s="660"/>
      <c r="BW315" s="660"/>
      <c r="BX315" s="568" t="s">
        <v>932</v>
      </c>
      <c r="BY315" s="568"/>
      <c r="BZ315" s="568"/>
      <c r="CA315" s="660" t="s">
        <v>932</v>
      </c>
      <c r="CB315" s="660"/>
      <c r="CC315" s="660"/>
      <c r="CD315" s="660"/>
      <c r="CE315" s="568">
        <v>1</v>
      </c>
      <c r="CF315" s="568"/>
      <c r="CG315" s="568"/>
      <c r="CH315" s="660" t="s">
        <v>932</v>
      </c>
      <c r="CI315" s="660"/>
      <c r="CJ315" s="660"/>
      <c r="CK315" s="660"/>
      <c r="CL315" s="568" t="s">
        <v>932</v>
      </c>
      <c r="CM315" s="568"/>
      <c r="CN315" s="568"/>
    </row>
    <row r="316" hidden="1" customHeight="1" spans="1:92">
      <c r="A316" s="612"/>
      <c r="B316" s="612"/>
      <c r="C316" s="518"/>
      <c r="D316" s="518"/>
      <c r="E316" s="518"/>
      <c r="F316" s="657"/>
      <c r="G316" s="657"/>
      <c r="H316" s="657"/>
      <c r="I316" s="519"/>
      <c r="J316" s="519"/>
      <c r="K316" s="519"/>
      <c r="L316" s="519"/>
      <c r="M316" s="519"/>
      <c r="N316" s="519"/>
      <c r="O316" s="519"/>
      <c r="P316" s="519"/>
      <c r="Q316" s="519"/>
      <c r="R316" s="519"/>
      <c r="S316" s="519"/>
      <c r="T316" s="519"/>
      <c r="U316" s="519"/>
      <c r="V316" s="519"/>
      <c r="W316" s="519"/>
      <c r="X316" s="519"/>
      <c r="Y316" s="519"/>
      <c r="Z316" s="519"/>
      <c r="AA316" s="519"/>
      <c r="AB316" s="526"/>
      <c r="AC316" s="526"/>
      <c r="AD316" s="658"/>
      <c r="AE316" s="658"/>
      <c r="AF316" s="658"/>
      <c r="AG316" s="526">
        <v>0</v>
      </c>
      <c r="AH316" s="526"/>
      <c r="AI316" s="659" t="e">
        <v>#N/A</v>
      </c>
      <c r="AJ316" s="659"/>
      <c r="AK316" s="659"/>
      <c r="AL316" s="659"/>
      <c r="AM316" s="659"/>
      <c r="AN316" s="659"/>
      <c r="AO316" s="659"/>
      <c r="AP316" s="659"/>
      <c r="AQ316" s="659"/>
      <c r="AR316" s="659"/>
      <c r="AS316" s="659"/>
      <c r="AT316" s="659"/>
      <c r="AU316" s="659"/>
      <c r="AV316" s="659"/>
      <c r="AW316" s="658">
        <v>0</v>
      </c>
      <c r="AX316" s="658"/>
      <c r="AY316" s="658"/>
      <c r="AZ316" s="658"/>
      <c r="BA316" s="658"/>
      <c r="BB316" s="658"/>
      <c r="BC316" s="658">
        <v>0</v>
      </c>
      <c r="BD316" s="658"/>
      <c r="BE316" s="658"/>
      <c r="BF316" s="658">
        <v>182.49</v>
      </c>
      <c r="BG316" s="658"/>
      <c r="BH316" s="658"/>
      <c r="BI316" s="567">
        <v>0</v>
      </c>
      <c r="BJ316" s="567"/>
      <c r="BK316" s="567"/>
      <c r="BL316" s="567"/>
      <c r="BM316" s="660" t="s">
        <v>932</v>
      </c>
      <c r="BN316" s="660"/>
      <c r="BO316" s="660"/>
      <c r="BP316" s="660"/>
      <c r="BQ316" s="568" t="s">
        <v>932</v>
      </c>
      <c r="BR316" s="568"/>
      <c r="BS316" s="568"/>
      <c r="BT316" s="660" t="s">
        <v>932</v>
      </c>
      <c r="BU316" s="660"/>
      <c r="BV316" s="660"/>
      <c r="BW316" s="660"/>
      <c r="BX316" s="568" t="s">
        <v>932</v>
      </c>
      <c r="BY316" s="568"/>
      <c r="BZ316" s="568"/>
      <c r="CA316" s="660" t="s">
        <v>932</v>
      </c>
      <c r="CB316" s="660"/>
      <c r="CC316" s="660"/>
      <c r="CD316" s="660"/>
      <c r="CE316" s="568">
        <v>1</v>
      </c>
      <c r="CF316" s="568"/>
      <c r="CG316" s="568"/>
      <c r="CH316" s="660" t="s">
        <v>932</v>
      </c>
      <c r="CI316" s="660"/>
      <c r="CJ316" s="660"/>
      <c r="CK316" s="660"/>
      <c r="CL316" s="568" t="s">
        <v>932</v>
      </c>
      <c r="CM316" s="568"/>
      <c r="CN316" s="568"/>
    </row>
    <row r="317" hidden="1" customHeight="1" spans="1:92">
      <c r="A317" s="612"/>
      <c r="B317" s="612"/>
      <c r="C317" s="518"/>
      <c r="D317" s="518"/>
      <c r="E317" s="518"/>
      <c r="F317" s="657"/>
      <c r="G317" s="657"/>
      <c r="H317" s="657"/>
      <c r="I317" s="519"/>
      <c r="J317" s="519"/>
      <c r="K317" s="519"/>
      <c r="L317" s="519"/>
      <c r="M317" s="519"/>
      <c r="N317" s="519"/>
      <c r="O317" s="519"/>
      <c r="P317" s="519"/>
      <c r="Q317" s="519"/>
      <c r="R317" s="519"/>
      <c r="S317" s="519"/>
      <c r="T317" s="519"/>
      <c r="U317" s="519"/>
      <c r="V317" s="519"/>
      <c r="W317" s="519"/>
      <c r="X317" s="519"/>
      <c r="Y317" s="519"/>
      <c r="Z317" s="519"/>
      <c r="AA317" s="519"/>
      <c r="AB317" s="526"/>
      <c r="AC317" s="526"/>
      <c r="AD317" s="658"/>
      <c r="AE317" s="658"/>
      <c r="AF317" s="658"/>
      <c r="AG317" s="526">
        <v>0</v>
      </c>
      <c r="AH317" s="526"/>
      <c r="AI317" s="659" t="e">
        <v>#N/A</v>
      </c>
      <c r="AJ317" s="659"/>
      <c r="AK317" s="659"/>
      <c r="AL317" s="659"/>
      <c r="AM317" s="659"/>
      <c r="AN317" s="659"/>
      <c r="AO317" s="659"/>
      <c r="AP317" s="659"/>
      <c r="AQ317" s="659"/>
      <c r="AR317" s="659"/>
      <c r="AS317" s="659"/>
      <c r="AT317" s="659"/>
      <c r="AU317" s="659"/>
      <c r="AV317" s="659"/>
      <c r="AW317" s="658">
        <v>0</v>
      </c>
      <c r="AX317" s="658"/>
      <c r="AY317" s="658"/>
      <c r="AZ317" s="658"/>
      <c r="BA317" s="658"/>
      <c r="BB317" s="658"/>
      <c r="BC317" s="658">
        <v>0</v>
      </c>
      <c r="BD317" s="658"/>
      <c r="BE317" s="658"/>
      <c r="BF317" s="658">
        <v>182.49</v>
      </c>
      <c r="BG317" s="658"/>
      <c r="BH317" s="658"/>
      <c r="BI317" s="567">
        <v>0</v>
      </c>
      <c r="BJ317" s="567"/>
      <c r="BK317" s="567"/>
      <c r="BL317" s="567"/>
      <c r="BM317" s="660" t="s">
        <v>932</v>
      </c>
      <c r="BN317" s="660"/>
      <c r="BO317" s="660"/>
      <c r="BP317" s="660"/>
      <c r="BQ317" s="568" t="s">
        <v>932</v>
      </c>
      <c r="BR317" s="568"/>
      <c r="BS317" s="568"/>
      <c r="BT317" s="660" t="s">
        <v>932</v>
      </c>
      <c r="BU317" s="660"/>
      <c r="BV317" s="660"/>
      <c r="BW317" s="660"/>
      <c r="BX317" s="568" t="s">
        <v>932</v>
      </c>
      <c r="BY317" s="568"/>
      <c r="BZ317" s="568"/>
      <c r="CA317" s="660" t="s">
        <v>932</v>
      </c>
      <c r="CB317" s="660"/>
      <c r="CC317" s="660"/>
      <c r="CD317" s="660"/>
      <c r="CE317" s="568">
        <v>1</v>
      </c>
      <c r="CF317" s="568"/>
      <c r="CG317" s="568"/>
      <c r="CH317" s="660" t="s">
        <v>932</v>
      </c>
      <c r="CI317" s="660"/>
      <c r="CJ317" s="660"/>
      <c r="CK317" s="660"/>
      <c r="CL317" s="568" t="s">
        <v>932</v>
      </c>
      <c r="CM317" s="568"/>
      <c r="CN317" s="568"/>
    </row>
    <row r="318" hidden="1" customHeight="1" spans="1:92">
      <c r="A318" s="612"/>
      <c r="B318" s="612"/>
      <c r="C318" s="518"/>
      <c r="D318" s="518"/>
      <c r="E318" s="518"/>
      <c r="F318" s="657"/>
      <c r="G318" s="657"/>
      <c r="H318" s="657"/>
      <c r="I318" s="519"/>
      <c r="J318" s="519"/>
      <c r="K318" s="519"/>
      <c r="L318" s="519"/>
      <c r="M318" s="519"/>
      <c r="N318" s="519"/>
      <c r="O318" s="519"/>
      <c r="P318" s="519"/>
      <c r="Q318" s="519"/>
      <c r="R318" s="519"/>
      <c r="S318" s="519"/>
      <c r="T318" s="519"/>
      <c r="U318" s="519"/>
      <c r="V318" s="519"/>
      <c r="W318" s="519"/>
      <c r="X318" s="519"/>
      <c r="Y318" s="519"/>
      <c r="Z318" s="519"/>
      <c r="AA318" s="519"/>
      <c r="AB318" s="526"/>
      <c r="AC318" s="526"/>
      <c r="AD318" s="658"/>
      <c r="AE318" s="658"/>
      <c r="AF318" s="658"/>
      <c r="AG318" s="526">
        <v>0</v>
      </c>
      <c r="AH318" s="526"/>
      <c r="AI318" s="659" t="e">
        <v>#N/A</v>
      </c>
      <c r="AJ318" s="659"/>
      <c r="AK318" s="659"/>
      <c r="AL318" s="659"/>
      <c r="AM318" s="659"/>
      <c r="AN318" s="659"/>
      <c r="AO318" s="659"/>
      <c r="AP318" s="659"/>
      <c r="AQ318" s="659"/>
      <c r="AR318" s="659"/>
      <c r="AS318" s="659"/>
      <c r="AT318" s="659"/>
      <c r="AU318" s="659"/>
      <c r="AV318" s="659"/>
      <c r="AW318" s="658">
        <v>0</v>
      </c>
      <c r="AX318" s="658"/>
      <c r="AY318" s="658"/>
      <c r="AZ318" s="658"/>
      <c r="BA318" s="658"/>
      <c r="BB318" s="658"/>
      <c r="BC318" s="658">
        <v>0</v>
      </c>
      <c r="BD318" s="658"/>
      <c r="BE318" s="658"/>
      <c r="BF318" s="658">
        <v>182.49</v>
      </c>
      <c r="BG318" s="658"/>
      <c r="BH318" s="658"/>
      <c r="BI318" s="567">
        <v>0</v>
      </c>
      <c r="BJ318" s="567"/>
      <c r="BK318" s="567"/>
      <c r="BL318" s="567"/>
      <c r="BM318" s="660" t="s">
        <v>932</v>
      </c>
      <c r="BN318" s="660"/>
      <c r="BO318" s="660"/>
      <c r="BP318" s="660"/>
      <c r="BQ318" s="568" t="s">
        <v>932</v>
      </c>
      <c r="BR318" s="568"/>
      <c r="BS318" s="568"/>
      <c r="BT318" s="660" t="s">
        <v>932</v>
      </c>
      <c r="BU318" s="660"/>
      <c r="BV318" s="660"/>
      <c r="BW318" s="660"/>
      <c r="BX318" s="568" t="s">
        <v>932</v>
      </c>
      <c r="BY318" s="568"/>
      <c r="BZ318" s="568"/>
      <c r="CA318" s="660" t="s">
        <v>932</v>
      </c>
      <c r="CB318" s="660"/>
      <c r="CC318" s="660"/>
      <c r="CD318" s="660"/>
      <c r="CE318" s="568">
        <v>1</v>
      </c>
      <c r="CF318" s="568"/>
      <c r="CG318" s="568"/>
      <c r="CH318" s="660" t="s">
        <v>932</v>
      </c>
      <c r="CI318" s="660"/>
      <c r="CJ318" s="660"/>
      <c r="CK318" s="660"/>
      <c r="CL318" s="568" t="s">
        <v>932</v>
      </c>
      <c r="CM318" s="568"/>
      <c r="CN318" s="568"/>
    </row>
    <row r="319" hidden="1" customHeight="1" spans="1:92">
      <c r="A319" s="612"/>
      <c r="B319" s="612"/>
      <c r="C319" s="518"/>
      <c r="D319" s="518"/>
      <c r="E319" s="518"/>
      <c r="F319" s="657"/>
      <c r="G319" s="657"/>
      <c r="H319" s="657"/>
      <c r="I319" s="519"/>
      <c r="J319" s="519"/>
      <c r="K319" s="519"/>
      <c r="L319" s="519"/>
      <c r="M319" s="519"/>
      <c r="N319" s="519"/>
      <c r="O319" s="519"/>
      <c r="P319" s="519"/>
      <c r="Q319" s="519"/>
      <c r="R319" s="519"/>
      <c r="S319" s="519"/>
      <c r="T319" s="519"/>
      <c r="U319" s="519"/>
      <c r="V319" s="519"/>
      <c r="W319" s="519"/>
      <c r="X319" s="519"/>
      <c r="Y319" s="519"/>
      <c r="Z319" s="519"/>
      <c r="AA319" s="519"/>
      <c r="AB319" s="526"/>
      <c r="AC319" s="526"/>
      <c r="AD319" s="658"/>
      <c r="AE319" s="658"/>
      <c r="AF319" s="658"/>
      <c r="AG319" s="526">
        <v>0</v>
      </c>
      <c r="AH319" s="526"/>
      <c r="AI319" s="659" t="e">
        <v>#N/A</v>
      </c>
      <c r="AJ319" s="659"/>
      <c r="AK319" s="659"/>
      <c r="AL319" s="659"/>
      <c r="AM319" s="659"/>
      <c r="AN319" s="659"/>
      <c r="AO319" s="659"/>
      <c r="AP319" s="659"/>
      <c r="AQ319" s="659"/>
      <c r="AR319" s="659"/>
      <c r="AS319" s="659"/>
      <c r="AT319" s="659"/>
      <c r="AU319" s="659"/>
      <c r="AV319" s="659"/>
      <c r="AW319" s="658">
        <v>0</v>
      </c>
      <c r="AX319" s="658"/>
      <c r="AY319" s="658"/>
      <c r="AZ319" s="658"/>
      <c r="BA319" s="658"/>
      <c r="BB319" s="658"/>
      <c r="BC319" s="658">
        <v>0</v>
      </c>
      <c r="BD319" s="658"/>
      <c r="BE319" s="658"/>
      <c r="BF319" s="658">
        <v>182.49</v>
      </c>
      <c r="BG319" s="658"/>
      <c r="BH319" s="658"/>
      <c r="BI319" s="567">
        <v>0</v>
      </c>
      <c r="BJ319" s="567"/>
      <c r="BK319" s="567"/>
      <c r="BL319" s="567"/>
      <c r="BM319" s="660" t="s">
        <v>932</v>
      </c>
      <c r="BN319" s="660"/>
      <c r="BO319" s="660"/>
      <c r="BP319" s="660"/>
      <c r="BQ319" s="568" t="s">
        <v>932</v>
      </c>
      <c r="BR319" s="568"/>
      <c r="BS319" s="568"/>
      <c r="BT319" s="660" t="s">
        <v>932</v>
      </c>
      <c r="BU319" s="660"/>
      <c r="BV319" s="660"/>
      <c r="BW319" s="660"/>
      <c r="BX319" s="568" t="s">
        <v>932</v>
      </c>
      <c r="BY319" s="568"/>
      <c r="BZ319" s="568"/>
      <c r="CA319" s="660" t="s">
        <v>932</v>
      </c>
      <c r="CB319" s="660"/>
      <c r="CC319" s="660"/>
      <c r="CD319" s="660"/>
      <c r="CE319" s="568">
        <v>1</v>
      </c>
      <c r="CF319" s="568"/>
      <c r="CG319" s="568"/>
      <c r="CH319" s="660" t="s">
        <v>932</v>
      </c>
      <c r="CI319" s="660"/>
      <c r="CJ319" s="660"/>
      <c r="CK319" s="660"/>
      <c r="CL319" s="568" t="s">
        <v>932</v>
      </c>
      <c r="CM319" s="568"/>
      <c r="CN319" s="568"/>
    </row>
    <row r="320" customHeight="1" spans="1:92">
      <c r="A320" s="612" t="s">
        <v>980</v>
      </c>
      <c r="B320" s="612"/>
      <c r="C320" s="518"/>
      <c r="D320" s="518"/>
      <c r="E320" s="518"/>
      <c r="F320" s="657" t="s">
        <v>119</v>
      </c>
      <c r="G320" s="657"/>
      <c r="H320" s="657"/>
      <c r="I320" s="519" t="s">
        <v>120</v>
      </c>
      <c r="J320" s="519"/>
      <c r="K320" s="519"/>
      <c r="L320" s="519"/>
      <c r="M320" s="519"/>
      <c r="N320" s="519"/>
      <c r="O320" s="519"/>
      <c r="P320" s="519"/>
      <c r="Q320" s="519"/>
      <c r="R320" s="519"/>
      <c r="S320" s="519"/>
      <c r="T320" s="519"/>
      <c r="U320" s="519"/>
      <c r="V320" s="519"/>
      <c r="W320" s="519"/>
      <c r="X320" s="519"/>
      <c r="Y320" s="519"/>
      <c r="Z320" s="519"/>
      <c r="AA320" s="519"/>
      <c r="AB320" s="526" t="s">
        <v>82</v>
      </c>
      <c r="AC320" s="526"/>
      <c r="AD320" s="658">
        <v>5</v>
      </c>
      <c r="AE320" s="658"/>
      <c r="AF320" s="658"/>
      <c r="AG320" s="526" t="s">
        <v>935</v>
      </c>
      <c r="AH320" s="526"/>
      <c r="AI320" s="659" t="s">
        <v>936</v>
      </c>
      <c r="AJ320" s="659"/>
      <c r="AK320" s="659"/>
      <c r="AL320" s="659"/>
      <c r="AM320" s="659"/>
      <c r="AN320" s="659"/>
      <c r="AO320" s="659"/>
      <c r="AP320" s="659"/>
      <c r="AQ320" s="659"/>
      <c r="AR320" s="659"/>
      <c r="AS320" s="659"/>
      <c r="AT320" s="659"/>
      <c r="AU320" s="659"/>
      <c r="AV320" s="659"/>
      <c r="AW320" s="658">
        <v>1</v>
      </c>
      <c r="AX320" s="658"/>
      <c r="AY320" s="658"/>
      <c r="AZ320" s="658">
        <v>1</v>
      </c>
      <c r="BA320" s="658"/>
      <c r="BB320" s="658"/>
      <c r="BC320" s="658">
        <v>5</v>
      </c>
      <c r="BD320" s="658"/>
      <c r="BE320" s="658"/>
      <c r="BF320" s="658">
        <v>182.49</v>
      </c>
      <c r="BG320" s="658"/>
      <c r="BH320" s="658"/>
      <c r="BI320" s="567">
        <v>0.0273987615759768</v>
      </c>
      <c r="BJ320" s="567"/>
      <c r="BK320" s="567"/>
      <c r="BL320" s="567"/>
      <c r="BM320" s="660" t="s">
        <v>932</v>
      </c>
      <c r="BN320" s="660"/>
      <c r="BO320" s="660"/>
      <c r="BP320" s="660"/>
      <c r="BQ320" s="568" t="s">
        <v>932</v>
      </c>
      <c r="BR320" s="568"/>
      <c r="BS320" s="568"/>
      <c r="BT320" s="660" t="s">
        <v>932</v>
      </c>
      <c r="BU320" s="660"/>
      <c r="BV320" s="660"/>
      <c r="BW320" s="660"/>
      <c r="BX320" s="568" t="s">
        <v>932</v>
      </c>
      <c r="BY320" s="568"/>
      <c r="BZ320" s="568"/>
      <c r="CA320" s="660">
        <v>0.0273987615759768</v>
      </c>
      <c r="CB320" s="660"/>
      <c r="CC320" s="660"/>
      <c r="CD320" s="660"/>
      <c r="CE320" s="568">
        <v>1</v>
      </c>
      <c r="CF320" s="568"/>
      <c r="CG320" s="568"/>
      <c r="CH320" s="660" t="s">
        <v>932</v>
      </c>
      <c r="CI320" s="660"/>
      <c r="CJ320" s="660"/>
      <c r="CK320" s="660"/>
      <c r="CL320" s="568" t="s">
        <v>932</v>
      </c>
      <c r="CM320" s="568"/>
      <c r="CN320" s="568"/>
    </row>
    <row r="321" hidden="1" customHeight="1" spans="1:92">
      <c r="A321" s="612"/>
      <c r="B321" s="612"/>
      <c r="C321" s="518"/>
      <c r="D321" s="518"/>
      <c r="E321" s="518"/>
      <c r="F321" s="657"/>
      <c r="G321" s="657"/>
      <c r="H321" s="657"/>
      <c r="I321" s="519"/>
      <c r="J321" s="519"/>
      <c r="K321" s="519"/>
      <c r="L321" s="519"/>
      <c r="M321" s="519"/>
      <c r="N321" s="519"/>
      <c r="O321" s="519"/>
      <c r="P321" s="519"/>
      <c r="Q321" s="519"/>
      <c r="R321" s="519"/>
      <c r="S321" s="519"/>
      <c r="T321" s="519"/>
      <c r="U321" s="519"/>
      <c r="V321" s="519"/>
      <c r="W321" s="519"/>
      <c r="X321" s="519"/>
      <c r="Y321" s="519"/>
      <c r="Z321" s="519"/>
      <c r="AA321" s="519"/>
      <c r="AB321" s="526"/>
      <c r="AC321" s="526"/>
      <c r="AD321" s="658"/>
      <c r="AE321" s="658"/>
      <c r="AF321" s="658"/>
      <c r="AG321" s="526">
        <v>0</v>
      </c>
      <c r="AH321" s="526"/>
      <c r="AI321" s="659" t="e">
        <v>#N/A</v>
      </c>
      <c r="AJ321" s="659"/>
      <c r="AK321" s="659"/>
      <c r="AL321" s="659"/>
      <c r="AM321" s="659"/>
      <c r="AN321" s="659"/>
      <c r="AO321" s="659"/>
      <c r="AP321" s="659"/>
      <c r="AQ321" s="659"/>
      <c r="AR321" s="659"/>
      <c r="AS321" s="659"/>
      <c r="AT321" s="659"/>
      <c r="AU321" s="659"/>
      <c r="AV321" s="659"/>
      <c r="AW321" s="658">
        <v>0</v>
      </c>
      <c r="AX321" s="658"/>
      <c r="AY321" s="658"/>
      <c r="AZ321" s="658"/>
      <c r="BA321" s="658"/>
      <c r="BB321" s="658"/>
      <c r="BC321" s="658">
        <v>0</v>
      </c>
      <c r="BD321" s="658"/>
      <c r="BE321" s="658"/>
      <c r="BF321" s="658">
        <v>182.49</v>
      </c>
      <c r="BG321" s="658"/>
      <c r="BH321" s="658"/>
      <c r="BI321" s="567">
        <v>0</v>
      </c>
      <c r="BJ321" s="567"/>
      <c r="BK321" s="567"/>
      <c r="BL321" s="567"/>
      <c r="BM321" s="660" t="s">
        <v>932</v>
      </c>
      <c r="BN321" s="660"/>
      <c r="BO321" s="660"/>
      <c r="BP321" s="660"/>
      <c r="BQ321" s="568" t="s">
        <v>932</v>
      </c>
      <c r="BR321" s="568"/>
      <c r="BS321" s="568"/>
      <c r="BT321" s="660" t="s">
        <v>932</v>
      </c>
      <c r="BU321" s="660"/>
      <c r="BV321" s="660"/>
      <c r="BW321" s="660"/>
      <c r="BX321" s="568" t="s">
        <v>932</v>
      </c>
      <c r="BY321" s="568"/>
      <c r="BZ321" s="568"/>
      <c r="CA321" s="660" t="s">
        <v>932</v>
      </c>
      <c r="CB321" s="660"/>
      <c r="CC321" s="660"/>
      <c r="CD321" s="660"/>
      <c r="CE321" s="568">
        <v>1</v>
      </c>
      <c r="CF321" s="568"/>
      <c r="CG321" s="568"/>
      <c r="CH321" s="660" t="s">
        <v>932</v>
      </c>
      <c r="CI321" s="660"/>
      <c r="CJ321" s="660"/>
      <c r="CK321" s="660"/>
      <c r="CL321" s="568" t="s">
        <v>932</v>
      </c>
      <c r="CM321" s="568"/>
      <c r="CN321" s="568"/>
    </row>
    <row r="322" hidden="1" customHeight="1" spans="1:92">
      <c r="A322" s="612"/>
      <c r="B322" s="612"/>
      <c r="C322" s="518"/>
      <c r="D322" s="518"/>
      <c r="E322" s="518"/>
      <c r="F322" s="657"/>
      <c r="G322" s="657"/>
      <c r="H322" s="657"/>
      <c r="I322" s="519"/>
      <c r="J322" s="519"/>
      <c r="K322" s="519"/>
      <c r="L322" s="519"/>
      <c r="M322" s="519"/>
      <c r="N322" s="519"/>
      <c r="O322" s="519"/>
      <c r="P322" s="519"/>
      <c r="Q322" s="519"/>
      <c r="R322" s="519"/>
      <c r="S322" s="519"/>
      <c r="T322" s="519"/>
      <c r="U322" s="519"/>
      <c r="V322" s="519"/>
      <c r="W322" s="519"/>
      <c r="X322" s="519"/>
      <c r="Y322" s="519"/>
      <c r="Z322" s="519"/>
      <c r="AA322" s="519"/>
      <c r="AB322" s="526"/>
      <c r="AC322" s="526"/>
      <c r="AD322" s="658"/>
      <c r="AE322" s="658"/>
      <c r="AF322" s="658"/>
      <c r="AG322" s="526">
        <v>0</v>
      </c>
      <c r="AH322" s="526"/>
      <c r="AI322" s="659" t="e">
        <v>#N/A</v>
      </c>
      <c r="AJ322" s="659"/>
      <c r="AK322" s="659"/>
      <c r="AL322" s="659"/>
      <c r="AM322" s="659"/>
      <c r="AN322" s="659"/>
      <c r="AO322" s="659"/>
      <c r="AP322" s="659"/>
      <c r="AQ322" s="659"/>
      <c r="AR322" s="659"/>
      <c r="AS322" s="659"/>
      <c r="AT322" s="659"/>
      <c r="AU322" s="659"/>
      <c r="AV322" s="659"/>
      <c r="AW322" s="658">
        <v>0</v>
      </c>
      <c r="AX322" s="658"/>
      <c r="AY322" s="658"/>
      <c r="AZ322" s="658"/>
      <c r="BA322" s="658"/>
      <c r="BB322" s="658"/>
      <c r="BC322" s="658">
        <v>0</v>
      </c>
      <c r="BD322" s="658"/>
      <c r="BE322" s="658"/>
      <c r="BF322" s="658">
        <v>182.49</v>
      </c>
      <c r="BG322" s="658"/>
      <c r="BH322" s="658"/>
      <c r="BI322" s="567">
        <v>0</v>
      </c>
      <c r="BJ322" s="567"/>
      <c r="BK322" s="567"/>
      <c r="BL322" s="567"/>
      <c r="BM322" s="660" t="s">
        <v>932</v>
      </c>
      <c r="BN322" s="660"/>
      <c r="BO322" s="660"/>
      <c r="BP322" s="660"/>
      <c r="BQ322" s="568" t="s">
        <v>932</v>
      </c>
      <c r="BR322" s="568"/>
      <c r="BS322" s="568"/>
      <c r="BT322" s="660" t="s">
        <v>932</v>
      </c>
      <c r="BU322" s="660"/>
      <c r="BV322" s="660"/>
      <c r="BW322" s="660"/>
      <c r="BX322" s="568" t="s">
        <v>932</v>
      </c>
      <c r="BY322" s="568"/>
      <c r="BZ322" s="568"/>
      <c r="CA322" s="660" t="s">
        <v>932</v>
      </c>
      <c r="CB322" s="660"/>
      <c r="CC322" s="660"/>
      <c r="CD322" s="660"/>
      <c r="CE322" s="568">
        <v>1</v>
      </c>
      <c r="CF322" s="568"/>
      <c r="CG322" s="568"/>
      <c r="CH322" s="660" t="s">
        <v>932</v>
      </c>
      <c r="CI322" s="660"/>
      <c r="CJ322" s="660"/>
      <c r="CK322" s="660"/>
      <c r="CL322" s="568" t="s">
        <v>932</v>
      </c>
      <c r="CM322" s="568"/>
      <c r="CN322" s="568"/>
    </row>
    <row r="323" hidden="1" customHeight="1" spans="1:92">
      <c r="A323" s="612"/>
      <c r="B323" s="612"/>
      <c r="C323" s="518"/>
      <c r="D323" s="518"/>
      <c r="E323" s="518"/>
      <c r="F323" s="657"/>
      <c r="G323" s="657"/>
      <c r="H323" s="657"/>
      <c r="I323" s="519"/>
      <c r="J323" s="519"/>
      <c r="K323" s="519"/>
      <c r="L323" s="519"/>
      <c r="M323" s="519"/>
      <c r="N323" s="519"/>
      <c r="O323" s="519"/>
      <c r="P323" s="519"/>
      <c r="Q323" s="519"/>
      <c r="R323" s="519"/>
      <c r="S323" s="519"/>
      <c r="T323" s="519"/>
      <c r="U323" s="519"/>
      <c r="V323" s="519"/>
      <c r="W323" s="519"/>
      <c r="X323" s="519"/>
      <c r="Y323" s="519"/>
      <c r="Z323" s="519"/>
      <c r="AA323" s="519"/>
      <c r="AB323" s="526"/>
      <c r="AC323" s="526"/>
      <c r="AD323" s="658"/>
      <c r="AE323" s="658"/>
      <c r="AF323" s="658"/>
      <c r="AG323" s="526">
        <v>0</v>
      </c>
      <c r="AH323" s="526"/>
      <c r="AI323" s="659" t="e">
        <v>#N/A</v>
      </c>
      <c r="AJ323" s="659"/>
      <c r="AK323" s="659"/>
      <c r="AL323" s="659"/>
      <c r="AM323" s="659"/>
      <c r="AN323" s="659"/>
      <c r="AO323" s="659"/>
      <c r="AP323" s="659"/>
      <c r="AQ323" s="659"/>
      <c r="AR323" s="659"/>
      <c r="AS323" s="659"/>
      <c r="AT323" s="659"/>
      <c r="AU323" s="659"/>
      <c r="AV323" s="659"/>
      <c r="AW323" s="658">
        <v>0</v>
      </c>
      <c r="AX323" s="658"/>
      <c r="AY323" s="658"/>
      <c r="AZ323" s="658"/>
      <c r="BA323" s="658"/>
      <c r="BB323" s="658"/>
      <c r="BC323" s="658">
        <v>0</v>
      </c>
      <c r="BD323" s="658"/>
      <c r="BE323" s="658"/>
      <c r="BF323" s="658">
        <v>182.49</v>
      </c>
      <c r="BG323" s="658"/>
      <c r="BH323" s="658"/>
      <c r="BI323" s="567">
        <v>0</v>
      </c>
      <c r="BJ323" s="567"/>
      <c r="BK323" s="567"/>
      <c r="BL323" s="567"/>
      <c r="BM323" s="660" t="s">
        <v>932</v>
      </c>
      <c r="BN323" s="660"/>
      <c r="BO323" s="660"/>
      <c r="BP323" s="660"/>
      <c r="BQ323" s="568" t="s">
        <v>932</v>
      </c>
      <c r="BR323" s="568"/>
      <c r="BS323" s="568"/>
      <c r="BT323" s="660" t="s">
        <v>932</v>
      </c>
      <c r="BU323" s="660"/>
      <c r="BV323" s="660"/>
      <c r="BW323" s="660"/>
      <c r="BX323" s="568" t="s">
        <v>932</v>
      </c>
      <c r="BY323" s="568"/>
      <c r="BZ323" s="568"/>
      <c r="CA323" s="660" t="s">
        <v>932</v>
      </c>
      <c r="CB323" s="660"/>
      <c r="CC323" s="660"/>
      <c r="CD323" s="660"/>
      <c r="CE323" s="568">
        <v>1</v>
      </c>
      <c r="CF323" s="568"/>
      <c r="CG323" s="568"/>
      <c r="CH323" s="660" t="s">
        <v>932</v>
      </c>
      <c r="CI323" s="660"/>
      <c r="CJ323" s="660"/>
      <c r="CK323" s="660"/>
      <c r="CL323" s="568" t="s">
        <v>932</v>
      </c>
      <c r="CM323" s="568"/>
      <c r="CN323" s="568"/>
    </row>
    <row r="324" hidden="1" customHeight="1" spans="1:92">
      <c r="A324" s="612"/>
      <c r="B324" s="612"/>
      <c r="C324" s="518"/>
      <c r="D324" s="518"/>
      <c r="E324" s="518"/>
      <c r="F324" s="657"/>
      <c r="G324" s="657"/>
      <c r="H324" s="657"/>
      <c r="I324" s="519"/>
      <c r="J324" s="519"/>
      <c r="K324" s="519"/>
      <c r="L324" s="519"/>
      <c r="M324" s="519"/>
      <c r="N324" s="519"/>
      <c r="O324" s="519"/>
      <c r="P324" s="519"/>
      <c r="Q324" s="519"/>
      <c r="R324" s="519"/>
      <c r="S324" s="519"/>
      <c r="T324" s="519"/>
      <c r="U324" s="519"/>
      <c r="V324" s="519"/>
      <c r="W324" s="519"/>
      <c r="X324" s="519"/>
      <c r="Y324" s="519"/>
      <c r="Z324" s="519"/>
      <c r="AA324" s="519"/>
      <c r="AB324" s="526"/>
      <c r="AC324" s="526"/>
      <c r="AD324" s="658"/>
      <c r="AE324" s="658"/>
      <c r="AF324" s="658"/>
      <c r="AG324" s="526">
        <v>0</v>
      </c>
      <c r="AH324" s="526"/>
      <c r="AI324" s="659" t="e">
        <v>#N/A</v>
      </c>
      <c r="AJ324" s="659"/>
      <c r="AK324" s="659"/>
      <c r="AL324" s="659"/>
      <c r="AM324" s="659"/>
      <c r="AN324" s="659"/>
      <c r="AO324" s="659"/>
      <c r="AP324" s="659"/>
      <c r="AQ324" s="659"/>
      <c r="AR324" s="659"/>
      <c r="AS324" s="659"/>
      <c r="AT324" s="659"/>
      <c r="AU324" s="659"/>
      <c r="AV324" s="659"/>
      <c r="AW324" s="658">
        <v>0</v>
      </c>
      <c r="AX324" s="658"/>
      <c r="AY324" s="658"/>
      <c r="AZ324" s="658"/>
      <c r="BA324" s="658"/>
      <c r="BB324" s="658"/>
      <c r="BC324" s="658">
        <v>0</v>
      </c>
      <c r="BD324" s="658"/>
      <c r="BE324" s="658"/>
      <c r="BF324" s="658">
        <v>182.49</v>
      </c>
      <c r="BG324" s="658"/>
      <c r="BH324" s="658"/>
      <c r="BI324" s="567">
        <v>0</v>
      </c>
      <c r="BJ324" s="567"/>
      <c r="BK324" s="567"/>
      <c r="BL324" s="567"/>
      <c r="BM324" s="660" t="s">
        <v>932</v>
      </c>
      <c r="BN324" s="660"/>
      <c r="BO324" s="660"/>
      <c r="BP324" s="660"/>
      <c r="BQ324" s="568" t="s">
        <v>932</v>
      </c>
      <c r="BR324" s="568"/>
      <c r="BS324" s="568"/>
      <c r="BT324" s="660" t="s">
        <v>932</v>
      </c>
      <c r="BU324" s="660"/>
      <c r="BV324" s="660"/>
      <c r="BW324" s="660"/>
      <c r="BX324" s="568" t="s">
        <v>932</v>
      </c>
      <c r="BY324" s="568"/>
      <c r="BZ324" s="568"/>
      <c r="CA324" s="660" t="s">
        <v>932</v>
      </c>
      <c r="CB324" s="660"/>
      <c r="CC324" s="660"/>
      <c r="CD324" s="660"/>
      <c r="CE324" s="568">
        <v>1</v>
      </c>
      <c r="CF324" s="568"/>
      <c r="CG324" s="568"/>
      <c r="CH324" s="660" t="s">
        <v>932</v>
      </c>
      <c r="CI324" s="660"/>
      <c r="CJ324" s="660"/>
      <c r="CK324" s="660"/>
      <c r="CL324" s="568" t="s">
        <v>932</v>
      </c>
      <c r="CM324" s="568"/>
      <c r="CN324" s="568"/>
    </row>
    <row r="325" hidden="1" customHeight="1" spans="1:92">
      <c r="A325" s="612"/>
      <c r="B325" s="612"/>
      <c r="C325" s="518"/>
      <c r="D325" s="518"/>
      <c r="E325" s="518"/>
      <c r="F325" s="657"/>
      <c r="G325" s="657"/>
      <c r="H325" s="657"/>
      <c r="I325" s="519"/>
      <c r="J325" s="519"/>
      <c r="K325" s="519"/>
      <c r="L325" s="519"/>
      <c r="M325" s="519"/>
      <c r="N325" s="519"/>
      <c r="O325" s="519"/>
      <c r="P325" s="519"/>
      <c r="Q325" s="519"/>
      <c r="R325" s="519"/>
      <c r="S325" s="519"/>
      <c r="T325" s="519"/>
      <c r="U325" s="519"/>
      <c r="V325" s="519"/>
      <c r="W325" s="519"/>
      <c r="X325" s="519"/>
      <c r="Y325" s="519"/>
      <c r="Z325" s="519"/>
      <c r="AA325" s="519"/>
      <c r="AB325" s="526"/>
      <c r="AC325" s="526"/>
      <c r="AD325" s="658"/>
      <c r="AE325" s="658"/>
      <c r="AF325" s="658"/>
      <c r="AG325" s="526">
        <v>0</v>
      </c>
      <c r="AH325" s="526"/>
      <c r="AI325" s="659" t="e">
        <v>#N/A</v>
      </c>
      <c r="AJ325" s="659"/>
      <c r="AK325" s="659"/>
      <c r="AL325" s="659"/>
      <c r="AM325" s="659"/>
      <c r="AN325" s="659"/>
      <c r="AO325" s="659"/>
      <c r="AP325" s="659"/>
      <c r="AQ325" s="659"/>
      <c r="AR325" s="659"/>
      <c r="AS325" s="659"/>
      <c r="AT325" s="659"/>
      <c r="AU325" s="659"/>
      <c r="AV325" s="659"/>
      <c r="AW325" s="658">
        <v>0</v>
      </c>
      <c r="AX325" s="658"/>
      <c r="AY325" s="658"/>
      <c r="AZ325" s="658"/>
      <c r="BA325" s="658"/>
      <c r="BB325" s="658"/>
      <c r="BC325" s="658">
        <v>0</v>
      </c>
      <c r="BD325" s="658"/>
      <c r="BE325" s="658"/>
      <c r="BF325" s="658">
        <v>182.49</v>
      </c>
      <c r="BG325" s="658"/>
      <c r="BH325" s="658"/>
      <c r="BI325" s="567">
        <v>0</v>
      </c>
      <c r="BJ325" s="567"/>
      <c r="BK325" s="567"/>
      <c r="BL325" s="567"/>
      <c r="BM325" s="660" t="s">
        <v>932</v>
      </c>
      <c r="BN325" s="660"/>
      <c r="BO325" s="660"/>
      <c r="BP325" s="660"/>
      <c r="BQ325" s="568" t="s">
        <v>932</v>
      </c>
      <c r="BR325" s="568"/>
      <c r="BS325" s="568"/>
      <c r="BT325" s="660" t="s">
        <v>932</v>
      </c>
      <c r="BU325" s="660"/>
      <c r="BV325" s="660"/>
      <c r="BW325" s="660"/>
      <c r="BX325" s="568" t="s">
        <v>932</v>
      </c>
      <c r="BY325" s="568"/>
      <c r="BZ325" s="568"/>
      <c r="CA325" s="660" t="s">
        <v>932</v>
      </c>
      <c r="CB325" s="660"/>
      <c r="CC325" s="660"/>
      <c r="CD325" s="660"/>
      <c r="CE325" s="568">
        <v>1</v>
      </c>
      <c r="CF325" s="568"/>
      <c r="CG325" s="568"/>
      <c r="CH325" s="660" t="s">
        <v>932</v>
      </c>
      <c r="CI325" s="660"/>
      <c r="CJ325" s="660"/>
      <c r="CK325" s="660"/>
      <c r="CL325" s="568" t="s">
        <v>932</v>
      </c>
      <c r="CM325" s="568"/>
      <c r="CN325" s="568"/>
    </row>
    <row r="326" hidden="1" customHeight="1" spans="1:92">
      <c r="A326" s="612"/>
      <c r="B326" s="612"/>
      <c r="C326" s="518"/>
      <c r="D326" s="518"/>
      <c r="E326" s="518"/>
      <c r="F326" s="657"/>
      <c r="G326" s="657"/>
      <c r="H326" s="657"/>
      <c r="I326" s="519"/>
      <c r="J326" s="519"/>
      <c r="K326" s="519"/>
      <c r="L326" s="519"/>
      <c r="M326" s="519"/>
      <c r="N326" s="519"/>
      <c r="O326" s="519"/>
      <c r="P326" s="519"/>
      <c r="Q326" s="519"/>
      <c r="R326" s="519"/>
      <c r="S326" s="519"/>
      <c r="T326" s="519"/>
      <c r="U326" s="519"/>
      <c r="V326" s="519"/>
      <c r="W326" s="519"/>
      <c r="X326" s="519"/>
      <c r="Y326" s="519"/>
      <c r="Z326" s="519"/>
      <c r="AA326" s="519"/>
      <c r="AB326" s="526"/>
      <c r="AC326" s="526"/>
      <c r="AD326" s="658"/>
      <c r="AE326" s="658"/>
      <c r="AF326" s="658"/>
      <c r="AG326" s="526">
        <v>0</v>
      </c>
      <c r="AH326" s="526"/>
      <c r="AI326" s="659" t="e">
        <v>#N/A</v>
      </c>
      <c r="AJ326" s="659"/>
      <c r="AK326" s="659"/>
      <c r="AL326" s="659"/>
      <c r="AM326" s="659"/>
      <c r="AN326" s="659"/>
      <c r="AO326" s="659"/>
      <c r="AP326" s="659"/>
      <c r="AQ326" s="659"/>
      <c r="AR326" s="659"/>
      <c r="AS326" s="659"/>
      <c r="AT326" s="659"/>
      <c r="AU326" s="659"/>
      <c r="AV326" s="659"/>
      <c r="AW326" s="658">
        <v>0</v>
      </c>
      <c r="AX326" s="658"/>
      <c r="AY326" s="658"/>
      <c r="AZ326" s="658"/>
      <c r="BA326" s="658"/>
      <c r="BB326" s="658"/>
      <c r="BC326" s="658">
        <v>0</v>
      </c>
      <c r="BD326" s="658"/>
      <c r="BE326" s="658"/>
      <c r="BF326" s="658">
        <v>182.49</v>
      </c>
      <c r="BG326" s="658"/>
      <c r="BH326" s="658"/>
      <c r="BI326" s="567">
        <v>0</v>
      </c>
      <c r="BJ326" s="567"/>
      <c r="BK326" s="567"/>
      <c r="BL326" s="567"/>
      <c r="BM326" s="660" t="s">
        <v>932</v>
      </c>
      <c r="BN326" s="660"/>
      <c r="BO326" s="660"/>
      <c r="BP326" s="660"/>
      <c r="BQ326" s="568" t="s">
        <v>932</v>
      </c>
      <c r="BR326" s="568"/>
      <c r="BS326" s="568"/>
      <c r="BT326" s="660" t="s">
        <v>932</v>
      </c>
      <c r="BU326" s="660"/>
      <c r="BV326" s="660"/>
      <c r="BW326" s="660"/>
      <c r="BX326" s="568" t="s">
        <v>932</v>
      </c>
      <c r="BY326" s="568"/>
      <c r="BZ326" s="568"/>
      <c r="CA326" s="660" t="s">
        <v>932</v>
      </c>
      <c r="CB326" s="660"/>
      <c r="CC326" s="660"/>
      <c r="CD326" s="660"/>
      <c r="CE326" s="568">
        <v>1</v>
      </c>
      <c r="CF326" s="568"/>
      <c r="CG326" s="568"/>
      <c r="CH326" s="660" t="s">
        <v>932</v>
      </c>
      <c r="CI326" s="660"/>
      <c r="CJ326" s="660"/>
      <c r="CK326" s="660"/>
      <c r="CL326" s="568" t="s">
        <v>932</v>
      </c>
      <c r="CM326" s="568"/>
      <c r="CN326" s="568"/>
    </row>
    <row r="327" hidden="1" customHeight="1" spans="1:92">
      <c r="A327" s="612"/>
      <c r="B327" s="612"/>
      <c r="C327" s="518"/>
      <c r="D327" s="518"/>
      <c r="E327" s="518"/>
      <c r="F327" s="657"/>
      <c r="G327" s="657"/>
      <c r="H327" s="657"/>
      <c r="I327" s="519"/>
      <c r="J327" s="519"/>
      <c r="K327" s="519"/>
      <c r="L327" s="519"/>
      <c r="M327" s="519"/>
      <c r="N327" s="519"/>
      <c r="O327" s="519"/>
      <c r="P327" s="519"/>
      <c r="Q327" s="519"/>
      <c r="R327" s="519"/>
      <c r="S327" s="519"/>
      <c r="T327" s="519"/>
      <c r="U327" s="519"/>
      <c r="V327" s="519"/>
      <c r="W327" s="519"/>
      <c r="X327" s="519"/>
      <c r="Y327" s="519"/>
      <c r="Z327" s="519"/>
      <c r="AA327" s="519"/>
      <c r="AB327" s="526"/>
      <c r="AC327" s="526"/>
      <c r="AD327" s="658"/>
      <c r="AE327" s="658"/>
      <c r="AF327" s="658"/>
      <c r="AG327" s="526">
        <v>0</v>
      </c>
      <c r="AH327" s="526"/>
      <c r="AI327" s="659" t="e">
        <v>#N/A</v>
      </c>
      <c r="AJ327" s="659"/>
      <c r="AK327" s="659"/>
      <c r="AL327" s="659"/>
      <c r="AM327" s="659"/>
      <c r="AN327" s="659"/>
      <c r="AO327" s="659"/>
      <c r="AP327" s="659"/>
      <c r="AQ327" s="659"/>
      <c r="AR327" s="659"/>
      <c r="AS327" s="659"/>
      <c r="AT327" s="659"/>
      <c r="AU327" s="659"/>
      <c r="AV327" s="659"/>
      <c r="AW327" s="658">
        <v>0</v>
      </c>
      <c r="AX327" s="658"/>
      <c r="AY327" s="658"/>
      <c r="AZ327" s="658"/>
      <c r="BA327" s="658"/>
      <c r="BB327" s="658"/>
      <c r="BC327" s="658">
        <v>0</v>
      </c>
      <c r="BD327" s="658"/>
      <c r="BE327" s="658"/>
      <c r="BF327" s="658">
        <v>182.49</v>
      </c>
      <c r="BG327" s="658"/>
      <c r="BH327" s="658"/>
      <c r="BI327" s="567">
        <v>0</v>
      </c>
      <c r="BJ327" s="567"/>
      <c r="BK327" s="567"/>
      <c r="BL327" s="567"/>
      <c r="BM327" s="660" t="s">
        <v>932</v>
      </c>
      <c r="BN327" s="660"/>
      <c r="BO327" s="660"/>
      <c r="BP327" s="660"/>
      <c r="BQ327" s="568" t="s">
        <v>932</v>
      </c>
      <c r="BR327" s="568"/>
      <c r="BS327" s="568"/>
      <c r="BT327" s="660" t="s">
        <v>932</v>
      </c>
      <c r="BU327" s="660"/>
      <c r="BV327" s="660"/>
      <c r="BW327" s="660"/>
      <c r="BX327" s="568" t="s">
        <v>932</v>
      </c>
      <c r="BY327" s="568"/>
      <c r="BZ327" s="568"/>
      <c r="CA327" s="660" t="s">
        <v>932</v>
      </c>
      <c r="CB327" s="660"/>
      <c r="CC327" s="660"/>
      <c r="CD327" s="660"/>
      <c r="CE327" s="568">
        <v>1</v>
      </c>
      <c r="CF327" s="568"/>
      <c r="CG327" s="568"/>
      <c r="CH327" s="660" t="s">
        <v>932</v>
      </c>
      <c r="CI327" s="660"/>
      <c r="CJ327" s="660"/>
      <c r="CK327" s="660"/>
      <c r="CL327" s="568" t="s">
        <v>932</v>
      </c>
      <c r="CM327" s="568"/>
      <c r="CN327" s="568"/>
    </row>
    <row r="328" customHeight="1" spans="1:92">
      <c r="A328" s="612" t="s">
        <v>981</v>
      </c>
      <c r="B328" s="612"/>
      <c r="C328" s="518"/>
      <c r="D328" s="518"/>
      <c r="E328" s="518"/>
      <c r="F328" s="657">
        <v>1107900</v>
      </c>
      <c r="G328" s="657"/>
      <c r="H328" s="657"/>
      <c r="I328" s="519" t="s">
        <v>108</v>
      </c>
      <c r="J328" s="519"/>
      <c r="K328" s="519"/>
      <c r="L328" s="519"/>
      <c r="M328" s="519"/>
      <c r="N328" s="519"/>
      <c r="O328" s="519"/>
      <c r="P328" s="519"/>
      <c r="Q328" s="519"/>
      <c r="R328" s="519"/>
      <c r="S328" s="519"/>
      <c r="T328" s="519"/>
      <c r="U328" s="519"/>
      <c r="V328" s="519"/>
      <c r="W328" s="519"/>
      <c r="X328" s="519"/>
      <c r="Y328" s="519"/>
      <c r="Z328" s="519"/>
      <c r="AA328" s="519"/>
      <c r="AB328" s="526" t="s">
        <v>99</v>
      </c>
      <c r="AC328" s="526"/>
      <c r="AD328" s="658">
        <v>0.12</v>
      </c>
      <c r="AE328" s="658"/>
      <c r="AF328" s="658"/>
      <c r="AG328" s="526" t="s">
        <v>946</v>
      </c>
      <c r="AH328" s="526"/>
      <c r="AI328" s="659" t="s">
        <v>947</v>
      </c>
      <c r="AJ328" s="659"/>
      <c r="AK328" s="659"/>
      <c r="AL328" s="659"/>
      <c r="AM328" s="659"/>
      <c r="AN328" s="659"/>
      <c r="AO328" s="659"/>
      <c r="AP328" s="659"/>
      <c r="AQ328" s="659"/>
      <c r="AR328" s="659"/>
      <c r="AS328" s="659"/>
      <c r="AT328" s="659"/>
      <c r="AU328" s="659"/>
      <c r="AV328" s="659"/>
      <c r="AW328" s="658">
        <v>1</v>
      </c>
      <c r="AX328" s="658"/>
      <c r="AY328" s="658"/>
      <c r="AZ328" s="658">
        <v>3.853</v>
      </c>
      <c r="BA328" s="658"/>
      <c r="BB328" s="658"/>
      <c r="BC328" s="658">
        <v>0.0311445626784324</v>
      </c>
      <c r="BD328" s="658"/>
      <c r="BE328" s="658"/>
      <c r="BF328" s="658">
        <v>182.49</v>
      </c>
      <c r="BG328" s="658"/>
      <c r="BH328" s="658"/>
      <c r="BI328" s="567">
        <v>0.000170664489442887</v>
      </c>
      <c r="BJ328" s="567"/>
      <c r="BK328" s="567"/>
      <c r="BL328" s="567"/>
      <c r="BM328" s="660" t="s">
        <v>932</v>
      </c>
      <c r="BN328" s="660"/>
      <c r="BO328" s="660"/>
      <c r="BP328" s="660"/>
      <c r="BQ328" s="568" t="s">
        <v>932</v>
      </c>
      <c r="BR328" s="568"/>
      <c r="BS328" s="568"/>
      <c r="BT328" s="660" t="s">
        <v>932</v>
      </c>
      <c r="BU328" s="660"/>
      <c r="BV328" s="660"/>
      <c r="BW328" s="660"/>
      <c r="BX328" s="568" t="s">
        <v>932</v>
      </c>
      <c r="BY328" s="568"/>
      <c r="BZ328" s="568"/>
      <c r="CA328" s="660">
        <v>0.000170664489442887</v>
      </c>
      <c r="CB328" s="660"/>
      <c r="CC328" s="660"/>
      <c r="CD328" s="660"/>
      <c r="CE328" s="568">
        <v>1</v>
      </c>
      <c r="CF328" s="568"/>
      <c r="CG328" s="568"/>
      <c r="CH328" s="660" t="s">
        <v>932</v>
      </c>
      <c r="CI328" s="660"/>
      <c r="CJ328" s="660"/>
      <c r="CK328" s="660"/>
      <c r="CL328" s="568" t="s">
        <v>932</v>
      </c>
      <c r="CM328" s="568"/>
      <c r="CN328" s="568"/>
    </row>
    <row r="329" customHeight="1" spans="1:92">
      <c r="A329" s="612"/>
      <c r="B329" s="612"/>
      <c r="C329" s="518"/>
      <c r="D329" s="518"/>
      <c r="E329" s="518"/>
      <c r="F329" s="657"/>
      <c r="G329" s="657"/>
      <c r="H329" s="657"/>
      <c r="I329" s="519"/>
      <c r="J329" s="519"/>
      <c r="K329" s="519"/>
      <c r="L329" s="519"/>
      <c r="M329" s="519"/>
      <c r="N329" s="519"/>
      <c r="O329" s="519"/>
      <c r="P329" s="519"/>
      <c r="Q329" s="519"/>
      <c r="R329" s="519"/>
      <c r="S329" s="519"/>
      <c r="T329" s="519"/>
      <c r="U329" s="519"/>
      <c r="V329" s="519"/>
      <c r="W329" s="519"/>
      <c r="X329" s="519"/>
      <c r="Y329" s="519"/>
      <c r="Z329" s="519"/>
      <c r="AA329" s="519"/>
      <c r="AB329" s="526"/>
      <c r="AC329" s="526"/>
      <c r="AD329" s="658"/>
      <c r="AE329" s="658"/>
      <c r="AF329" s="658"/>
      <c r="AG329" s="526" t="s">
        <v>935</v>
      </c>
      <c r="AH329" s="526"/>
      <c r="AI329" s="659" t="s">
        <v>936</v>
      </c>
      <c r="AJ329" s="659"/>
      <c r="AK329" s="659"/>
      <c r="AL329" s="659"/>
      <c r="AM329" s="659"/>
      <c r="AN329" s="659"/>
      <c r="AO329" s="659"/>
      <c r="AP329" s="659"/>
      <c r="AQ329" s="659"/>
      <c r="AR329" s="659"/>
      <c r="AS329" s="659"/>
      <c r="AT329" s="659"/>
      <c r="AU329" s="659"/>
      <c r="AV329" s="659"/>
      <c r="AW329" s="658">
        <v>9</v>
      </c>
      <c r="AX329" s="658"/>
      <c r="AY329" s="658"/>
      <c r="AZ329" s="658"/>
      <c r="BA329" s="658"/>
      <c r="BB329" s="658"/>
      <c r="BC329" s="658">
        <v>0.280301064105892</v>
      </c>
      <c r="BD329" s="658"/>
      <c r="BE329" s="658"/>
      <c r="BF329" s="658">
        <v>182.49</v>
      </c>
      <c r="BG329" s="658"/>
      <c r="BH329" s="658"/>
      <c r="BI329" s="567">
        <v>0.00153598040498598</v>
      </c>
      <c r="BJ329" s="567"/>
      <c r="BK329" s="567"/>
      <c r="BL329" s="567"/>
      <c r="BM329" s="660" t="s">
        <v>932</v>
      </c>
      <c r="BN329" s="660"/>
      <c r="BO329" s="660"/>
      <c r="BP329" s="660"/>
      <c r="BQ329" s="568" t="s">
        <v>932</v>
      </c>
      <c r="BR329" s="568"/>
      <c r="BS329" s="568"/>
      <c r="BT329" s="660" t="s">
        <v>932</v>
      </c>
      <c r="BU329" s="660"/>
      <c r="BV329" s="660"/>
      <c r="BW329" s="660"/>
      <c r="BX329" s="568" t="s">
        <v>932</v>
      </c>
      <c r="BY329" s="568"/>
      <c r="BZ329" s="568"/>
      <c r="CA329" s="660">
        <v>0.00153598040498598</v>
      </c>
      <c r="CB329" s="660"/>
      <c r="CC329" s="660"/>
      <c r="CD329" s="660"/>
      <c r="CE329" s="568">
        <v>1</v>
      </c>
      <c r="CF329" s="568"/>
      <c r="CG329" s="568"/>
      <c r="CH329" s="660" t="s">
        <v>932</v>
      </c>
      <c r="CI329" s="660"/>
      <c r="CJ329" s="660"/>
      <c r="CK329" s="660"/>
      <c r="CL329" s="568" t="s">
        <v>932</v>
      </c>
      <c r="CM329" s="568"/>
      <c r="CN329" s="568"/>
    </row>
    <row r="330" hidden="1" customHeight="1" spans="1:92">
      <c r="A330" s="612"/>
      <c r="B330" s="612"/>
      <c r="C330" s="518"/>
      <c r="D330" s="518"/>
      <c r="E330" s="518"/>
      <c r="F330" s="657"/>
      <c r="G330" s="657"/>
      <c r="H330" s="657"/>
      <c r="I330" s="519"/>
      <c r="J330" s="519"/>
      <c r="K330" s="519"/>
      <c r="L330" s="519"/>
      <c r="M330" s="519"/>
      <c r="N330" s="519"/>
      <c r="O330" s="519"/>
      <c r="P330" s="519"/>
      <c r="Q330" s="519"/>
      <c r="R330" s="519"/>
      <c r="S330" s="519"/>
      <c r="T330" s="519"/>
      <c r="U330" s="519"/>
      <c r="V330" s="519"/>
      <c r="W330" s="519"/>
      <c r="X330" s="519"/>
      <c r="Y330" s="519"/>
      <c r="Z330" s="519"/>
      <c r="AA330" s="519"/>
      <c r="AB330" s="526"/>
      <c r="AC330" s="526"/>
      <c r="AD330" s="658"/>
      <c r="AE330" s="658"/>
      <c r="AF330" s="658"/>
      <c r="AG330" s="526">
        <v>0</v>
      </c>
      <c r="AH330" s="526"/>
      <c r="AI330" s="659" t="e">
        <v>#N/A</v>
      </c>
      <c r="AJ330" s="659"/>
      <c r="AK330" s="659"/>
      <c r="AL330" s="659"/>
      <c r="AM330" s="659"/>
      <c r="AN330" s="659"/>
      <c r="AO330" s="659"/>
      <c r="AP330" s="659"/>
      <c r="AQ330" s="659"/>
      <c r="AR330" s="659"/>
      <c r="AS330" s="659"/>
      <c r="AT330" s="659"/>
      <c r="AU330" s="659"/>
      <c r="AV330" s="659"/>
      <c r="AW330" s="658">
        <v>0</v>
      </c>
      <c r="AX330" s="658"/>
      <c r="AY330" s="658"/>
      <c r="AZ330" s="658"/>
      <c r="BA330" s="658"/>
      <c r="BB330" s="658"/>
      <c r="BC330" s="658">
        <v>0</v>
      </c>
      <c r="BD330" s="658"/>
      <c r="BE330" s="658"/>
      <c r="BF330" s="658">
        <v>182.49</v>
      </c>
      <c r="BG330" s="658"/>
      <c r="BH330" s="658"/>
      <c r="BI330" s="567">
        <v>0</v>
      </c>
      <c r="BJ330" s="567"/>
      <c r="BK330" s="567"/>
      <c r="BL330" s="567"/>
      <c r="BM330" s="660" t="s">
        <v>932</v>
      </c>
      <c r="BN330" s="660"/>
      <c r="BO330" s="660"/>
      <c r="BP330" s="660"/>
      <c r="BQ330" s="568" t="s">
        <v>932</v>
      </c>
      <c r="BR330" s="568"/>
      <c r="BS330" s="568"/>
      <c r="BT330" s="660" t="s">
        <v>932</v>
      </c>
      <c r="BU330" s="660"/>
      <c r="BV330" s="660"/>
      <c r="BW330" s="660"/>
      <c r="BX330" s="568" t="s">
        <v>932</v>
      </c>
      <c r="BY330" s="568"/>
      <c r="BZ330" s="568"/>
      <c r="CA330" s="660" t="s">
        <v>932</v>
      </c>
      <c r="CB330" s="660"/>
      <c r="CC330" s="660"/>
      <c r="CD330" s="660"/>
      <c r="CE330" s="568">
        <v>1</v>
      </c>
      <c r="CF330" s="568"/>
      <c r="CG330" s="568"/>
      <c r="CH330" s="660" t="s">
        <v>932</v>
      </c>
      <c r="CI330" s="660"/>
      <c r="CJ330" s="660"/>
      <c r="CK330" s="660"/>
      <c r="CL330" s="568" t="s">
        <v>932</v>
      </c>
      <c r="CM330" s="568"/>
      <c r="CN330" s="568"/>
    </row>
    <row r="331" hidden="1" customHeight="1" spans="1:92">
      <c r="A331" s="612"/>
      <c r="B331" s="612"/>
      <c r="C331" s="518"/>
      <c r="D331" s="518"/>
      <c r="E331" s="518"/>
      <c r="F331" s="657"/>
      <c r="G331" s="657"/>
      <c r="H331" s="657"/>
      <c r="I331" s="519"/>
      <c r="J331" s="519"/>
      <c r="K331" s="519"/>
      <c r="L331" s="519"/>
      <c r="M331" s="519"/>
      <c r="N331" s="519"/>
      <c r="O331" s="519"/>
      <c r="P331" s="519"/>
      <c r="Q331" s="519"/>
      <c r="R331" s="519"/>
      <c r="S331" s="519"/>
      <c r="T331" s="519"/>
      <c r="U331" s="519"/>
      <c r="V331" s="519"/>
      <c r="W331" s="519"/>
      <c r="X331" s="519"/>
      <c r="Y331" s="519"/>
      <c r="Z331" s="519"/>
      <c r="AA331" s="519"/>
      <c r="AB331" s="526"/>
      <c r="AC331" s="526"/>
      <c r="AD331" s="658"/>
      <c r="AE331" s="658"/>
      <c r="AF331" s="658"/>
      <c r="AG331" s="526">
        <v>0</v>
      </c>
      <c r="AH331" s="526"/>
      <c r="AI331" s="659" t="e">
        <v>#N/A</v>
      </c>
      <c r="AJ331" s="659"/>
      <c r="AK331" s="659"/>
      <c r="AL331" s="659"/>
      <c r="AM331" s="659"/>
      <c r="AN331" s="659"/>
      <c r="AO331" s="659"/>
      <c r="AP331" s="659"/>
      <c r="AQ331" s="659"/>
      <c r="AR331" s="659"/>
      <c r="AS331" s="659"/>
      <c r="AT331" s="659"/>
      <c r="AU331" s="659"/>
      <c r="AV331" s="659"/>
      <c r="AW331" s="658">
        <v>0</v>
      </c>
      <c r="AX331" s="658"/>
      <c r="AY331" s="658"/>
      <c r="AZ331" s="658"/>
      <c r="BA331" s="658"/>
      <c r="BB331" s="658"/>
      <c r="BC331" s="658">
        <v>0</v>
      </c>
      <c r="BD331" s="658"/>
      <c r="BE331" s="658"/>
      <c r="BF331" s="658">
        <v>182.49</v>
      </c>
      <c r="BG331" s="658"/>
      <c r="BH331" s="658"/>
      <c r="BI331" s="567">
        <v>0</v>
      </c>
      <c r="BJ331" s="567"/>
      <c r="BK331" s="567"/>
      <c r="BL331" s="567"/>
      <c r="BM331" s="660" t="s">
        <v>932</v>
      </c>
      <c r="BN331" s="660"/>
      <c r="BO331" s="660"/>
      <c r="BP331" s="660"/>
      <c r="BQ331" s="568" t="s">
        <v>932</v>
      </c>
      <c r="BR331" s="568"/>
      <c r="BS331" s="568"/>
      <c r="BT331" s="660" t="s">
        <v>932</v>
      </c>
      <c r="BU331" s="660"/>
      <c r="BV331" s="660"/>
      <c r="BW331" s="660"/>
      <c r="BX331" s="568" t="s">
        <v>932</v>
      </c>
      <c r="BY331" s="568"/>
      <c r="BZ331" s="568"/>
      <c r="CA331" s="660" t="s">
        <v>932</v>
      </c>
      <c r="CB331" s="660"/>
      <c r="CC331" s="660"/>
      <c r="CD331" s="660"/>
      <c r="CE331" s="568">
        <v>1</v>
      </c>
      <c r="CF331" s="568"/>
      <c r="CG331" s="568"/>
      <c r="CH331" s="660" t="s">
        <v>932</v>
      </c>
      <c r="CI331" s="660"/>
      <c r="CJ331" s="660"/>
      <c r="CK331" s="660"/>
      <c r="CL331" s="568" t="s">
        <v>932</v>
      </c>
      <c r="CM331" s="568"/>
      <c r="CN331" s="568"/>
    </row>
    <row r="332" hidden="1" customHeight="1" spans="1:92">
      <c r="A332" s="612"/>
      <c r="B332" s="612"/>
      <c r="C332" s="518"/>
      <c r="D332" s="518"/>
      <c r="E332" s="518"/>
      <c r="F332" s="657"/>
      <c r="G332" s="657"/>
      <c r="H332" s="657"/>
      <c r="I332" s="519"/>
      <c r="J332" s="519"/>
      <c r="K332" s="519"/>
      <c r="L332" s="519"/>
      <c r="M332" s="519"/>
      <c r="N332" s="519"/>
      <c r="O332" s="519"/>
      <c r="P332" s="519"/>
      <c r="Q332" s="519"/>
      <c r="R332" s="519"/>
      <c r="S332" s="519"/>
      <c r="T332" s="519"/>
      <c r="U332" s="519"/>
      <c r="V332" s="519"/>
      <c r="W332" s="519"/>
      <c r="X332" s="519"/>
      <c r="Y332" s="519"/>
      <c r="Z332" s="519"/>
      <c r="AA332" s="519"/>
      <c r="AB332" s="526"/>
      <c r="AC332" s="526"/>
      <c r="AD332" s="658"/>
      <c r="AE332" s="658"/>
      <c r="AF332" s="658"/>
      <c r="AG332" s="526">
        <v>0</v>
      </c>
      <c r="AH332" s="526"/>
      <c r="AI332" s="659" t="e">
        <v>#N/A</v>
      </c>
      <c r="AJ332" s="659"/>
      <c r="AK332" s="659"/>
      <c r="AL332" s="659"/>
      <c r="AM332" s="659"/>
      <c r="AN332" s="659"/>
      <c r="AO332" s="659"/>
      <c r="AP332" s="659"/>
      <c r="AQ332" s="659"/>
      <c r="AR332" s="659"/>
      <c r="AS332" s="659"/>
      <c r="AT332" s="659"/>
      <c r="AU332" s="659"/>
      <c r="AV332" s="659"/>
      <c r="AW332" s="658">
        <v>0</v>
      </c>
      <c r="AX332" s="658"/>
      <c r="AY332" s="658"/>
      <c r="AZ332" s="658"/>
      <c r="BA332" s="658"/>
      <c r="BB332" s="658"/>
      <c r="BC332" s="658">
        <v>0</v>
      </c>
      <c r="BD332" s="658"/>
      <c r="BE332" s="658"/>
      <c r="BF332" s="658">
        <v>182.49</v>
      </c>
      <c r="BG332" s="658"/>
      <c r="BH332" s="658"/>
      <c r="BI332" s="567">
        <v>0</v>
      </c>
      <c r="BJ332" s="567"/>
      <c r="BK332" s="567"/>
      <c r="BL332" s="567"/>
      <c r="BM332" s="660" t="s">
        <v>932</v>
      </c>
      <c r="BN332" s="660"/>
      <c r="BO332" s="660"/>
      <c r="BP332" s="660"/>
      <c r="BQ332" s="568" t="s">
        <v>932</v>
      </c>
      <c r="BR332" s="568"/>
      <c r="BS332" s="568"/>
      <c r="BT332" s="660" t="s">
        <v>932</v>
      </c>
      <c r="BU332" s="660"/>
      <c r="BV332" s="660"/>
      <c r="BW332" s="660"/>
      <c r="BX332" s="568" t="s">
        <v>932</v>
      </c>
      <c r="BY332" s="568"/>
      <c r="BZ332" s="568"/>
      <c r="CA332" s="660" t="s">
        <v>932</v>
      </c>
      <c r="CB332" s="660"/>
      <c r="CC332" s="660"/>
      <c r="CD332" s="660"/>
      <c r="CE332" s="568">
        <v>1</v>
      </c>
      <c r="CF332" s="568"/>
      <c r="CG332" s="568"/>
      <c r="CH332" s="660" t="s">
        <v>932</v>
      </c>
      <c r="CI332" s="660"/>
      <c r="CJ332" s="660"/>
      <c r="CK332" s="660"/>
      <c r="CL332" s="568" t="s">
        <v>932</v>
      </c>
      <c r="CM332" s="568"/>
      <c r="CN332" s="568"/>
    </row>
    <row r="333" hidden="1" customHeight="1" spans="1:92">
      <c r="A333" s="612"/>
      <c r="B333" s="612"/>
      <c r="C333" s="518"/>
      <c r="D333" s="518"/>
      <c r="E333" s="518"/>
      <c r="F333" s="657"/>
      <c r="G333" s="657"/>
      <c r="H333" s="657"/>
      <c r="I333" s="519"/>
      <c r="J333" s="519"/>
      <c r="K333" s="519"/>
      <c r="L333" s="519"/>
      <c r="M333" s="519"/>
      <c r="N333" s="519"/>
      <c r="O333" s="519"/>
      <c r="P333" s="519"/>
      <c r="Q333" s="519"/>
      <c r="R333" s="519"/>
      <c r="S333" s="519"/>
      <c r="T333" s="519"/>
      <c r="U333" s="519"/>
      <c r="V333" s="519"/>
      <c r="W333" s="519"/>
      <c r="X333" s="519"/>
      <c r="Y333" s="519"/>
      <c r="Z333" s="519"/>
      <c r="AA333" s="519"/>
      <c r="AB333" s="526"/>
      <c r="AC333" s="526"/>
      <c r="AD333" s="658"/>
      <c r="AE333" s="658"/>
      <c r="AF333" s="658"/>
      <c r="AG333" s="526">
        <v>0</v>
      </c>
      <c r="AH333" s="526"/>
      <c r="AI333" s="659" t="e">
        <v>#N/A</v>
      </c>
      <c r="AJ333" s="659"/>
      <c r="AK333" s="659"/>
      <c r="AL333" s="659"/>
      <c r="AM333" s="659"/>
      <c r="AN333" s="659"/>
      <c r="AO333" s="659"/>
      <c r="AP333" s="659"/>
      <c r="AQ333" s="659"/>
      <c r="AR333" s="659"/>
      <c r="AS333" s="659"/>
      <c r="AT333" s="659"/>
      <c r="AU333" s="659"/>
      <c r="AV333" s="659"/>
      <c r="AW333" s="658">
        <v>0</v>
      </c>
      <c r="AX333" s="658"/>
      <c r="AY333" s="658"/>
      <c r="AZ333" s="658"/>
      <c r="BA333" s="658"/>
      <c r="BB333" s="658"/>
      <c r="BC333" s="658">
        <v>0</v>
      </c>
      <c r="BD333" s="658"/>
      <c r="BE333" s="658"/>
      <c r="BF333" s="658">
        <v>182.49</v>
      </c>
      <c r="BG333" s="658"/>
      <c r="BH333" s="658"/>
      <c r="BI333" s="567">
        <v>0</v>
      </c>
      <c r="BJ333" s="567"/>
      <c r="BK333" s="567"/>
      <c r="BL333" s="567"/>
      <c r="BM333" s="660" t="s">
        <v>932</v>
      </c>
      <c r="BN333" s="660"/>
      <c r="BO333" s="660"/>
      <c r="BP333" s="660"/>
      <c r="BQ333" s="568" t="s">
        <v>932</v>
      </c>
      <c r="BR333" s="568"/>
      <c r="BS333" s="568"/>
      <c r="BT333" s="660" t="s">
        <v>932</v>
      </c>
      <c r="BU333" s="660"/>
      <c r="BV333" s="660"/>
      <c r="BW333" s="660"/>
      <c r="BX333" s="568" t="s">
        <v>932</v>
      </c>
      <c r="BY333" s="568"/>
      <c r="BZ333" s="568"/>
      <c r="CA333" s="660" t="s">
        <v>932</v>
      </c>
      <c r="CB333" s="660"/>
      <c r="CC333" s="660"/>
      <c r="CD333" s="660"/>
      <c r="CE333" s="568">
        <v>1</v>
      </c>
      <c r="CF333" s="568"/>
      <c r="CG333" s="568"/>
      <c r="CH333" s="660" t="s">
        <v>932</v>
      </c>
      <c r="CI333" s="660"/>
      <c r="CJ333" s="660"/>
      <c r="CK333" s="660"/>
      <c r="CL333" s="568" t="s">
        <v>932</v>
      </c>
      <c r="CM333" s="568"/>
      <c r="CN333" s="568"/>
    </row>
    <row r="334" hidden="1" customHeight="1" spans="1:92">
      <c r="A334" s="612"/>
      <c r="B334" s="612"/>
      <c r="C334" s="518"/>
      <c r="D334" s="518"/>
      <c r="E334" s="518"/>
      <c r="F334" s="657"/>
      <c r="G334" s="657"/>
      <c r="H334" s="657"/>
      <c r="I334" s="519"/>
      <c r="J334" s="519"/>
      <c r="K334" s="519"/>
      <c r="L334" s="519"/>
      <c r="M334" s="519"/>
      <c r="N334" s="519"/>
      <c r="O334" s="519"/>
      <c r="P334" s="519"/>
      <c r="Q334" s="519"/>
      <c r="R334" s="519"/>
      <c r="S334" s="519"/>
      <c r="T334" s="519"/>
      <c r="U334" s="519"/>
      <c r="V334" s="519"/>
      <c r="W334" s="519"/>
      <c r="X334" s="519"/>
      <c r="Y334" s="519"/>
      <c r="Z334" s="519"/>
      <c r="AA334" s="519"/>
      <c r="AB334" s="526"/>
      <c r="AC334" s="526"/>
      <c r="AD334" s="658"/>
      <c r="AE334" s="658"/>
      <c r="AF334" s="658"/>
      <c r="AG334" s="526">
        <v>0</v>
      </c>
      <c r="AH334" s="526"/>
      <c r="AI334" s="659" t="e">
        <v>#N/A</v>
      </c>
      <c r="AJ334" s="659"/>
      <c r="AK334" s="659"/>
      <c r="AL334" s="659"/>
      <c r="AM334" s="659"/>
      <c r="AN334" s="659"/>
      <c r="AO334" s="659"/>
      <c r="AP334" s="659"/>
      <c r="AQ334" s="659"/>
      <c r="AR334" s="659"/>
      <c r="AS334" s="659"/>
      <c r="AT334" s="659"/>
      <c r="AU334" s="659"/>
      <c r="AV334" s="659"/>
      <c r="AW334" s="658">
        <v>0</v>
      </c>
      <c r="AX334" s="658"/>
      <c r="AY334" s="658"/>
      <c r="AZ334" s="658"/>
      <c r="BA334" s="658"/>
      <c r="BB334" s="658"/>
      <c r="BC334" s="658">
        <v>0</v>
      </c>
      <c r="BD334" s="658"/>
      <c r="BE334" s="658"/>
      <c r="BF334" s="658">
        <v>182.49</v>
      </c>
      <c r="BG334" s="658"/>
      <c r="BH334" s="658"/>
      <c r="BI334" s="567">
        <v>0</v>
      </c>
      <c r="BJ334" s="567"/>
      <c r="BK334" s="567"/>
      <c r="BL334" s="567"/>
      <c r="BM334" s="660" t="s">
        <v>932</v>
      </c>
      <c r="BN334" s="660"/>
      <c r="BO334" s="660"/>
      <c r="BP334" s="660"/>
      <c r="BQ334" s="568" t="s">
        <v>932</v>
      </c>
      <c r="BR334" s="568"/>
      <c r="BS334" s="568"/>
      <c r="BT334" s="660" t="s">
        <v>932</v>
      </c>
      <c r="BU334" s="660"/>
      <c r="BV334" s="660"/>
      <c r="BW334" s="660"/>
      <c r="BX334" s="568" t="s">
        <v>932</v>
      </c>
      <c r="BY334" s="568"/>
      <c r="BZ334" s="568"/>
      <c r="CA334" s="660" t="s">
        <v>932</v>
      </c>
      <c r="CB334" s="660"/>
      <c r="CC334" s="660"/>
      <c r="CD334" s="660"/>
      <c r="CE334" s="568">
        <v>1</v>
      </c>
      <c r="CF334" s="568"/>
      <c r="CG334" s="568"/>
      <c r="CH334" s="660" t="s">
        <v>932</v>
      </c>
      <c r="CI334" s="660"/>
      <c r="CJ334" s="660"/>
      <c r="CK334" s="660"/>
      <c r="CL334" s="568" t="s">
        <v>932</v>
      </c>
      <c r="CM334" s="568"/>
      <c r="CN334" s="568"/>
    </row>
    <row r="335" hidden="1" customHeight="1" spans="1:92">
      <c r="A335" s="612"/>
      <c r="B335" s="612"/>
      <c r="C335" s="518"/>
      <c r="D335" s="518"/>
      <c r="E335" s="518"/>
      <c r="F335" s="657"/>
      <c r="G335" s="657"/>
      <c r="H335" s="657"/>
      <c r="I335" s="519"/>
      <c r="J335" s="519"/>
      <c r="K335" s="519"/>
      <c r="L335" s="519"/>
      <c r="M335" s="519"/>
      <c r="N335" s="519"/>
      <c r="O335" s="519"/>
      <c r="P335" s="519"/>
      <c r="Q335" s="519"/>
      <c r="R335" s="519"/>
      <c r="S335" s="519"/>
      <c r="T335" s="519"/>
      <c r="U335" s="519"/>
      <c r="V335" s="519"/>
      <c r="W335" s="519"/>
      <c r="X335" s="519"/>
      <c r="Y335" s="519"/>
      <c r="Z335" s="519"/>
      <c r="AA335" s="519"/>
      <c r="AB335" s="526"/>
      <c r="AC335" s="526"/>
      <c r="AD335" s="658"/>
      <c r="AE335" s="658"/>
      <c r="AF335" s="658"/>
      <c r="AG335" s="526">
        <v>0</v>
      </c>
      <c r="AH335" s="526"/>
      <c r="AI335" s="659" t="e">
        <v>#N/A</v>
      </c>
      <c r="AJ335" s="659"/>
      <c r="AK335" s="659"/>
      <c r="AL335" s="659"/>
      <c r="AM335" s="659"/>
      <c r="AN335" s="659"/>
      <c r="AO335" s="659"/>
      <c r="AP335" s="659"/>
      <c r="AQ335" s="659"/>
      <c r="AR335" s="659"/>
      <c r="AS335" s="659"/>
      <c r="AT335" s="659"/>
      <c r="AU335" s="659"/>
      <c r="AV335" s="659"/>
      <c r="AW335" s="658">
        <v>0</v>
      </c>
      <c r="AX335" s="658"/>
      <c r="AY335" s="658"/>
      <c r="AZ335" s="658"/>
      <c r="BA335" s="658"/>
      <c r="BB335" s="658"/>
      <c r="BC335" s="658">
        <v>0</v>
      </c>
      <c r="BD335" s="658"/>
      <c r="BE335" s="658"/>
      <c r="BF335" s="658">
        <v>182.49</v>
      </c>
      <c r="BG335" s="658"/>
      <c r="BH335" s="658"/>
      <c r="BI335" s="567">
        <v>0</v>
      </c>
      <c r="BJ335" s="567"/>
      <c r="BK335" s="567"/>
      <c r="BL335" s="567"/>
      <c r="BM335" s="660" t="s">
        <v>932</v>
      </c>
      <c r="BN335" s="660"/>
      <c r="BO335" s="660"/>
      <c r="BP335" s="660"/>
      <c r="BQ335" s="568" t="s">
        <v>932</v>
      </c>
      <c r="BR335" s="568"/>
      <c r="BS335" s="568"/>
      <c r="BT335" s="660" t="s">
        <v>932</v>
      </c>
      <c r="BU335" s="660"/>
      <c r="BV335" s="660"/>
      <c r="BW335" s="660"/>
      <c r="BX335" s="568" t="s">
        <v>932</v>
      </c>
      <c r="BY335" s="568"/>
      <c r="BZ335" s="568"/>
      <c r="CA335" s="660" t="s">
        <v>932</v>
      </c>
      <c r="CB335" s="660"/>
      <c r="CC335" s="660"/>
      <c r="CD335" s="660"/>
      <c r="CE335" s="568">
        <v>1</v>
      </c>
      <c r="CF335" s="568"/>
      <c r="CG335" s="568"/>
      <c r="CH335" s="660" t="s">
        <v>932</v>
      </c>
      <c r="CI335" s="660"/>
      <c r="CJ335" s="660"/>
      <c r="CK335" s="660"/>
      <c r="CL335" s="568" t="s">
        <v>932</v>
      </c>
      <c r="CM335" s="568"/>
      <c r="CN335" s="568"/>
    </row>
    <row r="336" customHeight="1" spans="1:92">
      <c r="A336" s="612" t="s">
        <v>982</v>
      </c>
      <c r="B336" s="612"/>
      <c r="C336" s="518"/>
      <c r="D336" s="518"/>
      <c r="E336" s="518"/>
      <c r="F336" s="657">
        <v>3108000</v>
      </c>
      <c r="G336" s="657"/>
      <c r="H336" s="657"/>
      <c r="I336" s="519" t="s">
        <v>110</v>
      </c>
      <c r="J336" s="519"/>
      <c r="K336" s="519"/>
      <c r="L336" s="519"/>
      <c r="M336" s="519"/>
      <c r="N336" s="519"/>
      <c r="O336" s="519"/>
      <c r="P336" s="519"/>
      <c r="Q336" s="519"/>
      <c r="R336" s="519"/>
      <c r="S336" s="519"/>
      <c r="T336" s="519"/>
      <c r="U336" s="519"/>
      <c r="V336" s="519"/>
      <c r="W336" s="519"/>
      <c r="X336" s="519"/>
      <c r="Y336" s="519"/>
      <c r="Z336" s="519"/>
      <c r="AA336" s="519"/>
      <c r="AB336" s="526" t="s">
        <v>7</v>
      </c>
      <c r="AC336" s="526"/>
      <c r="AD336" s="658">
        <v>1.01</v>
      </c>
      <c r="AE336" s="658"/>
      <c r="AF336" s="658"/>
      <c r="AG336" s="526" t="s">
        <v>937</v>
      </c>
      <c r="AH336" s="526"/>
      <c r="AI336" s="659" t="s">
        <v>938</v>
      </c>
      <c r="AJ336" s="659"/>
      <c r="AK336" s="659"/>
      <c r="AL336" s="659"/>
      <c r="AM336" s="659"/>
      <c r="AN336" s="659"/>
      <c r="AO336" s="659"/>
      <c r="AP336" s="659"/>
      <c r="AQ336" s="659"/>
      <c r="AR336" s="659"/>
      <c r="AS336" s="659"/>
      <c r="AT336" s="659"/>
      <c r="AU336" s="659"/>
      <c r="AV336" s="659"/>
      <c r="AW336" s="658">
        <v>0.65</v>
      </c>
      <c r="AX336" s="658"/>
      <c r="AY336" s="658"/>
      <c r="AZ336" s="658">
        <v>1</v>
      </c>
      <c r="BA336" s="658"/>
      <c r="BB336" s="658"/>
      <c r="BC336" s="658">
        <v>0.6565</v>
      </c>
      <c r="BD336" s="658"/>
      <c r="BE336" s="658"/>
      <c r="BF336" s="658">
        <v>182.49</v>
      </c>
      <c r="BG336" s="658"/>
      <c r="BH336" s="658"/>
      <c r="BI336" s="567">
        <v>0.00359745739492575</v>
      </c>
      <c r="BJ336" s="567"/>
      <c r="BK336" s="567"/>
      <c r="BL336" s="567"/>
      <c r="BM336" s="660" t="s">
        <v>932</v>
      </c>
      <c r="BN336" s="660"/>
      <c r="BO336" s="660"/>
      <c r="BP336" s="660"/>
      <c r="BQ336" s="568" t="s">
        <v>932</v>
      </c>
      <c r="BR336" s="568"/>
      <c r="BS336" s="568"/>
      <c r="BT336" s="660" t="s">
        <v>932</v>
      </c>
      <c r="BU336" s="660"/>
      <c r="BV336" s="660"/>
      <c r="BW336" s="660"/>
      <c r="BX336" s="568" t="s">
        <v>932</v>
      </c>
      <c r="BY336" s="568"/>
      <c r="BZ336" s="568"/>
      <c r="CA336" s="660">
        <v>0.00359745739492575</v>
      </c>
      <c r="CB336" s="660"/>
      <c r="CC336" s="660"/>
      <c r="CD336" s="660"/>
      <c r="CE336" s="568">
        <v>1</v>
      </c>
      <c r="CF336" s="568"/>
      <c r="CG336" s="568"/>
      <c r="CH336" s="660" t="s">
        <v>932</v>
      </c>
      <c r="CI336" s="660"/>
      <c r="CJ336" s="660"/>
      <c r="CK336" s="660"/>
      <c r="CL336" s="568" t="s">
        <v>932</v>
      </c>
      <c r="CM336" s="568"/>
      <c r="CN336" s="568"/>
    </row>
    <row r="337" customHeight="1" spans="1:92">
      <c r="A337" s="612"/>
      <c r="B337" s="612"/>
      <c r="C337" s="518"/>
      <c r="D337" s="518"/>
      <c r="E337" s="518"/>
      <c r="F337" s="657"/>
      <c r="G337" s="657"/>
      <c r="H337" s="657"/>
      <c r="I337" s="519"/>
      <c r="J337" s="519"/>
      <c r="K337" s="519"/>
      <c r="L337" s="519"/>
      <c r="M337" s="519"/>
      <c r="N337" s="519"/>
      <c r="O337" s="519"/>
      <c r="P337" s="519"/>
      <c r="Q337" s="519"/>
      <c r="R337" s="519"/>
      <c r="S337" s="519"/>
      <c r="T337" s="519"/>
      <c r="U337" s="519"/>
      <c r="V337" s="519"/>
      <c r="W337" s="519"/>
      <c r="X337" s="519"/>
      <c r="Y337" s="519"/>
      <c r="Z337" s="519"/>
      <c r="AA337" s="519"/>
      <c r="AB337" s="526"/>
      <c r="AC337" s="526"/>
      <c r="AD337" s="658"/>
      <c r="AE337" s="658"/>
      <c r="AF337" s="658"/>
      <c r="AG337" s="526" t="s">
        <v>950</v>
      </c>
      <c r="AH337" s="526"/>
      <c r="AI337" s="659" t="s">
        <v>951</v>
      </c>
      <c r="AJ337" s="659"/>
      <c r="AK337" s="659"/>
      <c r="AL337" s="659"/>
      <c r="AM337" s="659"/>
      <c r="AN337" s="659"/>
      <c r="AO337" s="659"/>
      <c r="AP337" s="659"/>
      <c r="AQ337" s="659"/>
      <c r="AR337" s="659"/>
      <c r="AS337" s="659"/>
      <c r="AT337" s="659"/>
      <c r="AU337" s="659"/>
      <c r="AV337" s="659"/>
      <c r="AW337" s="658">
        <v>0.65</v>
      </c>
      <c r="AX337" s="658"/>
      <c r="AY337" s="658"/>
      <c r="AZ337" s="658"/>
      <c r="BA337" s="658"/>
      <c r="BB337" s="658"/>
      <c r="BC337" s="658">
        <v>0.6565</v>
      </c>
      <c r="BD337" s="658"/>
      <c r="BE337" s="658"/>
      <c r="BF337" s="658">
        <v>182.49</v>
      </c>
      <c r="BG337" s="658"/>
      <c r="BH337" s="658"/>
      <c r="BI337" s="567">
        <v>0.00359745739492575</v>
      </c>
      <c r="BJ337" s="567"/>
      <c r="BK337" s="567"/>
      <c r="BL337" s="567"/>
      <c r="BM337" s="660" t="s">
        <v>932</v>
      </c>
      <c r="BN337" s="660"/>
      <c r="BO337" s="660"/>
      <c r="BP337" s="660"/>
      <c r="BQ337" s="568" t="s">
        <v>932</v>
      </c>
      <c r="BR337" s="568"/>
      <c r="BS337" s="568"/>
      <c r="BT337" s="660" t="s">
        <v>932</v>
      </c>
      <c r="BU337" s="660"/>
      <c r="BV337" s="660"/>
      <c r="BW337" s="660"/>
      <c r="BX337" s="568" t="s">
        <v>932</v>
      </c>
      <c r="BY337" s="568"/>
      <c r="BZ337" s="568"/>
      <c r="CA337" s="660">
        <v>0.00359745739492575</v>
      </c>
      <c r="CB337" s="660"/>
      <c r="CC337" s="660"/>
      <c r="CD337" s="660"/>
      <c r="CE337" s="568">
        <v>1</v>
      </c>
      <c r="CF337" s="568"/>
      <c r="CG337" s="568"/>
      <c r="CH337" s="660" t="s">
        <v>932</v>
      </c>
      <c r="CI337" s="660"/>
      <c r="CJ337" s="660"/>
      <c r="CK337" s="660"/>
      <c r="CL337" s="568" t="s">
        <v>932</v>
      </c>
      <c r="CM337" s="568"/>
      <c r="CN337" s="568"/>
    </row>
    <row r="338" hidden="1" customHeight="1" spans="1:92">
      <c r="A338" s="612"/>
      <c r="B338" s="612"/>
      <c r="C338" s="518"/>
      <c r="D338" s="518"/>
      <c r="E338" s="518"/>
      <c r="F338" s="657"/>
      <c r="G338" s="657"/>
      <c r="H338" s="657"/>
      <c r="I338" s="519"/>
      <c r="J338" s="519"/>
      <c r="K338" s="519"/>
      <c r="L338" s="519"/>
      <c r="M338" s="519"/>
      <c r="N338" s="519"/>
      <c r="O338" s="519"/>
      <c r="P338" s="519"/>
      <c r="Q338" s="519"/>
      <c r="R338" s="519"/>
      <c r="S338" s="519"/>
      <c r="T338" s="519"/>
      <c r="U338" s="519"/>
      <c r="V338" s="519"/>
      <c r="W338" s="519"/>
      <c r="X338" s="519"/>
      <c r="Y338" s="519"/>
      <c r="Z338" s="519"/>
      <c r="AA338" s="519"/>
      <c r="AB338" s="526"/>
      <c r="AC338" s="526"/>
      <c r="AD338" s="658"/>
      <c r="AE338" s="658"/>
      <c r="AF338" s="658"/>
      <c r="AG338" s="526">
        <v>0</v>
      </c>
      <c r="AH338" s="526"/>
      <c r="AI338" s="659" t="e">
        <v>#N/A</v>
      </c>
      <c r="AJ338" s="659"/>
      <c r="AK338" s="659"/>
      <c r="AL338" s="659"/>
      <c r="AM338" s="659"/>
      <c r="AN338" s="659"/>
      <c r="AO338" s="659"/>
      <c r="AP338" s="659"/>
      <c r="AQ338" s="659"/>
      <c r="AR338" s="659"/>
      <c r="AS338" s="659"/>
      <c r="AT338" s="659"/>
      <c r="AU338" s="659"/>
      <c r="AV338" s="659"/>
      <c r="AW338" s="658">
        <v>0</v>
      </c>
      <c r="AX338" s="658"/>
      <c r="AY338" s="658"/>
      <c r="AZ338" s="658"/>
      <c r="BA338" s="658"/>
      <c r="BB338" s="658"/>
      <c r="BC338" s="658">
        <v>0</v>
      </c>
      <c r="BD338" s="658"/>
      <c r="BE338" s="658"/>
      <c r="BF338" s="658">
        <v>182.49</v>
      </c>
      <c r="BG338" s="658"/>
      <c r="BH338" s="658"/>
      <c r="BI338" s="567">
        <v>0</v>
      </c>
      <c r="BJ338" s="567"/>
      <c r="BK338" s="567"/>
      <c r="BL338" s="567"/>
      <c r="BM338" s="660" t="s">
        <v>932</v>
      </c>
      <c r="BN338" s="660"/>
      <c r="BO338" s="660"/>
      <c r="BP338" s="660"/>
      <c r="BQ338" s="568" t="s">
        <v>932</v>
      </c>
      <c r="BR338" s="568"/>
      <c r="BS338" s="568"/>
      <c r="BT338" s="660" t="s">
        <v>932</v>
      </c>
      <c r="BU338" s="660"/>
      <c r="BV338" s="660"/>
      <c r="BW338" s="660"/>
      <c r="BX338" s="568" t="s">
        <v>932</v>
      </c>
      <c r="BY338" s="568"/>
      <c r="BZ338" s="568"/>
      <c r="CA338" s="660" t="s">
        <v>932</v>
      </c>
      <c r="CB338" s="660"/>
      <c r="CC338" s="660"/>
      <c r="CD338" s="660"/>
      <c r="CE338" s="568">
        <v>1</v>
      </c>
      <c r="CF338" s="568"/>
      <c r="CG338" s="568"/>
      <c r="CH338" s="660" t="s">
        <v>932</v>
      </c>
      <c r="CI338" s="660"/>
      <c r="CJ338" s="660"/>
      <c r="CK338" s="660"/>
      <c r="CL338" s="568" t="s">
        <v>932</v>
      </c>
      <c r="CM338" s="568"/>
      <c r="CN338" s="568"/>
    </row>
    <row r="339" hidden="1" customHeight="1" spans="1:92">
      <c r="A339" s="612"/>
      <c r="B339" s="612"/>
      <c r="C339" s="518"/>
      <c r="D339" s="518"/>
      <c r="E339" s="518"/>
      <c r="F339" s="657"/>
      <c r="G339" s="657"/>
      <c r="H339" s="657"/>
      <c r="I339" s="519"/>
      <c r="J339" s="519"/>
      <c r="K339" s="519"/>
      <c r="L339" s="519"/>
      <c r="M339" s="519"/>
      <c r="N339" s="519"/>
      <c r="O339" s="519"/>
      <c r="P339" s="519"/>
      <c r="Q339" s="519"/>
      <c r="R339" s="519"/>
      <c r="S339" s="519"/>
      <c r="T339" s="519"/>
      <c r="U339" s="519"/>
      <c r="V339" s="519"/>
      <c r="W339" s="519"/>
      <c r="X339" s="519"/>
      <c r="Y339" s="519"/>
      <c r="Z339" s="519"/>
      <c r="AA339" s="519"/>
      <c r="AB339" s="526"/>
      <c r="AC339" s="526"/>
      <c r="AD339" s="658"/>
      <c r="AE339" s="658"/>
      <c r="AF339" s="658"/>
      <c r="AG339" s="526">
        <v>0</v>
      </c>
      <c r="AH339" s="526"/>
      <c r="AI339" s="659" t="e">
        <v>#N/A</v>
      </c>
      <c r="AJ339" s="659"/>
      <c r="AK339" s="659"/>
      <c r="AL339" s="659"/>
      <c r="AM339" s="659"/>
      <c r="AN339" s="659"/>
      <c r="AO339" s="659"/>
      <c r="AP339" s="659"/>
      <c r="AQ339" s="659"/>
      <c r="AR339" s="659"/>
      <c r="AS339" s="659"/>
      <c r="AT339" s="659"/>
      <c r="AU339" s="659"/>
      <c r="AV339" s="659"/>
      <c r="AW339" s="658">
        <v>0</v>
      </c>
      <c r="AX339" s="658"/>
      <c r="AY339" s="658"/>
      <c r="AZ339" s="658"/>
      <c r="BA339" s="658"/>
      <c r="BB339" s="658"/>
      <c r="BC339" s="658">
        <v>0</v>
      </c>
      <c r="BD339" s="658"/>
      <c r="BE339" s="658"/>
      <c r="BF339" s="658">
        <v>182.49</v>
      </c>
      <c r="BG339" s="658"/>
      <c r="BH339" s="658"/>
      <c r="BI339" s="567">
        <v>0</v>
      </c>
      <c r="BJ339" s="567"/>
      <c r="BK339" s="567"/>
      <c r="BL339" s="567"/>
      <c r="BM339" s="660" t="s">
        <v>932</v>
      </c>
      <c r="BN339" s="660"/>
      <c r="BO339" s="660"/>
      <c r="BP339" s="660"/>
      <c r="BQ339" s="568" t="s">
        <v>932</v>
      </c>
      <c r="BR339" s="568"/>
      <c r="BS339" s="568"/>
      <c r="BT339" s="660" t="s">
        <v>932</v>
      </c>
      <c r="BU339" s="660"/>
      <c r="BV339" s="660"/>
      <c r="BW339" s="660"/>
      <c r="BX339" s="568" t="s">
        <v>932</v>
      </c>
      <c r="BY339" s="568"/>
      <c r="BZ339" s="568"/>
      <c r="CA339" s="660" t="s">
        <v>932</v>
      </c>
      <c r="CB339" s="660"/>
      <c r="CC339" s="660"/>
      <c r="CD339" s="660"/>
      <c r="CE339" s="568">
        <v>1</v>
      </c>
      <c r="CF339" s="568"/>
      <c r="CG339" s="568"/>
      <c r="CH339" s="660" t="s">
        <v>932</v>
      </c>
      <c r="CI339" s="660"/>
      <c r="CJ339" s="660"/>
      <c r="CK339" s="660"/>
      <c r="CL339" s="568" t="s">
        <v>932</v>
      </c>
      <c r="CM339" s="568"/>
      <c r="CN339" s="568"/>
    </row>
    <row r="340" hidden="1" customHeight="1" spans="1:92">
      <c r="A340" s="612"/>
      <c r="B340" s="612"/>
      <c r="C340" s="518"/>
      <c r="D340" s="518"/>
      <c r="E340" s="518"/>
      <c r="F340" s="657"/>
      <c r="G340" s="657"/>
      <c r="H340" s="657"/>
      <c r="I340" s="519"/>
      <c r="J340" s="519"/>
      <c r="K340" s="519"/>
      <c r="L340" s="519"/>
      <c r="M340" s="519"/>
      <c r="N340" s="519"/>
      <c r="O340" s="519"/>
      <c r="P340" s="519"/>
      <c r="Q340" s="519"/>
      <c r="R340" s="519"/>
      <c r="S340" s="519"/>
      <c r="T340" s="519"/>
      <c r="U340" s="519"/>
      <c r="V340" s="519"/>
      <c r="W340" s="519"/>
      <c r="X340" s="519"/>
      <c r="Y340" s="519"/>
      <c r="Z340" s="519"/>
      <c r="AA340" s="519"/>
      <c r="AB340" s="526"/>
      <c r="AC340" s="526"/>
      <c r="AD340" s="658"/>
      <c r="AE340" s="658"/>
      <c r="AF340" s="658"/>
      <c r="AG340" s="526">
        <v>0</v>
      </c>
      <c r="AH340" s="526"/>
      <c r="AI340" s="659" t="e">
        <v>#N/A</v>
      </c>
      <c r="AJ340" s="659"/>
      <c r="AK340" s="659"/>
      <c r="AL340" s="659"/>
      <c r="AM340" s="659"/>
      <c r="AN340" s="659"/>
      <c r="AO340" s="659"/>
      <c r="AP340" s="659"/>
      <c r="AQ340" s="659"/>
      <c r="AR340" s="659"/>
      <c r="AS340" s="659"/>
      <c r="AT340" s="659"/>
      <c r="AU340" s="659"/>
      <c r="AV340" s="659"/>
      <c r="AW340" s="658">
        <v>0</v>
      </c>
      <c r="AX340" s="658"/>
      <c r="AY340" s="658"/>
      <c r="AZ340" s="658"/>
      <c r="BA340" s="658"/>
      <c r="BB340" s="658"/>
      <c r="BC340" s="658">
        <v>0</v>
      </c>
      <c r="BD340" s="658"/>
      <c r="BE340" s="658"/>
      <c r="BF340" s="658">
        <v>182.49</v>
      </c>
      <c r="BG340" s="658"/>
      <c r="BH340" s="658"/>
      <c r="BI340" s="567">
        <v>0</v>
      </c>
      <c r="BJ340" s="567"/>
      <c r="BK340" s="567"/>
      <c r="BL340" s="567"/>
      <c r="BM340" s="660" t="s">
        <v>932</v>
      </c>
      <c r="BN340" s="660"/>
      <c r="BO340" s="660"/>
      <c r="BP340" s="660"/>
      <c r="BQ340" s="568" t="s">
        <v>932</v>
      </c>
      <c r="BR340" s="568"/>
      <c r="BS340" s="568"/>
      <c r="BT340" s="660" t="s">
        <v>932</v>
      </c>
      <c r="BU340" s="660"/>
      <c r="BV340" s="660"/>
      <c r="BW340" s="660"/>
      <c r="BX340" s="568" t="s">
        <v>932</v>
      </c>
      <c r="BY340" s="568"/>
      <c r="BZ340" s="568"/>
      <c r="CA340" s="660" t="s">
        <v>932</v>
      </c>
      <c r="CB340" s="660"/>
      <c r="CC340" s="660"/>
      <c r="CD340" s="660"/>
      <c r="CE340" s="568">
        <v>1</v>
      </c>
      <c r="CF340" s="568"/>
      <c r="CG340" s="568"/>
      <c r="CH340" s="660" t="s">
        <v>932</v>
      </c>
      <c r="CI340" s="660"/>
      <c r="CJ340" s="660"/>
      <c r="CK340" s="660"/>
      <c r="CL340" s="568" t="s">
        <v>932</v>
      </c>
      <c r="CM340" s="568"/>
      <c r="CN340" s="568"/>
    </row>
    <row r="341" hidden="1" customHeight="1" spans="1:92">
      <c r="A341" s="612"/>
      <c r="B341" s="612"/>
      <c r="C341" s="518"/>
      <c r="D341" s="518"/>
      <c r="E341" s="518"/>
      <c r="F341" s="657"/>
      <c r="G341" s="657"/>
      <c r="H341" s="657"/>
      <c r="I341" s="519"/>
      <c r="J341" s="519"/>
      <c r="K341" s="519"/>
      <c r="L341" s="519"/>
      <c r="M341" s="519"/>
      <c r="N341" s="519"/>
      <c r="O341" s="519"/>
      <c r="P341" s="519"/>
      <c r="Q341" s="519"/>
      <c r="R341" s="519"/>
      <c r="S341" s="519"/>
      <c r="T341" s="519"/>
      <c r="U341" s="519"/>
      <c r="V341" s="519"/>
      <c r="W341" s="519"/>
      <c r="X341" s="519"/>
      <c r="Y341" s="519"/>
      <c r="Z341" s="519"/>
      <c r="AA341" s="519"/>
      <c r="AB341" s="526"/>
      <c r="AC341" s="526"/>
      <c r="AD341" s="658"/>
      <c r="AE341" s="658"/>
      <c r="AF341" s="658"/>
      <c r="AG341" s="526">
        <v>0</v>
      </c>
      <c r="AH341" s="526"/>
      <c r="AI341" s="659" t="e">
        <v>#N/A</v>
      </c>
      <c r="AJ341" s="659"/>
      <c r="AK341" s="659"/>
      <c r="AL341" s="659"/>
      <c r="AM341" s="659"/>
      <c r="AN341" s="659"/>
      <c r="AO341" s="659"/>
      <c r="AP341" s="659"/>
      <c r="AQ341" s="659"/>
      <c r="AR341" s="659"/>
      <c r="AS341" s="659"/>
      <c r="AT341" s="659"/>
      <c r="AU341" s="659"/>
      <c r="AV341" s="659"/>
      <c r="AW341" s="658">
        <v>0</v>
      </c>
      <c r="AX341" s="658"/>
      <c r="AY341" s="658"/>
      <c r="AZ341" s="658"/>
      <c r="BA341" s="658"/>
      <c r="BB341" s="658"/>
      <c r="BC341" s="658">
        <v>0</v>
      </c>
      <c r="BD341" s="658"/>
      <c r="BE341" s="658"/>
      <c r="BF341" s="658">
        <v>182.49</v>
      </c>
      <c r="BG341" s="658"/>
      <c r="BH341" s="658"/>
      <c r="BI341" s="567">
        <v>0</v>
      </c>
      <c r="BJ341" s="567"/>
      <c r="BK341" s="567"/>
      <c r="BL341" s="567"/>
      <c r="BM341" s="660" t="s">
        <v>932</v>
      </c>
      <c r="BN341" s="660"/>
      <c r="BO341" s="660"/>
      <c r="BP341" s="660"/>
      <c r="BQ341" s="568" t="s">
        <v>932</v>
      </c>
      <c r="BR341" s="568"/>
      <c r="BS341" s="568"/>
      <c r="BT341" s="660" t="s">
        <v>932</v>
      </c>
      <c r="BU341" s="660"/>
      <c r="BV341" s="660"/>
      <c r="BW341" s="660"/>
      <c r="BX341" s="568" t="s">
        <v>932</v>
      </c>
      <c r="BY341" s="568"/>
      <c r="BZ341" s="568"/>
      <c r="CA341" s="660" t="s">
        <v>932</v>
      </c>
      <c r="CB341" s="660"/>
      <c r="CC341" s="660"/>
      <c r="CD341" s="660"/>
      <c r="CE341" s="568">
        <v>1</v>
      </c>
      <c r="CF341" s="568"/>
      <c r="CG341" s="568"/>
      <c r="CH341" s="660" t="s">
        <v>932</v>
      </c>
      <c r="CI341" s="660"/>
      <c r="CJ341" s="660"/>
      <c r="CK341" s="660"/>
      <c r="CL341" s="568" t="s">
        <v>932</v>
      </c>
      <c r="CM341" s="568"/>
      <c r="CN341" s="568"/>
    </row>
    <row r="342" hidden="1" customHeight="1" spans="1:92">
      <c r="A342" s="612"/>
      <c r="B342" s="612"/>
      <c r="C342" s="518"/>
      <c r="D342" s="518"/>
      <c r="E342" s="518"/>
      <c r="F342" s="657"/>
      <c r="G342" s="657"/>
      <c r="H342" s="657"/>
      <c r="I342" s="519"/>
      <c r="J342" s="519"/>
      <c r="K342" s="519"/>
      <c r="L342" s="519"/>
      <c r="M342" s="519"/>
      <c r="N342" s="519"/>
      <c r="O342" s="519"/>
      <c r="P342" s="519"/>
      <c r="Q342" s="519"/>
      <c r="R342" s="519"/>
      <c r="S342" s="519"/>
      <c r="T342" s="519"/>
      <c r="U342" s="519"/>
      <c r="V342" s="519"/>
      <c r="W342" s="519"/>
      <c r="X342" s="519"/>
      <c r="Y342" s="519"/>
      <c r="Z342" s="519"/>
      <c r="AA342" s="519"/>
      <c r="AB342" s="526"/>
      <c r="AC342" s="526"/>
      <c r="AD342" s="658"/>
      <c r="AE342" s="658"/>
      <c r="AF342" s="658"/>
      <c r="AG342" s="526">
        <v>0</v>
      </c>
      <c r="AH342" s="526"/>
      <c r="AI342" s="659" t="e">
        <v>#N/A</v>
      </c>
      <c r="AJ342" s="659"/>
      <c r="AK342" s="659"/>
      <c r="AL342" s="659"/>
      <c r="AM342" s="659"/>
      <c r="AN342" s="659"/>
      <c r="AO342" s="659"/>
      <c r="AP342" s="659"/>
      <c r="AQ342" s="659"/>
      <c r="AR342" s="659"/>
      <c r="AS342" s="659"/>
      <c r="AT342" s="659"/>
      <c r="AU342" s="659"/>
      <c r="AV342" s="659"/>
      <c r="AW342" s="658">
        <v>0</v>
      </c>
      <c r="AX342" s="658"/>
      <c r="AY342" s="658"/>
      <c r="AZ342" s="658"/>
      <c r="BA342" s="658"/>
      <c r="BB342" s="658"/>
      <c r="BC342" s="658">
        <v>0</v>
      </c>
      <c r="BD342" s="658"/>
      <c r="BE342" s="658"/>
      <c r="BF342" s="658">
        <v>182.49</v>
      </c>
      <c r="BG342" s="658"/>
      <c r="BH342" s="658"/>
      <c r="BI342" s="567">
        <v>0</v>
      </c>
      <c r="BJ342" s="567"/>
      <c r="BK342" s="567"/>
      <c r="BL342" s="567"/>
      <c r="BM342" s="660" t="s">
        <v>932</v>
      </c>
      <c r="BN342" s="660"/>
      <c r="BO342" s="660"/>
      <c r="BP342" s="660"/>
      <c r="BQ342" s="568" t="s">
        <v>932</v>
      </c>
      <c r="BR342" s="568"/>
      <c r="BS342" s="568"/>
      <c r="BT342" s="660" t="s">
        <v>932</v>
      </c>
      <c r="BU342" s="660"/>
      <c r="BV342" s="660"/>
      <c r="BW342" s="660"/>
      <c r="BX342" s="568" t="s">
        <v>932</v>
      </c>
      <c r="BY342" s="568"/>
      <c r="BZ342" s="568"/>
      <c r="CA342" s="660" t="s">
        <v>932</v>
      </c>
      <c r="CB342" s="660"/>
      <c r="CC342" s="660"/>
      <c r="CD342" s="660"/>
      <c r="CE342" s="568">
        <v>1</v>
      </c>
      <c r="CF342" s="568"/>
      <c r="CG342" s="568"/>
      <c r="CH342" s="660" t="s">
        <v>932</v>
      </c>
      <c r="CI342" s="660"/>
      <c r="CJ342" s="660"/>
      <c r="CK342" s="660"/>
      <c r="CL342" s="568" t="s">
        <v>932</v>
      </c>
      <c r="CM342" s="568"/>
      <c r="CN342" s="568"/>
    </row>
    <row r="343" hidden="1" customHeight="1" spans="1:92">
      <c r="A343" s="612"/>
      <c r="B343" s="612"/>
      <c r="C343" s="518"/>
      <c r="D343" s="518"/>
      <c r="E343" s="518"/>
      <c r="F343" s="657"/>
      <c r="G343" s="657"/>
      <c r="H343" s="657"/>
      <c r="I343" s="519"/>
      <c r="J343" s="519"/>
      <c r="K343" s="519"/>
      <c r="L343" s="519"/>
      <c r="M343" s="519"/>
      <c r="N343" s="519"/>
      <c r="O343" s="519"/>
      <c r="P343" s="519"/>
      <c r="Q343" s="519"/>
      <c r="R343" s="519"/>
      <c r="S343" s="519"/>
      <c r="T343" s="519"/>
      <c r="U343" s="519"/>
      <c r="V343" s="519"/>
      <c r="W343" s="519"/>
      <c r="X343" s="519"/>
      <c r="Y343" s="519"/>
      <c r="Z343" s="519"/>
      <c r="AA343" s="519"/>
      <c r="AB343" s="526"/>
      <c r="AC343" s="526"/>
      <c r="AD343" s="658"/>
      <c r="AE343" s="658"/>
      <c r="AF343" s="658"/>
      <c r="AG343" s="526">
        <v>0</v>
      </c>
      <c r="AH343" s="526"/>
      <c r="AI343" s="659" t="e">
        <v>#N/A</v>
      </c>
      <c r="AJ343" s="659"/>
      <c r="AK343" s="659"/>
      <c r="AL343" s="659"/>
      <c r="AM343" s="659"/>
      <c r="AN343" s="659"/>
      <c r="AO343" s="659"/>
      <c r="AP343" s="659"/>
      <c r="AQ343" s="659"/>
      <c r="AR343" s="659"/>
      <c r="AS343" s="659"/>
      <c r="AT343" s="659"/>
      <c r="AU343" s="659"/>
      <c r="AV343" s="659"/>
      <c r="AW343" s="658">
        <v>0</v>
      </c>
      <c r="AX343" s="658"/>
      <c r="AY343" s="658"/>
      <c r="AZ343" s="658"/>
      <c r="BA343" s="658"/>
      <c r="BB343" s="658"/>
      <c r="BC343" s="658">
        <v>0</v>
      </c>
      <c r="BD343" s="658"/>
      <c r="BE343" s="658"/>
      <c r="BF343" s="658">
        <v>182.49</v>
      </c>
      <c r="BG343" s="658"/>
      <c r="BH343" s="658"/>
      <c r="BI343" s="567">
        <v>0</v>
      </c>
      <c r="BJ343" s="567"/>
      <c r="BK343" s="567"/>
      <c r="BL343" s="567"/>
      <c r="BM343" s="660" t="s">
        <v>932</v>
      </c>
      <c r="BN343" s="660"/>
      <c r="BO343" s="660"/>
      <c r="BP343" s="660"/>
      <c r="BQ343" s="568" t="s">
        <v>932</v>
      </c>
      <c r="BR343" s="568"/>
      <c r="BS343" s="568"/>
      <c r="BT343" s="660" t="s">
        <v>932</v>
      </c>
      <c r="BU343" s="660"/>
      <c r="BV343" s="660"/>
      <c r="BW343" s="660"/>
      <c r="BX343" s="568" t="s">
        <v>932</v>
      </c>
      <c r="BY343" s="568"/>
      <c r="BZ343" s="568"/>
      <c r="CA343" s="660" t="s">
        <v>932</v>
      </c>
      <c r="CB343" s="660"/>
      <c r="CC343" s="660"/>
      <c r="CD343" s="660"/>
      <c r="CE343" s="568">
        <v>1</v>
      </c>
      <c r="CF343" s="568"/>
      <c r="CG343" s="568"/>
      <c r="CH343" s="660" t="s">
        <v>932</v>
      </c>
      <c r="CI343" s="660"/>
      <c r="CJ343" s="660"/>
      <c r="CK343" s="660"/>
      <c r="CL343" s="568" t="s">
        <v>932</v>
      </c>
      <c r="CM343" s="568"/>
      <c r="CN343" s="568"/>
    </row>
    <row r="344" customHeight="1" spans="1:92">
      <c r="A344" s="612" t="s">
        <v>983</v>
      </c>
      <c r="B344" s="612"/>
      <c r="C344" s="518"/>
      <c r="D344" s="518"/>
      <c r="E344" s="518"/>
      <c r="F344" s="657">
        <v>407819</v>
      </c>
      <c r="G344" s="657"/>
      <c r="H344" s="657"/>
      <c r="I344" s="519" t="s">
        <v>100</v>
      </c>
      <c r="J344" s="519"/>
      <c r="K344" s="519"/>
      <c r="L344" s="519"/>
      <c r="M344" s="519"/>
      <c r="N344" s="519"/>
      <c r="O344" s="519"/>
      <c r="P344" s="519"/>
      <c r="Q344" s="519"/>
      <c r="R344" s="519"/>
      <c r="S344" s="519"/>
      <c r="T344" s="519"/>
      <c r="U344" s="519"/>
      <c r="V344" s="519"/>
      <c r="W344" s="519"/>
      <c r="X344" s="519"/>
      <c r="Y344" s="519"/>
      <c r="Z344" s="519"/>
      <c r="AA344" s="519"/>
      <c r="AB344" s="526" t="s">
        <v>101</v>
      </c>
      <c r="AC344" s="526"/>
      <c r="AD344" s="658">
        <v>166.5</v>
      </c>
      <c r="AE344" s="658"/>
      <c r="AF344" s="658"/>
      <c r="AG344" s="526" t="s">
        <v>937</v>
      </c>
      <c r="AH344" s="526"/>
      <c r="AI344" s="659" t="s">
        <v>938</v>
      </c>
      <c r="AJ344" s="659"/>
      <c r="AK344" s="659"/>
      <c r="AL344" s="659"/>
      <c r="AM344" s="659"/>
      <c r="AN344" s="659"/>
      <c r="AO344" s="659"/>
      <c r="AP344" s="659"/>
      <c r="AQ344" s="659"/>
      <c r="AR344" s="659"/>
      <c r="AS344" s="659"/>
      <c r="AT344" s="659"/>
      <c r="AU344" s="659"/>
      <c r="AV344" s="659"/>
      <c r="AW344" s="658">
        <v>0.09</v>
      </c>
      <c r="AX344" s="658"/>
      <c r="AY344" s="658"/>
      <c r="AZ344" s="658">
        <v>1</v>
      </c>
      <c r="BA344" s="658"/>
      <c r="BB344" s="658"/>
      <c r="BC344" s="658">
        <v>14.985</v>
      </c>
      <c r="BD344" s="658"/>
      <c r="BE344" s="658"/>
      <c r="BF344" s="658">
        <v>182.49</v>
      </c>
      <c r="BG344" s="658"/>
      <c r="BH344" s="658"/>
      <c r="BI344" s="567">
        <v>0.0821140884432024</v>
      </c>
      <c r="BJ344" s="567"/>
      <c r="BK344" s="567"/>
      <c r="BL344" s="567"/>
      <c r="BM344" s="660" t="s">
        <v>932</v>
      </c>
      <c r="BN344" s="660"/>
      <c r="BO344" s="660"/>
      <c r="BP344" s="660"/>
      <c r="BQ344" s="568" t="s">
        <v>932</v>
      </c>
      <c r="BR344" s="568"/>
      <c r="BS344" s="568"/>
      <c r="BT344" s="660" t="s">
        <v>932</v>
      </c>
      <c r="BU344" s="660"/>
      <c r="BV344" s="660"/>
      <c r="BW344" s="660"/>
      <c r="BX344" s="568" t="s">
        <v>932</v>
      </c>
      <c r="BY344" s="568"/>
      <c r="BZ344" s="568"/>
      <c r="CA344" s="660">
        <v>0.0821140884432024</v>
      </c>
      <c r="CB344" s="660"/>
      <c r="CC344" s="660"/>
      <c r="CD344" s="660"/>
      <c r="CE344" s="568">
        <v>1</v>
      </c>
      <c r="CF344" s="568"/>
      <c r="CG344" s="568"/>
      <c r="CH344" s="660" t="s">
        <v>932</v>
      </c>
      <c r="CI344" s="660"/>
      <c r="CJ344" s="660"/>
      <c r="CK344" s="660"/>
      <c r="CL344" s="568" t="s">
        <v>932</v>
      </c>
      <c r="CM344" s="568"/>
      <c r="CN344" s="568"/>
    </row>
    <row r="345" customHeight="1" spans="1:92">
      <c r="A345" s="612"/>
      <c r="B345" s="612"/>
      <c r="C345" s="518"/>
      <c r="D345" s="518"/>
      <c r="E345" s="518"/>
      <c r="F345" s="657"/>
      <c r="G345" s="657"/>
      <c r="H345" s="657"/>
      <c r="I345" s="519"/>
      <c r="J345" s="519"/>
      <c r="K345" s="519"/>
      <c r="L345" s="519"/>
      <c r="M345" s="519"/>
      <c r="N345" s="519"/>
      <c r="O345" s="519"/>
      <c r="P345" s="519"/>
      <c r="Q345" s="519"/>
      <c r="R345" s="519"/>
      <c r="S345" s="519"/>
      <c r="T345" s="519"/>
      <c r="U345" s="519"/>
      <c r="V345" s="519"/>
      <c r="W345" s="519"/>
      <c r="X345" s="519"/>
      <c r="Y345" s="519"/>
      <c r="Z345" s="519"/>
      <c r="AA345" s="519"/>
      <c r="AB345" s="526"/>
      <c r="AC345" s="526"/>
      <c r="AD345" s="658"/>
      <c r="AE345" s="658"/>
      <c r="AF345" s="658"/>
      <c r="AG345" s="526" t="s">
        <v>939</v>
      </c>
      <c r="AH345" s="526"/>
      <c r="AI345" s="659" t="s">
        <v>940</v>
      </c>
      <c r="AJ345" s="659"/>
      <c r="AK345" s="659"/>
      <c r="AL345" s="659"/>
      <c r="AM345" s="659"/>
      <c r="AN345" s="659"/>
      <c r="AO345" s="659"/>
      <c r="AP345" s="659"/>
      <c r="AQ345" s="659"/>
      <c r="AR345" s="659"/>
      <c r="AS345" s="659"/>
      <c r="AT345" s="659"/>
      <c r="AU345" s="659"/>
      <c r="AV345" s="659"/>
      <c r="AW345" s="658">
        <v>0.09</v>
      </c>
      <c r="AX345" s="658"/>
      <c r="AY345" s="658"/>
      <c r="AZ345" s="658"/>
      <c r="BA345" s="658"/>
      <c r="BB345" s="658"/>
      <c r="BC345" s="658">
        <v>14.985</v>
      </c>
      <c r="BD345" s="658"/>
      <c r="BE345" s="658"/>
      <c r="BF345" s="658">
        <v>182.49</v>
      </c>
      <c r="BG345" s="658"/>
      <c r="BH345" s="658"/>
      <c r="BI345" s="567">
        <v>0.0821140884432024</v>
      </c>
      <c r="BJ345" s="567"/>
      <c r="BK345" s="567"/>
      <c r="BL345" s="567"/>
      <c r="BM345" s="660" t="s">
        <v>932</v>
      </c>
      <c r="BN345" s="660"/>
      <c r="BO345" s="660"/>
      <c r="BP345" s="660"/>
      <c r="BQ345" s="568" t="s">
        <v>932</v>
      </c>
      <c r="BR345" s="568"/>
      <c r="BS345" s="568"/>
      <c r="BT345" s="660" t="s">
        <v>932</v>
      </c>
      <c r="BU345" s="660"/>
      <c r="BV345" s="660"/>
      <c r="BW345" s="660"/>
      <c r="BX345" s="568" t="s">
        <v>932</v>
      </c>
      <c r="BY345" s="568"/>
      <c r="BZ345" s="568"/>
      <c r="CA345" s="660">
        <v>0.0821140884432024</v>
      </c>
      <c r="CB345" s="660"/>
      <c r="CC345" s="660"/>
      <c r="CD345" s="660"/>
      <c r="CE345" s="568">
        <v>1</v>
      </c>
      <c r="CF345" s="568"/>
      <c r="CG345" s="568"/>
      <c r="CH345" s="660" t="s">
        <v>932</v>
      </c>
      <c r="CI345" s="660"/>
      <c r="CJ345" s="660"/>
      <c r="CK345" s="660"/>
      <c r="CL345" s="568" t="s">
        <v>932</v>
      </c>
      <c r="CM345" s="568"/>
      <c r="CN345" s="568"/>
    </row>
    <row r="346" ht="18" hidden="1" customHeight="1" spans="1:92">
      <c r="A346" s="612"/>
      <c r="B346" s="612"/>
      <c r="C346" s="518"/>
      <c r="D346" s="518"/>
      <c r="E346" s="518"/>
      <c r="F346" s="657"/>
      <c r="G346" s="657"/>
      <c r="H346" s="657"/>
      <c r="I346" s="519"/>
      <c r="J346" s="519"/>
      <c r="K346" s="519"/>
      <c r="L346" s="519"/>
      <c r="M346" s="519"/>
      <c r="N346" s="519"/>
      <c r="O346" s="519"/>
      <c r="P346" s="519"/>
      <c r="Q346" s="519"/>
      <c r="R346" s="519"/>
      <c r="S346" s="519"/>
      <c r="T346" s="519"/>
      <c r="U346" s="519"/>
      <c r="V346" s="519"/>
      <c r="W346" s="519"/>
      <c r="X346" s="519"/>
      <c r="Y346" s="519"/>
      <c r="Z346" s="519"/>
      <c r="AA346" s="519"/>
      <c r="AB346" s="526"/>
      <c r="AC346" s="526"/>
      <c r="AD346" s="658"/>
      <c r="AE346" s="658"/>
      <c r="AF346" s="658"/>
      <c r="AG346" s="526">
        <v>0</v>
      </c>
      <c r="AH346" s="526"/>
      <c r="AI346" s="659" t="e">
        <v>#N/A</v>
      </c>
      <c r="AJ346" s="659"/>
      <c r="AK346" s="659"/>
      <c r="AL346" s="659"/>
      <c r="AM346" s="659"/>
      <c r="AN346" s="659"/>
      <c r="AO346" s="659"/>
      <c r="AP346" s="659"/>
      <c r="AQ346" s="659"/>
      <c r="AR346" s="659"/>
      <c r="AS346" s="659"/>
      <c r="AT346" s="659"/>
      <c r="AU346" s="659"/>
      <c r="AV346" s="659"/>
      <c r="AW346" s="658">
        <v>0</v>
      </c>
      <c r="AX346" s="658"/>
      <c r="AY346" s="658"/>
      <c r="AZ346" s="658"/>
      <c r="BA346" s="658"/>
      <c r="BB346" s="658"/>
      <c r="BC346" s="658">
        <v>0</v>
      </c>
      <c r="BD346" s="658"/>
      <c r="BE346" s="658"/>
      <c r="BF346" s="658">
        <v>182.49</v>
      </c>
      <c r="BG346" s="658"/>
      <c r="BH346" s="658"/>
      <c r="BI346" s="567">
        <v>0</v>
      </c>
      <c r="BJ346" s="567"/>
      <c r="BK346" s="567"/>
      <c r="BL346" s="567"/>
      <c r="BM346" s="660" t="s">
        <v>932</v>
      </c>
      <c r="BN346" s="660"/>
      <c r="BO346" s="660"/>
      <c r="BP346" s="660"/>
      <c r="BQ346" s="568" t="s">
        <v>932</v>
      </c>
      <c r="BR346" s="568"/>
      <c r="BS346" s="568"/>
      <c r="BT346" s="660" t="s">
        <v>932</v>
      </c>
      <c r="BU346" s="660"/>
      <c r="BV346" s="660"/>
      <c r="BW346" s="660"/>
      <c r="BX346" s="568" t="s">
        <v>932</v>
      </c>
      <c r="BY346" s="568"/>
      <c r="BZ346" s="568"/>
      <c r="CA346" s="660" t="s">
        <v>932</v>
      </c>
      <c r="CB346" s="660"/>
      <c r="CC346" s="660"/>
      <c r="CD346" s="660"/>
      <c r="CE346" s="568">
        <v>1</v>
      </c>
      <c r="CF346" s="568"/>
      <c r="CG346" s="568"/>
      <c r="CH346" s="660" t="s">
        <v>932</v>
      </c>
      <c r="CI346" s="660"/>
      <c r="CJ346" s="660"/>
      <c r="CK346" s="660"/>
      <c r="CL346" s="568" t="s">
        <v>932</v>
      </c>
      <c r="CM346" s="568"/>
      <c r="CN346" s="568"/>
    </row>
    <row r="347" hidden="1" customHeight="1" spans="1:92">
      <c r="A347" s="612"/>
      <c r="B347" s="612"/>
      <c r="C347" s="518"/>
      <c r="D347" s="518"/>
      <c r="E347" s="518"/>
      <c r="F347" s="657"/>
      <c r="G347" s="657"/>
      <c r="H347" s="657"/>
      <c r="I347" s="519"/>
      <c r="J347" s="519"/>
      <c r="K347" s="519"/>
      <c r="L347" s="519"/>
      <c r="M347" s="519"/>
      <c r="N347" s="519"/>
      <c r="O347" s="519"/>
      <c r="P347" s="519"/>
      <c r="Q347" s="519"/>
      <c r="R347" s="519"/>
      <c r="S347" s="519"/>
      <c r="T347" s="519"/>
      <c r="U347" s="519"/>
      <c r="V347" s="519"/>
      <c r="W347" s="519"/>
      <c r="X347" s="519"/>
      <c r="Y347" s="519"/>
      <c r="Z347" s="519"/>
      <c r="AA347" s="519"/>
      <c r="AB347" s="526"/>
      <c r="AC347" s="526"/>
      <c r="AD347" s="658"/>
      <c r="AE347" s="658"/>
      <c r="AF347" s="658"/>
      <c r="AG347" s="526">
        <v>0</v>
      </c>
      <c r="AH347" s="526"/>
      <c r="AI347" s="659" t="e">
        <v>#N/A</v>
      </c>
      <c r="AJ347" s="659"/>
      <c r="AK347" s="659"/>
      <c r="AL347" s="659"/>
      <c r="AM347" s="659"/>
      <c r="AN347" s="659"/>
      <c r="AO347" s="659"/>
      <c r="AP347" s="659"/>
      <c r="AQ347" s="659"/>
      <c r="AR347" s="659"/>
      <c r="AS347" s="659"/>
      <c r="AT347" s="659"/>
      <c r="AU347" s="659"/>
      <c r="AV347" s="659"/>
      <c r="AW347" s="658">
        <v>0</v>
      </c>
      <c r="AX347" s="658"/>
      <c r="AY347" s="658"/>
      <c r="AZ347" s="658"/>
      <c r="BA347" s="658"/>
      <c r="BB347" s="658"/>
      <c r="BC347" s="658">
        <v>0</v>
      </c>
      <c r="BD347" s="658"/>
      <c r="BE347" s="658"/>
      <c r="BF347" s="658">
        <v>182.49</v>
      </c>
      <c r="BG347" s="658"/>
      <c r="BH347" s="658"/>
      <c r="BI347" s="567">
        <v>0</v>
      </c>
      <c r="BJ347" s="567"/>
      <c r="BK347" s="567"/>
      <c r="BL347" s="567"/>
      <c r="BM347" s="660" t="s">
        <v>932</v>
      </c>
      <c r="BN347" s="660"/>
      <c r="BO347" s="660"/>
      <c r="BP347" s="660"/>
      <c r="BQ347" s="568" t="s">
        <v>932</v>
      </c>
      <c r="BR347" s="568"/>
      <c r="BS347" s="568"/>
      <c r="BT347" s="660" t="s">
        <v>932</v>
      </c>
      <c r="BU347" s="660"/>
      <c r="BV347" s="660"/>
      <c r="BW347" s="660"/>
      <c r="BX347" s="568" t="s">
        <v>932</v>
      </c>
      <c r="BY347" s="568"/>
      <c r="BZ347" s="568"/>
      <c r="CA347" s="660" t="s">
        <v>932</v>
      </c>
      <c r="CB347" s="660"/>
      <c r="CC347" s="660"/>
      <c r="CD347" s="660"/>
      <c r="CE347" s="568">
        <v>1</v>
      </c>
      <c r="CF347" s="568"/>
      <c r="CG347" s="568"/>
      <c r="CH347" s="660" t="s">
        <v>932</v>
      </c>
      <c r="CI347" s="660"/>
      <c r="CJ347" s="660"/>
      <c r="CK347" s="660"/>
      <c r="CL347" s="568" t="s">
        <v>932</v>
      </c>
      <c r="CM347" s="568"/>
      <c r="CN347" s="568"/>
    </row>
    <row r="348" hidden="1" customHeight="1" spans="1:92">
      <c r="A348" s="612"/>
      <c r="B348" s="612"/>
      <c r="C348" s="518"/>
      <c r="D348" s="518"/>
      <c r="E348" s="518"/>
      <c r="F348" s="657"/>
      <c r="G348" s="657"/>
      <c r="H348" s="657"/>
      <c r="I348" s="519"/>
      <c r="J348" s="519"/>
      <c r="K348" s="519"/>
      <c r="L348" s="519"/>
      <c r="M348" s="519"/>
      <c r="N348" s="519"/>
      <c r="O348" s="519"/>
      <c r="P348" s="519"/>
      <c r="Q348" s="519"/>
      <c r="R348" s="519"/>
      <c r="S348" s="519"/>
      <c r="T348" s="519"/>
      <c r="U348" s="519"/>
      <c r="V348" s="519"/>
      <c r="W348" s="519"/>
      <c r="X348" s="519"/>
      <c r="Y348" s="519"/>
      <c r="Z348" s="519"/>
      <c r="AA348" s="519"/>
      <c r="AB348" s="526"/>
      <c r="AC348" s="526"/>
      <c r="AD348" s="658"/>
      <c r="AE348" s="658"/>
      <c r="AF348" s="658"/>
      <c r="AG348" s="526">
        <v>0</v>
      </c>
      <c r="AH348" s="526"/>
      <c r="AI348" s="659" t="e">
        <v>#N/A</v>
      </c>
      <c r="AJ348" s="659"/>
      <c r="AK348" s="659"/>
      <c r="AL348" s="659"/>
      <c r="AM348" s="659"/>
      <c r="AN348" s="659"/>
      <c r="AO348" s="659"/>
      <c r="AP348" s="659"/>
      <c r="AQ348" s="659"/>
      <c r="AR348" s="659"/>
      <c r="AS348" s="659"/>
      <c r="AT348" s="659"/>
      <c r="AU348" s="659"/>
      <c r="AV348" s="659"/>
      <c r="AW348" s="658">
        <v>0</v>
      </c>
      <c r="AX348" s="658"/>
      <c r="AY348" s="658"/>
      <c r="AZ348" s="658"/>
      <c r="BA348" s="658"/>
      <c r="BB348" s="658"/>
      <c r="BC348" s="658">
        <v>0</v>
      </c>
      <c r="BD348" s="658"/>
      <c r="BE348" s="658"/>
      <c r="BF348" s="658">
        <v>182.49</v>
      </c>
      <c r="BG348" s="658"/>
      <c r="BH348" s="658"/>
      <c r="BI348" s="567">
        <v>0</v>
      </c>
      <c r="BJ348" s="567"/>
      <c r="BK348" s="567"/>
      <c r="BL348" s="567"/>
      <c r="BM348" s="660" t="s">
        <v>932</v>
      </c>
      <c r="BN348" s="660"/>
      <c r="BO348" s="660"/>
      <c r="BP348" s="660"/>
      <c r="BQ348" s="568" t="s">
        <v>932</v>
      </c>
      <c r="BR348" s="568"/>
      <c r="BS348" s="568"/>
      <c r="BT348" s="660" t="s">
        <v>932</v>
      </c>
      <c r="BU348" s="660"/>
      <c r="BV348" s="660"/>
      <c r="BW348" s="660"/>
      <c r="BX348" s="568" t="s">
        <v>932</v>
      </c>
      <c r="BY348" s="568"/>
      <c r="BZ348" s="568"/>
      <c r="CA348" s="660" t="s">
        <v>932</v>
      </c>
      <c r="CB348" s="660"/>
      <c r="CC348" s="660"/>
      <c r="CD348" s="660"/>
      <c r="CE348" s="568">
        <v>1</v>
      </c>
      <c r="CF348" s="568"/>
      <c r="CG348" s="568"/>
      <c r="CH348" s="660" t="s">
        <v>932</v>
      </c>
      <c r="CI348" s="660"/>
      <c r="CJ348" s="660"/>
      <c r="CK348" s="660"/>
      <c r="CL348" s="568" t="s">
        <v>932</v>
      </c>
      <c r="CM348" s="568"/>
      <c r="CN348" s="568"/>
    </row>
    <row r="349" hidden="1" customHeight="1" spans="1:92">
      <c r="A349" s="612"/>
      <c r="B349" s="612"/>
      <c r="C349" s="518"/>
      <c r="D349" s="518"/>
      <c r="E349" s="518"/>
      <c r="F349" s="657"/>
      <c r="G349" s="657"/>
      <c r="H349" s="657"/>
      <c r="I349" s="519"/>
      <c r="J349" s="519"/>
      <c r="K349" s="519"/>
      <c r="L349" s="519"/>
      <c r="M349" s="519"/>
      <c r="N349" s="519"/>
      <c r="O349" s="519"/>
      <c r="P349" s="519"/>
      <c r="Q349" s="519"/>
      <c r="R349" s="519"/>
      <c r="S349" s="519"/>
      <c r="T349" s="519"/>
      <c r="U349" s="519"/>
      <c r="V349" s="519"/>
      <c r="W349" s="519"/>
      <c r="X349" s="519"/>
      <c r="Y349" s="519"/>
      <c r="Z349" s="519"/>
      <c r="AA349" s="519"/>
      <c r="AB349" s="526"/>
      <c r="AC349" s="526"/>
      <c r="AD349" s="658"/>
      <c r="AE349" s="658"/>
      <c r="AF349" s="658"/>
      <c r="AG349" s="526">
        <v>0</v>
      </c>
      <c r="AH349" s="526"/>
      <c r="AI349" s="659" t="e">
        <v>#N/A</v>
      </c>
      <c r="AJ349" s="659"/>
      <c r="AK349" s="659"/>
      <c r="AL349" s="659"/>
      <c r="AM349" s="659"/>
      <c r="AN349" s="659"/>
      <c r="AO349" s="659"/>
      <c r="AP349" s="659"/>
      <c r="AQ349" s="659"/>
      <c r="AR349" s="659"/>
      <c r="AS349" s="659"/>
      <c r="AT349" s="659"/>
      <c r="AU349" s="659"/>
      <c r="AV349" s="659"/>
      <c r="AW349" s="658">
        <v>0</v>
      </c>
      <c r="AX349" s="658"/>
      <c r="AY349" s="658"/>
      <c r="AZ349" s="658"/>
      <c r="BA349" s="658"/>
      <c r="BB349" s="658"/>
      <c r="BC349" s="658">
        <v>0</v>
      </c>
      <c r="BD349" s="658"/>
      <c r="BE349" s="658"/>
      <c r="BF349" s="658">
        <v>182.49</v>
      </c>
      <c r="BG349" s="658"/>
      <c r="BH349" s="658"/>
      <c r="BI349" s="567">
        <v>0</v>
      </c>
      <c r="BJ349" s="567"/>
      <c r="BK349" s="567"/>
      <c r="BL349" s="567"/>
      <c r="BM349" s="660" t="s">
        <v>932</v>
      </c>
      <c r="BN349" s="660"/>
      <c r="BO349" s="660"/>
      <c r="BP349" s="660"/>
      <c r="BQ349" s="568" t="s">
        <v>932</v>
      </c>
      <c r="BR349" s="568"/>
      <c r="BS349" s="568"/>
      <c r="BT349" s="660" t="s">
        <v>932</v>
      </c>
      <c r="BU349" s="660"/>
      <c r="BV349" s="660"/>
      <c r="BW349" s="660"/>
      <c r="BX349" s="568" t="s">
        <v>932</v>
      </c>
      <c r="BY349" s="568"/>
      <c r="BZ349" s="568"/>
      <c r="CA349" s="660" t="s">
        <v>932</v>
      </c>
      <c r="CB349" s="660"/>
      <c r="CC349" s="660"/>
      <c r="CD349" s="660"/>
      <c r="CE349" s="568">
        <v>1</v>
      </c>
      <c r="CF349" s="568"/>
      <c r="CG349" s="568"/>
      <c r="CH349" s="660" t="s">
        <v>932</v>
      </c>
      <c r="CI349" s="660"/>
      <c r="CJ349" s="660"/>
      <c r="CK349" s="660"/>
      <c r="CL349" s="568" t="s">
        <v>932</v>
      </c>
      <c r="CM349" s="568"/>
      <c r="CN349" s="568"/>
    </row>
    <row r="350" hidden="1" customHeight="1" spans="1:92">
      <c r="A350" s="612"/>
      <c r="B350" s="612"/>
      <c r="C350" s="518"/>
      <c r="D350" s="518"/>
      <c r="E350" s="518"/>
      <c r="F350" s="657"/>
      <c r="G350" s="657"/>
      <c r="H350" s="657"/>
      <c r="I350" s="519"/>
      <c r="J350" s="519"/>
      <c r="K350" s="519"/>
      <c r="L350" s="519"/>
      <c r="M350" s="519"/>
      <c r="N350" s="519"/>
      <c r="O350" s="519"/>
      <c r="P350" s="519"/>
      <c r="Q350" s="519"/>
      <c r="R350" s="519"/>
      <c r="S350" s="519"/>
      <c r="T350" s="519"/>
      <c r="U350" s="519"/>
      <c r="V350" s="519"/>
      <c r="W350" s="519"/>
      <c r="X350" s="519"/>
      <c r="Y350" s="519"/>
      <c r="Z350" s="519"/>
      <c r="AA350" s="519"/>
      <c r="AB350" s="526"/>
      <c r="AC350" s="526"/>
      <c r="AD350" s="658"/>
      <c r="AE350" s="658"/>
      <c r="AF350" s="658"/>
      <c r="AG350" s="526">
        <v>0</v>
      </c>
      <c r="AH350" s="526"/>
      <c r="AI350" s="659" t="e">
        <v>#N/A</v>
      </c>
      <c r="AJ350" s="659"/>
      <c r="AK350" s="659"/>
      <c r="AL350" s="659"/>
      <c r="AM350" s="659"/>
      <c r="AN350" s="659"/>
      <c r="AO350" s="659"/>
      <c r="AP350" s="659"/>
      <c r="AQ350" s="659"/>
      <c r="AR350" s="659"/>
      <c r="AS350" s="659"/>
      <c r="AT350" s="659"/>
      <c r="AU350" s="659"/>
      <c r="AV350" s="659"/>
      <c r="AW350" s="658">
        <v>0</v>
      </c>
      <c r="AX350" s="658"/>
      <c r="AY350" s="658"/>
      <c r="AZ350" s="658"/>
      <c r="BA350" s="658"/>
      <c r="BB350" s="658"/>
      <c r="BC350" s="658">
        <v>0</v>
      </c>
      <c r="BD350" s="658"/>
      <c r="BE350" s="658"/>
      <c r="BF350" s="658">
        <v>182.49</v>
      </c>
      <c r="BG350" s="658"/>
      <c r="BH350" s="658"/>
      <c r="BI350" s="567">
        <v>0</v>
      </c>
      <c r="BJ350" s="567"/>
      <c r="BK350" s="567"/>
      <c r="BL350" s="567"/>
      <c r="BM350" s="660" t="s">
        <v>932</v>
      </c>
      <c r="BN350" s="660"/>
      <c r="BO350" s="660"/>
      <c r="BP350" s="660"/>
      <c r="BQ350" s="568" t="s">
        <v>932</v>
      </c>
      <c r="BR350" s="568"/>
      <c r="BS350" s="568"/>
      <c r="BT350" s="660" t="s">
        <v>932</v>
      </c>
      <c r="BU350" s="660"/>
      <c r="BV350" s="660"/>
      <c r="BW350" s="660"/>
      <c r="BX350" s="568" t="s">
        <v>932</v>
      </c>
      <c r="BY350" s="568"/>
      <c r="BZ350" s="568"/>
      <c r="CA350" s="660" t="s">
        <v>932</v>
      </c>
      <c r="CB350" s="660"/>
      <c r="CC350" s="660"/>
      <c r="CD350" s="660"/>
      <c r="CE350" s="568">
        <v>1</v>
      </c>
      <c r="CF350" s="568"/>
      <c r="CG350" s="568"/>
      <c r="CH350" s="660" t="s">
        <v>932</v>
      </c>
      <c r="CI350" s="660"/>
      <c r="CJ350" s="660"/>
      <c r="CK350" s="660"/>
      <c r="CL350" s="568" t="s">
        <v>932</v>
      </c>
      <c r="CM350" s="568"/>
      <c r="CN350" s="568"/>
    </row>
    <row r="351" hidden="1" customHeight="1" spans="1:92">
      <c r="A351" s="612"/>
      <c r="B351" s="612"/>
      <c r="C351" s="518"/>
      <c r="D351" s="518"/>
      <c r="E351" s="518"/>
      <c r="F351" s="657"/>
      <c r="G351" s="657"/>
      <c r="H351" s="657"/>
      <c r="I351" s="519"/>
      <c r="J351" s="519"/>
      <c r="K351" s="519"/>
      <c r="L351" s="519"/>
      <c r="M351" s="519"/>
      <c r="N351" s="519"/>
      <c r="O351" s="519"/>
      <c r="P351" s="519"/>
      <c r="Q351" s="519"/>
      <c r="R351" s="519"/>
      <c r="S351" s="519"/>
      <c r="T351" s="519"/>
      <c r="U351" s="519"/>
      <c r="V351" s="519"/>
      <c r="W351" s="519"/>
      <c r="X351" s="519"/>
      <c r="Y351" s="519"/>
      <c r="Z351" s="519"/>
      <c r="AA351" s="519"/>
      <c r="AB351" s="526"/>
      <c r="AC351" s="526"/>
      <c r="AD351" s="658"/>
      <c r="AE351" s="658"/>
      <c r="AF351" s="658"/>
      <c r="AG351" s="526">
        <v>0</v>
      </c>
      <c r="AH351" s="526"/>
      <c r="AI351" s="659" t="e">
        <v>#N/A</v>
      </c>
      <c r="AJ351" s="659"/>
      <c r="AK351" s="659"/>
      <c r="AL351" s="659"/>
      <c r="AM351" s="659"/>
      <c r="AN351" s="659"/>
      <c r="AO351" s="659"/>
      <c r="AP351" s="659"/>
      <c r="AQ351" s="659"/>
      <c r="AR351" s="659"/>
      <c r="AS351" s="659"/>
      <c r="AT351" s="659"/>
      <c r="AU351" s="659"/>
      <c r="AV351" s="659"/>
      <c r="AW351" s="658">
        <v>0</v>
      </c>
      <c r="AX351" s="658"/>
      <c r="AY351" s="658"/>
      <c r="AZ351" s="658"/>
      <c r="BA351" s="658"/>
      <c r="BB351" s="658"/>
      <c r="BC351" s="658">
        <v>0</v>
      </c>
      <c r="BD351" s="658"/>
      <c r="BE351" s="658"/>
      <c r="BF351" s="658">
        <v>182.49</v>
      </c>
      <c r="BG351" s="658"/>
      <c r="BH351" s="658"/>
      <c r="BI351" s="567">
        <v>0</v>
      </c>
      <c r="BJ351" s="567"/>
      <c r="BK351" s="567"/>
      <c r="BL351" s="567"/>
      <c r="BM351" s="660" t="s">
        <v>932</v>
      </c>
      <c r="BN351" s="660"/>
      <c r="BO351" s="660"/>
      <c r="BP351" s="660"/>
      <c r="BQ351" s="568" t="s">
        <v>932</v>
      </c>
      <c r="BR351" s="568"/>
      <c r="BS351" s="568"/>
      <c r="BT351" s="660" t="s">
        <v>932</v>
      </c>
      <c r="BU351" s="660"/>
      <c r="BV351" s="660"/>
      <c r="BW351" s="660"/>
      <c r="BX351" s="568" t="s">
        <v>932</v>
      </c>
      <c r="BY351" s="568"/>
      <c r="BZ351" s="568"/>
      <c r="CA351" s="660" t="s">
        <v>932</v>
      </c>
      <c r="CB351" s="660"/>
      <c r="CC351" s="660"/>
      <c r="CD351" s="660"/>
      <c r="CE351" s="568">
        <v>1</v>
      </c>
      <c r="CF351" s="568"/>
      <c r="CG351" s="568"/>
      <c r="CH351" s="660" t="s">
        <v>932</v>
      </c>
      <c r="CI351" s="660"/>
      <c r="CJ351" s="660"/>
      <c r="CK351" s="660"/>
      <c r="CL351" s="568" t="s">
        <v>932</v>
      </c>
      <c r="CM351" s="568"/>
      <c r="CN351" s="568"/>
    </row>
    <row r="352" customHeight="1" spans="1:92">
      <c r="A352" s="612" t="s">
        <v>984</v>
      </c>
      <c r="B352" s="612"/>
      <c r="C352" s="518"/>
      <c r="D352" s="518"/>
      <c r="E352" s="518"/>
      <c r="F352" s="657">
        <v>1100657</v>
      </c>
      <c r="G352" s="657"/>
      <c r="H352" s="657"/>
      <c r="I352" s="519" t="s">
        <v>114</v>
      </c>
      <c r="J352" s="519"/>
      <c r="K352" s="519"/>
      <c r="L352" s="519"/>
      <c r="M352" s="519"/>
      <c r="N352" s="519"/>
      <c r="O352" s="519"/>
      <c r="P352" s="519"/>
      <c r="Q352" s="519"/>
      <c r="R352" s="519"/>
      <c r="S352" s="519"/>
      <c r="T352" s="519"/>
      <c r="U352" s="519"/>
      <c r="V352" s="519"/>
      <c r="W352" s="519"/>
      <c r="X352" s="519"/>
      <c r="Y352" s="519"/>
      <c r="Z352" s="519"/>
      <c r="AA352" s="519"/>
      <c r="AB352" s="526" t="s">
        <v>99</v>
      </c>
      <c r="AC352" s="526"/>
      <c r="AD352" s="658">
        <v>0.12</v>
      </c>
      <c r="AE352" s="658"/>
      <c r="AF352" s="658"/>
      <c r="AG352" s="526" t="s">
        <v>935</v>
      </c>
      <c r="AH352" s="526"/>
      <c r="AI352" s="659" t="s">
        <v>936</v>
      </c>
      <c r="AJ352" s="659"/>
      <c r="AK352" s="659"/>
      <c r="AL352" s="659"/>
      <c r="AM352" s="659"/>
      <c r="AN352" s="659"/>
      <c r="AO352" s="659"/>
      <c r="AP352" s="659"/>
      <c r="AQ352" s="659"/>
      <c r="AR352" s="659"/>
      <c r="AS352" s="659"/>
      <c r="AT352" s="659"/>
      <c r="AU352" s="659"/>
      <c r="AV352" s="659"/>
      <c r="AW352" s="658">
        <v>1</v>
      </c>
      <c r="AX352" s="658"/>
      <c r="AY352" s="658"/>
      <c r="AZ352" s="658">
        <v>9</v>
      </c>
      <c r="BA352" s="658"/>
      <c r="BB352" s="658"/>
      <c r="BC352" s="658">
        <v>0.0133333333333333</v>
      </c>
      <c r="BD352" s="658"/>
      <c r="BE352" s="658"/>
      <c r="BF352" s="658">
        <v>182.49</v>
      </c>
      <c r="BG352" s="658"/>
      <c r="BH352" s="658"/>
      <c r="BI352" s="567">
        <v>7.30633642026047e-5</v>
      </c>
      <c r="BJ352" s="567"/>
      <c r="BK352" s="567"/>
      <c r="BL352" s="567"/>
      <c r="BM352" s="660" t="s">
        <v>932</v>
      </c>
      <c r="BN352" s="660"/>
      <c r="BO352" s="660"/>
      <c r="BP352" s="660"/>
      <c r="BQ352" s="568" t="s">
        <v>932</v>
      </c>
      <c r="BR352" s="568"/>
      <c r="BS352" s="568"/>
      <c r="BT352" s="660" t="s">
        <v>932</v>
      </c>
      <c r="BU352" s="660"/>
      <c r="BV352" s="660"/>
      <c r="BW352" s="660"/>
      <c r="BX352" s="568" t="s">
        <v>932</v>
      </c>
      <c r="BY352" s="568"/>
      <c r="BZ352" s="568"/>
      <c r="CA352" s="660">
        <v>7.30633642026047e-5</v>
      </c>
      <c r="CB352" s="660"/>
      <c r="CC352" s="660"/>
      <c r="CD352" s="660"/>
      <c r="CE352" s="568">
        <v>1</v>
      </c>
      <c r="CF352" s="568"/>
      <c r="CG352" s="568"/>
      <c r="CH352" s="660" t="s">
        <v>932</v>
      </c>
      <c r="CI352" s="660"/>
      <c r="CJ352" s="660"/>
      <c r="CK352" s="660"/>
      <c r="CL352" s="568" t="s">
        <v>932</v>
      </c>
      <c r="CM352" s="568"/>
      <c r="CN352" s="568"/>
    </row>
    <row r="353" hidden="1" customHeight="1" spans="1:92">
      <c r="A353" s="612"/>
      <c r="B353" s="612"/>
      <c r="C353" s="518"/>
      <c r="D353" s="518"/>
      <c r="E353" s="518"/>
      <c r="F353" s="657"/>
      <c r="G353" s="657"/>
      <c r="H353" s="657"/>
      <c r="I353" s="519"/>
      <c r="J353" s="519"/>
      <c r="K353" s="519"/>
      <c r="L353" s="519"/>
      <c r="M353" s="519"/>
      <c r="N353" s="519"/>
      <c r="O353" s="519"/>
      <c r="P353" s="519"/>
      <c r="Q353" s="519"/>
      <c r="R353" s="519"/>
      <c r="S353" s="519"/>
      <c r="T353" s="519"/>
      <c r="U353" s="519"/>
      <c r="V353" s="519"/>
      <c r="W353" s="519"/>
      <c r="X353" s="519"/>
      <c r="Y353" s="519"/>
      <c r="Z353" s="519"/>
      <c r="AA353" s="519"/>
      <c r="AB353" s="526"/>
      <c r="AC353" s="526"/>
      <c r="AD353" s="658"/>
      <c r="AE353" s="658"/>
      <c r="AF353" s="658"/>
      <c r="AG353" s="526">
        <v>0</v>
      </c>
      <c r="AH353" s="526"/>
      <c r="AI353" s="659" t="e">
        <v>#N/A</v>
      </c>
      <c r="AJ353" s="659"/>
      <c r="AK353" s="659"/>
      <c r="AL353" s="659"/>
      <c r="AM353" s="659"/>
      <c r="AN353" s="659"/>
      <c r="AO353" s="659"/>
      <c r="AP353" s="659"/>
      <c r="AQ353" s="659"/>
      <c r="AR353" s="659"/>
      <c r="AS353" s="659"/>
      <c r="AT353" s="659"/>
      <c r="AU353" s="659"/>
      <c r="AV353" s="659"/>
      <c r="AW353" s="658">
        <v>0</v>
      </c>
      <c r="AX353" s="658"/>
      <c r="AY353" s="658"/>
      <c r="AZ353" s="658"/>
      <c r="BA353" s="658"/>
      <c r="BB353" s="658"/>
      <c r="BC353" s="658">
        <v>0</v>
      </c>
      <c r="BD353" s="658"/>
      <c r="BE353" s="658"/>
      <c r="BF353" s="658">
        <v>182.49</v>
      </c>
      <c r="BG353" s="658"/>
      <c r="BH353" s="658"/>
      <c r="BI353" s="567">
        <v>0</v>
      </c>
      <c r="BJ353" s="567"/>
      <c r="BK353" s="567"/>
      <c r="BL353" s="567"/>
      <c r="BM353" s="660" t="s">
        <v>932</v>
      </c>
      <c r="BN353" s="660"/>
      <c r="BO353" s="660"/>
      <c r="BP353" s="660"/>
      <c r="BQ353" s="568" t="s">
        <v>932</v>
      </c>
      <c r="BR353" s="568"/>
      <c r="BS353" s="568"/>
      <c r="BT353" s="660" t="s">
        <v>932</v>
      </c>
      <c r="BU353" s="660"/>
      <c r="BV353" s="660"/>
      <c r="BW353" s="660"/>
      <c r="BX353" s="568" t="s">
        <v>932</v>
      </c>
      <c r="BY353" s="568"/>
      <c r="BZ353" s="568"/>
      <c r="CA353" s="660" t="s">
        <v>932</v>
      </c>
      <c r="CB353" s="660"/>
      <c r="CC353" s="660"/>
      <c r="CD353" s="660"/>
      <c r="CE353" s="568">
        <v>1</v>
      </c>
      <c r="CF353" s="568"/>
      <c r="CG353" s="568"/>
      <c r="CH353" s="660" t="s">
        <v>932</v>
      </c>
      <c r="CI353" s="660"/>
      <c r="CJ353" s="660"/>
      <c r="CK353" s="660"/>
      <c r="CL353" s="568" t="s">
        <v>932</v>
      </c>
      <c r="CM353" s="568"/>
      <c r="CN353" s="568"/>
    </row>
    <row r="354" hidden="1" customHeight="1" spans="1:92">
      <c r="A354" s="612"/>
      <c r="B354" s="612"/>
      <c r="C354" s="518"/>
      <c r="D354" s="518"/>
      <c r="E354" s="518"/>
      <c r="F354" s="657"/>
      <c r="G354" s="657"/>
      <c r="H354" s="657"/>
      <c r="I354" s="519"/>
      <c r="J354" s="519"/>
      <c r="K354" s="519"/>
      <c r="L354" s="519"/>
      <c r="M354" s="519"/>
      <c r="N354" s="519"/>
      <c r="O354" s="519"/>
      <c r="P354" s="519"/>
      <c r="Q354" s="519"/>
      <c r="R354" s="519"/>
      <c r="S354" s="519"/>
      <c r="T354" s="519"/>
      <c r="U354" s="519"/>
      <c r="V354" s="519"/>
      <c r="W354" s="519"/>
      <c r="X354" s="519"/>
      <c r="Y354" s="519"/>
      <c r="Z354" s="519"/>
      <c r="AA354" s="519"/>
      <c r="AB354" s="526"/>
      <c r="AC354" s="526"/>
      <c r="AD354" s="658"/>
      <c r="AE354" s="658"/>
      <c r="AF354" s="658"/>
      <c r="AG354" s="526">
        <v>0</v>
      </c>
      <c r="AH354" s="526"/>
      <c r="AI354" s="659" t="e">
        <v>#N/A</v>
      </c>
      <c r="AJ354" s="659"/>
      <c r="AK354" s="659"/>
      <c r="AL354" s="659"/>
      <c r="AM354" s="659"/>
      <c r="AN354" s="659"/>
      <c r="AO354" s="659"/>
      <c r="AP354" s="659"/>
      <c r="AQ354" s="659"/>
      <c r="AR354" s="659"/>
      <c r="AS354" s="659"/>
      <c r="AT354" s="659"/>
      <c r="AU354" s="659"/>
      <c r="AV354" s="659"/>
      <c r="AW354" s="658">
        <v>0</v>
      </c>
      <c r="AX354" s="658"/>
      <c r="AY354" s="658"/>
      <c r="AZ354" s="658"/>
      <c r="BA354" s="658"/>
      <c r="BB354" s="658"/>
      <c r="BC354" s="658">
        <v>0</v>
      </c>
      <c r="BD354" s="658"/>
      <c r="BE354" s="658"/>
      <c r="BF354" s="658">
        <v>182.49</v>
      </c>
      <c r="BG354" s="658"/>
      <c r="BH354" s="658"/>
      <c r="BI354" s="567">
        <v>0</v>
      </c>
      <c r="BJ354" s="567"/>
      <c r="BK354" s="567"/>
      <c r="BL354" s="567"/>
      <c r="BM354" s="660" t="s">
        <v>932</v>
      </c>
      <c r="BN354" s="660"/>
      <c r="BO354" s="660"/>
      <c r="BP354" s="660"/>
      <c r="BQ354" s="568" t="s">
        <v>932</v>
      </c>
      <c r="BR354" s="568"/>
      <c r="BS354" s="568"/>
      <c r="BT354" s="660" t="s">
        <v>932</v>
      </c>
      <c r="BU354" s="660"/>
      <c r="BV354" s="660"/>
      <c r="BW354" s="660"/>
      <c r="BX354" s="568" t="s">
        <v>932</v>
      </c>
      <c r="BY354" s="568"/>
      <c r="BZ354" s="568"/>
      <c r="CA354" s="660" t="s">
        <v>932</v>
      </c>
      <c r="CB354" s="660"/>
      <c r="CC354" s="660"/>
      <c r="CD354" s="660"/>
      <c r="CE354" s="568">
        <v>1</v>
      </c>
      <c r="CF354" s="568"/>
      <c r="CG354" s="568"/>
      <c r="CH354" s="660" t="s">
        <v>932</v>
      </c>
      <c r="CI354" s="660"/>
      <c r="CJ354" s="660"/>
      <c r="CK354" s="660"/>
      <c r="CL354" s="568" t="s">
        <v>932</v>
      </c>
      <c r="CM354" s="568"/>
      <c r="CN354" s="568"/>
    </row>
    <row r="355" hidden="1" customHeight="1" spans="1:92">
      <c r="A355" s="612"/>
      <c r="B355" s="612"/>
      <c r="C355" s="518"/>
      <c r="D355" s="518"/>
      <c r="E355" s="518"/>
      <c r="F355" s="657"/>
      <c r="G355" s="657"/>
      <c r="H355" s="657"/>
      <c r="I355" s="519"/>
      <c r="J355" s="519"/>
      <c r="K355" s="519"/>
      <c r="L355" s="519"/>
      <c r="M355" s="519"/>
      <c r="N355" s="519"/>
      <c r="O355" s="519"/>
      <c r="P355" s="519"/>
      <c r="Q355" s="519"/>
      <c r="R355" s="519"/>
      <c r="S355" s="519"/>
      <c r="T355" s="519"/>
      <c r="U355" s="519"/>
      <c r="V355" s="519"/>
      <c r="W355" s="519"/>
      <c r="X355" s="519"/>
      <c r="Y355" s="519"/>
      <c r="Z355" s="519"/>
      <c r="AA355" s="519"/>
      <c r="AB355" s="526"/>
      <c r="AC355" s="526"/>
      <c r="AD355" s="658"/>
      <c r="AE355" s="658"/>
      <c r="AF355" s="658"/>
      <c r="AG355" s="526">
        <v>0</v>
      </c>
      <c r="AH355" s="526"/>
      <c r="AI355" s="659" t="e">
        <v>#N/A</v>
      </c>
      <c r="AJ355" s="659"/>
      <c r="AK355" s="659"/>
      <c r="AL355" s="659"/>
      <c r="AM355" s="659"/>
      <c r="AN355" s="659"/>
      <c r="AO355" s="659"/>
      <c r="AP355" s="659"/>
      <c r="AQ355" s="659"/>
      <c r="AR355" s="659"/>
      <c r="AS355" s="659"/>
      <c r="AT355" s="659"/>
      <c r="AU355" s="659"/>
      <c r="AV355" s="659"/>
      <c r="AW355" s="658">
        <v>0</v>
      </c>
      <c r="AX355" s="658"/>
      <c r="AY355" s="658"/>
      <c r="AZ355" s="658"/>
      <c r="BA355" s="658"/>
      <c r="BB355" s="658"/>
      <c r="BC355" s="658">
        <v>0</v>
      </c>
      <c r="BD355" s="658"/>
      <c r="BE355" s="658"/>
      <c r="BF355" s="658">
        <v>182.49</v>
      </c>
      <c r="BG355" s="658"/>
      <c r="BH355" s="658"/>
      <c r="BI355" s="567">
        <v>0</v>
      </c>
      <c r="BJ355" s="567"/>
      <c r="BK355" s="567"/>
      <c r="BL355" s="567"/>
      <c r="BM355" s="660" t="s">
        <v>932</v>
      </c>
      <c r="BN355" s="660"/>
      <c r="BO355" s="660"/>
      <c r="BP355" s="660"/>
      <c r="BQ355" s="568" t="s">
        <v>932</v>
      </c>
      <c r="BR355" s="568"/>
      <c r="BS355" s="568"/>
      <c r="BT355" s="660" t="s">
        <v>932</v>
      </c>
      <c r="BU355" s="660"/>
      <c r="BV355" s="660"/>
      <c r="BW355" s="660"/>
      <c r="BX355" s="568" t="s">
        <v>932</v>
      </c>
      <c r="BY355" s="568"/>
      <c r="BZ355" s="568"/>
      <c r="CA355" s="660" t="s">
        <v>932</v>
      </c>
      <c r="CB355" s="660"/>
      <c r="CC355" s="660"/>
      <c r="CD355" s="660"/>
      <c r="CE355" s="568">
        <v>1</v>
      </c>
      <c r="CF355" s="568"/>
      <c r="CG355" s="568"/>
      <c r="CH355" s="660" t="s">
        <v>932</v>
      </c>
      <c r="CI355" s="660"/>
      <c r="CJ355" s="660"/>
      <c r="CK355" s="660"/>
      <c r="CL355" s="568" t="s">
        <v>932</v>
      </c>
      <c r="CM355" s="568"/>
      <c r="CN355" s="568"/>
    </row>
    <row r="356" hidden="1" customHeight="1" spans="1:92">
      <c r="A356" s="612"/>
      <c r="B356" s="612"/>
      <c r="C356" s="518"/>
      <c r="D356" s="518"/>
      <c r="E356" s="518"/>
      <c r="F356" s="657"/>
      <c r="G356" s="657"/>
      <c r="H356" s="657"/>
      <c r="I356" s="519"/>
      <c r="J356" s="519"/>
      <c r="K356" s="519"/>
      <c r="L356" s="519"/>
      <c r="M356" s="519"/>
      <c r="N356" s="519"/>
      <c r="O356" s="519"/>
      <c r="P356" s="519"/>
      <c r="Q356" s="519"/>
      <c r="R356" s="519"/>
      <c r="S356" s="519"/>
      <c r="T356" s="519"/>
      <c r="U356" s="519"/>
      <c r="V356" s="519"/>
      <c r="W356" s="519"/>
      <c r="X356" s="519"/>
      <c r="Y356" s="519"/>
      <c r="Z356" s="519"/>
      <c r="AA356" s="519"/>
      <c r="AB356" s="526"/>
      <c r="AC356" s="526"/>
      <c r="AD356" s="658"/>
      <c r="AE356" s="658"/>
      <c r="AF356" s="658"/>
      <c r="AG356" s="526">
        <v>0</v>
      </c>
      <c r="AH356" s="526"/>
      <c r="AI356" s="659" t="e">
        <v>#N/A</v>
      </c>
      <c r="AJ356" s="659"/>
      <c r="AK356" s="659"/>
      <c r="AL356" s="659"/>
      <c r="AM356" s="659"/>
      <c r="AN356" s="659"/>
      <c r="AO356" s="659"/>
      <c r="AP356" s="659"/>
      <c r="AQ356" s="659"/>
      <c r="AR356" s="659"/>
      <c r="AS356" s="659"/>
      <c r="AT356" s="659"/>
      <c r="AU356" s="659"/>
      <c r="AV356" s="659"/>
      <c r="AW356" s="658">
        <v>0</v>
      </c>
      <c r="AX356" s="658"/>
      <c r="AY356" s="658"/>
      <c r="AZ356" s="658"/>
      <c r="BA356" s="658"/>
      <c r="BB356" s="658"/>
      <c r="BC356" s="658">
        <v>0</v>
      </c>
      <c r="BD356" s="658"/>
      <c r="BE356" s="658"/>
      <c r="BF356" s="658">
        <v>182.49</v>
      </c>
      <c r="BG356" s="658"/>
      <c r="BH356" s="658"/>
      <c r="BI356" s="567">
        <v>0</v>
      </c>
      <c r="BJ356" s="567"/>
      <c r="BK356" s="567"/>
      <c r="BL356" s="567"/>
      <c r="BM356" s="660" t="s">
        <v>932</v>
      </c>
      <c r="BN356" s="660"/>
      <c r="BO356" s="660"/>
      <c r="BP356" s="660"/>
      <c r="BQ356" s="568" t="s">
        <v>932</v>
      </c>
      <c r="BR356" s="568"/>
      <c r="BS356" s="568"/>
      <c r="BT356" s="660" t="s">
        <v>932</v>
      </c>
      <c r="BU356" s="660"/>
      <c r="BV356" s="660"/>
      <c r="BW356" s="660"/>
      <c r="BX356" s="568" t="s">
        <v>932</v>
      </c>
      <c r="BY356" s="568"/>
      <c r="BZ356" s="568"/>
      <c r="CA356" s="660" t="s">
        <v>932</v>
      </c>
      <c r="CB356" s="660"/>
      <c r="CC356" s="660"/>
      <c r="CD356" s="660"/>
      <c r="CE356" s="568">
        <v>1</v>
      </c>
      <c r="CF356" s="568"/>
      <c r="CG356" s="568"/>
      <c r="CH356" s="660" t="s">
        <v>932</v>
      </c>
      <c r="CI356" s="660"/>
      <c r="CJ356" s="660"/>
      <c r="CK356" s="660"/>
      <c r="CL356" s="568" t="s">
        <v>932</v>
      </c>
      <c r="CM356" s="568"/>
      <c r="CN356" s="568"/>
    </row>
    <row r="357" hidden="1" customHeight="1" spans="1:92">
      <c r="A357" s="612"/>
      <c r="B357" s="612"/>
      <c r="C357" s="518"/>
      <c r="D357" s="518"/>
      <c r="E357" s="518"/>
      <c r="F357" s="657"/>
      <c r="G357" s="657"/>
      <c r="H357" s="657"/>
      <c r="I357" s="519"/>
      <c r="J357" s="519"/>
      <c r="K357" s="519"/>
      <c r="L357" s="519"/>
      <c r="M357" s="519"/>
      <c r="N357" s="519"/>
      <c r="O357" s="519"/>
      <c r="P357" s="519"/>
      <c r="Q357" s="519"/>
      <c r="R357" s="519"/>
      <c r="S357" s="519"/>
      <c r="T357" s="519"/>
      <c r="U357" s="519"/>
      <c r="V357" s="519"/>
      <c r="W357" s="519"/>
      <c r="X357" s="519"/>
      <c r="Y357" s="519"/>
      <c r="Z357" s="519"/>
      <c r="AA357" s="519"/>
      <c r="AB357" s="526"/>
      <c r="AC357" s="526"/>
      <c r="AD357" s="658"/>
      <c r="AE357" s="658"/>
      <c r="AF357" s="658"/>
      <c r="AG357" s="526">
        <v>0</v>
      </c>
      <c r="AH357" s="526"/>
      <c r="AI357" s="659" t="e">
        <v>#N/A</v>
      </c>
      <c r="AJ357" s="659"/>
      <c r="AK357" s="659"/>
      <c r="AL357" s="659"/>
      <c r="AM357" s="659"/>
      <c r="AN357" s="659"/>
      <c r="AO357" s="659"/>
      <c r="AP357" s="659"/>
      <c r="AQ357" s="659"/>
      <c r="AR357" s="659"/>
      <c r="AS357" s="659"/>
      <c r="AT357" s="659"/>
      <c r="AU357" s="659"/>
      <c r="AV357" s="659"/>
      <c r="AW357" s="658">
        <v>0</v>
      </c>
      <c r="AX357" s="658"/>
      <c r="AY357" s="658"/>
      <c r="AZ357" s="658"/>
      <c r="BA357" s="658"/>
      <c r="BB357" s="658"/>
      <c r="BC357" s="658">
        <v>0</v>
      </c>
      <c r="BD357" s="658"/>
      <c r="BE357" s="658"/>
      <c r="BF357" s="658">
        <v>182.49</v>
      </c>
      <c r="BG357" s="658"/>
      <c r="BH357" s="658"/>
      <c r="BI357" s="567">
        <v>0</v>
      </c>
      <c r="BJ357" s="567"/>
      <c r="BK357" s="567"/>
      <c r="BL357" s="567"/>
      <c r="BM357" s="660" t="s">
        <v>932</v>
      </c>
      <c r="BN357" s="660"/>
      <c r="BO357" s="660"/>
      <c r="BP357" s="660"/>
      <c r="BQ357" s="568" t="s">
        <v>932</v>
      </c>
      <c r="BR357" s="568"/>
      <c r="BS357" s="568"/>
      <c r="BT357" s="660" t="s">
        <v>932</v>
      </c>
      <c r="BU357" s="660"/>
      <c r="BV357" s="660"/>
      <c r="BW357" s="660"/>
      <c r="BX357" s="568" t="s">
        <v>932</v>
      </c>
      <c r="BY357" s="568"/>
      <c r="BZ357" s="568"/>
      <c r="CA357" s="660" t="s">
        <v>932</v>
      </c>
      <c r="CB357" s="660"/>
      <c r="CC357" s="660"/>
      <c r="CD357" s="660"/>
      <c r="CE357" s="568">
        <v>1</v>
      </c>
      <c r="CF357" s="568"/>
      <c r="CG357" s="568"/>
      <c r="CH357" s="660" t="s">
        <v>932</v>
      </c>
      <c r="CI357" s="660"/>
      <c r="CJ357" s="660"/>
      <c r="CK357" s="660"/>
      <c r="CL357" s="568" t="s">
        <v>932</v>
      </c>
      <c r="CM357" s="568"/>
      <c r="CN357" s="568"/>
    </row>
    <row r="358" hidden="1" customHeight="1" spans="1:92">
      <c r="A358" s="612"/>
      <c r="B358" s="612"/>
      <c r="C358" s="518"/>
      <c r="D358" s="518"/>
      <c r="E358" s="518"/>
      <c r="F358" s="657"/>
      <c r="G358" s="657"/>
      <c r="H358" s="657"/>
      <c r="I358" s="519"/>
      <c r="J358" s="519"/>
      <c r="K358" s="519"/>
      <c r="L358" s="519"/>
      <c r="M358" s="519"/>
      <c r="N358" s="519"/>
      <c r="O358" s="519"/>
      <c r="P358" s="519"/>
      <c r="Q358" s="519"/>
      <c r="R358" s="519"/>
      <c r="S358" s="519"/>
      <c r="T358" s="519"/>
      <c r="U358" s="519"/>
      <c r="V358" s="519"/>
      <c r="W358" s="519"/>
      <c r="X358" s="519"/>
      <c r="Y358" s="519"/>
      <c r="Z358" s="519"/>
      <c r="AA358" s="519"/>
      <c r="AB358" s="526"/>
      <c r="AC358" s="526"/>
      <c r="AD358" s="658"/>
      <c r="AE358" s="658"/>
      <c r="AF358" s="658"/>
      <c r="AG358" s="526">
        <v>0</v>
      </c>
      <c r="AH358" s="526"/>
      <c r="AI358" s="659" t="e">
        <v>#N/A</v>
      </c>
      <c r="AJ358" s="659"/>
      <c r="AK358" s="659"/>
      <c r="AL358" s="659"/>
      <c r="AM358" s="659"/>
      <c r="AN358" s="659"/>
      <c r="AO358" s="659"/>
      <c r="AP358" s="659"/>
      <c r="AQ358" s="659"/>
      <c r="AR358" s="659"/>
      <c r="AS358" s="659"/>
      <c r="AT358" s="659"/>
      <c r="AU358" s="659"/>
      <c r="AV358" s="659"/>
      <c r="AW358" s="658">
        <v>0</v>
      </c>
      <c r="AX358" s="658"/>
      <c r="AY358" s="658"/>
      <c r="AZ358" s="658"/>
      <c r="BA358" s="658"/>
      <c r="BB358" s="658"/>
      <c r="BC358" s="658">
        <v>0</v>
      </c>
      <c r="BD358" s="658"/>
      <c r="BE358" s="658"/>
      <c r="BF358" s="658">
        <v>182.49</v>
      </c>
      <c r="BG358" s="658"/>
      <c r="BH358" s="658"/>
      <c r="BI358" s="567">
        <v>0</v>
      </c>
      <c r="BJ358" s="567"/>
      <c r="BK358" s="567"/>
      <c r="BL358" s="567"/>
      <c r="BM358" s="660" t="s">
        <v>932</v>
      </c>
      <c r="BN358" s="660"/>
      <c r="BO358" s="660"/>
      <c r="BP358" s="660"/>
      <c r="BQ358" s="568" t="s">
        <v>932</v>
      </c>
      <c r="BR358" s="568"/>
      <c r="BS358" s="568"/>
      <c r="BT358" s="660" t="s">
        <v>932</v>
      </c>
      <c r="BU358" s="660"/>
      <c r="BV358" s="660"/>
      <c r="BW358" s="660"/>
      <c r="BX358" s="568" t="s">
        <v>932</v>
      </c>
      <c r="BY358" s="568"/>
      <c r="BZ358" s="568"/>
      <c r="CA358" s="660" t="s">
        <v>932</v>
      </c>
      <c r="CB358" s="660"/>
      <c r="CC358" s="660"/>
      <c r="CD358" s="660"/>
      <c r="CE358" s="568">
        <v>1</v>
      </c>
      <c r="CF358" s="568"/>
      <c r="CG358" s="568"/>
      <c r="CH358" s="660" t="s">
        <v>932</v>
      </c>
      <c r="CI358" s="660"/>
      <c r="CJ358" s="660"/>
      <c r="CK358" s="660"/>
      <c r="CL358" s="568" t="s">
        <v>932</v>
      </c>
      <c r="CM358" s="568"/>
      <c r="CN358" s="568"/>
    </row>
    <row r="359" hidden="1" customHeight="1" spans="1:92">
      <c r="A359" s="612"/>
      <c r="B359" s="612"/>
      <c r="C359" s="518"/>
      <c r="D359" s="518"/>
      <c r="E359" s="518"/>
      <c r="F359" s="657"/>
      <c r="G359" s="657"/>
      <c r="H359" s="657"/>
      <c r="I359" s="519"/>
      <c r="J359" s="519"/>
      <c r="K359" s="519"/>
      <c r="L359" s="519"/>
      <c r="M359" s="519"/>
      <c r="N359" s="519"/>
      <c r="O359" s="519"/>
      <c r="P359" s="519"/>
      <c r="Q359" s="519"/>
      <c r="R359" s="519"/>
      <c r="S359" s="519"/>
      <c r="T359" s="519"/>
      <c r="U359" s="519"/>
      <c r="V359" s="519"/>
      <c r="W359" s="519"/>
      <c r="X359" s="519"/>
      <c r="Y359" s="519"/>
      <c r="Z359" s="519"/>
      <c r="AA359" s="519"/>
      <c r="AB359" s="526"/>
      <c r="AC359" s="526"/>
      <c r="AD359" s="658"/>
      <c r="AE359" s="658"/>
      <c r="AF359" s="658"/>
      <c r="AG359" s="526">
        <v>0</v>
      </c>
      <c r="AH359" s="526"/>
      <c r="AI359" s="659" t="e">
        <v>#N/A</v>
      </c>
      <c r="AJ359" s="659"/>
      <c r="AK359" s="659"/>
      <c r="AL359" s="659"/>
      <c r="AM359" s="659"/>
      <c r="AN359" s="659"/>
      <c r="AO359" s="659"/>
      <c r="AP359" s="659"/>
      <c r="AQ359" s="659"/>
      <c r="AR359" s="659"/>
      <c r="AS359" s="659"/>
      <c r="AT359" s="659"/>
      <c r="AU359" s="659"/>
      <c r="AV359" s="659"/>
      <c r="AW359" s="658">
        <v>0</v>
      </c>
      <c r="AX359" s="658"/>
      <c r="AY359" s="658"/>
      <c r="AZ359" s="658"/>
      <c r="BA359" s="658"/>
      <c r="BB359" s="658"/>
      <c r="BC359" s="658">
        <v>0</v>
      </c>
      <c r="BD359" s="658"/>
      <c r="BE359" s="658"/>
      <c r="BF359" s="658">
        <v>182.49</v>
      </c>
      <c r="BG359" s="658"/>
      <c r="BH359" s="658"/>
      <c r="BI359" s="567">
        <v>0</v>
      </c>
      <c r="BJ359" s="567"/>
      <c r="BK359" s="567"/>
      <c r="BL359" s="567"/>
      <c r="BM359" s="660" t="s">
        <v>932</v>
      </c>
      <c r="BN359" s="660"/>
      <c r="BO359" s="660"/>
      <c r="BP359" s="660"/>
      <c r="BQ359" s="568" t="s">
        <v>932</v>
      </c>
      <c r="BR359" s="568"/>
      <c r="BS359" s="568"/>
      <c r="BT359" s="660" t="s">
        <v>932</v>
      </c>
      <c r="BU359" s="660"/>
      <c r="BV359" s="660"/>
      <c r="BW359" s="660"/>
      <c r="BX359" s="568" t="s">
        <v>932</v>
      </c>
      <c r="BY359" s="568"/>
      <c r="BZ359" s="568"/>
      <c r="CA359" s="660" t="s">
        <v>932</v>
      </c>
      <c r="CB359" s="660"/>
      <c r="CC359" s="660"/>
      <c r="CD359" s="660"/>
      <c r="CE359" s="568">
        <v>1</v>
      </c>
      <c r="CF359" s="568"/>
      <c r="CG359" s="568"/>
      <c r="CH359" s="660" t="s">
        <v>932</v>
      </c>
      <c r="CI359" s="660"/>
      <c r="CJ359" s="660"/>
      <c r="CK359" s="660"/>
      <c r="CL359" s="568" t="s">
        <v>932</v>
      </c>
      <c r="CM359" s="568"/>
      <c r="CN359" s="568"/>
    </row>
    <row r="360" customHeight="1" spans="1:92">
      <c r="A360" s="612" t="s">
        <v>985</v>
      </c>
      <c r="B360" s="612"/>
      <c r="C360" s="518"/>
      <c r="D360" s="518"/>
      <c r="E360" s="518"/>
      <c r="F360" s="657">
        <v>1107900</v>
      </c>
      <c r="G360" s="657"/>
      <c r="H360" s="657"/>
      <c r="I360" s="519" t="s">
        <v>108</v>
      </c>
      <c r="J360" s="519"/>
      <c r="K360" s="519"/>
      <c r="L360" s="519"/>
      <c r="M360" s="519"/>
      <c r="N360" s="519"/>
      <c r="O360" s="519"/>
      <c r="P360" s="519"/>
      <c r="Q360" s="519"/>
      <c r="R360" s="519"/>
      <c r="S360" s="519"/>
      <c r="T360" s="519"/>
      <c r="U360" s="519"/>
      <c r="V360" s="519"/>
      <c r="W360" s="519"/>
      <c r="X360" s="519"/>
      <c r="Y360" s="519"/>
      <c r="Z360" s="519"/>
      <c r="AA360" s="519"/>
      <c r="AB360" s="526" t="s">
        <v>99</v>
      </c>
      <c r="AC360" s="526"/>
      <c r="AD360" s="658">
        <v>15.75</v>
      </c>
      <c r="AE360" s="658"/>
      <c r="AF360" s="658"/>
      <c r="AG360" s="526" t="s">
        <v>946</v>
      </c>
      <c r="AH360" s="526"/>
      <c r="AI360" s="659" t="s">
        <v>947</v>
      </c>
      <c r="AJ360" s="659"/>
      <c r="AK360" s="659"/>
      <c r="AL360" s="659"/>
      <c r="AM360" s="659"/>
      <c r="AN360" s="659"/>
      <c r="AO360" s="659"/>
      <c r="AP360" s="659"/>
      <c r="AQ360" s="659"/>
      <c r="AR360" s="659"/>
      <c r="AS360" s="659"/>
      <c r="AT360" s="659"/>
      <c r="AU360" s="659"/>
      <c r="AV360" s="659"/>
      <c r="AW360" s="658">
        <v>1</v>
      </c>
      <c r="AX360" s="658"/>
      <c r="AY360" s="658"/>
      <c r="AZ360" s="658">
        <v>3.853</v>
      </c>
      <c r="BA360" s="658"/>
      <c r="BB360" s="658"/>
      <c r="BC360" s="658">
        <v>4.08772385154425</v>
      </c>
      <c r="BD360" s="658"/>
      <c r="BE360" s="658"/>
      <c r="BF360" s="658">
        <v>182.49</v>
      </c>
      <c r="BG360" s="658"/>
      <c r="BH360" s="658"/>
      <c r="BI360" s="567">
        <v>0.0223997142393789</v>
      </c>
      <c r="BJ360" s="567"/>
      <c r="BK360" s="567"/>
      <c r="BL360" s="567"/>
      <c r="BM360" s="660" t="s">
        <v>932</v>
      </c>
      <c r="BN360" s="660"/>
      <c r="BO360" s="660"/>
      <c r="BP360" s="660"/>
      <c r="BQ360" s="568" t="s">
        <v>932</v>
      </c>
      <c r="BR360" s="568"/>
      <c r="BS360" s="568"/>
      <c r="BT360" s="660" t="s">
        <v>932</v>
      </c>
      <c r="BU360" s="660"/>
      <c r="BV360" s="660"/>
      <c r="BW360" s="660"/>
      <c r="BX360" s="568" t="s">
        <v>932</v>
      </c>
      <c r="BY360" s="568"/>
      <c r="BZ360" s="568"/>
      <c r="CA360" s="660" t="s">
        <v>932</v>
      </c>
      <c r="CB360" s="660"/>
      <c r="CC360" s="660"/>
      <c r="CD360" s="660"/>
      <c r="CE360" s="568" t="s">
        <v>932</v>
      </c>
      <c r="CF360" s="568"/>
      <c r="CG360" s="568"/>
      <c r="CH360" s="660">
        <v>0.0223997142393789</v>
      </c>
      <c r="CI360" s="660"/>
      <c r="CJ360" s="660"/>
      <c r="CK360" s="660"/>
      <c r="CL360" s="568">
        <v>1</v>
      </c>
      <c r="CM360" s="568"/>
      <c r="CN360" s="568"/>
    </row>
    <row r="361" customHeight="1" spans="1:92">
      <c r="A361" s="612"/>
      <c r="B361" s="612"/>
      <c r="C361" s="518"/>
      <c r="D361" s="518"/>
      <c r="E361" s="518"/>
      <c r="F361" s="657"/>
      <c r="G361" s="657"/>
      <c r="H361" s="657"/>
      <c r="I361" s="519"/>
      <c r="J361" s="519"/>
      <c r="K361" s="519"/>
      <c r="L361" s="519"/>
      <c r="M361" s="519"/>
      <c r="N361" s="519"/>
      <c r="O361" s="519"/>
      <c r="P361" s="519"/>
      <c r="Q361" s="519"/>
      <c r="R361" s="519"/>
      <c r="S361" s="519"/>
      <c r="T361" s="519"/>
      <c r="U361" s="519"/>
      <c r="V361" s="519"/>
      <c r="W361" s="519"/>
      <c r="X361" s="519"/>
      <c r="Y361" s="519"/>
      <c r="Z361" s="519"/>
      <c r="AA361" s="519"/>
      <c r="AB361" s="526"/>
      <c r="AC361" s="526"/>
      <c r="AD361" s="658"/>
      <c r="AE361" s="658"/>
      <c r="AF361" s="658"/>
      <c r="AG361" s="526" t="s">
        <v>935</v>
      </c>
      <c r="AH361" s="526"/>
      <c r="AI361" s="659" t="s">
        <v>936</v>
      </c>
      <c r="AJ361" s="659"/>
      <c r="AK361" s="659"/>
      <c r="AL361" s="659"/>
      <c r="AM361" s="659"/>
      <c r="AN361" s="659"/>
      <c r="AO361" s="659"/>
      <c r="AP361" s="659"/>
      <c r="AQ361" s="659"/>
      <c r="AR361" s="659"/>
      <c r="AS361" s="659"/>
      <c r="AT361" s="659"/>
      <c r="AU361" s="659"/>
      <c r="AV361" s="659"/>
      <c r="AW361" s="658">
        <v>9</v>
      </c>
      <c r="AX361" s="658"/>
      <c r="AY361" s="658"/>
      <c r="AZ361" s="658"/>
      <c r="BA361" s="658"/>
      <c r="BB361" s="658"/>
      <c r="BC361" s="658">
        <v>36.7895146638983</v>
      </c>
      <c r="BD361" s="658"/>
      <c r="BE361" s="658"/>
      <c r="BF361" s="658">
        <v>182.49</v>
      </c>
      <c r="BG361" s="658"/>
      <c r="BH361" s="658"/>
      <c r="BI361" s="567">
        <v>0.20159742815441</v>
      </c>
      <c r="BJ361" s="567"/>
      <c r="BK361" s="567"/>
      <c r="BL361" s="567"/>
      <c r="BM361" s="660" t="s">
        <v>932</v>
      </c>
      <c r="BN361" s="660"/>
      <c r="BO361" s="660"/>
      <c r="BP361" s="660"/>
      <c r="BQ361" s="568" t="s">
        <v>932</v>
      </c>
      <c r="BR361" s="568"/>
      <c r="BS361" s="568"/>
      <c r="BT361" s="660" t="s">
        <v>932</v>
      </c>
      <c r="BU361" s="660"/>
      <c r="BV361" s="660"/>
      <c r="BW361" s="660"/>
      <c r="BX361" s="568" t="s">
        <v>932</v>
      </c>
      <c r="BY361" s="568"/>
      <c r="BZ361" s="568"/>
      <c r="CA361" s="660" t="s">
        <v>932</v>
      </c>
      <c r="CB361" s="660"/>
      <c r="CC361" s="660"/>
      <c r="CD361" s="660"/>
      <c r="CE361" s="568" t="s">
        <v>932</v>
      </c>
      <c r="CF361" s="568"/>
      <c r="CG361" s="568"/>
      <c r="CH361" s="660">
        <v>0.20159742815441</v>
      </c>
      <c r="CI361" s="660"/>
      <c r="CJ361" s="660"/>
      <c r="CK361" s="660"/>
      <c r="CL361" s="568">
        <v>1</v>
      </c>
      <c r="CM361" s="568"/>
      <c r="CN361" s="568"/>
    </row>
    <row r="362" hidden="1" customHeight="1" spans="1:92">
      <c r="A362" s="612"/>
      <c r="B362" s="612"/>
      <c r="C362" s="518"/>
      <c r="D362" s="518"/>
      <c r="E362" s="518"/>
      <c r="F362" s="657"/>
      <c r="G362" s="657"/>
      <c r="H362" s="657"/>
      <c r="I362" s="519"/>
      <c r="J362" s="519"/>
      <c r="K362" s="519"/>
      <c r="L362" s="519"/>
      <c r="M362" s="519"/>
      <c r="N362" s="519"/>
      <c r="O362" s="519"/>
      <c r="P362" s="519"/>
      <c r="Q362" s="519"/>
      <c r="R362" s="519"/>
      <c r="S362" s="519"/>
      <c r="T362" s="519"/>
      <c r="U362" s="519"/>
      <c r="V362" s="519"/>
      <c r="W362" s="519"/>
      <c r="X362" s="519"/>
      <c r="Y362" s="519"/>
      <c r="Z362" s="519"/>
      <c r="AA362" s="519"/>
      <c r="AB362" s="526"/>
      <c r="AC362" s="526"/>
      <c r="AD362" s="658"/>
      <c r="AE362" s="658"/>
      <c r="AF362" s="658"/>
      <c r="AG362" s="526">
        <v>0</v>
      </c>
      <c r="AH362" s="526"/>
      <c r="AI362" s="659" t="e">
        <v>#N/A</v>
      </c>
      <c r="AJ362" s="659"/>
      <c r="AK362" s="659"/>
      <c r="AL362" s="659"/>
      <c r="AM362" s="659"/>
      <c r="AN362" s="659"/>
      <c r="AO362" s="659"/>
      <c r="AP362" s="659"/>
      <c r="AQ362" s="659"/>
      <c r="AR362" s="659"/>
      <c r="AS362" s="659"/>
      <c r="AT362" s="659"/>
      <c r="AU362" s="659"/>
      <c r="AV362" s="659"/>
      <c r="AW362" s="658">
        <v>0</v>
      </c>
      <c r="AX362" s="658"/>
      <c r="AY362" s="658"/>
      <c r="AZ362" s="658"/>
      <c r="BA362" s="658"/>
      <c r="BB362" s="658"/>
      <c r="BC362" s="658">
        <v>0</v>
      </c>
      <c r="BD362" s="658"/>
      <c r="BE362" s="658"/>
      <c r="BF362" s="658">
        <v>182.49</v>
      </c>
      <c r="BG362" s="658"/>
      <c r="BH362" s="658"/>
      <c r="BI362" s="567">
        <v>0</v>
      </c>
      <c r="BJ362" s="567"/>
      <c r="BK362" s="567"/>
      <c r="BL362" s="567"/>
      <c r="BM362" s="660" t="s">
        <v>932</v>
      </c>
      <c r="BN362" s="660"/>
      <c r="BO362" s="660"/>
      <c r="BP362" s="660"/>
      <c r="BQ362" s="568" t="s">
        <v>932</v>
      </c>
      <c r="BR362" s="568"/>
      <c r="BS362" s="568"/>
      <c r="BT362" s="660" t="s">
        <v>932</v>
      </c>
      <c r="BU362" s="660"/>
      <c r="BV362" s="660"/>
      <c r="BW362" s="660"/>
      <c r="BX362" s="568" t="s">
        <v>932</v>
      </c>
      <c r="BY362" s="568"/>
      <c r="BZ362" s="568"/>
      <c r="CA362" s="660" t="s">
        <v>932</v>
      </c>
      <c r="CB362" s="660"/>
      <c r="CC362" s="660"/>
      <c r="CD362" s="660"/>
      <c r="CE362" s="568" t="s">
        <v>932</v>
      </c>
      <c r="CF362" s="568"/>
      <c r="CG362" s="568"/>
      <c r="CH362" s="660" t="s">
        <v>932</v>
      </c>
      <c r="CI362" s="660"/>
      <c r="CJ362" s="660"/>
      <c r="CK362" s="660"/>
      <c r="CL362" s="568">
        <v>1</v>
      </c>
      <c r="CM362" s="568"/>
      <c r="CN362" s="568"/>
    </row>
    <row r="363" hidden="1" customHeight="1" spans="1:92">
      <c r="A363" s="612"/>
      <c r="B363" s="612"/>
      <c r="C363" s="518"/>
      <c r="D363" s="518"/>
      <c r="E363" s="518"/>
      <c r="F363" s="657"/>
      <c r="G363" s="657"/>
      <c r="H363" s="657"/>
      <c r="I363" s="519"/>
      <c r="J363" s="519"/>
      <c r="K363" s="519"/>
      <c r="L363" s="519"/>
      <c r="M363" s="519"/>
      <c r="N363" s="519"/>
      <c r="O363" s="519"/>
      <c r="P363" s="519"/>
      <c r="Q363" s="519"/>
      <c r="R363" s="519"/>
      <c r="S363" s="519"/>
      <c r="T363" s="519"/>
      <c r="U363" s="519"/>
      <c r="V363" s="519"/>
      <c r="W363" s="519"/>
      <c r="X363" s="519"/>
      <c r="Y363" s="519"/>
      <c r="Z363" s="519"/>
      <c r="AA363" s="519"/>
      <c r="AB363" s="526"/>
      <c r="AC363" s="526"/>
      <c r="AD363" s="658"/>
      <c r="AE363" s="658"/>
      <c r="AF363" s="658"/>
      <c r="AG363" s="526">
        <v>0</v>
      </c>
      <c r="AH363" s="526"/>
      <c r="AI363" s="659" t="e">
        <v>#N/A</v>
      </c>
      <c r="AJ363" s="659"/>
      <c r="AK363" s="659"/>
      <c r="AL363" s="659"/>
      <c r="AM363" s="659"/>
      <c r="AN363" s="659"/>
      <c r="AO363" s="659"/>
      <c r="AP363" s="659"/>
      <c r="AQ363" s="659"/>
      <c r="AR363" s="659"/>
      <c r="AS363" s="659"/>
      <c r="AT363" s="659"/>
      <c r="AU363" s="659"/>
      <c r="AV363" s="659"/>
      <c r="AW363" s="658">
        <v>0</v>
      </c>
      <c r="AX363" s="658"/>
      <c r="AY363" s="658"/>
      <c r="AZ363" s="658"/>
      <c r="BA363" s="658"/>
      <c r="BB363" s="658"/>
      <c r="BC363" s="658">
        <v>0</v>
      </c>
      <c r="BD363" s="658"/>
      <c r="BE363" s="658"/>
      <c r="BF363" s="658">
        <v>182.49</v>
      </c>
      <c r="BG363" s="658"/>
      <c r="BH363" s="658"/>
      <c r="BI363" s="567">
        <v>0</v>
      </c>
      <c r="BJ363" s="567"/>
      <c r="BK363" s="567"/>
      <c r="BL363" s="567"/>
      <c r="BM363" s="660" t="s">
        <v>932</v>
      </c>
      <c r="BN363" s="660"/>
      <c r="BO363" s="660"/>
      <c r="BP363" s="660"/>
      <c r="BQ363" s="568" t="s">
        <v>932</v>
      </c>
      <c r="BR363" s="568"/>
      <c r="BS363" s="568"/>
      <c r="BT363" s="660" t="s">
        <v>932</v>
      </c>
      <c r="BU363" s="660"/>
      <c r="BV363" s="660"/>
      <c r="BW363" s="660"/>
      <c r="BX363" s="568" t="s">
        <v>932</v>
      </c>
      <c r="BY363" s="568"/>
      <c r="BZ363" s="568"/>
      <c r="CA363" s="660" t="s">
        <v>932</v>
      </c>
      <c r="CB363" s="660"/>
      <c r="CC363" s="660"/>
      <c r="CD363" s="660"/>
      <c r="CE363" s="568" t="s">
        <v>932</v>
      </c>
      <c r="CF363" s="568"/>
      <c r="CG363" s="568"/>
      <c r="CH363" s="660" t="s">
        <v>932</v>
      </c>
      <c r="CI363" s="660"/>
      <c r="CJ363" s="660"/>
      <c r="CK363" s="660"/>
      <c r="CL363" s="568">
        <v>1</v>
      </c>
      <c r="CM363" s="568"/>
      <c r="CN363" s="568"/>
    </row>
    <row r="364" hidden="1" customHeight="1" spans="1:92">
      <c r="A364" s="612"/>
      <c r="B364" s="612"/>
      <c r="C364" s="518"/>
      <c r="D364" s="518"/>
      <c r="E364" s="518"/>
      <c r="F364" s="657"/>
      <c r="G364" s="657"/>
      <c r="H364" s="657"/>
      <c r="I364" s="519"/>
      <c r="J364" s="519"/>
      <c r="K364" s="519"/>
      <c r="L364" s="519"/>
      <c r="M364" s="519"/>
      <c r="N364" s="519"/>
      <c r="O364" s="519"/>
      <c r="P364" s="519"/>
      <c r="Q364" s="519"/>
      <c r="R364" s="519"/>
      <c r="S364" s="519"/>
      <c r="T364" s="519"/>
      <c r="U364" s="519"/>
      <c r="V364" s="519"/>
      <c r="W364" s="519"/>
      <c r="X364" s="519"/>
      <c r="Y364" s="519"/>
      <c r="Z364" s="519"/>
      <c r="AA364" s="519"/>
      <c r="AB364" s="526"/>
      <c r="AC364" s="526"/>
      <c r="AD364" s="658"/>
      <c r="AE364" s="658"/>
      <c r="AF364" s="658"/>
      <c r="AG364" s="526">
        <v>0</v>
      </c>
      <c r="AH364" s="526"/>
      <c r="AI364" s="659" t="e">
        <v>#N/A</v>
      </c>
      <c r="AJ364" s="659"/>
      <c r="AK364" s="659"/>
      <c r="AL364" s="659"/>
      <c r="AM364" s="659"/>
      <c r="AN364" s="659"/>
      <c r="AO364" s="659"/>
      <c r="AP364" s="659"/>
      <c r="AQ364" s="659"/>
      <c r="AR364" s="659"/>
      <c r="AS364" s="659"/>
      <c r="AT364" s="659"/>
      <c r="AU364" s="659"/>
      <c r="AV364" s="659"/>
      <c r="AW364" s="658">
        <v>0</v>
      </c>
      <c r="AX364" s="658"/>
      <c r="AY364" s="658"/>
      <c r="AZ364" s="658"/>
      <c r="BA364" s="658"/>
      <c r="BB364" s="658"/>
      <c r="BC364" s="658">
        <v>0</v>
      </c>
      <c r="BD364" s="658"/>
      <c r="BE364" s="658"/>
      <c r="BF364" s="658">
        <v>182.49</v>
      </c>
      <c r="BG364" s="658"/>
      <c r="BH364" s="658"/>
      <c r="BI364" s="567">
        <v>0</v>
      </c>
      <c r="BJ364" s="567"/>
      <c r="BK364" s="567"/>
      <c r="BL364" s="567"/>
      <c r="BM364" s="660" t="s">
        <v>932</v>
      </c>
      <c r="BN364" s="660"/>
      <c r="BO364" s="660"/>
      <c r="BP364" s="660"/>
      <c r="BQ364" s="568" t="s">
        <v>932</v>
      </c>
      <c r="BR364" s="568"/>
      <c r="BS364" s="568"/>
      <c r="BT364" s="660" t="s">
        <v>932</v>
      </c>
      <c r="BU364" s="660"/>
      <c r="BV364" s="660"/>
      <c r="BW364" s="660"/>
      <c r="BX364" s="568" t="s">
        <v>932</v>
      </c>
      <c r="BY364" s="568"/>
      <c r="BZ364" s="568"/>
      <c r="CA364" s="660" t="s">
        <v>932</v>
      </c>
      <c r="CB364" s="660"/>
      <c r="CC364" s="660"/>
      <c r="CD364" s="660"/>
      <c r="CE364" s="568" t="s">
        <v>932</v>
      </c>
      <c r="CF364" s="568"/>
      <c r="CG364" s="568"/>
      <c r="CH364" s="660" t="s">
        <v>932</v>
      </c>
      <c r="CI364" s="660"/>
      <c r="CJ364" s="660"/>
      <c r="CK364" s="660"/>
      <c r="CL364" s="568">
        <v>1</v>
      </c>
      <c r="CM364" s="568"/>
      <c r="CN364" s="568"/>
    </row>
    <row r="365" hidden="1" customHeight="1" spans="1:92">
      <c r="A365" s="612"/>
      <c r="B365" s="612"/>
      <c r="C365" s="518"/>
      <c r="D365" s="518"/>
      <c r="E365" s="518"/>
      <c r="F365" s="657"/>
      <c r="G365" s="657"/>
      <c r="H365" s="657"/>
      <c r="I365" s="519"/>
      <c r="J365" s="519"/>
      <c r="K365" s="519"/>
      <c r="L365" s="519"/>
      <c r="M365" s="519"/>
      <c r="N365" s="519"/>
      <c r="O365" s="519"/>
      <c r="P365" s="519"/>
      <c r="Q365" s="519"/>
      <c r="R365" s="519"/>
      <c r="S365" s="519"/>
      <c r="T365" s="519"/>
      <c r="U365" s="519"/>
      <c r="V365" s="519"/>
      <c r="W365" s="519"/>
      <c r="X365" s="519"/>
      <c r="Y365" s="519"/>
      <c r="Z365" s="519"/>
      <c r="AA365" s="519"/>
      <c r="AB365" s="526"/>
      <c r="AC365" s="526"/>
      <c r="AD365" s="658"/>
      <c r="AE365" s="658"/>
      <c r="AF365" s="658"/>
      <c r="AG365" s="526">
        <v>0</v>
      </c>
      <c r="AH365" s="526"/>
      <c r="AI365" s="659" t="e">
        <v>#N/A</v>
      </c>
      <c r="AJ365" s="659"/>
      <c r="AK365" s="659"/>
      <c r="AL365" s="659"/>
      <c r="AM365" s="659"/>
      <c r="AN365" s="659"/>
      <c r="AO365" s="659"/>
      <c r="AP365" s="659"/>
      <c r="AQ365" s="659"/>
      <c r="AR365" s="659"/>
      <c r="AS365" s="659"/>
      <c r="AT365" s="659"/>
      <c r="AU365" s="659"/>
      <c r="AV365" s="659"/>
      <c r="AW365" s="658">
        <v>0</v>
      </c>
      <c r="AX365" s="658"/>
      <c r="AY365" s="658"/>
      <c r="AZ365" s="658"/>
      <c r="BA365" s="658"/>
      <c r="BB365" s="658"/>
      <c r="BC365" s="658">
        <v>0</v>
      </c>
      <c r="BD365" s="658"/>
      <c r="BE365" s="658"/>
      <c r="BF365" s="658">
        <v>182.49</v>
      </c>
      <c r="BG365" s="658"/>
      <c r="BH365" s="658"/>
      <c r="BI365" s="567">
        <v>0</v>
      </c>
      <c r="BJ365" s="567"/>
      <c r="BK365" s="567"/>
      <c r="BL365" s="567"/>
      <c r="BM365" s="660" t="s">
        <v>932</v>
      </c>
      <c r="BN365" s="660"/>
      <c r="BO365" s="660"/>
      <c r="BP365" s="660"/>
      <c r="BQ365" s="568" t="s">
        <v>932</v>
      </c>
      <c r="BR365" s="568"/>
      <c r="BS365" s="568"/>
      <c r="BT365" s="660" t="s">
        <v>932</v>
      </c>
      <c r="BU365" s="660"/>
      <c r="BV365" s="660"/>
      <c r="BW365" s="660"/>
      <c r="BX365" s="568" t="s">
        <v>932</v>
      </c>
      <c r="BY365" s="568"/>
      <c r="BZ365" s="568"/>
      <c r="CA365" s="660" t="s">
        <v>932</v>
      </c>
      <c r="CB365" s="660"/>
      <c r="CC365" s="660"/>
      <c r="CD365" s="660"/>
      <c r="CE365" s="568" t="s">
        <v>932</v>
      </c>
      <c r="CF365" s="568"/>
      <c r="CG365" s="568"/>
      <c r="CH365" s="660" t="s">
        <v>932</v>
      </c>
      <c r="CI365" s="660"/>
      <c r="CJ365" s="660"/>
      <c r="CK365" s="660"/>
      <c r="CL365" s="568">
        <v>1</v>
      </c>
      <c r="CM365" s="568"/>
      <c r="CN365" s="568"/>
    </row>
    <row r="366" hidden="1" customHeight="1" spans="1:92">
      <c r="A366" s="612"/>
      <c r="B366" s="612"/>
      <c r="C366" s="518"/>
      <c r="D366" s="518"/>
      <c r="E366" s="518"/>
      <c r="F366" s="657"/>
      <c r="G366" s="657"/>
      <c r="H366" s="657"/>
      <c r="I366" s="519"/>
      <c r="J366" s="519"/>
      <c r="K366" s="519"/>
      <c r="L366" s="519"/>
      <c r="M366" s="519"/>
      <c r="N366" s="519"/>
      <c r="O366" s="519"/>
      <c r="P366" s="519"/>
      <c r="Q366" s="519"/>
      <c r="R366" s="519"/>
      <c r="S366" s="519"/>
      <c r="T366" s="519"/>
      <c r="U366" s="519"/>
      <c r="V366" s="519"/>
      <c r="W366" s="519"/>
      <c r="X366" s="519"/>
      <c r="Y366" s="519"/>
      <c r="Z366" s="519"/>
      <c r="AA366" s="519"/>
      <c r="AB366" s="526"/>
      <c r="AC366" s="526"/>
      <c r="AD366" s="658"/>
      <c r="AE366" s="658"/>
      <c r="AF366" s="658"/>
      <c r="AG366" s="526">
        <v>0</v>
      </c>
      <c r="AH366" s="526"/>
      <c r="AI366" s="659" t="e">
        <v>#N/A</v>
      </c>
      <c r="AJ366" s="659"/>
      <c r="AK366" s="659"/>
      <c r="AL366" s="659"/>
      <c r="AM366" s="659"/>
      <c r="AN366" s="659"/>
      <c r="AO366" s="659"/>
      <c r="AP366" s="659"/>
      <c r="AQ366" s="659"/>
      <c r="AR366" s="659"/>
      <c r="AS366" s="659"/>
      <c r="AT366" s="659"/>
      <c r="AU366" s="659"/>
      <c r="AV366" s="659"/>
      <c r="AW366" s="658">
        <v>0</v>
      </c>
      <c r="AX366" s="658"/>
      <c r="AY366" s="658"/>
      <c r="AZ366" s="658"/>
      <c r="BA366" s="658"/>
      <c r="BB366" s="658"/>
      <c r="BC366" s="658">
        <v>0</v>
      </c>
      <c r="BD366" s="658"/>
      <c r="BE366" s="658"/>
      <c r="BF366" s="658">
        <v>182.49</v>
      </c>
      <c r="BG366" s="658"/>
      <c r="BH366" s="658"/>
      <c r="BI366" s="567">
        <v>0</v>
      </c>
      <c r="BJ366" s="567"/>
      <c r="BK366" s="567"/>
      <c r="BL366" s="567"/>
      <c r="BM366" s="660" t="s">
        <v>932</v>
      </c>
      <c r="BN366" s="660"/>
      <c r="BO366" s="660"/>
      <c r="BP366" s="660"/>
      <c r="BQ366" s="568" t="s">
        <v>932</v>
      </c>
      <c r="BR366" s="568"/>
      <c r="BS366" s="568"/>
      <c r="BT366" s="660" t="s">
        <v>932</v>
      </c>
      <c r="BU366" s="660"/>
      <c r="BV366" s="660"/>
      <c r="BW366" s="660"/>
      <c r="BX366" s="568" t="s">
        <v>932</v>
      </c>
      <c r="BY366" s="568"/>
      <c r="BZ366" s="568"/>
      <c r="CA366" s="660" t="s">
        <v>932</v>
      </c>
      <c r="CB366" s="660"/>
      <c r="CC366" s="660"/>
      <c r="CD366" s="660"/>
      <c r="CE366" s="568" t="s">
        <v>932</v>
      </c>
      <c r="CF366" s="568"/>
      <c r="CG366" s="568"/>
      <c r="CH366" s="660" t="s">
        <v>932</v>
      </c>
      <c r="CI366" s="660"/>
      <c r="CJ366" s="660"/>
      <c r="CK366" s="660"/>
      <c r="CL366" s="568">
        <v>1</v>
      </c>
      <c r="CM366" s="568"/>
      <c r="CN366" s="568"/>
    </row>
    <row r="367" hidden="1" customHeight="1" spans="1:92">
      <c r="A367" s="612"/>
      <c r="B367" s="612"/>
      <c r="C367" s="518"/>
      <c r="D367" s="518"/>
      <c r="E367" s="518"/>
      <c r="F367" s="657"/>
      <c r="G367" s="657"/>
      <c r="H367" s="657"/>
      <c r="I367" s="519"/>
      <c r="J367" s="519"/>
      <c r="K367" s="519"/>
      <c r="L367" s="519"/>
      <c r="M367" s="519"/>
      <c r="N367" s="519"/>
      <c r="O367" s="519"/>
      <c r="P367" s="519"/>
      <c r="Q367" s="519"/>
      <c r="R367" s="519"/>
      <c r="S367" s="519"/>
      <c r="T367" s="519"/>
      <c r="U367" s="519"/>
      <c r="V367" s="519"/>
      <c r="W367" s="519"/>
      <c r="X367" s="519"/>
      <c r="Y367" s="519"/>
      <c r="Z367" s="519"/>
      <c r="AA367" s="519"/>
      <c r="AB367" s="526"/>
      <c r="AC367" s="526"/>
      <c r="AD367" s="658"/>
      <c r="AE367" s="658"/>
      <c r="AF367" s="658"/>
      <c r="AG367" s="526">
        <v>0</v>
      </c>
      <c r="AH367" s="526"/>
      <c r="AI367" s="659" t="e">
        <v>#N/A</v>
      </c>
      <c r="AJ367" s="659"/>
      <c r="AK367" s="659"/>
      <c r="AL367" s="659"/>
      <c r="AM367" s="659"/>
      <c r="AN367" s="659"/>
      <c r="AO367" s="659"/>
      <c r="AP367" s="659"/>
      <c r="AQ367" s="659"/>
      <c r="AR367" s="659"/>
      <c r="AS367" s="659"/>
      <c r="AT367" s="659"/>
      <c r="AU367" s="659"/>
      <c r="AV367" s="659"/>
      <c r="AW367" s="658">
        <v>0</v>
      </c>
      <c r="AX367" s="658"/>
      <c r="AY367" s="658"/>
      <c r="AZ367" s="658"/>
      <c r="BA367" s="658"/>
      <c r="BB367" s="658"/>
      <c r="BC367" s="658">
        <v>0</v>
      </c>
      <c r="BD367" s="658"/>
      <c r="BE367" s="658"/>
      <c r="BF367" s="658">
        <v>182.49</v>
      </c>
      <c r="BG367" s="658"/>
      <c r="BH367" s="658"/>
      <c r="BI367" s="567">
        <v>0</v>
      </c>
      <c r="BJ367" s="567"/>
      <c r="BK367" s="567"/>
      <c r="BL367" s="567"/>
      <c r="BM367" s="660" t="s">
        <v>932</v>
      </c>
      <c r="BN367" s="660"/>
      <c r="BO367" s="660"/>
      <c r="BP367" s="660"/>
      <c r="BQ367" s="568" t="s">
        <v>932</v>
      </c>
      <c r="BR367" s="568"/>
      <c r="BS367" s="568"/>
      <c r="BT367" s="660" t="s">
        <v>932</v>
      </c>
      <c r="BU367" s="660"/>
      <c r="BV367" s="660"/>
      <c r="BW367" s="660"/>
      <c r="BX367" s="568" t="s">
        <v>932</v>
      </c>
      <c r="BY367" s="568"/>
      <c r="BZ367" s="568"/>
      <c r="CA367" s="660" t="s">
        <v>932</v>
      </c>
      <c r="CB367" s="660"/>
      <c r="CC367" s="660"/>
      <c r="CD367" s="660"/>
      <c r="CE367" s="568" t="s">
        <v>932</v>
      </c>
      <c r="CF367" s="568"/>
      <c r="CG367" s="568"/>
      <c r="CH367" s="660" t="s">
        <v>932</v>
      </c>
      <c r="CI367" s="660"/>
      <c r="CJ367" s="660"/>
      <c r="CK367" s="660"/>
      <c r="CL367" s="568">
        <v>1</v>
      </c>
      <c r="CM367" s="568"/>
      <c r="CN367" s="568"/>
    </row>
    <row r="368" customHeight="1" spans="1:92">
      <c r="A368" s="612" t="s">
        <v>986</v>
      </c>
      <c r="B368" s="612"/>
      <c r="C368" s="518"/>
      <c r="D368" s="518"/>
      <c r="E368" s="518"/>
      <c r="F368" s="657">
        <v>3108000</v>
      </c>
      <c r="G368" s="657"/>
      <c r="H368" s="657"/>
      <c r="I368" s="519" t="s">
        <v>110</v>
      </c>
      <c r="J368" s="519"/>
      <c r="K368" s="519"/>
      <c r="L368" s="519"/>
      <c r="M368" s="519"/>
      <c r="N368" s="519"/>
      <c r="O368" s="519"/>
      <c r="P368" s="519"/>
      <c r="Q368" s="519"/>
      <c r="R368" s="519"/>
      <c r="S368" s="519"/>
      <c r="T368" s="519"/>
      <c r="U368" s="519"/>
      <c r="V368" s="519"/>
      <c r="W368" s="519"/>
      <c r="X368" s="519"/>
      <c r="Y368" s="519"/>
      <c r="Z368" s="519"/>
      <c r="AA368" s="519"/>
      <c r="AB368" s="526" t="s">
        <v>7</v>
      </c>
      <c r="AC368" s="526"/>
      <c r="AD368" s="658">
        <v>6.6</v>
      </c>
      <c r="AE368" s="658"/>
      <c r="AF368" s="658"/>
      <c r="AG368" s="526" t="s">
        <v>937</v>
      </c>
      <c r="AH368" s="526"/>
      <c r="AI368" s="659" t="s">
        <v>938</v>
      </c>
      <c r="AJ368" s="659"/>
      <c r="AK368" s="659"/>
      <c r="AL368" s="659"/>
      <c r="AM368" s="659"/>
      <c r="AN368" s="659"/>
      <c r="AO368" s="659"/>
      <c r="AP368" s="659"/>
      <c r="AQ368" s="659"/>
      <c r="AR368" s="659"/>
      <c r="AS368" s="659"/>
      <c r="AT368" s="659"/>
      <c r="AU368" s="659"/>
      <c r="AV368" s="659"/>
      <c r="AW368" s="658">
        <v>0.65</v>
      </c>
      <c r="AX368" s="658"/>
      <c r="AY368" s="658"/>
      <c r="AZ368" s="658">
        <v>1</v>
      </c>
      <c r="BA368" s="658"/>
      <c r="BB368" s="658"/>
      <c r="BC368" s="658">
        <v>4.29</v>
      </c>
      <c r="BD368" s="658"/>
      <c r="BE368" s="658"/>
      <c r="BF368" s="658">
        <v>182.49</v>
      </c>
      <c r="BG368" s="658"/>
      <c r="BH368" s="658"/>
      <c r="BI368" s="567">
        <v>0.0235081374321881</v>
      </c>
      <c r="BJ368" s="567"/>
      <c r="BK368" s="567"/>
      <c r="BL368" s="567"/>
      <c r="BM368" s="660" t="s">
        <v>932</v>
      </c>
      <c r="BN368" s="660"/>
      <c r="BO368" s="660"/>
      <c r="BP368" s="660"/>
      <c r="BQ368" s="568" t="s">
        <v>932</v>
      </c>
      <c r="BR368" s="568"/>
      <c r="BS368" s="568"/>
      <c r="BT368" s="660" t="s">
        <v>932</v>
      </c>
      <c r="BU368" s="660"/>
      <c r="BV368" s="660"/>
      <c r="BW368" s="660"/>
      <c r="BX368" s="568" t="s">
        <v>932</v>
      </c>
      <c r="BY368" s="568"/>
      <c r="BZ368" s="568"/>
      <c r="CA368" s="660" t="s">
        <v>932</v>
      </c>
      <c r="CB368" s="660"/>
      <c r="CC368" s="660"/>
      <c r="CD368" s="660"/>
      <c r="CE368" s="568" t="s">
        <v>932</v>
      </c>
      <c r="CF368" s="568"/>
      <c r="CG368" s="568"/>
      <c r="CH368" s="660">
        <v>0.0235081374321881</v>
      </c>
      <c r="CI368" s="660"/>
      <c r="CJ368" s="660"/>
      <c r="CK368" s="660"/>
      <c r="CL368" s="568">
        <v>1</v>
      </c>
      <c r="CM368" s="568"/>
      <c r="CN368" s="568"/>
    </row>
    <row r="369" customHeight="1" spans="1:92">
      <c r="A369" s="612"/>
      <c r="B369" s="612"/>
      <c r="C369" s="518"/>
      <c r="D369" s="518"/>
      <c r="E369" s="518"/>
      <c r="F369" s="657"/>
      <c r="G369" s="657"/>
      <c r="H369" s="657"/>
      <c r="I369" s="519"/>
      <c r="J369" s="519"/>
      <c r="K369" s="519"/>
      <c r="L369" s="519"/>
      <c r="M369" s="519"/>
      <c r="N369" s="519"/>
      <c r="O369" s="519"/>
      <c r="P369" s="519"/>
      <c r="Q369" s="519"/>
      <c r="R369" s="519"/>
      <c r="S369" s="519"/>
      <c r="T369" s="519"/>
      <c r="U369" s="519"/>
      <c r="V369" s="519"/>
      <c r="W369" s="519"/>
      <c r="X369" s="519"/>
      <c r="Y369" s="519"/>
      <c r="Z369" s="519"/>
      <c r="AA369" s="519"/>
      <c r="AB369" s="526"/>
      <c r="AC369" s="526"/>
      <c r="AD369" s="658"/>
      <c r="AE369" s="658"/>
      <c r="AF369" s="658"/>
      <c r="AG369" s="526" t="s">
        <v>950</v>
      </c>
      <c r="AH369" s="526"/>
      <c r="AI369" s="659" t="s">
        <v>951</v>
      </c>
      <c r="AJ369" s="659"/>
      <c r="AK369" s="659"/>
      <c r="AL369" s="659"/>
      <c r="AM369" s="659"/>
      <c r="AN369" s="659"/>
      <c r="AO369" s="659"/>
      <c r="AP369" s="659"/>
      <c r="AQ369" s="659"/>
      <c r="AR369" s="659"/>
      <c r="AS369" s="659"/>
      <c r="AT369" s="659"/>
      <c r="AU369" s="659"/>
      <c r="AV369" s="659"/>
      <c r="AW369" s="658">
        <v>0.65</v>
      </c>
      <c r="AX369" s="658"/>
      <c r="AY369" s="658"/>
      <c r="AZ369" s="658"/>
      <c r="BA369" s="658"/>
      <c r="BB369" s="658"/>
      <c r="BC369" s="658">
        <v>4.29</v>
      </c>
      <c r="BD369" s="658"/>
      <c r="BE369" s="658"/>
      <c r="BF369" s="658">
        <v>182.49</v>
      </c>
      <c r="BG369" s="658"/>
      <c r="BH369" s="658"/>
      <c r="BI369" s="567">
        <v>0.0235081374321881</v>
      </c>
      <c r="BJ369" s="567"/>
      <c r="BK369" s="567"/>
      <c r="BL369" s="567"/>
      <c r="BM369" s="660" t="s">
        <v>932</v>
      </c>
      <c r="BN369" s="660"/>
      <c r="BO369" s="660"/>
      <c r="BP369" s="660"/>
      <c r="BQ369" s="568" t="s">
        <v>932</v>
      </c>
      <c r="BR369" s="568"/>
      <c r="BS369" s="568"/>
      <c r="BT369" s="660" t="s">
        <v>932</v>
      </c>
      <c r="BU369" s="660"/>
      <c r="BV369" s="660"/>
      <c r="BW369" s="660"/>
      <c r="BX369" s="568" t="s">
        <v>932</v>
      </c>
      <c r="BY369" s="568"/>
      <c r="BZ369" s="568"/>
      <c r="CA369" s="660" t="s">
        <v>932</v>
      </c>
      <c r="CB369" s="660"/>
      <c r="CC369" s="660"/>
      <c r="CD369" s="660"/>
      <c r="CE369" s="568" t="s">
        <v>932</v>
      </c>
      <c r="CF369" s="568"/>
      <c r="CG369" s="568"/>
      <c r="CH369" s="660">
        <v>0.0235081374321881</v>
      </c>
      <c r="CI369" s="660"/>
      <c r="CJ369" s="660"/>
      <c r="CK369" s="660"/>
      <c r="CL369" s="568">
        <v>1</v>
      </c>
      <c r="CM369" s="568"/>
      <c r="CN369" s="568"/>
    </row>
    <row r="370" hidden="1" customHeight="1" spans="1:92">
      <c r="A370" s="612"/>
      <c r="B370" s="612"/>
      <c r="C370" s="518"/>
      <c r="D370" s="518"/>
      <c r="E370" s="518"/>
      <c r="F370" s="657"/>
      <c r="G370" s="657"/>
      <c r="H370" s="657"/>
      <c r="I370" s="519"/>
      <c r="J370" s="519"/>
      <c r="K370" s="519"/>
      <c r="L370" s="519"/>
      <c r="M370" s="519"/>
      <c r="N370" s="519"/>
      <c r="O370" s="519"/>
      <c r="P370" s="519"/>
      <c r="Q370" s="519"/>
      <c r="R370" s="519"/>
      <c r="S370" s="519"/>
      <c r="T370" s="519"/>
      <c r="U370" s="519"/>
      <c r="V370" s="519"/>
      <c r="W370" s="519"/>
      <c r="X370" s="519"/>
      <c r="Y370" s="519"/>
      <c r="Z370" s="519"/>
      <c r="AA370" s="519"/>
      <c r="AB370" s="526"/>
      <c r="AC370" s="526"/>
      <c r="AD370" s="658"/>
      <c r="AE370" s="658"/>
      <c r="AF370" s="658"/>
      <c r="AG370" s="526">
        <v>0</v>
      </c>
      <c r="AH370" s="526"/>
      <c r="AI370" s="659" t="e">
        <v>#N/A</v>
      </c>
      <c r="AJ370" s="659"/>
      <c r="AK370" s="659"/>
      <c r="AL370" s="659"/>
      <c r="AM370" s="659"/>
      <c r="AN370" s="659"/>
      <c r="AO370" s="659"/>
      <c r="AP370" s="659"/>
      <c r="AQ370" s="659"/>
      <c r="AR370" s="659"/>
      <c r="AS370" s="659"/>
      <c r="AT370" s="659"/>
      <c r="AU370" s="659"/>
      <c r="AV370" s="659"/>
      <c r="AW370" s="658">
        <v>0</v>
      </c>
      <c r="AX370" s="658"/>
      <c r="AY370" s="658"/>
      <c r="AZ370" s="658"/>
      <c r="BA370" s="658"/>
      <c r="BB370" s="658"/>
      <c r="BC370" s="658">
        <v>0</v>
      </c>
      <c r="BD370" s="658"/>
      <c r="BE370" s="658"/>
      <c r="BF370" s="658">
        <v>182.49</v>
      </c>
      <c r="BG370" s="658"/>
      <c r="BH370" s="658"/>
      <c r="BI370" s="567">
        <v>0</v>
      </c>
      <c r="BJ370" s="567"/>
      <c r="BK370" s="567"/>
      <c r="BL370" s="567"/>
      <c r="BM370" s="660" t="s">
        <v>932</v>
      </c>
      <c r="BN370" s="660"/>
      <c r="BO370" s="660"/>
      <c r="BP370" s="660"/>
      <c r="BQ370" s="568" t="s">
        <v>932</v>
      </c>
      <c r="BR370" s="568"/>
      <c r="BS370" s="568"/>
      <c r="BT370" s="660" t="s">
        <v>932</v>
      </c>
      <c r="BU370" s="660"/>
      <c r="BV370" s="660"/>
      <c r="BW370" s="660"/>
      <c r="BX370" s="568" t="s">
        <v>932</v>
      </c>
      <c r="BY370" s="568"/>
      <c r="BZ370" s="568"/>
      <c r="CA370" s="660" t="s">
        <v>932</v>
      </c>
      <c r="CB370" s="660"/>
      <c r="CC370" s="660"/>
      <c r="CD370" s="660"/>
      <c r="CE370" s="568" t="s">
        <v>932</v>
      </c>
      <c r="CF370" s="568"/>
      <c r="CG370" s="568"/>
      <c r="CH370" s="660" t="s">
        <v>932</v>
      </c>
      <c r="CI370" s="660"/>
      <c r="CJ370" s="660"/>
      <c r="CK370" s="660"/>
      <c r="CL370" s="568">
        <v>1</v>
      </c>
      <c r="CM370" s="568"/>
      <c r="CN370" s="568"/>
    </row>
    <row r="371" hidden="1" customHeight="1" spans="1:92">
      <c r="A371" s="612"/>
      <c r="B371" s="612"/>
      <c r="C371" s="518"/>
      <c r="D371" s="518"/>
      <c r="E371" s="518"/>
      <c r="F371" s="657"/>
      <c r="G371" s="657"/>
      <c r="H371" s="657"/>
      <c r="I371" s="519"/>
      <c r="J371" s="519"/>
      <c r="K371" s="519"/>
      <c r="L371" s="519"/>
      <c r="M371" s="519"/>
      <c r="N371" s="519"/>
      <c r="O371" s="519"/>
      <c r="P371" s="519"/>
      <c r="Q371" s="519"/>
      <c r="R371" s="519"/>
      <c r="S371" s="519"/>
      <c r="T371" s="519"/>
      <c r="U371" s="519"/>
      <c r="V371" s="519"/>
      <c r="W371" s="519"/>
      <c r="X371" s="519"/>
      <c r="Y371" s="519"/>
      <c r="Z371" s="519"/>
      <c r="AA371" s="519"/>
      <c r="AB371" s="526"/>
      <c r="AC371" s="526"/>
      <c r="AD371" s="658"/>
      <c r="AE371" s="658"/>
      <c r="AF371" s="658"/>
      <c r="AG371" s="526">
        <v>0</v>
      </c>
      <c r="AH371" s="526"/>
      <c r="AI371" s="659" t="e">
        <v>#N/A</v>
      </c>
      <c r="AJ371" s="659"/>
      <c r="AK371" s="659"/>
      <c r="AL371" s="659"/>
      <c r="AM371" s="659"/>
      <c r="AN371" s="659"/>
      <c r="AO371" s="659"/>
      <c r="AP371" s="659"/>
      <c r="AQ371" s="659"/>
      <c r="AR371" s="659"/>
      <c r="AS371" s="659"/>
      <c r="AT371" s="659"/>
      <c r="AU371" s="659"/>
      <c r="AV371" s="659"/>
      <c r="AW371" s="658">
        <v>0</v>
      </c>
      <c r="AX371" s="658"/>
      <c r="AY371" s="658"/>
      <c r="AZ371" s="658"/>
      <c r="BA371" s="658"/>
      <c r="BB371" s="658"/>
      <c r="BC371" s="658">
        <v>0</v>
      </c>
      <c r="BD371" s="658"/>
      <c r="BE371" s="658"/>
      <c r="BF371" s="658">
        <v>182.49</v>
      </c>
      <c r="BG371" s="658"/>
      <c r="BH371" s="658"/>
      <c r="BI371" s="567">
        <v>0</v>
      </c>
      <c r="BJ371" s="567"/>
      <c r="BK371" s="567"/>
      <c r="BL371" s="567"/>
      <c r="BM371" s="660" t="s">
        <v>932</v>
      </c>
      <c r="BN371" s="660"/>
      <c r="BO371" s="660"/>
      <c r="BP371" s="660"/>
      <c r="BQ371" s="568" t="s">
        <v>932</v>
      </c>
      <c r="BR371" s="568"/>
      <c r="BS371" s="568"/>
      <c r="BT371" s="660" t="s">
        <v>932</v>
      </c>
      <c r="BU371" s="660"/>
      <c r="BV371" s="660"/>
      <c r="BW371" s="660"/>
      <c r="BX371" s="568" t="s">
        <v>932</v>
      </c>
      <c r="BY371" s="568"/>
      <c r="BZ371" s="568"/>
      <c r="CA371" s="660" t="s">
        <v>932</v>
      </c>
      <c r="CB371" s="660"/>
      <c r="CC371" s="660"/>
      <c r="CD371" s="660"/>
      <c r="CE371" s="568" t="s">
        <v>932</v>
      </c>
      <c r="CF371" s="568"/>
      <c r="CG371" s="568"/>
      <c r="CH371" s="660" t="s">
        <v>932</v>
      </c>
      <c r="CI371" s="660"/>
      <c r="CJ371" s="660"/>
      <c r="CK371" s="660"/>
      <c r="CL371" s="568">
        <v>1</v>
      </c>
      <c r="CM371" s="568"/>
      <c r="CN371" s="568"/>
    </row>
    <row r="372" hidden="1" customHeight="1" spans="1:92">
      <c r="A372" s="612"/>
      <c r="B372" s="612"/>
      <c r="C372" s="518"/>
      <c r="D372" s="518"/>
      <c r="E372" s="518"/>
      <c r="F372" s="657"/>
      <c r="G372" s="657"/>
      <c r="H372" s="657"/>
      <c r="I372" s="519"/>
      <c r="J372" s="519"/>
      <c r="K372" s="519"/>
      <c r="L372" s="519"/>
      <c r="M372" s="519"/>
      <c r="N372" s="519"/>
      <c r="O372" s="519"/>
      <c r="P372" s="519"/>
      <c r="Q372" s="519"/>
      <c r="R372" s="519"/>
      <c r="S372" s="519"/>
      <c r="T372" s="519"/>
      <c r="U372" s="519"/>
      <c r="V372" s="519"/>
      <c r="W372" s="519"/>
      <c r="X372" s="519"/>
      <c r="Y372" s="519"/>
      <c r="Z372" s="519"/>
      <c r="AA372" s="519"/>
      <c r="AB372" s="526"/>
      <c r="AC372" s="526"/>
      <c r="AD372" s="658"/>
      <c r="AE372" s="658"/>
      <c r="AF372" s="658"/>
      <c r="AG372" s="526">
        <v>0</v>
      </c>
      <c r="AH372" s="526"/>
      <c r="AI372" s="659" t="e">
        <v>#N/A</v>
      </c>
      <c r="AJ372" s="659"/>
      <c r="AK372" s="659"/>
      <c r="AL372" s="659"/>
      <c r="AM372" s="659"/>
      <c r="AN372" s="659"/>
      <c r="AO372" s="659"/>
      <c r="AP372" s="659"/>
      <c r="AQ372" s="659"/>
      <c r="AR372" s="659"/>
      <c r="AS372" s="659"/>
      <c r="AT372" s="659"/>
      <c r="AU372" s="659"/>
      <c r="AV372" s="659"/>
      <c r="AW372" s="658">
        <v>0</v>
      </c>
      <c r="AX372" s="658"/>
      <c r="AY372" s="658"/>
      <c r="AZ372" s="658"/>
      <c r="BA372" s="658"/>
      <c r="BB372" s="658"/>
      <c r="BC372" s="658">
        <v>0</v>
      </c>
      <c r="BD372" s="658"/>
      <c r="BE372" s="658"/>
      <c r="BF372" s="658">
        <v>182.49</v>
      </c>
      <c r="BG372" s="658"/>
      <c r="BH372" s="658"/>
      <c r="BI372" s="567">
        <v>0</v>
      </c>
      <c r="BJ372" s="567"/>
      <c r="BK372" s="567"/>
      <c r="BL372" s="567"/>
      <c r="BM372" s="660" t="s">
        <v>932</v>
      </c>
      <c r="BN372" s="660"/>
      <c r="BO372" s="660"/>
      <c r="BP372" s="660"/>
      <c r="BQ372" s="568" t="s">
        <v>932</v>
      </c>
      <c r="BR372" s="568"/>
      <c r="BS372" s="568"/>
      <c r="BT372" s="660" t="s">
        <v>932</v>
      </c>
      <c r="BU372" s="660"/>
      <c r="BV372" s="660"/>
      <c r="BW372" s="660"/>
      <c r="BX372" s="568" t="s">
        <v>932</v>
      </c>
      <c r="BY372" s="568"/>
      <c r="BZ372" s="568"/>
      <c r="CA372" s="660" t="s">
        <v>932</v>
      </c>
      <c r="CB372" s="660"/>
      <c r="CC372" s="660"/>
      <c r="CD372" s="660"/>
      <c r="CE372" s="568" t="s">
        <v>932</v>
      </c>
      <c r="CF372" s="568"/>
      <c r="CG372" s="568"/>
      <c r="CH372" s="660" t="s">
        <v>932</v>
      </c>
      <c r="CI372" s="660"/>
      <c r="CJ372" s="660"/>
      <c r="CK372" s="660"/>
      <c r="CL372" s="568">
        <v>1</v>
      </c>
      <c r="CM372" s="568"/>
      <c r="CN372" s="568"/>
    </row>
    <row r="373" hidden="1" customHeight="1" spans="1:92">
      <c r="A373" s="612"/>
      <c r="B373" s="612"/>
      <c r="C373" s="518"/>
      <c r="D373" s="518"/>
      <c r="E373" s="518"/>
      <c r="F373" s="657"/>
      <c r="G373" s="657"/>
      <c r="H373" s="657"/>
      <c r="I373" s="519"/>
      <c r="J373" s="519"/>
      <c r="K373" s="519"/>
      <c r="L373" s="519"/>
      <c r="M373" s="519"/>
      <c r="N373" s="519"/>
      <c r="O373" s="519"/>
      <c r="P373" s="519"/>
      <c r="Q373" s="519"/>
      <c r="R373" s="519"/>
      <c r="S373" s="519"/>
      <c r="T373" s="519"/>
      <c r="U373" s="519"/>
      <c r="V373" s="519"/>
      <c r="W373" s="519"/>
      <c r="X373" s="519"/>
      <c r="Y373" s="519"/>
      <c r="Z373" s="519"/>
      <c r="AA373" s="519"/>
      <c r="AB373" s="526"/>
      <c r="AC373" s="526"/>
      <c r="AD373" s="658"/>
      <c r="AE373" s="658"/>
      <c r="AF373" s="658"/>
      <c r="AG373" s="526">
        <v>0</v>
      </c>
      <c r="AH373" s="526"/>
      <c r="AI373" s="659" t="e">
        <v>#N/A</v>
      </c>
      <c r="AJ373" s="659"/>
      <c r="AK373" s="659"/>
      <c r="AL373" s="659"/>
      <c r="AM373" s="659"/>
      <c r="AN373" s="659"/>
      <c r="AO373" s="659"/>
      <c r="AP373" s="659"/>
      <c r="AQ373" s="659"/>
      <c r="AR373" s="659"/>
      <c r="AS373" s="659"/>
      <c r="AT373" s="659"/>
      <c r="AU373" s="659"/>
      <c r="AV373" s="659"/>
      <c r="AW373" s="658">
        <v>0</v>
      </c>
      <c r="AX373" s="658"/>
      <c r="AY373" s="658"/>
      <c r="AZ373" s="658"/>
      <c r="BA373" s="658"/>
      <c r="BB373" s="658"/>
      <c r="BC373" s="658">
        <v>0</v>
      </c>
      <c r="BD373" s="658"/>
      <c r="BE373" s="658"/>
      <c r="BF373" s="658">
        <v>182.49</v>
      </c>
      <c r="BG373" s="658"/>
      <c r="BH373" s="658"/>
      <c r="BI373" s="567">
        <v>0</v>
      </c>
      <c r="BJ373" s="567"/>
      <c r="BK373" s="567"/>
      <c r="BL373" s="567"/>
      <c r="BM373" s="660" t="s">
        <v>932</v>
      </c>
      <c r="BN373" s="660"/>
      <c r="BO373" s="660"/>
      <c r="BP373" s="660"/>
      <c r="BQ373" s="568" t="s">
        <v>932</v>
      </c>
      <c r="BR373" s="568"/>
      <c r="BS373" s="568"/>
      <c r="BT373" s="660" t="s">
        <v>932</v>
      </c>
      <c r="BU373" s="660"/>
      <c r="BV373" s="660"/>
      <c r="BW373" s="660"/>
      <c r="BX373" s="568" t="s">
        <v>932</v>
      </c>
      <c r="BY373" s="568"/>
      <c r="BZ373" s="568"/>
      <c r="CA373" s="660" t="s">
        <v>932</v>
      </c>
      <c r="CB373" s="660"/>
      <c r="CC373" s="660"/>
      <c r="CD373" s="660"/>
      <c r="CE373" s="568" t="s">
        <v>932</v>
      </c>
      <c r="CF373" s="568"/>
      <c r="CG373" s="568"/>
      <c r="CH373" s="660" t="s">
        <v>932</v>
      </c>
      <c r="CI373" s="660"/>
      <c r="CJ373" s="660"/>
      <c r="CK373" s="660"/>
      <c r="CL373" s="568">
        <v>1</v>
      </c>
      <c r="CM373" s="568"/>
      <c r="CN373" s="568"/>
    </row>
    <row r="374" hidden="1" customHeight="1" spans="1:92">
      <c r="A374" s="612"/>
      <c r="B374" s="612"/>
      <c r="C374" s="518"/>
      <c r="D374" s="518"/>
      <c r="E374" s="518"/>
      <c r="F374" s="657"/>
      <c r="G374" s="657"/>
      <c r="H374" s="657"/>
      <c r="I374" s="519"/>
      <c r="J374" s="519"/>
      <c r="K374" s="519"/>
      <c r="L374" s="519"/>
      <c r="M374" s="519"/>
      <c r="N374" s="519"/>
      <c r="O374" s="519"/>
      <c r="P374" s="519"/>
      <c r="Q374" s="519"/>
      <c r="R374" s="519"/>
      <c r="S374" s="519"/>
      <c r="T374" s="519"/>
      <c r="U374" s="519"/>
      <c r="V374" s="519"/>
      <c r="W374" s="519"/>
      <c r="X374" s="519"/>
      <c r="Y374" s="519"/>
      <c r="Z374" s="519"/>
      <c r="AA374" s="519"/>
      <c r="AB374" s="526"/>
      <c r="AC374" s="526"/>
      <c r="AD374" s="658"/>
      <c r="AE374" s="658"/>
      <c r="AF374" s="658"/>
      <c r="AG374" s="526">
        <v>0</v>
      </c>
      <c r="AH374" s="526"/>
      <c r="AI374" s="659" t="e">
        <v>#N/A</v>
      </c>
      <c r="AJ374" s="659"/>
      <c r="AK374" s="659"/>
      <c r="AL374" s="659"/>
      <c r="AM374" s="659"/>
      <c r="AN374" s="659"/>
      <c r="AO374" s="659"/>
      <c r="AP374" s="659"/>
      <c r="AQ374" s="659"/>
      <c r="AR374" s="659"/>
      <c r="AS374" s="659"/>
      <c r="AT374" s="659"/>
      <c r="AU374" s="659"/>
      <c r="AV374" s="659"/>
      <c r="AW374" s="658">
        <v>0</v>
      </c>
      <c r="AX374" s="658"/>
      <c r="AY374" s="658"/>
      <c r="AZ374" s="658"/>
      <c r="BA374" s="658"/>
      <c r="BB374" s="658"/>
      <c r="BC374" s="658">
        <v>0</v>
      </c>
      <c r="BD374" s="658"/>
      <c r="BE374" s="658"/>
      <c r="BF374" s="658">
        <v>182.49</v>
      </c>
      <c r="BG374" s="658"/>
      <c r="BH374" s="658"/>
      <c r="BI374" s="567">
        <v>0</v>
      </c>
      <c r="BJ374" s="567"/>
      <c r="BK374" s="567"/>
      <c r="BL374" s="567"/>
      <c r="BM374" s="660" t="s">
        <v>932</v>
      </c>
      <c r="BN374" s="660"/>
      <c r="BO374" s="660"/>
      <c r="BP374" s="660"/>
      <c r="BQ374" s="568" t="s">
        <v>932</v>
      </c>
      <c r="BR374" s="568"/>
      <c r="BS374" s="568"/>
      <c r="BT374" s="660" t="s">
        <v>932</v>
      </c>
      <c r="BU374" s="660"/>
      <c r="BV374" s="660"/>
      <c r="BW374" s="660"/>
      <c r="BX374" s="568" t="s">
        <v>932</v>
      </c>
      <c r="BY374" s="568"/>
      <c r="BZ374" s="568"/>
      <c r="CA374" s="660" t="s">
        <v>932</v>
      </c>
      <c r="CB374" s="660"/>
      <c r="CC374" s="660"/>
      <c r="CD374" s="660"/>
      <c r="CE374" s="568" t="s">
        <v>932</v>
      </c>
      <c r="CF374" s="568"/>
      <c r="CG374" s="568"/>
      <c r="CH374" s="660" t="s">
        <v>932</v>
      </c>
      <c r="CI374" s="660"/>
      <c r="CJ374" s="660"/>
      <c r="CK374" s="660"/>
      <c r="CL374" s="568">
        <v>1</v>
      </c>
      <c r="CM374" s="568"/>
      <c r="CN374" s="568"/>
    </row>
    <row r="375" hidden="1" customHeight="1" spans="1:92">
      <c r="A375" s="612"/>
      <c r="B375" s="612"/>
      <c r="C375" s="518"/>
      <c r="D375" s="518"/>
      <c r="E375" s="518"/>
      <c r="F375" s="657"/>
      <c r="G375" s="657"/>
      <c r="H375" s="657"/>
      <c r="I375" s="519"/>
      <c r="J375" s="519"/>
      <c r="K375" s="519"/>
      <c r="L375" s="519"/>
      <c r="M375" s="519"/>
      <c r="N375" s="519"/>
      <c r="O375" s="519"/>
      <c r="P375" s="519"/>
      <c r="Q375" s="519"/>
      <c r="R375" s="519"/>
      <c r="S375" s="519"/>
      <c r="T375" s="519"/>
      <c r="U375" s="519"/>
      <c r="V375" s="519"/>
      <c r="W375" s="519"/>
      <c r="X375" s="519"/>
      <c r="Y375" s="519"/>
      <c r="Z375" s="519"/>
      <c r="AA375" s="519"/>
      <c r="AB375" s="526"/>
      <c r="AC375" s="526"/>
      <c r="AD375" s="658"/>
      <c r="AE375" s="658"/>
      <c r="AF375" s="658"/>
      <c r="AG375" s="526">
        <v>0</v>
      </c>
      <c r="AH375" s="526"/>
      <c r="AI375" s="659" t="e">
        <v>#N/A</v>
      </c>
      <c r="AJ375" s="659"/>
      <c r="AK375" s="659"/>
      <c r="AL375" s="659"/>
      <c r="AM375" s="659"/>
      <c r="AN375" s="659"/>
      <c r="AO375" s="659"/>
      <c r="AP375" s="659"/>
      <c r="AQ375" s="659"/>
      <c r="AR375" s="659"/>
      <c r="AS375" s="659"/>
      <c r="AT375" s="659"/>
      <c r="AU375" s="659"/>
      <c r="AV375" s="659"/>
      <c r="AW375" s="658">
        <v>0</v>
      </c>
      <c r="AX375" s="658"/>
      <c r="AY375" s="658"/>
      <c r="AZ375" s="658"/>
      <c r="BA375" s="658"/>
      <c r="BB375" s="658"/>
      <c r="BC375" s="658">
        <v>0</v>
      </c>
      <c r="BD375" s="658"/>
      <c r="BE375" s="658"/>
      <c r="BF375" s="658">
        <v>182.49</v>
      </c>
      <c r="BG375" s="658"/>
      <c r="BH375" s="658"/>
      <c r="BI375" s="567">
        <v>0</v>
      </c>
      <c r="BJ375" s="567"/>
      <c r="BK375" s="567"/>
      <c r="BL375" s="567"/>
      <c r="BM375" s="660" t="s">
        <v>932</v>
      </c>
      <c r="BN375" s="660"/>
      <c r="BO375" s="660"/>
      <c r="BP375" s="660"/>
      <c r="BQ375" s="568" t="s">
        <v>932</v>
      </c>
      <c r="BR375" s="568"/>
      <c r="BS375" s="568"/>
      <c r="BT375" s="660" t="s">
        <v>932</v>
      </c>
      <c r="BU375" s="660"/>
      <c r="BV375" s="660"/>
      <c r="BW375" s="660"/>
      <c r="BX375" s="568" t="s">
        <v>932</v>
      </c>
      <c r="BY375" s="568"/>
      <c r="BZ375" s="568"/>
      <c r="CA375" s="660" t="s">
        <v>932</v>
      </c>
      <c r="CB375" s="660"/>
      <c r="CC375" s="660"/>
      <c r="CD375" s="660"/>
      <c r="CE375" s="568" t="s">
        <v>932</v>
      </c>
      <c r="CF375" s="568"/>
      <c r="CG375" s="568"/>
      <c r="CH375" s="660" t="s">
        <v>932</v>
      </c>
      <c r="CI375" s="660"/>
      <c r="CJ375" s="660"/>
      <c r="CK375" s="660"/>
      <c r="CL375" s="568">
        <v>1</v>
      </c>
      <c r="CM375" s="568"/>
      <c r="CN375" s="568"/>
    </row>
    <row r="376" customHeight="1" spans="1:92">
      <c r="A376" s="612" t="s">
        <v>987</v>
      </c>
      <c r="B376" s="612"/>
      <c r="C376" s="518"/>
      <c r="D376" s="518"/>
      <c r="E376" s="518"/>
      <c r="F376" s="657">
        <v>407819</v>
      </c>
      <c r="G376" s="657"/>
      <c r="H376" s="657"/>
      <c r="I376" s="519" t="s">
        <v>100</v>
      </c>
      <c r="J376" s="519"/>
      <c r="K376" s="519"/>
      <c r="L376" s="519"/>
      <c r="M376" s="519"/>
      <c r="N376" s="519"/>
      <c r="O376" s="519"/>
      <c r="P376" s="519"/>
      <c r="Q376" s="519"/>
      <c r="R376" s="519"/>
      <c r="S376" s="519"/>
      <c r="T376" s="519"/>
      <c r="U376" s="519"/>
      <c r="V376" s="519"/>
      <c r="W376" s="519"/>
      <c r="X376" s="519"/>
      <c r="Y376" s="519"/>
      <c r="Z376" s="519"/>
      <c r="AA376" s="519"/>
      <c r="AB376" s="526" t="s">
        <v>101</v>
      </c>
      <c r="AC376" s="526"/>
      <c r="AD376" s="658">
        <v>1050.4</v>
      </c>
      <c r="AE376" s="658"/>
      <c r="AF376" s="658"/>
      <c r="AG376" s="526" t="s">
        <v>937</v>
      </c>
      <c r="AH376" s="526"/>
      <c r="AI376" s="659" t="s">
        <v>938</v>
      </c>
      <c r="AJ376" s="659"/>
      <c r="AK376" s="659"/>
      <c r="AL376" s="659"/>
      <c r="AM376" s="659"/>
      <c r="AN376" s="659"/>
      <c r="AO376" s="659"/>
      <c r="AP376" s="659"/>
      <c r="AQ376" s="659"/>
      <c r="AR376" s="659"/>
      <c r="AS376" s="659"/>
      <c r="AT376" s="659"/>
      <c r="AU376" s="659"/>
      <c r="AV376" s="659"/>
      <c r="AW376" s="658">
        <v>0.09</v>
      </c>
      <c r="AX376" s="658"/>
      <c r="AY376" s="658"/>
      <c r="AZ376" s="658">
        <v>1</v>
      </c>
      <c r="BA376" s="658"/>
      <c r="BB376" s="658"/>
      <c r="BC376" s="658">
        <v>94.536</v>
      </c>
      <c r="BD376" s="658"/>
      <c r="BE376" s="658"/>
      <c r="BF376" s="658">
        <v>182.49</v>
      </c>
      <c r="BG376" s="658"/>
      <c r="BH376" s="658"/>
      <c r="BI376" s="567">
        <v>0.518033864869308</v>
      </c>
      <c r="BJ376" s="567"/>
      <c r="BK376" s="567"/>
      <c r="BL376" s="567"/>
      <c r="BM376" s="660" t="s">
        <v>932</v>
      </c>
      <c r="BN376" s="660"/>
      <c r="BO376" s="660"/>
      <c r="BP376" s="660"/>
      <c r="BQ376" s="568" t="s">
        <v>932</v>
      </c>
      <c r="BR376" s="568"/>
      <c r="BS376" s="568"/>
      <c r="BT376" s="660" t="s">
        <v>932</v>
      </c>
      <c r="BU376" s="660"/>
      <c r="BV376" s="660"/>
      <c r="BW376" s="660"/>
      <c r="BX376" s="568" t="s">
        <v>932</v>
      </c>
      <c r="BY376" s="568"/>
      <c r="BZ376" s="568"/>
      <c r="CA376" s="660" t="s">
        <v>932</v>
      </c>
      <c r="CB376" s="660"/>
      <c r="CC376" s="660"/>
      <c r="CD376" s="660"/>
      <c r="CE376" s="568" t="s">
        <v>932</v>
      </c>
      <c r="CF376" s="568"/>
      <c r="CG376" s="568"/>
      <c r="CH376" s="660">
        <v>0.518033864869308</v>
      </c>
      <c r="CI376" s="660"/>
      <c r="CJ376" s="660"/>
      <c r="CK376" s="660"/>
      <c r="CL376" s="568">
        <v>1</v>
      </c>
      <c r="CM376" s="568"/>
      <c r="CN376" s="568"/>
    </row>
    <row r="377" customHeight="1" spans="1:92">
      <c r="A377" s="612"/>
      <c r="B377" s="612"/>
      <c r="C377" s="518"/>
      <c r="D377" s="518"/>
      <c r="E377" s="518"/>
      <c r="F377" s="657"/>
      <c r="G377" s="657"/>
      <c r="H377" s="657"/>
      <c r="I377" s="519"/>
      <c r="J377" s="519"/>
      <c r="K377" s="519"/>
      <c r="L377" s="519"/>
      <c r="M377" s="519"/>
      <c r="N377" s="519"/>
      <c r="O377" s="519"/>
      <c r="P377" s="519"/>
      <c r="Q377" s="519"/>
      <c r="R377" s="519"/>
      <c r="S377" s="519"/>
      <c r="T377" s="519"/>
      <c r="U377" s="519"/>
      <c r="V377" s="519"/>
      <c r="W377" s="519"/>
      <c r="X377" s="519"/>
      <c r="Y377" s="519"/>
      <c r="Z377" s="519"/>
      <c r="AA377" s="519"/>
      <c r="AB377" s="526"/>
      <c r="AC377" s="526"/>
      <c r="AD377" s="658"/>
      <c r="AE377" s="658"/>
      <c r="AF377" s="658"/>
      <c r="AG377" s="526" t="s">
        <v>939</v>
      </c>
      <c r="AH377" s="526"/>
      <c r="AI377" s="659" t="s">
        <v>940</v>
      </c>
      <c r="AJ377" s="659"/>
      <c r="AK377" s="659"/>
      <c r="AL377" s="659"/>
      <c r="AM377" s="659"/>
      <c r="AN377" s="659"/>
      <c r="AO377" s="659"/>
      <c r="AP377" s="659"/>
      <c r="AQ377" s="659"/>
      <c r="AR377" s="659"/>
      <c r="AS377" s="659"/>
      <c r="AT377" s="659"/>
      <c r="AU377" s="659"/>
      <c r="AV377" s="659"/>
      <c r="AW377" s="658">
        <v>0.09</v>
      </c>
      <c r="AX377" s="658"/>
      <c r="AY377" s="658"/>
      <c r="AZ377" s="658"/>
      <c r="BA377" s="658"/>
      <c r="BB377" s="658"/>
      <c r="BC377" s="658">
        <v>94.536</v>
      </c>
      <c r="BD377" s="658"/>
      <c r="BE377" s="658"/>
      <c r="BF377" s="658">
        <v>182.49</v>
      </c>
      <c r="BG377" s="658"/>
      <c r="BH377" s="658"/>
      <c r="BI377" s="567">
        <v>0.518033864869308</v>
      </c>
      <c r="BJ377" s="567"/>
      <c r="BK377" s="567"/>
      <c r="BL377" s="567"/>
      <c r="BM377" s="660" t="s">
        <v>932</v>
      </c>
      <c r="BN377" s="660"/>
      <c r="BO377" s="660"/>
      <c r="BP377" s="660"/>
      <c r="BQ377" s="568" t="s">
        <v>932</v>
      </c>
      <c r="BR377" s="568"/>
      <c r="BS377" s="568"/>
      <c r="BT377" s="660" t="s">
        <v>932</v>
      </c>
      <c r="BU377" s="660"/>
      <c r="BV377" s="660"/>
      <c r="BW377" s="660"/>
      <c r="BX377" s="568" t="s">
        <v>932</v>
      </c>
      <c r="BY377" s="568"/>
      <c r="BZ377" s="568"/>
      <c r="CA377" s="660" t="s">
        <v>932</v>
      </c>
      <c r="CB377" s="660"/>
      <c r="CC377" s="660"/>
      <c r="CD377" s="660"/>
      <c r="CE377" s="568" t="s">
        <v>932</v>
      </c>
      <c r="CF377" s="568"/>
      <c r="CG377" s="568"/>
      <c r="CH377" s="660">
        <v>0.518033864869308</v>
      </c>
      <c r="CI377" s="660"/>
      <c r="CJ377" s="660"/>
      <c r="CK377" s="660"/>
      <c r="CL377" s="568">
        <v>1</v>
      </c>
      <c r="CM377" s="568"/>
      <c r="CN377" s="568"/>
    </row>
    <row r="378" hidden="1" customHeight="1" spans="1:92">
      <c r="A378" s="612"/>
      <c r="B378" s="612"/>
      <c r="C378" s="518"/>
      <c r="D378" s="518"/>
      <c r="E378" s="518"/>
      <c r="F378" s="657"/>
      <c r="G378" s="657"/>
      <c r="H378" s="657"/>
      <c r="I378" s="519"/>
      <c r="J378" s="519"/>
      <c r="K378" s="519"/>
      <c r="L378" s="519"/>
      <c r="M378" s="519"/>
      <c r="N378" s="519"/>
      <c r="O378" s="519"/>
      <c r="P378" s="519"/>
      <c r="Q378" s="519"/>
      <c r="R378" s="519"/>
      <c r="S378" s="519"/>
      <c r="T378" s="519"/>
      <c r="U378" s="519"/>
      <c r="V378" s="519"/>
      <c r="W378" s="519"/>
      <c r="X378" s="519"/>
      <c r="Y378" s="519"/>
      <c r="Z378" s="519"/>
      <c r="AA378" s="519"/>
      <c r="AB378" s="526"/>
      <c r="AC378" s="526"/>
      <c r="AD378" s="658"/>
      <c r="AE378" s="658"/>
      <c r="AF378" s="658"/>
      <c r="AG378" s="526">
        <v>0</v>
      </c>
      <c r="AH378" s="526"/>
      <c r="AI378" s="659" t="e">
        <v>#N/A</v>
      </c>
      <c r="AJ378" s="659"/>
      <c r="AK378" s="659"/>
      <c r="AL378" s="659"/>
      <c r="AM378" s="659"/>
      <c r="AN378" s="659"/>
      <c r="AO378" s="659"/>
      <c r="AP378" s="659"/>
      <c r="AQ378" s="659"/>
      <c r="AR378" s="659"/>
      <c r="AS378" s="659"/>
      <c r="AT378" s="659"/>
      <c r="AU378" s="659"/>
      <c r="AV378" s="659"/>
      <c r="AW378" s="658">
        <v>0</v>
      </c>
      <c r="AX378" s="658"/>
      <c r="AY378" s="658"/>
      <c r="AZ378" s="658"/>
      <c r="BA378" s="658"/>
      <c r="BB378" s="658"/>
      <c r="BC378" s="658">
        <v>0</v>
      </c>
      <c r="BD378" s="658"/>
      <c r="BE378" s="658"/>
      <c r="BF378" s="658">
        <v>182.49</v>
      </c>
      <c r="BG378" s="658"/>
      <c r="BH378" s="658"/>
      <c r="BI378" s="567">
        <v>0</v>
      </c>
      <c r="BJ378" s="567"/>
      <c r="BK378" s="567"/>
      <c r="BL378" s="567"/>
      <c r="BM378" s="660" t="s">
        <v>932</v>
      </c>
      <c r="BN378" s="660"/>
      <c r="BO378" s="660"/>
      <c r="BP378" s="660"/>
      <c r="BQ378" s="568" t="s">
        <v>932</v>
      </c>
      <c r="BR378" s="568"/>
      <c r="BS378" s="568"/>
      <c r="BT378" s="660" t="s">
        <v>932</v>
      </c>
      <c r="BU378" s="660"/>
      <c r="BV378" s="660"/>
      <c r="BW378" s="660"/>
      <c r="BX378" s="568" t="s">
        <v>932</v>
      </c>
      <c r="BY378" s="568"/>
      <c r="BZ378" s="568"/>
      <c r="CA378" s="660" t="s">
        <v>932</v>
      </c>
      <c r="CB378" s="660"/>
      <c r="CC378" s="660"/>
      <c r="CD378" s="660"/>
      <c r="CE378" s="568" t="s">
        <v>932</v>
      </c>
      <c r="CF378" s="568"/>
      <c r="CG378" s="568"/>
      <c r="CH378" s="660" t="s">
        <v>932</v>
      </c>
      <c r="CI378" s="660"/>
      <c r="CJ378" s="660"/>
      <c r="CK378" s="660"/>
      <c r="CL378" s="568">
        <v>1</v>
      </c>
      <c r="CM378" s="568"/>
      <c r="CN378" s="568"/>
    </row>
    <row r="379" hidden="1" customHeight="1" spans="1:92">
      <c r="A379" s="612"/>
      <c r="B379" s="612"/>
      <c r="C379" s="518"/>
      <c r="D379" s="518"/>
      <c r="E379" s="518"/>
      <c r="F379" s="657"/>
      <c r="G379" s="657"/>
      <c r="H379" s="657"/>
      <c r="I379" s="519"/>
      <c r="J379" s="519"/>
      <c r="K379" s="519"/>
      <c r="L379" s="519"/>
      <c r="M379" s="519"/>
      <c r="N379" s="519"/>
      <c r="O379" s="519"/>
      <c r="P379" s="519"/>
      <c r="Q379" s="519"/>
      <c r="R379" s="519"/>
      <c r="S379" s="519"/>
      <c r="T379" s="519"/>
      <c r="U379" s="519"/>
      <c r="V379" s="519"/>
      <c r="W379" s="519"/>
      <c r="X379" s="519"/>
      <c r="Y379" s="519"/>
      <c r="Z379" s="519"/>
      <c r="AA379" s="519"/>
      <c r="AB379" s="526"/>
      <c r="AC379" s="526"/>
      <c r="AD379" s="658"/>
      <c r="AE379" s="658"/>
      <c r="AF379" s="658"/>
      <c r="AG379" s="526">
        <v>0</v>
      </c>
      <c r="AH379" s="526"/>
      <c r="AI379" s="659" t="e">
        <v>#N/A</v>
      </c>
      <c r="AJ379" s="659"/>
      <c r="AK379" s="659"/>
      <c r="AL379" s="659"/>
      <c r="AM379" s="659"/>
      <c r="AN379" s="659"/>
      <c r="AO379" s="659"/>
      <c r="AP379" s="659"/>
      <c r="AQ379" s="659"/>
      <c r="AR379" s="659"/>
      <c r="AS379" s="659"/>
      <c r="AT379" s="659"/>
      <c r="AU379" s="659"/>
      <c r="AV379" s="659"/>
      <c r="AW379" s="658">
        <v>0</v>
      </c>
      <c r="AX379" s="658"/>
      <c r="AY379" s="658"/>
      <c r="AZ379" s="658"/>
      <c r="BA379" s="658"/>
      <c r="BB379" s="658"/>
      <c r="BC379" s="658">
        <v>0</v>
      </c>
      <c r="BD379" s="658"/>
      <c r="BE379" s="658"/>
      <c r="BF379" s="658">
        <v>182.49</v>
      </c>
      <c r="BG379" s="658"/>
      <c r="BH379" s="658"/>
      <c r="BI379" s="567">
        <v>0</v>
      </c>
      <c r="BJ379" s="567"/>
      <c r="BK379" s="567"/>
      <c r="BL379" s="567"/>
      <c r="BM379" s="660" t="s">
        <v>932</v>
      </c>
      <c r="BN379" s="660"/>
      <c r="BO379" s="660"/>
      <c r="BP379" s="660"/>
      <c r="BQ379" s="568" t="s">
        <v>932</v>
      </c>
      <c r="BR379" s="568"/>
      <c r="BS379" s="568"/>
      <c r="BT379" s="660" t="s">
        <v>932</v>
      </c>
      <c r="BU379" s="660"/>
      <c r="BV379" s="660"/>
      <c r="BW379" s="660"/>
      <c r="BX379" s="568" t="s">
        <v>932</v>
      </c>
      <c r="BY379" s="568"/>
      <c r="BZ379" s="568"/>
      <c r="CA379" s="660" t="s">
        <v>932</v>
      </c>
      <c r="CB379" s="660"/>
      <c r="CC379" s="660"/>
      <c r="CD379" s="660"/>
      <c r="CE379" s="568" t="s">
        <v>932</v>
      </c>
      <c r="CF379" s="568"/>
      <c r="CG379" s="568"/>
      <c r="CH379" s="660" t="s">
        <v>932</v>
      </c>
      <c r="CI379" s="660"/>
      <c r="CJ379" s="660"/>
      <c r="CK379" s="660"/>
      <c r="CL379" s="568">
        <v>1</v>
      </c>
      <c r="CM379" s="568"/>
      <c r="CN379" s="568"/>
    </row>
    <row r="380" hidden="1" customHeight="1" spans="1:92">
      <c r="A380" s="612"/>
      <c r="B380" s="612"/>
      <c r="C380" s="518"/>
      <c r="D380" s="518"/>
      <c r="E380" s="518"/>
      <c r="F380" s="657"/>
      <c r="G380" s="657"/>
      <c r="H380" s="657"/>
      <c r="I380" s="519"/>
      <c r="J380" s="519"/>
      <c r="K380" s="519"/>
      <c r="L380" s="519"/>
      <c r="M380" s="519"/>
      <c r="N380" s="519"/>
      <c r="O380" s="519"/>
      <c r="P380" s="519"/>
      <c r="Q380" s="519"/>
      <c r="R380" s="519"/>
      <c r="S380" s="519"/>
      <c r="T380" s="519"/>
      <c r="U380" s="519"/>
      <c r="V380" s="519"/>
      <c r="W380" s="519"/>
      <c r="X380" s="519"/>
      <c r="Y380" s="519"/>
      <c r="Z380" s="519"/>
      <c r="AA380" s="519"/>
      <c r="AB380" s="526"/>
      <c r="AC380" s="526"/>
      <c r="AD380" s="658"/>
      <c r="AE380" s="658"/>
      <c r="AF380" s="658"/>
      <c r="AG380" s="526">
        <v>0</v>
      </c>
      <c r="AH380" s="526"/>
      <c r="AI380" s="659" t="e">
        <v>#N/A</v>
      </c>
      <c r="AJ380" s="659"/>
      <c r="AK380" s="659"/>
      <c r="AL380" s="659"/>
      <c r="AM380" s="659"/>
      <c r="AN380" s="659"/>
      <c r="AO380" s="659"/>
      <c r="AP380" s="659"/>
      <c r="AQ380" s="659"/>
      <c r="AR380" s="659"/>
      <c r="AS380" s="659"/>
      <c r="AT380" s="659"/>
      <c r="AU380" s="659"/>
      <c r="AV380" s="659"/>
      <c r="AW380" s="658">
        <v>0</v>
      </c>
      <c r="AX380" s="658"/>
      <c r="AY380" s="658"/>
      <c r="AZ380" s="658"/>
      <c r="BA380" s="658"/>
      <c r="BB380" s="658"/>
      <c r="BC380" s="658">
        <v>0</v>
      </c>
      <c r="BD380" s="658"/>
      <c r="BE380" s="658"/>
      <c r="BF380" s="658">
        <v>182.49</v>
      </c>
      <c r="BG380" s="658"/>
      <c r="BH380" s="658"/>
      <c r="BI380" s="567">
        <v>0</v>
      </c>
      <c r="BJ380" s="567"/>
      <c r="BK380" s="567"/>
      <c r="BL380" s="567"/>
      <c r="BM380" s="660" t="s">
        <v>932</v>
      </c>
      <c r="BN380" s="660"/>
      <c r="BO380" s="660"/>
      <c r="BP380" s="660"/>
      <c r="BQ380" s="568" t="s">
        <v>932</v>
      </c>
      <c r="BR380" s="568"/>
      <c r="BS380" s="568"/>
      <c r="BT380" s="660" t="s">
        <v>932</v>
      </c>
      <c r="BU380" s="660"/>
      <c r="BV380" s="660"/>
      <c r="BW380" s="660"/>
      <c r="BX380" s="568" t="s">
        <v>932</v>
      </c>
      <c r="BY380" s="568"/>
      <c r="BZ380" s="568"/>
      <c r="CA380" s="660" t="s">
        <v>932</v>
      </c>
      <c r="CB380" s="660"/>
      <c r="CC380" s="660"/>
      <c r="CD380" s="660"/>
      <c r="CE380" s="568" t="s">
        <v>932</v>
      </c>
      <c r="CF380" s="568"/>
      <c r="CG380" s="568"/>
      <c r="CH380" s="660" t="s">
        <v>932</v>
      </c>
      <c r="CI380" s="660"/>
      <c r="CJ380" s="660"/>
      <c r="CK380" s="660"/>
      <c r="CL380" s="568">
        <v>1</v>
      </c>
      <c r="CM380" s="568"/>
      <c r="CN380" s="568"/>
    </row>
    <row r="381" hidden="1" customHeight="1" spans="1:92">
      <c r="A381" s="612"/>
      <c r="B381" s="612"/>
      <c r="C381" s="518"/>
      <c r="D381" s="518"/>
      <c r="E381" s="518"/>
      <c r="F381" s="657"/>
      <c r="G381" s="657"/>
      <c r="H381" s="657"/>
      <c r="I381" s="519"/>
      <c r="J381" s="519"/>
      <c r="K381" s="519"/>
      <c r="L381" s="519"/>
      <c r="M381" s="519"/>
      <c r="N381" s="519"/>
      <c r="O381" s="519"/>
      <c r="P381" s="519"/>
      <c r="Q381" s="519"/>
      <c r="R381" s="519"/>
      <c r="S381" s="519"/>
      <c r="T381" s="519"/>
      <c r="U381" s="519"/>
      <c r="V381" s="519"/>
      <c r="W381" s="519"/>
      <c r="X381" s="519"/>
      <c r="Y381" s="519"/>
      <c r="Z381" s="519"/>
      <c r="AA381" s="519"/>
      <c r="AB381" s="526"/>
      <c r="AC381" s="526"/>
      <c r="AD381" s="658"/>
      <c r="AE381" s="658"/>
      <c r="AF381" s="658"/>
      <c r="AG381" s="526">
        <v>0</v>
      </c>
      <c r="AH381" s="526"/>
      <c r="AI381" s="659" t="e">
        <v>#N/A</v>
      </c>
      <c r="AJ381" s="659"/>
      <c r="AK381" s="659"/>
      <c r="AL381" s="659"/>
      <c r="AM381" s="659"/>
      <c r="AN381" s="659"/>
      <c r="AO381" s="659"/>
      <c r="AP381" s="659"/>
      <c r="AQ381" s="659"/>
      <c r="AR381" s="659"/>
      <c r="AS381" s="659"/>
      <c r="AT381" s="659"/>
      <c r="AU381" s="659"/>
      <c r="AV381" s="659"/>
      <c r="AW381" s="658">
        <v>0</v>
      </c>
      <c r="AX381" s="658"/>
      <c r="AY381" s="658"/>
      <c r="AZ381" s="658"/>
      <c r="BA381" s="658"/>
      <c r="BB381" s="658"/>
      <c r="BC381" s="658">
        <v>0</v>
      </c>
      <c r="BD381" s="658"/>
      <c r="BE381" s="658"/>
      <c r="BF381" s="658">
        <v>182.49</v>
      </c>
      <c r="BG381" s="658"/>
      <c r="BH381" s="658"/>
      <c r="BI381" s="567">
        <v>0</v>
      </c>
      <c r="BJ381" s="567"/>
      <c r="BK381" s="567"/>
      <c r="BL381" s="567"/>
      <c r="BM381" s="660" t="s">
        <v>932</v>
      </c>
      <c r="BN381" s="660"/>
      <c r="BO381" s="660"/>
      <c r="BP381" s="660"/>
      <c r="BQ381" s="568" t="s">
        <v>932</v>
      </c>
      <c r="BR381" s="568"/>
      <c r="BS381" s="568"/>
      <c r="BT381" s="660" t="s">
        <v>932</v>
      </c>
      <c r="BU381" s="660"/>
      <c r="BV381" s="660"/>
      <c r="BW381" s="660"/>
      <c r="BX381" s="568" t="s">
        <v>932</v>
      </c>
      <c r="BY381" s="568"/>
      <c r="BZ381" s="568"/>
      <c r="CA381" s="660" t="s">
        <v>932</v>
      </c>
      <c r="CB381" s="660"/>
      <c r="CC381" s="660"/>
      <c r="CD381" s="660"/>
      <c r="CE381" s="568" t="s">
        <v>932</v>
      </c>
      <c r="CF381" s="568"/>
      <c r="CG381" s="568"/>
      <c r="CH381" s="660" t="s">
        <v>932</v>
      </c>
      <c r="CI381" s="660"/>
      <c r="CJ381" s="660"/>
      <c r="CK381" s="660"/>
      <c r="CL381" s="568">
        <v>1</v>
      </c>
      <c r="CM381" s="568"/>
      <c r="CN381" s="568"/>
    </row>
    <row r="382" hidden="1" customHeight="1" spans="1:92">
      <c r="A382" s="612"/>
      <c r="B382" s="612"/>
      <c r="C382" s="518"/>
      <c r="D382" s="518"/>
      <c r="E382" s="518"/>
      <c r="F382" s="657"/>
      <c r="G382" s="657"/>
      <c r="H382" s="657"/>
      <c r="I382" s="519"/>
      <c r="J382" s="519"/>
      <c r="K382" s="519"/>
      <c r="L382" s="519"/>
      <c r="M382" s="519"/>
      <c r="N382" s="519"/>
      <c r="O382" s="519"/>
      <c r="P382" s="519"/>
      <c r="Q382" s="519"/>
      <c r="R382" s="519"/>
      <c r="S382" s="519"/>
      <c r="T382" s="519"/>
      <c r="U382" s="519"/>
      <c r="V382" s="519"/>
      <c r="W382" s="519"/>
      <c r="X382" s="519"/>
      <c r="Y382" s="519"/>
      <c r="Z382" s="519"/>
      <c r="AA382" s="519"/>
      <c r="AB382" s="526"/>
      <c r="AC382" s="526"/>
      <c r="AD382" s="658"/>
      <c r="AE382" s="658"/>
      <c r="AF382" s="658"/>
      <c r="AG382" s="526">
        <v>0</v>
      </c>
      <c r="AH382" s="526"/>
      <c r="AI382" s="659" t="e">
        <v>#N/A</v>
      </c>
      <c r="AJ382" s="659"/>
      <c r="AK382" s="659"/>
      <c r="AL382" s="659"/>
      <c r="AM382" s="659"/>
      <c r="AN382" s="659"/>
      <c r="AO382" s="659"/>
      <c r="AP382" s="659"/>
      <c r="AQ382" s="659"/>
      <c r="AR382" s="659"/>
      <c r="AS382" s="659"/>
      <c r="AT382" s="659"/>
      <c r="AU382" s="659"/>
      <c r="AV382" s="659"/>
      <c r="AW382" s="658">
        <v>0</v>
      </c>
      <c r="AX382" s="658"/>
      <c r="AY382" s="658"/>
      <c r="AZ382" s="658"/>
      <c r="BA382" s="658"/>
      <c r="BB382" s="658"/>
      <c r="BC382" s="658">
        <v>0</v>
      </c>
      <c r="BD382" s="658"/>
      <c r="BE382" s="658"/>
      <c r="BF382" s="658">
        <v>182.49</v>
      </c>
      <c r="BG382" s="658"/>
      <c r="BH382" s="658"/>
      <c r="BI382" s="567">
        <v>0</v>
      </c>
      <c r="BJ382" s="567"/>
      <c r="BK382" s="567"/>
      <c r="BL382" s="567"/>
      <c r="BM382" s="660" t="s">
        <v>932</v>
      </c>
      <c r="BN382" s="660"/>
      <c r="BO382" s="660"/>
      <c r="BP382" s="660"/>
      <c r="BQ382" s="568" t="s">
        <v>932</v>
      </c>
      <c r="BR382" s="568"/>
      <c r="BS382" s="568"/>
      <c r="BT382" s="660" t="s">
        <v>932</v>
      </c>
      <c r="BU382" s="660"/>
      <c r="BV382" s="660"/>
      <c r="BW382" s="660"/>
      <c r="BX382" s="568" t="s">
        <v>932</v>
      </c>
      <c r="BY382" s="568"/>
      <c r="BZ382" s="568"/>
      <c r="CA382" s="660" t="s">
        <v>932</v>
      </c>
      <c r="CB382" s="660"/>
      <c r="CC382" s="660"/>
      <c r="CD382" s="660"/>
      <c r="CE382" s="568" t="s">
        <v>932</v>
      </c>
      <c r="CF382" s="568"/>
      <c r="CG382" s="568"/>
      <c r="CH382" s="660" t="s">
        <v>932</v>
      </c>
      <c r="CI382" s="660"/>
      <c r="CJ382" s="660"/>
      <c r="CK382" s="660"/>
      <c r="CL382" s="568">
        <v>1</v>
      </c>
      <c r="CM382" s="568"/>
      <c r="CN382" s="568"/>
    </row>
    <row r="383" hidden="1" customHeight="1" spans="1:92">
      <c r="A383" s="612"/>
      <c r="B383" s="612"/>
      <c r="C383" s="518"/>
      <c r="D383" s="518"/>
      <c r="E383" s="518"/>
      <c r="F383" s="657"/>
      <c r="G383" s="657"/>
      <c r="H383" s="657"/>
      <c r="I383" s="519"/>
      <c r="J383" s="519"/>
      <c r="K383" s="519"/>
      <c r="L383" s="519"/>
      <c r="M383" s="519"/>
      <c r="N383" s="519"/>
      <c r="O383" s="519"/>
      <c r="P383" s="519"/>
      <c r="Q383" s="519"/>
      <c r="R383" s="519"/>
      <c r="S383" s="519"/>
      <c r="T383" s="519"/>
      <c r="U383" s="519"/>
      <c r="V383" s="519"/>
      <c r="W383" s="519"/>
      <c r="X383" s="519"/>
      <c r="Y383" s="519"/>
      <c r="Z383" s="519"/>
      <c r="AA383" s="519"/>
      <c r="AB383" s="526"/>
      <c r="AC383" s="526"/>
      <c r="AD383" s="658"/>
      <c r="AE383" s="658"/>
      <c r="AF383" s="658"/>
      <c r="AG383" s="526">
        <v>0</v>
      </c>
      <c r="AH383" s="526"/>
      <c r="AI383" s="659" t="e">
        <v>#N/A</v>
      </c>
      <c r="AJ383" s="659"/>
      <c r="AK383" s="659"/>
      <c r="AL383" s="659"/>
      <c r="AM383" s="659"/>
      <c r="AN383" s="659"/>
      <c r="AO383" s="659"/>
      <c r="AP383" s="659"/>
      <c r="AQ383" s="659"/>
      <c r="AR383" s="659"/>
      <c r="AS383" s="659"/>
      <c r="AT383" s="659"/>
      <c r="AU383" s="659"/>
      <c r="AV383" s="659"/>
      <c r="AW383" s="658">
        <v>0</v>
      </c>
      <c r="AX383" s="658"/>
      <c r="AY383" s="658"/>
      <c r="AZ383" s="658"/>
      <c r="BA383" s="658"/>
      <c r="BB383" s="658"/>
      <c r="BC383" s="658">
        <v>0</v>
      </c>
      <c r="BD383" s="658"/>
      <c r="BE383" s="658"/>
      <c r="BF383" s="658">
        <v>182.49</v>
      </c>
      <c r="BG383" s="658"/>
      <c r="BH383" s="658"/>
      <c r="BI383" s="567">
        <v>0</v>
      </c>
      <c r="BJ383" s="567"/>
      <c r="BK383" s="567"/>
      <c r="BL383" s="567"/>
      <c r="BM383" s="660" t="s">
        <v>932</v>
      </c>
      <c r="BN383" s="660"/>
      <c r="BO383" s="660"/>
      <c r="BP383" s="660"/>
      <c r="BQ383" s="568" t="s">
        <v>932</v>
      </c>
      <c r="BR383" s="568"/>
      <c r="BS383" s="568"/>
      <c r="BT383" s="660" t="s">
        <v>932</v>
      </c>
      <c r="BU383" s="660"/>
      <c r="BV383" s="660"/>
      <c r="BW383" s="660"/>
      <c r="BX383" s="568" t="s">
        <v>932</v>
      </c>
      <c r="BY383" s="568"/>
      <c r="BZ383" s="568"/>
      <c r="CA383" s="660" t="s">
        <v>932</v>
      </c>
      <c r="CB383" s="660"/>
      <c r="CC383" s="660"/>
      <c r="CD383" s="660"/>
      <c r="CE383" s="568" t="s">
        <v>932</v>
      </c>
      <c r="CF383" s="568"/>
      <c r="CG383" s="568"/>
      <c r="CH383" s="660" t="s">
        <v>932</v>
      </c>
      <c r="CI383" s="660"/>
      <c r="CJ383" s="660"/>
      <c r="CK383" s="660"/>
      <c r="CL383" s="568">
        <v>1</v>
      </c>
      <c r="CM383" s="568"/>
      <c r="CN383" s="568"/>
    </row>
    <row r="384" customHeight="1" spans="1:92">
      <c r="A384" s="612" t="s">
        <v>988</v>
      </c>
      <c r="B384" s="612"/>
      <c r="C384" s="518"/>
      <c r="D384" s="518"/>
      <c r="E384" s="518"/>
      <c r="F384" s="657">
        <v>1100657</v>
      </c>
      <c r="G384" s="657"/>
      <c r="H384" s="657"/>
      <c r="I384" s="519" t="s">
        <v>114</v>
      </c>
      <c r="J384" s="519"/>
      <c r="K384" s="519"/>
      <c r="L384" s="519"/>
      <c r="M384" s="519"/>
      <c r="N384" s="519"/>
      <c r="O384" s="519"/>
      <c r="P384" s="519"/>
      <c r="Q384" s="519"/>
      <c r="R384" s="519"/>
      <c r="S384" s="519"/>
      <c r="T384" s="519"/>
      <c r="U384" s="519"/>
      <c r="V384" s="519"/>
      <c r="W384" s="519"/>
      <c r="X384" s="519"/>
      <c r="Y384" s="519"/>
      <c r="Z384" s="519"/>
      <c r="AA384" s="519"/>
      <c r="AB384" s="526" t="s">
        <v>99</v>
      </c>
      <c r="AC384" s="526"/>
      <c r="AD384" s="658">
        <v>15.75</v>
      </c>
      <c r="AE384" s="658"/>
      <c r="AF384" s="658"/>
      <c r="AG384" s="526" t="s">
        <v>935</v>
      </c>
      <c r="AH384" s="526"/>
      <c r="AI384" s="659" t="s">
        <v>936</v>
      </c>
      <c r="AJ384" s="659"/>
      <c r="AK384" s="659"/>
      <c r="AL384" s="659"/>
      <c r="AM384" s="659"/>
      <c r="AN384" s="659"/>
      <c r="AO384" s="659"/>
      <c r="AP384" s="659"/>
      <c r="AQ384" s="659"/>
      <c r="AR384" s="659"/>
      <c r="AS384" s="659"/>
      <c r="AT384" s="659"/>
      <c r="AU384" s="659"/>
      <c r="AV384" s="659"/>
      <c r="AW384" s="658">
        <v>1</v>
      </c>
      <c r="AX384" s="658"/>
      <c r="AY384" s="658"/>
      <c r="AZ384" s="658">
        <v>9</v>
      </c>
      <c r="BA384" s="658"/>
      <c r="BB384" s="658"/>
      <c r="BC384" s="658">
        <v>1.75</v>
      </c>
      <c r="BD384" s="658"/>
      <c r="BE384" s="658"/>
      <c r="BF384" s="658">
        <v>182.49</v>
      </c>
      <c r="BG384" s="658"/>
      <c r="BH384" s="658"/>
      <c r="BI384" s="567">
        <v>0.00958956655159187</v>
      </c>
      <c r="BJ384" s="567"/>
      <c r="BK384" s="567"/>
      <c r="BL384" s="567"/>
      <c r="BM384" s="660" t="s">
        <v>932</v>
      </c>
      <c r="BN384" s="660"/>
      <c r="BO384" s="660"/>
      <c r="BP384" s="660"/>
      <c r="BQ384" s="568" t="s">
        <v>932</v>
      </c>
      <c r="BR384" s="568"/>
      <c r="BS384" s="568"/>
      <c r="BT384" s="660" t="s">
        <v>932</v>
      </c>
      <c r="BU384" s="660"/>
      <c r="BV384" s="660"/>
      <c r="BW384" s="660"/>
      <c r="BX384" s="568" t="s">
        <v>932</v>
      </c>
      <c r="BY384" s="568"/>
      <c r="BZ384" s="568"/>
      <c r="CA384" s="660" t="s">
        <v>932</v>
      </c>
      <c r="CB384" s="660"/>
      <c r="CC384" s="660"/>
      <c r="CD384" s="660"/>
      <c r="CE384" s="568" t="s">
        <v>932</v>
      </c>
      <c r="CF384" s="568"/>
      <c r="CG384" s="568"/>
      <c r="CH384" s="660">
        <v>0.00958956655159187</v>
      </c>
      <c r="CI384" s="660"/>
      <c r="CJ384" s="660"/>
      <c r="CK384" s="660"/>
      <c r="CL384" s="568">
        <v>1</v>
      </c>
      <c r="CM384" s="568"/>
      <c r="CN384" s="568"/>
    </row>
    <row r="385" hidden="1" customHeight="1" spans="1:92">
      <c r="A385" s="612"/>
      <c r="B385" s="612"/>
      <c r="C385" s="518"/>
      <c r="D385" s="518"/>
      <c r="E385" s="518"/>
      <c r="F385" s="657"/>
      <c r="G385" s="657"/>
      <c r="H385" s="657"/>
      <c r="I385" s="519"/>
      <c r="J385" s="519"/>
      <c r="K385" s="519"/>
      <c r="L385" s="519"/>
      <c r="M385" s="519"/>
      <c r="N385" s="519"/>
      <c r="O385" s="519"/>
      <c r="P385" s="519"/>
      <c r="Q385" s="519"/>
      <c r="R385" s="519"/>
      <c r="S385" s="519"/>
      <c r="T385" s="519"/>
      <c r="U385" s="519"/>
      <c r="V385" s="519"/>
      <c r="W385" s="519"/>
      <c r="X385" s="519"/>
      <c r="Y385" s="519"/>
      <c r="Z385" s="519"/>
      <c r="AA385" s="519"/>
      <c r="AB385" s="526"/>
      <c r="AC385" s="526"/>
      <c r="AD385" s="658"/>
      <c r="AE385" s="658"/>
      <c r="AF385" s="658"/>
      <c r="AG385" s="526">
        <v>0</v>
      </c>
      <c r="AH385" s="526"/>
      <c r="AI385" s="659" t="e">
        <v>#N/A</v>
      </c>
      <c r="AJ385" s="659"/>
      <c r="AK385" s="659"/>
      <c r="AL385" s="659"/>
      <c r="AM385" s="659"/>
      <c r="AN385" s="659"/>
      <c r="AO385" s="659"/>
      <c r="AP385" s="659"/>
      <c r="AQ385" s="659"/>
      <c r="AR385" s="659"/>
      <c r="AS385" s="659"/>
      <c r="AT385" s="659"/>
      <c r="AU385" s="659"/>
      <c r="AV385" s="659"/>
      <c r="AW385" s="658">
        <v>0</v>
      </c>
      <c r="AX385" s="658"/>
      <c r="AY385" s="658"/>
      <c r="AZ385" s="658"/>
      <c r="BA385" s="658"/>
      <c r="BB385" s="658"/>
      <c r="BC385" s="658">
        <v>0</v>
      </c>
      <c r="BD385" s="658"/>
      <c r="BE385" s="658"/>
      <c r="BF385" s="658">
        <v>182.49</v>
      </c>
      <c r="BG385" s="658"/>
      <c r="BH385" s="658"/>
      <c r="BI385" s="567">
        <v>0</v>
      </c>
      <c r="BJ385" s="567"/>
      <c r="BK385" s="567"/>
      <c r="BL385" s="567"/>
      <c r="BM385" s="660" t="s">
        <v>932</v>
      </c>
      <c r="BN385" s="660"/>
      <c r="BO385" s="660"/>
      <c r="BP385" s="660"/>
      <c r="BQ385" s="568" t="s">
        <v>932</v>
      </c>
      <c r="BR385" s="568"/>
      <c r="BS385" s="568"/>
      <c r="BT385" s="660" t="s">
        <v>932</v>
      </c>
      <c r="BU385" s="660"/>
      <c r="BV385" s="660"/>
      <c r="BW385" s="660"/>
      <c r="BX385" s="568" t="s">
        <v>932</v>
      </c>
      <c r="BY385" s="568"/>
      <c r="BZ385" s="568"/>
      <c r="CA385" s="660" t="s">
        <v>932</v>
      </c>
      <c r="CB385" s="660"/>
      <c r="CC385" s="660"/>
      <c r="CD385" s="660"/>
      <c r="CE385" s="568" t="s">
        <v>932</v>
      </c>
      <c r="CF385" s="568"/>
      <c r="CG385" s="568"/>
      <c r="CH385" s="660" t="s">
        <v>932</v>
      </c>
      <c r="CI385" s="660"/>
      <c r="CJ385" s="660"/>
      <c r="CK385" s="660"/>
      <c r="CL385" s="568">
        <v>1</v>
      </c>
      <c r="CM385" s="568"/>
      <c r="CN385" s="568"/>
    </row>
    <row r="386" hidden="1" customHeight="1" spans="1:92">
      <c r="A386" s="612"/>
      <c r="B386" s="612"/>
      <c r="C386" s="518"/>
      <c r="D386" s="518"/>
      <c r="E386" s="518"/>
      <c r="F386" s="657"/>
      <c r="G386" s="657"/>
      <c r="H386" s="657"/>
      <c r="I386" s="519"/>
      <c r="J386" s="519"/>
      <c r="K386" s="519"/>
      <c r="L386" s="519"/>
      <c r="M386" s="519"/>
      <c r="N386" s="519"/>
      <c r="O386" s="519"/>
      <c r="P386" s="519"/>
      <c r="Q386" s="519"/>
      <c r="R386" s="519"/>
      <c r="S386" s="519"/>
      <c r="T386" s="519"/>
      <c r="U386" s="519"/>
      <c r="V386" s="519"/>
      <c r="W386" s="519"/>
      <c r="X386" s="519"/>
      <c r="Y386" s="519"/>
      <c r="Z386" s="519"/>
      <c r="AA386" s="519"/>
      <c r="AB386" s="526"/>
      <c r="AC386" s="526"/>
      <c r="AD386" s="658"/>
      <c r="AE386" s="658"/>
      <c r="AF386" s="658"/>
      <c r="AG386" s="526">
        <v>0</v>
      </c>
      <c r="AH386" s="526"/>
      <c r="AI386" s="659" t="e">
        <v>#N/A</v>
      </c>
      <c r="AJ386" s="659"/>
      <c r="AK386" s="659"/>
      <c r="AL386" s="659"/>
      <c r="AM386" s="659"/>
      <c r="AN386" s="659"/>
      <c r="AO386" s="659"/>
      <c r="AP386" s="659"/>
      <c r="AQ386" s="659"/>
      <c r="AR386" s="659"/>
      <c r="AS386" s="659"/>
      <c r="AT386" s="659"/>
      <c r="AU386" s="659"/>
      <c r="AV386" s="659"/>
      <c r="AW386" s="658">
        <v>0</v>
      </c>
      <c r="AX386" s="658"/>
      <c r="AY386" s="658"/>
      <c r="AZ386" s="658"/>
      <c r="BA386" s="658"/>
      <c r="BB386" s="658"/>
      <c r="BC386" s="658">
        <v>0</v>
      </c>
      <c r="BD386" s="658"/>
      <c r="BE386" s="658"/>
      <c r="BF386" s="658">
        <v>182.49</v>
      </c>
      <c r="BG386" s="658"/>
      <c r="BH386" s="658"/>
      <c r="BI386" s="567">
        <v>0</v>
      </c>
      <c r="BJ386" s="567"/>
      <c r="BK386" s="567"/>
      <c r="BL386" s="567"/>
      <c r="BM386" s="660" t="s">
        <v>932</v>
      </c>
      <c r="BN386" s="660"/>
      <c r="BO386" s="660"/>
      <c r="BP386" s="660"/>
      <c r="BQ386" s="568" t="s">
        <v>932</v>
      </c>
      <c r="BR386" s="568"/>
      <c r="BS386" s="568"/>
      <c r="BT386" s="660" t="s">
        <v>932</v>
      </c>
      <c r="BU386" s="660"/>
      <c r="BV386" s="660"/>
      <c r="BW386" s="660"/>
      <c r="BX386" s="568" t="s">
        <v>932</v>
      </c>
      <c r="BY386" s="568"/>
      <c r="BZ386" s="568"/>
      <c r="CA386" s="660" t="s">
        <v>932</v>
      </c>
      <c r="CB386" s="660"/>
      <c r="CC386" s="660"/>
      <c r="CD386" s="660"/>
      <c r="CE386" s="568" t="s">
        <v>932</v>
      </c>
      <c r="CF386" s="568"/>
      <c r="CG386" s="568"/>
      <c r="CH386" s="660" t="s">
        <v>932</v>
      </c>
      <c r="CI386" s="660"/>
      <c r="CJ386" s="660"/>
      <c r="CK386" s="660"/>
      <c r="CL386" s="568">
        <v>1</v>
      </c>
      <c r="CM386" s="568"/>
      <c r="CN386" s="568"/>
    </row>
    <row r="387" hidden="1" customHeight="1" spans="1:92">
      <c r="A387" s="612"/>
      <c r="B387" s="612"/>
      <c r="C387" s="518"/>
      <c r="D387" s="518"/>
      <c r="E387" s="518"/>
      <c r="F387" s="657"/>
      <c r="G387" s="657"/>
      <c r="H387" s="657"/>
      <c r="I387" s="519"/>
      <c r="J387" s="519"/>
      <c r="K387" s="519"/>
      <c r="L387" s="519"/>
      <c r="M387" s="519"/>
      <c r="N387" s="519"/>
      <c r="O387" s="519"/>
      <c r="P387" s="519"/>
      <c r="Q387" s="519"/>
      <c r="R387" s="519"/>
      <c r="S387" s="519"/>
      <c r="T387" s="519"/>
      <c r="U387" s="519"/>
      <c r="V387" s="519"/>
      <c r="W387" s="519"/>
      <c r="X387" s="519"/>
      <c r="Y387" s="519"/>
      <c r="Z387" s="519"/>
      <c r="AA387" s="519"/>
      <c r="AB387" s="526"/>
      <c r="AC387" s="526"/>
      <c r="AD387" s="658"/>
      <c r="AE387" s="658"/>
      <c r="AF387" s="658"/>
      <c r="AG387" s="526">
        <v>0</v>
      </c>
      <c r="AH387" s="526"/>
      <c r="AI387" s="659" t="e">
        <v>#N/A</v>
      </c>
      <c r="AJ387" s="659"/>
      <c r="AK387" s="659"/>
      <c r="AL387" s="659"/>
      <c r="AM387" s="659"/>
      <c r="AN387" s="659"/>
      <c r="AO387" s="659"/>
      <c r="AP387" s="659"/>
      <c r="AQ387" s="659"/>
      <c r="AR387" s="659"/>
      <c r="AS387" s="659"/>
      <c r="AT387" s="659"/>
      <c r="AU387" s="659"/>
      <c r="AV387" s="659"/>
      <c r="AW387" s="658">
        <v>0</v>
      </c>
      <c r="AX387" s="658"/>
      <c r="AY387" s="658"/>
      <c r="AZ387" s="658"/>
      <c r="BA387" s="658"/>
      <c r="BB387" s="658"/>
      <c r="BC387" s="658">
        <v>0</v>
      </c>
      <c r="BD387" s="658"/>
      <c r="BE387" s="658"/>
      <c r="BF387" s="658">
        <v>182.49</v>
      </c>
      <c r="BG387" s="658"/>
      <c r="BH387" s="658"/>
      <c r="BI387" s="567">
        <v>0</v>
      </c>
      <c r="BJ387" s="567"/>
      <c r="BK387" s="567"/>
      <c r="BL387" s="567"/>
      <c r="BM387" s="660" t="s">
        <v>932</v>
      </c>
      <c r="BN387" s="660"/>
      <c r="BO387" s="660"/>
      <c r="BP387" s="660"/>
      <c r="BQ387" s="568" t="s">
        <v>932</v>
      </c>
      <c r="BR387" s="568"/>
      <c r="BS387" s="568"/>
      <c r="BT387" s="660" t="s">
        <v>932</v>
      </c>
      <c r="BU387" s="660"/>
      <c r="BV387" s="660"/>
      <c r="BW387" s="660"/>
      <c r="BX387" s="568" t="s">
        <v>932</v>
      </c>
      <c r="BY387" s="568"/>
      <c r="BZ387" s="568"/>
      <c r="CA387" s="660" t="s">
        <v>932</v>
      </c>
      <c r="CB387" s="660"/>
      <c r="CC387" s="660"/>
      <c r="CD387" s="660"/>
      <c r="CE387" s="568" t="s">
        <v>932</v>
      </c>
      <c r="CF387" s="568"/>
      <c r="CG387" s="568"/>
      <c r="CH387" s="660" t="s">
        <v>932</v>
      </c>
      <c r="CI387" s="660"/>
      <c r="CJ387" s="660"/>
      <c r="CK387" s="660"/>
      <c r="CL387" s="568">
        <v>1</v>
      </c>
      <c r="CM387" s="568"/>
      <c r="CN387" s="568"/>
    </row>
    <row r="388" hidden="1" customHeight="1" spans="1:92">
      <c r="A388" s="612"/>
      <c r="B388" s="612"/>
      <c r="C388" s="518"/>
      <c r="D388" s="518"/>
      <c r="E388" s="518"/>
      <c r="F388" s="657"/>
      <c r="G388" s="657"/>
      <c r="H388" s="657"/>
      <c r="I388" s="519"/>
      <c r="J388" s="519"/>
      <c r="K388" s="519"/>
      <c r="L388" s="519"/>
      <c r="M388" s="519"/>
      <c r="N388" s="519"/>
      <c r="O388" s="519"/>
      <c r="P388" s="519"/>
      <c r="Q388" s="519"/>
      <c r="R388" s="519"/>
      <c r="S388" s="519"/>
      <c r="T388" s="519"/>
      <c r="U388" s="519"/>
      <c r="V388" s="519"/>
      <c r="W388" s="519"/>
      <c r="X388" s="519"/>
      <c r="Y388" s="519"/>
      <c r="Z388" s="519"/>
      <c r="AA388" s="519"/>
      <c r="AB388" s="526"/>
      <c r="AC388" s="526"/>
      <c r="AD388" s="658"/>
      <c r="AE388" s="658"/>
      <c r="AF388" s="658"/>
      <c r="AG388" s="526">
        <v>0</v>
      </c>
      <c r="AH388" s="526"/>
      <c r="AI388" s="659" t="e">
        <v>#N/A</v>
      </c>
      <c r="AJ388" s="659"/>
      <c r="AK388" s="659"/>
      <c r="AL388" s="659"/>
      <c r="AM388" s="659"/>
      <c r="AN388" s="659"/>
      <c r="AO388" s="659"/>
      <c r="AP388" s="659"/>
      <c r="AQ388" s="659"/>
      <c r="AR388" s="659"/>
      <c r="AS388" s="659"/>
      <c r="AT388" s="659"/>
      <c r="AU388" s="659"/>
      <c r="AV388" s="659"/>
      <c r="AW388" s="658">
        <v>0</v>
      </c>
      <c r="AX388" s="658"/>
      <c r="AY388" s="658"/>
      <c r="AZ388" s="658"/>
      <c r="BA388" s="658"/>
      <c r="BB388" s="658"/>
      <c r="BC388" s="658">
        <v>0</v>
      </c>
      <c r="BD388" s="658"/>
      <c r="BE388" s="658"/>
      <c r="BF388" s="658">
        <v>182.49</v>
      </c>
      <c r="BG388" s="658"/>
      <c r="BH388" s="658"/>
      <c r="BI388" s="567">
        <v>0</v>
      </c>
      <c r="BJ388" s="567"/>
      <c r="BK388" s="567"/>
      <c r="BL388" s="567"/>
      <c r="BM388" s="660" t="s">
        <v>932</v>
      </c>
      <c r="BN388" s="660"/>
      <c r="BO388" s="660"/>
      <c r="BP388" s="660"/>
      <c r="BQ388" s="568" t="s">
        <v>932</v>
      </c>
      <c r="BR388" s="568"/>
      <c r="BS388" s="568"/>
      <c r="BT388" s="660" t="s">
        <v>932</v>
      </c>
      <c r="BU388" s="660"/>
      <c r="BV388" s="660"/>
      <c r="BW388" s="660"/>
      <c r="BX388" s="568" t="s">
        <v>932</v>
      </c>
      <c r="BY388" s="568"/>
      <c r="BZ388" s="568"/>
      <c r="CA388" s="660" t="s">
        <v>932</v>
      </c>
      <c r="CB388" s="660"/>
      <c r="CC388" s="660"/>
      <c r="CD388" s="660"/>
      <c r="CE388" s="568" t="s">
        <v>932</v>
      </c>
      <c r="CF388" s="568"/>
      <c r="CG388" s="568"/>
      <c r="CH388" s="660" t="s">
        <v>932</v>
      </c>
      <c r="CI388" s="660"/>
      <c r="CJ388" s="660"/>
      <c r="CK388" s="660"/>
      <c r="CL388" s="568">
        <v>1</v>
      </c>
      <c r="CM388" s="568"/>
      <c r="CN388" s="568"/>
    </row>
    <row r="389" hidden="1" customHeight="1" spans="1:92">
      <c r="A389" s="612"/>
      <c r="B389" s="612"/>
      <c r="C389" s="518"/>
      <c r="D389" s="518"/>
      <c r="E389" s="518"/>
      <c r="F389" s="657"/>
      <c r="G389" s="657"/>
      <c r="H389" s="657"/>
      <c r="I389" s="519"/>
      <c r="J389" s="519"/>
      <c r="K389" s="519"/>
      <c r="L389" s="519"/>
      <c r="M389" s="519"/>
      <c r="N389" s="519"/>
      <c r="O389" s="519"/>
      <c r="P389" s="519"/>
      <c r="Q389" s="519"/>
      <c r="R389" s="519"/>
      <c r="S389" s="519"/>
      <c r="T389" s="519"/>
      <c r="U389" s="519"/>
      <c r="V389" s="519"/>
      <c r="W389" s="519"/>
      <c r="X389" s="519"/>
      <c r="Y389" s="519"/>
      <c r="Z389" s="519"/>
      <c r="AA389" s="519"/>
      <c r="AB389" s="526"/>
      <c r="AC389" s="526"/>
      <c r="AD389" s="658"/>
      <c r="AE389" s="658"/>
      <c r="AF389" s="658"/>
      <c r="AG389" s="526">
        <v>0</v>
      </c>
      <c r="AH389" s="526"/>
      <c r="AI389" s="659" t="e">
        <v>#N/A</v>
      </c>
      <c r="AJ389" s="659"/>
      <c r="AK389" s="659"/>
      <c r="AL389" s="659"/>
      <c r="AM389" s="659"/>
      <c r="AN389" s="659"/>
      <c r="AO389" s="659"/>
      <c r="AP389" s="659"/>
      <c r="AQ389" s="659"/>
      <c r="AR389" s="659"/>
      <c r="AS389" s="659"/>
      <c r="AT389" s="659"/>
      <c r="AU389" s="659"/>
      <c r="AV389" s="659"/>
      <c r="AW389" s="658">
        <v>0</v>
      </c>
      <c r="AX389" s="658"/>
      <c r="AY389" s="658"/>
      <c r="AZ389" s="658"/>
      <c r="BA389" s="658"/>
      <c r="BB389" s="658"/>
      <c r="BC389" s="658">
        <v>0</v>
      </c>
      <c r="BD389" s="658"/>
      <c r="BE389" s="658"/>
      <c r="BF389" s="658">
        <v>182.49</v>
      </c>
      <c r="BG389" s="658"/>
      <c r="BH389" s="658"/>
      <c r="BI389" s="567">
        <v>0</v>
      </c>
      <c r="BJ389" s="567"/>
      <c r="BK389" s="567"/>
      <c r="BL389" s="567"/>
      <c r="BM389" s="660" t="s">
        <v>932</v>
      </c>
      <c r="BN389" s="660"/>
      <c r="BO389" s="660"/>
      <c r="BP389" s="660"/>
      <c r="BQ389" s="568" t="s">
        <v>932</v>
      </c>
      <c r="BR389" s="568"/>
      <c r="BS389" s="568"/>
      <c r="BT389" s="660" t="s">
        <v>932</v>
      </c>
      <c r="BU389" s="660"/>
      <c r="BV389" s="660"/>
      <c r="BW389" s="660"/>
      <c r="BX389" s="568" t="s">
        <v>932</v>
      </c>
      <c r="BY389" s="568"/>
      <c r="BZ389" s="568"/>
      <c r="CA389" s="660" t="s">
        <v>932</v>
      </c>
      <c r="CB389" s="660"/>
      <c r="CC389" s="660"/>
      <c r="CD389" s="660"/>
      <c r="CE389" s="568" t="s">
        <v>932</v>
      </c>
      <c r="CF389" s="568"/>
      <c r="CG389" s="568"/>
      <c r="CH389" s="660" t="s">
        <v>932</v>
      </c>
      <c r="CI389" s="660"/>
      <c r="CJ389" s="660"/>
      <c r="CK389" s="660"/>
      <c r="CL389" s="568">
        <v>1</v>
      </c>
      <c r="CM389" s="568"/>
      <c r="CN389" s="568"/>
    </row>
    <row r="390" hidden="1" customHeight="1" spans="1:92">
      <c r="A390" s="612"/>
      <c r="B390" s="612"/>
      <c r="C390" s="518"/>
      <c r="D390" s="518"/>
      <c r="E390" s="518"/>
      <c r="F390" s="657"/>
      <c r="G390" s="657"/>
      <c r="H390" s="657"/>
      <c r="I390" s="519"/>
      <c r="J390" s="519"/>
      <c r="K390" s="519"/>
      <c r="L390" s="519"/>
      <c r="M390" s="519"/>
      <c r="N390" s="519"/>
      <c r="O390" s="519"/>
      <c r="P390" s="519"/>
      <c r="Q390" s="519"/>
      <c r="R390" s="519"/>
      <c r="S390" s="519"/>
      <c r="T390" s="519"/>
      <c r="U390" s="519"/>
      <c r="V390" s="519"/>
      <c r="W390" s="519"/>
      <c r="X390" s="519"/>
      <c r="Y390" s="519"/>
      <c r="Z390" s="519"/>
      <c r="AA390" s="519"/>
      <c r="AB390" s="526"/>
      <c r="AC390" s="526"/>
      <c r="AD390" s="658"/>
      <c r="AE390" s="658"/>
      <c r="AF390" s="658"/>
      <c r="AG390" s="526">
        <v>0</v>
      </c>
      <c r="AH390" s="526"/>
      <c r="AI390" s="659" t="e">
        <v>#N/A</v>
      </c>
      <c r="AJ390" s="659"/>
      <c r="AK390" s="659"/>
      <c r="AL390" s="659"/>
      <c r="AM390" s="659"/>
      <c r="AN390" s="659"/>
      <c r="AO390" s="659"/>
      <c r="AP390" s="659"/>
      <c r="AQ390" s="659"/>
      <c r="AR390" s="659"/>
      <c r="AS390" s="659"/>
      <c r="AT390" s="659"/>
      <c r="AU390" s="659"/>
      <c r="AV390" s="659"/>
      <c r="AW390" s="658">
        <v>0</v>
      </c>
      <c r="AX390" s="658"/>
      <c r="AY390" s="658"/>
      <c r="AZ390" s="658"/>
      <c r="BA390" s="658"/>
      <c r="BB390" s="658"/>
      <c r="BC390" s="658">
        <v>0</v>
      </c>
      <c r="BD390" s="658"/>
      <c r="BE390" s="658"/>
      <c r="BF390" s="658">
        <v>182.49</v>
      </c>
      <c r="BG390" s="658"/>
      <c r="BH390" s="658"/>
      <c r="BI390" s="567">
        <v>0</v>
      </c>
      <c r="BJ390" s="567"/>
      <c r="BK390" s="567"/>
      <c r="BL390" s="567"/>
      <c r="BM390" s="660" t="s">
        <v>932</v>
      </c>
      <c r="BN390" s="660"/>
      <c r="BO390" s="660"/>
      <c r="BP390" s="660"/>
      <c r="BQ390" s="568" t="s">
        <v>932</v>
      </c>
      <c r="BR390" s="568"/>
      <c r="BS390" s="568"/>
      <c r="BT390" s="660" t="s">
        <v>932</v>
      </c>
      <c r="BU390" s="660"/>
      <c r="BV390" s="660"/>
      <c r="BW390" s="660"/>
      <c r="BX390" s="568" t="s">
        <v>932</v>
      </c>
      <c r="BY390" s="568"/>
      <c r="BZ390" s="568"/>
      <c r="CA390" s="660" t="s">
        <v>932</v>
      </c>
      <c r="CB390" s="660"/>
      <c r="CC390" s="660"/>
      <c r="CD390" s="660"/>
      <c r="CE390" s="568" t="s">
        <v>932</v>
      </c>
      <c r="CF390" s="568"/>
      <c r="CG390" s="568"/>
      <c r="CH390" s="660" t="s">
        <v>932</v>
      </c>
      <c r="CI390" s="660"/>
      <c r="CJ390" s="660"/>
      <c r="CK390" s="660"/>
      <c r="CL390" s="568">
        <v>1</v>
      </c>
      <c r="CM390" s="568"/>
      <c r="CN390" s="568"/>
    </row>
    <row r="391" hidden="1" customHeight="1" spans="1:92">
      <c r="A391" s="612"/>
      <c r="B391" s="612"/>
      <c r="C391" s="518"/>
      <c r="D391" s="518"/>
      <c r="E391" s="518"/>
      <c r="F391" s="657"/>
      <c r="G391" s="657"/>
      <c r="H391" s="657"/>
      <c r="I391" s="519"/>
      <c r="J391" s="519"/>
      <c r="K391" s="519"/>
      <c r="L391" s="519"/>
      <c r="M391" s="519"/>
      <c r="N391" s="519"/>
      <c r="O391" s="519"/>
      <c r="P391" s="519"/>
      <c r="Q391" s="519"/>
      <c r="R391" s="519"/>
      <c r="S391" s="519"/>
      <c r="T391" s="519"/>
      <c r="U391" s="519"/>
      <c r="V391" s="519"/>
      <c r="W391" s="519"/>
      <c r="X391" s="519"/>
      <c r="Y391" s="519"/>
      <c r="Z391" s="519"/>
      <c r="AA391" s="519"/>
      <c r="AB391" s="526"/>
      <c r="AC391" s="526"/>
      <c r="AD391" s="658"/>
      <c r="AE391" s="658"/>
      <c r="AF391" s="658"/>
      <c r="AG391" s="526">
        <v>0</v>
      </c>
      <c r="AH391" s="526"/>
      <c r="AI391" s="659" t="e">
        <v>#N/A</v>
      </c>
      <c r="AJ391" s="659"/>
      <c r="AK391" s="659"/>
      <c r="AL391" s="659"/>
      <c r="AM391" s="659"/>
      <c r="AN391" s="659"/>
      <c r="AO391" s="659"/>
      <c r="AP391" s="659"/>
      <c r="AQ391" s="659"/>
      <c r="AR391" s="659"/>
      <c r="AS391" s="659"/>
      <c r="AT391" s="659"/>
      <c r="AU391" s="659"/>
      <c r="AV391" s="659"/>
      <c r="AW391" s="658">
        <v>0</v>
      </c>
      <c r="AX391" s="658"/>
      <c r="AY391" s="658"/>
      <c r="AZ391" s="658"/>
      <c r="BA391" s="658"/>
      <c r="BB391" s="658"/>
      <c r="BC391" s="658">
        <v>0</v>
      </c>
      <c r="BD391" s="658"/>
      <c r="BE391" s="658"/>
      <c r="BF391" s="658">
        <v>182.49</v>
      </c>
      <c r="BG391" s="658"/>
      <c r="BH391" s="658"/>
      <c r="BI391" s="567">
        <v>0</v>
      </c>
      <c r="BJ391" s="567"/>
      <c r="BK391" s="567"/>
      <c r="BL391" s="567"/>
      <c r="BM391" s="660" t="s">
        <v>932</v>
      </c>
      <c r="BN391" s="660"/>
      <c r="BO391" s="660"/>
      <c r="BP391" s="660"/>
      <c r="BQ391" s="568" t="s">
        <v>932</v>
      </c>
      <c r="BR391" s="568"/>
      <c r="BS391" s="568"/>
      <c r="BT391" s="660" t="s">
        <v>932</v>
      </c>
      <c r="BU391" s="660"/>
      <c r="BV391" s="660"/>
      <c r="BW391" s="660"/>
      <c r="BX391" s="568" t="s">
        <v>932</v>
      </c>
      <c r="BY391" s="568"/>
      <c r="BZ391" s="568"/>
      <c r="CA391" s="660" t="s">
        <v>932</v>
      </c>
      <c r="CB391" s="660"/>
      <c r="CC391" s="660"/>
      <c r="CD391" s="660"/>
      <c r="CE391" s="568" t="s">
        <v>932</v>
      </c>
      <c r="CF391" s="568"/>
      <c r="CG391" s="568"/>
      <c r="CH391" s="660" t="s">
        <v>932</v>
      </c>
      <c r="CI391" s="660"/>
      <c r="CJ391" s="660"/>
      <c r="CK391" s="660"/>
      <c r="CL391" s="568">
        <v>1</v>
      </c>
      <c r="CM391" s="568"/>
      <c r="CN391" s="568"/>
    </row>
    <row r="392" customHeight="1" spans="1:92">
      <c r="A392" s="612" t="s">
        <v>989</v>
      </c>
      <c r="B392" s="612"/>
      <c r="C392" s="518"/>
      <c r="D392" s="518"/>
      <c r="E392" s="518"/>
      <c r="F392" s="657">
        <v>1107900</v>
      </c>
      <c r="G392" s="657"/>
      <c r="H392" s="657"/>
      <c r="I392" s="519" t="s">
        <v>108</v>
      </c>
      <c r="J392" s="519"/>
      <c r="K392" s="519"/>
      <c r="L392" s="519"/>
      <c r="M392" s="519"/>
      <c r="N392" s="519"/>
      <c r="O392" s="519"/>
      <c r="P392" s="519"/>
      <c r="Q392" s="519"/>
      <c r="R392" s="519"/>
      <c r="S392" s="519"/>
      <c r="T392" s="519"/>
      <c r="U392" s="519"/>
      <c r="V392" s="519"/>
      <c r="W392" s="519"/>
      <c r="X392" s="519"/>
      <c r="Y392" s="519"/>
      <c r="Z392" s="519"/>
      <c r="AA392" s="519"/>
      <c r="AB392" s="526" t="s">
        <v>99</v>
      </c>
      <c r="AC392" s="526"/>
      <c r="AD392" s="658">
        <v>6.76</v>
      </c>
      <c r="AE392" s="658"/>
      <c r="AF392" s="658"/>
      <c r="AG392" s="526" t="s">
        <v>946</v>
      </c>
      <c r="AH392" s="526"/>
      <c r="AI392" s="659" t="s">
        <v>947</v>
      </c>
      <c r="AJ392" s="659"/>
      <c r="AK392" s="659"/>
      <c r="AL392" s="659"/>
      <c r="AM392" s="659"/>
      <c r="AN392" s="659"/>
      <c r="AO392" s="659"/>
      <c r="AP392" s="659"/>
      <c r="AQ392" s="659"/>
      <c r="AR392" s="659"/>
      <c r="AS392" s="659"/>
      <c r="AT392" s="659"/>
      <c r="AU392" s="659"/>
      <c r="AV392" s="659"/>
      <c r="AW392" s="658">
        <v>1</v>
      </c>
      <c r="AX392" s="658"/>
      <c r="AY392" s="658"/>
      <c r="AZ392" s="658">
        <v>3.853</v>
      </c>
      <c r="BA392" s="658"/>
      <c r="BB392" s="658"/>
      <c r="BC392" s="658">
        <v>1.75447703088502</v>
      </c>
      <c r="BD392" s="658"/>
      <c r="BE392" s="658"/>
      <c r="BF392" s="658">
        <v>182.49</v>
      </c>
      <c r="BG392" s="658"/>
      <c r="BH392" s="658"/>
      <c r="BI392" s="567">
        <v>0.00961409957194928</v>
      </c>
      <c r="BJ392" s="567"/>
      <c r="BK392" s="567"/>
      <c r="BL392" s="567"/>
      <c r="BM392" s="660" t="s">
        <v>932</v>
      </c>
      <c r="BN392" s="660"/>
      <c r="BO392" s="660"/>
      <c r="BP392" s="660"/>
      <c r="BQ392" s="568" t="s">
        <v>932</v>
      </c>
      <c r="BR392" s="568"/>
      <c r="BS392" s="568"/>
      <c r="BT392" s="660" t="s">
        <v>932</v>
      </c>
      <c r="BU392" s="660"/>
      <c r="BV392" s="660"/>
      <c r="BW392" s="660"/>
      <c r="BX392" s="568" t="s">
        <v>932</v>
      </c>
      <c r="BY392" s="568"/>
      <c r="BZ392" s="568"/>
      <c r="CA392" s="660">
        <v>0.00961409957194928</v>
      </c>
      <c r="CB392" s="660"/>
      <c r="CC392" s="660"/>
      <c r="CD392" s="660"/>
      <c r="CE392" s="568">
        <v>1</v>
      </c>
      <c r="CF392" s="568"/>
      <c r="CG392" s="568"/>
      <c r="CH392" s="660" t="s">
        <v>932</v>
      </c>
      <c r="CI392" s="660"/>
      <c r="CJ392" s="660"/>
      <c r="CK392" s="660"/>
      <c r="CL392" s="568" t="s">
        <v>932</v>
      </c>
      <c r="CM392" s="568"/>
      <c r="CN392" s="568"/>
    </row>
    <row r="393" customHeight="1" spans="1:92">
      <c r="A393" s="612"/>
      <c r="B393" s="612"/>
      <c r="C393" s="518"/>
      <c r="D393" s="518"/>
      <c r="E393" s="518"/>
      <c r="F393" s="657"/>
      <c r="G393" s="657"/>
      <c r="H393" s="657"/>
      <c r="I393" s="519"/>
      <c r="J393" s="519"/>
      <c r="K393" s="519"/>
      <c r="L393" s="519"/>
      <c r="M393" s="519"/>
      <c r="N393" s="519"/>
      <c r="O393" s="519"/>
      <c r="P393" s="519"/>
      <c r="Q393" s="519"/>
      <c r="R393" s="519"/>
      <c r="S393" s="519"/>
      <c r="T393" s="519"/>
      <c r="U393" s="519"/>
      <c r="V393" s="519"/>
      <c r="W393" s="519"/>
      <c r="X393" s="519"/>
      <c r="Y393" s="519"/>
      <c r="Z393" s="519"/>
      <c r="AA393" s="519"/>
      <c r="AB393" s="526"/>
      <c r="AC393" s="526"/>
      <c r="AD393" s="658"/>
      <c r="AE393" s="658"/>
      <c r="AF393" s="658"/>
      <c r="AG393" s="526" t="s">
        <v>935</v>
      </c>
      <c r="AH393" s="526"/>
      <c r="AI393" s="659" t="s">
        <v>936</v>
      </c>
      <c r="AJ393" s="659"/>
      <c r="AK393" s="659"/>
      <c r="AL393" s="659"/>
      <c r="AM393" s="659"/>
      <c r="AN393" s="659"/>
      <c r="AO393" s="659"/>
      <c r="AP393" s="659"/>
      <c r="AQ393" s="659"/>
      <c r="AR393" s="659"/>
      <c r="AS393" s="659"/>
      <c r="AT393" s="659"/>
      <c r="AU393" s="659"/>
      <c r="AV393" s="659"/>
      <c r="AW393" s="658">
        <v>9</v>
      </c>
      <c r="AX393" s="658"/>
      <c r="AY393" s="658"/>
      <c r="AZ393" s="658"/>
      <c r="BA393" s="658"/>
      <c r="BB393" s="658"/>
      <c r="BC393" s="658">
        <v>15.7902932779652</v>
      </c>
      <c r="BD393" s="658"/>
      <c r="BE393" s="658"/>
      <c r="BF393" s="658">
        <v>182.49</v>
      </c>
      <c r="BG393" s="658"/>
      <c r="BH393" s="658"/>
      <c r="BI393" s="567">
        <v>0.0865268961475436</v>
      </c>
      <c r="BJ393" s="567"/>
      <c r="BK393" s="567"/>
      <c r="BL393" s="567"/>
      <c r="BM393" s="660" t="s">
        <v>932</v>
      </c>
      <c r="BN393" s="660"/>
      <c r="BO393" s="660"/>
      <c r="BP393" s="660"/>
      <c r="BQ393" s="568" t="s">
        <v>932</v>
      </c>
      <c r="BR393" s="568"/>
      <c r="BS393" s="568"/>
      <c r="BT393" s="660" t="s">
        <v>932</v>
      </c>
      <c r="BU393" s="660"/>
      <c r="BV393" s="660"/>
      <c r="BW393" s="660"/>
      <c r="BX393" s="568" t="s">
        <v>932</v>
      </c>
      <c r="BY393" s="568"/>
      <c r="BZ393" s="568"/>
      <c r="CA393" s="660">
        <v>0.0865268961475436</v>
      </c>
      <c r="CB393" s="660"/>
      <c r="CC393" s="660"/>
      <c r="CD393" s="660"/>
      <c r="CE393" s="568">
        <v>1</v>
      </c>
      <c r="CF393" s="568"/>
      <c r="CG393" s="568"/>
      <c r="CH393" s="660" t="s">
        <v>932</v>
      </c>
      <c r="CI393" s="660"/>
      <c r="CJ393" s="660"/>
      <c r="CK393" s="660"/>
      <c r="CL393" s="568" t="s">
        <v>932</v>
      </c>
      <c r="CM393" s="568"/>
      <c r="CN393" s="568"/>
    </row>
    <row r="394" hidden="1" customHeight="1" spans="1:92">
      <c r="A394" s="612"/>
      <c r="B394" s="612"/>
      <c r="C394" s="518"/>
      <c r="D394" s="518"/>
      <c r="E394" s="518"/>
      <c r="F394" s="657"/>
      <c r="G394" s="657"/>
      <c r="H394" s="657"/>
      <c r="I394" s="519"/>
      <c r="J394" s="519"/>
      <c r="K394" s="519"/>
      <c r="L394" s="519"/>
      <c r="M394" s="519"/>
      <c r="N394" s="519"/>
      <c r="O394" s="519"/>
      <c r="P394" s="519"/>
      <c r="Q394" s="519"/>
      <c r="R394" s="519"/>
      <c r="S394" s="519"/>
      <c r="T394" s="519"/>
      <c r="U394" s="519"/>
      <c r="V394" s="519"/>
      <c r="W394" s="519"/>
      <c r="X394" s="519"/>
      <c r="Y394" s="519"/>
      <c r="Z394" s="519"/>
      <c r="AA394" s="519"/>
      <c r="AB394" s="526"/>
      <c r="AC394" s="526"/>
      <c r="AD394" s="658"/>
      <c r="AE394" s="658"/>
      <c r="AF394" s="658"/>
      <c r="AG394" s="526">
        <v>0</v>
      </c>
      <c r="AH394" s="526"/>
      <c r="AI394" s="659" t="e">
        <v>#N/A</v>
      </c>
      <c r="AJ394" s="659"/>
      <c r="AK394" s="659"/>
      <c r="AL394" s="659"/>
      <c r="AM394" s="659"/>
      <c r="AN394" s="659"/>
      <c r="AO394" s="659"/>
      <c r="AP394" s="659"/>
      <c r="AQ394" s="659"/>
      <c r="AR394" s="659"/>
      <c r="AS394" s="659"/>
      <c r="AT394" s="659"/>
      <c r="AU394" s="659"/>
      <c r="AV394" s="659"/>
      <c r="AW394" s="658">
        <v>0</v>
      </c>
      <c r="AX394" s="658"/>
      <c r="AY394" s="658"/>
      <c r="AZ394" s="658"/>
      <c r="BA394" s="658"/>
      <c r="BB394" s="658"/>
      <c r="BC394" s="658">
        <v>0</v>
      </c>
      <c r="BD394" s="658"/>
      <c r="BE394" s="658"/>
      <c r="BF394" s="658">
        <v>182.49</v>
      </c>
      <c r="BG394" s="658"/>
      <c r="BH394" s="658"/>
      <c r="BI394" s="567">
        <v>0</v>
      </c>
      <c r="BJ394" s="567"/>
      <c r="BK394" s="567"/>
      <c r="BL394" s="567"/>
      <c r="BM394" s="660" t="s">
        <v>932</v>
      </c>
      <c r="BN394" s="660"/>
      <c r="BO394" s="660"/>
      <c r="BP394" s="660"/>
      <c r="BQ394" s="568" t="s">
        <v>932</v>
      </c>
      <c r="BR394" s="568"/>
      <c r="BS394" s="568"/>
      <c r="BT394" s="660" t="s">
        <v>932</v>
      </c>
      <c r="BU394" s="660"/>
      <c r="BV394" s="660"/>
      <c r="BW394" s="660"/>
      <c r="BX394" s="568" t="s">
        <v>932</v>
      </c>
      <c r="BY394" s="568"/>
      <c r="BZ394" s="568"/>
      <c r="CA394" s="660" t="s">
        <v>932</v>
      </c>
      <c r="CB394" s="660"/>
      <c r="CC394" s="660"/>
      <c r="CD394" s="660"/>
      <c r="CE394" s="568">
        <v>1</v>
      </c>
      <c r="CF394" s="568"/>
      <c r="CG394" s="568"/>
      <c r="CH394" s="660" t="s">
        <v>932</v>
      </c>
      <c r="CI394" s="660"/>
      <c r="CJ394" s="660"/>
      <c r="CK394" s="660"/>
      <c r="CL394" s="568" t="s">
        <v>932</v>
      </c>
      <c r="CM394" s="568"/>
      <c r="CN394" s="568"/>
    </row>
    <row r="395" hidden="1" customHeight="1" spans="1:92">
      <c r="A395" s="612"/>
      <c r="B395" s="612"/>
      <c r="C395" s="518"/>
      <c r="D395" s="518"/>
      <c r="E395" s="518"/>
      <c r="F395" s="657"/>
      <c r="G395" s="657"/>
      <c r="H395" s="657"/>
      <c r="I395" s="519"/>
      <c r="J395" s="519"/>
      <c r="K395" s="519"/>
      <c r="L395" s="519"/>
      <c r="M395" s="519"/>
      <c r="N395" s="519"/>
      <c r="O395" s="519"/>
      <c r="P395" s="519"/>
      <c r="Q395" s="519"/>
      <c r="R395" s="519"/>
      <c r="S395" s="519"/>
      <c r="T395" s="519"/>
      <c r="U395" s="519"/>
      <c r="V395" s="519"/>
      <c r="W395" s="519"/>
      <c r="X395" s="519"/>
      <c r="Y395" s="519"/>
      <c r="Z395" s="519"/>
      <c r="AA395" s="519"/>
      <c r="AB395" s="526"/>
      <c r="AC395" s="526"/>
      <c r="AD395" s="658"/>
      <c r="AE395" s="658"/>
      <c r="AF395" s="658"/>
      <c r="AG395" s="526">
        <v>0</v>
      </c>
      <c r="AH395" s="526"/>
      <c r="AI395" s="659" t="e">
        <v>#N/A</v>
      </c>
      <c r="AJ395" s="659"/>
      <c r="AK395" s="659"/>
      <c r="AL395" s="659"/>
      <c r="AM395" s="659"/>
      <c r="AN395" s="659"/>
      <c r="AO395" s="659"/>
      <c r="AP395" s="659"/>
      <c r="AQ395" s="659"/>
      <c r="AR395" s="659"/>
      <c r="AS395" s="659"/>
      <c r="AT395" s="659"/>
      <c r="AU395" s="659"/>
      <c r="AV395" s="659"/>
      <c r="AW395" s="658">
        <v>0</v>
      </c>
      <c r="AX395" s="658"/>
      <c r="AY395" s="658"/>
      <c r="AZ395" s="658"/>
      <c r="BA395" s="658"/>
      <c r="BB395" s="658"/>
      <c r="BC395" s="658">
        <v>0</v>
      </c>
      <c r="BD395" s="658"/>
      <c r="BE395" s="658"/>
      <c r="BF395" s="658">
        <v>182.49</v>
      </c>
      <c r="BG395" s="658"/>
      <c r="BH395" s="658"/>
      <c r="BI395" s="567">
        <v>0</v>
      </c>
      <c r="BJ395" s="567"/>
      <c r="BK395" s="567"/>
      <c r="BL395" s="567"/>
      <c r="BM395" s="660" t="s">
        <v>932</v>
      </c>
      <c r="BN395" s="660"/>
      <c r="BO395" s="660"/>
      <c r="BP395" s="660"/>
      <c r="BQ395" s="568" t="s">
        <v>932</v>
      </c>
      <c r="BR395" s="568"/>
      <c r="BS395" s="568"/>
      <c r="BT395" s="660" t="s">
        <v>932</v>
      </c>
      <c r="BU395" s="660"/>
      <c r="BV395" s="660"/>
      <c r="BW395" s="660"/>
      <c r="BX395" s="568" t="s">
        <v>932</v>
      </c>
      <c r="BY395" s="568"/>
      <c r="BZ395" s="568"/>
      <c r="CA395" s="660" t="s">
        <v>932</v>
      </c>
      <c r="CB395" s="660"/>
      <c r="CC395" s="660"/>
      <c r="CD395" s="660"/>
      <c r="CE395" s="568">
        <v>1</v>
      </c>
      <c r="CF395" s="568"/>
      <c r="CG395" s="568"/>
      <c r="CH395" s="660" t="s">
        <v>932</v>
      </c>
      <c r="CI395" s="660"/>
      <c r="CJ395" s="660"/>
      <c r="CK395" s="660"/>
      <c r="CL395" s="568" t="s">
        <v>932</v>
      </c>
      <c r="CM395" s="568"/>
      <c r="CN395" s="568"/>
    </row>
    <row r="396" hidden="1" customHeight="1" spans="1:92">
      <c r="A396" s="612"/>
      <c r="B396" s="612"/>
      <c r="C396" s="518"/>
      <c r="D396" s="518"/>
      <c r="E396" s="518"/>
      <c r="F396" s="657"/>
      <c r="G396" s="657"/>
      <c r="H396" s="657"/>
      <c r="I396" s="519"/>
      <c r="J396" s="519"/>
      <c r="K396" s="519"/>
      <c r="L396" s="519"/>
      <c r="M396" s="519"/>
      <c r="N396" s="519"/>
      <c r="O396" s="519"/>
      <c r="P396" s="519"/>
      <c r="Q396" s="519"/>
      <c r="R396" s="519"/>
      <c r="S396" s="519"/>
      <c r="T396" s="519"/>
      <c r="U396" s="519"/>
      <c r="V396" s="519"/>
      <c r="W396" s="519"/>
      <c r="X396" s="519"/>
      <c r="Y396" s="519"/>
      <c r="Z396" s="519"/>
      <c r="AA396" s="519"/>
      <c r="AB396" s="526"/>
      <c r="AC396" s="526"/>
      <c r="AD396" s="658"/>
      <c r="AE396" s="658"/>
      <c r="AF396" s="658"/>
      <c r="AG396" s="526">
        <v>0</v>
      </c>
      <c r="AH396" s="526"/>
      <c r="AI396" s="659" t="e">
        <v>#N/A</v>
      </c>
      <c r="AJ396" s="659"/>
      <c r="AK396" s="659"/>
      <c r="AL396" s="659"/>
      <c r="AM396" s="659"/>
      <c r="AN396" s="659"/>
      <c r="AO396" s="659"/>
      <c r="AP396" s="659"/>
      <c r="AQ396" s="659"/>
      <c r="AR396" s="659"/>
      <c r="AS396" s="659"/>
      <c r="AT396" s="659"/>
      <c r="AU396" s="659"/>
      <c r="AV396" s="659"/>
      <c r="AW396" s="658">
        <v>0</v>
      </c>
      <c r="AX396" s="658"/>
      <c r="AY396" s="658"/>
      <c r="AZ396" s="658"/>
      <c r="BA396" s="658"/>
      <c r="BB396" s="658"/>
      <c r="BC396" s="658">
        <v>0</v>
      </c>
      <c r="BD396" s="658"/>
      <c r="BE396" s="658"/>
      <c r="BF396" s="658">
        <v>182.49</v>
      </c>
      <c r="BG396" s="658"/>
      <c r="BH396" s="658"/>
      <c r="BI396" s="567">
        <v>0</v>
      </c>
      <c r="BJ396" s="567"/>
      <c r="BK396" s="567"/>
      <c r="BL396" s="567"/>
      <c r="BM396" s="660" t="s">
        <v>932</v>
      </c>
      <c r="BN396" s="660"/>
      <c r="BO396" s="660"/>
      <c r="BP396" s="660"/>
      <c r="BQ396" s="568" t="s">
        <v>932</v>
      </c>
      <c r="BR396" s="568"/>
      <c r="BS396" s="568"/>
      <c r="BT396" s="660" t="s">
        <v>932</v>
      </c>
      <c r="BU396" s="660"/>
      <c r="BV396" s="660"/>
      <c r="BW396" s="660"/>
      <c r="BX396" s="568" t="s">
        <v>932</v>
      </c>
      <c r="BY396" s="568"/>
      <c r="BZ396" s="568"/>
      <c r="CA396" s="660" t="s">
        <v>932</v>
      </c>
      <c r="CB396" s="660"/>
      <c r="CC396" s="660"/>
      <c r="CD396" s="660"/>
      <c r="CE396" s="568">
        <v>1</v>
      </c>
      <c r="CF396" s="568"/>
      <c r="CG396" s="568"/>
      <c r="CH396" s="660" t="s">
        <v>932</v>
      </c>
      <c r="CI396" s="660"/>
      <c r="CJ396" s="660"/>
      <c r="CK396" s="660"/>
      <c r="CL396" s="568" t="s">
        <v>932</v>
      </c>
      <c r="CM396" s="568"/>
      <c r="CN396" s="568"/>
    </row>
    <row r="397" hidden="1" customHeight="1" spans="1:92">
      <c r="A397" s="612"/>
      <c r="B397" s="612"/>
      <c r="C397" s="518"/>
      <c r="D397" s="518"/>
      <c r="E397" s="518"/>
      <c r="F397" s="657"/>
      <c r="G397" s="657"/>
      <c r="H397" s="657"/>
      <c r="I397" s="519"/>
      <c r="J397" s="519"/>
      <c r="K397" s="519"/>
      <c r="L397" s="519"/>
      <c r="M397" s="519"/>
      <c r="N397" s="519"/>
      <c r="O397" s="519"/>
      <c r="P397" s="519"/>
      <c r="Q397" s="519"/>
      <c r="R397" s="519"/>
      <c r="S397" s="519"/>
      <c r="T397" s="519"/>
      <c r="U397" s="519"/>
      <c r="V397" s="519"/>
      <c r="W397" s="519"/>
      <c r="X397" s="519"/>
      <c r="Y397" s="519"/>
      <c r="Z397" s="519"/>
      <c r="AA397" s="519"/>
      <c r="AB397" s="526"/>
      <c r="AC397" s="526"/>
      <c r="AD397" s="658"/>
      <c r="AE397" s="658"/>
      <c r="AF397" s="658"/>
      <c r="AG397" s="526">
        <v>0</v>
      </c>
      <c r="AH397" s="526"/>
      <c r="AI397" s="659" t="e">
        <v>#N/A</v>
      </c>
      <c r="AJ397" s="659"/>
      <c r="AK397" s="659"/>
      <c r="AL397" s="659"/>
      <c r="AM397" s="659"/>
      <c r="AN397" s="659"/>
      <c r="AO397" s="659"/>
      <c r="AP397" s="659"/>
      <c r="AQ397" s="659"/>
      <c r="AR397" s="659"/>
      <c r="AS397" s="659"/>
      <c r="AT397" s="659"/>
      <c r="AU397" s="659"/>
      <c r="AV397" s="659"/>
      <c r="AW397" s="658">
        <v>0</v>
      </c>
      <c r="AX397" s="658"/>
      <c r="AY397" s="658"/>
      <c r="AZ397" s="658"/>
      <c r="BA397" s="658"/>
      <c r="BB397" s="658"/>
      <c r="BC397" s="658">
        <v>0</v>
      </c>
      <c r="BD397" s="658"/>
      <c r="BE397" s="658"/>
      <c r="BF397" s="658">
        <v>182.49</v>
      </c>
      <c r="BG397" s="658"/>
      <c r="BH397" s="658"/>
      <c r="BI397" s="567">
        <v>0</v>
      </c>
      <c r="BJ397" s="567"/>
      <c r="BK397" s="567"/>
      <c r="BL397" s="567"/>
      <c r="BM397" s="660" t="s">
        <v>932</v>
      </c>
      <c r="BN397" s="660"/>
      <c r="BO397" s="660"/>
      <c r="BP397" s="660"/>
      <c r="BQ397" s="568" t="s">
        <v>932</v>
      </c>
      <c r="BR397" s="568"/>
      <c r="BS397" s="568"/>
      <c r="BT397" s="660" t="s">
        <v>932</v>
      </c>
      <c r="BU397" s="660"/>
      <c r="BV397" s="660"/>
      <c r="BW397" s="660"/>
      <c r="BX397" s="568" t="s">
        <v>932</v>
      </c>
      <c r="BY397" s="568"/>
      <c r="BZ397" s="568"/>
      <c r="CA397" s="660" t="s">
        <v>932</v>
      </c>
      <c r="CB397" s="660"/>
      <c r="CC397" s="660"/>
      <c r="CD397" s="660"/>
      <c r="CE397" s="568">
        <v>1</v>
      </c>
      <c r="CF397" s="568"/>
      <c r="CG397" s="568"/>
      <c r="CH397" s="660" t="s">
        <v>932</v>
      </c>
      <c r="CI397" s="660"/>
      <c r="CJ397" s="660"/>
      <c r="CK397" s="660"/>
      <c r="CL397" s="568" t="s">
        <v>932</v>
      </c>
      <c r="CM397" s="568"/>
      <c r="CN397" s="568"/>
    </row>
    <row r="398" hidden="1" customHeight="1" spans="1:92">
      <c r="A398" s="612"/>
      <c r="B398" s="612"/>
      <c r="C398" s="518"/>
      <c r="D398" s="518"/>
      <c r="E398" s="518"/>
      <c r="F398" s="657"/>
      <c r="G398" s="657"/>
      <c r="H398" s="657"/>
      <c r="I398" s="519"/>
      <c r="J398" s="519"/>
      <c r="K398" s="519"/>
      <c r="L398" s="519"/>
      <c r="M398" s="519"/>
      <c r="N398" s="519"/>
      <c r="O398" s="519"/>
      <c r="P398" s="519"/>
      <c r="Q398" s="519"/>
      <c r="R398" s="519"/>
      <c r="S398" s="519"/>
      <c r="T398" s="519"/>
      <c r="U398" s="519"/>
      <c r="V398" s="519"/>
      <c r="W398" s="519"/>
      <c r="X398" s="519"/>
      <c r="Y398" s="519"/>
      <c r="Z398" s="519"/>
      <c r="AA398" s="519"/>
      <c r="AB398" s="526"/>
      <c r="AC398" s="526"/>
      <c r="AD398" s="658"/>
      <c r="AE398" s="658"/>
      <c r="AF398" s="658"/>
      <c r="AG398" s="526">
        <v>0</v>
      </c>
      <c r="AH398" s="526"/>
      <c r="AI398" s="659" t="e">
        <v>#N/A</v>
      </c>
      <c r="AJ398" s="659"/>
      <c r="AK398" s="659"/>
      <c r="AL398" s="659"/>
      <c r="AM398" s="659"/>
      <c r="AN398" s="659"/>
      <c r="AO398" s="659"/>
      <c r="AP398" s="659"/>
      <c r="AQ398" s="659"/>
      <c r="AR398" s="659"/>
      <c r="AS398" s="659"/>
      <c r="AT398" s="659"/>
      <c r="AU398" s="659"/>
      <c r="AV398" s="659"/>
      <c r="AW398" s="658">
        <v>0</v>
      </c>
      <c r="AX398" s="658"/>
      <c r="AY398" s="658"/>
      <c r="AZ398" s="658"/>
      <c r="BA398" s="658"/>
      <c r="BB398" s="658"/>
      <c r="BC398" s="658">
        <v>0</v>
      </c>
      <c r="BD398" s="658"/>
      <c r="BE398" s="658"/>
      <c r="BF398" s="658">
        <v>182.49</v>
      </c>
      <c r="BG398" s="658"/>
      <c r="BH398" s="658"/>
      <c r="BI398" s="567">
        <v>0</v>
      </c>
      <c r="BJ398" s="567"/>
      <c r="BK398" s="567"/>
      <c r="BL398" s="567"/>
      <c r="BM398" s="660" t="s">
        <v>932</v>
      </c>
      <c r="BN398" s="660"/>
      <c r="BO398" s="660"/>
      <c r="BP398" s="660"/>
      <c r="BQ398" s="568" t="s">
        <v>932</v>
      </c>
      <c r="BR398" s="568"/>
      <c r="BS398" s="568"/>
      <c r="BT398" s="660" t="s">
        <v>932</v>
      </c>
      <c r="BU398" s="660"/>
      <c r="BV398" s="660"/>
      <c r="BW398" s="660"/>
      <c r="BX398" s="568" t="s">
        <v>932</v>
      </c>
      <c r="BY398" s="568"/>
      <c r="BZ398" s="568"/>
      <c r="CA398" s="660" t="s">
        <v>932</v>
      </c>
      <c r="CB398" s="660"/>
      <c r="CC398" s="660"/>
      <c r="CD398" s="660"/>
      <c r="CE398" s="568">
        <v>1</v>
      </c>
      <c r="CF398" s="568"/>
      <c r="CG398" s="568"/>
      <c r="CH398" s="660" t="s">
        <v>932</v>
      </c>
      <c r="CI398" s="660"/>
      <c r="CJ398" s="660"/>
      <c r="CK398" s="660"/>
      <c r="CL398" s="568" t="s">
        <v>932</v>
      </c>
      <c r="CM398" s="568"/>
      <c r="CN398" s="568"/>
    </row>
    <row r="399" hidden="1" customHeight="1" spans="1:92">
      <c r="A399" s="612"/>
      <c r="B399" s="612"/>
      <c r="C399" s="518"/>
      <c r="D399" s="518"/>
      <c r="E399" s="518"/>
      <c r="F399" s="657"/>
      <c r="G399" s="657"/>
      <c r="H399" s="657"/>
      <c r="I399" s="519"/>
      <c r="J399" s="519"/>
      <c r="K399" s="519"/>
      <c r="L399" s="519"/>
      <c r="M399" s="519"/>
      <c r="N399" s="519"/>
      <c r="O399" s="519"/>
      <c r="P399" s="519"/>
      <c r="Q399" s="519"/>
      <c r="R399" s="519"/>
      <c r="S399" s="519"/>
      <c r="T399" s="519"/>
      <c r="U399" s="519"/>
      <c r="V399" s="519"/>
      <c r="W399" s="519"/>
      <c r="X399" s="519"/>
      <c r="Y399" s="519"/>
      <c r="Z399" s="519"/>
      <c r="AA399" s="519"/>
      <c r="AB399" s="526"/>
      <c r="AC399" s="526"/>
      <c r="AD399" s="658"/>
      <c r="AE399" s="658"/>
      <c r="AF399" s="658"/>
      <c r="AG399" s="526">
        <v>0</v>
      </c>
      <c r="AH399" s="526"/>
      <c r="AI399" s="659" t="e">
        <v>#N/A</v>
      </c>
      <c r="AJ399" s="659"/>
      <c r="AK399" s="659"/>
      <c r="AL399" s="659"/>
      <c r="AM399" s="659"/>
      <c r="AN399" s="659"/>
      <c r="AO399" s="659"/>
      <c r="AP399" s="659"/>
      <c r="AQ399" s="659"/>
      <c r="AR399" s="659"/>
      <c r="AS399" s="659"/>
      <c r="AT399" s="659"/>
      <c r="AU399" s="659"/>
      <c r="AV399" s="659"/>
      <c r="AW399" s="658">
        <v>0</v>
      </c>
      <c r="AX399" s="658"/>
      <c r="AY399" s="658"/>
      <c r="AZ399" s="658"/>
      <c r="BA399" s="658"/>
      <c r="BB399" s="658"/>
      <c r="BC399" s="658">
        <v>0</v>
      </c>
      <c r="BD399" s="658"/>
      <c r="BE399" s="658"/>
      <c r="BF399" s="658">
        <v>182.49</v>
      </c>
      <c r="BG399" s="658"/>
      <c r="BH399" s="658"/>
      <c r="BI399" s="567">
        <v>0</v>
      </c>
      <c r="BJ399" s="567"/>
      <c r="BK399" s="567"/>
      <c r="BL399" s="567"/>
      <c r="BM399" s="660" t="s">
        <v>932</v>
      </c>
      <c r="BN399" s="660"/>
      <c r="BO399" s="660"/>
      <c r="BP399" s="660"/>
      <c r="BQ399" s="568" t="s">
        <v>932</v>
      </c>
      <c r="BR399" s="568"/>
      <c r="BS399" s="568"/>
      <c r="BT399" s="660" t="s">
        <v>932</v>
      </c>
      <c r="BU399" s="660"/>
      <c r="BV399" s="660"/>
      <c r="BW399" s="660"/>
      <c r="BX399" s="568" t="s">
        <v>932</v>
      </c>
      <c r="BY399" s="568"/>
      <c r="BZ399" s="568"/>
      <c r="CA399" s="660" t="s">
        <v>932</v>
      </c>
      <c r="CB399" s="660"/>
      <c r="CC399" s="660"/>
      <c r="CD399" s="660"/>
      <c r="CE399" s="568">
        <v>1</v>
      </c>
      <c r="CF399" s="568"/>
      <c r="CG399" s="568"/>
      <c r="CH399" s="660" t="s">
        <v>932</v>
      </c>
      <c r="CI399" s="660"/>
      <c r="CJ399" s="660"/>
      <c r="CK399" s="660"/>
      <c r="CL399" s="568" t="s">
        <v>932</v>
      </c>
      <c r="CM399" s="568"/>
      <c r="CN399" s="568"/>
    </row>
    <row r="400" customHeight="1" spans="1:92">
      <c r="A400" s="612" t="s">
        <v>990</v>
      </c>
      <c r="B400" s="612"/>
      <c r="C400" s="518"/>
      <c r="D400" s="518"/>
      <c r="E400" s="518"/>
      <c r="F400" s="657">
        <v>3108000</v>
      </c>
      <c r="G400" s="657"/>
      <c r="H400" s="657"/>
      <c r="I400" s="519" t="s">
        <v>110</v>
      </c>
      <c r="J400" s="519"/>
      <c r="K400" s="519"/>
      <c r="L400" s="519"/>
      <c r="M400" s="519"/>
      <c r="N400" s="519"/>
      <c r="O400" s="519"/>
      <c r="P400" s="519"/>
      <c r="Q400" s="519"/>
      <c r="R400" s="519"/>
      <c r="S400" s="519"/>
      <c r="T400" s="519"/>
      <c r="U400" s="519"/>
      <c r="V400" s="519"/>
      <c r="W400" s="519"/>
      <c r="X400" s="519"/>
      <c r="Y400" s="519"/>
      <c r="Z400" s="519"/>
      <c r="AA400" s="519"/>
      <c r="AB400" s="526" t="s">
        <v>7</v>
      </c>
      <c r="AC400" s="526"/>
      <c r="AD400" s="658">
        <v>34.23</v>
      </c>
      <c r="AE400" s="658"/>
      <c r="AF400" s="658"/>
      <c r="AG400" s="526" t="s">
        <v>937</v>
      </c>
      <c r="AH400" s="526"/>
      <c r="AI400" s="659" t="s">
        <v>938</v>
      </c>
      <c r="AJ400" s="659"/>
      <c r="AK400" s="659"/>
      <c r="AL400" s="659"/>
      <c r="AM400" s="659"/>
      <c r="AN400" s="659"/>
      <c r="AO400" s="659"/>
      <c r="AP400" s="659"/>
      <c r="AQ400" s="659"/>
      <c r="AR400" s="659"/>
      <c r="AS400" s="659"/>
      <c r="AT400" s="659"/>
      <c r="AU400" s="659"/>
      <c r="AV400" s="659"/>
      <c r="AW400" s="658">
        <v>0.65</v>
      </c>
      <c r="AX400" s="658"/>
      <c r="AY400" s="658"/>
      <c r="AZ400" s="658">
        <v>1</v>
      </c>
      <c r="BA400" s="658"/>
      <c r="BB400" s="658"/>
      <c r="BC400" s="658">
        <v>22.2495</v>
      </c>
      <c r="BD400" s="658"/>
      <c r="BE400" s="658"/>
      <c r="BF400" s="658">
        <v>182.49</v>
      </c>
      <c r="BG400" s="658"/>
      <c r="BH400" s="658"/>
      <c r="BI400" s="567">
        <v>0.121921749136939</v>
      </c>
      <c r="BJ400" s="567"/>
      <c r="BK400" s="567"/>
      <c r="BL400" s="567"/>
      <c r="BM400" s="660" t="s">
        <v>932</v>
      </c>
      <c r="BN400" s="660"/>
      <c r="BO400" s="660"/>
      <c r="BP400" s="660"/>
      <c r="BQ400" s="568" t="s">
        <v>932</v>
      </c>
      <c r="BR400" s="568"/>
      <c r="BS400" s="568"/>
      <c r="BT400" s="660" t="s">
        <v>932</v>
      </c>
      <c r="BU400" s="660"/>
      <c r="BV400" s="660"/>
      <c r="BW400" s="660"/>
      <c r="BX400" s="568" t="s">
        <v>932</v>
      </c>
      <c r="BY400" s="568"/>
      <c r="BZ400" s="568"/>
      <c r="CA400" s="660">
        <v>0.121921749136939</v>
      </c>
      <c r="CB400" s="660"/>
      <c r="CC400" s="660"/>
      <c r="CD400" s="660"/>
      <c r="CE400" s="568">
        <v>1</v>
      </c>
      <c r="CF400" s="568"/>
      <c r="CG400" s="568"/>
      <c r="CH400" s="660" t="s">
        <v>932</v>
      </c>
      <c r="CI400" s="660"/>
      <c r="CJ400" s="660"/>
      <c r="CK400" s="660"/>
      <c r="CL400" s="568" t="s">
        <v>932</v>
      </c>
      <c r="CM400" s="568"/>
      <c r="CN400" s="568"/>
    </row>
    <row r="401" customHeight="1" spans="1:92">
      <c r="A401" s="612"/>
      <c r="B401" s="612"/>
      <c r="C401" s="518"/>
      <c r="D401" s="518"/>
      <c r="E401" s="518"/>
      <c r="F401" s="657"/>
      <c r="G401" s="657"/>
      <c r="H401" s="657"/>
      <c r="I401" s="519"/>
      <c r="J401" s="519"/>
      <c r="K401" s="519"/>
      <c r="L401" s="519"/>
      <c r="M401" s="519"/>
      <c r="N401" s="519"/>
      <c r="O401" s="519"/>
      <c r="P401" s="519"/>
      <c r="Q401" s="519"/>
      <c r="R401" s="519"/>
      <c r="S401" s="519"/>
      <c r="T401" s="519"/>
      <c r="U401" s="519"/>
      <c r="V401" s="519"/>
      <c r="W401" s="519"/>
      <c r="X401" s="519"/>
      <c r="Y401" s="519"/>
      <c r="Z401" s="519"/>
      <c r="AA401" s="519"/>
      <c r="AB401" s="526"/>
      <c r="AC401" s="526"/>
      <c r="AD401" s="658"/>
      <c r="AE401" s="658"/>
      <c r="AF401" s="658"/>
      <c r="AG401" s="526" t="s">
        <v>950</v>
      </c>
      <c r="AH401" s="526"/>
      <c r="AI401" s="659" t="s">
        <v>951</v>
      </c>
      <c r="AJ401" s="659"/>
      <c r="AK401" s="659"/>
      <c r="AL401" s="659"/>
      <c r="AM401" s="659"/>
      <c r="AN401" s="659"/>
      <c r="AO401" s="659"/>
      <c r="AP401" s="659"/>
      <c r="AQ401" s="659"/>
      <c r="AR401" s="659"/>
      <c r="AS401" s="659"/>
      <c r="AT401" s="659"/>
      <c r="AU401" s="659"/>
      <c r="AV401" s="659"/>
      <c r="AW401" s="658">
        <v>0.65</v>
      </c>
      <c r="AX401" s="658"/>
      <c r="AY401" s="658"/>
      <c r="AZ401" s="658"/>
      <c r="BA401" s="658"/>
      <c r="BB401" s="658"/>
      <c r="BC401" s="658">
        <v>22.2495</v>
      </c>
      <c r="BD401" s="658"/>
      <c r="BE401" s="658"/>
      <c r="BF401" s="658">
        <v>182.49</v>
      </c>
      <c r="BG401" s="658"/>
      <c r="BH401" s="658"/>
      <c r="BI401" s="567">
        <v>0.121921749136939</v>
      </c>
      <c r="BJ401" s="567"/>
      <c r="BK401" s="567"/>
      <c r="BL401" s="567"/>
      <c r="BM401" s="660" t="s">
        <v>932</v>
      </c>
      <c r="BN401" s="660"/>
      <c r="BO401" s="660"/>
      <c r="BP401" s="660"/>
      <c r="BQ401" s="568" t="s">
        <v>932</v>
      </c>
      <c r="BR401" s="568"/>
      <c r="BS401" s="568"/>
      <c r="BT401" s="660" t="s">
        <v>932</v>
      </c>
      <c r="BU401" s="660"/>
      <c r="BV401" s="660"/>
      <c r="BW401" s="660"/>
      <c r="BX401" s="568" t="s">
        <v>932</v>
      </c>
      <c r="BY401" s="568"/>
      <c r="BZ401" s="568"/>
      <c r="CA401" s="660">
        <v>0.121921749136939</v>
      </c>
      <c r="CB401" s="660"/>
      <c r="CC401" s="660"/>
      <c r="CD401" s="660"/>
      <c r="CE401" s="568">
        <v>1</v>
      </c>
      <c r="CF401" s="568"/>
      <c r="CG401" s="568"/>
      <c r="CH401" s="660" t="s">
        <v>932</v>
      </c>
      <c r="CI401" s="660"/>
      <c r="CJ401" s="660"/>
      <c r="CK401" s="660"/>
      <c r="CL401" s="568" t="s">
        <v>932</v>
      </c>
      <c r="CM401" s="568"/>
      <c r="CN401" s="568"/>
    </row>
    <row r="402" hidden="1" customHeight="1" spans="1:92">
      <c r="A402" s="612"/>
      <c r="B402" s="612"/>
      <c r="C402" s="518"/>
      <c r="D402" s="518"/>
      <c r="E402" s="518"/>
      <c r="F402" s="657"/>
      <c r="G402" s="657"/>
      <c r="H402" s="657"/>
      <c r="I402" s="519"/>
      <c r="J402" s="519"/>
      <c r="K402" s="519"/>
      <c r="L402" s="519"/>
      <c r="M402" s="519"/>
      <c r="N402" s="519"/>
      <c r="O402" s="519"/>
      <c r="P402" s="519"/>
      <c r="Q402" s="519"/>
      <c r="R402" s="519"/>
      <c r="S402" s="519"/>
      <c r="T402" s="519"/>
      <c r="U402" s="519"/>
      <c r="V402" s="519"/>
      <c r="W402" s="519"/>
      <c r="X402" s="519"/>
      <c r="Y402" s="519"/>
      <c r="Z402" s="519"/>
      <c r="AA402" s="519"/>
      <c r="AB402" s="526"/>
      <c r="AC402" s="526"/>
      <c r="AD402" s="658"/>
      <c r="AE402" s="658"/>
      <c r="AF402" s="658"/>
      <c r="AG402" s="526">
        <v>0</v>
      </c>
      <c r="AH402" s="526"/>
      <c r="AI402" s="659" t="e">
        <v>#N/A</v>
      </c>
      <c r="AJ402" s="659"/>
      <c r="AK402" s="659"/>
      <c r="AL402" s="659"/>
      <c r="AM402" s="659"/>
      <c r="AN402" s="659"/>
      <c r="AO402" s="659"/>
      <c r="AP402" s="659"/>
      <c r="AQ402" s="659"/>
      <c r="AR402" s="659"/>
      <c r="AS402" s="659"/>
      <c r="AT402" s="659"/>
      <c r="AU402" s="659"/>
      <c r="AV402" s="659"/>
      <c r="AW402" s="658">
        <v>0</v>
      </c>
      <c r="AX402" s="658"/>
      <c r="AY402" s="658"/>
      <c r="AZ402" s="658"/>
      <c r="BA402" s="658"/>
      <c r="BB402" s="658"/>
      <c r="BC402" s="658">
        <v>0</v>
      </c>
      <c r="BD402" s="658"/>
      <c r="BE402" s="658"/>
      <c r="BF402" s="658">
        <v>182.49</v>
      </c>
      <c r="BG402" s="658"/>
      <c r="BH402" s="658"/>
      <c r="BI402" s="567">
        <v>0</v>
      </c>
      <c r="BJ402" s="567"/>
      <c r="BK402" s="567"/>
      <c r="BL402" s="567"/>
      <c r="BM402" s="660" t="s">
        <v>932</v>
      </c>
      <c r="BN402" s="660"/>
      <c r="BO402" s="660"/>
      <c r="BP402" s="660"/>
      <c r="BQ402" s="568" t="s">
        <v>932</v>
      </c>
      <c r="BR402" s="568"/>
      <c r="BS402" s="568"/>
      <c r="BT402" s="660" t="s">
        <v>932</v>
      </c>
      <c r="BU402" s="660"/>
      <c r="BV402" s="660"/>
      <c r="BW402" s="660"/>
      <c r="BX402" s="568" t="s">
        <v>932</v>
      </c>
      <c r="BY402" s="568"/>
      <c r="BZ402" s="568"/>
      <c r="CA402" s="660" t="s">
        <v>932</v>
      </c>
      <c r="CB402" s="660"/>
      <c r="CC402" s="660"/>
      <c r="CD402" s="660"/>
      <c r="CE402" s="568">
        <v>1</v>
      </c>
      <c r="CF402" s="568"/>
      <c r="CG402" s="568"/>
      <c r="CH402" s="660" t="s">
        <v>932</v>
      </c>
      <c r="CI402" s="660"/>
      <c r="CJ402" s="660"/>
      <c r="CK402" s="660"/>
      <c r="CL402" s="568" t="s">
        <v>932</v>
      </c>
      <c r="CM402" s="568"/>
      <c r="CN402" s="568"/>
    </row>
    <row r="403" hidden="1" customHeight="1" spans="1:92">
      <c r="A403" s="612"/>
      <c r="B403" s="612"/>
      <c r="C403" s="518"/>
      <c r="D403" s="518"/>
      <c r="E403" s="518"/>
      <c r="F403" s="657"/>
      <c r="G403" s="657"/>
      <c r="H403" s="657"/>
      <c r="I403" s="519"/>
      <c r="J403" s="519"/>
      <c r="K403" s="519"/>
      <c r="L403" s="519"/>
      <c r="M403" s="519"/>
      <c r="N403" s="519"/>
      <c r="O403" s="519"/>
      <c r="P403" s="519"/>
      <c r="Q403" s="519"/>
      <c r="R403" s="519"/>
      <c r="S403" s="519"/>
      <c r="T403" s="519"/>
      <c r="U403" s="519"/>
      <c r="V403" s="519"/>
      <c r="W403" s="519"/>
      <c r="X403" s="519"/>
      <c r="Y403" s="519"/>
      <c r="Z403" s="519"/>
      <c r="AA403" s="519"/>
      <c r="AB403" s="526"/>
      <c r="AC403" s="526"/>
      <c r="AD403" s="658"/>
      <c r="AE403" s="658"/>
      <c r="AF403" s="658"/>
      <c r="AG403" s="526">
        <v>0</v>
      </c>
      <c r="AH403" s="526"/>
      <c r="AI403" s="659" t="e">
        <v>#N/A</v>
      </c>
      <c r="AJ403" s="659"/>
      <c r="AK403" s="659"/>
      <c r="AL403" s="659"/>
      <c r="AM403" s="659"/>
      <c r="AN403" s="659"/>
      <c r="AO403" s="659"/>
      <c r="AP403" s="659"/>
      <c r="AQ403" s="659"/>
      <c r="AR403" s="659"/>
      <c r="AS403" s="659"/>
      <c r="AT403" s="659"/>
      <c r="AU403" s="659"/>
      <c r="AV403" s="659"/>
      <c r="AW403" s="658">
        <v>0</v>
      </c>
      <c r="AX403" s="658"/>
      <c r="AY403" s="658"/>
      <c r="AZ403" s="658"/>
      <c r="BA403" s="658"/>
      <c r="BB403" s="658"/>
      <c r="BC403" s="658">
        <v>0</v>
      </c>
      <c r="BD403" s="658"/>
      <c r="BE403" s="658"/>
      <c r="BF403" s="658">
        <v>182.49</v>
      </c>
      <c r="BG403" s="658"/>
      <c r="BH403" s="658"/>
      <c r="BI403" s="567">
        <v>0</v>
      </c>
      <c r="BJ403" s="567"/>
      <c r="BK403" s="567"/>
      <c r="BL403" s="567"/>
      <c r="BM403" s="660" t="s">
        <v>932</v>
      </c>
      <c r="BN403" s="660"/>
      <c r="BO403" s="660"/>
      <c r="BP403" s="660"/>
      <c r="BQ403" s="568" t="s">
        <v>932</v>
      </c>
      <c r="BR403" s="568"/>
      <c r="BS403" s="568"/>
      <c r="BT403" s="660" t="s">
        <v>932</v>
      </c>
      <c r="BU403" s="660"/>
      <c r="BV403" s="660"/>
      <c r="BW403" s="660"/>
      <c r="BX403" s="568" t="s">
        <v>932</v>
      </c>
      <c r="BY403" s="568"/>
      <c r="BZ403" s="568"/>
      <c r="CA403" s="660" t="s">
        <v>932</v>
      </c>
      <c r="CB403" s="660"/>
      <c r="CC403" s="660"/>
      <c r="CD403" s="660"/>
      <c r="CE403" s="568">
        <v>1</v>
      </c>
      <c r="CF403" s="568"/>
      <c r="CG403" s="568"/>
      <c r="CH403" s="660" t="s">
        <v>932</v>
      </c>
      <c r="CI403" s="660"/>
      <c r="CJ403" s="660"/>
      <c r="CK403" s="660"/>
      <c r="CL403" s="568" t="s">
        <v>932</v>
      </c>
      <c r="CM403" s="568"/>
      <c r="CN403" s="568"/>
    </row>
    <row r="404" hidden="1" customHeight="1" spans="1:92">
      <c r="A404" s="612"/>
      <c r="B404" s="612"/>
      <c r="C404" s="518"/>
      <c r="D404" s="518"/>
      <c r="E404" s="518"/>
      <c r="F404" s="657"/>
      <c r="G404" s="657"/>
      <c r="H404" s="657"/>
      <c r="I404" s="519"/>
      <c r="J404" s="519"/>
      <c r="K404" s="519"/>
      <c r="L404" s="519"/>
      <c r="M404" s="519"/>
      <c r="N404" s="519"/>
      <c r="O404" s="519"/>
      <c r="P404" s="519"/>
      <c r="Q404" s="519"/>
      <c r="R404" s="519"/>
      <c r="S404" s="519"/>
      <c r="T404" s="519"/>
      <c r="U404" s="519"/>
      <c r="V404" s="519"/>
      <c r="W404" s="519"/>
      <c r="X404" s="519"/>
      <c r="Y404" s="519"/>
      <c r="Z404" s="519"/>
      <c r="AA404" s="519"/>
      <c r="AB404" s="526"/>
      <c r="AC404" s="526"/>
      <c r="AD404" s="658"/>
      <c r="AE404" s="658"/>
      <c r="AF404" s="658"/>
      <c r="AG404" s="526">
        <v>0</v>
      </c>
      <c r="AH404" s="526"/>
      <c r="AI404" s="659" t="e">
        <v>#N/A</v>
      </c>
      <c r="AJ404" s="659"/>
      <c r="AK404" s="659"/>
      <c r="AL404" s="659"/>
      <c r="AM404" s="659"/>
      <c r="AN404" s="659"/>
      <c r="AO404" s="659"/>
      <c r="AP404" s="659"/>
      <c r="AQ404" s="659"/>
      <c r="AR404" s="659"/>
      <c r="AS404" s="659"/>
      <c r="AT404" s="659"/>
      <c r="AU404" s="659"/>
      <c r="AV404" s="659"/>
      <c r="AW404" s="658">
        <v>0</v>
      </c>
      <c r="AX404" s="658"/>
      <c r="AY404" s="658"/>
      <c r="AZ404" s="658"/>
      <c r="BA404" s="658"/>
      <c r="BB404" s="658"/>
      <c r="BC404" s="658">
        <v>0</v>
      </c>
      <c r="BD404" s="658"/>
      <c r="BE404" s="658"/>
      <c r="BF404" s="658">
        <v>182.49</v>
      </c>
      <c r="BG404" s="658"/>
      <c r="BH404" s="658"/>
      <c r="BI404" s="567">
        <v>0</v>
      </c>
      <c r="BJ404" s="567"/>
      <c r="BK404" s="567"/>
      <c r="BL404" s="567"/>
      <c r="BM404" s="660" t="s">
        <v>932</v>
      </c>
      <c r="BN404" s="660"/>
      <c r="BO404" s="660"/>
      <c r="BP404" s="660"/>
      <c r="BQ404" s="568" t="s">
        <v>932</v>
      </c>
      <c r="BR404" s="568"/>
      <c r="BS404" s="568"/>
      <c r="BT404" s="660" t="s">
        <v>932</v>
      </c>
      <c r="BU404" s="660"/>
      <c r="BV404" s="660"/>
      <c r="BW404" s="660"/>
      <c r="BX404" s="568" t="s">
        <v>932</v>
      </c>
      <c r="BY404" s="568"/>
      <c r="BZ404" s="568"/>
      <c r="CA404" s="660" t="s">
        <v>932</v>
      </c>
      <c r="CB404" s="660"/>
      <c r="CC404" s="660"/>
      <c r="CD404" s="660"/>
      <c r="CE404" s="568">
        <v>1</v>
      </c>
      <c r="CF404" s="568"/>
      <c r="CG404" s="568"/>
      <c r="CH404" s="660" t="s">
        <v>932</v>
      </c>
      <c r="CI404" s="660"/>
      <c r="CJ404" s="660"/>
      <c r="CK404" s="660"/>
      <c r="CL404" s="568" t="s">
        <v>932</v>
      </c>
      <c r="CM404" s="568"/>
      <c r="CN404" s="568"/>
    </row>
    <row r="405" hidden="1" customHeight="1" spans="1:92">
      <c r="A405" s="612"/>
      <c r="B405" s="612"/>
      <c r="C405" s="518"/>
      <c r="D405" s="518"/>
      <c r="E405" s="518"/>
      <c r="F405" s="657"/>
      <c r="G405" s="657"/>
      <c r="H405" s="657"/>
      <c r="I405" s="519"/>
      <c r="J405" s="519"/>
      <c r="K405" s="519"/>
      <c r="L405" s="519"/>
      <c r="M405" s="519"/>
      <c r="N405" s="519"/>
      <c r="O405" s="519"/>
      <c r="P405" s="519"/>
      <c r="Q405" s="519"/>
      <c r="R405" s="519"/>
      <c r="S405" s="519"/>
      <c r="T405" s="519"/>
      <c r="U405" s="519"/>
      <c r="V405" s="519"/>
      <c r="W405" s="519"/>
      <c r="X405" s="519"/>
      <c r="Y405" s="519"/>
      <c r="Z405" s="519"/>
      <c r="AA405" s="519"/>
      <c r="AB405" s="526"/>
      <c r="AC405" s="526"/>
      <c r="AD405" s="658"/>
      <c r="AE405" s="658"/>
      <c r="AF405" s="658"/>
      <c r="AG405" s="526">
        <v>0</v>
      </c>
      <c r="AH405" s="526"/>
      <c r="AI405" s="659" t="e">
        <v>#N/A</v>
      </c>
      <c r="AJ405" s="659"/>
      <c r="AK405" s="659"/>
      <c r="AL405" s="659"/>
      <c r="AM405" s="659"/>
      <c r="AN405" s="659"/>
      <c r="AO405" s="659"/>
      <c r="AP405" s="659"/>
      <c r="AQ405" s="659"/>
      <c r="AR405" s="659"/>
      <c r="AS405" s="659"/>
      <c r="AT405" s="659"/>
      <c r="AU405" s="659"/>
      <c r="AV405" s="659"/>
      <c r="AW405" s="658">
        <v>0</v>
      </c>
      <c r="AX405" s="658"/>
      <c r="AY405" s="658"/>
      <c r="AZ405" s="658"/>
      <c r="BA405" s="658"/>
      <c r="BB405" s="658"/>
      <c r="BC405" s="658">
        <v>0</v>
      </c>
      <c r="BD405" s="658"/>
      <c r="BE405" s="658"/>
      <c r="BF405" s="658">
        <v>182.49</v>
      </c>
      <c r="BG405" s="658"/>
      <c r="BH405" s="658"/>
      <c r="BI405" s="567">
        <v>0</v>
      </c>
      <c r="BJ405" s="567"/>
      <c r="BK405" s="567"/>
      <c r="BL405" s="567"/>
      <c r="BM405" s="660" t="s">
        <v>932</v>
      </c>
      <c r="BN405" s="660"/>
      <c r="BO405" s="660"/>
      <c r="BP405" s="660"/>
      <c r="BQ405" s="568" t="s">
        <v>932</v>
      </c>
      <c r="BR405" s="568"/>
      <c r="BS405" s="568"/>
      <c r="BT405" s="660" t="s">
        <v>932</v>
      </c>
      <c r="BU405" s="660"/>
      <c r="BV405" s="660"/>
      <c r="BW405" s="660"/>
      <c r="BX405" s="568" t="s">
        <v>932</v>
      </c>
      <c r="BY405" s="568"/>
      <c r="BZ405" s="568"/>
      <c r="CA405" s="660" t="s">
        <v>932</v>
      </c>
      <c r="CB405" s="660"/>
      <c r="CC405" s="660"/>
      <c r="CD405" s="660"/>
      <c r="CE405" s="568">
        <v>1</v>
      </c>
      <c r="CF405" s="568"/>
      <c r="CG405" s="568"/>
      <c r="CH405" s="660" t="s">
        <v>932</v>
      </c>
      <c r="CI405" s="660"/>
      <c r="CJ405" s="660"/>
      <c r="CK405" s="660"/>
      <c r="CL405" s="568" t="s">
        <v>932</v>
      </c>
      <c r="CM405" s="568"/>
      <c r="CN405" s="568"/>
    </row>
    <row r="406" hidden="1" customHeight="1" spans="1:92">
      <c r="A406" s="612"/>
      <c r="B406" s="612"/>
      <c r="C406" s="518"/>
      <c r="D406" s="518"/>
      <c r="E406" s="518"/>
      <c r="F406" s="657"/>
      <c r="G406" s="657"/>
      <c r="H406" s="657"/>
      <c r="I406" s="519"/>
      <c r="J406" s="519"/>
      <c r="K406" s="519"/>
      <c r="L406" s="519"/>
      <c r="M406" s="519"/>
      <c r="N406" s="519"/>
      <c r="O406" s="519"/>
      <c r="P406" s="519"/>
      <c r="Q406" s="519"/>
      <c r="R406" s="519"/>
      <c r="S406" s="519"/>
      <c r="T406" s="519"/>
      <c r="U406" s="519"/>
      <c r="V406" s="519"/>
      <c r="W406" s="519"/>
      <c r="X406" s="519"/>
      <c r="Y406" s="519"/>
      <c r="Z406" s="519"/>
      <c r="AA406" s="519"/>
      <c r="AB406" s="526"/>
      <c r="AC406" s="526"/>
      <c r="AD406" s="658"/>
      <c r="AE406" s="658"/>
      <c r="AF406" s="658"/>
      <c r="AG406" s="526">
        <v>0</v>
      </c>
      <c r="AH406" s="526"/>
      <c r="AI406" s="659" t="e">
        <v>#N/A</v>
      </c>
      <c r="AJ406" s="659"/>
      <c r="AK406" s="659"/>
      <c r="AL406" s="659"/>
      <c r="AM406" s="659"/>
      <c r="AN406" s="659"/>
      <c r="AO406" s="659"/>
      <c r="AP406" s="659"/>
      <c r="AQ406" s="659"/>
      <c r="AR406" s="659"/>
      <c r="AS406" s="659"/>
      <c r="AT406" s="659"/>
      <c r="AU406" s="659"/>
      <c r="AV406" s="659"/>
      <c r="AW406" s="658">
        <v>0</v>
      </c>
      <c r="AX406" s="658"/>
      <c r="AY406" s="658"/>
      <c r="AZ406" s="658"/>
      <c r="BA406" s="658"/>
      <c r="BB406" s="658"/>
      <c r="BC406" s="658">
        <v>0</v>
      </c>
      <c r="BD406" s="658"/>
      <c r="BE406" s="658"/>
      <c r="BF406" s="658">
        <v>182.49</v>
      </c>
      <c r="BG406" s="658"/>
      <c r="BH406" s="658"/>
      <c r="BI406" s="567">
        <v>0</v>
      </c>
      <c r="BJ406" s="567"/>
      <c r="BK406" s="567"/>
      <c r="BL406" s="567"/>
      <c r="BM406" s="660" t="s">
        <v>932</v>
      </c>
      <c r="BN406" s="660"/>
      <c r="BO406" s="660"/>
      <c r="BP406" s="660"/>
      <c r="BQ406" s="568" t="s">
        <v>932</v>
      </c>
      <c r="BR406" s="568"/>
      <c r="BS406" s="568"/>
      <c r="BT406" s="660" t="s">
        <v>932</v>
      </c>
      <c r="BU406" s="660"/>
      <c r="BV406" s="660"/>
      <c r="BW406" s="660"/>
      <c r="BX406" s="568" t="s">
        <v>932</v>
      </c>
      <c r="BY406" s="568"/>
      <c r="BZ406" s="568"/>
      <c r="CA406" s="660" t="s">
        <v>932</v>
      </c>
      <c r="CB406" s="660"/>
      <c r="CC406" s="660"/>
      <c r="CD406" s="660"/>
      <c r="CE406" s="568">
        <v>1</v>
      </c>
      <c r="CF406" s="568"/>
      <c r="CG406" s="568"/>
      <c r="CH406" s="660" t="s">
        <v>932</v>
      </c>
      <c r="CI406" s="660"/>
      <c r="CJ406" s="660"/>
      <c r="CK406" s="660"/>
      <c r="CL406" s="568" t="s">
        <v>932</v>
      </c>
      <c r="CM406" s="568"/>
      <c r="CN406" s="568"/>
    </row>
    <row r="407" hidden="1" customHeight="1" spans="1:92">
      <c r="A407" s="612"/>
      <c r="B407" s="612"/>
      <c r="C407" s="518"/>
      <c r="D407" s="518"/>
      <c r="E407" s="518"/>
      <c r="F407" s="657"/>
      <c r="G407" s="657"/>
      <c r="H407" s="657"/>
      <c r="I407" s="519"/>
      <c r="J407" s="519"/>
      <c r="K407" s="519"/>
      <c r="L407" s="519"/>
      <c r="M407" s="519"/>
      <c r="N407" s="519"/>
      <c r="O407" s="519"/>
      <c r="P407" s="519"/>
      <c r="Q407" s="519"/>
      <c r="R407" s="519"/>
      <c r="S407" s="519"/>
      <c r="T407" s="519"/>
      <c r="U407" s="519"/>
      <c r="V407" s="519"/>
      <c r="W407" s="519"/>
      <c r="X407" s="519"/>
      <c r="Y407" s="519"/>
      <c r="Z407" s="519"/>
      <c r="AA407" s="519"/>
      <c r="AB407" s="526"/>
      <c r="AC407" s="526"/>
      <c r="AD407" s="658"/>
      <c r="AE407" s="658"/>
      <c r="AF407" s="658"/>
      <c r="AG407" s="526">
        <v>0</v>
      </c>
      <c r="AH407" s="526"/>
      <c r="AI407" s="659" t="e">
        <v>#N/A</v>
      </c>
      <c r="AJ407" s="659"/>
      <c r="AK407" s="659"/>
      <c r="AL407" s="659"/>
      <c r="AM407" s="659"/>
      <c r="AN407" s="659"/>
      <c r="AO407" s="659"/>
      <c r="AP407" s="659"/>
      <c r="AQ407" s="659"/>
      <c r="AR407" s="659"/>
      <c r="AS407" s="659"/>
      <c r="AT407" s="659"/>
      <c r="AU407" s="659"/>
      <c r="AV407" s="659"/>
      <c r="AW407" s="658">
        <v>0</v>
      </c>
      <c r="AX407" s="658"/>
      <c r="AY407" s="658"/>
      <c r="AZ407" s="658"/>
      <c r="BA407" s="658"/>
      <c r="BB407" s="658"/>
      <c r="BC407" s="658">
        <v>0</v>
      </c>
      <c r="BD407" s="658"/>
      <c r="BE407" s="658"/>
      <c r="BF407" s="658">
        <v>182.49</v>
      </c>
      <c r="BG407" s="658"/>
      <c r="BH407" s="658"/>
      <c r="BI407" s="567">
        <v>0</v>
      </c>
      <c r="BJ407" s="567"/>
      <c r="BK407" s="567"/>
      <c r="BL407" s="567"/>
      <c r="BM407" s="660" t="s">
        <v>932</v>
      </c>
      <c r="BN407" s="660"/>
      <c r="BO407" s="660"/>
      <c r="BP407" s="660"/>
      <c r="BQ407" s="568" t="s">
        <v>932</v>
      </c>
      <c r="BR407" s="568"/>
      <c r="BS407" s="568"/>
      <c r="BT407" s="660" t="s">
        <v>932</v>
      </c>
      <c r="BU407" s="660"/>
      <c r="BV407" s="660"/>
      <c r="BW407" s="660"/>
      <c r="BX407" s="568" t="s">
        <v>932</v>
      </c>
      <c r="BY407" s="568"/>
      <c r="BZ407" s="568"/>
      <c r="CA407" s="660" t="s">
        <v>932</v>
      </c>
      <c r="CB407" s="660"/>
      <c r="CC407" s="660"/>
      <c r="CD407" s="660"/>
      <c r="CE407" s="568">
        <v>1</v>
      </c>
      <c r="CF407" s="568"/>
      <c r="CG407" s="568"/>
      <c r="CH407" s="660" t="s">
        <v>932</v>
      </c>
      <c r="CI407" s="660"/>
      <c r="CJ407" s="660"/>
      <c r="CK407" s="660"/>
      <c r="CL407" s="568" t="s">
        <v>932</v>
      </c>
      <c r="CM407" s="568"/>
      <c r="CN407" s="568"/>
    </row>
    <row r="408" customHeight="1" spans="1:92">
      <c r="A408" s="612" t="s">
        <v>991</v>
      </c>
      <c r="B408" s="612"/>
      <c r="C408" s="518"/>
      <c r="D408" s="518"/>
      <c r="E408" s="518"/>
      <c r="F408" s="657">
        <v>407819</v>
      </c>
      <c r="G408" s="657"/>
      <c r="H408" s="657"/>
      <c r="I408" s="519" t="s">
        <v>100</v>
      </c>
      <c r="J408" s="519"/>
      <c r="K408" s="519"/>
      <c r="L408" s="519"/>
      <c r="M408" s="519"/>
      <c r="N408" s="519"/>
      <c r="O408" s="519"/>
      <c r="P408" s="519"/>
      <c r="Q408" s="519"/>
      <c r="R408" s="519"/>
      <c r="S408" s="519"/>
      <c r="T408" s="519"/>
      <c r="U408" s="519"/>
      <c r="V408" s="519"/>
      <c r="W408" s="519"/>
      <c r="X408" s="519"/>
      <c r="Y408" s="519"/>
      <c r="Z408" s="519"/>
      <c r="AA408" s="519"/>
      <c r="AB408" s="526" t="s">
        <v>101</v>
      </c>
      <c r="AC408" s="526"/>
      <c r="AD408" s="658">
        <v>285.9</v>
      </c>
      <c r="AE408" s="658"/>
      <c r="AF408" s="658"/>
      <c r="AG408" s="526" t="s">
        <v>937</v>
      </c>
      <c r="AH408" s="526"/>
      <c r="AI408" s="659" t="s">
        <v>938</v>
      </c>
      <c r="AJ408" s="659"/>
      <c r="AK408" s="659"/>
      <c r="AL408" s="659"/>
      <c r="AM408" s="659"/>
      <c r="AN408" s="659"/>
      <c r="AO408" s="659"/>
      <c r="AP408" s="659"/>
      <c r="AQ408" s="659"/>
      <c r="AR408" s="659"/>
      <c r="AS408" s="659"/>
      <c r="AT408" s="659"/>
      <c r="AU408" s="659"/>
      <c r="AV408" s="659"/>
      <c r="AW408" s="658">
        <v>0.09</v>
      </c>
      <c r="AX408" s="658"/>
      <c r="AY408" s="658"/>
      <c r="AZ408" s="658">
        <v>1</v>
      </c>
      <c r="BA408" s="658"/>
      <c r="BB408" s="658"/>
      <c r="BC408" s="658">
        <v>25.731</v>
      </c>
      <c r="BD408" s="658"/>
      <c r="BE408" s="658"/>
      <c r="BF408" s="658">
        <v>182.49</v>
      </c>
      <c r="BG408" s="658"/>
      <c r="BH408" s="658"/>
      <c r="BI408" s="567">
        <v>0.140999506822292</v>
      </c>
      <c r="BJ408" s="567"/>
      <c r="BK408" s="567"/>
      <c r="BL408" s="567"/>
      <c r="BM408" s="660" t="s">
        <v>932</v>
      </c>
      <c r="BN408" s="660"/>
      <c r="BO408" s="660"/>
      <c r="BP408" s="660"/>
      <c r="BQ408" s="568" t="s">
        <v>932</v>
      </c>
      <c r="BR408" s="568"/>
      <c r="BS408" s="568"/>
      <c r="BT408" s="660" t="s">
        <v>932</v>
      </c>
      <c r="BU408" s="660"/>
      <c r="BV408" s="660"/>
      <c r="BW408" s="660"/>
      <c r="BX408" s="568" t="s">
        <v>932</v>
      </c>
      <c r="BY408" s="568"/>
      <c r="BZ408" s="568"/>
      <c r="CA408" s="660">
        <v>0.140999506822292</v>
      </c>
      <c r="CB408" s="660"/>
      <c r="CC408" s="660"/>
      <c r="CD408" s="660"/>
      <c r="CE408" s="568">
        <v>1</v>
      </c>
      <c r="CF408" s="568"/>
      <c r="CG408" s="568"/>
      <c r="CH408" s="660" t="s">
        <v>932</v>
      </c>
      <c r="CI408" s="660"/>
      <c r="CJ408" s="660"/>
      <c r="CK408" s="660"/>
      <c r="CL408" s="568" t="s">
        <v>932</v>
      </c>
      <c r="CM408" s="568"/>
      <c r="CN408" s="568"/>
    </row>
    <row r="409" customHeight="1" spans="1:92">
      <c r="A409" s="612"/>
      <c r="B409" s="612"/>
      <c r="C409" s="518"/>
      <c r="D409" s="518"/>
      <c r="E409" s="518"/>
      <c r="F409" s="657"/>
      <c r="G409" s="657"/>
      <c r="H409" s="657"/>
      <c r="I409" s="519"/>
      <c r="J409" s="519"/>
      <c r="K409" s="519"/>
      <c r="L409" s="519"/>
      <c r="M409" s="519"/>
      <c r="N409" s="519"/>
      <c r="O409" s="519"/>
      <c r="P409" s="519"/>
      <c r="Q409" s="519"/>
      <c r="R409" s="519"/>
      <c r="S409" s="519"/>
      <c r="T409" s="519"/>
      <c r="U409" s="519"/>
      <c r="V409" s="519"/>
      <c r="W409" s="519"/>
      <c r="X409" s="519"/>
      <c r="Y409" s="519"/>
      <c r="Z409" s="519"/>
      <c r="AA409" s="519"/>
      <c r="AB409" s="526"/>
      <c r="AC409" s="526"/>
      <c r="AD409" s="658"/>
      <c r="AE409" s="658"/>
      <c r="AF409" s="658"/>
      <c r="AG409" s="526" t="s">
        <v>939</v>
      </c>
      <c r="AH409" s="526"/>
      <c r="AI409" s="659" t="s">
        <v>940</v>
      </c>
      <c r="AJ409" s="659"/>
      <c r="AK409" s="659"/>
      <c r="AL409" s="659"/>
      <c r="AM409" s="659"/>
      <c r="AN409" s="659"/>
      <c r="AO409" s="659"/>
      <c r="AP409" s="659"/>
      <c r="AQ409" s="659"/>
      <c r="AR409" s="659"/>
      <c r="AS409" s="659"/>
      <c r="AT409" s="659"/>
      <c r="AU409" s="659"/>
      <c r="AV409" s="659"/>
      <c r="AW409" s="658">
        <v>0.09</v>
      </c>
      <c r="AX409" s="658"/>
      <c r="AY409" s="658"/>
      <c r="AZ409" s="658"/>
      <c r="BA409" s="658"/>
      <c r="BB409" s="658"/>
      <c r="BC409" s="658">
        <v>25.731</v>
      </c>
      <c r="BD409" s="658"/>
      <c r="BE409" s="658"/>
      <c r="BF409" s="658">
        <v>182.49</v>
      </c>
      <c r="BG409" s="658"/>
      <c r="BH409" s="658"/>
      <c r="BI409" s="567">
        <v>0.140999506822292</v>
      </c>
      <c r="BJ409" s="567"/>
      <c r="BK409" s="567"/>
      <c r="BL409" s="567"/>
      <c r="BM409" s="660" t="s">
        <v>932</v>
      </c>
      <c r="BN409" s="660"/>
      <c r="BO409" s="660"/>
      <c r="BP409" s="660"/>
      <c r="BQ409" s="568" t="s">
        <v>932</v>
      </c>
      <c r="BR409" s="568"/>
      <c r="BS409" s="568"/>
      <c r="BT409" s="660" t="s">
        <v>932</v>
      </c>
      <c r="BU409" s="660"/>
      <c r="BV409" s="660"/>
      <c r="BW409" s="660"/>
      <c r="BX409" s="568" t="s">
        <v>932</v>
      </c>
      <c r="BY409" s="568"/>
      <c r="BZ409" s="568"/>
      <c r="CA409" s="660">
        <v>0.140999506822292</v>
      </c>
      <c r="CB409" s="660"/>
      <c r="CC409" s="660"/>
      <c r="CD409" s="660"/>
      <c r="CE409" s="568">
        <v>1</v>
      </c>
      <c r="CF409" s="568"/>
      <c r="CG409" s="568"/>
      <c r="CH409" s="660" t="s">
        <v>932</v>
      </c>
      <c r="CI409" s="660"/>
      <c r="CJ409" s="660"/>
      <c r="CK409" s="660"/>
      <c r="CL409" s="568" t="s">
        <v>932</v>
      </c>
      <c r="CM409" s="568"/>
      <c r="CN409" s="568"/>
    </row>
    <row r="410" hidden="1" customHeight="1" spans="1:92">
      <c r="A410" s="612"/>
      <c r="B410" s="612"/>
      <c r="C410" s="518"/>
      <c r="D410" s="518"/>
      <c r="E410" s="518"/>
      <c r="F410" s="657"/>
      <c r="G410" s="657"/>
      <c r="H410" s="657"/>
      <c r="I410" s="519"/>
      <c r="J410" s="519"/>
      <c r="K410" s="519"/>
      <c r="L410" s="519"/>
      <c r="M410" s="519"/>
      <c r="N410" s="519"/>
      <c r="O410" s="519"/>
      <c r="P410" s="519"/>
      <c r="Q410" s="519"/>
      <c r="R410" s="519"/>
      <c r="S410" s="519"/>
      <c r="T410" s="519"/>
      <c r="U410" s="519"/>
      <c r="V410" s="519"/>
      <c r="W410" s="519"/>
      <c r="X410" s="519"/>
      <c r="Y410" s="519"/>
      <c r="Z410" s="519"/>
      <c r="AA410" s="519"/>
      <c r="AB410" s="526"/>
      <c r="AC410" s="526"/>
      <c r="AD410" s="658"/>
      <c r="AE410" s="658"/>
      <c r="AF410" s="658"/>
      <c r="AG410" s="526">
        <v>0</v>
      </c>
      <c r="AH410" s="526"/>
      <c r="AI410" s="659" t="e">
        <v>#N/A</v>
      </c>
      <c r="AJ410" s="659"/>
      <c r="AK410" s="659"/>
      <c r="AL410" s="659"/>
      <c r="AM410" s="659"/>
      <c r="AN410" s="659"/>
      <c r="AO410" s="659"/>
      <c r="AP410" s="659"/>
      <c r="AQ410" s="659"/>
      <c r="AR410" s="659"/>
      <c r="AS410" s="659"/>
      <c r="AT410" s="659"/>
      <c r="AU410" s="659"/>
      <c r="AV410" s="659"/>
      <c r="AW410" s="658">
        <v>0</v>
      </c>
      <c r="AX410" s="658"/>
      <c r="AY410" s="658"/>
      <c r="AZ410" s="658"/>
      <c r="BA410" s="658"/>
      <c r="BB410" s="658"/>
      <c r="BC410" s="658">
        <v>0</v>
      </c>
      <c r="BD410" s="658"/>
      <c r="BE410" s="658"/>
      <c r="BF410" s="658">
        <v>182.49</v>
      </c>
      <c r="BG410" s="658"/>
      <c r="BH410" s="658"/>
      <c r="BI410" s="567">
        <v>0</v>
      </c>
      <c r="BJ410" s="567"/>
      <c r="BK410" s="567"/>
      <c r="BL410" s="567"/>
      <c r="BM410" s="660" t="s">
        <v>932</v>
      </c>
      <c r="BN410" s="660"/>
      <c r="BO410" s="660"/>
      <c r="BP410" s="660"/>
      <c r="BQ410" s="568" t="s">
        <v>932</v>
      </c>
      <c r="BR410" s="568"/>
      <c r="BS410" s="568"/>
      <c r="BT410" s="660" t="s">
        <v>932</v>
      </c>
      <c r="BU410" s="660"/>
      <c r="BV410" s="660"/>
      <c r="BW410" s="660"/>
      <c r="BX410" s="568" t="s">
        <v>932</v>
      </c>
      <c r="BY410" s="568"/>
      <c r="BZ410" s="568"/>
      <c r="CA410" s="660" t="s">
        <v>932</v>
      </c>
      <c r="CB410" s="660"/>
      <c r="CC410" s="660"/>
      <c r="CD410" s="660"/>
      <c r="CE410" s="568">
        <v>1</v>
      </c>
      <c r="CF410" s="568"/>
      <c r="CG410" s="568"/>
      <c r="CH410" s="660" t="s">
        <v>932</v>
      </c>
      <c r="CI410" s="660"/>
      <c r="CJ410" s="660"/>
      <c r="CK410" s="660"/>
      <c r="CL410" s="568" t="s">
        <v>932</v>
      </c>
      <c r="CM410" s="568"/>
      <c r="CN410" s="568"/>
    </row>
    <row r="411" hidden="1" customHeight="1" spans="1:92">
      <c r="A411" s="612"/>
      <c r="B411" s="612"/>
      <c r="C411" s="518"/>
      <c r="D411" s="518"/>
      <c r="E411" s="518"/>
      <c r="F411" s="657"/>
      <c r="G411" s="657"/>
      <c r="H411" s="657"/>
      <c r="I411" s="519"/>
      <c r="J411" s="519"/>
      <c r="K411" s="519"/>
      <c r="L411" s="519"/>
      <c r="M411" s="519"/>
      <c r="N411" s="519"/>
      <c r="O411" s="519"/>
      <c r="P411" s="519"/>
      <c r="Q411" s="519"/>
      <c r="R411" s="519"/>
      <c r="S411" s="519"/>
      <c r="T411" s="519"/>
      <c r="U411" s="519"/>
      <c r="V411" s="519"/>
      <c r="W411" s="519"/>
      <c r="X411" s="519"/>
      <c r="Y411" s="519"/>
      <c r="Z411" s="519"/>
      <c r="AA411" s="519"/>
      <c r="AB411" s="526"/>
      <c r="AC411" s="526"/>
      <c r="AD411" s="658"/>
      <c r="AE411" s="658"/>
      <c r="AF411" s="658"/>
      <c r="AG411" s="526">
        <v>0</v>
      </c>
      <c r="AH411" s="526"/>
      <c r="AI411" s="659" t="e">
        <v>#N/A</v>
      </c>
      <c r="AJ411" s="659"/>
      <c r="AK411" s="659"/>
      <c r="AL411" s="659"/>
      <c r="AM411" s="659"/>
      <c r="AN411" s="659"/>
      <c r="AO411" s="659"/>
      <c r="AP411" s="659"/>
      <c r="AQ411" s="659"/>
      <c r="AR411" s="659"/>
      <c r="AS411" s="659"/>
      <c r="AT411" s="659"/>
      <c r="AU411" s="659"/>
      <c r="AV411" s="659"/>
      <c r="AW411" s="658">
        <v>0</v>
      </c>
      <c r="AX411" s="658"/>
      <c r="AY411" s="658"/>
      <c r="AZ411" s="658"/>
      <c r="BA411" s="658"/>
      <c r="BB411" s="658"/>
      <c r="BC411" s="658">
        <v>0</v>
      </c>
      <c r="BD411" s="658"/>
      <c r="BE411" s="658"/>
      <c r="BF411" s="658">
        <v>182.49</v>
      </c>
      <c r="BG411" s="658"/>
      <c r="BH411" s="658"/>
      <c r="BI411" s="567">
        <v>0</v>
      </c>
      <c r="BJ411" s="567"/>
      <c r="BK411" s="567"/>
      <c r="BL411" s="567"/>
      <c r="BM411" s="660" t="s">
        <v>932</v>
      </c>
      <c r="BN411" s="660"/>
      <c r="BO411" s="660"/>
      <c r="BP411" s="660"/>
      <c r="BQ411" s="568" t="s">
        <v>932</v>
      </c>
      <c r="BR411" s="568"/>
      <c r="BS411" s="568"/>
      <c r="BT411" s="660" t="s">
        <v>932</v>
      </c>
      <c r="BU411" s="660"/>
      <c r="BV411" s="660"/>
      <c r="BW411" s="660"/>
      <c r="BX411" s="568" t="s">
        <v>932</v>
      </c>
      <c r="BY411" s="568"/>
      <c r="BZ411" s="568"/>
      <c r="CA411" s="660" t="s">
        <v>932</v>
      </c>
      <c r="CB411" s="660"/>
      <c r="CC411" s="660"/>
      <c r="CD411" s="660"/>
      <c r="CE411" s="568">
        <v>1</v>
      </c>
      <c r="CF411" s="568"/>
      <c r="CG411" s="568"/>
      <c r="CH411" s="660" t="s">
        <v>932</v>
      </c>
      <c r="CI411" s="660"/>
      <c r="CJ411" s="660"/>
      <c r="CK411" s="660"/>
      <c r="CL411" s="568" t="s">
        <v>932</v>
      </c>
      <c r="CM411" s="568"/>
      <c r="CN411" s="568"/>
    </row>
    <row r="412" hidden="1" customHeight="1" spans="1:92">
      <c r="A412" s="612"/>
      <c r="B412" s="612"/>
      <c r="C412" s="518"/>
      <c r="D412" s="518"/>
      <c r="E412" s="518"/>
      <c r="F412" s="657"/>
      <c r="G412" s="657"/>
      <c r="H412" s="657"/>
      <c r="I412" s="519"/>
      <c r="J412" s="519"/>
      <c r="K412" s="519"/>
      <c r="L412" s="519"/>
      <c r="M412" s="519"/>
      <c r="N412" s="519"/>
      <c r="O412" s="519"/>
      <c r="P412" s="519"/>
      <c r="Q412" s="519"/>
      <c r="R412" s="519"/>
      <c r="S412" s="519"/>
      <c r="T412" s="519"/>
      <c r="U412" s="519"/>
      <c r="V412" s="519"/>
      <c r="W412" s="519"/>
      <c r="X412" s="519"/>
      <c r="Y412" s="519"/>
      <c r="Z412" s="519"/>
      <c r="AA412" s="519"/>
      <c r="AB412" s="526"/>
      <c r="AC412" s="526"/>
      <c r="AD412" s="658"/>
      <c r="AE412" s="658"/>
      <c r="AF412" s="658"/>
      <c r="AG412" s="526">
        <v>0</v>
      </c>
      <c r="AH412" s="526"/>
      <c r="AI412" s="659" t="e">
        <v>#N/A</v>
      </c>
      <c r="AJ412" s="659"/>
      <c r="AK412" s="659"/>
      <c r="AL412" s="659"/>
      <c r="AM412" s="659"/>
      <c r="AN412" s="659"/>
      <c r="AO412" s="659"/>
      <c r="AP412" s="659"/>
      <c r="AQ412" s="659"/>
      <c r="AR412" s="659"/>
      <c r="AS412" s="659"/>
      <c r="AT412" s="659"/>
      <c r="AU412" s="659"/>
      <c r="AV412" s="659"/>
      <c r="AW412" s="658">
        <v>0</v>
      </c>
      <c r="AX412" s="658"/>
      <c r="AY412" s="658"/>
      <c r="AZ412" s="658"/>
      <c r="BA412" s="658"/>
      <c r="BB412" s="658"/>
      <c r="BC412" s="658">
        <v>0</v>
      </c>
      <c r="BD412" s="658"/>
      <c r="BE412" s="658"/>
      <c r="BF412" s="658">
        <v>182.49</v>
      </c>
      <c r="BG412" s="658"/>
      <c r="BH412" s="658"/>
      <c r="BI412" s="567">
        <v>0</v>
      </c>
      <c r="BJ412" s="567"/>
      <c r="BK412" s="567"/>
      <c r="BL412" s="567"/>
      <c r="BM412" s="660" t="s">
        <v>932</v>
      </c>
      <c r="BN412" s="660"/>
      <c r="BO412" s="660"/>
      <c r="BP412" s="660"/>
      <c r="BQ412" s="568" t="s">
        <v>932</v>
      </c>
      <c r="BR412" s="568"/>
      <c r="BS412" s="568"/>
      <c r="BT412" s="660" t="s">
        <v>932</v>
      </c>
      <c r="BU412" s="660"/>
      <c r="BV412" s="660"/>
      <c r="BW412" s="660"/>
      <c r="BX412" s="568" t="s">
        <v>932</v>
      </c>
      <c r="BY412" s="568"/>
      <c r="BZ412" s="568"/>
      <c r="CA412" s="660" t="s">
        <v>932</v>
      </c>
      <c r="CB412" s="660"/>
      <c r="CC412" s="660"/>
      <c r="CD412" s="660"/>
      <c r="CE412" s="568">
        <v>1</v>
      </c>
      <c r="CF412" s="568"/>
      <c r="CG412" s="568"/>
      <c r="CH412" s="660" t="s">
        <v>932</v>
      </c>
      <c r="CI412" s="660"/>
      <c r="CJ412" s="660"/>
      <c r="CK412" s="660"/>
      <c r="CL412" s="568" t="s">
        <v>932</v>
      </c>
      <c r="CM412" s="568"/>
      <c r="CN412" s="568"/>
    </row>
    <row r="413" hidden="1" customHeight="1" spans="1:92">
      <c r="A413" s="612"/>
      <c r="B413" s="612"/>
      <c r="C413" s="518"/>
      <c r="D413" s="518"/>
      <c r="E413" s="518"/>
      <c r="F413" s="657"/>
      <c r="G413" s="657"/>
      <c r="H413" s="657"/>
      <c r="I413" s="519"/>
      <c r="J413" s="519"/>
      <c r="K413" s="519"/>
      <c r="L413" s="519"/>
      <c r="M413" s="519"/>
      <c r="N413" s="519"/>
      <c r="O413" s="519"/>
      <c r="P413" s="519"/>
      <c r="Q413" s="519"/>
      <c r="R413" s="519"/>
      <c r="S413" s="519"/>
      <c r="T413" s="519"/>
      <c r="U413" s="519"/>
      <c r="V413" s="519"/>
      <c r="W413" s="519"/>
      <c r="X413" s="519"/>
      <c r="Y413" s="519"/>
      <c r="Z413" s="519"/>
      <c r="AA413" s="519"/>
      <c r="AB413" s="526"/>
      <c r="AC413" s="526"/>
      <c r="AD413" s="658"/>
      <c r="AE413" s="658"/>
      <c r="AF413" s="658"/>
      <c r="AG413" s="526">
        <v>0</v>
      </c>
      <c r="AH413" s="526"/>
      <c r="AI413" s="659" t="e">
        <v>#N/A</v>
      </c>
      <c r="AJ413" s="659"/>
      <c r="AK413" s="659"/>
      <c r="AL413" s="659"/>
      <c r="AM413" s="659"/>
      <c r="AN413" s="659"/>
      <c r="AO413" s="659"/>
      <c r="AP413" s="659"/>
      <c r="AQ413" s="659"/>
      <c r="AR413" s="659"/>
      <c r="AS413" s="659"/>
      <c r="AT413" s="659"/>
      <c r="AU413" s="659"/>
      <c r="AV413" s="659"/>
      <c r="AW413" s="658">
        <v>0</v>
      </c>
      <c r="AX413" s="658"/>
      <c r="AY413" s="658"/>
      <c r="AZ413" s="658"/>
      <c r="BA413" s="658"/>
      <c r="BB413" s="658"/>
      <c r="BC413" s="658">
        <v>0</v>
      </c>
      <c r="BD413" s="658"/>
      <c r="BE413" s="658"/>
      <c r="BF413" s="658">
        <v>182.49</v>
      </c>
      <c r="BG413" s="658"/>
      <c r="BH413" s="658"/>
      <c r="BI413" s="567">
        <v>0</v>
      </c>
      <c r="BJ413" s="567"/>
      <c r="BK413" s="567"/>
      <c r="BL413" s="567"/>
      <c r="BM413" s="660" t="s">
        <v>932</v>
      </c>
      <c r="BN413" s="660"/>
      <c r="BO413" s="660"/>
      <c r="BP413" s="660"/>
      <c r="BQ413" s="568" t="s">
        <v>932</v>
      </c>
      <c r="BR413" s="568"/>
      <c r="BS413" s="568"/>
      <c r="BT413" s="660" t="s">
        <v>932</v>
      </c>
      <c r="BU413" s="660"/>
      <c r="BV413" s="660"/>
      <c r="BW413" s="660"/>
      <c r="BX413" s="568" t="s">
        <v>932</v>
      </c>
      <c r="BY413" s="568"/>
      <c r="BZ413" s="568"/>
      <c r="CA413" s="660" t="s">
        <v>932</v>
      </c>
      <c r="CB413" s="660"/>
      <c r="CC413" s="660"/>
      <c r="CD413" s="660"/>
      <c r="CE413" s="568">
        <v>1</v>
      </c>
      <c r="CF413" s="568"/>
      <c r="CG413" s="568"/>
      <c r="CH413" s="660" t="s">
        <v>932</v>
      </c>
      <c r="CI413" s="660"/>
      <c r="CJ413" s="660"/>
      <c r="CK413" s="660"/>
      <c r="CL413" s="568" t="s">
        <v>932</v>
      </c>
      <c r="CM413" s="568"/>
      <c r="CN413" s="568"/>
    </row>
    <row r="414" hidden="1" customHeight="1" spans="1:92">
      <c r="A414" s="612"/>
      <c r="B414" s="612"/>
      <c r="C414" s="518"/>
      <c r="D414" s="518"/>
      <c r="E414" s="518"/>
      <c r="F414" s="657"/>
      <c r="G414" s="657"/>
      <c r="H414" s="657"/>
      <c r="I414" s="519"/>
      <c r="J414" s="519"/>
      <c r="K414" s="519"/>
      <c r="L414" s="519"/>
      <c r="M414" s="519"/>
      <c r="N414" s="519"/>
      <c r="O414" s="519"/>
      <c r="P414" s="519"/>
      <c r="Q414" s="519"/>
      <c r="R414" s="519"/>
      <c r="S414" s="519"/>
      <c r="T414" s="519"/>
      <c r="U414" s="519"/>
      <c r="V414" s="519"/>
      <c r="W414" s="519"/>
      <c r="X414" s="519"/>
      <c r="Y414" s="519"/>
      <c r="Z414" s="519"/>
      <c r="AA414" s="519"/>
      <c r="AB414" s="526"/>
      <c r="AC414" s="526"/>
      <c r="AD414" s="658"/>
      <c r="AE414" s="658"/>
      <c r="AF414" s="658"/>
      <c r="AG414" s="526">
        <v>0</v>
      </c>
      <c r="AH414" s="526"/>
      <c r="AI414" s="659" t="e">
        <v>#N/A</v>
      </c>
      <c r="AJ414" s="659"/>
      <c r="AK414" s="659"/>
      <c r="AL414" s="659"/>
      <c r="AM414" s="659"/>
      <c r="AN414" s="659"/>
      <c r="AO414" s="659"/>
      <c r="AP414" s="659"/>
      <c r="AQ414" s="659"/>
      <c r="AR414" s="659"/>
      <c r="AS414" s="659"/>
      <c r="AT414" s="659"/>
      <c r="AU414" s="659"/>
      <c r="AV414" s="659"/>
      <c r="AW414" s="658">
        <v>0</v>
      </c>
      <c r="AX414" s="658"/>
      <c r="AY414" s="658"/>
      <c r="AZ414" s="658"/>
      <c r="BA414" s="658"/>
      <c r="BB414" s="658"/>
      <c r="BC414" s="658">
        <v>0</v>
      </c>
      <c r="BD414" s="658"/>
      <c r="BE414" s="658"/>
      <c r="BF414" s="658">
        <v>182.49</v>
      </c>
      <c r="BG414" s="658"/>
      <c r="BH414" s="658"/>
      <c r="BI414" s="567">
        <v>0</v>
      </c>
      <c r="BJ414" s="567"/>
      <c r="BK414" s="567"/>
      <c r="BL414" s="567"/>
      <c r="BM414" s="660" t="s">
        <v>932</v>
      </c>
      <c r="BN414" s="660"/>
      <c r="BO414" s="660"/>
      <c r="BP414" s="660"/>
      <c r="BQ414" s="568" t="s">
        <v>932</v>
      </c>
      <c r="BR414" s="568"/>
      <c r="BS414" s="568"/>
      <c r="BT414" s="660" t="s">
        <v>932</v>
      </c>
      <c r="BU414" s="660"/>
      <c r="BV414" s="660"/>
      <c r="BW414" s="660"/>
      <c r="BX414" s="568" t="s">
        <v>932</v>
      </c>
      <c r="BY414" s="568"/>
      <c r="BZ414" s="568"/>
      <c r="CA414" s="660" t="s">
        <v>932</v>
      </c>
      <c r="CB414" s="660"/>
      <c r="CC414" s="660"/>
      <c r="CD414" s="660"/>
      <c r="CE414" s="568">
        <v>1</v>
      </c>
      <c r="CF414" s="568"/>
      <c r="CG414" s="568"/>
      <c r="CH414" s="660" t="s">
        <v>932</v>
      </c>
      <c r="CI414" s="660"/>
      <c r="CJ414" s="660"/>
      <c r="CK414" s="660"/>
      <c r="CL414" s="568" t="s">
        <v>932</v>
      </c>
      <c r="CM414" s="568"/>
      <c r="CN414" s="568"/>
    </row>
    <row r="415" hidden="1" customHeight="1" spans="1:92">
      <c r="A415" s="612"/>
      <c r="B415" s="612"/>
      <c r="C415" s="518"/>
      <c r="D415" s="518"/>
      <c r="E415" s="518"/>
      <c r="F415" s="657"/>
      <c r="G415" s="657"/>
      <c r="H415" s="657"/>
      <c r="I415" s="519"/>
      <c r="J415" s="519"/>
      <c r="K415" s="519"/>
      <c r="L415" s="519"/>
      <c r="M415" s="519"/>
      <c r="N415" s="519"/>
      <c r="O415" s="519"/>
      <c r="P415" s="519"/>
      <c r="Q415" s="519"/>
      <c r="R415" s="519"/>
      <c r="S415" s="519"/>
      <c r="T415" s="519"/>
      <c r="U415" s="519"/>
      <c r="V415" s="519"/>
      <c r="W415" s="519"/>
      <c r="X415" s="519"/>
      <c r="Y415" s="519"/>
      <c r="Z415" s="519"/>
      <c r="AA415" s="519"/>
      <c r="AB415" s="526"/>
      <c r="AC415" s="526"/>
      <c r="AD415" s="658"/>
      <c r="AE415" s="658"/>
      <c r="AF415" s="658"/>
      <c r="AG415" s="526">
        <v>0</v>
      </c>
      <c r="AH415" s="526"/>
      <c r="AI415" s="659" t="e">
        <v>#N/A</v>
      </c>
      <c r="AJ415" s="659"/>
      <c r="AK415" s="659"/>
      <c r="AL415" s="659"/>
      <c r="AM415" s="659"/>
      <c r="AN415" s="659"/>
      <c r="AO415" s="659"/>
      <c r="AP415" s="659"/>
      <c r="AQ415" s="659"/>
      <c r="AR415" s="659"/>
      <c r="AS415" s="659"/>
      <c r="AT415" s="659"/>
      <c r="AU415" s="659"/>
      <c r="AV415" s="659"/>
      <c r="AW415" s="658">
        <v>0</v>
      </c>
      <c r="AX415" s="658"/>
      <c r="AY415" s="658"/>
      <c r="AZ415" s="658"/>
      <c r="BA415" s="658"/>
      <c r="BB415" s="658"/>
      <c r="BC415" s="658">
        <v>0</v>
      </c>
      <c r="BD415" s="658"/>
      <c r="BE415" s="658"/>
      <c r="BF415" s="658">
        <v>182.49</v>
      </c>
      <c r="BG415" s="658"/>
      <c r="BH415" s="658"/>
      <c r="BI415" s="567">
        <v>0</v>
      </c>
      <c r="BJ415" s="567"/>
      <c r="BK415" s="567"/>
      <c r="BL415" s="567"/>
      <c r="BM415" s="660" t="s">
        <v>932</v>
      </c>
      <c r="BN415" s="660"/>
      <c r="BO415" s="660"/>
      <c r="BP415" s="660"/>
      <c r="BQ415" s="568" t="s">
        <v>932</v>
      </c>
      <c r="BR415" s="568"/>
      <c r="BS415" s="568"/>
      <c r="BT415" s="660" t="s">
        <v>932</v>
      </c>
      <c r="BU415" s="660"/>
      <c r="BV415" s="660"/>
      <c r="BW415" s="660"/>
      <c r="BX415" s="568" t="s">
        <v>932</v>
      </c>
      <c r="BY415" s="568"/>
      <c r="BZ415" s="568"/>
      <c r="CA415" s="660" t="s">
        <v>932</v>
      </c>
      <c r="CB415" s="660"/>
      <c r="CC415" s="660"/>
      <c r="CD415" s="660"/>
      <c r="CE415" s="568">
        <v>1</v>
      </c>
      <c r="CF415" s="568"/>
      <c r="CG415" s="568"/>
      <c r="CH415" s="660" t="s">
        <v>932</v>
      </c>
      <c r="CI415" s="660"/>
      <c r="CJ415" s="660"/>
      <c r="CK415" s="660"/>
      <c r="CL415" s="568" t="s">
        <v>932</v>
      </c>
      <c r="CM415" s="568"/>
      <c r="CN415" s="568"/>
    </row>
    <row r="416" customHeight="1" spans="1:92">
      <c r="A416" s="612" t="s">
        <v>992</v>
      </c>
      <c r="B416" s="612"/>
      <c r="C416" s="518"/>
      <c r="D416" s="518"/>
      <c r="E416" s="518"/>
      <c r="F416" s="657">
        <v>1100657</v>
      </c>
      <c r="G416" s="657"/>
      <c r="H416" s="657"/>
      <c r="I416" s="519" t="s">
        <v>114</v>
      </c>
      <c r="J416" s="519"/>
      <c r="K416" s="519"/>
      <c r="L416" s="519"/>
      <c r="M416" s="519"/>
      <c r="N416" s="519"/>
      <c r="O416" s="519"/>
      <c r="P416" s="519"/>
      <c r="Q416" s="519"/>
      <c r="R416" s="519"/>
      <c r="S416" s="519"/>
      <c r="T416" s="519"/>
      <c r="U416" s="519"/>
      <c r="V416" s="519"/>
      <c r="W416" s="519"/>
      <c r="X416" s="519"/>
      <c r="Y416" s="519"/>
      <c r="Z416" s="519"/>
      <c r="AA416" s="519"/>
      <c r="AB416" s="526" t="s">
        <v>99</v>
      </c>
      <c r="AC416" s="526"/>
      <c r="AD416" s="658">
        <v>6.76</v>
      </c>
      <c r="AE416" s="658"/>
      <c r="AF416" s="658"/>
      <c r="AG416" s="526" t="s">
        <v>935</v>
      </c>
      <c r="AH416" s="526"/>
      <c r="AI416" s="659" t="s">
        <v>936</v>
      </c>
      <c r="AJ416" s="659"/>
      <c r="AK416" s="659"/>
      <c r="AL416" s="659"/>
      <c r="AM416" s="659"/>
      <c r="AN416" s="659"/>
      <c r="AO416" s="659"/>
      <c r="AP416" s="659"/>
      <c r="AQ416" s="659"/>
      <c r="AR416" s="659"/>
      <c r="AS416" s="659"/>
      <c r="AT416" s="659"/>
      <c r="AU416" s="659"/>
      <c r="AV416" s="659"/>
      <c r="AW416" s="658">
        <v>1</v>
      </c>
      <c r="AX416" s="658"/>
      <c r="AY416" s="658"/>
      <c r="AZ416" s="658">
        <v>9</v>
      </c>
      <c r="BA416" s="658"/>
      <c r="BB416" s="658"/>
      <c r="BC416" s="658">
        <v>0.751111111111111</v>
      </c>
      <c r="BD416" s="658"/>
      <c r="BE416" s="658"/>
      <c r="BF416" s="658">
        <v>182.49</v>
      </c>
      <c r="BG416" s="658"/>
      <c r="BH416" s="658"/>
      <c r="BI416" s="567">
        <v>0.00411590285008006</v>
      </c>
      <c r="BJ416" s="567"/>
      <c r="BK416" s="567"/>
      <c r="BL416" s="567"/>
      <c r="BM416" s="660" t="s">
        <v>932</v>
      </c>
      <c r="BN416" s="660"/>
      <c r="BO416" s="660"/>
      <c r="BP416" s="660"/>
      <c r="BQ416" s="568" t="s">
        <v>932</v>
      </c>
      <c r="BR416" s="568"/>
      <c r="BS416" s="568"/>
      <c r="BT416" s="660" t="s">
        <v>932</v>
      </c>
      <c r="BU416" s="660"/>
      <c r="BV416" s="660"/>
      <c r="BW416" s="660"/>
      <c r="BX416" s="568" t="s">
        <v>932</v>
      </c>
      <c r="BY416" s="568"/>
      <c r="BZ416" s="568"/>
      <c r="CA416" s="660">
        <v>0.00411590285008006</v>
      </c>
      <c r="CB416" s="660"/>
      <c r="CC416" s="660"/>
      <c r="CD416" s="660"/>
      <c r="CE416" s="568">
        <v>1</v>
      </c>
      <c r="CF416" s="568"/>
      <c r="CG416" s="568"/>
      <c r="CH416" s="660" t="s">
        <v>932</v>
      </c>
      <c r="CI416" s="660"/>
      <c r="CJ416" s="660"/>
      <c r="CK416" s="660"/>
      <c r="CL416" s="568" t="s">
        <v>932</v>
      </c>
      <c r="CM416" s="568"/>
      <c r="CN416" s="568"/>
    </row>
    <row r="417" hidden="1" customHeight="1" spans="1:92">
      <c r="A417" s="612"/>
      <c r="B417" s="612"/>
      <c r="C417" s="518"/>
      <c r="D417" s="518"/>
      <c r="E417" s="518"/>
      <c r="F417" s="657"/>
      <c r="G417" s="657"/>
      <c r="H417" s="657"/>
      <c r="I417" s="519"/>
      <c r="J417" s="519"/>
      <c r="K417" s="519"/>
      <c r="L417" s="519"/>
      <c r="M417" s="519"/>
      <c r="N417" s="519"/>
      <c r="O417" s="519"/>
      <c r="P417" s="519"/>
      <c r="Q417" s="519"/>
      <c r="R417" s="519"/>
      <c r="S417" s="519"/>
      <c r="T417" s="519"/>
      <c r="U417" s="519"/>
      <c r="V417" s="519"/>
      <c r="W417" s="519"/>
      <c r="X417" s="519"/>
      <c r="Y417" s="519"/>
      <c r="Z417" s="519"/>
      <c r="AA417" s="519"/>
      <c r="AB417" s="526"/>
      <c r="AC417" s="526"/>
      <c r="AD417" s="658"/>
      <c r="AE417" s="658"/>
      <c r="AF417" s="658"/>
      <c r="AG417" s="526">
        <v>0</v>
      </c>
      <c r="AH417" s="526"/>
      <c r="AI417" s="659" t="e">
        <v>#N/A</v>
      </c>
      <c r="AJ417" s="659"/>
      <c r="AK417" s="659"/>
      <c r="AL417" s="659"/>
      <c r="AM417" s="659"/>
      <c r="AN417" s="659"/>
      <c r="AO417" s="659"/>
      <c r="AP417" s="659"/>
      <c r="AQ417" s="659"/>
      <c r="AR417" s="659"/>
      <c r="AS417" s="659"/>
      <c r="AT417" s="659"/>
      <c r="AU417" s="659"/>
      <c r="AV417" s="659"/>
      <c r="AW417" s="658">
        <v>0</v>
      </c>
      <c r="AX417" s="658"/>
      <c r="AY417" s="658"/>
      <c r="AZ417" s="658"/>
      <c r="BA417" s="658"/>
      <c r="BB417" s="658"/>
      <c r="BC417" s="658">
        <v>0</v>
      </c>
      <c r="BD417" s="658"/>
      <c r="BE417" s="658"/>
      <c r="BF417" s="658">
        <v>182.49</v>
      </c>
      <c r="BG417" s="658"/>
      <c r="BH417" s="658"/>
      <c r="BI417" s="567">
        <v>0</v>
      </c>
      <c r="BJ417" s="567"/>
      <c r="BK417" s="567"/>
      <c r="BL417" s="567"/>
      <c r="BM417" s="660" t="s">
        <v>932</v>
      </c>
      <c r="BN417" s="660"/>
      <c r="BO417" s="660"/>
      <c r="BP417" s="660"/>
      <c r="BQ417" s="568" t="s">
        <v>932</v>
      </c>
      <c r="BR417" s="568"/>
      <c r="BS417" s="568"/>
      <c r="BT417" s="660" t="s">
        <v>932</v>
      </c>
      <c r="BU417" s="660"/>
      <c r="BV417" s="660"/>
      <c r="BW417" s="660"/>
      <c r="BX417" s="568" t="s">
        <v>932</v>
      </c>
      <c r="BY417" s="568"/>
      <c r="BZ417" s="568"/>
      <c r="CA417" s="660" t="s">
        <v>932</v>
      </c>
      <c r="CB417" s="660"/>
      <c r="CC417" s="660"/>
      <c r="CD417" s="660"/>
      <c r="CE417" s="568">
        <v>1</v>
      </c>
      <c r="CF417" s="568"/>
      <c r="CG417" s="568"/>
      <c r="CH417" s="660" t="s">
        <v>932</v>
      </c>
      <c r="CI417" s="660"/>
      <c r="CJ417" s="660"/>
      <c r="CK417" s="660"/>
      <c r="CL417" s="568" t="s">
        <v>932</v>
      </c>
      <c r="CM417" s="568"/>
      <c r="CN417" s="568"/>
    </row>
    <row r="418" hidden="1" customHeight="1" spans="1:92">
      <c r="A418" s="612"/>
      <c r="B418" s="612"/>
      <c r="C418" s="518"/>
      <c r="D418" s="518"/>
      <c r="E418" s="518"/>
      <c r="F418" s="657"/>
      <c r="G418" s="657"/>
      <c r="H418" s="657"/>
      <c r="I418" s="519"/>
      <c r="J418" s="519"/>
      <c r="K418" s="519"/>
      <c r="L418" s="519"/>
      <c r="M418" s="519"/>
      <c r="N418" s="519"/>
      <c r="O418" s="519"/>
      <c r="P418" s="519"/>
      <c r="Q418" s="519"/>
      <c r="R418" s="519"/>
      <c r="S418" s="519"/>
      <c r="T418" s="519"/>
      <c r="U418" s="519"/>
      <c r="V418" s="519"/>
      <c r="W418" s="519"/>
      <c r="X418" s="519"/>
      <c r="Y418" s="519"/>
      <c r="Z418" s="519"/>
      <c r="AA418" s="519"/>
      <c r="AB418" s="526"/>
      <c r="AC418" s="526"/>
      <c r="AD418" s="658"/>
      <c r="AE418" s="658"/>
      <c r="AF418" s="658"/>
      <c r="AG418" s="526">
        <v>0</v>
      </c>
      <c r="AH418" s="526"/>
      <c r="AI418" s="659" t="e">
        <v>#N/A</v>
      </c>
      <c r="AJ418" s="659"/>
      <c r="AK418" s="659"/>
      <c r="AL418" s="659"/>
      <c r="AM418" s="659"/>
      <c r="AN418" s="659"/>
      <c r="AO418" s="659"/>
      <c r="AP418" s="659"/>
      <c r="AQ418" s="659"/>
      <c r="AR418" s="659"/>
      <c r="AS418" s="659"/>
      <c r="AT418" s="659"/>
      <c r="AU418" s="659"/>
      <c r="AV418" s="659"/>
      <c r="AW418" s="658">
        <v>0</v>
      </c>
      <c r="AX418" s="658"/>
      <c r="AY418" s="658"/>
      <c r="AZ418" s="658"/>
      <c r="BA418" s="658"/>
      <c r="BB418" s="658"/>
      <c r="BC418" s="658">
        <v>0</v>
      </c>
      <c r="BD418" s="658"/>
      <c r="BE418" s="658"/>
      <c r="BF418" s="658">
        <v>182.49</v>
      </c>
      <c r="BG418" s="658"/>
      <c r="BH418" s="658"/>
      <c r="BI418" s="567">
        <v>0</v>
      </c>
      <c r="BJ418" s="567"/>
      <c r="BK418" s="567"/>
      <c r="BL418" s="567"/>
      <c r="BM418" s="660" t="s">
        <v>932</v>
      </c>
      <c r="BN418" s="660"/>
      <c r="BO418" s="660"/>
      <c r="BP418" s="660"/>
      <c r="BQ418" s="568" t="s">
        <v>932</v>
      </c>
      <c r="BR418" s="568"/>
      <c r="BS418" s="568"/>
      <c r="BT418" s="660" t="s">
        <v>932</v>
      </c>
      <c r="BU418" s="660"/>
      <c r="BV418" s="660"/>
      <c r="BW418" s="660"/>
      <c r="BX418" s="568" t="s">
        <v>932</v>
      </c>
      <c r="BY418" s="568"/>
      <c r="BZ418" s="568"/>
      <c r="CA418" s="660" t="s">
        <v>932</v>
      </c>
      <c r="CB418" s="660"/>
      <c r="CC418" s="660"/>
      <c r="CD418" s="660"/>
      <c r="CE418" s="568">
        <v>1</v>
      </c>
      <c r="CF418" s="568"/>
      <c r="CG418" s="568"/>
      <c r="CH418" s="660" t="s">
        <v>932</v>
      </c>
      <c r="CI418" s="660"/>
      <c r="CJ418" s="660"/>
      <c r="CK418" s="660"/>
      <c r="CL418" s="568" t="s">
        <v>932</v>
      </c>
      <c r="CM418" s="568"/>
      <c r="CN418" s="568"/>
    </row>
    <row r="419" hidden="1" customHeight="1" spans="1:92">
      <c r="A419" s="612"/>
      <c r="B419" s="612"/>
      <c r="C419" s="518"/>
      <c r="D419" s="518"/>
      <c r="E419" s="518"/>
      <c r="F419" s="657"/>
      <c r="G419" s="657"/>
      <c r="H419" s="657"/>
      <c r="I419" s="519"/>
      <c r="J419" s="519"/>
      <c r="K419" s="519"/>
      <c r="L419" s="519"/>
      <c r="M419" s="519"/>
      <c r="N419" s="519"/>
      <c r="O419" s="519"/>
      <c r="P419" s="519"/>
      <c r="Q419" s="519"/>
      <c r="R419" s="519"/>
      <c r="S419" s="519"/>
      <c r="T419" s="519"/>
      <c r="U419" s="519"/>
      <c r="V419" s="519"/>
      <c r="W419" s="519"/>
      <c r="X419" s="519"/>
      <c r="Y419" s="519"/>
      <c r="Z419" s="519"/>
      <c r="AA419" s="519"/>
      <c r="AB419" s="526"/>
      <c r="AC419" s="526"/>
      <c r="AD419" s="658"/>
      <c r="AE419" s="658"/>
      <c r="AF419" s="658"/>
      <c r="AG419" s="526">
        <v>0</v>
      </c>
      <c r="AH419" s="526"/>
      <c r="AI419" s="659" t="e">
        <v>#N/A</v>
      </c>
      <c r="AJ419" s="659"/>
      <c r="AK419" s="659"/>
      <c r="AL419" s="659"/>
      <c r="AM419" s="659"/>
      <c r="AN419" s="659"/>
      <c r="AO419" s="659"/>
      <c r="AP419" s="659"/>
      <c r="AQ419" s="659"/>
      <c r="AR419" s="659"/>
      <c r="AS419" s="659"/>
      <c r="AT419" s="659"/>
      <c r="AU419" s="659"/>
      <c r="AV419" s="659"/>
      <c r="AW419" s="658">
        <v>0</v>
      </c>
      <c r="AX419" s="658"/>
      <c r="AY419" s="658"/>
      <c r="AZ419" s="658"/>
      <c r="BA419" s="658"/>
      <c r="BB419" s="658"/>
      <c r="BC419" s="658">
        <v>0</v>
      </c>
      <c r="BD419" s="658"/>
      <c r="BE419" s="658"/>
      <c r="BF419" s="658">
        <v>182.49</v>
      </c>
      <c r="BG419" s="658"/>
      <c r="BH419" s="658"/>
      <c r="BI419" s="567">
        <v>0</v>
      </c>
      <c r="BJ419" s="567"/>
      <c r="BK419" s="567"/>
      <c r="BL419" s="567"/>
      <c r="BM419" s="660" t="s">
        <v>932</v>
      </c>
      <c r="BN419" s="660"/>
      <c r="BO419" s="660"/>
      <c r="BP419" s="660"/>
      <c r="BQ419" s="568" t="s">
        <v>932</v>
      </c>
      <c r="BR419" s="568"/>
      <c r="BS419" s="568"/>
      <c r="BT419" s="660" t="s">
        <v>932</v>
      </c>
      <c r="BU419" s="660"/>
      <c r="BV419" s="660"/>
      <c r="BW419" s="660"/>
      <c r="BX419" s="568" t="s">
        <v>932</v>
      </c>
      <c r="BY419" s="568"/>
      <c r="BZ419" s="568"/>
      <c r="CA419" s="660" t="s">
        <v>932</v>
      </c>
      <c r="CB419" s="660"/>
      <c r="CC419" s="660"/>
      <c r="CD419" s="660"/>
      <c r="CE419" s="568">
        <v>1</v>
      </c>
      <c r="CF419" s="568"/>
      <c r="CG419" s="568"/>
      <c r="CH419" s="660" t="s">
        <v>932</v>
      </c>
      <c r="CI419" s="660"/>
      <c r="CJ419" s="660"/>
      <c r="CK419" s="660"/>
      <c r="CL419" s="568" t="s">
        <v>932</v>
      </c>
      <c r="CM419" s="568"/>
      <c r="CN419" s="568"/>
    </row>
    <row r="420" hidden="1" customHeight="1" spans="1:92">
      <c r="A420" s="612"/>
      <c r="B420" s="612"/>
      <c r="C420" s="518"/>
      <c r="D420" s="518"/>
      <c r="E420" s="518"/>
      <c r="F420" s="657"/>
      <c r="G420" s="657"/>
      <c r="H420" s="657"/>
      <c r="I420" s="519"/>
      <c r="J420" s="519"/>
      <c r="K420" s="519"/>
      <c r="L420" s="519"/>
      <c r="M420" s="519"/>
      <c r="N420" s="519"/>
      <c r="O420" s="519"/>
      <c r="P420" s="519"/>
      <c r="Q420" s="519"/>
      <c r="R420" s="519"/>
      <c r="S420" s="519"/>
      <c r="T420" s="519"/>
      <c r="U420" s="519"/>
      <c r="V420" s="519"/>
      <c r="W420" s="519"/>
      <c r="X420" s="519"/>
      <c r="Y420" s="519"/>
      <c r="Z420" s="519"/>
      <c r="AA420" s="519"/>
      <c r="AB420" s="526"/>
      <c r="AC420" s="526"/>
      <c r="AD420" s="658"/>
      <c r="AE420" s="658"/>
      <c r="AF420" s="658"/>
      <c r="AG420" s="526">
        <v>0</v>
      </c>
      <c r="AH420" s="526"/>
      <c r="AI420" s="659" t="e">
        <v>#N/A</v>
      </c>
      <c r="AJ420" s="659"/>
      <c r="AK420" s="659"/>
      <c r="AL420" s="659"/>
      <c r="AM420" s="659"/>
      <c r="AN420" s="659"/>
      <c r="AO420" s="659"/>
      <c r="AP420" s="659"/>
      <c r="AQ420" s="659"/>
      <c r="AR420" s="659"/>
      <c r="AS420" s="659"/>
      <c r="AT420" s="659"/>
      <c r="AU420" s="659"/>
      <c r="AV420" s="659"/>
      <c r="AW420" s="658">
        <v>0</v>
      </c>
      <c r="AX420" s="658"/>
      <c r="AY420" s="658"/>
      <c r="AZ420" s="658"/>
      <c r="BA420" s="658"/>
      <c r="BB420" s="658"/>
      <c r="BC420" s="658">
        <v>0</v>
      </c>
      <c r="BD420" s="658"/>
      <c r="BE420" s="658"/>
      <c r="BF420" s="658">
        <v>182.49</v>
      </c>
      <c r="BG420" s="658"/>
      <c r="BH420" s="658"/>
      <c r="BI420" s="567">
        <v>0</v>
      </c>
      <c r="BJ420" s="567"/>
      <c r="BK420" s="567"/>
      <c r="BL420" s="567"/>
      <c r="BM420" s="660" t="s">
        <v>932</v>
      </c>
      <c r="BN420" s="660"/>
      <c r="BO420" s="660"/>
      <c r="BP420" s="660"/>
      <c r="BQ420" s="568" t="s">
        <v>932</v>
      </c>
      <c r="BR420" s="568"/>
      <c r="BS420" s="568"/>
      <c r="BT420" s="660" t="s">
        <v>932</v>
      </c>
      <c r="BU420" s="660"/>
      <c r="BV420" s="660"/>
      <c r="BW420" s="660"/>
      <c r="BX420" s="568" t="s">
        <v>932</v>
      </c>
      <c r="BY420" s="568"/>
      <c r="BZ420" s="568"/>
      <c r="CA420" s="660" t="s">
        <v>932</v>
      </c>
      <c r="CB420" s="660"/>
      <c r="CC420" s="660"/>
      <c r="CD420" s="660"/>
      <c r="CE420" s="568">
        <v>1</v>
      </c>
      <c r="CF420" s="568"/>
      <c r="CG420" s="568"/>
      <c r="CH420" s="660" t="s">
        <v>932</v>
      </c>
      <c r="CI420" s="660"/>
      <c r="CJ420" s="660"/>
      <c r="CK420" s="660"/>
      <c r="CL420" s="568" t="s">
        <v>932</v>
      </c>
      <c r="CM420" s="568"/>
      <c r="CN420" s="568"/>
    </row>
    <row r="421" hidden="1" customHeight="1" spans="1:92">
      <c r="A421" s="612"/>
      <c r="B421" s="612"/>
      <c r="C421" s="518"/>
      <c r="D421" s="518"/>
      <c r="E421" s="518"/>
      <c r="F421" s="657"/>
      <c r="G421" s="657"/>
      <c r="H421" s="657"/>
      <c r="I421" s="519"/>
      <c r="J421" s="519"/>
      <c r="K421" s="519"/>
      <c r="L421" s="519"/>
      <c r="M421" s="519"/>
      <c r="N421" s="519"/>
      <c r="O421" s="519"/>
      <c r="P421" s="519"/>
      <c r="Q421" s="519"/>
      <c r="R421" s="519"/>
      <c r="S421" s="519"/>
      <c r="T421" s="519"/>
      <c r="U421" s="519"/>
      <c r="V421" s="519"/>
      <c r="W421" s="519"/>
      <c r="X421" s="519"/>
      <c r="Y421" s="519"/>
      <c r="Z421" s="519"/>
      <c r="AA421" s="519"/>
      <c r="AB421" s="526"/>
      <c r="AC421" s="526"/>
      <c r="AD421" s="658"/>
      <c r="AE421" s="658"/>
      <c r="AF421" s="658"/>
      <c r="AG421" s="526">
        <v>0</v>
      </c>
      <c r="AH421" s="526"/>
      <c r="AI421" s="659" t="e">
        <v>#N/A</v>
      </c>
      <c r="AJ421" s="659"/>
      <c r="AK421" s="659"/>
      <c r="AL421" s="659"/>
      <c r="AM421" s="659"/>
      <c r="AN421" s="659"/>
      <c r="AO421" s="659"/>
      <c r="AP421" s="659"/>
      <c r="AQ421" s="659"/>
      <c r="AR421" s="659"/>
      <c r="AS421" s="659"/>
      <c r="AT421" s="659"/>
      <c r="AU421" s="659"/>
      <c r="AV421" s="659"/>
      <c r="AW421" s="658">
        <v>0</v>
      </c>
      <c r="AX421" s="658"/>
      <c r="AY421" s="658"/>
      <c r="AZ421" s="658"/>
      <c r="BA421" s="658"/>
      <c r="BB421" s="658"/>
      <c r="BC421" s="658">
        <v>0</v>
      </c>
      <c r="BD421" s="658"/>
      <c r="BE421" s="658"/>
      <c r="BF421" s="658">
        <v>182.49</v>
      </c>
      <c r="BG421" s="658"/>
      <c r="BH421" s="658"/>
      <c r="BI421" s="567">
        <v>0</v>
      </c>
      <c r="BJ421" s="567"/>
      <c r="BK421" s="567"/>
      <c r="BL421" s="567"/>
      <c r="BM421" s="660" t="s">
        <v>932</v>
      </c>
      <c r="BN421" s="660"/>
      <c r="BO421" s="660"/>
      <c r="BP421" s="660"/>
      <c r="BQ421" s="568" t="s">
        <v>932</v>
      </c>
      <c r="BR421" s="568"/>
      <c r="BS421" s="568"/>
      <c r="BT421" s="660" t="s">
        <v>932</v>
      </c>
      <c r="BU421" s="660"/>
      <c r="BV421" s="660"/>
      <c r="BW421" s="660"/>
      <c r="BX421" s="568" t="s">
        <v>932</v>
      </c>
      <c r="BY421" s="568"/>
      <c r="BZ421" s="568"/>
      <c r="CA421" s="660" t="s">
        <v>932</v>
      </c>
      <c r="CB421" s="660"/>
      <c r="CC421" s="660"/>
      <c r="CD421" s="660"/>
      <c r="CE421" s="568">
        <v>1</v>
      </c>
      <c r="CF421" s="568"/>
      <c r="CG421" s="568"/>
      <c r="CH421" s="660" t="s">
        <v>932</v>
      </c>
      <c r="CI421" s="660"/>
      <c r="CJ421" s="660"/>
      <c r="CK421" s="660"/>
      <c r="CL421" s="568" t="s">
        <v>932</v>
      </c>
      <c r="CM421" s="568"/>
      <c r="CN421" s="568"/>
    </row>
    <row r="422" hidden="1" customHeight="1" spans="1:92">
      <c r="A422" s="612"/>
      <c r="B422" s="612"/>
      <c r="C422" s="518"/>
      <c r="D422" s="518"/>
      <c r="E422" s="518"/>
      <c r="F422" s="657"/>
      <c r="G422" s="657"/>
      <c r="H422" s="657"/>
      <c r="I422" s="519"/>
      <c r="J422" s="519"/>
      <c r="K422" s="519"/>
      <c r="L422" s="519"/>
      <c r="M422" s="519"/>
      <c r="N422" s="519"/>
      <c r="O422" s="519"/>
      <c r="P422" s="519"/>
      <c r="Q422" s="519"/>
      <c r="R422" s="519"/>
      <c r="S422" s="519"/>
      <c r="T422" s="519"/>
      <c r="U422" s="519"/>
      <c r="V422" s="519"/>
      <c r="W422" s="519"/>
      <c r="X422" s="519"/>
      <c r="Y422" s="519"/>
      <c r="Z422" s="519"/>
      <c r="AA422" s="519"/>
      <c r="AB422" s="526"/>
      <c r="AC422" s="526"/>
      <c r="AD422" s="658"/>
      <c r="AE422" s="658"/>
      <c r="AF422" s="658"/>
      <c r="AG422" s="526">
        <v>0</v>
      </c>
      <c r="AH422" s="526"/>
      <c r="AI422" s="659" t="e">
        <v>#N/A</v>
      </c>
      <c r="AJ422" s="659"/>
      <c r="AK422" s="659"/>
      <c r="AL422" s="659"/>
      <c r="AM422" s="659"/>
      <c r="AN422" s="659"/>
      <c r="AO422" s="659"/>
      <c r="AP422" s="659"/>
      <c r="AQ422" s="659"/>
      <c r="AR422" s="659"/>
      <c r="AS422" s="659"/>
      <c r="AT422" s="659"/>
      <c r="AU422" s="659"/>
      <c r="AV422" s="659"/>
      <c r="AW422" s="658">
        <v>0</v>
      </c>
      <c r="AX422" s="658"/>
      <c r="AY422" s="658"/>
      <c r="AZ422" s="658"/>
      <c r="BA422" s="658"/>
      <c r="BB422" s="658"/>
      <c r="BC422" s="658">
        <v>0</v>
      </c>
      <c r="BD422" s="658"/>
      <c r="BE422" s="658"/>
      <c r="BF422" s="658">
        <v>182.49</v>
      </c>
      <c r="BG422" s="658"/>
      <c r="BH422" s="658"/>
      <c r="BI422" s="567">
        <v>0</v>
      </c>
      <c r="BJ422" s="567"/>
      <c r="BK422" s="567"/>
      <c r="BL422" s="567"/>
      <c r="BM422" s="660" t="s">
        <v>932</v>
      </c>
      <c r="BN422" s="660"/>
      <c r="BO422" s="660"/>
      <c r="BP422" s="660"/>
      <c r="BQ422" s="568" t="s">
        <v>932</v>
      </c>
      <c r="BR422" s="568"/>
      <c r="BS422" s="568"/>
      <c r="BT422" s="660" t="s">
        <v>932</v>
      </c>
      <c r="BU422" s="660"/>
      <c r="BV422" s="660"/>
      <c r="BW422" s="660"/>
      <c r="BX422" s="568" t="s">
        <v>932</v>
      </c>
      <c r="BY422" s="568"/>
      <c r="BZ422" s="568"/>
      <c r="CA422" s="660" t="s">
        <v>932</v>
      </c>
      <c r="CB422" s="660"/>
      <c r="CC422" s="660"/>
      <c r="CD422" s="660"/>
      <c r="CE422" s="568">
        <v>1</v>
      </c>
      <c r="CF422" s="568"/>
      <c r="CG422" s="568"/>
      <c r="CH422" s="660" t="s">
        <v>932</v>
      </c>
      <c r="CI422" s="660"/>
      <c r="CJ422" s="660"/>
      <c r="CK422" s="660"/>
      <c r="CL422" s="568" t="s">
        <v>932</v>
      </c>
      <c r="CM422" s="568"/>
      <c r="CN422" s="568"/>
    </row>
    <row r="423" hidden="1" customHeight="1" spans="1:92">
      <c r="A423" s="612"/>
      <c r="B423" s="612"/>
      <c r="C423" s="518"/>
      <c r="D423" s="518"/>
      <c r="E423" s="518"/>
      <c r="F423" s="657"/>
      <c r="G423" s="657"/>
      <c r="H423" s="657"/>
      <c r="I423" s="519"/>
      <c r="J423" s="519"/>
      <c r="K423" s="519"/>
      <c r="L423" s="519"/>
      <c r="M423" s="519"/>
      <c r="N423" s="519"/>
      <c r="O423" s="519"/>
      <c r="P423" s="519"/>
      <c r="Q423" s="519"/>
      <c r="R423" s="519"/>
      <c r="S423" s="519"/>
      <c r="T423" s="519"/>
      <c r="U423" s="519"/>
      <c r="V423" s="519"/>
      <c r="W423" s="519"/>
      <c r="X423" s="519"/>
      <c r="Y423" s="519"/>
      <c r="Z423" s="519"/>
      <c r="AA423" s="519"/>
      <c r="AB423" s="526"/>
      <c r="AC423" s="526"/>
      <c r="AD423" s="658"/>
      <c r="AE423" s="658"/>
      <c r="AF423" s="658"/>
      <c r="AG423" s="526">
        <v>0</v>
      </c>
      <c r="AH423" s="526"/>
      <c r="AI423" s="659" t="e">
        <v>#N/A</v>
      </c>
      <c r="AJ423" s="659"/>
      <c r="AK423" s="659"/>
      <c r="AL423" s="659"/>
      <c r="AM423" s="659"/>
      <c r="AN423" s="659"/>
      <c r="AO423" s="659"/>
      <c r="AP423" s="659"/>
      <c r="AQ423" s="659"/>
      <c r="AR423" s="659"/>
      <c r="AS423" s="659"/>
      <c r="AT423" s="659"/>
      <c r="AU423" s="659"/>
      <c r="AV423" s="659"/>
      <c r="AW423" s="658">
        <v>0</v>
      </c>
      <c r="AX423" s="658"/>
      <c r="AY423" s="658"/>
      <c r="AZ423" s="658"/>
      <c r="BA423" s="658"/>
      <c r="BB423" s="658"/>
      <c r="BC423" s="658">
        <v>0</v>
      </c>
      <c r="BD423" s="658"/>
      <c r="BE423" s="658"/>
      <c r="BF423" s="658">
        <v>182.49</v>
      </c>
      <c r="BG423" s="658"/>
      <c r="BH423" s="658"/>
      <c r="BI423" s="567">
        <v>0</v>
      </c>
      <c r="BJ423" s="567"/>
      <c r="BK423" s="567"/>
      <c r="BL423" s="567"/>
      <c r="BM423" s="660" t="s">
        <v>932</v>
      </c>
      <c r="BN423" s="660"/>
      <c r="BO423" s="660"/>
      <c r="BP423" s="660"/>
      <c r="BQ423" s="568" t="s">
        <v>932</v>
      </c>
      <c r="BR423" s="568"/>
      <c r="BS423" s="568"/>
      <c r="BT423" s="660" t="s">
        <v>932</v>
      </c>
      <c r="BU423" s="660"/>
      <c r="BV423" s="660"/>
      <c r="BW423" s="660"/>
      <c r="BX423" s="568" t="s">
        <v>932</v>
      </c>
      <c r="BY423" s="568"/>
      <c r="BZ423" s="568"/>
      <c r="CA423" s="660" t="s">
        <v>932</v>
      </c>
      <c r="CB423" s="660"/>
      <c r="CC423" s="660"/>
      <c r="CD423" s="660"/>
      <c r="CE423" s="568">
        <v>1</v>
      </c>
      <c r="CF423" s="568"/>
      <c r="CG423" s="568"/>
      <c r="CH423" s="660" t="s">
        <v>932</v>
      </c>
      <c r="CI423" s="660"/>
      <c r="CJ423" s="660"/>
      <c r="CK423" s="660"/>
      <c r="CL423" s="568" t="s">
        <v>932</v>
      </c>
      <c r="CM423" s="568"/>
      <c r="CN423" s="568"/>
    </row>
    <row r="424" customHeight="1" spans="1:92">
      <c r="A424" s="612" t="s">
        <v>993</v>
      </c>
      <c r="B424" s="612"/>
      <c r="C424" s="518"/>
      <c r="D424" s="518"/>
      <c r="E424" s="518"/>
      <c r="F424" s="657">
        <v>1107900</v>
      </c>
      <c r="G424" s="657"/>
      <c r="H424" s="657"/>
      <c r="I424" s="519" t="s">
        <v>108</v>
      </c>
      <c r="J424" s="519"/>
      <c r="K424" s="519"/>
      <c r="L424" s="519"/>
      <c r="M424" s="519"/>
      <c r="N424" s="519"/>
      <c r="O424" s="519"/>
      <c r="P424" s="519"/>
      <c r="Q424" s="519"/>
      <c r="R424" s="519"/>
      <c r="S424" s="519"/>
      <c r="T424" s="519"/>
      <c r="U424" s="519"/>
      <c r="V424" s="519"/>
      <c r="W424" s="519"/>
      <c r="X424" s="519"/>
      <c r="Y424" s="519"/>
      <c r="Z424" s="519"/>
      <c r="AA424" s="519"/>
      <c r="AB424" s="526" t="s">
        <v>99</v>
      </c>
      <c r="AC424" s="526"/>
      <c r="AD424" s="658">
        <v>3.15</v>
      </c>
      <c r="AE424" s="658"/>
      <c r="AF424" s="658"/>
      <c r="AG424" s="526" t="s">
        <v>946</v>
      </c>
      <c r="AH424" s="526"/>
      <c r="AI424" s="659" t="s">
        <v>947</v>
      </c>
      <c r="AJ424" s="659"/>
      <c r="AK424" s="659"/>
      <c r="AL424" s="659"/>
      <c r="AM424" s="659"/>
      <c r="AN424" s="659"/>
      <c r="AO424" s="659"/>
      <c r="AP424" s="659"/>
      <c r="AQ424" s="659"/>
      <c r="AR424" s="659"/>
      <c r="AS424" s="659"/>
      <c r="AT424" s="659"/>
      <c r="AU424" s="659"/>
      <c r="AV424" s="659"/>
      <c r="AW424" s="658">
        <v>1</v>
      </c>
      <c r="AX424" s="658"/>
      <c r="AY424" s="658"/>
      <c r="AZ424" s="658">
        <v>3.853</v>
      </c>
      <c r="BA424" s="658"/>
      <c r="BB424" s="658"/>
      <c r="BC424" s="658">
        <v>0.81754477030885</v>
      </c>
      <c r="BD424" s="658"/>
      <c r="BE424" s="658"/>
      <c r="BF424" s="658">
        <v>182.49</v>
      </c>
      <c r="BG424" s="658"/>
      <c r="BH424" s="658"/>
      <c r="BI424" s="567">
        <v>0.00447994284787577</v>
      </c>
      <c r="BJ424" s="567"/>
      <c r="BK424" s="567"/>
      <c r="BL424" s="567"/>
      <c r="BM424" s="660" t="s">
        <v>932</v>
      </c>
      <c r="BN424" s="660"/>
      <c r="BO424" s="660"/>
      <c r="BP424" s="660"/>
      <c r="BQ424" s="568" t="s">
        <v>932</v>
      </c>
      <c r="BR424" s="568"/>
      <c r="BS424" s="568"/>
      <c r="BT424" s="660" t="s">
        <v>932</v>
      </c>
      <c r="BU424" s="660"/>
      <c r="BV424" s="660"/>
      <c r="BW424" s="660"/>
      <c r="BX424" s="568" t="s">
        <v>932</v>
      </c>
      <c r="BY424" s="568"/>
      <c r="BZ424" s="568"/>
      <c r="CA424" s="660" t="s">
        <v>932</v>
      </c>
      <c r="CB424" s="660"/>
      <c r="CC424" s="660"/>
      <c r="CD424" s="660"/>
      <c r="CE424" s="568" t="s">
        <v>932</v>
      </c>
      <c r="CF424" s="568"/>
      <c r="CG424" s="568"/>
      <c r="CH424" s="660">
        <v>0.00447994284787577</v>
      </c>
      <c r="CI424" s="660"/>
      <c r="CJ424" s="660"/>
      <c r="CK424" s="660"/>
      <c r="CL424" s="568">
        <v>1</v>
      </c>
      <c r="CM424" s="568"/>
      <c r="CN424" s="568"/>
    </row>
    <row r="425" customHeight="1" spans="1:92">
      <c r="A425" s="612"/>
      <c r="B425" s="612"/>
      <c r="C425" s="518"/>
      <c r="D425" s="518"/>
      <c r="E425" s="518"/>
      <c r="F425" s="657"/>
      <c r="G425" s="657"/>
      <c r="H425" s="657"/>
      <c r="I425" s="519"/>
      <c r="J425" s="519"/>
      <c r="K425" s="519"/>
      <c r="L425" s="519"/>
      <c r="M425" s="519"/>
      <c r="N425" s="519"/>
      <c r="O425" s="519"/>
      <c r="P425" s="519"/>
      <c r="Q425" s="519"/>
      <c r="R425" s="519"/>
      <c r="S425" s="519"/>
      <c r="T425" s="519"/>
      <c r="U425" s="519"/>
      <c r="V425" s="519"/>
      <c r="W425" s="519"/>
      <c r="X425" s="519"/>
      <c r="Y425" s="519"/>
      <c r="Z425" s="519"/>
      <c r="AA425" s="519"/>
      <c r="AB425" s="526"/>
      <c r="AC425" s="526"/>
      <c r="AD425" s="658"/>
      <c r="AE425" s="658"/>
      <c r="AF425" s="658"/>
      <c r="AG425" s="526" t="s">
        <v>935</v>
      </c>
      <c r="AH425" s="526"/>
      <c r="AI425" s="659" t="s">
        <v>936</v>
      </c>
      <c r="AJ425" s="659"/>
      <c r="AK425" s="659"/>
      <c r="AL425" s="659"/>
      <c r="AM425" s="659"/>
      <c r="AN425" s="659"/>
      <c r="AO425" s="659"/>
      <c r="AP425" s="659"/>
      <c r="AQ425" s="659"/>
      <c r="AR425" s="659"/>
      <c r="AS425" s="659"/>
      <c r="AT425" s="659"/>
      <c r="AU425" s="659"/>
      <c r="AV425" s="659"/>
      <c r="AW425" s="658">
        <v>9</v>
      </c>
      <c r="AX425" s="658"/>
      <c r="AY425" s="658"/>
      <c r="AZ425" s="658"/>
      <c r="BA425" s="658"/>
      <c r="BB425" s="658"/>
      <c r="BC425" s="658">
        <v>7.35790293277965</v>
      </c>
      <c r="BD425" s="658"/>
      <c r="BE425" s="658"/>
      <c r="BF425" s="658">
        <v>182.49</v>
      </c>
      <c r="BG425" s="658"/>
      <c r="BH425" s="658"/>
      <c r="BI425" s="567">
        <v>0.040319485630882</v>
      </c>
      <c r="BJ425" s="567"/>
      <c r="BK425" s="567"/>
      <c r="BL425" s="567"/>
      <c r="BM425" s="660" t="s">
        <v>932</v>
      </c>
      <c r="BN425" s="660"/>
      <c r="BO425" s="660"/>
      <c r="BP425" s="660"/>
      <c r="BQ425" s="568" t="s">
        <v>932</v>
      </c>
      <c r="BR425" s="568"/>
      <c r="BS425" s="568"/>
      <c r="BT425" s="660" t="s">
        <v>932</v>
      </c>
      <c r="BU425" s="660"/>
      <c r="BV425" s="660"/>
      <c r="BW425" s="660"/>
      <c r="BX425" s="568" t="s">
        <v>932</v>
      </c>
      <c r="BY425" s="568"/>
      <c r="BZ425" s="568"/>
      <c r="CA425" s="660" t="s">
        <v>932</v>
      </c>
      <c r="CB425" s="660"/>
      <c r="CC425" s="660"/>
      <c r="CD425" s="660"/>
      <c r="CE425" s="568" t="s">
        <v>932</v>
      </c>
      <c r="CF425" s="568"/>
      <c r="CG425" s="568"/>
      <c r="CH425" s="660">
        <v>0.040319485630882</v>
      </c>
      <c r="CI425" s="660"/>
      <c r="CJ425" s="660"/>
      <c r="CK425" s="660"/>
      <c r="CL425" s="568">
        <v>1</v>
      </c>
      <c r="CM425" s="568"/>
      <c r="CN425" s="568"/>
    </row>
    <row r="426" hidden="1" customHeight="1" spans="1:92">
      <c r="A426" s="612"/>
      <c r="B426" s="612"/>
      <c r="C426" s="518"/>
      <c r="D426" s="518"/>
      <c r="E426" s="518"/>
      <c r="F426" s="657"/>
      <c r="G426" s="657"/>
      <c r="H426" s="657"/>
      <c r="I426" s="519"/>
      <c r="J426" s="519"/>
      <c r="K426" s="519"/>
      <c r="L426" s="519"/>
      <c r="M426" s="519"/>
      <c r="N426" s="519"/>
      <c r="O426" s="519"/>
      <c r="P426" s="519"/>
      <c r="Q426" s="519"/>
      <c r="R426" s="519"/>
      <c r="S426" s="519"/>
      <c r="T426" s="519"/>
      <c r="U426" s="519"/>
      <c r="V426" s="519"/>
      <c r="W426" s="519"/>
      <c r="X426" s="519"/>
      <c r="Y426" s="519"/>
      <c r="Z426" s="519"/>
      <c r="AA426" s="519"/>
      <c r="AB426" s="526"/>
      <c r="AC426" s="526"/>
      <c r="AD426" s="658"/>
      <c r="AE426" s="658"/>
      <c r="AF426" s="658"/>
      <c r="AG426" s="526">
        <v>0</v>
      </c>
      <c r="AH426" s="526"/>
      <c r="AI426" s="659" t="e">
        <v>#N/A</v>
      </c>
      <c r="AJ426" s="659"/>
      <c r="AK426" s="659"/>
      <c r="AL426" s="659"/>
      <c r="AM426" s="659"/>
      <c r="AN426" s="659"/>
      <c r="AO426" s="659"/>
      <c r="AP426" s="659"/>
      <c r="AQ426" s="659"/>
      <c r="AR426" s="659"/>
      <c r="AS426" s="659"/>
      <c r="AT426" s="659"/>
      <c r="AU426" s="659"/>
      <c r="AV426" s="659"/>
      <c r="AW426" s="658">
        <v>0</v>
      </c>
      <c r="AX426" s="658"/>
      <c r="AY426" s="658"/>
      <c r="AZ426" s="658"/>
      <c r="BA426" s="658"/>
      <c r="BB426" s="658"/>
      <c r="BC426" s="658">
        <v>0</v>
      </c>
      <c r="BD426" s="658"/>
      <c r="BE426" s="658"/>
      <c r="BF426" s="658">
        <v>182.49</v>
      </c>
      <c r="BG426" s="658"/>
      <c r="BH426" s="658"/>
      <c r="BI426" s="567">
        <v>0</v>
      </c>
      <c r="BJ426" s="567"/>
      <c r="BK426" s="567"/>
      <c r="BL426" s="567"/>
      <c r="BM426" s="660" t="s">
        <v>932</v>
      </c>
      <c r="BN426" s="660"/>
      <c r="BO426" s="660"/>
      <c r="BP426" s="660"/>
      <c r="BQ426" s="568" t="s">
        <v>932</v>
      </c>
      <c r="BR426" s="568"/>
      <c r="BS426" s="568"/>
      <c r="BT426" s="660" t="s">
        <v>932</v>
      </c>
      <c r="BU426" s="660"/>
      <c r="BV426" s="660"/>
      <c r="BW426" s="660"/>
      <c r="BX426" s="568" t="s">
        <v>932</v>
      </c>
      <c r="BY426" s="568"/>
      <c r="BZ426" s="568"/>
      <c r="CA426" s="660" t="s">
        <v>932</v>
      </c>
      <c r="CB426" s="660"/>
      <c r="CC426" s="660"/>
      <c r="CD426" s="660"/>
      <c r="CE426" s="568" t="s">
        <v>932</v>
      </c>
      <c r="CF426" s="568"/>
      <c r="CG426" s="568"/>
      <c r="CH426" s="660" t="s">
        <v>932</v>
      </c>
      <c r="CI426" s="660"/>
      <c r="CJ426" s="660"/>
      <c r="CK426" s="660"/>
      <c r="CL426" s="568">
        <v>1</v>
      </c>
      <c r="CM426" s="568"/>
      <c r="CN426" s="568"/>
    </row>
    <row r="427" hidden="1" customHeight="1" spans="1:92">
      <c r="A427" s="612"/>
      <c r="B427" s="612"/>
      <c r="C427" s="518"/>
      <c r="D427" s="518"/>
      <c r="E427" s="518"/>
      <c r="F427" s="657"/>
      <c r="G427" s="657"/>
      <c r="H427" s="657"/>
      <c r="I427" s="519"/>
      <c r="J427" s="519"/>
      <c r="K427" s="519"/>
      <c r="L427" s="519"/>
      <c r="M427" s="519"/>
      <c r="N427" s="519"/>
      <c r="O427" s="519"/>
      <c r="P427" s="519"/>
      <c r="Q427" s="519"/>
      <c r="R427" s="519"/>
      <c r="S427" s="519"/>
      <c r="T427" s="519"/>
      <c r="U427" s="519"/>
      <c r="V427" s="519"/>
      <c r="W427" s="519"/>
      <c r="X427" s="519"/>
      <c r="Y427" s="519"/>
      <c r="Z427" s="519"/>
      <c r="AA427" s="519"/>
      <c r="AB427" s="526"/>
      <c r="AC427" s="526"/>
      <c r="AD427" s="658"/>
      <c r="AE427" s="658"/>
      <c r="AF427" s="658"/>
      <c r="AG427" s="526">
        <v>0</v>
      </c>
      <c r="AH427" s="526"/>
      <c r="AI427" s="659" t="e">
        <v>#N/A</v>
      </c>
      <c r="AJ427" s="659"/>
      <c r="AK427" s="659"/>
      <c r="AL427" s="659"/>
      <c r="AM427" s="659"/>
      <c r="AN427" s="659"/>
      <c r="AO427" s="659"/>
      <c r="AP427" s="659"/>
      <c r="AQ427" s="659"/>
      <c r="AR427" s="659"/>
      <c r="AS427" s="659"/>
      <c r="AT427" s="659"/>
      <c r="AU427" s="659"/>
      <c r="AV427" s="659"/>
      <c r="AW427" s="658">
        <v>0</v>
      </c>
      <c r="AX427" s="658"/>
      <c r="AY427" s="658"/>
      <c r="AZ427" s="658"/>
      <c r="BA427" s="658"/>
      <c r="BB427" s="658"/>
      <c r="BC427" s="658">
        <v>0</v>
      </c>
      <c r="BD427" s="658"/>
      <c r="BE427" s="658"/>
      <c r="BF427" s="658">
        <v>182.49</v>
      </c>
      <c r="BG427" s="658"/>
      <c r="BH427" s="658"/>
      <c r="BI427" s="567">
        <v>0</v>
      </c>
      <c r="BJ427" s="567"/>
      <c r="BK427" s="567"/>
      <c r="BL427" s="567"/>
      <c r="BM427" s="660" t="s">
        <v>932</v>
      </c>
      <c r="BN427" s="660"/>
      <c r="BO427" s="660"/>
      <c r="BP427" s="660"/>
      <c r="BQ427" s="568" t="s">
        <v>932</v>
      </c>
      <c r="BR427" s="568"/>
      <c r="BS427" s="568"/>
      <c r="BT427" s="660" t="s">
        <v>932</v>
      </c>
      <c r="BU427" s="660"/>
      <c r="BV427" s="660"/>
      <c r="BW427" s="660"/>
      <c r="BX427" s="568" t="s">
        <v>932</v>
      </c>
      <c r="BY427" s="568"/>
      <c r="BZ427" s="568"/>
      <c r="CA427" s="660" t="s">
        <v>932</v>
      </c>
      <c r="CB427" s="660"/>
      <c r="CC427" s="660"/>
      <c r="CD427" s="660"/>
      <c r="CE427" s="568" t="s">
        <v>932</v>
      </c>
      <c r="CF427" s="568"/>
      <c r="CG427" s="568"/>
      <c r="CH427" s="660" t="s">
        <v>932</v>
      </c>
      <c r="CI427" s="660"/>
      <c r="CJ427" s="660"/>
      <c r="CK427" s="660"/>
      <c r="CL427" s="568">
        <v>1</v>
      </c>
      <c r="CM427" s="568"/>
      <c r="CN427" s="568"/>
    </row>
    <row r="428" hidden="1" customHeight="1" spans="1:92">
      <c r="A428" s="612"/>
      <c r="B428" s="612"/>
      <c r="C428" s="518"/>
      <c r="D428" s="518"/>
      <c r="E428" s="518"/>
      <c r="F428" s="657"/>
      <c r="G428" s="657"/>
      <c r="H428" s="657"/>
      <c r="I428" s="519"/>
      <c r="J428" s="519"/>
      <c r="K428" s="519"/>
      <c r="L428" s="519"/>
      <c r="M428" s="519"/>
      <c r="N428" s="519"/>
      <c r="O428" s="519"/>
      <c r="P428" s="519"/>
      <c r="Q428" s="519"/>
      <c r="R428" s="519"/>
      <c r="S428" s="519"/>
      <c r="T428" s="519"/>
      <c r="U428" s="519"/>
      <c r="V428" s="519"/>
      <c r="W428" s="519"/>
      <c r="X428" s="519"/>
      <c r="Y428" s="519"/>
      <c r="Z428" s="519"/>
      <c r="AA428" s="519"/>
      <c r="AB428" s="526"/>
      <c r="AC428" s="526"/>
      <c r="AD428" s="658"/>
      <c r="AE428" s="658"/>
      <c r="AF428" s="658"/>
      <c r="AG428" s="526">
        <v>0</v>
      </c>
      <c r="AH428" s="526"/>
      <c r="AI428" s="659" t="e">
        <v>#N/A</v>
      </c>
      <c r="AJ428" s="659"/>
      <c r="AK428" s="659"/>
      <c r="AL428" s="659"/>
      <c r="AM428" s="659"/>
      <c r="AN428" s="659"/>
      <c r="AO428" s="659"/>
      <c r="AP428" s="659"/>
      <c r="AQ428" s="659"/>
      <c r="AR428" s="659"/>
      <c r="AS428" s="659"/>
      <c r="AT428" s="659"/>
      <c r="AU428" s="659"/>
      <c r="AV428" s="659"/>
      <c r="AW428" s="658">
        <v>0</v>
      </c>
      <c r="AX428" s="658"/>
      <c r="AY428" s="658"/>
      <c r="AZ428" s="658"/>
      <c r="BA428" s="658"/>
      <c r="BB428" s="658"/>
      <c r="BC428" s="658">
        <v>0</v>
      </c>
      <c r="BD428" s="658"/>
      <c r="BE428" s="658"/>
      <c r="BF428" s="658">
        <v>182.49</v>
      </c>
      <c r="BG428" s="658"/>
      <c r="BH428" s="658"/>
      <c r="BI428" s="567">
        <v>0</v>
      </c>
      <c r="BJ428" s="567"/>
      <c r="BK428" s="567"/>
      <c r="BL428" s="567"/>
      <c r="BM428" s="660" t="s">
        <v>932</v>
      </c>
      <c r="BN428" s="660"/>
      <c r="BO428" s="660"/>
      <c r="BP428" s="660"/>
      <c r="BQ428" s="568" t="s">
        <v>932</v>
      </c>
      <c r="BR428" s="568"/>
      <c r="BS428" s="568"/>
      <c r="BT428" s="660" t="s">
        <v>932</v>
      </c>
      <c r="BU428" s="660"/>
      <c r="BV428" s="660"/>
      <c r="BW428" s="660"/>
      <c r="BX428" s="568" t="s">
        <v>932</v>
      </c>
      <c r="BY428" s="568"/>
      <c r="BZ428" s="568"/>
      <c r="CA428" s="660" t="s">
        <v>932</v>
      </c>
      <c r="CB428" s="660"/>
      <c r="CC428" s="660"/>
      <c r="CD428" s="660"/>
      <c r="CE428" s="568" t="s">
        <v>932</v>
      </c>
      <c r="CF428" s="568"/>
      <c r="CG428" s="568"/>
      <c r="CH428" s="660" t="s">
        <v>932</v>
      </c>
      <c r="CI428" s="660"/>
      <c r="CJ428" s="660"/>
      <c r="CK428" s="660"/>
      <c r="CL428" s="568">
        <v>1</v>
      </c>
      <c r="CM428" s="568"/>
      <c r="CN428" s="568"/>
    </row>
    <row r="429" hidden="1" customHeight="1" spans="1:92">
      <c r="A429" s="612"/>
      <c r="B429" s="612"/>
      <c r="C429" s="518"/>
      <c r="D429" s="518"/>
      <c r="E429" s="518"/>
      <c r="F429" s="657"/>
      <c r="G429" s="657"/>
      <c r="H429" s="657"/>
      <c r="I429" s="519"/>
      <c r="J429" s="519"/>
      <c r="K429" s="519"/>
      <c r="L429" s="519"/>
      <c r="M429" s="519"/>
      <c r="N429" s="519"/>
      <c r="O429" s="519"/>
      <c r="P429" s="519"/>
      <c r="Q429" s="519"/>
      <c r="R429" s="519"/>
      <c r="S429" s="519"/>
      <c r="T429" s="519"/>
      <c r="U429" s="519"/>
      <c r="V429" s="519"/>
      <c r="W429" s="519"/>
      <c r="X429" s="519"/>
      <c r="Y429" s="519"/>
      <c r="Z429" s="519"/>
      <c r="AA429" s="519"/>
      <c r="AB429" s="526"/>
      <c r="AC429" s="526"/>
      <c r="AD429" s="658"/>
      <c r="AE429" s="658"/>
      <c r="AF429" s="658"/>
      <c r="AG429" s="526">
        <v>0</v>
      </c>
      <c r="AH429" s="526"/>
      <c r="AI429" s="659" t="e">
        <v>#N/A</v>
      </c>
      <c r="AJ429" s="659"/>
      <c r="AK429" s="659"/>
      <c r="AL429" s="659"/>
      <c r="AM429" s="659"/>
      <c r="AN429" s="659"/>
      <c r="AO429" s="659"/>
      <c r="AP429" s="659"/>
      <c r="AQ429" s="659"/>
      <c r="AR429" s="659"/>
      <c r="AS429" s="659"/>
      <c r="AT429" s="659"/>
      <c r="AU429" s="659"/>
      <c r="AV429" s="659"/>
      <c r="AW429" s="658">
        <v>0</v>
      </c>
      <c r="AX429" s="658"/>
      <c r="AY429" s="658"/>
      <c r="AZ429" s="658"/>
      <c r="BA429" s="658"/>
      <c r="BB429" s="658"/>
      <c r="BC429" s="658">
        <v>0</v>
      </c>
      <c r="BD429" s="658"/>
      <c r="BE429" s="658"/>
      <c r="BF429" s="658">
        <v>182.49</v>
      </c>
      <c r="BG429" s="658"/>
      <c r="BH429" s="658"/>
      <c r="BI429" s="567">
        <v>0</v>
      </c>
      <c r="BJ429" s="567"/>
      <c r="BK429" s="567"/>
      <c r="BL429" s="567"/>
      <c r="BM429" s="660" t="s">
        <v>932</v>
      </c>
      <c r="BN429" s="660"/>
      <c r="BO429" s="660"/>
      <c r="BP429" s="660"/>
      <c r="BQ429" s="568" t="s">
        <v>932</v>
      </c>
      <c r="BR429" s="568"/>
      <c r="BS429" s="568"/>
      <c r="BT429" s="660" t="s">
        <v>932</v>
      </c>
      <c r="BU429" s="660"/>
      <c r="BV429" s="660"/>
      <c r="BW429" s="660"/>
      <c r="BX429" s="568" t="s">
        <v>932</v>
      </c>
      <c r="BY429" s="568"/>
      <c r="BZ429" s="568"/>
      <c r="CA429" s="660" t="s">
        <v>932</v>
      </c>
      <c r="CB429" s="660"/>
      <c r="CC429" s="660"/>
      <c r="CD429" s="660"/>
      <c r="CE429" s="568" t="s">
        <v>932</v>
      </c>
      <c r="CF429" s="568"/>
      <c r="CG429" s="568"/>
      <c r="CH429" s="660" t="s">
        <v>932</v>
      </c>
      <c r="CI429" s="660"/>
      <c r="CJ429" s="660"/>
      <c r="CK429" s="660"/>
      <c r="CL429" s="568">
        <v>1</v>
      </c>
      <c r="CM429" s="568"/>
      <c r="CN429" s="568"/>
    </row>
    <row r="430" hidden="1" customHeight="1" spans="1:92">
      <c r="A430" s="612"/>
      <c r="B430" s="612"/>
      <c r="C430" s="518"/>
      <c r="D430" s="518"/>
      <c r="E430" s="518"/>
      <c r="F430" s="657"/>
      <c r="G430" s="657"/>
      <c r="H430" s="657"/>
      <c r="I430" s="519"/>
      <c r="J430" s="519"/>
      <c r="K430" s="519"/>
      <c r="L430" s="519"/>
      <c r="M430" s="519"/>
      <c r="N430" s="519"/>
      <c r="O430" s="519"/>
      <c r="P430" s="519"/>
      <c r="Q430" s="519"/>
      <c r="R430" s="519"/>
      <c r="S430" s="519"/>
      <c r="T430" s="519"/>
      <c r="U430" s="519"/>
      <c r="V430" s="519"/>
      <c r="W430" s="519"/>
      <c r="X430" s="519"/>
      <c r="Y430" s="519"/>
      <c r="Z430" s="519"/>
      <c r="AA430" s="519"/>
      <c r="AB430" s="526"/>
      <c r="AC430" s="526"/>
      <c r="AD430" s="658"/>
      <c r="AE430" s="658"/>
      <c r="AF430" s="658"/>
      <c r="AG430" s="526">
        <v>0</v>
      </c>
      <c r="AH430" s="526"/>
      <c r="AI430" s="659" t="e">
        <v>#N/A</v>
      </c>
      <c r="AJ430" s="659"/>
      <c r="AK430" s="659"/>
      <c r="AL430" s="659"/>
      <c r="AM430" s="659"/>
      <c r="AN430" s="659"/>
      <c r="AO430" s="659"/>
      <c r="AP430" s="659"/>
      <c r="AQ430" s="659"/>
      <c r="AR430" s="659"/>
      <c r="AS430" s="659"/>
      <c r="AT430" s="659"/>
      <c r="AU430" s="659"/>
      <c r="AV430" s="659"/>
      <c r="AW430" s="658">
        <v>0</v>
      </c>
      <c r="AX430" s="658"/>
      <c r="AY430" s="658"/>
      <c r="AZ430" s="658"/>
      <c r="BA430" s="658"/>
      <c r="BB430" s="658"/>
      <c r="BC430" s="658">
        <v>0</v>
      </c>
      <c r="BD430" s="658"/>
      <c r="BE430" s="658"/>
      <c r="BF430" s="658">
        <v>182.49</v>
      </c>
      <c r="BG430" s="658"/>
      <c r="BH430" s="658"/>
      <c r="BI430" s="567">
        <v>0</v>
      </c>
      <c r="BJ430" s="567"/>
      <c r="BK430" s="567"/>
      <c r="BL430" s="567"/>
      <c r="BM430" s="660" t="s">
        <v>932</v>
      </c>
      <c r="BN430" s="660"/>
      <c r="BO430" s="660"/>
      <c r="BP430" s="660"/>
      <c r="BQ430" s="568" t="s">
        <v>932</v>
      </c>
      <c r="BR430" s="568"/>
      <c r="BS430" s="568"/>
      <c r="BT430" s="660" t="s">
        <v>932</v>
      </c>
      <c r="BU430" s="660"/>
      <c r="BV430" s="660"/>
      <c r="BW430" s="660"/>
      <c r="BX430" s="568" t="s">
        <v>932</v>
      </c>
      <c r="BY430" s="568"/>
      <c r="BZ430" s="568"/>
      <c r="CA430" s="660" t="s">
        <v>932</v>
      </c>
      <c r="CB430" s="660"/>
      <c r="CC430" s="660"/>
      <c r="CD430" s="660"/>
      <c r="CE430" s="568" t="s">
        <v>932</v>
      </c>
      <c r="CF430" s="568"/>
      <c r="CG430" s="568"/>
      <c r="CH430" s="660" t="s">
        <v>932</v>
      </c>
      <c r="CI430" s="660"/>
      <c r="CJ430" s="660"/>
      <c r="CK430" s="660"/>
      <c r="CL430" s="568">
        <v>1</v>
      </c>
      <c r="CM430" s="568"/>
      <c r="CN430" s="568"/>
    </row>
    <row r="431" hidden="1" customHeight="1" spans="1:92">
      <c r="A431" s="612"/>
      <c r="B431" s="612"/>
      <c r="C431" s="518"/>
      <c r="D431" s="518"/>
      <c r="E431" s="518"/>
      <c r="F431" s="657"/>
      <c r="G431" s="657"/>
      <c r="H431" s="657"/>
      <c r="I431" s="519"/>
      <c r="J431" s="519"/>
      <c r="K431" s="519"/>
      <c r="L431" s="519"/>
      <c r="M431" s="519"/>
      <c r="N431" s="519"/>
      <c r="O431" s="519"/>
      <c r="P431" s="519"/>
      <c r="Q431" s="519"/>
      <c r="R431" s="519"/>
      <c r="S431" s="519"/>
      <c r="T431" s="519"/>
      <c r="U431" s="519"/>
      <c r="V431" s="519"/>
      <c r="W431" s="519"/>
      <c r="X431" s="519"/>
      <c r="Y431" s="519"/>
      <c r="Z431" s="519"/>
      <c r="AA431" s="519"/>
      <c r="AB431" s="526"/>
      <c r="AC431" s="526"/>
      <c r="AD431" s="658"/>
      <c r="AE431" s="658"/>
      <c r="AF431" s="658"/>
      <c r="AG431" s="526">
        <v>0</v>
      </c>
      <c r="AH431" s="526"/>
      <c r="AI431" s="659" t="e">
        <v>#N/A</v>
      </c>
      <c r="AJ431" s="659"/>
      <c r="AK431" s="659"/>
      <c r="AL431" s="659"/>
      <c r="AM431" s="659"/>
      <c r="AN431" s="659"/>
      <c r="AO431" s="659"/>
      <c r="AP431" s="659"/>
      <c r="AQ431" s="659"/>
      <c r="AR431" s="659"/>
      <c r="AS431" s="659"/>
      <c r="AT431" s="659"/>
      <c r="AU431" s="659"/>
      <c r="AV431" s="659"/>
      <c r="AW431" s="658">
        <v>0</v>
      </c>
      <c r="AX431" s="658"/>
      <c r="AY431" s="658"/>
      <c r="AZ431" s="658"/>
      <c r="BA431" s="658"/>
      <c r="BB431" s="658"/>
      <c r="BC431" s="658">
        <v>0</v>
      </c>
      <c r="BD431" s="658"/>
      <c r="BE431" s="658"/>
      <c r="BF431" s="658">
        <v>182.49</v>
      </c>
      <c r="BG431" s="658"/>
      <c r="BH431" s="658"/>
      <c r="BI431" s="567">
        <v>0</v>
      </c>
      <c r="BJ431" s="567"/>
      <c r="BK431" s="567"/>
      <c r="BL431" s="567"/>
      <c r="BM431" s="660" t="s">
        <v>932</v>
      </c>
      <c r="BN431" s="660"/>
      <c r="BO431" s="660"/>
      <c r="BP431" s="660"/>
      <c r="BQ431" s="568" t="s">
        <v>932</v>
      </c>
      <c r="BR431" s="568"/>
      <c r="BS431" s="568"/>
      <c r="BT431" s="660" t="s">
        <v>932</v>
      </c>
      <c r="BU431" s="660"/>
      <c r="BV431" s="660"/>
      <c r="BW431" s="660"/>
      <c r="BX431" s="568" t="s">
        <v>932</v>
      </c>
      <c r="BY431" s="568"/>
      <c r="BZ431" s="568"/>
      <c r="CA431" s="660" t="s">
        <v>932</v>
      </c>
      <c r="CB431" s="660"/>
      <c r="CC431" s="660"/>
      <c r="CD431" s="660"/>
      <c r="CE431" s="568" t="s">
        <v>932</v>
      </c>
      <c r="CF431" s="568"/>
      <c r="CG431" s="568"/>
      <c r="CH431" s="660" t="s">
        <v>932</v>
      </c>
      <c r="CI431" s="660"/>
      <c r="CJ431" s="660"/>
      <c r="CK431" s="660"/>
      <c r="CL431" s="568">
        <v>1</v>
      </c>
      <c r="CM431" s="568"/>
      <c r="CN431" s="568"/>
    </row>
    <row r="432" customHeight="1" spans="1:92">
      <c r="A432" s="612" t="s">
        <v>994</v>
      </c>
      <c r="B432" s="612"/>
      <c r="C432" s="518"/>
      <c r="D432" s="518"/>
      <c r="E432" s="518"/>
      <c r="F432" s="657">
        <v>3108000</v>
      </c>
      <c r="G432" s="657"/>
      <c r="H432" s="657"/>
      <c r="I432" s="519" t="s">
        <v>110</v>
      </c>
      <c r="J432" s="519"/>
      <c r="K432" s="519"/>
      <c r="L432" s="519"/>
      <c r="M432" s="519"/>
      <c r="N432" s="519"/>
      <c r="O432" s="519"/>
      <c r="P432" s="519"/>
      <c r="Q432" s="519"/>
      <c r="R432" s="519"/>
      <c r="S432" s="519"/>
      <c r="T432" s="519"/>
      <c r="U432" s="519"/>
      <c r="V432" s="519"/>
      <c r="W432" s="519"/>
      <c r="X432" s="519"/>
      <c r="Y432" s="519"/>
      <c r="Z432" s="519"/>
      <c r="AA432" s="519"/>
      <c r="AB432" s="526" t="s">
        <v>7</v>
      </c>
      <c r="AC432" s="526"/>
      <c r="AD432" s="658">
        <v>28.64</v>
      </c>
      <c r="AE432" s="658"/>
      <c r="AF432" s="658"/>
      <c r="AG432" s="526" t="s">
        <v>937</v>
      </c>
      <c r="AH432" s="526"/>
      <c r="AI432" s="659" t="s">
        <v>938</v>
      </c>
      <c r="AJ432" s="659"/>
      <c r="AK432" s="659"/>
      <c r="AL432" s="659"/>
      <c r="AM432" s="659"/>
      <c r="AN432" s="659"/>
      <c r="AO432" s="659"/>
      <c r="AP432" s="659"/>
      <c r="AQ432" s="659"/>
      <c r="AR432" s="659"/>
      <c r="AS432" s="659"/>
      <c r="AT432" s="659"/>
      <c r="AU432" s="659"/>
      <c r="AV432" s="659"/>
      <c r="AW432" s="658">
        <v>0.65</v>
      </c>
      <c r="AX432" s="658"/>
      <c r="AY432" s="658"/>
      <c r="AZ432" s="658">
        <v>1</v>
      </c>
      <c r="BA432" s="658"/>
      <c r="BB432" s="658"/>
      <c r="BC432" s="658">
        <v>18.616</v>
      </c>
      <c r="BD432" s="658"/>
      <c r="BE432" s="658"/>
      <c r="BF432" s="658">
        <v>182.49</v>
      </c>
      <c r="BG432" s="658"/>
      <c r="BH432" s="658"/>
      <c r="BI432" s="567">
        <v>0.102011069099677</v>
      </c>
      <c r="BJ432" s="567"/>
      <c r="BK432" s="567"/>
      <c r="BL432" s="567"/>
      <c r="BM432" s="660" t="s">
        <v>932</v>
      </c>
      <c r="BN432" s="660"/>
      <c r="BO432" s="660"/>
      <c r="BP432" s="660"/>
      <c r="BQ432" s="568" t="s">
        <v>932</v>
      </c>
      <c r="BR432" s="568"/>
      <c r="BS432" s="568"/>
      <c r="BT432" s="660" t="s">
        <v>932</v>
      </c>
      <c r="BU432" s="660"/>
      <c r="BV432" s="660"/>
      <c r="BW432" s="660"/>
      <c r="BX432" s="568" t="s">
        <v>932</v>
      </c>
      <c r="BY432" s="568"/>
      <c r="BZ432" s="568"/>
      <c r="CA432" s="660" t="s">
        <v>932</v>
      </c>
      <c r="CB432" s="660"/>
      <c r="CC432" s="660"/>
      <c r="CD432" s="660"/>
      <c r="CE432" s="568" t="s">
        <v>932</v>
      </c>
      <c r="CF432" s="568"/>
      <c r="CG432" s="568"/>
      <c r="CH432" s="660">
        <v>0.102011069099677</v>
      </c>
      <c r="CI432" s="660"/>
      <c r="CJ432" s="660"/>
      <c r="CK432" s="660"/>
      <c r="CL432" s="568">
        <v>1</v>
      </c>
      <c r="CM432" s="568"/>
      <c r="CN432" s="568"/>
    </row>
    <row r="433" customHeight="1" spans="1:92">
      <c r="A433" s="612"/>
      <c r="B433" s="612"/>
      <c r="C433" s="518"/>
      <c r="D433" s="518"/>
      <c r="E433" s="518"/>
      <c r="F433" s="657"/>
      <c r="G433" s="657"/>
      <c r="H433" s="657"/>
      <c r="I433" s="519"/>
      <c r="J433" s="519"/>
      <c r="K433" s="519"/>
      <c r="L433" s="519"/>
      <c r="M433" s="519"/>
      <c r="N433" s="519"/>
      <c r="O433" s="519"/>
      <c r="P433" s="519"/>
      <c r="Q433" s="519"/>
      <c r="R433" s="519"/>
      <c r="S433" s="519"/>
      <c r="T433" s="519"/>
      <c r="U433" s="519"/>
      <c r="V433" s="519"/>
      <c r="W433" s="519"/>
      <c r="X433" s="519"/>
      <c r="Y433" s="519"/>
      <c r="Z433" s="519"/>
      <c r="AA433" s="519"/>
      <c r="AB433" s="526"/>
      <c r="AC433" s="526"/>
      <c r="AD433" s="658"/>
      <c r="AE433" s="658"/>
      <c r="AF433" s="658"/>
      <c r="AG433" s="526" t="s">
        <v>950</v>
      </c>
      <c r="AH433" s="526"/>
      <c r="AI433" s="659" t="s">
        <v>951</v>
      </c>
      <c r="AJ433" s="659"/>
      <c r="AK433" s="659"/>
      <c r="AL433" s="659"/>
      <c r="AM433" s="659"/>
      <c r="AN433" s="659"/>
      <c r="AO433" s="659"/>
      <c r="AP433" s="659"/>
      <c r="AQ433" s="659"/>
      <c r="AR433" s="659"/>
      <c r="AS433" s="659"/>
      <c r="AT433" s="659"/>
      <c r="AU433" s="659"/>
      <c r="AV433" s="659"/>
      <c r="AW433" s="658">
        <v>0.65</v>
      </c>
      <c r="AX433" s="658"/>
      <c r="AY433" s="658"/>
      <c r="AZ433" s="658"/>
      <c r="BA433" s="658"/>
      <c r="BB433" s="658"/>
      <c r="BC433" s="658">
        <v>18.616</v>
      </c>
      <c r="BD433" s="658"/>
      <c r="BE433" s="658"/>
      <c r="BF433" s="658">
        <v>182.49</v>
      </c>
      <c r="BG433" s="658"/>
      <c r="BH433" s="658"/>
      <c r="BI433" s="567">
        <v>0.102011069099677</v>
      </c>
      <c r="BJ433" s="567"/>
      <c r="BK433" s="567"/>
      <c r="BL433" s="567"/>
      <c r="BM433" s="660" t="s">
        <v>932</v>
      </c>
      <c r="BN433" s="660"/>
      <c r="BO433" s="660"/>
      <c r="BP433" s="660"/>
      <c r="BQ433" s="568" t="s">
        <v>932</v>
      </c>
      <c r="BR433" s="568"/>
      <c r="BS433" s="568"/>
      <c r="BT433" s="660" t="s">
        <v>932</v>
      </c>
      <c r="BU433" s="660"/>
      <c r="BV433" s="660"/>
      <c r="BW433" s="660"/>
      <c r="BX433" s="568" t="s">
        <v>932</v>
      </c>
      <c r="BY433" s="568"/>
      <c r="BZ433" s="568"/>
      <c r="CA433" s="660" t="s">
        <v>932</v>
      </c>
      <c r="CB433" s="660"/>
      <c r="CC433" s="660"/>
      <c r="CD433" s="660"/>
      <c r="CE433" s="568" t="s">
        <v>932</v>
      </c>
      <c r="CF433" s="568"/>
      <c r="CG433" s="568"/>
      <c r="CH433" s="660">
        <v>0.102011069099677</v>
      </c>
      <c r="CI433" s="660"/>
      <c r="CJ433" s="660"/>
      <c r="CK433" s="660"/>
      <c r="CL433" s="568">
        <v>1</v>
      </c>
      <c r="CM433" s="568"/>
      <c r="CN433" s="568"/>
    </row>
    <row r="434" hidden="1" customHeight="1" spans="1:92">
      <c r="A434" s="612"/>
      <c r="B434" s="612"/>
      <c r="C434" s="518"/>
      <c r="D434" s="518"/>
      <c r="E434" s="518"/>
      <c r="F434" s="657"/>
      <c r="G434" s="657"/>
      <c r="H434" s="657"/>
      <c r="I434" s="519"/>
      <c r="J434" s="519"/>
      <c r="K434" s="519"/>
      <c r="L434" s="519"/>
      <c r="M434" s="519"/>
      <c r="N434" s="519"/>
      <c r="O434" s="519"/>
      <c r="P434" s="519"/>
      <c r="Q434" s="519"/>
      <c r="R434" s="519"/>
      <c r="S434" s="519"/>
      <c r="T434" s="519"/>
      <c r="U434" s="519"/>
      <c r="V434" s="519"/>
      <c r="W434" s="519"/>
      <c r="X434" s="519"/>
      <c r="Y434" s="519"/>
      <c r="Z434" s="519"/>
      <c r="AA434" s="519"/>
      <c r="AB434" s="526"/>
      <c r="AC434" s="526"/>
      <c r="AD434" s="658"/>
      <c r="AE434" s="658"/>
      <c r="AF434" s="658"/>
      <c r="AG434" s="526">
        <v>0</v>
      </c>
      <c r="AH434" s="526"/>
      <c r="AI434" s="659" t="e">
        <v>#N/A</v>
      </c>
      <c r="AJ434" s="659"/>
      <c r="AK434" s="659"/>
      <c r="AL434" s="659"/>
      <c r="AM434" s="659"/>
      <c r="AN434" s="659"/>
      <c r="AO434" s="659"/>
      <c r="AP434" s="659"/>
      <c r="AQ434" s="659"/>
      <c r="AR434" s="659"/>
      <c r="AS434" s="659"/>
      <c r="AT434" s="659"/>
      <c r="AU434" s="659"/>
      <c r="AV434" s="659"/>
      <c r="AW434" s="658">
        <v>0</v>
      </c>
      <c r="AX434" s="658"/>
      <c r="AY434" s="658"/>
      <c r="AZ434" s="658"/>
      <c r="BA434" s="658"/>
      <c r="BB434" s="658"/>
      <c r="BC434" s="658">
        <v>0</v>
      </c>
      <c r="BD434" s="658"/>
      <c r="BE434" s="658"/>
      <c r="BF434" s="658">
        <v>182.49</v>
      </c>
      <c r="BG434" s="658"/>
      <c r="BH434" s="658"/>
      <c r="BI434" s="567">
        <v>0</v>
      </c>
      <c r="BJ434" s="567"/>
      <c r="BK434" s="567"/>
      <c r="BL434" s="567"/>
      <c r="BM434" s="660" t="s">
        <v>932</v>
      </c>
      <c r="BN434" s="660"/>
      <c r="BO434" s="660"/>
      <c r="BP434" s="660"/>
      <c r="BQ434" s="568" t="s">
        <v>932</v>
      </c>
      <c r="BR434" s="568"/>
      <c r="BS434" s="568"/>
      <c r="BT434" s="660" t="s">
        <v>932</v>
      </c>
      <c r="BU434" s="660"/>
      <c r="BV434" s="660"/>
      <c r="BW434" s="660"/>
      <c r="BX434" s="568" t="s">
        <v>932</v>
      </c>
      <c r="BY434" s="568"/>
      <c r="BZ434" s="568"/>
      <c r="CA434" s="660" t="s">
        <v>932</v>
      </c>
      <c r="CB434" s="660"/>
      <c r="CC434" s="660"/>
      <c r="CD434" s="660"/>
      <c r="CE434" s="568" t="s">
        <v>932</v>
      </c>
      <c r="CF434" s="568"/>
      <c r="CG434" s="568"/>
      <c r="CH434" s="660" t="s">
        <v>932</v>
      </c>
      <c r="CI434" s="660"/>
      <c r="CJ434" s="660"/>
      <c r="CK434" s="660"/>
      <c r="CL434" s="568">
        <v>1</v>
      </c>
      <c r="CM434" s="568"/>
      <c r="CN434" s="568"/>
    </row>
    <row r="435" hidden="1" customHeight="1" spans="1:92">
      <c r="A435" s="612"/>
      <c r="B435" s="612"/>
      <c r="C435" s="518"/>
      <c r="D435" s="518"/>
      <c r="E435" s="518"/>
      <c r="F435" s="657"/>
      <c r="G435" s="657"/>
      <c r="H435" s="657"/>
      <c r="I435" s="519"/>
      <c r="J435" s="519"/>
      <c r="K435" s="519"/>
      <c r="L435" s="519"/>
      <c r="M435" s="519"/>
      <c r="N435" s="519"/>
      <c r="O435" s="519"/>
      <c r="P435" s="519"/>
      <c r="Q435" s="519"/>
      <c r="R435" s="519"/>
      <c r="S435" s="519"/>
      <c r="T435" s="519"/>
      <c r="U435" s="519"/>
      <c r="V435" s="519"/>
      <c r="W435" s="519"/>
      <c r="X435" s="519"/>
      <c r="Y435" s="519"/>
      <c r="Z435" s="519"/>
      <c r="AA435" s="519"/>
      <c r="AB435" s="526"/>
      <c r="AC435" s="526"/>
      <c r="AD435" s="658"/>
      <c r="AE435" s="658"/>
      <c r="AF435" s="658"/>
      <c r="AG435" s="526">
        <v>0</v>
      </c>
      <c r="AH435" s="526"/>
      <c r="AI435" s="659" t="e">
        <v>#N/A</v>
      </c>
      <c r="AJ435" s="659"/>
      <c r="AK435" s="659"/>
      <c r="AL435" s="659"/>
      <c r="AM435" s="659"/>
      <c r="AN435" s="659"/>
      <c r="AO435" s="659"/>
      <c r="AP435" s="659"/>
      <c r="AQ435" s="659"/>
      <c r="AR435" s="659"/>
      <c r="AS435" s="659"/>
      <c r="AT435" s="659"/>
      <c r="AU435" s="659"/>
      <c r="AV435" s="659"/>
      <c r="AW435" s="658">
        <v>0</v>
      </c>
      <c r="AX435" s="658"/>
      <c r="AY435" s="658"/>
      <c r="AZ435" s="658"/>
      <c r="BA435" s="658"/>
      <c r="BB435" s="658"/>
      <c r="BC435" s="658">
        <v>0</v>
      </c>
      <c r="BD435" s="658"/>
      <c r="BE435" s="658"/>
      <c r="BF435" s="658">
        <v>182.49</v>
      </c>
      <c r="BG435" s="658"/>
      <c r="BH435" s="658"/>
      <c r="BI435" s="567">
        <v>0</v>
      </c>
      <c r="BJ435" s="567"/>
      <c r="BK435" s="567"/>
      <c r="BL435" s="567"/>
      <c r="BM435" s="660" t="s">
        <v>932</v>
      </c>
      <c r="BN435" s="660"/>
      <c r="BO435" s="660"/>
      <c r="BP435" s="660"/>
      <c r="BQ435" s="568" t="s">
        <v>932</v>
      </c>
      <c r="BR435" s="568"/>
      <c r="BS435" s="568"/>
      <c r="BT435" s="660" t="s">
        <v>932</v>
      </c>
      <c r="BU435" s="660"/>
      <c r="BV435" s="660"/>
      <c r="BW435" s="660"/>
      <c r="BX435" s="568" t="s">
        <v>932</v>
      </c>
      <c r="BY435" s="568"/>
      <c r="BZ435" s="568"/>
      <c r="CA435" s="660" t="s">
        <v>932</v>
      </c>
      <c r="CB435" s="660"/>
      <c r="CC435" s="660"/>
      <c r="CD435" s="660"/>
      <c r="CE435" s="568" t="s">
        <v>932</v>
      </c>
      <c r="CF435" s="568"/>
      <c r="CG435" s="568"/>
      <c r="CH435" s="660" t="s">
        <v>932</v>
      </c>
      <c r="CI435" s="660"/>
      <c r="CJ435" s="660"/>
      <c r="CK435" s="660"/>
      <c r="CL435" s="568">
        <v>1</v>
      </c>
      <c r="CM435" s="568"/>
      <c r="CN435" s="568"/>
    </row>
    <row r="436" hidden="1" customHeight="1" spans="1:92">
      <c r="A436" s="612"/>
      <c r="B436" s="612"/>
      <c r="C436" s="518"/>
      <c r="D436" s="518"/>
      <c r="E436" s="518"/>
      <c r="F436" s="657"/>
      <c r="G436" s="657"/>
      <c r="H436" s="657"/>
      <c r="I436" s="519"/>
      <c r="J436" s="519"/>
      <c r="K436" s="519"/>
      <c r="L436" s="519"/>
      <c r="M436" s="519"/>
      <c r="N436" s="519"/>
      <c r="O436" s="519"/>
      <c r="P436" s="519"/>
      <c r="Q436" s="519"/>
      <c r="R436" s="519"/>
      <c r="S436" s="519"/>
      <c r="T436" s="519"/>
      <c r="U436" s="519"/>
      <c r="V436" s="519"/>
      <c r="W436" s="519"/>
      <c r="X436" s="519"/>
      <c r="Y436" s="519"/>
      <c r="Z436" s="519"/>
      <c r="AA436" s="519"/>
      <c r="AB436" s="526"/>
      <c r="AC436" s="526"/>
      <c r="AD436" s="658"/>
      <c r="AE436" s="658"/>
      <c r="AF436" s="658"/>
      <c r="AG436" s="526">
        <v>0</v>
      </c>
      <c r="AH436" s="526"/>
      <c r="AI436" s="659" t="e">
        <v>#N/A</v>
      </c>
      <c r="AJ436" s="659"/>
      <c r="AK436" s="659"/>
      <c r="AL436" s="659"/>
      <c r="AM436" s="659"/>
      <c r="AN436" s="659"/>
      <c r="AO436" s="659"/>
      <c r="AP436" s="659"/>
      <c r="AQ436" s="659"/>
      <c r="AR436" s="659"/>
      <c r="AS436" s="659"/>
      <c r="AT436" s="659"/>
      <c r="AU436" s="659"/>
      <c r="AV436" s="659"/>
      <c r="AW436" s="658">
        <v>0</v>
      </c>
      <c r="AX436" s="658"/>
      <c r="AY436" s="658"/>
      <c r="AZ436" s="658"/>
      <c r="BA436" s="658"/>
      <c r="BB436" s="658"/>
      <c r="BC436" s="658">
        <v>0</v>
      </c>
      <c r="BD436" s="658"/>
      <c r="BE436" s="658"/>
      <c r="BF436" s="658">
        <v>182.49</v>
      </c>
      <c r="BG436" s="658"/>
      <c r="BH436" s="658"/>
      <c r="BI436" s="567">
        <v>0</v>
      </c>
      <c r="BJ436" s="567"/>
      <c r="BK436" s="567"/>
      <c r="BL436" s="567"/>
      <c r="BM436" s="660" t="s">
        <v>932</v>
      </c>
      <c r="BN436" s="660"/>
      <c r="BO436" s="660"/>
      <c r="BP436" s="660"/>
      <c r="BQ436" s="568" t="s">
        <v>932</v>
      </c>
      <c r="BR436" s="568"/>
      <c r="BS436" s="568"/>
      <c r="BT436" s="660" t="s">
        <v>932</v>
      </c>
      <c r="BU436" s="660"/>
      <c r="BV436" s="660"/>
      <c r="BW436" s="660"/>
      <c r="BX436" s="568" t="s">
        <v>932</v>
      </c>
      <c r="BY436" s="568"/>
      <c r="BZ436" s="568"/>
      <c r="CA436" s="660" t="s">
        <v>932</v>
      </c>
      <c r="CB436" s="660"/>
      <c r="CC436" s="660"/>
      <c r="CD436" s="660"/>
      <c r="CE436" s="568" t="s">
        <v>932</v>
      </c>
      <c r="CF436" s="568"/>
      <c r="CG436" s="568"/>
      <c r="CH436" s="660" t="s">
        <v>932</v>
      </c>
      <c r="CI436" s="660"/>
      <c r="CJ436" s="660"/>
      <c r="CK436" s="660"/>
      <c r="CL436" s="568">
        <v>1</v>
      </c>
      <c r="CM436" s="568"/>
      <c r="CN436" s="568"/>
    </row>
    <row r="437" hidden="1" customHeight="1" spans="1:92">
      <c r="A437" s="612"/>
      <c r="B437" s="612"/>
      <c r="C437" s="518"/>
      <c r="D437" s="518"/>
      <c r="E437" s="518"/>
      <c r="F437" s="657"/>
      <c r="G437" s="657"/>
      <c r="H437" s="657"/>
      <c r="I437" s="519"/>
      <c r="J437" s="519"/>
      <c r="K437" s="519"/>
      <c r="L437" s="519"/>
      <c r="M437" s="519"/>
      <c r="N437" s="519"/>
      <c r="O437" s="519"/>
      <c r="P437" s="519"/>
      <c r="Q437" s="519"/>
      <c r="R437" s="519"/>
      <c r="S437" s="519"/>
      <c r="T437" s="519"/>
      <c r="U437" s="519"/>
      <c r="V437" s="519"/>
      <c r="W437" s="519"/>
      <c r="X437" s="519"/>
      <c r="Y437" s="519"/>
      <c r="Z437" s="519"/>
      <c r="AA437" s="519"/>
      <c r="AB437" s="526"/>
      <c r="AC437" s="526"/>
      <c r="AD437" s="658"/>
      <c r="AE437" s="658"/>
      <c r="AF437" s="658"/>
      <c r="AG437" s="526">
        <v>0</v>
      </c>
      <c r="AH437" s="526"/>
      <c r="AI437" s="659" t="e">
        <v>#N/A</v>
      </c>
      <c r="AJ437" s="659"/>
      <c r="AK437" s="659"/>
      <c r="AL437" s="659"/>
      <c r="AM437" s="659"/>
      <c r="AN437" s="659"/>
      <c r="AO437" s="659"/>
      <c r="AP437" s="659"/>
      <c r="AQ437" s="659"/>
      <c r="AR437" s="659"/>
      <c r="AS437" s="659"/>
      <c r="AT437" s="659"/>
      <c r="AU437" s="659"/>
      <c r="AV437" s="659"/>
      <c r="AW437" s="658">
        <v>0</v>
      </c>
      <c r="AX437" s="658"/>
      <c r="AY437" s="658"/>
      <c r="AZ437" s="658"/>
      <c r="BA437" s="658"/>
      <c r="BB437" s="658"/>
      <c r="BC437" s="658">
        <v>0</v>
      </c>
      <c r="BD437" s="658"/>
      <c r="BE437" s="658"/>
      <c r="BF437" s="658">
        <v>182.49</v>
      </c>
      <c r="BG437" s="658"/>
      <c r="BH437" s="658"/>
      <c r="BI437" s="567">
        <v>0</v>
      </c>
      <c r="BJ437" s="567"/>
      <c r="BK437" s="567"/>
      <c r="BL437" s="567"/>
      <c r="BM437" s="660" t="s">
        <v>932</v>
      </c>
      <c r="BN437" s="660"/>
      <c r="BO437" s="660"/>
      <c r="BP437" s="660"/>
      <c r="BQ437" s="568" t="s">
        <v>932</v>
      </c>
      <c r="BR437" s="568"/>
      <c r="BS437" s="568"/>
      <c r="BT437" s="660" t="s">
        <v>932</v>
      </c>
      <c r="BU437" s="660"/>
      <c r="BV437" s="660"/>
      <c r="BW437" s="660"/>
      <c r="BX437" s="568" t="s">
        <v>932</v>
      </c>
      <c r="BY437" s="568"/>
      <c r="BZ437" s="568"/>
      <c r="CA437" s="660" t="s">
        <v>932</v>
      </c>
      <c r="CB437" s="660"/>
      <c r="CC437" s="660"/>
      <c r="CD437" s="660"/>
      <c r="CE437" s="568" t="s">
        <v>932</v>
      </c>
      <c r="CF437" s="568"/>
      <c r="CG437" s="568"/>
      <c r="CH437" s="660" t="s">
        <v>932</v>
      </c>
      <c r="CI437" s="660"/>
      <c r="CJ437" s="660"/>
      <c r="CK437" s="660"/>
      <c r="CL437" s="568">
        <v>1</v>
      </c>
      <c r="CM437" s="568"/>
      <c r="CN437" s="568"/>
    </row>
    <row r="438" hidden="1" customHeight="1" spans="1:92">
      <c r="A438" s="612"/>
      <c r="B438" s="612"/>
      <c r="C438" s="518"/>
      <c r="D438" s="518"/>
      <c r="E438" s="518"/>
      <c r="F438" s="657"/>
      <c r="G438" s="657"/>
      <c r="H438" s="657"/>
      <c r="I438" s="519"/>
      <c r="J438" s="519"/>
      <c r="K438" s="519"/>
      <c r="L438" s="519"/>
      <c r="M438" s="519"/>
      <c r="N438" s="519"/>
      <c r="O438" s="519"/>
      <c r="P438" s="519"/>
      <c r="Q438" s="519"/>
      <c r="R438" s="519"/>
      <c r="S438" s="519"/>
      <c r="T438" s="519"/>
      <c r="U438" s="519"/>
      <c r="V438" s="519"/>
      <c r="W438" s="519"/>
      <c r="X438" s="519"/>
      <c r="Y438" s="519"/>
      <c r="Z438" s="519"/>
      <c r="AA438" s="519"/>
      <c r="AB438" s="526"/>
      <c r="AC438" s="526"/>
      <c r="AD438" s="658"/>
      <c r="AE438" s="658"/>
      <c r="AF438" s="658"/>
      <c r="AG438" s="526">
        <v>0</v>
      </c>
      <c r="AH438" s="526"/>
      <c r="AI438" s="659" t="e">
        <v>#N/A</v>
      </c>
      <c r="AJ438" s="659"/>
      <c r="AK438" s="659"/>
      <c r="AL438" s="659"/>
      <c r="AM438" s="659"/>
      <c r="AN438" s="659"/>
      <c r="AO438" s="659"/>
      <c r="AP438" s="659"/>
      <c r="AQ438" s="659"/>
      <c r="AR438" s="659"/>
      <c r="AS438" s="659"/>
      <c r="AT438" s="659"/>
      <c r="AU438" s="659"/>
      <c r="AV438" s="659"/>
      <c r="AW438" s="658">
        <v>0</v>
      </c>
      <c r="AX438" s="658"/>
      <c r="AY438" s="658"/>
      <c r="AZ438" s="658"/>
      <c r="BA438" s="658"/>
      <c r="BB438" s="658"/>
      <c r="BC438" s="658">
        <v>0</v>
      </c>
      <c r="BD438" s="658"/>
      <c r="BE438" s="658"/>
      <c r="BF438" s="658">
        <v>182.49</v>
      </c>
      <c r="BG438" s="658"/>
      <c r="BH438" s="658"/>
      <c r="BI438" s="567">
        <v>0</v>
      </c>
      <c r="BJ438" s="567"/>
      <c r="BK438" s="567"/>
      <c r="BL438" s="567"/>
      <c r="BM438" s="660" t="s">
        <v>932</v>
      </c>
      <c r="BN438" s="660"/>
      <c r="BO438" s="660"/>
      <c r="BP438" s="660"/>
      <c r="BQ438" s="568" t="s">
        <v>932</v>
      </c>
      <c r="BR438" s="568"/>
      <c r="BS438" s="568"/>
      <c r="BT438" s="660" t="s">
        <v>932</v>
      </c>
      <c r="BU438" s="660"/>
      <c r="BV438" s="660"/>
      <c r="BW438" s="660"/>
      <c r="BX438" s="568" t="s">
        <v>932</v>
      </c>
      <c r="BY438" s="568"/>
      <c r="BZ438" s="568"/>
      <c r="CA438" s="660" t="s">
        <v>932</v>
      </c>
      <c r="CB438" s="660"/>
      <c r="CC438" s="660"/>
      <c r="CD438" s="660"/>
      <c r="CE438" s="568" t="s">
        <v>932</v>
      </c>
      <c r="CF438" s="568"/>
      <c r="CG438" s="568"/>
      <c r="CH438" s="660" t="s">
        <v>932</v>
      </c>
      <c r="CI438" s="660"/>
      <c r="CJ438" s="660"/>
      <c r="CK438" s="660"/>
      <c r="CL438" s="568">
        <v>1</v>
      </c>
      <c r="CM438" s="568"/>
      <c r="CN438" s="568"/>
    </row>
    <row r="439" hidden="1" customHeight="1" spans="1:92">
      <c r="A439" s="612"/>
      <c r="B439" s="612"/>
      <c r="C439" s="518"/>
      <c r="D439" s="518"/>
      <c r="E439" s="518"/>
      <c r="F439" s="657"/>
      <c r="G439" s="657"/>
      <c r="H439" s="657"/>
      <c r="I439" s="519"/>
      <c r="J439" s="519"/>
      <c r="K439" s="519"/>
      <c r="L439" s="519"/>
      <c r="M439" s="519"/>
      <c r="N439" s="519"/>
      <c r="O439" s="519"/>
      <c r="P439" s="519"/>
      <c r="Q439" s="519"/>
      <c r="R439" s="519"/>
      <c r="S439" s="519"/>
      <c r="T439" s="519"/>
      <c r="U439" s="519"/>
      <c r="V439" s="519"/>
      <c r="W439" s="519"/>
      <c r="X439" s="519"/>
      <c r="Y439" s="519"/>
      <c r="Z439" s="519"/>
      <c r="AA439" s="519"/>
      <c r="AB439" s="526"/>
      <c r="AC439" s="526"/>
      <c r="AD439" s="658"/>
      <c r="AE439" s="658"/>
      <c r="AF439" s="658"/>
      <c r="AG439" s="526">
        <v>0</v>
      </c>
      <c r="AH439" s="526"/>
      <c r="AI439" s="659" t="e">
        <v>#N/A</v>
      </c>
      <c r="AJ439" s="659"/>
      <c r="AK439" s="659"/>
      <c r="AL439" s="659"/>
      <c r="AM439" s="659"/>
      <c r="AN439" s="659"/>
      <c r="AO439" s="659"/>
      <c r="AP439" s="659"/>
      <c r="AQ439" s="659"/>
      <c r="AR439" s="659"/>
      <c r="AS439" s="659"/>
      <c r="AT439" s="659"/>
      <c r="AU439" s="659"/>
      <c r="AV439" s="659"/>
      <c r="AW439" s="658">
        <v>0</v>
      </c>
      <c r="AX439" s="658"/>
      <c r="AY439" s="658"/>
      <c r="AZ439" s="658"/>
      <c r="BA439" s="658"/>
      <c r="BB439" s="658"/>
      <c r="BC439" s="658">
        <v>0</v>
      </c>
      <c r="BD439" s="658"/>
      <c r="BE439" s="658"/>
      <c r="BF439" s="658">
        <v>182.49</v>
      </c>
      <c r="BG439" s="658"/>
      <c r="BH439" s="658"/>
      <c r="BI439" s="567">
        <v>0</v>
      </c>
      <c r="BJ439" s="567"/>
      <c r="BK439" s="567"/>
      <c r="BL439" s="567"/>
      <c r="BM439" s="660" t="s">
        <v>932</v>
      </c>
      <c r="BN439" s="660"/>
      <c r="BO439" s="660"/>
      <c r="BP439" s="660"/>
      <c r="BQ439" s="568" t="s">
        <v>932</v>
      </c>
      <c r="BR439" s="568"/>
      <c r="BS439" s="568"/>
      <c r="BT439" s="660" t="s">
        <v>932</v>
      </c>
      <c r="BU439" s="660"/>
      <c r="BV439" s="660"/>
      <c r="BW439" s="660"/>
      <c r="BX439" s="568" t="s">
        <v>932</v>
      </c>
      <c r="BY439" s="568"/>
      <c r="BZ439" s="568"/>
      <c r="CA439" s="660" t="s">
        <v>932</v>
      </c>
      <c r="CB439" s="660"/>
      <c r="CC439" s="660"/>
      <c r="CD439" s="660"/>
      <c r="CE439" s="568" t="s">
        <v>932</v>
      </c>
      <c r="CF439" s="568"/>
      <c r="CG439" s="568"/>
      <c r="CH439" s="660" t="s">
        <v>932</v>
      </c>
      <c r="CI439" s="660"/>
      <c r="CJ439" s="660"/>
      <c r="CK439" s="660"/>
      <c r="CL439" s="568">
        <v>1</v>
      </c>
      <c r="CM439" s="568"/>
      <c r="CN439" s="568"/>
    </row>
    <row r="440" customHeight="1" spans="1:92">
      <c r="A440" s="612" t="s">
        <v>995</v>
      </c>
      <c r="B440" s="612"/>
      <c r="C440" s="518"/>
      <c r="D440" s="518"/>
      <c r="E440" s="518"/>
      <c r="F440" s="657">
        <v>407819</v>
      </c>
      <c r="G440" s="657"/>
      <c r="H440" s="657"/>
      <c r="I440" s="519" t="s">
        <v>100</v>
      </c>
      <c r="J440" s="519"/>
      <c r="K440" s="519"/>
      <c r="L440" s="519"/>
      <c r="M440" s="519"/>
      <c r="N440" s="519"/>
      <c r="O440" s="519"/>
      <c r="P440" s="519"/>
      <c r="Q440" s="519"/>
      <c r="R440" s="519"/>
      <c r="S440" s="519"/>
      <c r="T440" s="519"/>
      <c r="U440" s="519"/>
      <c r="V440" s="519"/>
      <c r="W440" s="519"/>
      <c r="X440" s="519"/>
      <c r="Y440" s="519"/>
      <c r="Z440" s="519"/>
      <c r="AA440" s="519"/>
      <c r="AB440" s="526" t="s">
        <v>101</v>
      </c>
      <c r="AC440" s="526"/>
      <c r="AD440" s="658">
        <v>221</v>
      </c>
      <c r="AE440" s="658"/>
      <c r="AF440" s="658"/>
      <c r="AG440" s="526" t="s">
        <v>937</v>
      </c>
      <c r="AH440" s="526"/>
      <c r="AI440" s="659" t="s">
        <v>938</v>
      </c>
      <c r="AJ440" s="659"/>
      <c r="AK440" s="659"/>
      <c r="AL440" s="659"/>
      <c r="AM440" s="659"/>
      <c r="AN440" s="659"/>
      <c r="AO440" s="659"/>
      <c r="AP440" s="659"/>
      <c r="AQ440" s="659"/>
      <c r="AR440" s="659"/>
      <c r="AS440" s="659"/>
      <c r="AT440" s="659"/>
      <c r="AU440" s="659"/>
      <c r="AV440" s="659"/>
      <c r="AW440" s="658">
        <v>0.09</v>
      </c>
      <c r="AX440" s="658"/>
      <c r="AY440" s="658"/>
      <c r="AZ440" s="658">
        <v>1</v>
      </c>
      <c r="BA440" s="658"/>
      <c r="BB440" s="658"/>
      <c r="BC440" s="658">
        <v>19.89</v>
      </c>
      <c r="BD440" s="658"/>
      <c r="BE440" s="658"/>
      <c r="BF440" s="658">
        <v>182.49</v>
      </c>
      <c r="BG440" s="658"/>
      <c r="BH440" s="658"/>
      <c r="BI440" s="567">
        <v>0.108992273549236</v>
      </c>
      <c r="BJ440" s="567"/>
      <c r="BK440" s="567"/>
      <c r="BL440" s="567"/>
      <c r="BM440" s="660" t="s">
        <v>932</v>
      </c>
      <c r="BN440" s="660"/>
      <c r="BO440" s="660"/>
      <c r="BP440" s="660"/>
      <c r="BQ440" s="568" t="s">
        <v>932</v>
      </c>
      <c r="BR440" s="568"/>
      <c r="BS440" s="568"/>
      <c r="BT440" s="660" t="s">
        <v>932</v>
      </c>
      <c r="BU440" s="660"/>
      <c r="BV440" s="660"/>
      <c r="BW440" s="660"/>
      <c r="BX440" s="568" t="s">
        <v>932</v>
      </c>
      <c r="BY440" s="568"/>
      <c r="BZ440" s="568"/>
      <c r="CA440" s="660" t="s">
        <v>932</v>
      </c>
      <c r="CB440" s="660"/>
      <c r="CC440" s="660"/>
      <c r="CD440" s="660"/>
      <c r="CE440" s="568" t="s">
        <v>932</v>
      </c>
      <c r="CF440" s="568"/>
      <c r="CG440" s="568"/>
      <c r="CH440" s="660">
        <v>0.108992273549236</v>
      </c>
      <c r="CI440" s="660"/>
      <c r="CJ440" s="660"/>
      <c r="CK440" s="660"/>
      <c r="CL440" s="568">
        <v>1</v>
      </c>
      <c r="CM440" s="568"/>
      <c r="CN440" s="568"/>
    </row>
    <row r="441" customHeight="1" spans="1:92">
      <c r="A441" s="612"/>
      <c r="B441" s="612"/>
      <c r="C441" s="518"/>
      <c r="D441" s="518"/>
      <c r="E441" s="518"/>
      <c r="F441" s="657"/>
      <c r="G441" s="657"/>
      <c r="H441" s="657"/>
      <c r="I441" s="519"/>
      <c r="J441" s="519"/>
      <c r="K441" s="519"/>
      <c r="L441" s="519"/>
      <c r="M441" s="519"/>
      <c r="N441" s="519"/>
      <c r="O441" s="519"/>
      <c r="P441" s="519"/>
      <c r="Q441" s="519"/>
      <c r="R441" s="519"/>
      <c r="S441" s="519"/>
      <c r="T441" s="519"/>
      <c r="U441" s="519"/>
      <c r="V441" s="519"/>
      <c r="W441" s="519"/>
      <c r="X441" s="519"/>
      <c r="Y441" s="519"/>
      <c r="Z441" s="519"/>
      <c r="AA441" s="519"/>
      <c r="AB441" s="526"/>
      <c r="AC441" s="526"/>
      <c r="AD441" s="658"/>
      <c r="AE441" s="658"/>
      <c r="AF441" s="658"/>
      <c r="AG441" s="526" t="s">
        <v>939</v>
      </c>
      <c r="AH441" s="526"/>
      <c r="AI441" s="659" t="s">
        <v>940</v>
      </c>
      <c r="AJ441" s="659"/>
      <c r="AK441" s="659"/>
      <c r="AL441" s="659"/>
      <c r="AM441" s="659"/>
      <c r="AN441" s="659"/>
      <c r="AO441" s="659"/>
      <c r="AP441" s="659"/>
      <c r="AQ441" s="659"/>
      <c r="AR441" s="659"/>
      <c r="AS441" s="659"/>
      <c r="AT441" s="659"/>
      <c r="AU441" s="659"/>
      <c r="AV441" s="659"/>
      <c r="AW441" s="658">
        <v>0.09</v>
      </c>
      <c r="AX441" s="658"/>
      <c r="AY441" s="658"/>
      <c r="AZ441" s="658"/>
      <c r="BA441" s="658"/>
      <c r="BB441" s="658"/>
      <c r="BC441" s="658">
        <v>19.89</v>
      </c>
      <c r="BD441" s="658"/>
      <c r="BE441" s="658"/>
      <c r="BF441" s="658">
        <v>182.49</v>
      </c>
      <c r="BG441" s="658"/>
      <c r="BH441" s="658"/>
      <c r="BI441" s="567">
        <v>0.108992273549236</v>
      </c>
      <c r="BJ441" s="567"/>
      <c r="BK441" s="567"/>
      <c r="BL441" s="567"/>
      <c r="BM441" s="660" t="s">
        <v>932</v>
      </c>
      <c r="BN441" s="660"/>
      <c r="BO441" s="660"/>
      <c r="BP441" s="660"/>
      <c r="BQ441" s="568" t="s">
        <v>932</v>
      </c>
      <c r="BR441" s="568"/>
      <c r="BS441" s="568"/>
      <c r="BT441" s="660" t="s">
        <v>932</v>
      </c>
      <c r="BU441" s="660"/>
      <c r="BV441" s="660"/>
      <c r="BW441" s="660"/>
      <c r="BX441" s="568" t="s">
        <v>932</v>
      </c>
      <c r="BY441" s="568"/>
      <c r="BZ441" s="568"/>
      <c r="CA441" s="660" t="s">
        <v>932</v>
      </c>
      <c r="CB441" s="660"/>
      <c r="CC441" s="660"/>
      <c r="CD441" s="660"/>
      <c r="CE441" s="568" t="s">
        <v>932</v>
      </c>
      <c r="CF441" s="568"/>
      <c r="CG441" s="568"/>
      <c r="CH441" s="660">
        <v>0.108992273549236</v>
      </c>
      <c r="CI441" s="660"/>
      <c r="CJ441" s="660"/>
      <c r="CK441" s="660"/>
      <c r="CL441" s="568">
        <v>1</v>
      </c>
      <c r="CM441" s="568"/>
      <c r="CN441" s="568"/>
    </row>
    <row r="442" hidden="1" customHeight="1" spans="1:92">
      <c r="A442" s="612"/>
      <c r="B442" s="612"/>
      <c r="C442" s="518"/>
      <c r="D442" s="518"/>
      <c r="E442" s="518"/>
      <c r="F442" s="657"/>
      <c r="G442" s="657"/>
      <c r="H442" s="657"/>
      <c r="I442" s="519"/>
      <c r="J442" s="519"/>
      <c r="K442" s="519"/>
      <c r="L442" s="519"/>
      <c r="M442" s="519"/>
      <c r="N442" s="519"/>
      <c r="O442" s="519"/>
      <c r="P442" s="519"/>
      <c r="Q442" s="519"/>
      <c r="R442" s="519"/>
      <c r="S442" s="519"/>
      <c r="T442" s="519"/>
      <c r="U442" s="519"/>
      <c r="V442" s="519"/>
      <c r="W442" s="519"/>
      <c r="X442" s="519"/>
      <c r="Y442" s="519"/>
      <c r="Z442" s="519"/>
      <c r="AA442" s="519"/>
      <c r="AB442" s="526"/>
      <c r="AC442" s="526"/>
      <c r="AD442" s="658"/>
      <c r="AE442" s="658"/>
      <c r="AF442" s="658"/>
      <c r="AG442" s="526">
        <v>0</v>
      </c>
      <c r="AH442" s="526"/>
      <c r="AI442" s="659" t="e">
        <v>#N/A</v>
      </c>
      <c r="AJ442" s="659"/>
      <c r="AK442" s="659"/>
      <c r="AL442" s="659"/>
      <c r="AM442" s="659"/>
      <c r="AN442" s="659"/>
      <c r="AO442" s="659"/>
      <c r="AP442" s="659"/>
      <c r="AQ442" s="659"/>
      <c r="AR442" s="659"/>
      <c r="AS442" s="659"/>
      <c r="AT442" s="659"/>
      <c r="AU442" s="659"/>
      <c r="AV442" s="659"/>
      <c r="AW442" s="658">
        <v>0</v>
      </c>
      <c r="AX442" s="658"/>
      <c r="AY442" s="658"/>
      <c r="AZ442" s="658"/>
      <c r="BA442" s="658"/>
      <c r="BB442" s="658"/>
      <c r="BC442" s="658">
        <v>0</v>
      </c>
      <c r="BD442" s="658"/>
      <c r="BE442" s="658"/>
      <c r="BF442" s="658">
        <v>182.49</v>
      </c>
      <c r="BG442" s="658"/>
      <c r="BH442" s="658"/>
      <c r="BI442" s="567">
        <v>0</v>
      </c>
      <c r="BJ442" s="567"/>
      <c r="BK442" s="567"/>
      <c r="BL442" s="567"/>
      <c r="BM442" s="660" t="s">
        <v>932</v>
      </c>
      <c r="BN442" s="660"/>
      <c r="BO442" s="660"/>
      <c r="BP442" s="660"/>
      <c r="BQ442" s="568" t="s">
        <v>932</v>
      </c>
      <c r="BR442" s="568"/>
      <c r="BS442" s="568"/>
      <c r="BT442" s="660" t="s">
        <v>932</v>
      </c>
      <c r="BU442" s="660"/>
      <c r="BV442" s="660"/>
      <c r="BW442" s="660"/>
      <c r="BX442" s="568" t="s">
        <v>932</v>
      </c>
      <c r="BY442" s="568"/>
      <c r="BZ442" s="568"/>
      <c r="CA442" s="660" t="s">
        <v>932</v>
      </c>
      <c r="CB442" s="660"/>
      <c r="CC442" s="660"/>
      <c r="CD442" s="660"/>
      <c r="CE442" s="568" t="s">
        <v>932</v>
      </c>
      <c r="CF442" s="568"/>
      <c r="CG442" s="568"/>
      <c r="CH442" s="660" t="s">
        <v>932</v>
      </c>
      <c r="CI442" s="660"/>
      <c r="CJ442" s="660"/>
      <c r="CK442" s="660"/>
      <c r="CL442" s="568">
        <v>1</v>
      </c>
      <c r="CM442" s="568"/>
      <c r="CN442" s="568"/>
    </row>
    <row r="443" hidden="1" customHeight="1" spans="1:92">
      <c r="A443" s="612"/>
      <c r="B443" s="612"/>
      <c r="C443" s="518"/>
      <c r="D443" s="518"/>
      <c r="E443" s="518"/>
      <c r="F443" s="657"/>
      <c r="G443" s="657"/>
      <c r="H443" s="657"/>
      <c r="I443" s="519"/>
      <c r="J443" s="519"/>
      <c r="K443" s="519"/>
      <c r="L443" s="519"/>
      <c r="M443" s="519"/>
      <c r="N443" s="519"/>
      <c r="O443" s="519"/>
      <c r="P443" s="519"/>
      <c r="Q443" s="519"/>
      <c r="R443" s="519"/>
      <c r="S443" s="519"/>
      <c r="T443" s="519"/>
      <c r="U443" s="519"/>
      <c r="V443" s="519"/>
      <c r="W443" s="519"/>
      <c r="X443" s="519"/>
      <c r="Y443" s="519"/>
      <c r="Z443" s="519"/>
      <c r="AA443" s="519"/>
      <c r="AB443" s="526"/>
      <c r="AC443" s="526"/>
      <c r="AD443" s="658"/>
      <c r="AE443" s="658"/>
      <c r="AF443" s="658"/>
      <c r="AG443" s="526">
        <v>0</v>
      </c>
      <c r="AH443" s="526"/>
      <c r="AI443" s="659" t="e">
        <v>#N/A</v>
      </c>
      <c r="AJ443" s="659"/>
      <c r="AK443" s="659"/>
      <c r="AL443" s="659"/>
      <c r="AM443" s="659"/>
      <c r="AN443" s="659"/>
      <c r="AO443" s="659"/>
      <c r="AP443" s="659"/>
      <c r="AQ443" s="659"/>
      <c r="AR443" s="659"/>
      <c r="AS443" s="659"/>
      <c r="AT443" s="659"/>
      <c r="AU443" s="659"/>
      <c r="AV443" s="659"/>
      <c r="AW443" s="658">
        <v>0</v>
      </c>
      <c r="AX443" s="658"/>
      <c r="AY443" s="658"/>
      <c r="AZ443" s="658"/>
      <c r="BA443" s="658"/>
      <c r="BB443" s="658"/>
      <c r="BC443" s="658">
        <v>0</v>
      </c>
      <c r="BD443" s="658"/>
      <c r="BE443" s="658"/>
      <c r="BF443" s="658">
        <v>182.49</v>
      </c>
      <c r="BG443" s="658"/>
      <c r="BH443" s="658"/>
      <c r="BI443" s="567">
        <v>0</v>
      </c>
      <c r="BJ443" s="567"/>
      <c r="BK443" s="567"/>
      <c r="BL443" s="567"/>
      <c r="BM443" s="660" t="s">
        <v>932</v>
      </c>
      <c r="BN443" s="660"/>
      <c r="BO443" s="660"/>
      <c r="BP443" s="660"/>
      <c r="BQ443" s="568" t="s">
        <v>932</v>
      </c>
      <c r="BR443" s="568"/>
      <c r="BS443" s="568"/>
      <c r="BT443" s="660" t="s">
        <v>932</v>
      </c>
      <c r="BU443" s="660"/>
      <c r="BV443" s="660"/>
      <c r="BW443" s="660"/>
      <c r="BX443" s="568" t="s">
        <v>932</v>
      </c>
      <c r="BY443" s="568"/>
      <c r="BZ443" s="568"/>
      <c r="CA443" s="660" t="s">
        <v>932</v>
      </c>
      <c r="CB443" s="660"/>
      <c r="CC443" s="660"/>
      <c r="CD443" s="660"/>
      <c r="CE443" s="568" t="s">
        <v>932</v>
      </c>
      <c r="CF443" s="568"/>
      <c r="CG443" s="568"/>
      <c r="CH443" s="660" t="s">
        <v>932</v>
      </c>
      <c r="CI443" s="660"/>
      <c r="CJ443" s="660"/>
      <c r="CK443" s="660"/>
      <c r="CL443" s="568">
        <v>1</v>
      </c>
      <c r="CM443" s="568"/>
      <c r="CN443" s="568"/>
    </row>
    <row r="444" hidden="1" customHeight="1" spans="1:92">
      <c r="A444" s="612"/>
      <c r="B444" s="612"/>
      <c r="C444" s="518"/>
      <c r="D444" s="518"/>
      <c r="E444" s="518"/>
      <c r="F444" s="657"/>
      <c r="G444" s="657"/>
      <c r="H444" s="657"/>
      <c r="I444" s="519"/>
      <c r="J444" s="519"/>
      <c r="K444" s="519"/>
      <c r="L444" s="519"/>
      <c r="M444" s="519"/>
      <c r="N444" s="519"/>
      <c r="O444" s="519"/>
      <c r="P444" s="519"/>
      <c r="Q444" s="519"/>
      <c r="R444" s="519"/>
      <c r="S444" s="519"/>
      <c r="T444" s="519"/>
      <c r="U444" s="519"/>
      <c r="V444" s="519"/>
      <c r="W444" s="519"/>
      <c r="X444" s="519"/>
      <c r="Y444" s="519"/>
      <c r="Z444" s="519"/>
      <c r="AA444" s="519"/>
      <c r="AB444" s="526"/>
      <c r="AC444" s="526"/>
      <c r="AD444" s="658"/>
      <c r="AE444" s="658"/>
      <c r="AF444" s="658"/>
      <c r="AG444" s="526">
        <v>0</v>
      </c>
      <c r="AH444" s="526"/>
      <c r="AI444" s="659" t="e">
        <v>#N/A</v>
      </c>
      <c r="AJ444" s="659"/>
      <c r="AK444" s="659"/>
      <c r="AL444" s="659"/>
      <c r="AM444" s="659"/>
      <c r="AN444" s="659"/>
      <c r="AO444" s="659"/>
      <c r="AP444" s="659"/>
      <c r="AQ444" s="659"/>
      <c r="AR444" s="659"/>
      <c r="AS444" s="659"/>
      <c r="AT444" s="659"/>
      <c r="AU444" s="659"/>
      <c r="AV444" s="659"/>
      <c r="AW444" s="658">
        <v>0</v>
      </c>
      <c r="AX444" s="658"/>
      <c r="AY444" s="658"/>
      <c r="AZ444" s="658"/>
      <c r="BA444" s="658"/>
      <c r="BB444" s="658"/>
      <c r="BC444" s="658">
        <v>0</v>
      </c>
      <c r="BD444" s="658"/>
      <c r="BE444" s="658"/>
      <c r="BF444" s="658">
        <v>182.49</v>
      </c>
      <c r="BG444" s="658"/>
      <c r="BH444" s="658"/>
      <c r="BI444" s="567">
        <v>0</v>
      </c>
      <c r="BJ444" s="567"/>
      <c r="BK444" s="567"/>
      <c r="BL444" s="567"/>
      <c r="BM444" s="660" t="s">
        <v>932</v>
      </c>
      <c r="BN444" s="660"/>
      <c r="BO444" s="660"/>
      <c r="BP444" s="660"/>
      <c r="BQ444" s="568" t="s">
        <v>932</v>
      </c>
      <c r="BR444" s="568"/>
      <c r="BS444" s="568"/>
      <c r="BT444" s="660" t="s">
        <v>932</v>
      </c>
      <c r="BU444" s="660"/>
      <c r="BV444" s="660"/>
      <c r="BW444" s="660"/>
      <c r="BX444" s="568" t="s">
        <v>932</v>
      </c>
      <c r="BY444" s="568"/>
      <c r="BZ444" s="568"/>
      <c r="CA444" s="660" t="s">
        <v>932</v>
      </c>
      <c r="CB444" s="660"/>
      <c r="CC444" s="660"/>
      <c r="CD444" s="660"/>
      <c r="CE444" s="568" t="s">
        <v>932</v>
      </c>
      <c r="CF444" s="568"/>
      <c r="CG444" s="568"/>
      <c r="CH444" s="660" t="s">
        <v>932</v>
      </c>
      <c r="CI444" s="660"/>
      <c r="CJ444" s="660"/>
      <c r="CK444" s="660"/>
      <c r="CL444" s="568">
        <v>1</v>
      </c>
      <c r="CM444" s="568"/>
      <c r="CN444" s="568"/>
    </row>
    <row r="445" hidden="1" customHeight="1" spans="1:92">
      <c r="A445" s="612"/>
      <c r="B445" s="612"/>
      <c r="C445" s="518"/>
      <c r="D445" s="518"/>
      <c r="E445" s="518"/>
      <c r="F445" s="657"/>
      <c r="G445" s="657"/>
      <c r="H445" s="657"/>
      <c r="I445" s="519"/>
      <c r="J445" s="519"/>
      <c r="K445" s="519"/>
      <c r="L445" s="519"/>
      <c r="M445" s="519"/>
      <c r="N445" s="519"/>
      <c r="O445" s="519"/>
      <c r="P445" s="519"/>
      <c r="Q445" s="519"/>
      <c r="R445" s="519"/>
      <c r="S445" s="519"/>
      <c r="T445" s="519"/>
      <c r="U445" s="519"/>
      <c r="V445" s="519"/>
      <c r="W445" s="519"/>
      <c r="X445" s="519"/>
      <c r="Y445" s="519"/>
      <c r="Z445" s="519"/>
      <c r="AA445" s="519"/>
      <c r="AB445" s="526"/>
      <c r="AC445" s="526"/>
      <c r="AD445" s="658"/>
      <c r="AE445" s="658"/>
      <c r="AF445" s="658"/>
      <c r="AG445" s="526">
        <v>0</v>
      </c>
      <c r="AH445" s="526"/>
      <c r="AI445" s="659" t="e">
        <v>#N/A</v>
      </c>
      <c r="AJ445" s="659"/>
      <c r="AK445" s="659"/>
      <c r="AL445" s="659"/>
      <c r="AM445" s="659"/>
      <c r="AN445" s="659"/>
      <c r="AO445" s="659"/>
      <c r="AP445" s="659"/>
      <c r="AQ445" s="659"/>
      <c r="AR445" s="659"/>
      <c r="AS445" s="659"/>
      <c r="AT445" s="659"/>
      <c r="AU445" s="659"/>
      <c r="AV445" s="659"/>
      <c r="AW445" s="658">
        <v>0</v>
      </c>
      <c r="AX445" s="658"/>
      <c r="AY445" s="658"/>
      <c r="AZ445" s="658"/>
      <c r="BA445" s="658"/>
      <c r="BB445" s="658"/>
      <c r="BC445" s="658">
        <v>0</v>
      </c>
      <c r="BD445" s="658"/>
      <c r="BE445" s="658"/>
      <c r="BF445" s="658">
        <v>182.49</v>
      </c>
      <c r="BG445" s="658"/>
      <c r="BH445" s="658"/>
      <c r="BI445" s="567">
        <v>0</v>
      </c>
      <c r="BJ445" s="567"/>
      <c r="BK445" s="567"/>
      <c r="BL445" s="567"/>
      <c r="BM445" s="660" t="s">
        <v>932</v>
      </c>
      <c r="BN445" s="660"/>
      <c r="BO445" s="660"/>
      <c r="BP445" s="660"/>
      <c r="BQ445" s="568" t="s">
        <v>932</v>
      </c>
      <c r="BR445" s="568"/>
      <c r="BS445" s="568"/>
      <c r="BT445" s="660" t="s">
        <v>932</v>
      </c>
      <c r="BU445" s="660"/>
      <c r="BV445" s="660"/>
      <c r="BW445" s="660"/>
      <c r="BX445" s="568" t="s">
        <v>932</v>
      </c>
      <c r="BY445" s="568"/>
      <c r="BZ445" s="568"/>
      <c r="CA445" s="660" t="s">
        <v>932</v>
      </c>
      <c r="CB445" s="660"/>
      <c r="CC445" s="660"/>
      <c r="CD445" s="660"/>
      <c r="CE445" s="568" t="s">
        <v>932</v>
      </c>
      <c r="CF445" s="568"/>
      <c r="CG445" s="568"/>
      <c r="CH445" s="660" t="s">
        <v>932</v>
      </c>
      <c r="CI445" s="660"/>
      <c r="CJ445" s="660"/>
      <c r="CK445" s="660"/>
      <c r="CL445" s="568">
        <v>1</v>
      </c>
      <c r="CM445" s="568"/>
      <c r="CN445" s="568"/>
    </row>
    <row r="446" hidden="1" customHeight="1" spans="1:92">
      <c r="A446" s="612"/>
      <c r="B446" s="612"/>
      <c r="C446" s="518"/>
      <c r="D446" s="518"/>
      <c r="E446" s="518"/>
      <c r="F446" s="657"/>
      <c r="G446" s="657"/>
      <c r="H446" s="657"/>
      <c r="I446" s="519"/>
      <c r="J446" s="519"/>
      <c r="K446" s="519"/>
      <c r="L446" s="519"/>
      <c r="M446" s="519"/>
      <c r="N446" s="519"/>
      <c r="O446" s="519"/>
      <c r="P446" s="519"/>
      <c r="Q446" s="519"/>
      <c r="R446" s="519"/>
      <c r="S446" s="519"/>
      <c r="T446" s="519"/>
      <c r="U446" s="519"/>
      <c r="V446" s="519"/>
      <c r="W446" s="519"/>
      <c r="X446" s="519"/>
      <c r="Y446" s="519"/>
      <c r="Z446" s="519"/>
      <c r="AA446" s="519"/>
      <c r="AB446" s="526"/>
      <c r="AC446" s="526"/>
      <c r="AD446" s="658"/>
      <c r="AE446" s="658"/>
      <c r="AF446" s="658"/>
      <c r="AG446" s="526">
        <v>0</v>
      </c>
      <c r="AH446" s="526"/>
      <c r="AI446" s="659" t="e">
        <v>#N/A</v>
      </c>
      <c r="AJ446" s="659"/>
      <c r="AK446" s="659"/>
      <c r="AL446" s="659"/>
      <c r="AM446" s="659"/>
      <c r="AN446" s="659"/>
      <c r="AO446" s="659"/>
      <c r="AP446" s="659"/>
      <c r="AQ446" s="659"/>
      <c r="AR446" s="659"/>
      <c r="AS446" s="659"/>
      <c r="AT446" s="659"/>
      <c r="AU446" s="659"/>
      <c r="AV446" s="659"/>
      <c r="AW446" s="658">
        <v>0</v>
      </c>
      <c r="AX446" s="658"/>
      <c r="AY446" s="658"/>
      <c r="AZ446" s="658"/>
      <c r="BA446" s="658"/>
      <c r="BB446" s="658"/>
      <c r="BC446" s="658">
        <v>0</v>
      </c>
      <c r="BD446" s="658"/>
      <c r="BE446" s="658"/>
      <c r="BF446" s="658">
        <v>182.49</v>
      </c>
      <c r="BG446" s="658"/>
      <c r="BH446" s="658"/>
      <c r="BI446" s="567">
        <v>0</v>
      </c>
      <c r="BJ446" s="567"/>
      <c r="BK446" s="567"/>
      <c r="BL446" s="567"/>
      <c r="BM446" s="660" t="s">
        <v>932</v>
      </c>
      <c r="BN446" s="660"/>
      <c r="BO446" s="660"/>
      <c r="BP446" s="660"/>
      <c r="BQ446" s="568" t="s">
        <v>932</v>
      </c>
      <c r="BR446" s="568"/>
      <c r="BS446" s="568"/>
      <c r="BT446" s="660" t="s">
        <v>932</v>
      </c>
      <c r="BU446" s="660"/>
      <c r="BV446" s="660"/>
      <c r="BW446" s="660"/>
      <c r="BX446" s="568" t="s">
        <v>932</v>
      </c>
      <c r="BY446" s="568"/>
      <c r="BZ446" s="568"/>
      <c r="CA446" s="660" t="s">
        <v>932</v>
      </c>
      <c r="CB446" s="660"/>
      <c r="CC446" s="660"/>
      <c r="CD446" s="660"/>
      <c r="CE446" s="568" t="s">
        <v>932</v>
      </c>
      <c r="CF446" s="568"/>
      <c r="CG446" s="568"/>
      <c r="CH446" s="660" t="s">
        <v>932</v>
      </c>
      <c r="CI446" s="660"/>
      <c r="CJ446" s="660"/>
      <c r="CK446" s="660"/>
      <c r="CL446" s="568">
        <v>1</v>
      </c>
      <c r="CM446" s="568"/>
      <c r="CN446" s="568"/>
    </row>
    <row r="447" hidden="1" customHeight="1" spans="1:92">
      <c r="A447" s="612"/>
      <c r="B447" s="612"/>
      <c r="C447" s="518"/>
      <c r="D447" s="518"/>
      <c r="E447" s="518"/>
      <c r="F447" s="657"/>
      <c r="G447" s="657"/>
      <c r="H447" s="657"/>
      <c r="I447" s="519"/>
      <c r="J447" s="519"/>
      <c r="K447" s="519"/>
      <c r="L447" s="519"/>
      <c r="M447" s="519"/>
      <c r="N447" s="519"/>
      <c r="O447" s="519"/>
      <c r="P447" s="519"/>
      <c r="Q447" s="519"/>
      <c r="R447" s="519"/>
      <c r="S447" s="519"/>
      <c r="T447" s="519"/>
      <c r="U447" s="519"/>
      <c r="V447" s="519"/>
      <c r="W447" s="519"/>
      <c r="X447" s="519"/>
      <c r="Y447" s="519"/>
      <c r="Z447" s="519"/>
      <c r="AA447" s="519"/>
      <c r="AB447" s="526"/>
      <c r="AC447" s="526"/>
      <c r="AD447" s="658"/>
      <c r="AE447" s="658"/>
      <c r="AF447" s="658"/>
      <c r="AG447" s="526">
        <v>0</v>
      </c>
      <c r="AH447" s="526"/>
      <c r="AI447" s="659" t="e">
        <v>#N/A</v>
      </c>
      <c r="AJ447" s="659"/>
      <c r="AK447" s="659"/>
      <c r="AL447" s="659"/>
      <c r="AM447" s="659"/>
      <c r="AN447" s="659"/>
      <c r="AO447" s="659"/>
      <c r="AP447" s="659"/>
      <c r="AQ447" s="659"/>
      <c r="AR447" s="659"/>
      <c r="AS447" s="659"/>
      <c r="AT447" s="659"/>
      <c r="AU447" s="659"/>
      <c r="AV447" s="659"/>
      <c r="AW447" s="658">
        <v>0</v>
      </c>
      <c r="AX447" s="658"/>
      <c r="AY447" s="658"/>
      <c r="AZ447" s="658"/>
      <c r="BA447" s="658"/>
      <c r="BB447" s="658"/>
      <c r="BC447" s="658">
        <v>0</v>
      </c>
      <c r="BD447" s="658"/>
      <c r="BE447" s="658"/>
      <c r="BF447" s="658">
        <v>182.49</v>
      </c>
      <c r="BG447" s="658"/>
      <c r="BH447" s="658"/>
      <c r="BI447" s="567">
        <v>0</v>
      </c>
      <c r="BJ447" s="567"/>
      <c r="BK447" s="567"/>
      <c r="BL447" s="567"/>
      <c r="BM447" s="660" t="s">
        <v>932</v>
      </c>
      <c r="BN447" s="660"/>
      <c r="BO447" s="660"/>
      <c r="BP447" s="660"/>
      <c r="BQ447" s="568" t="s">
        <v>932</v>
      </c>
      <c r="BR447" s="568"/>
      <c r="BS447" s="568"/>
      <c r="BT447" s="660" t="s">
        <v>932</v>
      </c>
      <c r="BU447" s="660"/>
      <c r="BV447" s="660"/>
      <c r="BW447" s="660"/>
      <c r="BX447" s="568" t="s">
        <v>932</v>
      </c>
      <c r="BY447" s="568"/>
      <c r="BZ447" s="568"/>
      <c r="CA447" s="660" t="s">
        <v>932</v>
      </c>
      <c r="CB447" s="660"/>
      <c r="CC447" s="660"/>
      <c r="CD447" s="660"/>
      <c r="CE447" s="568" t="s">
        <v>932</v>
      </c>
      <c r="CF447" s="568"/>
      <c r="CG447" s="568"/>
      <c r="CH447" s="660" t="s">
        <v>932</v>
      </c>
      <c r="CI447" s="660"/>
      <c r="CJ447" s="660"/>
      <c r="CK447" s="660"/>
      <c r="CL447" s="568">
        <v>1</v>
      </c>
      <c r="CM447" s="568"/>
      <c r="CN447" s="568"/>
    </row>
    <row r="448" customHeight="1" spans="1:92">
      <c r="A448" s="612" t="s">
        <v>996</v>
      </c>
      <c r="B448" s="612"/>
      <c r="C448" s="518"/>
      <c r="D448" s="518"/>
      <c r="E448" s="518"/>
      <c r="F448" s="657">
        <v>1100657</v>
      </c>
      <c r="G448" s="657"/>
      <c r="H448" s="657"/>
      <c r="I448" s="519" t="s">
        <v>114</v>
      </c>
      <c r="J448" s="519"/>
      <c r="K448" s="519"/>
      <c r="L448" s="519"/>
      <c r="M448" s="519"/>
      <c r="N448" s="519"/>
      <c r="O448" s="519"/>
      <c r="P448" s="519"/>
      <c r="Q448" s="519"/>
      <c r="R448" s="519"/>
      <c r="S448" s="519"/>
      <c r="T448" s="519"/>
      <c r="U448" s="519"/>
      <c r="V448" s="519"/>
      <c r="W448" s="519"/>
      <c r="X448" s="519"/>
      <c r="Y448" s="519"/>
      <c r="Z448" s="519"/>
      <c r="AA448" s="519"/>
      <c r="AB448" s="526" t="s">
        <v>99</v>
      </c>
      <c r="AC448" s="526"/>
      <c r="AD448" s="658">
        <v>3.15</v>
      </c>
      <c r="AE448" s="658"/>
      <c r="AF448" s="658"/>
      <c r="AG448" s="526" t="s">
        <v>935</v>
      </c>
      <c r="AH448" s="526"/>
      <c r="AI448" s="659" t="s">
        <v>936</v>
      </c>
      <c r="AJ448" s="659"/>
      <c r="AK448" s="659"/>
      <c r="AL448" s="659"/>
      <c r="AM448" s="659"/>
      <c r="AN448" s="659"/>
      <c r="AO448" s="659"/>
      <c r="AP448" s="659"/>
      <c r="AQ448" s="659"/>
      <c r="AR448" s="659"/>
      <c r="AS448" s="659"/>
      <c r="AT448" s="659"/>
      <c r="AU448" s="659"/>
      <c r="AV448" s="659"/>
      <c r="AW448" s="658">
        <v>1</v>
      </c>
      <c r="AX448" s="658"/>
      <c r="AY448" s="658"/>
      <c r="AZ448" s="658">
        <v>9</v>
      </c>
      <c r="BA448" s="658"/>
      <c r="BB448" s="658"/>
      <c r="BC448" s="658">
        <v>0.35</v>
      </c>
      <c r="BD448" s="658"/>
      <c r="BE448" s="658"/>
      <c r="BF448" s="658">
        <v>182.49</v>
      </c>
      <c r="BG448" s="658"/>
      <c r="BH448" s="658"/>
      <c r="BI448" s="567">
        <v>0.00191791331031837</v>
      </c>
      <c r="BJ448" s="567"/>
      <c r="BK448" s="567"/>
      <c r="BL448" s="567"/>
      <c r="BM448" s="660" t="s">
        <v>932</v>
      </c>
      <c r="BN448" s="660"/>
      <c r="BO448" s="660"/>
      <c r="BP448" s="660"/>
      <c r="BQ448" s="568" t="s">
        <v>932</v>
      </c>
      <c r="BR448" s="568"/>
      <c r="BS448" s="568"/>
      <c r="BT448" s="660" t="s">
        <v>932</v>
      </c>
      <c r="BU448" s="660"/>
      <c r="BV448" s="660"/>
      <c r="BW448" s="660"/>
      <c r="BX448" s="568" t="s">
        <v>932</v>
      </c>
      <c r="BY448" s="568"/>
      <c r="BZ448" s="568"/>
      <c r="CA448" s="660" t="s">
        <v>932</v>
      </c>
      <c r="CB448" s="660"/>
      <c r="CC448" s="660"/>
      <c r="CD448" s="660"/>
      <c r="CE448" s="568" t="s">
        <v>932</v>
      </c>
      <c r="CF448" s="568"/>
      <c r="CG448" s="568"/>
      <c r="CH448" s="660">
        <v>0.00191791331031837</v>
      </c>
      <c r="CI448" s="660"/>
      <c r="CJ448" s="660"/>
      <c r="CK448" s="660"/>
      <c r="CL448" s="568">
        <v>1</v>
      </c>
      <c r="CM448" s="568"/>
      <c r="CN448" s="568"/>
    </row>
    <row r="449" hidden="1" customHeight="1" spans="1:92">
      <c r="A449" s="612"/>
      <c r="B449" s="612"/>
      <c r="C449" s="518"/>
      <c r="D449" s="518"/>
      <c r="E449" s="518"/>
      <c r="F449" s="657"/>
      <c r="G449" s="657"/>
      <c r="H449" s="657"/>
      <c r="I449" s="519"/>
      <c r="J449" s="519"/>
      <c r="K449" s="519"/>
      <c r="L449" s="519"/>
      <c r="M449" s="519"/>
      <c r="N449" s="519"/>
      <c r="O449" s="519"/>
      <c r="P449" s="519"/>
      <c r="Q449" s="519"/>
      <c r="R449" s="519"/>
      <c r="S449" s="519"/>
      <c r="T449" s="519"/>
      <c r="U449" s="519"/>
      <c r="V449" s="519"/>
      <c r="W449" s="519"/>
      <c r="X449" s="519"/>
      <c r="Y449" s="519"/>
      <c r="Z449" s="519"/>
      <c r="AA449" s="519"/>
      <c r="AB449" s="526"/>
      <c r="AC449" s="526"/>
      <c r="AD449" s="658"/>
      <c r="AE449" s="658"/>
      <c r="AF449" s="658"/>
      <c r="AG449" s="526">
        <v>0</v>
      </c>
      <c r="AH449" s="526"/>
      <c r="AI449" s="659" t="e">
        <v>#N/A</v>
      </c>
      <c r="AJ449" s="659"/>
      <c r="AK449" s="659"/>
      <c r="AL449" s="659"/>
      <c r="AM449" s="659"/>
      <c r="AN449" s="659"/>
      <c r="AO449" s="659"/>
      <c r="AP449" s="659"/>
      <c r="AQ449" s="659"/>
      <c r="AR449" s="659"/>
      <c r="AS449" s="659"/>
      <c r="AT449" s="659"/>
      <c r="AU449" s="659"/>
      <c r="AV449" s="659"/>
      <c r="AW449" s="658">
        <v>0</v>
      </c>
      <c r="AX449" s="658"/>
      <c r="AY449" s="658"/>
      <c r="AZ449" s="658"/>
      <c r="BA449" s="658"/>
      <c r="BB449" s="658"/>
      <c r="BC449" s="658">
        <v>0</v>
      </c>
      <c r="BD449" s="658"/>
      <c r="BE449" s="658"/>
      <c r="BF449" s="658">
        <v>182.49</v>
      </c>
      <c r="BG449" s="658"/>
      <c r="BH449" s="658"/>
      <c r="BI449" s="567">
        <v>0</v>
      </c>
      <c r="BJ449" s="567"/>
      <c r="BK449" s="567"/>
      <c r="BL449" s="567"/>
      <c r="BM449" s="660" t="s">
        <v>932</v>
      </c>
      <c r="BN449" s="660"/>
      <c r="BO449" s="660"/>
      <c r="BP449" s="660"/>
      <c r="BQ449" s="568" t="s">
        <v>932</v>
      </c>
      <c r="BR449" s="568"/>
      <c r="BS449" s="568"/>
      <c r="BT449" s="660" t="s">
        <v>932</v>
      </c>
      <c r="BU449" s="660"/>
      <c r="BV449" s="660"/>
      <c r="BW449" s="660"/>
      <c r="BX449" s="568" t="s">
        <v>932</v>
      </c>
      <c r="BY449" s="568"/>
      <c r="BZ449" s="568"/>
      <c r="CA449" s="660" t="s">
        <v>932</v>
      </c>
      <c r="CB449" s="660"/>
      <c r="CC449" s="660"/>
      <c r="CD449" s="660"/>
      <c r="CE449" s="568" t="s">
        <v>932</v>
      </c>
      <c r="CF449" s="568"/>
      <c r="CG449" s="568"/>
      <c r="CH449" s="660" t="s">
        <v>932</v>
      </c>
      <c r="CI449" s="660"/>
      <c r="CJ449" s="660"/>
      <c r="CK449" s="660"/>
      <c r="CL449" s="568">
        <v>1</v>
      </c>
      <c r="CM449" s="568"/>
      <c r="CN449" s="568"/>
    </row>
    <row r="450" hidden="1" customHeight="1" spans="1:92">
      <c r="A450" s="612"/>
      <c r="B450" s="612"/>
      <c r="C450" s="518"/>
      <c r="D450" s="518"/>
      <c r="E450" s="518"/>
      <c r="F450" s="657"/>
      <c r="G450" s="657"/>
      <c r="H450" s="657"/>
      <c r="I450" s="519"/>
      <c r="J450" s="519"/>
      <c r="K450" s="519"/>
      <c r="L450" s="519"/>
      <c r="M450" s="519"/>
      <c r="N450" s="519"/>
      <c r="O450" s="519"/>
      <c r="P450" s="519"/>
      <c r="Q450" s="519"/>
      <c r="R450" s="519"/>
      <c r="S450" s="519"/>
      <c r="T450" s="519"/>
      <c r="U450" s="519"/>
      <c r="V450" s="519"/>
      <c r="W450" s="519"/>
      <c r="X450" s="519"/>
      <c r="Y450" s="519"/>
      <c r="Z450" s="519"/>
      <c r="AA450" s="519"/>
      <c r="AB450" s="526"/>
      <c r="AC450" s="526"/>
      <c r="AD450" s="658"/>
      <c r="AE450" s="658"/>
      <c r="AF450" s="658"/>
      <c r="AG450" s="526">
        <v>0</v>
      </c>
      <c r="AH450" s="526"/>
      <c r="AI450" s="659" t="e">
        <v>#N/A</v>
      </c>
      <c r="AJ450" s="659"/>
      <c r="AK450" s="659"/>
      <c r="AL450" s="659"/>
      <c r="AM450" s="659"/>
      <c r="AN450" s="659"/>
      <c r="AO450" s="659"/>
      <c r="AP450" s="659"/>
      <c r="AQ450" s="659"/>
      <c r="AR450" s="659"/>
      <c r="AS450" s="659"/>
      <c r="AT450" s="659"/>
      <c r="AU450" s="659"/>
      <c r="AV450" s="659"/>
      <c r="AW450" s="658">
        <v>0</v>
      </c>
      <c r="AX450" s="658"/>
      <c r="AY450" s="658"/>
      <c r="AZ450" s="658"/>
      <c r="BA450" s="658"/>
      <c r="BB450" s="658"/>
      <c r="BC450" s="658">
        <v>0</v>
      </c>
      <c r="BD450" s="658"/>
      <c r="BE450" s="658"/>
      <c r="BF450" s="658">
        <v>182.49</v>
      </c>
      <c r="BG450" s="658"/>
      <c r="BH450" s="658"/>
      <c r="BI450" s="567">
        <v>0</v>
      </c>
      <c r="BJ450" s="567"/>
      <c r="BK450" s="567"/>
      <c r="BL450" s="567"/>
      <c r="BM450" s="660" t="s">
        <v>932</v>
      </c>
      <c r="BN450" s="660"/>
      <c r="BO450" s="660"/>
      <c r="BP450" s="660"/>
      <c r="BQ450" s="568" t="s">
        <v>932</v>
      </c>
      <c r="BR450" s="568"/>
      <c r="BS450" s="568"/>
      <c r="BT450" s="660" t="s">
        <v>932</v>
      </c>
      <c r="BU450" s="660"/>
      <c r="BV450" s="660"/>
      <c r="BW450" s="660"/>
      <c r="BX450" s="568" t="s">
        <v>932</v>
      </c>
      <c r="BY450" s="568"/>
      <c r="BZ450" s="568"/>
      <c r="CA450" s="660" t="s">
        <v>932</v>
      </c>
      <c r="CB450" s="660"/>
      <c r="CC450" s="660"/>
      <c r="CD450" s="660"/>
      <c r="CE450" s="568" t="s">
        <v>932</v>
      </c>
      <c r="CF450" s="568"/>
      <c r="CG450" s="568"/>
      <c r="CH450" s="660" t="s">
        <v>932</v>
      </c>
      <c r="CI450" s="660"/>
      <c r="CJ450" s="660"/>
      <c r="CK450" s="660"/>
      <c r="CL450" s="568">
        <v>1</v>
      </c>
      <c r="CM450" s="568"/>
      <c r="CN450" s="568"/>
    </row>
    <row r="451" hidden="1" customHeight="1" spans="1:92">
      <c r="A451" s="612"/>
      <c r="B451" s="612"/>
      <c r="C451" s="518"/>
      <c r="D451" s="518"/>
      <c r="E451" s="518"/>
      <c r="F451" s="657"/>
      <c r="G451" s="657"/>
      <c r="H451" s="657"/>
      <c r="I451" s="519"/>
      <c r="J451" s="519"/>
      <c r="K451" s="519"/>
      <c r="L451" s="519"/>
      <c r="M451" s="519"/>
      <c r="N451" s="519"/>
      <c r="O451" s="519"/>
      <c r="P451" s="519"/>
      <c r="Q451" s="519"/>
      <c r="R451" s="519"/>
      <c r="S451" s="519"/>
      <c r="T451" s="519"/>
      <c r="U451" s="519"/>
      <c r="V451" s="519"/>
      <c r="W451" s="519"/>
      <c r="X451" s="519"/>
      <c r="Y451" s="519"/>
      <c r="Z451" s="519"/>
      <c r="AA451" s="519"/>
      <c r="AB451" s="526"/>
      <c r="AC451" s="526"/>
      <c r="AD451" s="658"/>
      <c r="AE451" s="658"/>
      <c r="AF451" s="658"/>
      <c r="AG451" s="526">
        <v>0</v>
      </c>
      <c r="AH451" s="526"/>
      <c r="AI451" s="659" t="e">
        <v>#N/A</v>
      </c>
      <c r="AJ451" s="659"/>
      <c r="AK451" s="659"/>
      <c r="AL451" s="659"/>
      <c r="AM451" s="659"/>
      <c r="AN451" s="659"/>
      <c r="AO451" s="659"/>
      <c r="AP451" s="659"/>
      <c r="AQ451" s="659"/>
      <c r="AR451" s="659"/>
      <c r="AS451" s="659"/>
      <c r="AT451" s="659"/>
      <c r="AU451" s="659"/>
      <c r="AV451" s="659"/>
      <c r="AW451" s="658">
        <v>0</v>
      </c>
      <c r="AX451" s="658"/>
      <c r="AY451" s="658"/>
      <c r="AZ451" s="658"/>
      <c r="BA451" s="658"/>
      <c r="BB451" s="658"/>
      <c r="BC451" s="658">
        <v>0</v>
      </c>
      <c r="BD451" s="658"/>
      <c r="BE451" s="658"/>
      <c r="BF451" s="658">
        <v>182.49</v>
      </c>
      <c r="BG451" s="658"/>
      <c r="BH451" s="658"/>
      <c r="BI451" s="567">
        <v>0</v>
      </c>
      <c r="BJ451" s="567"/>
      <c r="BK451" s="567"/>
      <c r="BL451" s="567"/>
      <c r="BM451" s="660" t="s">
        <v>932</v>
      </c>
      <c r="BN451" s="660"/>
      <c r="BO451" s="660"/>
      <c r="BP451" s="660"/>
      <c r="BQ451" s="568" t="s">
        <v>932</v>
      </c>
      <c r="BR451" s="568"/>
      <c r="BS451" s="568"/>
      <c r="BT451" s="660" t="s">
        <v>932</v>
      </c>
      <c r="BU451" s="660"/>
      <c r="BV451" s="660"/>
      <c r="BW451" s="660"/>
      <c r="BX451" s="568" t="s">
        <v>932</v>
      </c>
      <c r="BY451" s="568"/>
      <c r="BZ451" s="568"/>
      <c r="CA451" s="660" t="s">
        <v>932</v>
      </c>
      <c r="CB451" s="660"/>
      <c r="CC451" s="660"/>
      <c r="CD451" s="660"/>
      <c r="CE451" s="568" t="s">
        <v>932</v>
      </c>
      <c r="CF451" s="568"/>
      <c r="CG451" s="568"/>
      <c r="CH451" s="660" t="s">
        <v>932</v>
      </c>
      <c r="CI451" s="660"/>
      <c r="CJ451" s="660"/>
      <c r="CK451" s="660"/>
      <c r="CL451" s="568">
        <v>1</v>
      </c>
      <c r="CM451" s="568"/>
      <c r="CN451" s="568"/>
    </row>
    <row r="452" hidden="1" customHeight="1" spans="1:92">
      <c r="A452" s="612"/>
      <c r="B452" s="612"/>
      <c r="C452" s="518"/>
      <c r="D452" s="518"/>
      <c r="E452" s="518"/>
      <c r="F452" s="657"/>
      <c r="G452" s="657"/>
      <c r="H452" s="657"/>
      <c r="I452" s="519"/>
      <c r="J452" s="519"/>
      <c r="K452" s="519"/>
      <c r="L452" s="519"/>
      <c r="M452" s="519"/>
      <c r="N452" s="519"/>
      <c r="O452" s="519"/>
      <c r="P452" s="519"/>
      <c r="Q452" s="519"/>
      <c r="R452" s="519"/>
      <c r="S452" s="519"/>
      <c r="T452" s="519"/>
      <c r="U452" s="519"/>
      <c r="V452" s="519"/>
      <c r="W452" s="519"/>
      <c r="X452" s="519"/>
      <c r="Y452" s="519"/>
      <c r="Z452" s="519"/>
      <c r="AA452" s="519"/>
      <c r="AB452" s="526"/>
      <c r="AC452" s="526"/>
      <c r="AD452" s="658"/>
      <c r="AE452" s="658"/>
      <c r="AF452" s="658"/>
      <c r="AG452" s="526">
        <v>0</v>
      </c>
      <c r="AH452" s="526"/>
      <c r="AI452" s="659" t="e">
        <v>#N/A</v>
      </c>
      <c r="AJ452" s="659"/>
      <c r="AK452" s="659"/>
      <c r="AL452" s="659"/>
      <c r="AM452" s="659"/>
      <c r="AN452" s="659"/>
      <c r="AO452" s="659"/>
      <c r="AP452" s="659"/>
      <c r="AQ452" s="659"/>
      <c r="AR452" s="659"/>
      <c r="AS452" s="659"/>
      <c r="AT452" s="659"/>
      <c r="AU452" s="659"/>
      <c r="AV452" s="659"/>
      <c r="AW452" s="658">
        <v>0</v>
      </c>
      <c r="AX452" s="658"/>
      <c r="AY452" s="658"/>
      <c r="AZ452" s="658"/>
      <c r="BA452" s="658"/>
      <c r="BB452" s="658"/>
      <c r="BC452" s="658">
        <v>0</v>
      </c>
      <c r="BD452" s="658"/>
      <c r="BE452" s="658"/>
      <c r="BF452" s="658">
        <v>182.49</v>
      </c>
      <c r="BG452" s="658"/>
      <c r="BH452" s="658"/>
      <c r="BI452" s="567">
        <v>0</v>
      </c>
      <c r="BJ452" s="567"/>
      <c r="BK452" s="567"/>
      <c r="BL452" s="567"/>
      <c r="BM452" s="660" t="s">
        <v>932</v>
      </c>
      <c r="BN452" s="660"/>
      <c r="BO452" s="660"/>
      <c r="BP452" s="660"/>
      <c r="BQ452" s="568" t="s">
        <v>932</v>
      </c>
      <c r="BR452" s="568"/>
      <c r="BS452" s="568"/>
      <c r="BT452" s="660" t="s">
        <v>932</v>
      </c>
      <c r="BU452" s="660"/>
      <c r="BV452" s="660"/>
      <c r="BW452" s="660"/>
      <c r="BX452" s="568" t="s">
        <v>932</v>
      </c>
      <c r="BY452" s="568"/>
      <c r="BZ452" s="568"/>
      <c r="CA452" s="660" t="s">
        <v>932</v>
      </c>
      <c r="CB452" s="660"/>
      <c r="CC452" s="660"/>
      <c r="CD452" s="660"/>
      <c r="CE452" s="568" t="s">
        <v>932</v>
      </c>
      <c r="CF452" s="568"/>
      <c r="CG452" s="568"/>
      <c r="CH452" s="660" t="s">
        <v>932</v>
      </c>
      <c r="CI452" s="660"/>
      <c r="CJ452" s="660"/>
      <c r="CK452" s="660"/>
      <c r="CL452" s="568">
        <v>1</v>
      </c>
      <c r="CM452" s="568"/>
      <c r="CN452" s="568"/>
    </row>
    <row r="453" hidden="1" customHeight="1" spans="1:92">
      <c r="A453" s="612"/>
      <c r="B453" s="612"/>
      <c r="C453" s="518"/>
      <c r="D453" s="518"/>
      <c r="E453" s="518"/>
      <c r="F453" s="657"/>
      <c r="G453" s="657"/>
      <c r="H453" s="657"/>
      <c r="I453" s="519"/>
      <c r="J453" s="519"/>
      <c r="K453" s="519"/>
      <c r="L453" s="519"/>
      <c r="M453" s="519"/>
      <c r="N453" s="519"/>
      <c r="O453" s="519"/>
      <c r="P453" s="519"/>
      <c r="Q453" s="519"/>
      <c r="R453" s="519"/>
      <c r="S453" s="519"/>
      <c r="T453" s="519"/>
      <c r="U453" s="519"/>
      <c r="V453" s="519"/>
      <c r="W453" s="519"/>
      <c r="X453" s="519"/>
      <c r="Y453" s="519"/>
      <c r="Z453" s="519"/>
      <c r="AA453" s="519"/>
      <c r="AB453" s="526"/>
      <c r="AC453" s="526"/>
      <c r="AD453" s="658"/>
      <c r="AE453" s="658"/>
      <c r="AF453" s="658"/>
      <c r="AG453" s="526">
        <v>0</v>
      </c>
      <c r="AH453" s="526"/>
      <c r="AI453" s="659" t="e">
        <v>#N/A</v>
      </c>
      <c r="AJ453" s="659"/>
      <c r="AK453" s="659"/>
      <c r="AL453" s="659"/>
      <c r="AM453" s="659"/>
      <c r="AN453" s="659"/>
      <c r="AO453" s="659"/>
      <c r="AP453" s="659"/>
      <c r="AQ453" s="659"/>
      <c r="AR453" s="659"/>
      <c r="AS453" s="659"/>
      <c r="AT453" s="659"/>
      <c r="AU453" s="659"/>
      <c r="AV453" s="659"/>
      <c r="AW453" s="658">
        <v>0</v>
      </c>
      <c r="AX453" s="658"/>
      <c r="AY453" s="658"/>
      <c r="AZ453" s="658"/>
      <c r="BA453" s="658"/>
      <c r="BB453" s="658"/>
      <c r="BC453" s="658">
        <v>0</v>
      </c>
      <c r="BD453" s="658"/>
      <c r="BE453" s="658"/>
      <c r="BF453" s="658">
        <v>182.49</v>
      </c>
      <c r="BG453" s="658"/>
      <c r="BH453" s="658"/>
      <c r="BI453" s="567">
        <v>0</v>
      </c>
      <c r="BJ453" s="567"/>
      <c r="BK453" s="567"/>
      <c r="BL453" s="567"/>
      <c r="BM453" s="660" t="s">
        <v>932</v>
      </c>
      <c r="BN453" s="660"/>
      <c r="BO453" s="660"/>
      <c r="BP453" s="660"/>
      <c r="BQ453" s="568" t="s">
        <v>932</v>
      </c>
      <c r="BR453" s="568"/>
      <c r="BS453" s="568"/>
      <c r="BT453" s="660" t="s">
        <v>932</v>
      </c>
      <c r="BU453" s="660"/>
      <c r="BV453" s="660"/>
      <c r="BW453" s="660"/>
      <c r="BX453" s="568" t="s">
        <v>932</v>
      </c>
      <c r="BY453" s="568"/>
      <c r="BZ453" s="568"/>
      <c r="CA453" s="660" t="s">
        <v>932</v>
      </c>
      <c r="CB453" s="660"/>
      <c r="CC453" s="660"/>
      <c r="CD453" s="660"/>
      <c r="CE453" s="568" t="s">
        <v>932</v>
      </c>
      <c r="CF453" s="568"/>
      <c r="CG453" s="568"/>
      <c r="CH453" s="660" t="s">
        <v>932</v>
      </c>
      <c r="CI453" s="660"/>
      <c r="CJ453" s="660"/>
      <c r="CK453" s="660"/>
      <c r="CL453" s="568">
        <v>1</v>
      </c>
      <c r="CM453" s="568"/>
      <c r="CN453" s="568"/>
    </row>
    <row r="454" hidden="1" customHeight="1" spans="1:92">
      <c r="A454" s="612"/>
      <c r="B454" s="612"/>
      <c r="C454" s="518"/>
      <c r="D454" s="518"/>
      <c r="E454" s="518"/>
      <c r="F454" s="657"/>
      <c r="G454" s="657"/>
      <c r="H454" s="657"/>
      <c r="I454" s="519"/>
      <c r="J454" s="519"/>
      <c r="K454" s="519"/>
      <c r="L454" s="519"/>
      <c r="M454" s="519"/>
      <c r="N454" s="519"/>
      <c r="O454" s="519"/>
      <c r="P454" s="519"/>
      <c r="Q454" s="519"/>
      <c r="R454" s="519"/>
      <c r="S454" s="519"/>
      <c r="T454" s="519"/>
      <c r="U454" s="519"/>
      <c r="V454" s="519"/>
      <c r="W454" s="519"/>
      <c r="X454" s="519"/>
      <c r="Y454" s="519"/>
      <c r="Z454" s="519"/>
      <c r="AA454" s="519"/>
      <c r="AB454" s="526"/>
      <c r="AC454" s="526"/>
      <c r="AD454" s="658"/>
      <c r="AE454" s="658"/>
      <c r="AF454" s="658"/>
      <c r="AG454" s="526">
        <v>0</v>
      </c>
      <c r="AH454" s="526"/>
      <c r="AI454" s="659" t="e">
        <v>#N/A</v>
      </c>
      <c r="AJ454" s="659"/>
      <c r="AK454" s="659"/>
      <c r="AL454" s="659"/>
      <c r="AM454" s="659"/>
      <c r="AN454" s="659"/>
      <c r="AO454" s="659"/>
      <c r="AP454" s="659"/>
      <c r="AQ454" s="659"/>
      <c r="AR454" s="659"/>
      <c r="AS454" s="659"/>
      <c r="AT454" s="659"/>
      <c r="AU454" s="659"/>
      <c r="AV454" s="659"/>
      <c r="AW454" s="658">
        <v>0</v>
      </c>
      <c r="AX454" s="658"/>
      <c r="AY454" s="658"/>
      <c r="AZ454" s="658"/>
      <c r="BA454" s="658"/>
      <c r="BB454" s="658"/>
      <c r="BC454" s="658">
        <v>0</v>
      </c>
      <c r="BD454" s="658"/>
      <c r="BE454" s="658"/>
      <c r="BF454" s="658">
        <v>182.49</v>
      </c>
      <c r="BG454" s="658"/>
      <c r="BH454" s="658"/>
      <c r="BI454" s="567">
        <v>0</v>
      </c>
      <c r="BJ454" s="567"/>
      <c r="BK454" s="567"/>
      <c r="BL454" s="567"/>
      <c r="BM454" s="660" t="s">
        <v>932</v>
      </c>
      <c r="BN454" s="660"/>
      <c r="BO454" s="660"/>
      <c r="BP454" s="660"/>
      <c r="BQ454" s="568" t="s">
        <v>932</v>
      </c>
      <c r="BR454" s="568"/>
      <c r="BS454" s="568"/>
      <c r="BT454" s="660" t="s">
        <v>932</v>
      </c>
      <c r="BU454" s="660"/>
      <c r="BV454" s="660"/>
      <c r="BW454" s="660"/>
      <c r="BX454" s="568" t="s">
        <v>932</v>
      </c>
      <c r="BY454" s="568"/>
      <c r="BZ454" s="568"/>
      <c r="CA454" s="660" t="s">
        <v>932</v>
      </c>
      <c r="CB454" s="660"/>
      <c r="CC454" s="660"/>
      <c r="CD454" s="660"/>
      <c r="CE454" s="568" t="s">
        <v>932</v>
      </c>
      <c r="CF454" s="568"/>
      <c r="CG454" s="568"/>
      <c r="CH454" s="660" t="s">
        <v>932</v>
      </c>
      <c r="CI454" s="660"/>
      <c r="CJ454" s="660"/>
      <c r="CK454" s="660"/>
      <c r="CL454" s="568">
        <v>1</v>
      </c>
      <c r="CM454" s="568"/>
      <c r="CN454" s="568"/>
    </row>
    <row r="455" hidden="1" customHeight="1" spans="1:92">
      <c r="A455" s="612"/>
      <c r="B455" s="612"/>
      <c r="C455" s="518"/>
      <c r="D455" s="518"/>
      <c r="E455" s="518"/>
      <c r="F455" s="657"/>
      <c r="G455" s="657"/>
      <c r="H455" s="657"/>
      <c r="I455" s="519"/>
      <c r="J455" s="519"/>
      <c r="K455" s="519"/>
      <c r="L455" s="519"/>
      <c r="M455" s="519"/>
      <c r="N455" s="519"/>
      <c r="O455" s="519"/>
      <c r="P455" s="519"/>
      <c r="Q455" s="519"/>
      <c r="R455" s="519"/>
      <c r="S455" s="519"/>
      <c r="T455" s="519"/>
      <c r="U455" s="519"/>
      <c r="V455" s="519"/>
      <c r="W455" s="519"/>
      <c r="X455" s="519"/>
      <c r="Y455" s="519"/>
      <c r="Z455" s="519"/>
      <c r="AA455" s="519"/>
      <c r="AB455" s="526"/>
      <c r="AC455" s="526"/>
      <c r="AD455" s="658"/>
      <c r="AE455" s="658"/>
      <c r="AF455" s="658"/>
      <c r="AG455" s="526">
        <v>0</v>
      </c>
      <c r="AH455" s="526"/>
      <c r="AI455" s="659" t="e">
        <v>#N/A</v>
      </c>
      <c r="AJ455" s="659"/>
      <c r="AK455" s="659"/>
      <c r="AL455" s="659"/>
      <c r="AM455" s="659"/>
      <c r="AN455" s="659"/>
      <c r="AO455" s="659"/>
      <c r="AP455" s="659"/>
      <c r="AQ455" s="659"/>
      <c r="AR455" s="659"/>
      <c r="AS455" s="659"/>
      <c r="AT455" s="659"/>
      <c r="AU455" s="659"/>
      <c r="AV455" s="659"/>
      <c r="AW455" s="658">
        <v>0</v>
      </c>
      <c r="AX455" s="658"/>
      <c r="AY455" s="658"/>
      <c r="AZ455" s="658"/>
      <c r="BA455" s="658"/>
      <c r="BB455" s="658"/>
      <c r="BC455" s="658">
        <v>0</v>
      </c>
      <c r="BD455" s="658"/>
      <c r="BE455" s="658"/>
      <c r="BF455" s="658">
        <v>182.49</v>
      </c>
      <c r="BG455" s="658"/>
      <c r="BH455" s="658"/>
      <c r="BI455" s="567">
        <v>0</v>
      </c>
      <c r="BJ455" s="567"/>
      <c r="BK455" s="567"/>
      <c r="BL455" s="567"/>
      <c r="BM455" s="660" t="s">
        <v>932</v>
      </c>
      <c r="BN455" s="660"/>
      <c r="BO455" s="660"/>
      <c r="BP455" s="660"/>
      <c r="BQ455" s="568" t="s">
        <v>932</v>
      </c>
      <c r="BR455" s="568"/>
      <c r="BS455" s="568"/>
      <c r="BT455" s="660" t="s">
        <v>932</v>
      </c>
      <c r="BU455" s="660"/>
      <c r="BV455" s="660"/>
      <c r="BW455" s="660"/>
      <c r="BX455" s="568" t="s">
        <v>932</v>
      </c>
      <c r="BY455" s="568"/>
      <c r="BZ455" s="568"/>
      <c r="CA455" s="660" t="s">
        <v>932</v>
      </c>
      <c r="CB455" s="660"/>
      <c r="CC455" s="660"/>
      <c r="CD455" s="660"/>
      <c r="CE455" s="568" t="s">
        <v>932</v>
      </c>
      <c r="CF455" s="568"/>
      <c r="CG455" s="568"/>
      <c r="CH455" s="660" t="s">
        <v>932</v>
      </c>
      <c r="CI455" s="660"/>
      <c r="CJ455" s="660"/>
      <c r="CK455" s="660"/>
      <c r="CL455" s="568">
        <v>1</v>
      </c>
      <c r="CM455" s="568"/>
      <c r="CN455" s="568"/>
    </row>
    <row r="456" customHeight="1" spans="1:92">
      <c r="A456" s="612" t="s">
        <v>997</v>
      </c>
      <c r="B456" s="612"/>
      <c r="C456" s="518"/>
      <c r="D456" s="518"/>
      <c r="E456" s="518"/>
      <c r="F456" s="657">
        <v>1107908</v>
      </c>
      <c r="G456" s="657"/>
      <c r="H456" s="657"/>
      <c r="I456" s="519" t="s">
        <v>128</v>
      </c>
      <c r="J456" s="519"/>
      <c r="K456" s="519"/>
      <c r="L456" s="519"/>
      <c r="M456" s="519"/>
      <c r="N456" s="519"/>
      <c r="O456" s="519"/>
      <c r="P456" s="519"/>
      <c r="Q456" s="519"/>
      <c r="R456" s="519"/>
      <c r="S456" s="519"/>
      <c r="T456" s="519"/>
      <c r="U456" s="519"/>
      <c r="V456" s="519"/>
      <c r="W456" s="519"/>
      <c r="X456" s="519"/>
      <c r="Y456" s="519"/>
      <c r="Z456" s="519"/>
      <c r="AA456" s="519"/>
      <c r="AB456" s="526" t="s">
        <v>99</v>
      </c>
      <c r="AC456" s="526"/>
      <c r="AD456" s="661">
        <v>21.65</v>
      </c>
      <c r="AE456" s="661"/>
      <c r="AF456" s="661"/>
      <c r="AG456" s="526" t="s">
        <v>946</v>
      </c>
      <c r="AH456" s="526"/>
      <c r="AI456" s="659" t="s">
        <v>947</v>
      </c>
      <c r="AJ456" s="659"/>
      <c r="AK456" s="659"/>
      <c r="AL456" s="659"/>
      <c r="AM456" s="659"/>
      <c r="AN456" s="659"/>
      <c r="AO456" s="659"/>
      <c r="AP456" s="659"/>
      <c r="AQ456" s="659"/>
      <c r="AR456" s="659"/>
      <c r="AS456" s="659"/>
      <c r="AT456" s="659"/>
      <c r="AU456" s="659"/>
      <c r="AV456" s="659"/>
      <c r="AW456" s="658">
        <v>1</v>
      </c>
      <c r="AX456" s="658"/>
      <c r="AY456" s="658"/>
      <c r="AZ456" s="658">
        <v>3.7656</v>
      </c>
      <c r="BA456" s="658"/>
      <c r="BB456" s="658"/>
      <c r="BC456" s="658">
        <v>5.74941576375611</v>
      </c>
      <c r="BD456" s="658"/>
      <c r="BE456" s="658"/>
      <c r="BF456" s="658">
        <v>182.49</v>
      </c>
      <c r="BG456" s="658"/>
      <c r="BH456" s="658"/>
      <c r="BI456" s="567">
        <v>0.0315053743424632</v>
      </c>
      <c r="BJ456" s="567"/>
      <c r="BK456" s="567"/>
      <c r="BL456" s="567"/>
      <c r="BM456" s="660">
        <v>0.00630107486849264</v>
      </c>
      <c r="BN456" s="660"/>
      <c r="BO456" s="660"/>
      <c r="BP456" s="660"/>
      <c r="BQ456" s="568">
        <v>0.2</v>
      </c>
      <c r="BR456" s="568"/>
      <c r="BS456" s="568"/>
      <c r="BT456" s="660">
        <v>0.0157526871712316</v>
      </c>
      <c r="BU456" s="660"/>
      <c r="BV456" s="660"/>
      <c r="BW456" s="660"/>
      <c r="BX456" s="568">
        <v>0.5</v>
      </c>
      <c r="BY456" s="568"/>
      <c r="BZ456" s="568"/>
      <c r="CA456" s="660">
        <v>0.00945161230273896</v>
      </c>
      <c r="CB456" s="660"/>
      <c r="CC456" s="660"/>
      <c r="CD456" s="660"/>
      <c r="CE456" s="568">
        <v>0.3</v>
      </c>
      <c r="CF456" s="568"/>
      <c r="CG456" s="568"/>
      <c r="CH456" s="660" t="s">
        <v>932</v>
      </c>
      <c r="CI456" s="660"/>
      <c r="CJ456" s="660"/>
      <c r="CK456" s="660"/>
      <c r="CL456" s="568" t="s">
        <v>932</v>
      </c>
      <c r="CM456" s="568"/>
      <c r="CN456" s="568"/>
    </row>
    <row r="457" customHeight="1" spans="1:92">
      <c r="A457" s="612"/>
      <c r="B457" s="612"/>
      <c r="C457" s="518"/>
      <c r="D457" s="518"/>
      <c r="E457" s="518"/>
      <c r="F457" s="657"/>
      <c r="G457" s="657"/>
      <c r="H457" s="657"/>
      <c r="I457" s="519"/>
      <c r="J457" s="519"/>
      <c r="K457" s="519"/>
      <c r="L457" s="519"/>
      <c r="M457" s="519"/>
      <c r="N457" s="519"/>
      <c r="O457" s="519"/>
      <c r="P457" s="519"/>
      <c r="Q457" s="519"/>
      <c r="R457" s="519"/>
      <c r="S457" s="519"/>
      <c r="T457" s="519"/>
      <c r="U457" s="519"/>
      <c r="V457" s="519"/>
      <c r="W457" s="519"/>
      <c r="X457" s="519"/>
      <c r="Y457" s="519"/>
      <c r="Z457" s="519"/>
      <c r="AA457" s="519"/>
      <c r="AB457" s="526"/>
      <c r="AC457" s="526"/>
      <c r="AD457" s="661"/>
      <c r="AE457" s="661"/>
      <c r="AF457" s="661"/>
      <c r="AG457" s="526" t="s">
        <v>935</v>
      </c>
      <c r="AH457" s="526"/>
      <c r="AI457" s="659" t="s">
        <v>936</v>
      </c>
      <c r="AJ457" s="659"/>
      <c r="AK457" s="659"/>
      <c r="AL457" s="659"/>
      <c r="AM457" s="659"/>
      <c r="AN457" s="659"/>
      <c r="AO457" s="659"/>
      <c r="AP457" s="659"/>
      <c r="AQ457" s="659"/>
      <c r="AR457" s="659"/>
      <c r="AS457" s="659"/>
      <c r="AT457" s="659"/>
      <c r="AU457" s="659"/>
      <c r="AV457" s="659"/>
      <c r="AW457" s="658">
        <v>9</v>
      </c>
      <c r="AX457" s="658"/>
      <c r="AY457" s="658"/>
      <c r="AZ457" s="658"/>
      <c r="BA457" s="658"/>
      <c r="BB457" s="658"/>
      <c r="BC457" s="658">
        <v>51.744741873805</v>
      </c>
      <c r="BD457" s="658"/>
      <c r="BE457" s="658"/>
      <c r="BF457" s="658">
        <v>182.49</v>
      </c>
      <c r="BG457" s="658"/>
      <c r="BH457" s="658"/>
      <c r="BI457" s="567">
        <v>0.283548369082169</v>
      </c>
      <c r="BJ457" s="567"/>
      <c r="BK457" s="567"/>
      <c r="BL457" s="567"/>
      <c r="BM457" s="660">
        <v>0.0567096738164337</v>
      </c>
      <c r="BN457" s="660"/>
      <c r="BO457" s="660"/>
      <c r="BP457" s="660"/>
      <c r="BQ457" s="568">
        <v>0.2</v>
      </c>
      <c r="BR457" s="568"/>
      <c r="BS457" s="568"/>
      <c r="BT457" s="660">
        <v>0.141774184541084</v>
      </c>
      <c r="BU457" s="660"/>
      <c r="BV457" s="660"/>
      <c r="BW457" s="660"/>
      <c r="BX457" s="568">
        <v>0.5</v>
      </c>
      <c r="BY457" s="568"/>
      <c r="BZ457" s="568"/>
      <c r="CA457" s="660">
        <v>0.0850645107246506</v>
      </c>
      <c r="CB457" s="660"/>
      <c r="CC457" s="660"/>
      <c r="CD457" s="660"/>
      <c r="CE457" s="568">
        <v>0.3</v>
      </c>
      <c r="CF457" s="568"/>
      <c r="CG457" s="568"/>
      <c r="CH457" s="660" t="s">
        <v>932</v>
      </c>
      <c r="CI457" s="660"/>
      <c r="CJ457" s="660"/>
      <c r="CK457" s="660"/>
      <c r="CL457" s="568" t="s">
        <v>932</v>
      </c>
      <c r="CM457" s="568"/>
      <c r="CN457" s="568"/>
    </row>
    <row r="458" hidden="1" customHeight="1" spans="1:92">
      <c r="A458" s="612"/>
      <c r="B458" s="612"/>
      <c r="C458" s="518"/>
      <c r="D458" s="518"/>
      <c r="E458" s="518"/>
      <c r="F458" s="657"/>
      <c r="G458" s="657"/>
      <c r="H458" s="657"/>
      <c r="I458" s="519"/>
      <c r="J458" s="519"/>
      <c r="K458" s="519"/>
      <c r="L458" s="519"/>
      <c r="M458" s="519"/>
      <c r="N458" s="519"/>
      <c r="O458" s="519"/>
      <c r="P458" s="519"/>
      <c r="Q458" s="519"/>
      <c r="R458" s="519"/>
      <c r="S458" s="519"/>
      <c r="T458" s="519"/>
      <c r="U458" s="519"/>
      <c r="V458" s="519"/>
      <c r="W458" s="519"/>
      <c r="X458" s="519"/>
      <c r="Y458" s="519"/>
      <c r="Z458" s="519"/>
      <c r="AA458" s="519"/>
      <c r="AB458" s="526"/>
      <c r="AC458" s="526"/>
      <c r="AD458" s="661"/>
      <c r="AE458" s="661"/>
      <c r="AF458" s="661"/>
      <c r="AG458" s="526">
        <v>0</v>
      </c>
      <c r="AH458" s="526"/>
      <c r="AI458" s="659" t="e">
        <v>#N/A</v>
      </c>
      <c r="AJ458" s="659"/>
      <c r="AK458" s="659"/>
      <c r="AL458" s="659"/>
      <c r="AM458" s="659"/>
      <c r="AN458" s="659"/>
      <c r="AO458" s="659"/>
      <c r="AP458" s="659"/>
      <c r="AQ458" s="659"/>
      <c r="AR458" s="659"/>
      <c r="AS458" s="659"/>
      <c r="AT458" s="659"/>
      <c r="AU458" s="659"/>
      <c r="AV458" s="659"/>
      <c r="AW458" s="658">
        <v>0</v>
      </c>
      <c r="AX458" s="658"/>
      <c r="AY458" s="658"/>
      <c r="AZ458" s="658"/>
      <c r="BA458" s="658"/>
      <c r="BB458" s="658"/>
      <c r="BC458" s="658">
        <v>0</v>
      </c>
      <c r="BD458" s="658"/>
      <c r="BE458" s="658"/>
      <c r="BF458" s="658">
        <v>182.49</v>
      </c>
      <c r="BG458" s="658"/>
      <c r="BH458" s="658"/>
      <c r="BI458" s="567">
        <v>0</v>
      </c>
      <c r="BJ458" s="567"/>
      <c r="BK458" s="567"/>
      <c r="BL458" s="567"/>
      <c r="BM458" s="660" t="s">
        <v>932</v>
      </c>
      <c r="BN458" s="660"/>
      <c r="BO458" s="660"/>
      <c r="BP458" s="660"/>
      <c r="BQ458" s="568">
        <v>0.2</v>
      </c>
      <c r="BR458" s="568"/>
      <c r="BS458" s="568"/>
      <c r="BT458" s="660" t="s">
        <v>932</v>
      </c>
      <c r="BU458" s="660"/>
      <c r="BV458" s="660"/>
      <c r="BW458" s="660"/>
      <c r="BX458" s="568">
        <v>0.5</v>
      </c>
      <c r="BY458" s="568"/>
      <c r="BZ458" s="568"/>
      <c r="CA458" s="660" t="s">
        <v>932</v>
      </c>
      <c r="CB458" s="660"/>
      <c r="CC458" s="660"/>
      <c r="CD458" s="660"/>
      <c r="CE458" s="568">
        <v>0.3</v>
      </c>
      <c r="CF458" s="568"/>
      <c r="CG458" s="568"/>
      <c r="CH458" s="660" t="s">
        <v>932</v>
      </c>
      <c r="CI458" s="660"/>
      <c r="CJ458" s="660"/>
      <c r="CK458" s="660"/>
      <c r="CL458" s="568" t="s">
        <v>932</v>
      </c>
      <c r="CM458" s="568"/>
      <c r="CN458" s="568"/>
    </row>
    <row r="459" hidden="1" customHeight="1" spans="1:92">
      <c r="A459" s="612"/>
      <c r="B459" s="612"/>
      <c r="C459" s="518"/>
      <c r="D459" s="518"/>
      <c r="E459" s="518"/>
      <c r="F459" s="657"/>
      <c r="G459" s="657"/>
      <c r="H459" s="657"/>
      <c r="I459" s="519"/>
      <c r="J459" s="519"/>
      <c r="K459" s="519"/>
      <c r="L459" s="519"/>
      <c r="M459" s="519"/>
      <c r="N459" s="519"/>
      <c r="O459" s="519"/>
      <c r="P459" s="519"/>
      <c r="Q459" s="519"/>
      <c r="R459" s="519"/>
      <c r="S459" s="519"/>
      <c r="T459" s="519"/>
      <c r="U459" s="519"/>
      <c r="V459" s="519"/>
      <c r="W459" s="519"/>
      <c r="X459" s="519"/>
      <c r="Y459" s="519"/>
      <c r="Z459" s="519"/>
      <c r="AA459" s="519"/>
      <c r="AB459" s="526"/>
      <c r="AC459" s="526"/>
      <c r="AD459" s="661"/>
      <c r="AE459" s="661"/>
      <c r="AF459" s="661"/>
      <c r="AG459" s="526">
        <v>0</v>
      </c>
      <c r="AH459" s="526"/>
      <c r="AI459" s="659" t="e">
        <v>#N/A</v>
      </c>
      <c r="AJ459" s="659"/>
      <c r="AK459" s="659"/>
      <c r="AL459" s="659"/>
      <c r="AM459" s="659"/>
      <c r="AN459" s="659"/>
      <c r="AO459" s="659"/>
      <c r="AP459" s="659"/>
      <c r="AQ459" s="659"/>
      <c r="AR459" s="659"/>
      <c r="AS459" s="659"/>
      <c r="AT459" s="659"/>
      <c r="AU459" s="659"/>
      <c r="AV459" s="659"/>
      <c r="AW459" s="658">
        <v>0</v>
      </c>
      <c r="AX459" s="658"/>
      <c r="AY459" s="658"/>
      <c r="AZ459" s="658"/>
      <c r="BA459" s="658"/>
      <c r="BB459" s="658"/>
      <c r="BC459" s="658">
        <v>0</v>
      </c>
      <c r="BD459" s="658"/>
      <c r="BE459" s="658"/>
      <c r="BF459" s="658">
        <v>182.49</v>
      </c>
      <c r="BG459" s="658"/>
      <c r="BH459" s="658"/>
      <c r="BI459" s="567">
        <v>0</v>
      </c>
      <c r="BJ459" s="567"/>
      <c r="BK459" s="567"/>
      <c r="BL459" s="567"/>
      <c r="BM459" s="660" t="s">
        <v>932</v>
      </c>
      <c r="BN459" s="660"/>
      <c r="BO459" s="660"/>
      <c r="BP459" s="660"/>
      <c r="BQ459" s="568">
        <v>0.2</v>
      </c>
      <c r="BR459" s="568"/>
      <c r="BS459" s="568"/>
      <c r="BT459" s="660" t="s">
        <v>932</v>
      </c>
      <c r="BU459" s="660"/>
      <c r="BV459" s="660"/>
      <c r="BW459" s="660"/>
      <c r="BX459" s="568">
        <v>0.5</v>
      </c>
      <c r="BY459" s="568"/>
      <c r="BZ459" s="568"/>
      <c r="CA459" s="660" t="s">
        <v>932</v>
      </c>
      <c r="CB459" s="660"/>
      <c r="CC459" s="660"/>
      <c r="CD459" s="660"/>
      <c r="CE459" s="568">
        <v>0.3</v>
      </c>
      <c r="CF459" s="568"/>
      <c r="CG459" s="568"/>
      <c r="CH459" s="660" t="s">
        <v>932</v>
      </c>
      <c r="CI459" s="660"/>
      <c r="CJ459" s="660"/>
      <c r="CK459" s="660"/>
      <c r="CL459" s="568" t="s">
        <v>932</v>
      </c>
      <c r="CM459" s="568"/>
      <c r="CN459" s="568"/>
    </row>
    <row r="460" hidden="1" customHeight="1" spans="1:92">
      <c r="A460" s="612"/>
      <c r="B460" s="612"/>
      <c r="C460" s="518"/>
      <c r="D460" s="518"/>
      <c r="E460" s="518"/>
      <c r="F460" s="657"/>
      <c r="G460" s="657"/>
      <c r="H460" s="657"/>
      <c r="I460" s="519"/>
      <c r="J460" s="519"/>
      <c r="K460" s="519"/>
      <c r="L460" s="519"/>
      <c r="M460" s="519"/>
      <c r="N460" s="519"/>
      <c r="O460" s="519"/>
      <c r="P460" s="519"/>
      <c r="Q460" s="519"/>
      <c r="R460" s="519"/>
      <c r="S460" s="519"/>
      <c r="T460" s="519"/>
      <c r="U460" s="519"/>
      <c r="V460" s="519"/>
      <c r="W460" s="519"/>
      <c r="X460" s="519"/>
      <c r="Y460" s="519"/>
      <c r="Z460" s="519"/>
      <c r="AA460" s="519"/>
      <c r="AB460" s="526"/>
      <c r="AC460" s="526"/>
      <c r="AD460" s="661"/>
      <c r="AE460" s="661"/>
      <c r="AF460" s="661"/>
      <c r="AG460" s="526">
        <v>0</v>
      </c>
      <c r="AH460" s="526"/>
      <c r="AI460" s="659" t="e">
        <v>#N/A</v>
      </c>
      <c r="AJ460" s="659"/>
      <c r="AK460" s="659"/>
      <c r="AL460" s="659"/>
      <c r="AM460" s="659"/>
      <c r="AN460" s="659"/>
      <c r="AO460" s="659"/>
      <c r="AP460" s="659"/>
      <c r="AQ460" s="659"/>
      <c r="AR460" s="659"/>
      <c r="AS460" s="659"/>
      <c r="AT460" s="659"/>
      <c r="AU460" s="659"/>
      <c r="AV460" s="659"/>
      <c r="AW460" s="658">
        <v>0</v>
      </c>
      <c r="AX460" s="658"/>
      <c r="AY460" s="658"/>
      <c r="AZ460" s="658"/>
      <c r="BA460" s="658"/>
      <c r="BB460" s="658"/>
      <c r="BC460" s="658">
        <v>0</v>
      </c>
      <c r="BD460" s="658"/>
      <c r="BE460" s="658"/>
      <c r="BF460" s="658">
        <v>182.49</v>
      </c>
      <c r="BG460" s="658"/>
      <c r="BH460" s="658"/>
      <c r="BI460" s="567">
        <v>0</v>
      </c>
      <c r="BJ460" s="567"/>
      <c r="BK460" s="567"/>
      <c r="BL460" s="567"/>
      <c r="BM460" s="660" t="s">
        <v>932</v>
      </c>
      <c r="BN460" s="660"/>
      <c r="BO460" s="660"/>
      <c r="BP460" s="660"/>
      <c r="BQ460" s="568">
        <v>0.2</v>
      </c>
      <c r="BR460" s="568"/>
      <c r="BS460" s="568"/>
      <c r="BT460" s="660" t="s">
        <v>932</v>
      </c>
      <c r="BU460" s="660"/>
      <c r="BV460" s="660"/>
      <c r="BW460" s="660"/>
      <c r="BX460" s="568">
        <v>0.5</v>
      </c>
      <c r="BY460" s="568"/>
      <c r="BZ460" s="568"/>
      <c r="CA460" s="660" t="s">
        <v>932</v>
      </c>
      <c r="CB460" s="660"/>
      <c r="CC460" s="660"/>
      <c r="CD460" s="660"/>
      <c r="CE460" s="568">
        <v>0.3</v>
      </c>
      <c r="CF460" s="568"/>
      <c r="CG460" s="568"/>
      <c r="CH460" s="660" t="s">
        <v>932</v>
      </c>
      <c r="CI460" s="660"/>
      <c r="CJ460" s="660"/>
      <c r="CK460" s="660"/>
      <c r="CL460" s="568" t="s">
        <v>932</v>
      </c>
      <c r="CM460" s="568"/>
      <c r="CN460" s="568"/>
    </row>
    <row r="461" hidden="1" customHeight="1" spans="1:92">
      <c r="A461" s="612"/>
      <c r="B461" s="612"/>
      <c r="C461" s="518"/>
      <c r="D461" s="518"/>
      <c r="E461" s="518"/>
      <c r="F461" s="657"/>
      <c r="G461" s="657"/>
      <c r="H461" s="657"/>
      <c r="I461" s="519"/>
      <c r="J461" s="519"/>
      <c r="K461" s="519"/>
      <c r="L461" s="519"/>
      <c r="M461" s="519"/>
      <c r="N461" s="519"/>
      <c r="O461" s="519"/>
      <c r="P461" s="519"/>
      <c r="Q461" s="519"/>
      <c r="R461" s="519"/>
      <c r="S461" s="519"/>
      <c r="T461" s="519"/>
      <c r="U461" s="519"/>
      <c r="V461" s="519"/>
      <c r="W461" s="519"/>
      <c r="X461" s="519"/>
      <c r="Y461" s="519"/>
      <c r="Z461" s="519"/>
      <c r="AA461" s="519"/>
      <c r="AB461" s="526"/>
      <c r="AC461" s="526"/>
      <c r="AD461" s="661"/>
      <c r="AE461" s="661"/>
      <c r="AF461" s="661"/>
      <c r="AG461" s="526">
        <v>0</v>
      </c>
      <c r="AH461" s="526"/>
      <c r="AI461" s="659" t="e">
        <v>#N/A</v>
      </c>
      <c r="AJ461" s="659"/>
      <c r="AK461" s="659"/>
      <c r="AL461" s="659"/>
      <c r="AM461" s="659"/>
      <c r="AN461" s="659"/>
      <c r="AO461" s="659"/>
      <c r="AP461" s="659"/>
      <c r="AQ461" s="659"/>
      <c r="AR461" s="659"/>
      <c r="AS461" s="659"/>
      <c r="AT461" s="659"/>
      <c r="AU461" s="659"/>
      <c r="AV461" s="659"/>
      <c r="AW461" s="658">
        <v>0</v>
      </c>
      <c r="AX461" s="658"/>
      <c r="AY461" s="658"/>
      <c r="AZ461" s="658"/>
      <c r="BA461" s="658"/>
      <c r="BB461" s="658"/>
      <c r="BC461" s="658">
        <v>0</v>
      </c>
      <c r="BD461" s="658"/>
      <c r="BE461" s="658"/>
      <c r="BF461" s="658">
        <v>182.49</v>
      </c>
      <c r="BG461" s="658"/>
      <c r="BH461" s="658"/>
      <c r="BI461" s="567">
        <v>0</v>
      </c>
      <c r="BJ461" s="567"/>
      <c r="BK461" s="567"/>
      <c r="BL461" s="567"/>
      <c r="BM461" s="660" t="s">
        <v>932</v>
      </c>
      <c r="BN461" s="660"/>
      <c r="BO461" s="660"/>
      <c r="BP461" s="660"/>
      <c r="BQ461" s="568">
        <v>0.2</v>
      </c>
      <c r="BR461" s="568"/>
      <c r="BS461" s="568"/>
      <c r="BT461" s="660" t="s">
        <v>932</v>
      </c>
      <c r="BU461" s="660"/>
      <c r="BV461" s="660"/>
      <c r="BW461" s="660"/>
      <c r="BX461" s="568">
        <v>0.5</v>
      </c>
      <c r="BY461" s="568"/>
      <c r="BZ461" s="568"/>
      <c r="CA461" s="660" t="s">
        <v>932</v>
      </c>
      <c r="CB461" s="660"/>
      <c r="CC461" s="660"/>
      <c r="CD461" s="660"/>
      <c r="CE461" s="568">
        <v>0.3</v>
      </c>
      <c r="CF461" s="568"/>
      <c r="CG461" s="568"/>
      <c r="CH461" s="660" t="s">
        <v>932</v>
      </c>
      <c r="CI461" s="660"/>
      <c r="CJ461" s="660"/>
      <c r="CK461" s="660"/>
      <c r="CL461" s="568" t="s">
        <v>932</v>
      </c>
      <c r="CM461" s="568"/>
      <c r="CN461" s="568"/>
    </row>
    <row r="462" hidden="1" customHeight="1" spans="1:92">
      <c r="A462" s="612"/>
      <c r="B462" s="612"/>
      <c r="C462" s="518"/>
      <c r="D462" s="518"/>
      <c r="E462" s="518"/>
      <c r="F462" s="657"/>
      <c r="G462" s="657"/>
      <c r="H462" s="657"/>
      <c r="I462" s="519"/>
      <c r="J462" s="519"/>
      <c r="K462" s="519"/>
      <c r="L462" s="519"/>
      <c r="M462" s="519"/>
      <c r="N462" s="519"/>
      <c r="O462" s="519"/>
      <c r="P462" s="519"/>
      <c r="Q462" s="519"/>
      <c r="R462" s="519"/>
      <c r="S462" s="519"/>
      <c r="T462" s="519"/>
      <c r="U462" s="519"/>
      <c r="V462" s="519"/>
      <c r="W462" s="519"/>
      <c r="X462" s="519"/>
      <c r="Y462" s="519"/>
      <c r="Z462" s="519"/>
      <c r="AA462" s="519"/>
      <c r="AB462" s="526"/>
      <c r="AC462" s="526"/>
      <c r="AD462" s="661"/>
      <c r="AE462" s="661"/>
      <c r="AF462" s="661"/>
      <c r="AG462" s="526">
        <v>0</v>
      </c>
      <c r="AH462" s="526"/>
      <c r="AI462" s="659" t="e">
        <v>#N/A</v>
      </c>
      <c r="AJ462" s="659"/>
      <c r="AK462" s="659"/>
      <c r="AL462" s="659"/>
      <c r="AM462" s="659"/>
      <c r="AN462" s="659"/>
      <c r="AO462" s="659"/>
      <c r="AP462" s="659"/>
      <c r="AQ462" s="659"/>
      <c r="AR462" s="659"/>
      <c r="AS462" s="659"/>
      <c r="AT462" s="659"/>
      <c r="AU462" s="659"/>
      <c r="AV462" s="659"/>
      <c r="AW462" s="658">
        <v>0</v>
      </c>
      <c r="AX462" s="658"/>
      <c r="AY462" s="658"/>
      <c r="AZ462" s="658"/>
      <c r="BA462" s="658"/>
      <c r="BB462" s="658"/>
      <c r="BC462" s="658">
        <v>0</v>
      </c>
      <c r="BD462" s="658"/>
      <c r="BE462" s="658"/>
      <c r="BF462" s="658">
        <v>182.49</v>
      </c>
      <c r="BG462" s="658"/>
      <c r="BH462" s="658"/>
      <c r="BI462" s="567">
        <v>0</v>
      </c>
      <c r="BJ462" s="567"/>
      <c r="BK462" s="567"/>
      <c r="BL462" s="567"/>
      <c r="BM462" s="660" t="s">
        <v>932</v>
      </c>
      <c r="BN462" s="660"/>
      <c r="BO462" s="660"/>
      <c r="BP462" s="660"/>
      <c r="BQ462" s="568">
        <v>0.2</v>
      </c>
      <c r="BR462" s="568"/>
      <c r="BS462" s="568"/>
      <c r="BT462" s="660" t="s">
        <v>932</v>
      </c>
      <c r="BU462" s="660"/>
      <c r="BV462" s="660"/>
      <c r="BW462" s="660"/>
      <c r="BX462" s="568">
        <v>0.5</v>
      </c>
      <c r="BY462" s="568"/>
      <c r="BZ462" s="568"/>
      <c r="CA462" s="660" t="s">
        <v>932</v>
      </c>
      <c r="CB462" s="660"/>
      <c r="CC462" s="660"/>
      <c r="CD462" s="660"/>
      <c r="CE462" s="568">
        <v>0.3</v>
      </c>
      <c r="CF462" s="568"/>
      <c r="CG462" s="568"/>
      <c r="CH462" s="660" t="s">
        <v>932</v>
      </c>
      <c r="CI462" s="660"/>
      <c r="CJ462" s="660"/>
      <c r="CK462" s="660"/>
      <c r="CL462" s="568" t="s">
        <v>932</v>
      </c>
      <c r="CM462" s="568"/>
      <c r="CN462" s="568"/>
    </row>
    <row r="463" hidden="1" customHeight="1" spans="1:92">
      <c r="A463" s="612"/>
      <c r="B463" s="612"/>
      <c r="C463" s="518"/>
      <c r="D463" s="518"/>
      <c r="E463" s="518"/>
      <c r="F463" s="657"/>
      <c r="G463" s="657"/>
      <c r="H463" s="657"/>
      <c r="I463" s="519"/>
      <c r="J463" s="519"/>
      <c r="K463" s="519"/>
      <c r="L463" s="519"/>
      <c r="M463" s="519"/>
      <c r="N463" s="519"/>
      <c r="O463" s="519"/>
      <c r="P463" s="519"/>
      <c r="Q463" s="519"/>
      <c r="R463" s="519"/>
      <c r="S463" s="519"/>
      <c r="T463" s="519"/>
      <c r="U463" s="519"/>
      <c r="V463" s="519"/>
      <c r="W463" s="519"/>
      <c r="X463" s="519"/>
      <c r="Y463" s="519"/>
      <c r="Z463" s="519"/>
      <c r="AA463" s="519"/>
      <c r="AB463" s="526"/>
      <c r="AC463" s="526"/>
      <c r="AD463" s="661"/>
      <c r="AE463" s="661"/>
      <c r="AF463" s="661"/>
      <c r="AG463" s="526">
        <v>0</v>
      </c>
      <c r="AH463" s="526"/>
      <c r="AI463" s="659" t="e">
        <v>#N/A</v>
      </c>
      <c r="AJ463" s="659"/>
      <c r="AK463" s="659"/>
      <c r="AL463" s="659"/>
      <c r="AM463" s="659"/>
      <c r="AN463" s="659"/>
      <c r="AO463" s="659"/>
      <c r="AP463" s="659"/>
      <c r="AQ463" s="659"/>
      <c r="AR463" s="659"/>
      <c r="AS463" s="659"/>
      <c r="AT463" s="659"/>
      <c r="AU463" s="659"/>
      <c r="AV463" s="659"/>
      <c r="AW463" s="658">
        <v>0</v>
      </c>
      <c r="AX463" s="658"/>
      <c r="AY463" s="658"/>
      <c r="AZ463" s="658"/>
      <c r="BA463" s="658"/>
      <c r="BB463" s="658"/>
      <c r="BC463" s="658">
        <v>0</v>
      </c>
      <c r="BD463" s="658"/>
      <c r="BE463" s="658"/>
      <c r="BF463" s="658">
        <v>182.49</v>
      </c>
      <c r="BG463" s="658"/>
      <c r="BH463" s="658"/>
      <c r="BI463" s="567">
        <v>0</v>
      </c>
      <c r="BJ463" s="567"/>
      <c r="BK463" s="567"/>
      <c r="BL463" s="567"/>
      <c r="BM463" s="660" t="s">
        <v>932</v>
      </c>
      <c r="BN463" s="660"/>
      <c r="BO463" s="660"/>
      <c r="BP463" s="660"/>
      <c r="BQ463" s="568">
        <v>0.2</v>
      </c>
      <c r="BR463" s="568"/>
      <c r="BS463" s="568"/>
      <c r="BT463" s="660" t="s">
        <v>932</v>
      </c>
      <c r="BU463" s="660"/>
      <c r="BV463" s="660"/>
      <c r="BW463" s="660"/>
      <c r="BX463" s="568">
        <v>0.5</v>
      </c>
      <c r="BY463" s="568"/>
      <c r="BZ463" s="568"/>
      <c r="CA463" s="660" t="s">
        <v>932</v>
      </c>
      <c r="CB463" s="660"/>
      <c r="CC463" s="660"/>
      <c r="CD463" s="660"/>
      <c r="CE463" s="568">
        <v>0.3</v>
      </c>
      <c r="CF463" s="568"/>
      <c r="CG463" s="568"/>
      <c r="CH463" s="660" t="s">
        <v>932</v>
      </c>
      <c r="CI463" s="660"/>
      <c r="CJ463" s="660"/>
      <c r="CK463" s="660"/>
      <c r="CL463" s="568" t="s">
        <v>932</v>
      </c>
      <c r="CM463" s="568"/>
      <c r="CN463" s="568"/>
    </row>
    <row r="464" customHeight="1" spans="1:92">
      <c r="A464" s="612" t="s">
        <v>998</v>
      </c>
      <c r="B464" s="612"/>
      <c r="C464" s="518"/>
      <c r="D464" s="518"/>
      <c r="E464" s="518"/>
      <c r="F464" s="657">
        <v>3108000</v>
      </c>
      <c r="G464" s="657"/>
      <c r="H464" s="657"/>
      <c r="I464" s="519" t="s">
        <v>110</v>
      </c>
      <c r="J464" s="519"/>
      <c r="K464" s="519"/>
      <c r="L464" s="519"/>
      <c r="M464" s="519"/>
      <c r="N464" s="519"/>
      <c r="O464" s="519"/>
      <c r="P464" s="519"/>
      <c r="Q464" s="519"/>
      <c r="R464" s="519"/>
      <c r="S464" s="519"/>
      <c r="T464" s="519"/>
      <c r="U464" s="519"/>
      <c r="V464" s="519"/>
      <c r="W464" s="519"/>
      <c r="X464" s="519"/>
      <c r="Y464" s="519"/>
      <c r="Z464" s="519"/>
      <c r="AA464" s="519"/>
      <c r="AB464" s="526" t="s">
        <v>7</v>
      </c>
      <c r="AC464" s="526"/>
      <c r="AD464" s="661">
        <v>209.8</v>
      </c>
      <c r="AE464" s="661"/>
      <c r="AF464" s="661"/>
      <c r="AG464" s="526" t="s">
        <v>937</v>
      </c>
      <c r="AH464" s="526"/>
      <c r="AI464" s="659" t="s">
        <v>938</v>
      </c>
      <c r="AJ464" s="659"/>
      <c r="AK464" s="659"/>
      <c r="AL464" s="659"/>
      <c r="AM464" s="659"/>
      <c r="AN464" s="659"/>
      <c r="AO464" s="659"/>
      <c r="AP464" s="659"/>
      <c r="AQ464" s="659"/>
      <c r="AR464" s="659"/>
      <c r="AS464" s="659"/>
      <c r="AT464" s="659"/>
      <c r="AU464" s="659"/>
      <c r="AV464" s="659"/>
      <c r="AW464" s="658">
        <v>0.65</v>
      </c>
      <c r="AX464" s="658"/>
      <c r="AY464" s="658"/>
      <c r="AZ464" s="658">
        <v>1</v>
      </c>
      <c r="BA464" s="658"/>
      <c r="BB464" s="658"/>
      <c r="BC464" s="658">
        <v>136.37</v>
      </c>
      <c r="BD464" s="658"/>
      <c r="BE464" s="658"/>
      <c r="BF464" s="658">
        <v>182.49</v>
      </c>
      <c r="BG464" s="658"/>
      <c r="BH464" s="658"/>
      <c r="BI464" s="567">
        <v>0.74727382322319</v>
      </c>
      <c r="BJ464" s="567"/>
      <c r="BK464" s="567"/>
      <c r="BL464" s="567"/>
      <c r="BM464" s="660">
        <v>0.149454764644638</v>
      </c>
      <c r="BN464" s="660"/>
      <c r="BO464" s="660"/>
      <c r="BP464" s="660"/>
      <c r="BQ464" s="568">
        <v>0.2</v>
      </c>
      <c r="BR464" s="568"/>
      <c r="BS464" s="568"/>
      <c r="BT464" s="660">
        <v>0.373636911611595</v>
      </c>
      <c r="BU464" s="660"/>
      <c r="BV464" s="660"/>
      <c r="BW464" s="660"/>
      <c r="BX464" s="568">
        <v>0.5</v>
      </c>
      <c r="BY464" s="568"/>
      <c r="BZ464" s="568"/>
      <c r="CA464" s="660">
        <v>0.224182146966957</v>
      </c>
      <c r="CB464" s="660"/>
      <c r="CC464" s="660"/>
      <c r="CD464" s="660"/>
      <c r="CE464" s="568">
        <v>0.3</v>
      </c>
      <c r="CF464" s="568"/>
      <c r="CG464" s="568"/>
      <c r="CH464" s="660" t="s">
        <v>932</v>
      </c>
      <c r="CI464" s="660"/>
      <c r="CJ464" s="660"/>
      <c r="CK464" s="660"/>
      <c r="CL464" s="568" t="s">
        <v>932</v>
      </c>
      <c r="CM464" s="568"/>
      <c r="CN464" s="568"/>
    </row>
    <row r="465" customHeight="1" spans="1:92">
      <c r="A465" s="612"/>
      <c r="B465" s="612"/>
      <c r="C465" s="518"/>
      <c r="D465" s="518"/>
      <c r="E465" s="518"/>
      <c r="F465" s="657"/>
      <c r="G465" s="657"/>
      <c r="H465" s="657"/>
      <c r="I465" s="519"/>
      <c r="J465" s="519"/>
      <c r="K465" s="519"/>
      <c r="L465" s="519"/>
      <c r="M465" s="519"/>
      <c r="N465" s="519"/>
      <c r="O465" s="519"/>
      <c r="P465" s="519"/>
      <c r="Q465" s="519"/>
      <c r="R465" s="519"/>
      <c r="S465" s="519"/>
      <c r="T465" s="519"/>
      <c r="U465" s="519"/>
      <c r="V465" s="519"/>
      <c r="W465" s="519"/>
      <c r="X465" s="519"/>
      <c r="Y465" s="519"/>
      <c r="Z465" s="519"/>
      <c r="AA465" s="519"/>
      <c r="AB465" s="526"/>
      <c r="AC465" s="526"/>
      <c r="AD465" s="661"/>
      <c r="AE465" s="661"/>
      <c r="AF465" s="661"/>
      <c r="AG465" s="526" t="s">
        <v>950</v>
      </c>
      <c r="AH465" s="526"/>
      <c r="AI465" s="659" t="s">
        <v>951</v>
      </c>
      <c r="AJ465" s="659"/>
      <c r="AK465" s="659"/>
      <c r="AL465" s="659"/>
      <c r="AM465" s="659"/>
      <c r="AN465" s="659"/>
      <c r="AO465" s="659"/>
      <c r="AP465" s="659"/>
      <c r="AQ465" s="659"/>
      <c r="AR465" s="659"/>
      <c r="AS465" s="659"/>
      <c r="AT465" s="659"/>
      <c r="AU465" s="659"/>
      <c r="AV465" s="659"/>
      <c r="AW465" s="658">
        <v>0.65</v>
      </c>
      <c r="AX465" s="658"/>
      <c r="AY465" s="658"/>
      <c r="AZ465" s="658"/>
      <c r="BA465" s="658"/>
      <c r="BB465" s="658"/>
      <c r="BC465" s="658">
        <v>136.37</v>
      </c>
      <c r="BD465" s="658"/>
      <c r="BE465" s="658"/>
      <c r="BF465" s="658">
        <v>182.49</v>
      </c>
      <c r="BG465" s="658"/>
      <c r="BH465" s="658"/>
      <c r="BI465" s="567">
        <v>0.74727382322319</v>
      </c>
      <c r="BJ465" s="567"/>
      <c r="BK465" s="567"/>
      <c r="BL465" s="567"/>
      <c r="BM465" s="660">
        <v>0.149454764644638</v>
      </c>
      <c r="BN465" s="660"/>
      <c r="BO465" s="660"/>
      <c r="BP465" s="660"/>
      <c r="BQ465" s="568">
        <v>0.2</v>
      </c>
      <c r="BR465" s="568"/>
      <c r="BS465" s="568"/>
      <c r="BT465" s="660">
        <v>0.373636911611595</v>
      </c>
      <c r="BU465" s="660"/>
      <c r="BV465" s="660"/>
      <c r="BW465" s="660"/>
      <c r="BX465" s="568">
        <v>0.5</v>
      </c>
      <c r="BY465" s="568"/>
      <c r="BZ465" s="568"/>
      <c r="CA465" s="660">
        <v>0.224182146966957</v>
      </c>
      <c r="CB465" s="660"/>
      <c r="CC465" s="660"/>
      <c r="CD465" s="660"/>
      <c r="CE465" s="568">
        <v>0.3</v>
      </c>
      <c r="CF465" s="568"/>
      <c r="CG465" s="568"/>
      <c r="CH465" s="660" t="s">
        <v>932</v>
      </c>
      <c r="CI465" s="660"/>
      <c r="CJ465" s="660"/>
      <c r="CK465" s="660"/>
      <c r="CL465" s="568" t="s">
        <v>932</v>
      </c>
      <c r="CM465" s="568"/>
      <c r="CN465" s="568"/>
    </row>
    <row r="466" hidden="1" customHeight="1" spans="1:92">
      <c r="A466" s="612"/>
      <c r="B466" s="612"/>
      <c r="C466" s="518"/>
      <c r="D466" s="518"/>
      <c r="E466" s="518"/>
      <c r="F466" s="657"/>
      <c r="G466" s="657"/>
      <c r="H466" s="657"/>
      <c r="I466" s="519"/>
      <c r="J466" s="519"/>
      <c r="K466" s="519"/>
      <c r="L466" s="519"/>
      <c r="M466" s="519"/>
      <c r="N466" s="519"/>
      <c r="O466" s="519"/>
      <c r="P466" s="519"/>
      <c r="Q466" s="519"/>
      <c r="R466" s="519"/>
      <c r="S466" s="519"/>
      <c r="T466" s="519"/>
      <c r="U466" s="519"/>
      <c r="V466" s="519"/>
      <c r="W466" s="519"/>
      <c r="X466" s="519"/>
      <c r="Y466" s="519"/>
      <c r="Z466" s="519"/>
      <c r="AA466" s="519"/>
      <c r="AB466" s="526"/>
      <c r="AC466" s="526"/>
      <c r="AD466" s="661"/>
      <c r="AE466" s="661"/>
      <c r="AF466" s="661"/>
      <c r="AG466" s="526">
        <v>0</v>
      </c>
      <c r="AH466" s="526"/>
      <c r="AI466" s="659" t="e">
        <v>#N/A</v>
      </c>
      <c r="AJ466" s="659"/>
      <c r="AK466" s="659"/>
      <c r="AL466" s="659"/>
      <c r="AM466" s="659"/>
      <c r="AN466" s="659"/>
      <c r="AO466" s="659"/>
      <c r="AP466" s="659"/>
      <c r="AQ466" s="659"/>
      <c r="AR466" s="659"/>
      <c r="AS466" s="659"/>
      <c r="AT466" s="659"/>
      <c r="AU466" s="659"/>
      <c r="AV466" s="659"/>
      <c r="AW466" s="658">
        <v>0</v>
      </c>
      <c r="AX466" s="658"/>
      <c r="AY466" s="658"/>
      <c r="AZ466" s="658"/>
      <c r="BA466" s="658"/>
      <c r="BB466" s="658"/>
      <c r="BC466" s="658">
        <v>0</v>
      </c>
      <c r="BD466" s="658"/>
      <c r="BE466" s="658"/>
      <c r="BF466" s="658">
        <v>182.49</v>
      </c>
      <c r="BG466" s="658"/>
      <c r="BH466" s="658"/>
      <c r="BI466" s="567">
        <v>0</v>
      </c>
      <c r="BJ466" s="567"/>
      <c r="BK466" s="567"/>
      <c r="BL466" s="567"/>
      <c r="BM466" s="660" t="s">
        <v>932</v>
      </c>
      <c r="BN466" s="660"/>
      <c r="BO466" s="660"/>
      <c r="BP466" s="660"/>
      <c r="BQ466" s="568">
        <v>0.2</v>
      </c>
      <c r="BR466" s="568"/>
      <c r="BS466" s="568"/>
      <c r="BT466" s="660" t="s">
        <v>932</v>
      </c>
      <c r="BU466" s="660"/>
      <c r="BV466" s="660"/>
      <c r="BW466" s="660"/>
      <c r="BX466" s="568">
        <v>0.5</v>
      </c>
      <c r="BY466" s="568"/>
      <c r="BZ466" s="568"/>
      <c r="CA466" s="660" t="s">
        <v>932</v>
      </c>
      <c r="CB466" s="660"/>
      <c r="CC466" s="660"/>
      <c r="CD466" s="660"/>
      <c r="CE466" s="568">
        <v>0.3</v>
      </c>
      <c r="CF466" s="568"/>
      <c r="CG466" s="568"/>
      <c r="CH466" s="660" t="s">
        <v>932</v>
      </c>
      <c r="CI466" s="660"/>
      <c r="CJ466" s="660"/>
      <c r="CK466" s="660"/>
      <c r="CL466" s="568" t="s">
        <v>932</v>
      </c>
      <c r="CM466" s="568"/>
      <c r="CN466" s="568"/>
    </row>
    <row r="467" hidden="1" customHeight="1" spans="1:92">
      <c r="A467" s="612"/>
      <c r="B467" s="612"/>
      <c r="C467" s="518"/>
      <c r="D467" s="518"/>
      <c r="E467" s="518"/>
      <c r="F467" s="657"/>
      <c r="G467" s="657"/>
      <c r="H467" s="657"/>
      <c r="I467" s="519"/>
      <c r="J467" s="519"/>
      <c r="K467" s="519"/>
      <c r="L467" s="519"/>
      <c r="M467" s="519"/>
      <c r="N467" s="519"/>
      <c r="O467" s="519"/>
      <c r="P467" s="519"/>
      <c r="Q467" s="519"/>
      <c r="R467" s="519"/>
      <c r="S467" s="519"/>
      <c r="T467" s="519"/>
      <c r="U467" s="519"/>
      <c r="V467" s="519"/>
      <c r="W467" s="519"/>
      <c r="X467" s="519"/>
      <c r="Y467" s="519"/>
      <c r="Z467" s="519"/>
      <c r="AA467" s="519"/>
      <c r="AB467" s="526"/>
      <c r="AC467" s="526"/>
      <c r="AD467" s="661"/>
      <c r="AE467" s="661"/>
      <c r="AF467" s="661"/>
      <c r="AG467" s="526">
        <v>0</v>
      </c>
      <c r="AH467" s="526"/>
      <c r="AI467" s="659" t="e">
        <v>#N/A</v>
      </c>
      <c r="AJ467" s="659"/>
      <c r="AK467" s="659"/>
      <c r="AL467" s="659"/>
      <c r="AM467" s="659"/>
      <c r="AN467" s="659"/>
      <c r="AO467" s="659"/>
      <c r="AP467" s="659"/>
      <c r="AQ467" s="659"/>
      <c r="AR467" s="659"/>
      <c r="AS467" s="659"/>
      <c r="AT467" s="659"/>
      <c r="AU467" s="659"/>
      <c r="AV467" s="659"/>
      <c r="AW467" s="658">
        <v>0</v>
      </c>
      <c r="AX467" s="658"/>
      <c r="AY467" s="658"/>
      <c r="AZ467" s="658"/>
      <c r="BA467" s="658"/>
      <c r="BB467" s="658"/>
      <c r="BC467" s="658">
        <v>0</v>
      </c>
      <c r="BD467" s="658"/>
      <c r="BE467" s="658"/>
      <c r="BF467" s="658">
        <v>182.49</v>
      </c>
      <c r="BG467" s="658"/>
      <c r="BH467" s="658"/>
      <c r="BI467" s="567">
        <v>0</v>
      </c>
      <c r="BJ467" s="567"/>
      <c r="BK467" s="567"/>
      <c r="BL467" s="567"/>
      <c r="BM467" s="660" t="s">
        <v>932</v>
      </c>
      <c r="BN467" s="660"/>
      <c r="BO467" s="660"/>
      <c r="BP467" s="660"/>
      <c r="BQ467" s="568">
        <v>0.2</v>
      </c>
      <c r="BR467" s="568"/>
      <c r="BS467" s="568"/>
      <c r="BT467" s="660" t="s">
        <v>932</v>
      </c>
      <c r="BU467" s="660"/>
      <c r="BV467" s="660"/>
      <c r="BW467" s="660"/>
      <c r="BX467" s="568">
        <v>0.5</v>
      </c>
      <c r="BY467" s="568"/>
      <c r="BZ467" s="568"/>
      <c r="CA467" s="660" t="s">
        <v>932</v>
      </c>
      <c r="CB467" s="660"/>
      <c r="CC467" s="660"/>
      <c r="CD467" s="660"/>
      <c r="CE467" s="568">
        <v>0.3</v>
      </c>
      <c r="CF467" s="568"/>
      <c r="CG467" s="568"/>
      <c r="CH467" s="660" t="s">
        <v>932</v>
      </c>
      <c r="CI467" s="660"/>
      <c r="CJ467" s="660"/>
      <c r="CK467" s="660"/>
      <c r="CL467" s="568" t="s">
        <v>932</v>
      </c>
      <c r="CM467" s="568"/>
      <c r="CN467" s="568"/>
    </row>
    <row r="468" hidden="1" customHeight="1" spans="1:92">
      <c r="A468" s="612"/>
      <c r="B468" s="612"/>
      <c r="C468" s="518"/>
      <c r="D468" s="518"/>
      <c r="E468" s="518"/>
      <c r="F468" s="657"/>
      <c r="G468" s="657"/>
      <c r="H468" s="657"/>
      <c r="I468" s="519"/>
      <c r="J468" s="519"/>
      <c r="K468" s="519"/>
      <c r="L468" s="519"/>
      <c r="M468" s="519"/>
      <c r="N468" s="519"/>
      <c r="O468" s="519"/>
      <c r="P468" s="519"/>
      <c r="Q468" s="519"/>
      <c r="R468" s="519"/>
      <c r="S468" s="519"/>
      <c r="T468" s="519"/>
      <c r="U468" s="519"/>
      <c r="V468" s="519"/>
      <c r="W468" s="519"/>
      <c r="X468" s="519"/>
      <c r="Y468" s="519"/>
      <c r="Z468" s="519"/>
      <c r="AA468" s="519"/>
      <c r="AB468" s="526"/>
      <c r="AC468" s="526"/>
      <c r="AD468" s="661"/>
      <c r="AE468" s="661"/>
      <c r="AF468" s="661"/>
      <c r="AG468" s="526">
        <v>0</v>
      </c>
      <c r="AH468" s="526"/>
      <c r="AI468" s="659" t="e">
        <v>#N/A</v>
      </c>
      <c r="AJ468" s="659"/>
      <c r="AK468" s="659"/>
      <c r="AL468" s="659"/>
      <c r="AM468" s="659"/>
      <c r="AN468" s="659"/>
      <c r="AO468" s="659"/>
      <c r="AP468" s="659"/>
      <c r="AQ468" s="659"/>
      <c r="AR468" s="659"/>
      <c r="AS468" s="659"/>
      <c r="AT468" s="659"/>
      <c r="AU468" s="659"/>
      <c r="AV468" s="659"/>
      <c r="AW468" s="658">
        <v>0</v>
      </c>
      <c r="AX468" s="658"/>
      <c r="AY468" s="658"/>
      <c r="AZ468" s="658"/>
      <c r="BA468" s="658"/>
      <c r="BB468" s="658"/>
      <c r="BC468" s="658">
        <v>0</v>
      </c>
      <c r="BD468" s="658"/>
      <c r="BE468" s="658"/>
      <c r="BF468" s="658">
        <v>182.49</v>
      </c>
      <c r="BG468" s="658"/>
      <c r="BH468" s="658"/>
      <c r="BI468" s="567">
        <v>0</v>
      </c>
      <c r="BJ468" s="567"/>
      <c r="BK468" s="567"/>
      <c r="BL468" s="567"/>
      <c r="BM468" s="660" t="s">
        <v>932</v>
      </c>
      <c r="BN468" s="660"/>
      <c r="BO468" s="660"/>
      <c r="BP468" s="660"/>
      <c r="BQ468" s="568">
        <v>0.2</v>
      </c>
      <c r="BR468" s="568"/>
      <c r="BS468" s="568"/>
      <c r="BT468" s="660" t="s">
        <v>932</v>
      </c>
      <c r="BU468" s="660"/>
      <c r="BV468" s="660"/>
      <c r="BW468" s="660"/>
      <c r="BX468" s="568">
        <v>0.5</v>
      </c>
      <c r="BY468" s="568"/>
      <c r="BZ468" s="568"/>
      <c r="CA468" s="660" t="s">
        <v>932</v>
      </c>
      <c r="CB468" s="660"/>
      <c r="CC468" s="660"/>
      <c r="CD468" s="660"/>
      <c r="CE468" s="568">
        <v>0.3</v>
      </c>
      <c r="CF468" s="568"/>
      <c r="CG468" s="568"/>
      <c r="CH468" s="660" t="s">
        <v>932</v>
      </c>
      <c r="CI468" s="660"/>
      <c r="CJ468" s="660"/>
      <c r="CK468" s="660"/>
      <c r="CL468" s="568" t="s">
        <v>932</v>
      </c>
      <c r="CM468" s="568"/>
      <c r="CN468" s="568"/>
    </row>
    <row r="469" hidden="1" customHeight="1" spans="1:92">
      <c r="A469" s="612"/>
      <c r="B469" s="612"/>
      <c r="C469" s="518"/>
      <c r="D469" s="518"/>
      <c r="E469" s="518"/>
      <c r="F469" s="657"/>
      <c r="G469" s="657"/>
      <c r="H469" s="657"/>
      <c r="I469" s="519"/>
      <c r="J469" s="519"/>
      <c r="K469" s="519"/>
      <c r="L469" s="519"/>
      <c r="M469" s="519"/>
      <c r="N469" s="519"/>
      <c r="O469" s="519"/>
      <c r="P469" s="519"/>
      <c r="Q469" s="519"/>
      <c r="R469" s="519"/>
      <c r="S469" s="519"/>
      <c r="T469" s="519"/>
      <c r="U469" s="519"/>
      <c r="V469" s="519"/>
      <c r="W469" s="519"/>
      <c r="X469" s="519"/>
      <c r="Y469" s="519"/>
      <c r="Z469" s="519"/>
      <c r="AA469" s="519"/>
      <c r="AB469" s="526"/>
      <c r="AC469" s="526"/>
      <c r="AD469" s="661"/>
      <c r="AE469" s="661"/>
      <c r="AF469" s="661"/>
      <c r="AG469" s="526">
        <v>0</v>
      </c>
      <c r="AH469" s="526"/>
      <c r="AI469" s="659" t="e">
        <v>#N/A</v>
      </c>
      <c r="AJ469" s="659"/>
      <c r="AK469" s="659"/>
      <c r="AL469" s="659"/>
      <c r="AM469" s="659"/>
      <c r="AN469" s="659"/>
      <c r="AO469" s="659"/>
      <c r="AP469" s="659"/>
      <c r="AQ469" s="659"/>
      <c r="AR469" s="659"/>
      <c r="AS469" s="659"/>
      <c r="AT469" s="659"/>
      <c r="AU469" s="659"/>
      <c r="AV469" s="659"/>
      <c r="AW469" s="658">
        <v>0</v>
      </c>
      <c r="AX469" s="658"/>
      <c r="AY469" s="658"/>
      <c r="AZ469" s="658"/>
      <c r="BA469" s="658"/>
      <c r="BB469" s="658"/>
      <c r="BC469" s="658">
        <v>0</v>
      </c>
      <c r="BD469" s="658"/>
      <c r="BE469" s="658"/>
      <c r="BF469" s="658">
        <v>182.49</v>
      </c>
      <c r="BG469" s="658"/>
      <c r="BH469" s="658"/>
      <c r="BI469" s="567">
        <v>0</v>
      </c>
      <c r="BJ469" s="567"/>
      <c r="BK469" s="567"/>
      <c r="BL469" s="567"/>
      <c r="BM469" s="660" t="s">
        <v>932</v>
      </c>
      <c r="BN469" s="660"/>
      <c r="BO469" s="660"/>
      <c r="BP469" s="660"/>
      <c r="BQ469" s="568">
        <v>0.2</v>
      </c>
      <c r="BR469" s="568"/>
      <c r="BS469" s="568"/>
      <c r="BT469" s="660" t="s">
        <v>932</v>
      </c>
      <c r="BU469" s="660"/>
      <c r="BV469" s="660"/>
      <c r="BW469" s="660"/>
      <c r="BX469" s="568">
        <v>0.5</v>
      </c>
      <c r="BY469" s="568"/>
      <c r="BZ469" s="568"/>
      <c r="CA469" s="660" t="s">
        <v>932</v>
      </c>
      <c r="CB469" s="660"/>
      <c r="CC469" s="660"/>
      <c r="CD469" s="660"/>
      <c r="CE469" s="568">
        <v>0.3</v>
      </c>
      <c r="CF469" s="568"/>
      <c r="CG469" s="568"/>
      <c r="CH469" s="660" t="s">
        <v>932</v>
      </c>
      <c r="CI469" s="660"/>
      <c r="CJ469" s="660"/>
      <c r="CK469" s="660"/>
      <c r="CL469" s="568" t="s">
        <v>932</v>
      </c>
      <c r="CM469" s="568"/>
      <c r="CN469" s="568"/>
    </row>
    <row r="470" hidden="1" customHeight="1" spans="1:92">
      <c r="A470" s="612"/>
      <c r="B470" s="612"/>
      <c r="C470" s="518"/>
      <c r="D470" s="518"/>
      <c r="E470" s="518"/>
      <c r="F470" s="657"/>
      <c r="G470" s="657"/>
      <c r="H470" s="657"/>
      <c r="I470" s="519"/>
      <c r="J470" s="519"/>
      <c r="K470" s="519"/>
      <c r="L470" s="519"/>
      <c r="M470" s="519"/>
      <c r="N470" s="519"/>
      <c r="O470" s="519"/>
      <c r="P470" s="519"/>
      <c r="Q470" s="519"/>
      <c r="R470" s="519"/>
      <c r="S470" s="519"/>
      <c r="T470" s="519"/>
      <c r="U470" s="519"/>
      <c r="V470" s="519"/>
      <c r="W470" s="519"/>
      <c r="X470" s="519"/>
      <c r="Y470" s="519"/>
      <c r="Z470" s="519"/>
      <c r="AA470" s="519"/>
      <c r="AB470" s="526"/>
      <c r="AC470" s="526"/>
      <c r="AD470" s="661"/>
      <c r="AE470" s="661"/>
      <c r="AF470" s="661"/>
      <c r="AG470" s="526">
        <v>0</v>
      </c>
      <c r="AH470" s="526"/>
      <c r="AI470" s="659" t="e">
        <v>#N/A</v>
      </c>
      <c r="AJ470" s="659"/>
      <c r="AK470" s="659"/>
      <c r="AL470" s="659"/>
      <c r="AM470" s="659"/>
      <c r="AN470" s="659"/>
      <c r="AO470" s="659"/>
      <c r="AP470" s="659"/>
      <c r="AQ470" s="659"/>
      <c r="AR470" s="659"/>
      <c r="AS470" s="659"/>
      <c r="AT470" s="659"/>
      <c r="AU470" s="659"/>
      <c r="AV470" s="659"/>
      <c r="AW470" s="658">
        <v>0</v>
      </c>
      <c r="AX470" s="658"/>
      <c r="AY470" s="658"/>
      <c r="AZ470" s="658"/>
      <c r="BA470" s="658"/>
      <c r="BB470" s="658"/>
      <c r="BC470" s="658">
        <v>0</v>
      </c>
      <c r="BD470" s="658"/>
      <c r="BE470" s="658"/>
      <c r="BF470" s="658">
        <v>182.49</v>
      </c>
      <c r="BG470" s="658"/>
      <c r="BH470" s="658"/>
      <c r="BI470" s="567">
        <v>0</v>
      </c>
      <c r="BJ470" s="567"/>
      <c r="BK470" s="567"/>
      <c r="BL470" s="567"/>
      <c r="BM470" s="660" t="s">
        <v>932</v>
      </c>
      <c r="BN470" s="660"/>
      <c r="BO470" s="660"/>
      <c r="BP470" s="660"/>
      <c r="BQ470" s="568">
        <v>0.2</v>
      </c>
      <c r="BR470" s="568"/>
      <c r="BS470" s="568"/>
      <c r="BT470" s="660" t="s">
        <v>932</v>
      </c>
      <c r="BU470" s="660"/>
      <c r="BV470" s="660"/>
      <c r="BW470" s="660"/>
      <c r="BX470" s="568">
        <v>0.5</v>
      </c>
      <c r="BY470" s="568"/>
      <c r="BZ470" s="568"/>
      <c r="CA470" s="660" t="s">
        <v>932</v>
      </c>
      <c r="CB470" s="660"/>
      <c r="CC470" s="660"/>
      <c r="CD470" s="660"/>
      <c r="CE470" s="568">
        <v>0.3</v>
      </c>
      <c r="CF470" s="568"/>
      <c r="CG470" s="568"/>
      <c r="CH470" s="660" t="s">
        <v>932</v>
      </c>
      <c r="CI470" s="660"/>
      <c r="CJ470" s="660"/>
      <c r="CK470" s="660"/>
      <c r="CL470" s="568" t="s">
        <v>932</v>
      </c>
      <c r="CM470" s="568"/>
      <c r="CN470" s="568"/>
    </row>
    <row r="471" hidden="1" customHeight="1" spans="1:92">
      <c r="A471" s="612"/>
      <c r="B471" s="612"/>
      <c r="C471" s="518"/>
      <c r="D471" s="518"/>
      <c r="E471" s="518"/>
      <c r="F471" s="657"/>
      <c r="G471" s="657"/>
      <c r="H471" s="657"/>
      <c r="I471" s="519"/>
      <c r="J471" s="519"/>
      <c r="K471" s="519"/>
      <c r="L471" s="519"/>
      <c r="M471" s="519"/>
      <c r="N471" s="519"/>
      <c r="O471" s="519"/>
      <c r="P471" s="519"/>
      <c r="Q471" s="519"/>
      <c r="R471" s="519"/>
      <c r="S471" s="519"/>
      <c r="T471" s="519"/>
      <c r="U471" s="519"/>
      <c r="V471" s="519"/>
      <c r="W471" s="519"/>
      <c r="X471" s="519"/>
      <c r="Y471" s="519"/>
      <c r="Z471" s="519"/>
      <c r="AA471" s="519"/>
      <c r="AB471" s="526"/>
      <c r="AC471" s="526"/>
      <c r="AD471" s="661"/>
      <c r="AE471" s="661"/>
      <c r="AF471" s="661"/>
      <c r="AG471" s="526">
        <v>0</v>
      </c>
      <c r="AH471" s="526"/>
      <c r="AI471" s="659" t="e">
        <v>#N/A</v>
      </c>
      <c r="AJ471" s="659"/>
      <c r="AK471" s="659"/>
      <c r="AL471" s="659"/>
      <c r="AM471" s="659"/>
      <c r="AN471" s="659"/>
      <c r="AO471" s="659"/>
      <c r="AP471" s="659"/>
      <c r="AQ471" s="659"/>
      <c r="AR471" s="659"/>
      <c r="AS471" s="659"/>
      <c r="AT471" s="659"/>
      <c r="AU471" s="659"/>
      <c r="AV471" s="659"/>
      <c r="AW471" s="658">
        <v>0</v>
      </c>
      <c r="AX471" s="658"/>
      <c r="AY471" s="658"/>
      <c r="AZ471" s="658"/>
      <c r="BA471" s="658"/>
      <c r="BB471" s="658"/>
      <c r="BC471" s="658">
        <v>0</v>
      </c>
      <c r="BD471" s="658"/>
      <c r="BE471" s="658"/>
      <c r="BF471" s="658">
        <v>182.49</v>
      </c>
      <c r="BG471" s="658"/>
      <c r="BH471" s="658"/>
      <c r="BI471" s="567">
        <v>0</v>
      </c>
      <c r="BJ471" s="567"/>
      <c r="BK471" s="567"/>
      <c r="BL471" s="567"/>
      <c r="BM471" s="660" t="s">
        <v>932</v>
      </c>
      <c r="BN471" s="660"/>
      <c r="BO471" s="660"/>
      <c r="BP471" s="660"/>
      <c r="BQ471" s="568">
        <v>0.2</v>
      </c>
      <c r="BR471" s="568"/>
      <c r="BS471" s="568"/>
      <c r="BT471" s="660" t="s">
        <v>932</v>
      </c>
      <c r="BU471" s="660"/>
      <c r="BV471" s="660"/>
      <c r="BW471" s="660"/>
      <c r="BX471" s="568">
        <v>0.5</v>
      </c>
      <c r="BY471" s="568"/>
      <c r="BZ471" s="568"/>
      <c r="CA471" s="660" t="s">
        <v>932</v>
      </c>
      <c r="CB471" s="660"/>
      <c r="CC471" s="660"/>
      <c r="CD471" s="660"/>
      <c r="CE471" s="568">
        <v>0.3</v>
      </c>
      <c r="CF471" s="568"/>
      <c r="CG471" s="568"/>
      <c r="CH471" s="660" t="s">
        <v>932</v>
      </c>
      <c r="CI471" s="660"/>
      <c r="CJ471" s="660"/>
      <c r="CK471" s="660"/>
      <c r="CL471" s="568" t="s">
        <v>932</v>
      </c>
      <c r="CM471" s="568"/>
      <c r="CN471" s="568"/>
    </row>
    <row r="472" customHeight="1" spans="1:92">
      <c r="A472" s="612" t="s">
        <v>999</v>
      </c>
      <c r="B472" s="612"/>
      <c r="C472" s="518"/>
      <c r="D472" s="518"/>
      <c r="E472" s="518"/>
      <c r="F472" s="657">
        <v>407819</v>
      </c>
      <c r="G472" s="657"/>
      <c r="H472" s="657"/>
      <c r="I472" s="519" t="s">
        <v>100</v>
      </c>
      <c r="J472" s="519"/>
      <c r="K472" s="519"/>
      <c r="L472" s="519"/>
      <c r="M472" s="519"/>
      <c r="N472" s="519"/>
      <c r="O472" s="519"/>
      <c r="P472" s="519"/>
      <c r="Q472" s="519"/>
      <c r="R472" s="519"/>
      <c r="S472" s="519"/>
      <c r="T472" s="519"/>
      <c r="U472" s="519"/>
      <c r="V472" s="519"/>
      <c r="W472" s="519"/>
      <c r="X472" s="519"/>
      <c r="Y472" s="519"/>
      <c r="Z472" s="519"/>
      <c r="AA472" s="519"/>
      <c r="AB472" s="526" t="s">
        <v>101</v>
      </c>
      <c r="AC472" s="526"/>
      <c r="AD472" s="661">
        <v>2751.2</v>
      </c>
      <c r="AE472" s="661"/>
      <c r="AF472" s="661"/>
      <c r="AG472" s="526" t="s">
        <v>937</v>
      </c>
      <c r="AH472" s="526"/>
      <c r="AI472" s="659" t="s">
        <v>938</v>
      </c>
      <c r="AJ472" s="659"/>
      <c r="AK472" s="659"/>
      <c r="AL472" s="659"/>
      <c r="AM472" s="659"/>
      <c r="AN472" s="659"/>
      <c r="AO472" s="659"/>
      <c r="AP472" s="659"/>
      <c r="AQ472" s="659"/>
      <c r="AR472" s="659"/>
      <c r="AS472" s="659"/>
      <c r="AT472" s="659"/>
      <c r="AU472" s="659"/>
      <c r="AV472" s="659"/>
      <c r="AW472" s="658">
        <v>0.09</v>
      </c>
      <c r="AX472" s="658"/>
      <c r="AY472" s="658"/>
      <c r="AZ472" s="658">
        <v>1</v>
      </c>
      <c r="BA472" s="658"/>
      <c r="BB472" s="658"/>
      <c r="BC472" s="658">
        <v>247.608</v>
      </c>
      <c r="BD472" s="658"/>
      <c r="BE472" s="658"/>
      <c r="BF472" s="658">
        <v>182.49</v>
      </c>
      <c r="BG472" s="658"/>
      <c r="BH472" s="658"/>
      <c r="BI472" s="567">
        <v>1.35683051126089</v>
      </c>
      <c r="BJ472" s="567"/>
      <c r="BK472" s="567"/>
      <c r="BL472" s="567"/>
      <c r="BM472" s="660">
        <v>0.271366102252178</v>
      </c>
      <c r="BN472" s="660"/>
      <c r="BO472" s="660"/>
      <c r="BP472" s="660"/>
      <c r="BQ472" s="568">
        <v>0.2</v>
      </c>
      <c r="BR472" s="568"/>
      <c r="BS472" s="568"/>
      <c r="BT472" s="660">
        <v>0.678415255630445</v>
      </c>
      <c r="BU472" s="660"/>
      <c r="BV472" s="660"/>
      <c r="BW472" s="660"/>
      <c r="BX472" s="568">
        <v>0.5</v>
      </c>
      <c r="BY472" s="568"/>
      <c r="BZ472" s="568"/>
      <c r="CA472" s="660">
        <v>0.407049153378267</v>
      </c>
      <c r="CB472" s="660"/>
      <c r="CC472" s="660"/>
      <c r="CD472" s="660"/>
      <c r="CE472" s="568">
        <v>0.3</v>
      </c>
      <c r="CF472" s="568"/>
      <c r="CG472" s="568"/>
      <c r="CH472" s="660" t="s">
        <v>932</v>
      </c>
      <c r="CI472" s="660"/>
      <c r="CJ472" s="660"/>
      <c r="CK472" s="660"/>
      <c r="CL472" s="568" t="s">
        <v>932</v>
      </c>
      <c r="CM472" s="568"/>
      <c r="CN472" s="568"/>
    </row>
    <row r="473" customHeight="1" spans="1:92">
      <c r="A473" s="612"/>
      <c r="B473" s="612"/>
      <c r="C473" s="518"/>
      <c r="D473" s="518"/>
      <c r="E473" s="518"/>
      <c r="F473" s="657"/>
      <c r="G473" s="657"/>
      <c r="H473" s="657"/>
      <c r="I473" s="519"/>
      <c r="J473" s="519"/>
      <c r="K473" s="519"/>
      <c r="L473" s="519"/>
      <c r="M473" s="519"/>
      <c r="N473" s="519"/>
      <c r="O473" s="519"/>
      <c r="P473" s="519"/>
      <c r="Q473" s="519"/>
      <c r="R473" s="519"/>
      <c r="S473" s="519"/>
      <c r="T473" s="519"/>
      <c r="U473" s="519"/>
      <c r="V473" s="519"/>
      <c r="W473" s="519"/>
      <c r="X473" s="519"/>
      <c r="Y473" s="519"/>
      <c r="Z473" s="519"/>
      <c r="AA473" s="519"/>
      <c r="AB473" s="526"/>
      <c r="AC473" s="526"/>
      <c r="AD473" s="661"/>
      <c r="AE473" s="661"/>
      <c r="AF473" s="661"/>
      <c r="AG473" s="526" t="s">
        <v>939</v>
      </c>
      <c r="AH473" s="526"/>
      <c r="AI473" s="659" t="s">
        <v>940</v>
      </c>
      <c r="AJ473" s="659"/>
      <c r="AK473" s="659"/>
      <c r="AL473" s="659"/>
      <c r="AM473" s="659"/>
      <c r="AN473" s="659"/>
      <c r="AO473" s="659"/>
      <c r="AP473" s="659"/>
      <c r="AQ473" s="659"/>
      <c r="AR473" s="659"/>
      <c r="AS473" s="659"/>
      <c r="AT473" s="659"/>
      <c r="AU473" s="659"/>
      <c r="AV473" s="659"/>
      <c r="AW473" s="658">
        <v>0.09</v>
      </c>
      <c r="AX473" s="658"/>
      <c r="AY473" s="658"/>
      <c r="AZ473" s="658"/>
      <c r="BA473" s="658"/>
      <c r="BB473" s="658"/>
      <c r="BC473" s="658">
        <v>247.608</v>
      </c>
      <c r="BD473" s="658"/>
      <c r="BE473" s="658"/>
      <c r="BF473" s="658">
        <v>182.49</v>
      </c>
      <c r="BG473" s="658"/>
      <c r="BH473" s="658"/>
      <c r="BI473" s="567">
        <v>1.35683051126089</v>
      </c>
      <c r="BJ473" s="567"/>
      <c r="BK473" s="567"/>
      <c r="BL473" s="567"/>
      <c r="BM473" s="660">
        <v>0.271366102252178</v>
      </c>
      <c r="BN473" s="660"/>
      <c r="BO473" s="660"/>
      <c r="BP473" s="660"/>
      <c r="BQ473" s="568">
        <v>0.2</v>
      </c>
      <c r="BR473" s="568"/>
      <c r="BS473" s="568"/>
      <c r="BT473" s="660">
        <v>0.678415255630445</v>
      </c>
      <c r="BU473" s="660"/>
      <c r="BV473" s="660"/>
      <c r="BW473" s="660"/>
      <c r="BX473" s="568">
        <v>0.5</v>
      </c>
      <c r="BY473" s="568"/>
      <c r="BZ473" s="568"/>
      <c r="CA473" s="660">
        <v>0.407049153378267</v>
      </c>
      <c r="CB473" s="660"/>
      <c r="CC473" s="660"/>
      <c r="CD473" s="660"/>
      <c r="CE473" s="568">
        <v>0.3</v>
      </c>
      <c r="CF473" s="568"/>
      <c r="CG473" s="568"/>
      <c r="CH473" s="660" t="s">
        <v>932</v>
      </c>
      <c r="CI473" s="660"/>
      <c r="CJ473" s="660"/>
      <c r="CK473" s="660"/>
      <c r="CL473" s="568" t="s">
        <v>932</v>
      </c>
      <c r="CM473" s="568"/>
      <c r="CN473" s="568"/>
    </row>
    <row r="474" hidden="1" customHeight="1" spans="1:92">
      <c r="A474" s="612"/>
      <c r="B474" s="612"/>
      <c r="C474" s="518"/>
      <c r="D474" s="518"/>
      <c r="E474" s="518"/>
      <c r="F474" s="657"/>
      <c r="G474" s="657"/>
      <c r="H474" s="657"/>
      <c r="I474" s="519"/>
      <c r="J474" s="519"/>
      <c r="K474" s="519"/>
      <c r="L474" s="519"/>
      <c r="M474" s="519"/>
      <c r="N474" s="519"/>
      <c r="O474" s="519"/>
      <c r="P474" s="519"/>
      <c r="Q474" s="519"/>
      <c r="R474" s="519"/>
      <c r="S474" s="519"/>
      <c r="T474" s="519"/>
      <c r="U474" s="519"/>
      <c r="V474" s="519"/>
      <c r="W474" s="519"/>
      <c r="X474" s="519"/>
      <c r="Y474" s="519"/>
      <c r="Z474" s="519"/>
      <c r="AA474" s="519"/>
      <c r="AB474" s="526"/>
      <c r="AC474" s="526"/>
      <c r="AD474" s="661"/>
      <c r="AE474" s="661"/>
      <c r="AF474" s="661"/>
      <c r="AG474" s="526">
        <v>0</v>
      </c>
      <c r="AH474" s="526"/>
      <c r="AI474" s="659" t="e">
        <v>#N/A</v>
      </c>
      <c r="AJ474" s="659"/>
      <c r="AK474" s="659"/>
      <c r="AL474" s="659"/>
      <c r="AM474" s="659"/>
      <c r="AN474" s="659"/>
      <c r="AO474" s="659"/>
      <c r="AP474" s="659"/>
      <c r="AQ474" s="659"/>
      <c r="AR474" s="659"/>
      <c r="AS474" s="659"/>
      <c r="AT474" s="659"/>
      <c r="AU474" s="659"/>
      <c r="AV474" s="659"/>
      <c r="AW474" s="658">
        <v>0</v>
      </c>
      <c r="AX474" s="658"/>
      <c r="AY474" s="658"/>
      <c r="AZ474" s="658"/>
      <c r="BA474" s="658"/>
      <c r="BB474" s="658"/>
      <c r="BC474" s="658">
        <v>0</v>
      </c>
      <c r="BD474" s="658"/>
      <c r="BE474" s="658"/>
      <c r="BF474" s="658">
        <v>182.49</v>
      </c>
      <c r="BG474" s="658"/>
      <c r="BH474" s="658"/>
      <c r="BI474" s="567">
        <v>0</v>
      </c>
      <c r="BJ474" s="567"/>
      <c r="BK474" s="567"/>
      <c r="BL474" s="567"/>
      <c r="BM474" s="660" t="s">
        <v>932</v>
      </c>
      <c r="BN474" s="660"/>
      <c r="BO474" s="660"/>
      <c r="BP474" s="660"/>
      <c r="BQ474" s="568">
        <v>0.2</v>
      </c>
      <c r="BR474" s="568"/>
      <c r="BS474" s="568"/>
      <c r="BT474" s="660" t="s">
        <v>932</v>
      </c>
      <c r="BU474" s="660"/>
      <c r="BV474" s="660"/>
      <c r="BW474" s="660"/>
      <c r="BX474" s="568">
        <v>0.5</v>
      </c>
      <c r="BY474" s="568"/>
      <c r="BZ474" s="568"/>
      <c r="CA474" s="660" t="s">
        <v>932</v>
      </c>
      <c r="CB474" s="660"/>
      <c r="CC474" s="660"/>
      <c r="CD474" s="660"/>
      <c r="CE474" s="568">
        <v>0.3</v>
      </c>
      <c r="CF474" s="568"/>
      <c r="CG474" s="568"/>
      <c r="CH474" s="660" t="s">
        <v>932</v>
      </c>
      <c r="CI474" s="660"/>
      <c r="CJ474" s="660"/>
      <c r="CK474" s="660"/>
      <c r="CL474" s="568" t="s">
        <v>932</v>
      </c>
      <c r="CM474" s="568"/>
      <c r="CN474" s="568"/>
    </row>
    <row r="475" hidden="1" customHeight="1" spans="1:92">
      <c r="A475" s="612"/>
      <c r="B475" s="612"/>
      <c r="C475" s="518"/>
      <c r="D475" s="518"/>
      <c r="E475" s="518"/>
      <c r="F475" s="657"/>
      <c r="G475" s="657"/>
      <c r="H475" s="657"/>
      <c r="I475" s="519"/>
      <c r="J475" s="519"/>
      <c r="K475" s="519"/>
      <c r="L475" s="519"/>
      <c r="M475" s="519"/>
      <c r="N475" s="519"/>
      <c r="O475" s="519"/>
      <c r="P475" s="519"/>
      <c r="Q475" s="519"/>
      <c r="R475" s="519"/>
      <c r="S475" s="519"/>
      <c r="T475" s="519"/>
      <c r="U475" s="519"/>
      <c r="V475" s="519"/>
      <c r="W475" s="519"/>
      <c r="X475" s="519"/>
      <c r="Y475" s="519"/>
      <c r="Z475" s="519"/>
      <c r="AA475" s="519"/>
      <c r="AB475" s="526"/>
      <c r="AC475" s="526"/>
      <c r="AD475" s="661"/>
      <c r="AE475" s="661"/>
      <c r="AF475" s="661"/>
      <c r="AG475" s="526">
        <v>0</v>
      </c>
      <c r="AH475" s="526"/>
      <c r="AI475" s="659" t="e">
        <v>#N/A</v>
      </c>
      <c r="AJ475" s="659"/>
      <c r="AK475" s="659"/>
      <c r="AL475" s="659"/>
      <c r="AM475" s="659"/>
      <c r="AN475" s="659"/>
      <c r="AO475" s="659"/>
      <c r="AP475" s="659"/>
      <c r="AQ475" s="659"/>
      <c r="AR475" s="659"/>
      <c r="AS475" s="659"/>
      <c r="AT475" s="659"/>
      <c r="AU475" s="659"/>
      <c r="AV475" s="659"/>
      <c r="AW475" s="658">
        <v>0</v>
      </c>
      <c r="AX475" s="658"/>
      <c r="AY475" s="658"/>
      <c r="AZ475" s="658"/>
      <c r="BA475" s="658"/>
      <c r="BB475" s="658"/>
      <c r="BC475" s="658">
        <v>0</v>
      </c>
      <c r="BD475" s="658"/>
      <c r="BE475" s="658"/>
      <c r="BF475" s="658">
        <v>182.49</v>
      </c>
      <c r="BG475" s="658"/>
      <c r="BH475" s="658"/>
      <c r="BI475" s="567">
        <v>0</v>
      </c>
      <c r="BJ475" s="567"/>
      <c r="BK475" s="567"/>
      <c r="BL475" s="567"/>
      <c r="BM475" s="660" t="s">
        <v>932</v>
      </c>
      <c r="BN475" s="660"/>
      <c r="BO475" s="660"/>
      <c r="BP475" s="660"/>
      <c r="BQ475" s="568">
        <v>0.2</v>
      </c>
      <c r="BR475" s="568"/>
      <c r="BS475" s="568"/>
      <c r="BT475" s="660" t="s">
        <v>932</v>
      </c>
      <c r="BU475" s="660"/>
      <c r="BV475" s="660"/>
      <c r="BW475" s="660"/>
      <c r="BX475" s="568">
        <v>0.5</v>
      </c>
      <c r="BY475" s="568"/>
      <c r="BZ475" s="568"/>
      <c r="CA475" s="660" t="s">
        <v>932</v>
      </c>
      <c r="CB475" s="660"/>
      <c r="CC475" s="660"/>
      <c r="CD475" s="660"/>
      <c r="CE475" s="568">
        <v>0.3</v>
      </c>
      <c r="CF475" s="568"/>
      <c r="CG475" s="568"/>
      <c r="CH475" s="660" t="s">
        <v>932</v>
      </c>
      <c r="CI475" s="660"/>
      <c r="CJ475" s="660"/>
      <c r="CK475" s="660"/>
      <c r="CL475" s="568" t="s">
        <v>932</v>
      </c>
      <c r="CM475" s="568"/>
      <c r="CN475" s="568"/>
    </row>
    <row r="476" hidden="1" customHeight="1" spans="1:92">
      <c r="A476" s="612"/>
      <c r="B476" s="612"/>
      <c r="C476" s="518"/>
      <c r="D476" s="518"/>
      <c r="E476" s="518"/>
      <c r="F476" s="657"/>
      <c r="G476" s="657"/>
      <c r="H476" s="657"/>
      <c r="I476" s="519"/>
      <c r="J476" s="519"/>
      <c r="K476" s="519"/>
      <c r="L476" s="519"/>
      <c r="M476" s="519"/>
      <c r="N476" s="519"/>
      <c r="O476" s="519"/>
      <c r="P476" s="519"/>
      <c r="Q476" s="519"/>
      <c r="R476" s="519"/>
      <c r="S476" s="519"/>
      <c r="T476" s="519"/>
      <c r="U476" s="519"/>
      <c r="V476" s="519"/>
      <c r="W476" s="519"/>
      <c r="X476" s="519"/>
      <c r="Y476" s="519"/>
      <c r="Z476" s="519"/>
      <c r="AA476" s="519"/>
      <c r="AB476" s="526"/>
      <c r="AC476" s="526"/>
      <c r="AD476" s="661"/>
      <c r="AE476" s="661"/>
      <c r="AF476" s="661"/>
      <c r="AG476" s="526">
        <v>0</v>
      </c>
      <c r="AH476" s="526"/>
      <c r="AI476" s="659" t="e">
        <v>#N/A</v>
      </c>
      <c r="AJ476" s="659"/>
      <c r="AK476" s="659"/>
      <c r="AL476" s="659"/>
      <c r="AM476" s="659"/>
      <c r="AN476" s="659"/>
      <c r="AO476" s="659"/>
      <c r="AP476" s="659"/>
      <c r="AQ476" s="659"/>
      <c r="AR476" s="659"/>
      <c r="AS476" s="659"/>
      <c r="AT476" s="659"/>
      <c r="AU476" s="659"/>
      <c r="AV476" s="659"/>
      <c r="AW476" s="658">
        <v>0</v>
      </c>
      <c r="AX476" s="658"/>
      <c r="AY476" s="658"/>
      <c r="AZ476" s="658"/>
      <c r="BA476" s="658"/>
      <c r="BB476" s="658"/>
      <c r="BC476" s="658">
        <v>0</v>
      </c>
      <c r="BD476" s="658"/>
      <c r="BE476" s="658"/>
      <c r="BF476" s="658">
        <v>182.49</v>
      </c>
      <c r="BG476" s="658"/>
      <c r="BH476" s="658"/>
      <c r="BI476" s="567">
        <v>0</v>
      </c>
      <c r="BJ476" s="567"/>
      <c r="BK476" s="567"/>
      <c r="BL476" s="567"/>
      <c r="BM476" s="660" t="s">
        <v>932</v>
      </c>
      <c r="BN476" s="660"/>
      <c r="BO476" s="660"/>
      <c r="BP476" s="660"/>
      <c r="BQ476" s="568">
        <v>0.2</v>
      </c>
      <c r="BR476" s="568"/>
      <c r="BS476" s="568"/>
      <c r="BT476" s="660" t="s">
        <v>932</v>
      </c>
      <c r="BU476" s="660"/>
      <c r="BV476" s="660"/>
      <c r="BW476" s="660"/>
      <c r="BX476" s="568">
        <v>0.5</v>
      </c>
      <c r="BY476" s="568"/>
      <c r="BZ476" s="568"/>
      <c r="CA476" s="660" t="s">
        <v>932</v>
      </c>
      <c r="CB476" s="660"/>
      <c r="CC476" s="660"/>
      <c r="CD476" s="660"/>
      <c r="CE476" s="568">
        <v>0.3</v>
      </c>
      <c r="CF476" s="568"/>
      <c r="CG476" s="568"/>
      <c r="CH476" s="660" t="s">
        <v>932</v>
      </c>
      <c r="CI476" s="660"/>
      <c r="CJ476" s="660"/>
      <c r="CK476" s="660"/>
      <c r="CL476" s="568" t="s">
        <v>932</v>
      </c>
      <c r="CM476" s="568"/>
      <c r="CN476" s="568"/>
    </row>
    <row r="477" hidden="1" customHeight="1" spans="1:92">
      <c r="A477" s="612"/>
      <c r="B477" s="612"/>
      <c r="C477" s="518"/>
      <c r="D477" s="518"/>
      <c r="E477" s="518"/>
      <c r="F477" s="657"/>
      <c r="G477" s="657"/>
      <c r="H477" s="657"/>
      <c r="I477" s="519"/>
      <c r="J477" s="519"/>
      <c r="K477" s="519"/>
      <c r="L477" s="519"/>
      <c r="M477" s="519"/>
      <c r="N477" s="519"/>
      <c r="O477" s="519"/>
      <c r="P477" s="519"/>
      <c r="Q477" s="519"/>
      <c r="R477" s="519"/>
      <c r="S477" s="519"/>
      <c r="T477" s="519"/>
      <c r="U477" s="519"/>
      <c r="V477" s="519"/>
      <c r="W477" s="519"/>
      <c r="X477" s="519"/>
      <c r="Y477" s="519"/>
      <c r="Z477" s="519"/>
      <c r="AA477" s="519"/>
      <c r="AB477" s="526"/>
      <c r="AC477" s="526"/>
      <c r="AD477" s="661"/>
      <c r="AE477" s="661"/>
      <c r="AF477" s="661"/>
      <c r="AG477" s="526">
        <v>0</v>
      </c>
      <c r="AH477" s="526"/>
      <c r="AI477" s="659" t="e">
        <v>#N/A</v>
      </c>
      <c r="AJ477" s="659"/>
      <c r="AK477" s="659"/>
      <c r="AL477" s="659"/>
      <c r="AM477" s="659"/>
      <c r="AN477" s="659"/>
      <c r="AO477" s="659"/>
      <c r="AP477" s="659"/>
      <c r="AQ477" s="659"/>
      <c r="AR477" s="659"/>
      <c r="AS477" s="659"/>
      <c r="AT477" s="659"/>
      <c r="AU477" s="659"/>
      <c r="AV477" s="659"/>
      <c r="AW477" s="658">
        <v>0</v>
      </c>
      <c r="AX477" s="658"/>
      <c r="AY477" s="658"/>
      <c r="AZ477" s="658"/>
      <c r="BA477" s="658"/>
      <c r="BB477" s="658"/>
      <c r="BC477" s="658">
        <v>0</v>
      </c>
      <c r="BD477" s="658"/>
      <c r="BE477" s="658"/>
      <c r="BF477" s="658">
        <v>182.49</v>
      </c>
      <c r="BG477" s="658"/>
      <c r="BH477" s="658"/>
      <c r="BI477" s="567">
        <v>0</v>
      </c>
      <c r="BJ477" s="567"/>
      <c r="BK477" s="567"/>
      <c r="BL477" s="567"/>
      <c r="BM477" s="660" t="s">
        <v>932</v>
      </c>
      <c r="BN477" s="660"/>
      <c r="BO477" s="660"/>
      <c r="BP477" s="660"/>
      <c r="BQ477" s="568">
        <v>0.2</v>
      </c>
      <c r="BR477" s="568"/>
      <c r="BS477" s="568"/>
      <c r="BT477" s="660" t="s">
        <v>932</v>
      </c>
      <c r="BU477" s="660"/>
      <c r="BV477" s="660"/>
      <c r="BW477" s="660"/>
      <c r="BX477" s="568">
        <v>0.5</v>
      </c>
      <c r="BY477" s="568"/>
      <c r="BZ477" s="568"/>
      <c r="CA477" s="660" t="s">
        <v>932</v>
      </c>
      <c r="CB477" s="660"/>
      <c r="CC477" s="660"/>
      <c r="CD477" s="660"/>
      <c r="CE477" s="568">
        <v>0.3</v>
      </c>
      <c r="CF477" s="568"/>
      <c r="CG477" s="568"/>
      <c r="CH477" s="660" t="s">
        <v>932</v>
      </c>
      <c r="CI477" s="660"/>
      <c r="CJ477" s="660"/>
      <c r="CK477" s="660"/>
      <c r="CL477" s="568" t="s">
        <v>932</v>
      </c>
      <c r="CM477" s="568"/>
      <c r="CN477" s="568"/>
    </row>
    <row r="478" hidden="1" customHeight="1" spans="1:92">
      <c r="A478" s="612"/>
      <c r="B478" s="612"/>
      <c r="C478" s="518"/>
      <c r="D478" s="518"/>
      <c r="E478" s="518"/>
      <c r="F478" s="657"/>
      <c r="G478" s="657"/>
      <c r="H478" s="657"/>
      <c r="I478" s="519"/>
      <c r="J478" s="519"/>
      <c r="K478" s="519"/>
      <c r="L478" s="519"/>
      <c r="M478" s="519"/>
      <c r="N478" s="519"/>
      <c r="O478" s="519"/>
      <c r="P478" s="519"/>
      <c r="Q478" s="519"/>
      <c r="R478" s="519"/>
      <c r="S478" s="519"/>
      <c r="T478" s="519"/>
      <c r="U478" s="519"/>
      <c r="V478" s="519"/>
      <c r="W478" s="519"/>
      <c r="X478" s="519"/>
      <c r="Y478" s="519"/>
      <c r="Z478" s="519"/>
      <c r="AA478" s="519"/>
      <c r="AB478" s="526"/>
      <c r="AC478" s="526"/>
      <c r="AD478" s="661"/>
      <c r="AE478" s="661"/>
      <c r="AF478" s="661"/>
      <c r="AG478" s="526">
        <v>0</v>
      </c>
      <c r="AH478" s="526"/>
      <c r="AI478" s="659" t="e">
        <v>#N/A</v>
      </c>
      <c r="AJ478" s="659"/>
      <c r="AK478" s="659"/>
      <c r="AL478" s="659"/>
      <c r="AM478" s="659"/>
      <c r="AN478" s="659"/>
      <c r="AO478" s="659"/>
      <c r="AP478" s="659"/>
      <c r="AQ478" s="659"/>
      <c r="AR478" s="659"/>
      <c r="AS478" s="659"/>
      <c r="AT478" s="659"/>
      <c r="AU478" s="659"/>
      <c r="AV478" s="659"/>
      <c r="AW478" s="658">
        <v>0</v>
      </c>
      <c r="AX478" s="658"/>
      <c r="AY478" s="658"/>
      <c r="AZ478" s="658"/>
      <c r="BA478" s="658"/>
      <c r="BB478" s="658"/>
      <c r="BC478" s="658">
        <v>0</v>
      </c>
      <c r="BD478" s="658"/>
      <c r="BE478" s="658"/>
      <c r="BF478" s="658">
        <v>182.49</v>
      </c>
      <c r="BG478" s="658"/>
      <c r="BH478" s="658"/>
      <c r="BI478" s="567">
        <v>0</v>
      </c>
      <c r="BJ478" s="567"/>
      <c r="BK478" s="567"/>
      <c r="BL478" s="567"/>
      <c r="BM478" s="660" t="s">
        <v>932</v>
      </c>
      <c r="BN478" s="660"/>
      <c r="BO478" s="660"/>
      <c r="BP478" s="660"/>
      <c r="BQ478" s="568">
        <v>0.2</v>
      </c>
      <c r="BR478" s="568"/>
      <c r="BS478" s="568"/>
      <c r="BT478" s="660" t="s">
        <v>932</v>
      </c>
      <c r="BU478" s="660"/>
      <c r="BV478" s="660"/>
      <c r="BW478" s="660"/>
      <c r="BX478" s="568">
        <v>0.5</v>
      </c>
      <c r="BY478" s="568"/>
      <c r="BZ478" s="568"/>
      <c r="CA478" s="660" t="s">
        <v>932</v>
      </c>
      <c r="CB478" s="660"/>
      <c r="CC478" s="660"/>
      <c r="CD478" s="660"/>
      <c r="CE478" s="568">
        <v>0.3</v>
      </c>
      <c r="CF478" s="568"/>
      <c r="CG478" s="568"/>
      <c r="CH478" s="660" t="s">
        <v>932</v>
      </c>
      <c r="CI478" s="660"/>
      <c r="CJ478" s="660"/>
      <c r="CK478" s="660"/>
      <c r="CL478" s="568" t="s">
        <v>932</v>
      </c>
      <c r="CM478" s="568"/>
      <c r="CN478" s="568"/>
    </row>
    <row r="479" hidden="1" customHeight="1" spans="1:92">
      <c r="A479" s="612"/>
      <c r="B479" s="612"/>
      <c r="C479" s="518"/>
      <c r="D479" s="518"/>
      <c r="E479" s="518"/>
      <c r="F479" s="657"/>
      <c r="G479" s="657"/>
      <c r="H479" s="657"/>
      <c r="I479" s="519"/>
      <c r="J479" s="519"/>
      <c r="K479" s="519"/>
      <c r="L479" s="519"/>
      <c r="M479" s="519"/>
      <c r="N479" s="519"/>
      <c r="O479" s="519"/>
      <c r="P479" s="519"/>
      <c r="Q479" s="519"/>
      <c r="R479" s="519"/>
      <c r="S479" s="519"/>
      <c r="T479" s="519"/>
      <c r="U479" s="519"/>
      <c r="V479" s="519"/>
      <c r="W479" s="519"/>
      <c r="X479" s="519"/>
      <c r="Y479" s="519"/>
      <c r="Z479" s="519"/>
      <c r="AA479" s="519"/>
      <c r="AB479" s="526"/>
      <c r="AC479" s="526"/>
      <c r="AD479" s="661"/>
      <c r="AE479" s="661"/>
      <c r="AF479" s="661"/>
      <c r="AG479" s="526">
        <v>0</v>
      </c>
      <c r="AH479" s="526"/>
      <c r="AI479" s="659" t="e">
        <v>#N/A</v>
      </c>
      <c r="AJ479" s="659"/>
      <c r="AK479" s="659"/>
      <c r="AL479" s="659"/>
      <c r="AM479" s="659"/>
      <c r="AN479" s="659"/>
      <c r="AO479" s="659"/>
      <c r="AP479" s="659"/>
      <c r="AQ479" s="659"/>
      <c r="AR479" s="659"/>
      <c r="AS479" s="659"/>
      <c r="AT479" s="659"/>
      <c r="AU479" s="659"/>
      <c r="AV479" s="659"/>
      <c r="AW479" s="658">
        <v>0</v>
      </c>
      <c r="AX479" s="658"/>
      <c r="AY479" s="658"/>
      <c r="AZ479" s="658"/>
      <c r="BA479" s="658"/>
      <c r="BB479" s="658"/>
      <c r="BC479" s="658">
        <v>0</v>
      </c>
      <c r="BD479" s="658"/>
      <c r="BE479" s="658"/>
      <c r="BF479" s="658">
        <v>182.49</v>
      </c>
      <c r="BG479" s="658"/>
      <c r="BH479" s="658"/>
      <c r="BI479" s="567">
        <v>0</v>
      </c>
      <c r="BJ479" s="567"/>
      <c r="BK479" s="567"/>
      <c r="BL479" s="567"/>
      <c r="BM479" s="660" t="s">
        <v>932</v>
      </c>
      <c r="BN479" s="660"/>
      <c r="BO479" s="660"/>
      <c r="BP479" s="660"/>
      <c r="BQ479" s="568">
        <v>0.2</v>
      </c>
      <c r="BR479" s="568"/>
      <c r="BS479" s="568"/>
      <c r="BT479" s="660" t="s">
        <v>932</v>
      </c>
      <c r="BU479" s="660"/>
      <c r="BV479" s="660"/>
      <c r="BW479" s="660"/>
      <c r="BX479" s="568">
        <v>0.5</v>
      </c>
      <c r="BY479" s="568"/>
      <c r="BZ479" s="568"/>
      <c r="CA479" s="660" t="s">
        <v>932</v>
      </c>
      <c r="CB479" s="660"/>
      <c r="CC479" s="660"/>
      <c r="CD479" s="660"/>
      <c r="CE479" s="568">
        <v>0.3</v>
      </c>
      <c r="CF479" s="568"/>
      <c r="CG479" s="568"/>
      <c r="CH479" s="660" t="s">
        <v>932</v>
      </c>
      <c r="CI479" s="660"/>
      <c r="CJ479" s="660"/>
      <c r="CK479" s="660"/>
      <c r="CL479" s="568" t="s">
        <v>932</v>
      </c>
      <c r="CM479" s="568"/>
      <c r="CN479" s="568"/>
    </row>
    <row r="480" customHeight="1" spans="1:92">
      <c r="A480" s="612" t="s">
        <v>1000</v>
      </c>
      <c r="B480" s="612"/>
      <c r="C480" s="518"/>
      <c r="D480" s="518"/>
      <c r="E480" s="518"/>
      <c r="F480" s="657">
        <v>407820</v>
      </c>
      <c r="G480" s="657"/>
      <c r="H480" s="657"/>
      <c r="I480" s="519" t="s">
        <v>129</v>
      </c>
      <c r="J480" s="519"/>
      <c r="K480" s="519"/>
      <c r="L480" s="519"/>
      <c r="M480" s="519"/>
      <c r="N480" s="519"/>
      <c r="O480" s="519"/>
      <c r="P480" s="519"/>
      <c r="Q480" s="519"/>
      <c r="R480" s="519"/>
      <c r="S480" s="519"/>
      <c r="T480" s="519"/>
      <c r="U480" s="519"/>
      <c r="V480" s="519"/>
      <c r="W480" s="519"/>
      <c r="X480" s="519"/>
      <c r="Y480" s="519"/>
      <c r="Z480" s="519"/>
      <c r="AA480" s="519"/>
      <c r="AB480" s="526" t="s">
        <v>101</v>
      </c>
      <c r="AC480" s="526"/>
      <c r="AD480" s="661">
        <v>260.8</v>
      </c>
      <c r="AE480" s="661"/>
      <c r="AF480" s="661"/>
      <c r="AG480" s="526" t="s">
        <v>937</v>
      </c>
      <c r="AH480" s="526"/>
      <c r="AI480" s="659" t="s">
        <v>938</v>
      </c>
      <c r="AJ480" s="659"/>
      <c r="AK480" s="659"/>
      <c r="AL480" s="659"/>
      <c r="AM480" s="659"/>
      <c r="AN480" s="659"/>
      <c r="AO480" s="659"/>
      <c r="AP480" s="659"/>
      <c r="AQ480" s="659"/>
      <c r="AR480" s="659"/>
      <c r="AS480" s="659"/>
      <c r="AT480" s="659"/>
      <c r="AU480" s="659"/>
      <c r="AV480" s="659"/>
      <c r="AW480" s="658">
        <v>0.08</v>
      </c>
      <c r="AX480" s="658"/>
      <c r="AY480" s="658"/>
      <c r="AZ480" s="658">
        <v>1</v>
      </c>
      <c r="BA480" s="658"/>
      <c r="BB480" s="658"/>
      <c r="BC480" s="658">
        <v>20.864</v>
      </c>
      <c r="BD480" s="658"/>
      <c r="BE480" s="658"/>
      <c r="BF480" s="658">
        <v>182.49</v>
      </c>
      <c r="BG480" s="658"/>
      <c r="BH480" s="658"/>
      <c r="BI480" s="567">
        <v>0.114329552304236</v>
      </c>
      <c r="BJ480" s="567"/>
      <c r="BK480" s="567"/>
      <c r="BL480" s="567"/>
      <c r="BM480" s="660">
        <v>0.0228659104608472</v>
      </c>
      <c r="BN480" s="660"/>
      <c r="BO480" s="660"/>
      <c r="BP480" s="660"/>
      <c r="BQ480" s="568">
        <v>0.2</v>
      </c>
      <c r="BR480" s="568"/>
      <c r="BS480" s="568"/>
      <c r="BT480" s="660">
        <v>0.0571647761521179</v>
      </c>
      <c r="BU480" s="660"/>
      <c r="BV480" s="660"/>
      <c r="BW480" s="660"/>
      <c r="BX480" s="568">
        <v>0.5</v>
      </c>
      <c r="BY480" s="568"/>
      <c r="BZ480" s="568"/>
      <c r="CA480" s="660">
        <v>0.0342988656912708</v>
      </c>
      <c r="CB480" s="660"/>
      <c r="CC480" s="660"/>
      <c r="CD480" s="660"/>
      <c r="CE480" s="568">
        <v>0.3</v>
      </c>
      <c r="CF480" s="568"/>
      <c r="CG480" s="568"/>
      <c r="CH480" s="660" t="s">
        <v>932</v>
      </c>
      <c r="CI480" s="660"/>
      <c r="CJ480" s="660"/>
      <c r="CK480" s="660"/>
      <c r="CL480" s="568" t="s">
        <v>932</v>
      </c>
      <c r="CM480" s="568"/>
      <c r="CN480" s="568"/>
    </row>
    <row r="481" customHeight="1" spans="1:92">
      <c r="A481" s="612"/>
      <c r="B481" s="612"/>
      <c r="C481" s="518"/>
      <c r="D481" s="518"/>
      <c r="E481" s="518"/>
      <c r="F481" s="657"/>
      <c r="G481" s="657"/>
      <c r="H481" s="657"/>
      <c r="I481" s="519"/>
      <c r="J481" s="519"/>
      <c r="K481" s="519"/>
      <c r="L481" s="519"/>
      <c r="M481" s="519"/>
      <c r="N481" s="519"/>
      <c r="O481" s="519"/>
      <c r="P481" s="519"/>
      <c r="Q481" s="519"/>
      <c r="R481" s="519"/>
      <c r="S481" s="519"/>
      <c r="T481" s="519"/>
      <c r="U481" s="519"/>
      <c r="V481" s="519"/>
      <c r="W481" s="519"/>
      <c r="X481" s="519"/>
      <c r="Y481" s="519"/>
      <c r="Z481" s="519"/>
      <c r="AA481" s="519"/>
      <c r="AB481" s="526"/>
      <c r="AC481" s="526"/>
      <c r="AD481" s="661"/>
      <c r="AE481" s="661"/>
      <c r="AF481" s="661"/>
      <c r="AG481" s="526" t="s">
        <v>939</v>
      </c>
      <c r="AH481" s="526"/>
      <c r="AI481" s="659" t="s">
        <v>940</v>
      </c>
      <c r="AJ481" s="659"/>
      <c r="AK481" s="659"/>
      <c r="AL481" s="659"/>
      <c r="AM481" s="659"/>
      <c r="AN481" s="659"/>
      <c r="AO481" s="659"/>
      <c r="AP481" s="659"/>
      <c r="AQ481" s="659"/>
      <c r="AR481" s="659"/>
      <c r="AS481" s="659"/>
      <c r="AT481" s="659"/>
      <c r="AU481" s="659"/>
      <c r="AV481" s="659"/>
      <c r="AW481" s="658">
        <v>0.08</v>
      </c>
      <c r="AX481" s="658"/>
      <c r="AY481" s="658"/>
      <c r="AZ481" s="658"/>
      <c r="BA481" s="658"/>
      <c r="BB481" s="658"/>
      <c r="BC481" s="658">
        <v>20.864</v>
      </c>
      <c r="BD481" s="658"/>
      <c r="BE481" s="658"/>
      <c r="BF481" s="658">
        <v>182.49</v>
      </c>
      <c r="BG481" s="658"/>
      <c r="BH481" s="658"/>
      <c r="BI481" s="567">
        <v>0.114329552304236</v>
      </c>
      <c r="BJ481" s="567"/>
      <c r="BK481" s="567"/>
      <c r="BL481" s="567"/>
      <c r="BM481" s="660">
        <v>0.0228659104608472</v>
      </c>
      <c r="BN481" s="660"/>
      <c r="BO481" s="660"/>
      <c r="BP481" s="660"/>
      <c r="BQ481" s="568">
        <v>0.2</v>
      </c>
      <c r="BR481" s="568"/>
      <c r="BS481" s="568"/>
      <c r="BT481" s="660">
        <v>0.0571647761521179</v>
      </c>
      <c r="BU481" s="660"/>
      <c r="BV481" s="660"/>
      <c r="BW481" s="660"/>
      <c r="BX481" s="568">
        <v>0.5</v>
      </c>
      <c r="BY481" s="568"/>
      <c r="BZ481" s="568"/>
      <c r="CA481" s="660">
        <v>0.0342988656912708</v>
      </c>
      <c r="CB481" s="660"/>
      <c r="CC481" s="660"/>
      <c r="CD481" s="660"/>
      <c r="CE481" s="568">
        <v>0.3</v>
      </c>
      <c r="CF481" s="568"/>
      <c r="CG481" s="568"/>
      <c r="CH481" s="660" t="s">
        <v>932</v>
      </c>
      <c r="CI481" s="660"/>
      <c r="CJ481" s="660"/>
      <c r="CK481" s="660"/>
      <c r="CL481" s="568" t="s">
        <v>932</v>
      </c>
      <c r="CM481" s="568"/>
      <c r="CN481" s="568"/>
    </row>
    <row r="482" hidden="1" customHeight="1" spans="1:92">
      <c r="A482" s="612"/>
      <c r="B482" s="612"/>
      <c r="C482" s="518"/>
      <c r="D482" s="518"/>
      <c r="E482" s="518"/>
      <c r="F482" s="657"/>
      <c r="G482" s="657"/>
      <c r="H482" s="657"/>
      <c r="I482" s="519"/>
      <c r="J482" s="519"/>
      <c r="K482" s="519"/>
      <c r="L482" s="519"/>
      <c r="M482" s="519"/>
      <c r="N482" s="519"/>
      <c r="O482" s="519"/>
      <c r="P482" s="519"/>
      <c r="Q482" s="519"/>
      <c r="R482" s="519"/>
      <c r="S482" s="519"/>
      <c r="T482" s="519"/>
      <c r="U482" s="519"/>
      <c r="V482" s="519"/>
      <c r="W482" s="519"/>
      <c r="X482" s="519"/>
      <c r="Y482" s="519"/>
      <c r="Z482" s="519"/>
      <c r="AA482" s="519"/>
      <c r="AB482" s="526"/>
      <c r="AC482" s="526"/>
      <c r="AD482" s="661"/>
      <c r="AE482" s="661"/>
      <c r="AF482" s="661"/>
      <c r="AG482" s="526">
        <v>0</v>
      </c>
      <c r="AH482" s="526"/>
      <c r="AI482" s="659" t="e">
        <v>#N/A</v>
      </c>
      <c r="AJ482" s="659"/>
      <c r="AK482" s="659"/>
      <c r="AL482" s="659"/>
      <c r="AM482" s="659"/>
      <c r="AN482" s="659"/>
      <c r="AO482" s="659"/>
      <c r="AP482" s="659"/>
      <c r="AQ482" s="659"/>
      <c r="AR482" s="659"/>
      <c r="AS482" s="659"/>
      <c r="AT482" s="659"/>
      <c r="AU482" s="659"/>
      <c r="AV482" s="659"/>
      <c r="AW482" s="658">
        <v>0</v>
      </c>
      <c r="AX482" s="658"/>
      <c r="AY482" s="658"/>
      <c r="AZ482" s="658"/>
      <c r="BA482" s="658"/>
      <c r="BB482" s="658"/>
      <c r="BC482" s="658">
        <v>0</v>
      </c>
      <c r="BD482" s="658"/>
      <c r="BE482" s="658"/>
      <c r="BF482" s="658">
        <v>182.49</v>
      </c>
      <c r="BG482" s="658"/>
      <c r="BH482" s="658"/>
      <c r="BI482" s="567">
        <v>0</v>
      </c>
      <c r="BJ482" s="567"/>
      <c r="BK482" s="567"/>
      <c r="BL482" s="567"/>
      <c r="BM482" s="660" t="s">
        <v>932</v>
      </c>
      <c r="BN482" s="660"/>
      <c r="BO482" s="660"/>
      <c r="BP482" s="660"/>
      <c r="BQ482" s="568">
        <v>0.2</v>
      </c>
      <c r="BR482" s="568"/>
      <c r="BS482" s="568"/>
      <c r="BT482" s="660" t="s">
        <v>932</v>
      </c>
      <c r="BU482" s="660"/>
      <c r="BV482" s="660"/>
      <c r="BW482" s="660"/>
      <c r="BX482" s="568">
        <v>0.5</v>
      </c>
      <c r="BY482" s="568"/>
      <c r="BZ482" s="568"/>
      <c r="CA482" s="660" t="s">
        <v>932</v>
      </c>
      <c r="CB482" s="660"/>
      <c r="CC482" s="660"/>
      <c r="CD482" s="660"/>
      <c r="CE482" s="568">
        <v>0.3</v>
      </c>
      <c r="CF482" s="568"/>
      <c r="CG482" s="568"/>
      <c r="CH482" s="660" t="s">
        <v>932</v>
      </c>
      <c r="CI482" s="660"/>
      <c r="CJ482" s="660"/>
      <c r="CK482" s="660"/>
      <c r="CL482" s="568" t="s">
        <v>932</v>
      </c>
      <c r="CM482" s="568"/>
      <c r="CN482" s="568"/>
    </row>
    <row r="483" hidden="1" customHeight="1" spans="1:92">
      <c r="A483" s="612"/>
      <c r="B483" s="612"/>
      <c r="C483" s="518"/>
      <c r="D483" s="518"/>
      <c r="E483" s="518"/>
      <c r="F483" s="657"/>
      <c r="G483" s="657"/>
      <c r="H483" s="657"/>
      <c r="I483" s="519"/>
      <c r="J483" s="519"/>
      <c r="K483" s="519"/>
      <c r="L483" s="519"/>
      <c r="M483" s="519"/>
      <c r="N483" s="519"/>
      <c r="O483" s="519"/>
      <c r="P483" s="519"/>
      <c r="Q483" s="519"/>
      <c r="R483" s="519"/>
      <c r="S483" s="519"/>
      <c r="T483" s="519"/>
      <c r="U483" s="519"/>
      <c r="V483" s="519"/>
      <c r="W483" s="519"/>
      <c r="X483" s="519"/>
      <c r="Y483" s="519"/>
      <c r="Z483" s="519"/>
      <c r="AA483" s="519"/>
      <c r="AB483" s="526"/>
      <c r="AC483" s="526"/>
      <c r="AD483" s="661"/>
      <c r="AE483" s="661"/>
      <c r="AF483" s="661"/>
      <c r="AG483" s="526">
        <v>0</v>
      </c>
      <c r="AH483" s="526"/>
      <c r="AI483" s="659" t="e">
        <v>#N/A</v>
      </c>
      <c r="AJ483" s="659"/>
      <c r="AK483" s="659"/>
      <c r="AL483" s="659"/>
      <c r="AM483" s="659"/>
      <c r="AN483" s="659"/>
      <c r="AO483" s="659"/>
      <c r="AP483" s="659"/>
      <c r="AQ483" s="659"/>
      <c r="AR483" s="659"/>
      <c r="AS483" s="659"/>
      <c r="AT483" s="659"/>
      <c r="AU483" s="659"/>
      <c r="AV483" s="659"/>
      <c r="AW483" s="658">
        <v>0</v>
      </c>
      <c r="AX483" s="658"/>
      <c r="AY483" s="658"/>
      <c r="AZ483" s="658"/>
      <c r="BA483" s="658"/>
      <c r="BB483" s="658"/>
      <c r="BC483" s="658">
        <v>0</v>
      </c>
      <c r="BD483" s="658"/>
      <c r="BE483" s="658"/>
      <c r="BF483" s="658">
        <v>182.49</v>
      </c>
      <c r="BG483" s="658"/>
      <c r="BH483" s="658"/>
      <c r="BI483" s="567">
        <v>0</v>
      </c>
      <c r="BJ483" s="567"/>
      <c r="BK483" s="567"/>
      <c r="BL483" s="567"/>
      <c r="BM483" s="660" t="s">
        <v>932</v>
      </c>
      <c r="BN483" s="660"/>
      <c r="BO483" s="660"/>
      <c r="BP483" s="660"/>
      <c r="BQ483" s="568">
        <v>0.2</v>
      </c>
      <c r="BR483" s="568"/>
      <c r="BS483" s="568"/>
      <c r="BT483" s="660" t="s">
        <v>932</v>
      </c>
      <c r="BU483" s="660"/>
      <c r="BV483" s="660"/>
      <c r="BW483" s="660"/>
      <c r="BX483" s="568">
        <v>0.5</v>
      </c>
      <c r="BY483" s="568"/>
      <c r="BZ483" s="568"/>
      <c r="CA483" s="660" t="s">
        <v>932</v>
      </c>
      <c r="CB483" s="660"/>
      <c r="CC483" s="660"/>
      <c r="CD483" s="660"/>
      <c r="CE483" s="568">
        <v>0.3</v>
      </c>
      <c r="CF483" s="568"/>
      <c r="CG483" s="568"/>
      <c r="CH483" s="660" t="s">
        <v>932</v>
      </c>
      <c r="CI483" s="660"/>
      <c r="CJ483" s="660"/>
      <c r="CK483" s="660"/>
      <c r="CL483" s="568" t="s">
        <v>932</v>
      </c>
      <c r="CM483" s="568"/>
      <c r="CN483" s="568"/>
    </row>
    <row r="484" hidden="1" customHeight="1" spans="1:92">
      <c r="A484" s="612"/>
      <c r="B484" s="612"/>
      <c r="C484" s="518"/>
      <c r="D484" s="518"/>
      <c r="E484" s="518"/>
      <c r="F484" s="657"/>
      <c r="G484" s="657"/>
      <c r="H484" s="657"/>
      <c r="I484" s="519"/>
      <c r="J484" s="519"/>
      <c r="K484" s="519"/>
      <c r="L484" s="519"/>
      <c r="M484" s="519"/>
      <c r="N484" s="519"/>
      <c r="O484" s="519"/>
      <c r="P484" s="519"/>
      <c r="Q484" s="519"/>
      <c r="R484" s="519"/>
      <c r="S484" s="519"/>
      <c r="T484" s="519"/>
      <c r="U484" s="519"/>
      <c r="V484" s="519"/>
      <c r="W484" s="519"/>
      <c r="X484" s="519"/>
      <c r="Y484" s="519"/>
      <c r="Z484" s="519"/>
      <c r="AA484" s="519"/>
      <c r="AB484" s="526"/>
      <c r="AC484" s="526"/>
      <c r="AD484" s="661"/>
      <c r="AE484" s="661"/>
      <c r="AF484" s="661"/>
      <c r="AG484" s="526">
        <v>0</v>
      </c>
      <c r="AH484" s="526"/>
      <c r="AI484" s="659" t="e">
        <v>#N/A</v>
      </c>
      <c r="AJ484" s="659"/>
      <c r="AK484" s="659"/>
      <c r="AL484" s="659"/>
      <c r="AM484" s="659"/>
      <c r="AN484" s="659"/>
      <c r="AO484" s="659"/>
      <c r="AP484" s="659"/>
      <c r="AQ484" s="659"/>
      <c r="AR484" s="659"/>
      <c r="AS484" s="659"/>
      <c r="AT484" s="659"/>
      <c r="AU484" s="659"/>
      <c r="AV484" s="659"/>
      <c r="AW484" s="658">
        <v>0</v>
      </c>
      <c r="AX484" s="658"/>
      <c r="AY484" s="658"/>
      <c r="AZ484" s="658"/>
      <c r="BA484" s="658"/>
      <c r="BB484" s="658"/>
      <c r="BC484" s="658">
        <v>0</v>
      </c>
      <c r="BD484" s="658"/>
      <c r="BE484" s="658"/>
      <c r="BF484" s="658">
        <v>182.49</v>
      </c>
      <c r="BG484" s="658"/>
      <c r="BH484" s="658"/>
      <c r="BI484" s="567">
        <v>0</v>
      </c>
      <c r="BJ484" s="567"/>
      <c r="BK484" s="567"/>
      <c r="BL484" s="567"/>
      <c r="BM484" s="660" t="s">
        <v>932</v>
      </c>
      <c r="BN484" s="660"/>
      <c r="BO484" s="660"/>
      <c r="BP484" s="660"/>
      <c r="BQ484" s="568">
        <v>0.2</v>
      </c>
      <c r="BR484" s="568"/>
      <c r="BS484" s="568"/>
      <c r="BT484" s="660" t="s">
        <v>932</v>
      </c>
      <c r="BU484" s="660"/>
      <c r="BV484" s="660"/>
      <c r="BW484" s="660"/>
      <c r="BX484" s="568">
        <v>0.5</v>
      </c>
      <c r="BY484" s="568"/>
      <c r="BZ484" s="568"/>
      <c r="CA484" s="660" t="s">
        <v>932</v>
      </c>
      <c r="CB484" s="660"/>
      <c r="CC484" s="660"/>
      <c r="CD484" s="660"/>
      <c r="CE484" s="568">
        <v>0.3</v>
      </c>
      <c r="CF484" s="568"/>
      <c r="CG484" s="568"/>
      <c r="CH484" s="660" t="s">
        <v>932</v>
      </c>
      <c r="CI484" s="660"/>
      <c r="CJ484" s="660"/>
      <c r="CK484" s="660"/>
      <c r="CL484" s="568" t="s">
        <v>932</v>
      </c>
      <c r="CM484" s="568"/>
      <c r="CN484" s="568"/>
    </row>
    <row r="485" hidden="1" customHeight="1" spans="1:92">
      <c r="A485" s="612"/>
      <c r="B485" s="612"/>
      <c r="C485" s="518"/>
      <c r="D485" s="518"/>
      <c r="E485" s="518"/>
      <c r="F485" s="657"/>
      <c r="G485" s="657"/>
      <c r="H485" s="657"/>
      <c r="I485" s="519"/>
      <c r="J485" s="519"/>
      <c r="K485" s="519"/>
      <c r="L485" s="519"/>
      <c r="M485" s="519"/>
      <c r="N485" s="519"/>
      <c r="O485" s="519"/>
      <c r="P485" s="519"/>
      <c r="Q485" s="519"/>
      <c r="R485" s="519"/>
      <c r="S485" s="519"/>
      <c r="T485" s="519"/>
      <c r="U485" s="519"/>
      <c r="V485" s="519"/>
      <c r="W485" s="519"/>
      <c r="X485" s="519"/>
      <c r="Y485" s="519"/>
      <c r="Z485" s="519"/>
      <c r="AA485" s="519"/>
      <c r="AB485" s="526"/>
      <c r="AC485" s="526"/>
      <c r="AD485" s="661"/>
      <c r="AE485" s="661"/>
      <c r="AF485" s="661"/>
      <c r="AG485" s="526">
        <v>0</v>
      </c>
      <c r="AH485" s="526"/>
      <c r="AI485" s="659" t="e">
        <v>#N/A</v>
      </c>
      <c r="AJ485" s="659"/>
      <c r="AK485" s="659"/>
      <c r="AL485" s="659"/>
      <c r="AM485" s="659"/>
      <c r="AN485" s="659"/>
      <c r="AO485" s="659"/>
      <c r="AP485" s="659"/>
      <c r="AQ485" s="659"/>
      <c r="AR485" s="659"/>
      <c r="AS485" s="659"/>
      <c r="AT485" s="659"/>
      <c r="AU485" s="659"/>
      <c r="AV485" s="659"/>
      <c r="AW485" s="658">
        <v>0</v>
      </c>
      <c r="AX485" s="658"/>
      <c r="AY485" s="658"/>
      <c r="AZ485" s="658"/>
      <c r="BA485" s="658"/>
      <c r="BB485" s="658"/>
      <c r="BC485" s="658">
        <v>0</v>
      </c>
      <c r="BD485" s="658"/>
      <c r="BE485" s="658"/>
      <c r="BF485" s="658">
        <v>182.49</v>
      </c>
      <c r="BG485" s="658"/>
      <c r="BH485" s="658"/>
      <c r="BI485" s="567">
        <v>0</v>
      </c>
      <c r="BJ485" s="567"/>
      <c r="BK485" s="567"/>
      <c r="BL485" s="567"/>
      <c r="BM485" s="660" t="s">
        <v>932</v>
      </c>
      <c r="BN485" s="660"/>
      <c r="BO485" s="660"/>
      <c r="BP485" s="660"/>
      <c r="BQ485" s="568">
        <v>0.2</v>
      </c>
      <c r="BR485" s="568"/>
      <c r="BS485" s="568"/>
      <c r="BT485" s="660" t="s">
        <v>932</v>
      </c>
      <c r="BU485" s="660"/>
      <c r="BV485" s="660"/>
      <c r="BW485" s="660"/>
      <c r="BX485" s="568">
        <v>0.5</v>
      </c>
      <c r="BY485" s="568"/>
      <c r="BZ485" s="568"/>
      <c r="CA485" s="660" t="s">
        <v>932</v>
      </c>
      <c r="CB485" s="660"/>
      <c r="CC485" s="660"/>
      <c r="CD485" s="660"/>
      <c r="CE485" s="568">
        <v>0.3</v>
      </c>
      <c r="CF485" s="568"/>
      <c r="CG485" s="568"/>
      <c r="CH485" s="660" t="s">
        <v>932</v>
      </c>
      <c r="CI485" s="660"/>
      <c r="CJ485" s="660"/>
      <c r="CK485" s="660"/>
      <c r="CL485" s="568" t="s">
        <v>932</v>
      </c>
      <c r="CM485" s="568"/>
      <c r="CN485" s="568"/>
    </row>
    <row r="486" hidden="1" customHeight="1" spans="1:92">
      <c r="A486" s="612"/>
      <c r="B486" s="612"/>
      <c r="C486" s="518"/>
      <c r="D486" s="518"/>
      <c r="E486" s="518"/>
      <c r="F486" s="657"/>
      <c r="G486" s="657"/>
      <c r="H486" s="657"/>
      <c r="I486" s="519"/>
      <c r="J486" s="519"/>
      <c r="K486" s="519"/>
      <c r="L486" s="519"/>
      <c r="M486" s="519"/>
      <c r="N486" s="519"/>
      <c r="O486" s="519"/>
      <c r="P486" s="519"/>
      <c r="Q486" s="519"/>
      <c r="R486" s="519"/>
      <c r="S486" s="519"/>
      <c r="T486" s="519"/>
      <c r="U486" s="519"/>
      <c r="V486" s="519"/>
      <c r="W486" s="519"/>
      <c r="X486" s="519"/>
      <c r="Y486" s="519"/>
      <c r="Z486" s="519"/>
      <c r="AA486" s="519"/>
      <c r="AB486" s="526"/>
      <c r="AC486" s="526"/>
      <c r="AD486" s="661"/>
      <c r="AE486" s="661"/>
      <c r="AF486" s="661"/>
      <c r="AG486" s="526">
        <v>0</v>
      </c>
      <c r="AH486" s="526"/>
      <c r="AI486" s="659" t="e">
        <v>#N/A</v>
      </c>
      <c r="AJ486" s="659"/>
      <c r="AK486" s="659"/>
      <c r="AL486" s="659"/>
      <c r="AM486" s="659"/>
      <c r="AN486" s="659"/>
      <c r="AO486" s="659"/>
      <c r="AP486" s="659"/>
      <c r="AQ486" s="659"/>
      <c r="AR486" s="659"/>
      <c r="AS486" s="659"/>
      <c r="AT486" s="659"/>
      <c r="AU486" s="659"/>
      <c r="AV486" s="659"/>
      <c r="AW486" s="658">
        <v>0</v>
      </c>
      <c r="AX486" s="658"/>
      <c r="AY486" s="658"/>
      <c r="AZ486" s="658"/>
      <c r="BA486" s="658"/>
      <c r="BB486" s="658"/>
      <c r="BC486" s="658">
        <v>0</v>
      </c>
      <c r="BD486" s="658"/>
      <c r="BE486" s="658"/>
      <c r="BF486" s="658">
        <v>182.49</v>
      </c>
      <c r="BG486" s="658"/>
      <c r="BH486" s="658"/>
      <c r="BI486" s="567">
        <v>0</v>
      </c>
      <c r="BJ486" s="567"/>
      <c r="BK486" s="567"/>
      <c r="BL486" s="567"/>
      <c r="BM486" s="660" t="s">
        <v>932</v>
      </c>
      <c r="BN486" s="660"/>
      <c r="BO486" s="660"/>
      <c r="BP486" s="660"/>
      <c r="BQ486" s="568">
        <v>0.2</v>
      </c>
      <c r="BR486" s="568"/>
      <c r="BS486" s="568"/>
      <c r="BT486" s="660" t="s">
        <v>932</v>
      </c>
      <c r="BU486" s="660"/>
      <c r="BV486" s="660"/>
      <c r="BW486" s="660"/>
      <c r="BX486" s="568">
        <v>0.5</v>
      </c>
      <c r="BY486" s="568"/>
      <c r="BZ486" s="568"/>
      <c r="CA486" s="660" t="s">
        <v>932</v>
      </c>
      <c r="CB486" s="660"/>
      <c r="CC486" s="660"/>
      <c r="CD486" s="660"/>
      <c r="CE486" s="568">
        <v>0.3</v>
      </c>
      <c r="CF486" s="568"/>
      <c r="CG486" s="568"/>
      <c r="CH486" s="660" t="s">
        <v>932</v>
      </c>
      <c r="CI486" s="660"/>
      <c r="CJ486" s="660"/>
      <c r="CK486" s="660"/>
      <c r="CL486" s="568" t="s">
        <v>932</v>
      </c>
      <c r="CM486" s="568"/>
      <c r="CN486" s="568"/>
    </row>
    <row r="487" hidden="1" customHeight="1" spans="1:92">
      <c r="A487" s="612"/>
      <c r="B487" s="612"/>
      <c r="C487" s="518"/>
      <c r="D487" s="518"/>
      <c r="E487" s="518"/>
      <c r="F487" s="657"/>
      <c r="G487" s="657"/>
      <c r="H487" s="657"/>
      <c r="I487" s="519"/>
      <c r="J487" s="519"/>
      <c r="K487" s="519"/>
      <c r="L487" s="519"/>
      <c r="M487" s="519"/>
      <c r="N487" s="519"/>
      <c r="O487" s="519"/>
      <c r="P487" s="519"/>
      <c r="Q487" s="519"/>
      <c r="R487" s="519"/>
      <c r="S487" s="519"/>
      <c r="T487" s="519"/>
      <c r="U487" s="519"/>
      <c r="V487" s="519"/>
      <c r="W487" s="519"/>
      <c r="X487" s="519"/>
      <c r="Y487" s="519"/>
      <c r="Z487" s="519"/>
      <c r="AA487" s="519"/>
      <c r="AB487" s="526"/>
      <c r="AC487" s="526"/>
      <c r="AD487" s="661"/>
      <c r="AE487" s="661"/>
      <c r="AF487" s="661"/>
      <c r="AG487" s="526">
        <v>0</v>
      </c>
      <c r="AH487" s="526"/>
      <c r="AI487" s="659" t="e">
        <v>#N/A</v>
      </c>
      <c r="AJ487" s="659"/>
      <c r="AK487" s="659"/>
      <c r="AL487" s="659"/>
      <c r="AM487" s="659"/>
      <c r="AN487" s="659"/>
      <c r="AO487" s="659"/>
      <c r="AP487" s="659"/>
      <c r="AQ487" s="659"/>
      <c r="AR487" s="659"/>
      <c r="AS487" s="659"/>
      <c r="AT487" s="659"/>
      <c r="AU487" s="659"/>
      <c r="AV487" s="659"/>
      <c r="AW487" s="658">
        <v>0</v>
      </c>
      <c r="AX487" s="658"/>
      <c r="AY487" s="658"/>
      <c r="AZ487" s="658"/>
      <c r="BA487" s="658"/>
      <c r="BB487" s="658"/>
      <c r="BC487" s="658">
        <v>0</v>
      </c>
      <c r="BD487" s="658"/>
      <c r="BE487" s="658"/>
      <c r="BF487" s="658">
        <v>182.49</v>
      </c>
      <c r="BG487" s="658"/>
      <c r="BH487" s="658"/>
      <c r="BI487" s="567">
        <v>0</v>
      </c>
      <c r="BJ487" s="567"/>
      <c r="BK487" s="567"/>
      <c r="BL487" s="567"/>
      <c r="BM487" s="660" t="s">
        <v>932</v>
      </c>
      <c r="BN487" s="660"/>
      <c r="BO487" s="660"/>
      <c r="BP487" s="660"/>
      <c r="BQ487" s="568">
        <v>0.2</v>
      </c>
      <c r="BR487" s="568"/>
      <c r="BS487" s="568"/>
      <c r="BT487" s="660" t="s">
        <v>932</v>
      </c>
      <c r="BU487" s="660"/>
      <c r="BV487" s="660"/>
      <c r="BW487" s="660"/>
      <c r="BX487" s="568">
        <v>0.5</v>
      </c>
      <c r="BY487" s="568"/>
      <c r="BZ487" s="568"/>
      <c r="CA487" s="660" t="s">
        <v>932</v>
      </c>
      <c r="CB487" s="660"/>
      <c r="CC487" s="660"/>
      <c r="CD487" s="660"/>
      <c r="CE487" s="568">
        <v>0.3</v>
      </c>
      <c r="CF487" s="568"/>
      <c r="CG487" s="568"/>
      <c r="CH487" s="660" t="s">
        <v>932</v>
      </c>
      <c r="CI487" s="660"/>
      <c r="CJ487" s="660"/>
      <c r="CK487" s="660"/>
      <c r="CL487" s="568" t="s">
        <v>932</v>
      </c>
      <c r="CM487" s="568"/>
      <c r="CN487" s="568"/>
    </row>
    <row r="488" customHeight="1" spans="1:92">
      <c r="A488" s="612" t="s">
        <v>1001</v>
      </c>
      <c r="B488" s="612"/>
      <c r="C488" s="518"/>
      <c r="D488" s="518"/>
      <c r="E488" s="518"/>
      <c r="F488" s="657">
        <v>4507956</v>
      </c>
      <c r="G488" s="657"/>
      <c r="H488" s="657"/>
      <c r="I488" s="519" t="s">
        <v>130</v>
      </c>
      <c r="J488" s="519"/>
      <c r="K488" s="519"/>
      <c r="L488" s="519"/>
      <c r="M488" s="519"/>
      <c r="N488" s="519"/>
      <c r="O488" s="519"/>
      <c r="P488" s="519"/>
      <c r="Q488" s="519"/>
      <c r="R488" s="519"/>
      <c r="S488" s="519"/>
      <c r="T488" s="519"/>
      <c r="U488" s="519"/>
      <c r="V488" s="519"/>
      <c r="W488" s="519"/>
      <c r="X488" s="519"/>
      <c r="Y488" s="519"/>
      <c r="Z488" s="519"/>
      <c r="AA488" s="519"/>
      <c r="AB488" s="526" t="s">
        <v>101</v>
      </c>
      <c r="AC488" s="526"/>
      <c r="AD488" s="661">
        <v>50.48</v>
      </c>
      <c r="AE488" s="661"/>
      <c r="AF488" s="661"/>
      <c r="AG488" s="526" t="s">
        <v>937</v>
      </c>
      <c r="AH488" s="526"/>
      <c r="AI488" s="659" t="s">
        <v>938</v>
      </c>
      <c r="AJ488" s="659"/>
      <c r="AK488" s="659"/>
      <c r="AL488" s="659"/>
      <c r="AM488" s="659"/>
      <c r="AN488" s="659"/>
      <c r="AO488" s="659"/>
      <c r="AP488" s="659"/>
      <c r="AQ488" s="659"/>
      <c r="AR488" s="659"/>
      <c r="AS488" s="659"/>
      <c r="AT488" s="659"/>
      <c r="AU488" s="659"/>
      <c r="AV488" s="659"/>
      <c r="AW488" s="658">
        <v>10</v>
      </c>
      <c r="AX488" s="658"/>
      <c r="AY488" s="658"/>
      <c r="AZ488" s="658">
        <v>784.86</v>
      </c>
      <c r="BA488" s="658"/>
      <c r="BB488" s="658"/>
      <c r="BC488" s="658">
        <v>0.643172030680631</v>
      </c>
      <c r="BD488" s="658"/>
      <c r="BE488" s="658"/>
      <c r="BF488" s="658">
        <v>182.49</v>
      </c>
      <c r="BG488" s="658"/>
      <c r="BH488" s="658"/>
      <c r="BI488" s="567">
        <v>0.00352442342419108</v>
      </c>
      <c r="BJ488" s="567"/>
      <c r="BK488" s="567"/>
      <c r="BL488" s="567"/>
      <c r="BM488" s="660">
        <v>0.000704884684838217</v>
      </c>
      <c r="BN488" s="660"/>
      <c r="BO488" s="660"/>
      <c r="BP488" s="660"/>
      <c r="BQ488" s="568">
        <v>0.2</v>
      </c>
      <c r="BR488" s="568"/>
      <c r="BS488" s="568"/>
      <c r="BT488" s="660">
        <v>0.00176221171209554</v>
      </c>
      <c r="BU488" s="660"/>
      <c r="BV488" s="660"/>
      <c r="BW488" s="660"/>
      <c r="BX488" s="568">
        <v>0.5</v>
      </c>
      <c r="BY488" s="568"/>
      <c r="BZ488" s="568"/>
      <c r="CA488" s="660">
        <v>0.00105732702725733</v>
      </c>
      <c r="CB488" s="660"/>
      <c r="CC488" s="660"/>
      <c r="CD488" s="660"/>
      <c r="CE488" s="568">
        <v>0.3</v>
      </c>
      <c r="CF488" s="568"/>
      <c r="CG488" s="568"/>
      <c r="CH488" s="660" t="s">
        <v>932</v>
      </c>
      <c r="CI488" s="660"/>
      <c r="CJ488" s="660"/>
      <c r="CK488" s="660"/>
      <c r="CL488" s="568" t="s">
        <v>932</v>
      </c>
      <c r="CM488" s="568"/>
      <c r="CN488" s="568"/>
    </row>
    <row r="489" customHeight="1" spans="1:92">
      <c r="A489" s="612"/>
      <c r="B489" s="612"/>
      <c r="C489" s="518"/>
      <c r="D489" s="518"/>
      <c r="E489" s="518"/>
      <c r="F489" s="657"/>
      <c r="G489" s="657"/>
      <c r="H489" s="657"/>
      <c r="I489" s="519"/>
      <c r="J489" s="519"/>
      <c r="K489" s="519"/>
      <c r="L489" s="519"/>
      <c r="M489" s="519"/>
      <c r="N489" s="519"/>
      <c r="O489" s="519"/>
      <c r="P489" s="519"/>
      <c r="Q489" s="519"/>
      <c r="R489" s="519"/>
      <c r="S489" s="519"/>
      <c r="T489" s="519"/>
      <c r="U489" s="519"/>
      <c r="V489" s="519"/>
      <c r="W489" s="519"/>
      <c r="X489" s="519"/>
      <c r="Y489" s="519"/>
      <c r="Z489" s="519"/>
      <c r="AA489" s="519"/>
      <c r="AB489" s="526"/>
      <c r="AC489" s="526"/>
      <c r="AD489" s="661"/>
      <c r="AE489" s="661"/>
      <c r="AF489" s="661"/>
      <c r="AG489" s="526" t="s">
        <v>939</v>
      </c>
      <c r="AH489" s="526"/>
      <c r="AI489" s="659" t="s">
        <v>940</v>
      </c>
      <c r="AJ489" s="659"/>
      <c r="AK489" s="659"/>
      <c r="AL489" s="659"/>
      <c r="AM489" s="659"/>
      <c r="AN489" s="659"/>
      <c r="AO489" s="659"/>
      <c r="AP489" s="659"/>
      <c r="AQ489" s="659"/>
      <c r="AR489" s="659"/>
      <c r="AS489" s="659"/>
      <c r="AT489" s="659"/>
      <c r="AU489" s="659"/>
      <c r="AV489" s="659"/>
      <c r="AW489" s="658">
        <v>1</v>
      </c>
      <c r="AX489" s="658"/>
      <c r="AY489" s="658"/>
      <c r="AZ489" s="658"/>
      <c r="BA489" s="658"/>
      <c r="BB489" s="658"/>
      <c r="BC489" s="658">
        <v>0.0643172030680631</v>
      </c>
      <c r="BD489" s="658"/>
      <c r="BE489" s="658"/>
      <c r="BF489" s="658">
        <v>182.49</v>
      </c>
      <c r="BG489" s="658"/>
      <c r="BH489" s="658"/>
      <c r="BI489" s="567">
        <v>0.000352442342419108</v>
      </c>
      <c r="BJ489" s="567"/>
      <c r="BK489" s="567"/>
      <c r="BL489" s="567"/>
      <c r="BM489" s="660">
        <v>7.04884684838217e-5</v>
      </c>
      <c r="BN489" s="660"/>
      <c r="BO489" s="660"/>
      <c r="BP489" s="660"/>
      <c r="BQ489" s="568">
        <v>0.2</v>
      </c>
      <c r="BR489" s="568"/>
      <c r="BS489" s="568"/>
      <c r="BT489" s="660">
        <v>0.000176221171209554</v>
      </c>
      <c r="BU489" s="660"/>
      <c r="BV489" s="660"/>
      <c r="BW489" s="660"/>
      <c r="BX489" s="568">
        <v>0.5</v>
      </c>
      <c r="BY489" s="568"/>
      <c r="BZ489" s="568"/>
      <c r="CA489" s="660">
        <v>0.000105732702725733</v>
      </c>
      <c r="CB489" s="660"/>
      <c r="CC489" s="660"/>
      <c r="CD489" s="660"/>
      <c r="CE489" s="568">
        <v>0.3</v>
      </c>
      <c r="CF489" s="568"/>
      <c r="CG489" s="568"/>
      <c r="CH489" s="660" t="s">
        <v>932</v>
      </c>
      <c r="CI489" s="660"/>
      <c r="CJ489" s="660"/>
      <c r="CK489" s="660"/>
      <c r="CL489" s="568" t="s">
        <v>932</v>
      </c>
      <c r="CM489" s="568"/>
      <c r="CN489" s="568"/>
    </row>
    <row r="490" hidden="1" customHeight="1" spans="1:92">
      <c r="A490" s="612"/>
      <c r="B490" s="612"/>
      <c r="C490" s="518"/>
      <c r="D490" s="518"/>
      <c r="E490" s="518"/>
      <c r="F490" s="657"/>
      <c r="G490" s="657"/>
      <c r="H490" s="657"/>
      <c r="I490" s="519"/>
      <c r="J490" s="519"/>
      <c r="K490" s="519"/>
      <c r="L490" s="519"/>
      <c r="M490" s="519"/>
      <c r="N490" s="519"/>
      <c r="O490" s="519"/>
      <c r="P490" s="519"/>
      <c r="Q490" s="519"/>
      <c r="R490" s="519"/>
      <c r="S490" s="519"/>
      <c r="T490" s="519"/>
      <c r="U490" s="519"/>
      <c r="V490" s="519"/>
      <c r="W490" s="519"/>
      <c r="X490" s="519"/>
      <c r="Y490" s="519"/>
      <c r="Z490" s="519"/>
      <c r="AA490" s="519"/>
      <c r="AB490" s="526"/>
      <c r="AC490" s="526"/>
      <c r="AD490" s="661"/>
      <c r="AE490" s="661"/>
      <c r="AF490" s="661"/>
      <c r="AG490" s="526">
        <v>0</v>
      </c>
      <c r="AH490" s="526"/>
      <c r="AI490" s="659" t="e">
        <v>#N/A</v>
      </c>
      <c r="AJ490" s="659"/>
      <c r="AK490" s="659"/>
      <c r="AL490" s="659"/>
      <c r="AM490" s="659"/>
      <c r="AN490" s="659"/>
      <c r="AO490" s="659"/>
      <c r="AP490" s="659"/>
      <c r="AQ490" s="659"/>
      <c r="AR490" s="659"/>
      <c r="AS490" s="659"/>
      <c r="AT490" s="659"/>
      <c r="AU490" s="659"/>
      <c r="AV490" s="659"/>
      <c r="AW490" s="658">
        <v>0</v>
      </c>
      <c r="AX490" s="658"/>
      <c r="AY490" s="658"/>
      <c r="AZ490" s="658"/>
      <c r="BA490" s="658"/>
      <c r="BB490" s="658"/>
      <c r="BC490" s="658">
        <v>0</v>
      </c>
      <c r="BD490" s="658"/>
      <c r="BE490" s="658"/>
      <c r="BF490" s="658">
        <v>182.49</v>
      </c>
      <c r="BG490" s="658"/>
      <c r="BH490" s="658"/>
      <c r="BI490" s="567">
        <v>0</v>
      </c>
      <c r="BJ490" s="567"/>
      <c r="BK490" s="567"/>
      <c r="BL490" s="567"/>
      <c r="BM490" s="660" t="s">
        <v>932</v>
      </c>
      <c r="BN490" s="660"/>
      <c r="BO490" s="660"/>
      <c r="BP490" s="660"/>
      <c r="BQ490" s="568">
        <v>0.2</v>
      </c>
      <c r="BR490" s="568"/>
      <c r="BS490" s="568"/>
      <c r="BT490" s="660" t="s">
        <v>932</v>
      </c>
      <c r="BU490" s="660"/>
      <c r="BV490" s="660"/>
      <c r="BW490" s="660"/>
      <c r="BX490" s="568">
        <v>0.5</v>
      </c>
      <c r="BY490" s="568"/>
      <c r="BZ490" s="568"/>
      <c r="CA490" s="660" t="s">
        <v>932</v>
      </c>
      <c r="CB490" s="660"/>
      <c r="CC490" s="660"/>
      <c r="CD490" s="660"/>
      <c r="CE490" s="568">
        <v>0.3</v>
      </c>
      <c r="CF490" s="568"/>
      <c r="CG490" s="568"/>
      <c r="CH490" s="660" t="s">
        <v>932</v>
      </c>
      <c r="CI490" s="660"/>
      <c r="CJ490" s="660"/>
      <c r="CK490" s="660"/>
      <c r="CL490" s="568" t="s">
        <v>932</v>
      </c>
      <c r="CM490" s="568"/>
      <c r="CN490" s="568"/>
    </row>
    <row r="491" hidden="1" customHeight="1" spans="1:92">
      <c r="A491" s="612"/>
      <c r="B491" s="612"/>
      <c r="C491" s="518"/>
      <c r="D491" s="518"/>
      <c r="E491" s="518"/>
      <c r="F491" s="657"/>
      <c r="G491" s="657"/>
      <c r="H491" s="657"/>
      <c r="I491" s="519"/>
      <c r="J491" s="519"/>
      <c r="K491" s="519"/>
      <c r="L491" s="519"/>
      <c r="M491" s="519"/>
      <c r="N491" s="519"/>
      <c r="O491" s="519"/>
      <c r="P491" s="519"/>
      <c r="Q491" s="519"/>
      <c r="R491" s="519"/>
      <c r="S491" s="519"/>
      <c r="T491" s="519"/>
      <c r="U491" s="519"/>
      <c r="V491" s="519"/>
      <c r="W491" s="519"/>
      <c r="X491" s="519"/>
      <c r="Y491" s="519"/>
      <c r="Z491" s="519"/>
      <c r="AA491" s="519"/>
      <c r="AB491" s="526"/>
      <c r="AC491" s="526"/>
      <c r="AD491" s="661"/>
      <c r="AE491" s="661"/>
      <c r="AF491" s="661"/>
      <c r="AG491" s="526">
        <v>0</v>
      </c>
      <c r="AH491" s="526"/>
      <c r="AI491" s="659" t="e">
        <v>#N/A</v>
      </c>
      <c r="AJ491" s="659"/>
      <c r="AK491" s="659"/>
      <c r="AL491" s="659"/>
      <c r="AM491" s="659"/>
      <c r="AN491" s="659"/>
      <c r="AO491" s="659"/>
      <c r="AP491" s="659"/>
      <c r="AQ491" s="659"/>
      <c r="AR491" s="659"/>
      <c r="AS491" s="659"/>
      <c r="AT491" s="659"/>
      <c r="AU491" s="659"/>
      <c r="AV491" s="659"/>
      <c r="AW491" s="658">
        <v>0</v>
      </c>
      <c r="AX491" s="658"/>
      <c r="AY491" s="658"/>
      <c r="AZ491" s="658"/>
      <c r="BA491" s="658"/>
      <c r="BB491" s="658"/>
      <c r="BC491" s="658">
        <v>0</v>
      </c>
      <c r="BD491" s="658"/>
      <c r="BE491" s="658"/>
      <c r="BF491" s="658">
        <v>182.49</v>
      </c>
      <c r="BG491" s="658"/>
      <c r="BH491" s="658"/>
      <c r="BI491" s="567">
        <v>0</v>
      </c>
      <c r="BJ491" s="567"/>
      <c r="BK491" s="567"/>
      <c r="BL491" s="567"/>
      <c r="BM491" s="660" t="s">
        <v>932</v>
      </c>
      <c r="BN491" s="660"/>
      <c r="BO491" s="660"/>
      <c r="BP491" s="660"/>
      <c r="BQ491" s="568">
        <v>0.2</v>
      </c>
      <c r="BR491" s="568"/>
      <c r="BS491" s="568"/>
      <c r="BT491" s="660" t="s">
        <v>932</v>
      </c>
      <c r="BU491" s="660"/>
      <c r="BV491" s="660"/>
      <c r="BW491" s="660"/>
      <c r="BX491" s="568">
        <v>0.5</v>
      </c>
      <c r="BY491" s="568"/>
      <c r="BZ491" s="568"/>
      <c r="CA491" s="660" t="s">
        <v>932</v>
      </c>
      <c r="CB491" s="660"/>
      <c r="CC491" s="660"/>
      <c r="CD491" s="660"/>
      <c r="CE491" s="568">
        <v>0.3</v>
      </c>
      <c r="CF491" s="568"/>
      <c r="CG491" s="568"/>
      <c r="CH491" s="660" t="s">
        <v>932</v>
      </c>
      <c r="CI491" s="660"/>
      <c r="CJ491" s="660"/>
      <c r="CK491" s="660"/>
      <c r="CL491" s="568" t="s">
        <v>932</v>
      </c>
      <c r="CM491" s="568"/>
      <c r="CN491" s="568"/>
    </row>
    <row r="492" hidden="1" customHeight="1" spans="1:92">
      <c r="A492" s="612"/>
      <c r="B492" s="612"/>
      <c r="C492" s="518"/>
      <c r="D492" s="518"/>
      <c r="E492" s="518"/>
      <c r="F492" s="657"/>
      <c r="G492" s="657"/>
      <c r="H492" s="657"/>
      <c r="I492" s="519"/>
      <c r="J492" s="519"/>
      <c r="K492" s="519"/>
      <c r="L492" s="519"/>
      <c r="M492" s="519"/>
      <c r="N492" s="519"/>
      <c r="O492" s="519"/>
      <c r="P492" s="519"/>
      <c r="Q492" s="519"/>
      <c r="R492" s="519"/>
      <c r="S492" s="519"/>
      <c r="T492" s="519"/>
      <c r="U492" s="519"/>
      <c r="V492" s="519"/>
      <c r="W492" s="519"/>
      <c r="X492" s="519"/>
      <c r="Y492" s="519"/>
      <c r="Z492" s="519"/>
      <c r="AA492" s="519"/>
      <c r="AB492" s="526"/>
      <c r="AC492" s="526"/>
      <c r="AD492" s="661"/>
      <c r="AE492" s="661"/>
      <c r="AF492" s="661"/>
      <c r="AG492" s="526">
        <v>0</v>
      </c>
      <c r="AH492" s="526"/>
      <c r="AI492" s="659" t="e">
        <v>#N/A</v>
      </c>
      <c r="AJ492" s="659"/>
      <c r="AK492" s="659"/>
      <c r="AL492" s="659"/>
      <c r="AM492" s="659"/>
      <c r="AN492" s="659"/>
      <c r="AO492" s="659"/>
      <c r="AP492" s="659"/>
      <c r="AQ492" s="659"/>
      <c r="AR492" s="659"/>
      <c r="AS492" s="659"/>
      <c r="AT492" s="659"/>
      <c r="AU492" s="659"/>
      <c r="AV492" s="659"/>
      <c r="AW492" s="658">
        <v>0</v>
      </c>
      <c r="AX492" s="658"/>
      <c r="AY492" s="658"/>
      <c r="AZ492" s="658"/>
      <c r="BA492" s="658"/>
      <c r="BB492" s="658"/>
      <c r="BC492" s="658">
        <v>0</v>
      </c>
      <c r="BD492" s="658"/>
      <c r="BE492" s="658"/>
      <c r="BF492" s="658">
        <v>182.49</v>
      </c>
      <c r="BG492" s="658"/>
      <c r="BH492" s="658"/>
      <c r="BI492" s="567">
        <v>0</v>
      </c>
      <c r="BJ492" s="567"/>
      <c r="BK492" s="567"/>
      <c r="BL492" s="567"/>
      <c r="BM492" s="660" t="s">
        <v>932</v>
      </c>
      <c r="BN492" s="660"/>
      <c r="BO492" s="660"/>
      <c r="BP492" s="660"/>
      <c r="BQ492" s="568">
        <v>0.2</v>
      </c>
      <c r="BR492" s="568"/>
      <c r="BS492" s="568"/>
      <c r="BT492" s="660" t="s">
        <v>932</v>
      </c>
      <c r="BU492" s="660"/>
      <c r="BV492" s="660"/>
      <c r="BW492" s="660"/>
      <c r="BX492" s="568">
        <v>0.5</v>
      </c>
      <c r="BY492" s="568"/>
      <c r="BZ492" s="568"/>
      <c r="CA492" s="660" t="s">
        <v>932</v>
      </c>
      <c r="CB492" s="660"/>
      <c r="CC492" s="660"/>
      <c r="CD492" s="660"/>
      <c r="CE492" s="568">
        <v>0.3</v>
      </c>
      <c r="CF492" s="568"/>
      <c r="CG492" s="568"/>
      <c r="CH492" s="660" t="s">
        <v>932</v>
      </c>
      <c r="CI492" s="660"/>
      <c r="CJ492" s="660"/>
      <c r="CK492" s="660"/>
      <c r="CL492" s="568" t="s">
        <v>932</v>
      </c>
      <c r="CM492" s="568"/>
      <c r="CN492" s="568"/>
    </row>
    <row r="493" hidden="1" customHeight="1" spans="1:92">
      <c r="A493" s="612"/>
      <c r="B493" s="612"/>
      <c r="C493" s="518"/>
      <c r="D493" s="518"/>
      <c r="E493" s="518"/>
      <c r="F493" s="657"/>
      <c r="G493" s="657"/>
      <c r="H493" s="657"/>
      <c r="I493" s="519"/>
      <c r="J493" s="519"/>
      <c r="K493" s="519"/>
      <c r="L493" s="519"/>
      <c r="M493" s="519"/>
      <c r="N493" s="519"/>
      <c r="O493" s="519"/>
      <c r="P493" s="519"/>
      <c r="Q493" s="519"/>
      <c r="R493" s="519"/>
      <c r="S493" s="519"/>
      <c r="T493" s="519"/>
      <c r="U493" s="519"/>
      <c r="V493" s="519"/>
      <c r="W493" s="519"/>
      <c r="X493" s="519"/>
      <c r="Y493" s="519"/>
      <c r="Z493" s="519"/>
      <c r="AA493" s="519"/>
      <c r="AB493" s="526"/>
      <c r="AC493" s="526"/>
      <c r="AD493" s="661"/>
      <c r="AE493" s="661"/>
      <c r="AF493" s="661"/>
      <c r="AG493" s="526">
        <v>0</v>
      </c>
      <c r="AH493" s="526"/>
      <c r="AI493" s="659" t="e">
        <v>#N/A</v>
      </c>
      <c r="AJ493" s="659"/>
      <c r="AK493" s="659"/>
      <c r="AL493" s="659"/>
      <c r="AM493" s="659"/>
      <c r="AN493" s="659"/>
      <c r="AO493" s="659"/>
      <c r="AP493" s="659"/>
      <c r="AQ493" s="659"/>
      <c r="AR493" s="659"/>
      <c r="AS493" s="659"/>
      <c r="AT493" s="659"/>
      <c r="AU493" s="659"/>
      <c r="AV493" s="659"/>
      <c r="AW493" s="658">
        <v>0</v>
      </c>
      <c r="AX493" s="658"/>
      <c r="AY493" s="658"/>
      <c r="AZ493" s="658"/>
      <c r="BA493" s="658"/>
      <c r="BB493" s="658"/>
      <c r="BC493" s="658">
        <v>0</v>
      </c>
      <c r="BD493" s="658"/>
      <c r="BE493" s="658"/>
      <c r="BF493" s="658">
        <v>182.49</v>
      </c>
      <c r="BG493" s="658"/>
      <c r="BH493" s="658"/>
      <c r="BI493" s="567">
        <v>0</v>
      </c>
      <c r="BJ493" s="567"/>
      <c r="BK493" s="567"/>
      <c r="BL493" s="567"/>
      <c r="BM493" s="660" t="s">
        <v>932</v>
      </c>
      <c r="BN493" s="660"/>
      <c r="BO493" s="660"/>
      <c r="BP493" s="660"/>
      <c r="BQ493" s="568">
        <v>0.2</v>
      </c>
      <c r="BR493" s="568"/>
      <c r="BS493" s="568"/>
      <c r="BT493" s="660" t="s">
        <v>932</v>
      </c>
      <c r="BU493" s="660"/>
      <c r="BV493" s="660"/>
      <c r="BW493" s="660"/>
      <c r="BX493" s="568">
        <v>0.5</v>
      </c>
      <c r="BY493" s="568"/>
      <c r="BZ493" s="568"/>
      <c r="CA493" s="660" t="s">
        <v>932</v>
      </c>
      <c r="CB493" s="660"/>
      <c r="CC493" s="660"/>
      <c r="CD493" s="660"/>
      <c r="CE493" s="568">
        <v>0.3</v>
      </c>
      <c r="CF493" s="568"/>
      <c r="CG493" s="568"/>
      <c r="CH493" s="660" t="s">
        <v>932</v>
      </c>
      <c r="CI493" s="660"/>
      <c r="CJ493" s="660"/>
      <c r="CK493" s="660"/>
      <c r="CL493" s="568" t="s">
        <v>932</v>
      </c>
      <c r="CM493" s="568"/>
      <c r="CN493" s="568"/>
    </row>
    <row r="494" hidden="1" customHeight="1" spans="1:92">
      <c r="A494" s="612"/>
      <c r="B494" s="612"/>
      <c r="C494" s="518"/>
      <c r="D494" s="518"/>
      <c r="E494" s="518"/>
      <c r="F494" s="657"/>
      <c r="G494" s="657"/>
      <c r="H494" s="657"/>
      <c r="I494" s="519"/>
      <c r="J494" s="519"/>
      <c r="K494" s="519"/>
      <c r="L494" s="519"/>
      <c r="M494" s="519"/>
      <c r="N494" s="519"/>
      <c r="O494" s="519"/>
      <c r="P494" s="519"/>
      <c r="Q494" s="519"/>
      <c r="R494" s="519"/>
      <c r="S494" s="519"/>
      <c r="T494" s="519"/>
      <c r="U494" s="519"/>
      <c r="V494" s="519"/>
      <c r="W494" s="519"/>
      <c r="X494" s="519"/>
      <c r="Y494" s="519"/>
      <c r="Z494" s="519"/>
      <c r="AA494" s="519"/>
      <c r="AB494" s="526"/>
      <c r="AC494" s="526"/>
      <c r="AD494" s="661"/>
      <c r="AE494" s="661"/>
      <c r="AF494" s="661"/>
      <c r="AG494" s="526">
        <v>0</v>
      </c>
      <c r="AH494" s="526"/>
      <c r="AI494" s="659" t="e">
        <v>#N/A</v>
      </c>
      <c r="AJ494" s="659"/>
      <c r="AK494" s="659"/>
      <c r="AL494" s="659"/>
      <c r="AM494" s="659"/>
      <c r="AN494" s="659"/>
      <c r="AO494" s="659"/>
      <c r="AP494" s="659"/>
      <c r="AQ494" s="659"/>
      <c r="AR494" s="659"/>
      <c r="AS494" s="659"/>
      <c r="AT494" s="659"/>
      <c r="AU494" s="659"/>
      <c r="AV494" s="659"/>
      <c r="AW494" s="658">
        <v>0</v>
      </c>
      <c r="AX494" s="658"/>
      <c r="AY494" s="658"/>
      <c r="AZ494" s="658"/>
      <c r="BA494" s="658"/>
      <c r="BB494" s="658"/>
      <c r="BC494" s="658">
        <v>0</v>
      </c>
      <c r="BD494" s="658"/>
      <c r="BE494" s="658"/>
      <c r="BF494" s="658">
        <v>182.49</v>
      </c>
      <c r="BG494" s="658"/>
      <c r="BH494" s="658"/>
      <c r="BI494" s="567">
        <v>0</v>
      </c>
      <c r="BJ494" s="567"/>
      <c r="BK494" s="567"/>
      <c r="BL494" s="567"/>
      <c r="BM494" s="660" t="s">
        <v>932</v>
      </c>
      <c r="BN494" s="660"/>
      <c r="BO494" s="660"/>
      <c r="BP494" s="660"/>
      <c r="BQ494" s="568">
        <v>0.2</v>
      </c>
      <c r="BR494" s="568"/>
      <c r="BS494" s="568"/>
      <c r="BT494" s="660" t="s">
        <v>932</v>
      </c>
      <c r="BU494" s="660"/>
      <c r="BV494" s="660"/>
      <c r="BW494" s="660"/>
      <c r="BX494" s="568">
        <v>0.5</v>
      </c>
      <c r="BY494" s="568"/>
      <c r="BZ494" s="568"/>
      <c r="CA494" s="660" t="s">
        <v>932</v>
      </c>
      <c r="CB494" s="660"/>
      <c r="CC494" s="660"/>
      <c r="CD494" s="660"/>
      <c r="CE494" s="568">
        <v>0.3</v>
      </c>
      <c r="CF494" s="568"/>
      <c r="CG494" s="568"/>
      <c r="CH494" s="660" t="s">
        <v>932</v>
      </c>
      <c r="CI494" s="660"/>
      <c r="CJ494" s="660"/>
      <c r="CK494" s="660"/>
      <c r="CL494" s="568" t="s">
        <v>932</v>
      </c>
      <c r="CM494" s="568"/>
      <c r="CN494" s="568"/>
    </row>
    <row r="495" hidden="1" customHeight="1" spans="1:92">
      <c r="A495" s="612"/>
      <c r="B495" s="612"/>
      <c r="C495" s="518"/>
      <c r="D495" s="518"/>
      <c r="E495" s="518"/>
      <c r="F495" s="657"/>
      <c r="G495" s="657"/>
      <c r="H495" s="657"/>
      <c r="I495" s="519"/>
      <c r="J495" s="519"/>
      <c r="K495" s="519"/>
      <c r="L495" s="519"/>
      <c r="M495" s="519"/>
      <c r="N495" s="519"/>
      <c r="O495" s="519"/>
      <c r="P495" s="519"/>
      <c r="Q495" s="519"/>
      <c r="R495" s="519"/>
      <c r="S495" s="519"/>
      <c r="T495" s="519"/>
      <c r="U495" s="519"/>
      <c r="V495" s="519"/>
      <c r="W495" s="519"/>
      <c r="X495" s="519"/>
      <c r="Y495" s="519"/>
      <c r="Z495" s="519"/>
      <c r="AA495" s="519"/>
      <c r="AB495" s="526"/>
      <c r="AC495" s="526"/>
      <c r="AD495" s="661"/>
      <c r="AE495" s="661"/>
      <c r="AF495" s="661"/>
      <c r="AG495" s="526">
        <v>0</v>
      </c>
      <c r="AH495" s="526"/>
      <c r="AI495" s="659" t="e">
        <v>#N/A</v>
      </c>
      <c r="AJ495" s="659"/>
      <c r="AK495" s="659"/>
      <c r="AL495" s="659"/>
      <c r="AM495" s="659"/>
      <c r="AN495" s="659"/>
      <c r="AO495" s="659"/>
      <c r="AP495" s="659"/>
      <c r="AQ495" s="659"/>
      <c r="AR495" s="659"/>
      <c r="AS495" s="659"/>
      <c r="AT495" s="659"/>
      <c r="AU495" s="659"/>
      <c r="AV495" s="659"/>
      <c r="AW495" s="658">
        <v>0</v>
      </c>
      <c r="AX495" s="658"/>
      <c r="AY495" s="658"/>
      <c r="AZ495" s="658"/>
      <c r="BA495" s="658"/>
      <c r="BB495" s="658"/>
      <c r="BC495" s="658">
        <v>0</v>
      </c>
      <c r="BD495" s="658"/>
      <c r="BE495" s="658"/>
      <c r="BF495" s="658">
        <v>182.49</v>
      </c>
      <c r="BG495" s="658"/>
      <c r="BH495" s="658"/>
      <c r="BI495" s="567">
        <v>0</v>
      </c>
      <c r="BJ495" s="567"/>
      <c r="BK495" s="567"/>
      <c r="BL495" s="567"/>
      <c r="BM495" s="660" t="s">
        <v>932</v>
      </c>
      <c r="BN495" s="660"/>
      <c r="BO495" s="660"/>
      <c r="BP495" s="660"/>
      <c r="BQ495" s="568">
        <v>0.2</v>
      </c>
      <c r="BR495" s="568"/>
      <c r="BS495" s="568"/>
      <c r="BT495" s="660" t="s">
        <v>932</v>
      </c>
      <c r="BU495" s="660"/>
      <c r="BV495" s="660"/>
      <c r="BW495" s="660"/>
      <c r="BX495" s="568">
        <v>0.5</v>
      </c>
      <c r="BY495" s="568"/>
      <c r="BZ495" s="568"/>
      <c r="CA495" s="660" t="s">
        <v>932</v>
      </c>
      <c r="CB495" s="660"/>
      <c r="CC495" s="660"/>
      <c r="CD495" s="660"/>
      <c r="CE495" s="568">
        <v>0.3</v>
      </c>
      <c r="CF495" s="568"/>
      <c r="CG495" s="568"/>
      <c r="CH495" s="660" t="s">
        <v>932</v>
      </c>
      <c r="CI495" s="660"/>
      <c r="CJ495" s="660"/>
      <c r="CK495" s="660"/>
      <c r="CL495" s="568" t="s">
        <v>932</v>
      </c>
      <c r="CM495" s="568"/>
      <c r="CN495" s="568"/>
    </row>
    <row r="496" customHeight="1" spans="1:92">
      <c r="A496" s="612" t="s">
        <v>1002</v>
      </c>
      <c r="B496" s="612"/>
      <c r="C496" s="518"/>
      <c r="D496" s="518"/>
      <c r="E496" s="518"/>
      <c r="F496" s="657">
        <v>3806420</v>
      </c>
      <c r="G496" s="657"/>
      <c r="H496" s="657"/>
      <c r="I496" s="519" t="s">
        <v>131</v>
      </c>
      <c r="J496" s="519"/>
      <c r="K496" s="519"/>
      <c r="L496" s="519"/>
      <c r="M496" s="519"/>
      <c r="N496" s="519"/>
      <c r="O496" s="519"/>
      <c r="P496" s="519"/>
      <c r="Q496" s="519"/>
      <c r="R496" s="519"/>
      <c r="S496" s="519"/>
      <c r="T496" s="519"/>
      <c r="U496" s="519"/>
      <c r="V496" s="519"/>
      <c r="W496" s="519"/>
      <c r="X496" s="519"/>
      <c r="Y496" s="519"/>
      <c r="Z496" s="519"/>
      <c r="AA496" s="519"/>
      <c r="AB496" s="526" t="s">
        <v>82</v>
      </c>
      <c r="AC496" s="526"/>
      <c r="AD496" s="661">
        <v>4</v>
      </c>
      <c r="AE496" s="661"/>
      <c r="AF496" s="661"/>
      <c r="AG496" s="526" t="s">
        <v>935</v>
      </c>
      <c r="AH496" s="526"/>
      <c r="AI496" s="659" t="s">
        <v>936</v>
      </c>
      <c r="AJ496" s="659"/>
      <c r="AK496" s="659"/>
      <c r="AL496" s="659"/>
      <c r="AM496" s="659"/>
      <c r="AN496" s="659"/>
      <c r="AO496" s="659"/>
      <c r="AP496" s="659"/>
      <c r="AQ496" s="659"/>
      <c r="AR496" s="659"/>
      <c r="AS496" s="659"/>
      <c r="AT496" s="659"/>
      <c r="AU496" s="659"/>
      <c r="AV496" s="659"/>
      <c r="AW496" s="658">
        <v>4</v>
      </c>
      <c r="AX496" s="658"/>
      <c r="AY496" s="658"/>
      <c r="AZ496" s="658">
        <v>1.18571</v>
      </c>
      <c r="BA496" s="658"/>
      <c r="BB496" s="658"/>
      <c r="BC496" s="658">
        <v>13.4940246771976</v>
      </c>
      <c r="BD496" s="658"/>
      <c r="BE496" s="658"/>
      <c r="BF496" s="658">
        <v>182.49</v>
      </c>
      <c r="BG496" s="658"/>
      <c r="BH496" s="658"/>
      <c r="BI496" s="567">
        <v>0.0739439129661769</v>
      </c>
      <c r="BJ496" s="567"/>
      <c r="BK496" s="567"/>
      <c r="BL496" s="567"/>
      <c r="BM496" s="660">
        <v>0.0147887825932354</v>
      </c>
      <c r="BN496" s="660"/>
      <c r="BO496" s="660"/>
      <c r="BP496" s="660"/>
      <c r="BQ496" s="568">
        <v>0.2</v>
      </c>
      <c r="BR496" s="568"/>
      <c r="BS496" s="568"/>
      <c r="BT496" s="660">
        <v>0.0369719564830885</v>
      </c>
      <c r="BU496" s="660"/>
      <c r="BV496" s="660"/>
      <c r="BW496" s="660"/>
      <c r="BX496" s="568">
        <v>0.5</v>
      </c>
      <c r="BY496" s="568"/>
      <c r="BZ496" s="568"/>
      <c r="CA496" s="660">
        <v>0.0221831738898531</v>
      </c>
      <c r="CB496" s="660"/>
      <c r="CC496" s="660"/>
      <c r="CD496" s="660"/>
      <c r="CE496" s="568">
        <v>0.3</v>
      </c>
      <c r="CF496" s="568"/>
      <c r="CG496" s="568"/>
      <c r="CH496" s="660" t="s">
        <v>932</v>
      </c>
      <c r="CI496" s="660"/>
      <c r="CJ496" s="660"/>
      <c r="CK496" s="660"/>
      <c r="CL496" s="568" t="s">
        <v>932</v>
      </c>
      <c r="CM496" s="568"/>
      <c r="CN496" s="568"/>
    </row>
    <row r="497" hidden="1" customHeight="1" spans="1:92">
      <c r="A497" s="612"/>
      <c r="B497" s="612"/>
      <c r="C497" s="518"/>
      <c r="D497" s="518"/>
      <c r="E497" s="518"/>
      <c r="F497" s="657"/>
      <c r="G497" s="657"/>
      <c r="H497" s="657"/>
      <c r="I497" s="519"/>
      <c r="J497" s="519"/>
      <c r="K497" s="519"/>
      <c r="L497" s="519"/>
      <c r="M497" s="519"/>
      <c r="N497" s="519"/>
      <c r="O497" s="519"/>
      <c r="P497" s="519"/>
      <c r="Q497" s="519"/>
      <c r="R497" s="519"/>
      <c r="S497" s="519"/>
      <c r="T497" s="519"/>
      <c r="U497" s="519"/>
      <c r="V497" s="519"/>
      <c r="W497" s="519"/>
      <c r="X497" s="519"/>
      <c r="Y497" s="519"/>
      <c r="Z497" s="519"/>
      <c r="AA497" s="519"/>
      <c r="AB497" s="526"/>
      <c r="AC497" s="526"/>
      <c r="AD497" s="661"/>
      <c r="AE497" s="661"/>
      <c r="AF497" s="661"/>
      <c r="AG497" s="526">
        <v>0</v>
      </c>
      <c r="AH497" s="526"/>
      <c r="AI497" s="659" t="e">
        <v>#N/A</v>
      </c>
      <c r="AJ497" s="659"/>
      <c r="AK497" s="659"/>
      <c r="AL497" s="659"/>
      <c r="AM497" s="659"/>
      <c r="AN497" s="659"/>
      <c r="AO497" s="659"/>
      <c r="AP497" s="659"/>
      <c r="AQ497" s="659"/>
      <c r="AR497" s="659"/>
      <c r="AS497" s="659"/>
      <c r="AT497" s="659"/>
      <c r="AU497" s="659"/>
      <c r="AV497" s="659"/>
      <c r="AW497" s="658">
        <v>0</v>
      </c>
      <c r="AX497" s="658"/>
      <c r="AY497" s="658"/>
      <c r="AZ497" s="658"/>
      <c r="BA497" s="658"/>
      <c r="BB497" s="658"/>
      <c r="BC497" s="658">
        <v>0</v>
      </c>
      <c r="BD497" s="658"/>
      <c r="BE497" s="658"/>
      <c r="BF497" s="658">
        <v>182.49</v>
      </c>
      <c r="BG497" s="658"/>
      <c r="BH497" s="658"/>
      <c r="BI497" s="567">
        <v>0</v>
      </c>
      <c r="BJ497" s="567"/>
      <c r="BK497" s="567"/>
      <c r="BL497" s="567"/>
      <c r="BM497" s="660" t="s">
        <v>932</v>
      </c>
      <c r="BN497" s="660"/>
      <c r="BO497" s="660"/>
      <c r="BP497" s="660"/>
      <c r="BQ497" s="568">
        <v>0.2</v>
      </c>
      <c r="BR497" s="568"/>
      <c r="BS497" s="568"/>
      <c r="BT497" s="660" t="s">
        <v>932</v>
      </c>
      <c r="BU497" s="660"/>
      <c r="BV497" s="660"/>
      <c r="BW497" s="660"/>
      <c r="BX497" s="568">
        <v>0.5</v>
      </c>
      <c r="BY497" s="568"/>
      <c r="BZ497" s="568"/>
      <c r="CA497" s="660" t="s">
        <v>932</v>
      </c>
      <c r="CB497" s="660"/>
      <c r="CC497" s="660"/>
      <c r="CD497" s="660"/>
      <c r="CE497" s="568">
        <v>0.3</v>
      </c>
      <c r="CF497" s="568"/>
      <c r="CG497" s="568"/>
      <c r="CH497" s="660" t="s">
        <v>932</v>
      </c>
      <c r="CI497" s="660"/>
      <c r="CJ497" s="660"/>
      <c r="CK497" s="660"/>
      <c r="CL497" s="568" t="s">
        <v>932</v>
      </c>
      <c r="CM497" s="568"/>
      <c r="CN497" s="568"/>
    </row>
    <row r="498" hidden="1" customHeight="1" spans="1:92">
      <c r="A498" s="612"/>
      <c r="B498" s="612"/>
      <c r="C498" s="518"/>
      <c r="D498" s="518"/>
      <c r="E498" s="518"/>
      <c r="F498" s="657"/>
      <c r="G498" s="657"/>
      <c r="H498" s="657"/>
      <c r="I498" s="519"/>
      <c r="J498" s="519"/>
      <c r="K498" s="519"/>
      <c r="L498" s="519"/>
      <c r="M498" s="519"/>
      <c r="N498" s="519"/>
      <c r="O498" s="519"/>
      <c r="P498" s="519"/>
      <c r="Q498" s="519"/>
      <c r="R498" s="519"/>
      <c r="S498" s="519"/>
      <c r="T498" s="519"/>
      <c r="U498" s="519"/>
      <c r="V498" s="519"/>
      <c r="W498" s="519"/>
      <c r="X498" s="519"/>
      <c r="Y498" s="519"/>
      <c r="Z498" s="519"/>
      <c r="AA498" s="519"/>
      <c r="AB498" s="526"/>
      <c r="AC498" s="526"/>
      <c r="AD498" s="661"/>
      <c r="AE498" s="661"/>
      <c r="AF498" s="661"/>
      <c r="AG498" s="526">
        <v>0</v>
      </c>
      <c r="AH498" s="526"/>
      <c r="AI498" s="659" t="e">
        <v>#N/A</v>
      </c>
      <c r="AJ498" s="659"/>
      <c r="AK498" s="659"/>
      <c r="AL498" s="659"/>
      <c r="AM498" s="659"/>
      <c r="AN498" s="659"/>
      <c r="AO498" s="659"/>
      <c r="AP498" s="659"/>
      <c r="AQ498" s="659"/>
      <c r="AR498" s="659"/>
      <c r="AS498" s="659"/>
      <c r="AT498" s="659"/>
      <c r="AU498" s="659"/>
      <c r="AV498" s="659"/>
      <c r="AW498" s="658">
        <v>0</v>
      </c>
      <c r="AX498" s="658"/>
      <c r="AY498" s="658"/>
      <c r="AZ498" s="658"/>
      <c r="BA498" s="658"/>
      <c r="BB498" s="658"/>
      <c r="BC498" s="658">
        <v>0</v>
      </c>
      <c r="BD498" s="658"/>
      <c r="BE498" s="658"/>
      <c r="BF498" s="658">
        <v>182.49</v>
      </c>
      <c r="BG498" s="658"/>
      <c r="BH498" s="658"/>
      <c r="BI498" s="567">
        <v>0</v>
      </c>
      <c r="BJ498" s="567"/>
      <c r="BK498" s="567"/>
      <c r="BL498" s="567"/>
      <c r="BM498" s="660" t="s">
        <v>932</v>
      </c>
      <c r="BN498" s="660"/>
      <c r="BO498" s="660"/>
      <c r="BP498" s="660"/>
      <c r="BQ498" s="568">
        <v>0.2</v>
      </c>
      <c r="BR498" s="568"/>
      <c r="BS498" s="568"/>
      <c r="BT498" s="660" t="s">
        <v>932</v>
      </c>
      <c r="BU498" s="660"/>
      <c r="BV498" s="660"/>
      <c r="BW498" s="660"/>
      <c r="BX498" s="568">
        <v>0.5</v>
      </c>
      <c r="BY498" s="568"/>
      <c r="BZ498" s="568"/>
      <c r="CA498" s="660" t="s">
        <v>932</v>
      </c>
      <c r="CB498" s="660"/>
      <c r="CC498" s="660"/>
      <c r="CD498" s="660"/>
      <c r="CE498" s="568">
        <v>0.3</v>
      </c>
      <c r="CF498" s="568"/>
      <c r="CG498" s="568"/>
      <c r="CH498" s="660" t="s">
        <v>932</v>
      </c>
      <c r="CI498" s="660"/>
      <c r="CJ498" s="660"/>
      <c r="CK498" s="660"/>
      <c r="CL498" s="568" t="s">
        <v>932</v>
      </c>
      <c r="CM498" s="568"/>
      <c r="CN498" s="568"/>
    </row>
    <row r="499" hidden="1" customHeight="1" spans="1:92">
      <c r="A499" s="612"/>
      <c r="B499" s="612"/>
      <c r="C499" s="518"/>
      <c r="D499" s="518"/>
      <c r="E499" s="518"/>
      <c r="F499" s="657"/>
      <c r="G499" s="657"/>
      <c r="H499" s="657"/>
      <c r="I499" s="519"/>
      <c r="J499" s="519"/>
      <c r="K499" s="519"/>
      <c r="L499" s="519"/>
      <c r="M499" s="519"/>
      <c r="N499" s="519"/>
      <c r="O499" s="519"/>
      <c r="P499" s="519"/>
      <c r="Q499" s="519"/>
      <c r="R499" s="519"/>
      <c r="S499" s="519"/>
      <c r="T499" s="519"/>
      <c r="U499" s="519"/>
      <c r="V499" s="519"/>
      <c r="W499" s="519"/>
      <c r="X499" s="519"/>
      <c r="Y499" s="519"/>
      <c r="Z499" s="519"/>
      <c r="AA499" s="519"/>
      <c r="AB499" s="526"/>
      <c r="AC499" s="526"/>
      <c r="AD499" s="661"/>
      <c r="AE499" s="661"/>
      <c r="AF499" s="661"/>
      <c r="AG499" s="526">
        <v>0</v>
      </c>
      <c r="AH499" s="526"/>
      <c r="AI499" s="659" t="e">
        <v>#N/A</v>
      </c>
      <c r="AJ499" s="659"/>
      <c r="AK499" s="659"/>
      <c r="AL499" s="659"/>
      <c r="AM499" s="659"/>
      <c r="AN499" s="659"/>
      <c r="AO499" s="659"/>
      <c r="AP499" s="659"/>
      <c r="AQ499" s="659"/>
      <c r="AR499" s="659"/>
      <c r="AS499" s="659"/>
      <c r="AT499" s="659"/>
      <c r="AU499" s="659"/>
      <c r="AV499" s="659"/>
      <c r="AW499" s="658">
        <v>0</v>
      </c>
      <c r="AX499" s="658"/>
      <c r="AY499" s="658"/>
      <c r="AZ499" s="658"/>
      <c r="BA499" s="658"/>
      <c r="BB499" s="658"/>
      <c r="BC499" s="658">
        <v>0</v>
      </c>
      <c r="BD499" s="658"/>
      <c r="BE499" s="658"/>
      <c r="BF499" s="658">
        <v>182.49</v>
      </c>
      <c r="BG499" s="658"/>
      <c r="BH499" s="658"/>
      <c r="BI499" s="567">
        <v>0</v>
      </c>
      <c r="BJ499" s="567"/>
      <c r="BK499" s="567"/>
      <c r="BL499" s="567"/>
      <c r="BM499" s="660" t="s">
        <v>932</v>
      </c>
      <c r="BN499" s="660"/>
      <c r="BO499" s="660"/>
      <c r="BP499" s="660"/>
      <c r="BQ499" s="568">
        <v>0.2</v>
      </c>
      <c r="BR499" s="568"/>
      <c r="BS499" s="568"/>
      <c r="BT499" s="660" t="s">
        <v>932</v>
      </c>
      <c r="BU499" s="660"/>
      <c r="BV499" s="660"/>
      <c r="BW499" s="660"/>
      <c r="BX499" s="568">
        <v>0.5</v>
      </c>
      <c r="BY499" s="568"/>
      <c r="BZ499" s="568"/>
      <c r="CA499" s="660" t="s">
        <v>932</v>
      </c>
      <c r="CB499" s="660"/>
      <c r="CC499" s="660"/>
      <c r="CD499" s="660"/>
      <c r="CE499" s="568">
        <v>0.3</v>
      </c>
      <c r="CF499" s="568"/>
      <c r="CG499" s="568"/>
      <c r="CH499" s="660" t="s">
        <v>932</v>
      </c>
      <c r="CI499" s="660"/>
      <c r="CJ499" s="660"/>
      <c r="CK499" s="660"/>
      <c r="CL499" s="568" t="s">
        <v>932</v>
      </c>
      <c r="CM499" s="568"/>
      <c r="CN499" s="568"/>
    </row>
    <row r="500" hidden="1" customHeight="1" spans="1:92">
      <c r="A500" s="612"/>
      <c r="B500" s="612"/>
      <c r="C500" s="518"/>
      <c r="D500" s="518"/>
      <c r="E500" s="518"/>
      <c r="F500" s="657"/>
      <c r="G500" s="657"/>
      <c r="H500" s="657"/>
      <c r="I500" s="519"/>
      <c r="J500" s="519"/>
      <c r="K500" s="519"/>
      <c r="L500" s="519"/>
      <c r="M500" s="519"/>
      <c r="N500" s="519"/>
      <c r="O500" s="519"/>
      <c r="P500" s="519"/>
      <c r="Q500" s="519"/>
      <c r="R500" s="519"/>
      <c r="S500" s="519"/>
      <c r="T500" s="519"/>
      <c r="U500" s="519"/>
      <c r="V500" s="519"/>
      <c r="W500" s="519"/>
      <c r="X500" s="519"/>
      <c r="Y500" s="519"/>
      <c r="Z500" s="519"/>
      <c r="AA500" s="519"/>
      <c r="AB500" s="526"/>
      <c r="AC500" s="526"/>
      <c r="AD500" s="661"/>
      <c r="AE500" s="661"/>
      <c r="AF500" s="661"/>
      <c r="AG500" s="526">
        <v>0</v>
      </c>
      <c r="AH500" s="526"/>
      <c r="AI500" s="659" t="e">
        <v>#N/A</v>
      </c>
      <c r="AJ500" s="659"/>
      <c r="AK500" s="659"/>
      <c r="AL500" s="659"/>
      <c r="AM500" s="659"/>
      <c r="AN500" s="659"/>
      <c r="AO500" s="659"/>
      <c r="AP500" s="659"/>
      <c r="AQ500" s="659"/>
      <c r="AR500" s="659"/>
      <c r="AS500" s="659"/>
      <c r="AT500" s="659"/>
      <c r="AU500" s="659"/>
      <c r="AV500" s="659"/>
      <c r="AW500" s="658">
        <v>0</v>
      </c>
      <c r="AX500" s="658"/>
      <c r="AY500" s="658"/>
      <c r="AZ500" s="658"/>
      <c r="BA500" s="658"/>
      <c r="BB500" s="658"/>
      <c r="BC500" s="658">
        <v>0</v>
      </c>
      <c r="BD500" s="658"/>
      <c r="BE500" s="658"/>
      <c r="BF500" s="658">
        <v>182.49</v>
      </c>
      <c r="BG500" s="658"/>
      <c r="BH500" s="658"/>
      <c r="BI500" s="567">
        <v>0</v>
      </c>
      <c r="BJ500" s="567"/>
      <c r="BK500" s="567"/>
      <c r="BL500" s="567"/>
      <c r="BM500" s="660" t="s">
        <v>932</v>
      </c>
      <c r="BN500" s="660"/>
      <c r="BO500" s="660"/>
      <c r="BP500" s="660"/>
      <c r="BQ500" s="568">
        <v>0.2</v>
      </c>
      <c r="BR500" s="568"/>
      <c r="BS500" s="568"/>
      <c r="BT500" s="660" t="s">
        <v>932</v>
      </c>
      <c r="BU500" s="660"/>
      <c r="BV500" s="660"/>
      <c r="BW500" s="660"/>
      <c r="BX500" s="568">
        <v>0.5</v>
      </c>
      <c r="BY500" s="568"/>
      <c r="BZ500" s="568"/>
      <c r="CA500" s="660" t="s">
        <v>932</v>
      </c>
      <c r="CB500" s="660"/>
      <c r="CC500" s="660"/>
      <c r="CD500" s="660"/>
      <c r="CE500" s="568">
        <v>0.3</v>
      </c>
      <c r="CF500" s="568"/>
      <c r="CG500" s="568"/>
      <c r="CH500" s="660" t="s">
        <v>932</v>
      </c>
      <c r="CI500" s="660"/>
      <c r="CJ500" s="660"/>
      <c r="CK500" s="660"/>
      <c r="CL500" s="568" t="s">
        <v>932</v>
      </c>
      <c r="CM500" s="568"/>
      <c r="CN500" s="568"/>
    </row>
    <row r="501" hidden="1" customHeight="1" spans="1:92">
      <c r="A501" s="612"/>
      <c r="B501" s="612"/>
      <c r="C501" s="518"/>
      <c r="D501" s="518"/>
      <c r="E501" s="518"/>
      <c r="F501" s="657"/>
      <c r="G501" s="657"/>
      <c r="H501" s="657"/>
      <c r="I501" s="519"/>
      <c r="J501" s="519"/>
      <c r="K501" s="519"/>
      <c r="L501" s="519"/>
      <c r="M501" s="519"/>
      <c r="N501" s="519"/>
      <c r="O501" s="519"/>
      <c r="P501" s="519"/>
      <c r="Q501" s="519"/>
      <c r="R501" s="519"/>
      <c r="S501" s="519"/>
      <c r="T501" s="519"/>
      <c r="U501" s="519"/>
      <c r="V501" s="519"/>
      <c r="W501" s="519"/>
      <c r="X501" s="519"/>
      <c r="Y501" s="519"/>
      <c r="Z501" s="519"/>
      <c r="AA501" s="519"/>
      <c r="AB501" s="526"/>
      <c r="AC501" s="526"/>
      <c r="AD501" s="661"/>
      <c r="AE501" s="661"/>
      <c r="AF501" s="661"/>
      <c r="AG501" s="526">
        <v>0</v>
      </c>
      <c r="AH501" s="526"/>
      <c r="AI501" s="659" t="e">
        <v>#N/A</v>
      </c>
      <c r="AJ501" s="659"/>
      <c r="AK501" s="659"/>
      <c r="AL501" s="659"/>
      <c r="AM501" s="659"/>
      <c r="AN501" s="659"/>
      <c r="AO501" s="659"/>
      <c r="AP501" s="659"/>
      <c r="AQ501" s="659"/>
      <c r="AR501" s="659"/>
      <c r="AS501" s="659"/>
      <c r="AT501" s="659"/>
      <c r="AU501" s="659"/>
      <c r="AV501" s="659"/>
      <c r="AW501" s="658">
        <v>0</v>
      </c>
      <c r="AX501" s="658"/>
      <c r="AY501" s="658"/>
      <c r="AZ501" s="658"/>
      <c r="BA501" s="658"/>
      <c r="BB501" s="658"/>
      <c r="BC501" s="658">
        <v>0</v>
      </c>
      <c r="BD501" s="658"/>
      <c r="BE501" s="658"/>
      <c r="BF501" s="658">
        <v>182.49</v>
      </c>
      <c r="BG501" s="658"/>
      <c r="BH501" s="658"/>
      <c r="BI501" s="567">
        <v>0</v>
      </c>
      <c r="BJ501" s="567"/>
      <c r="BK501" s="567"/>
      <c r="BL501" s="567"/>
      <c r="BM501" s="660" t="s">
        <v>932</v>
      </c>
      <c r="BN501" s="660"/>
      <c r="BO501" s="660"/>
      <c r="BP501" s="660"/>
      <c r="BQ501" s="568">
        <v>0.2</v>
      </c>
      <c r="BR501" s="568"/>
      <c r="BS501" s="568"/>
      <c r="BT501" s="660" t="s">
        <v>932</v>
      </c>
      <c r="BU501" s="660"/>
      <c r="BV501" s="660"/>
      <c r="BW501" s="660"/>
      <c r="BX501" s="568">
        <v>0.5</v>
      </c>
      <c r="BY501" s="568"/>
      <c r="BZ501" s="568"/>
      <c r="CA501" s="660" t="s">
        <v>932</v>
      </c>
      <c r="CB501" s="660"/>
      <c r="CC501" s="660"/>
      <c r="CD501" s="660"/>
      <c r="CE501" s="568">
        <v>0.3</v>
      </c>
      <c r="CF501" s="568"/>
      <c r="CG501" s="568"/>
      <c r="CH501" s="660" t="s">
        <v>932</v>
      </c>
      <c r="CI501" s="660"/>
      <c r="CJ501" s="660"/>
      <c r="CK501" s="660"/>
      <c r="CL501" s="568" t="s">
        <v>932</v>
      </c>
      <c r="CM501" s="568"/>
      <c r="CN501" s="568"/>
    </row>
    <row r="502" hidden="1" customHeight="1" spans="1:92">
      <c r="A502" s="612"/>
      <c r="B502" s="612"/>
      <c r="C502" s="518"/>
      <c r="D502" s="518"/>
      <c r="E502" s="518"/>
      <c r="F502" s="657"/>
      <c r="G502" s="657"/>
      <c r="H502" s="657"/>
      <c r="I502" s="519"/>
      <c r="J502" s="519"/>
      <c r="K502" s="519"/>
      <c r="L502" s="519"/>
      <c r="M502" s="519"/>
      <c r="N502" s="519"/>
      <c r="O502" s="519"/>
      <c r="P502" s="519"/>
      <c r="Q502" s="519"/>
      <c r="R502" s="519"/>
      <c r="S502" s="519"/>
      <c r="T502" s="519"/>
      <c r="U502" s="519"/>
      <c r="V502" s="519"/>
      <c r="W502" s="519"/>
      <c r="X502" s="519"/>
      <c r="Y502" s="519"/>
      <c r="Z502" s="519"/>
      <c r="AA502" s="519"/>
      <c r="AB502" s="526"/>
      <c r="AC502" s="526"/>
      <c r="AD502" s="661"/>
      <c r="AE502" s="661"/>
      <c r="AF502" s="661"/>
      <c r="AG502" s="526">
        <v>0</v>
      </c>
      <c r="AH502" s="526"/>
      <c r="AI502" s="659" t="e">
        <v>#N/A</v>
      </c>
      <c r="AJ502" s="659"/>
      <c r="AK502" s="659"/>
      <c r="AL502" s="659"/>
      <c r="AM502" s="659"/>
      <c r="AN502" s="659"/>
      <c r="AO502" s="659"/>
      <c r="AP502" s="659"/>
      <c r="AQ502" s="659"/>
      <c r="AR502" s="659"/>
      <c r="AS502" s="659"/>
      <c r="AT502" s="659"/>
      <c r="AU502" s="659"/>
      <c r="AV502" s="659"/>
      <c r="AW502" s="658">
        <v>0</v>
      </c>
      <c r="AX502" s="658"/>
      <c r="AY502" s="658"/>
      <c r="AZ502" s="658"/>
      <c r="BA502" s="658"/>
      <c r="BB502" s="658"/>
      <c r="BC502" s="658">
        <v>0</v>
      </c>
      <c r="BD502" s="658"/>
      <c r="BE502" s="658"/>
      <c r="BF502" s="658">
        <v>182.49</v>
      </c>
      <c r="BG502" s="658"/>
      <c r="BH502" s="658"/>
      <c r="BI502" s="567">
        <v>0</v>
      </c>
      <c r="BJ502" s="567"/>
      <c r="BK502" s="567"/>
      <c r="BL502" s="567"/>
      <c r="BM502" s="660" t="s">
        <v>932</v>
      </c>
      <c r="BN502" s="660"/>
      <c r="BO502" s="660"/>
      <c r="BP502" s="660"/>
      <c r="BQ502" s="568">
        <v>0.2</v>
      </c>
      <c r="BR502" s="568"/>
      <c r="BS502" s="568"/>
      <c r="BT502" s="660" t="s">
        <v>932</v>
      </c>
      <c r="BU502" s="660"/>
      <c r="BV502" s="660"/>
      <c r="BW502" s="660"/>
      <c r="BX502" s="568">
        <v>0.5</v>
      </c>
      <c r="BY502" s="568"/>
      <c r="BZ502" s="568"/>
      <c r="CA502" s="660" t="s">
        <v>932</v>
      </c>
      <c r="CB502" s="660"/>
      <c r="CC502" s="660"/>
      <c r="CD502" s="660"/>
      <c r="CE502" s="568">
        <v>0.3</v>
      </c>
      <c r="CF502" s="568"/>
      <c r="CG502" s="568"/>
      <c r="CH502" s="660" t="s">
        <v>932</v>
      </c>
      <c r="CI502" s="660"/>
      <c r="CJ502" s="660"/>
      <c r="CK502" s="660"/>
      <c r="CL502" s="568" t="s">
        <v>932</v>
      </c>
      <c r="CM502" s="568"/>
      <c r="CN502" s="568"/>
    </row>
    <row r="503" hidden="1" customHeight="1" spans="1:92">
      <c r="A503" s="612"/>
      <c r="B503" s="612"/>
      <c r="C503" s="518"/>
      <c r="D503" s="518"/>
      <c r="E503" s="518"/>
      <c r="F503" s="657"/>
      <c r="G503" s="657"/>
      <c r="H503" s="657"/>
      <c r="I503" s="519"/>
      <c r="J503" s="519"/>
      <c r="K503" s="519"/>
      <c r="L503" s="519"/>
      <c r="M503" s="519"/>
      <c r="N503" s="519"/>
      <c r="O503" s="519"/>
      <c r="P503" s="519"/>
      <c r="Q503" s="519"/>
      <c r="R503" s="519"/>
      <c r="S503" s="519"/>
      <c r="T503" s="519"/>
      <c r="U503" s="519"/>
      <c r="V503" s="519"/>
      <c r="W503" s="519"/>
      <c r="X503" s="519"/>
      <c r="Y503" s="519"/>
      <c r="Z503" s="519"/>
      <c r="AA503" s="519"/>
      <c r="AB503" s="526"/>
      <c r="AC503" s="526"/>
      <c r="AD503" s="661"/>
      <c r="AE503" s="661"/>
      <c r="AF503" s="661"/>
      <c r="AG503" s="526">
        <v>0</v>
      </c>
      <c r="AH503" s="526"/>
      <c r="AI503" s="659" t="e">
        <v>#N/A</v>
      </c>
      <c r="AJ503" s="659"/>
      <c r="AK503" s="659"/>
      <c r="AL503" s="659"/>
      <c r="AM503" s="659"/>
      <c r="AN503" s="659"/>
      <c r="AO503" s="659"/>
      <c r="AP503" s="659"/>
      <c r="AQ503" s="659"/>
      <c r="AR503" s="659"/>
      <c r="AS503" s="659"/>
      <c r="AT503" s="659"/>
      <c r="AU503" s="659"/>
      <c r="AV503" s="659"/>
      <c r="AW503" s="658">
        <v>0</v>
      </c>
      <c r="AX503" s="658"/>
      <c r="AY503" s="658"/>
      <c r="AZ503" s="658"/>
      <c r="BA503" s="658"/>
      <c r="BB503" s="658"/>
      <c r="BC503" s="658">
        <v>0</v>
      </c>
      <c r="BD503" s="658"/>
      <c r="BE503" s="658"/>
      <c r="BF503" s="658">
        <v>182.49</v>
      </c>
      <c r="BG503" s="658"/>
      <c r="BH503" s="658"/>
      <c r="BI503" s="567">
        <v>0</v>
      </c>
      <c r="BJ503" s="567"/>
      <c r="BK503" s="567"/>
      <c r="BL503" s="567"/>
      <c r="BM503" s="660" t="s">
        <v>932</v>
      </c>
      <c r="BN503" s="660"/>
      <c r="BO503" s="660"/>
      <c r="BP503" s="660"/>
      <c r="BQ503" s="568">
        <v>0.2</v>
      </c>
      <c r="BR503" s="568"/>
      <c r="BS503" s="568"/>
      <c r="BT503" s="660" t="s">
        <v>932</v>
      </c>
      <c r="BU503" s="660"/>
      <c r="BV503" s="660"/>
      <c r="BW503" s="660"/>
      <c r="BX503" s="568">
        <v>0.5</v>
      </c>
      <c r="BY503" s="568"/>
      <c r="BZ503" s="568"/>
      <c r="CA503" s="660" t="s">
        <v>932</v>
      </c>
      <c r="CB503" s="660"/>
      <c r="CC503" s="660"/>
      <c r="CD503" s="660"/>
      <c r="CE503" s="568">
        <v>0.3</v>
      </c>
      <c r="CF503" s="568"/>
      <c r="CG503" s="568"/>
      <c r="CH503" s="660" t="s">
        <v>932</v>
      </c>
      <c r="CI503" s="660"/>
      <c r="CJ503" s="660"/>
      <c r="CK503" s="660"/>
      <c r="CL503" s="568" t="s">
        <v>932</v>
      </c>
      <c r="CM503" s="568"/>
      <c r="CN503" s="568"/>
    </row>
    <row r="504" customHeight="1" spans="1:92">
      <c r="A504" s="612" t="s">
        <v>1003</v>
      </c>
      <c r="B504" s="612"/>
      <c r="C504" s="518"/>
      <c r="D504" s="518"/>
      <c r="E504" s="518"/>
      <c r="F504" s="657">
        <v>1100657</v>
      </c>
      <c r="G504" s="657"/>
      <c r="H504" s="657"/>
      <c r="I504" s="519" t="s">
        <v>114</v>
      </c>
      <c r="J504" s="519"/>
      <c r="K504" s="519"/>
      <c r="L504" s="519"/>
      <c r="M504" s="519"/>
      <c r="N504" s="519"/>
      <c r="O504" s="519"/>
      <c r="P504" s="519"/>
      <c r="Q504" s="519"/>
      <c r="R504" s="519"/>
      <c r="S504" s="519"/>
      <c r="T504" s="519"/>
      <c r="U504" s="519"/>
      <c r="V504" s="519"/>
      <c r="W504" s="519"/>
      <c r="X504" s="519"/>
      <c r="Y504" s="519"/>
      <c r="Z504" s="519"/>
      <c r="AA504" s="519"/>
      <c r="AB504" s="526" t="s">
        <v>99</v>
      </c>
      <c r="AC504" s="526"/>
      <c r="AD504" s="661">
        <v>21.65</v>
      </c>
      <c r="AE504" s="661"/>
      <c r="AF504" s="661"/>
      <c r="AG504" s="526" t="s">
        <v>935</v>
      </c>
      <c r="AH504" s="526"/>
      <c r="AI504" s="659" t="s">
        <v>936</v>
      </c>
      <c r="AJ504" s="659"/>
      <c r="AK504" s="659"/>
      <c r="AL504" s="659"/>
      <c r="AM504" s="659"/>
      <c r="AN504" s="659"/>
      <c r="AO504" s="659"/>
      <c r="AP504" s="659"/>
      <c r="AQ504" s="659"/>
      <c r="AR504" s="659"/>
      <c r="AS504" s="659"/>
      <c r="AT504" s="659"/>
      <c r="AU504" s="659"/>
      <c r="AV504" s="659"/>
      <c r="AW504" s="658">
        <v>1</v>
      </c>
      <c r="AX504" s="658"/>
      <c r="AY504" s="658"/>
      <c r="AZ504" s="658">
        <v>9</v>
      </c>
      <c r="BA504" s="658"/>
      <c r="BB504" s="658"/>
      <c r="BC504" s="658">
        <v>2.40555555555556</v>
      </c>
      <c r="BD504" s="658"/>
      <c r="BE504" s="658"/>
      <c r="BF504" s="658">
        <v>182.49</v>
      </c>
      <c r="BG504" s="658"/>
      <c r="BH504" s="658"/>
      <c r="BI504" s="567">
        <v>0.0131818486248866</v>
      </c>
      <c r="BJ504" s="567"/>
      <c r="BK504" s="567"/>
      <c r="BL504" s="567"/>
      <c r="BM504" s="660">
        <v>0.00263636972497732</v>
      </c>
      <c r="BN504" s="660"/>
      <c r="BO504" s="660"/>
      <c r="BP504" s="660"/>
      <c r="BQ504" s="568">
        <v>0.2</v>
      </c>
      <c r="BR504" s="568"/>
      <c r="BS504" s="568"/>
      <c r="BT504" s="660">
        <v>0.0065909243124433</v>
      </c>
      <c r="BU504" s="660"/>
      <c r="BV504" s="660"/>
      <c r="BW504" s="660"/>
      <c r="BX504" s="568">
        <v>0.5</v>
      </c>
      <c r="BY504" s="568"/>
      <c r="BZ504" s="568"/>
      <c r="CA504" s="660">
        <v>0.00395455458746598</v>
      </c>
      <c r="CB504" s="660"/>
      <c r="CC504" s="660"/>
      <c r="CD504" s="660"/>
      <c r="CE504" s="568">
        <v>0.3</v>
      </c>
      <c r="CF504" s="568"/>
      <c r="CG504" s="568"/>
      <c r="CH504" s="660" t="s">
        <v>932</v>
      </c>
      <c r="CI504" s="660"/>
      <c r="CJ504" s="660"/>
      <c r="CK504" s="660"/>
      <c r="CL504" s="568" t="s">
        <v>932</v>
      </c>
      <c r="CM504" s="568"/>
      <c r="CN504" s="568"/>
    </row>
    <row r="505" hidden="1" customHeight="1" spans="1:92">
      <c r="A505" s="612"/>
      <c r="B505" s="612"/>
      <c r="C505" s="518"/>
      <c r="D505" s="518"/>
      <c r="E505" s="518"/>
      <c r="F505" s="657"/>
      <c r="G505" s="657"/>
      <c r="H505" s="657"/>
      <c r="I505" s="519"/>
      <c r="J505" s="519"/>
      <c r="K505" s="519"/>
      <c r="L505" s="519"/>
      <c r="M505" s="519"/>
      <c r="N505" s="519"/>
      <c r="O505" s="519"/>
      <c r="P505" s="519"/>
      <c r="Q505" s="519"/>
      <c r="R505" s="519"/>
      <c r="S505" s="519"/>
      <c r="T505" s="519"/>
      <c r="U505" s="519"/>
      <c r="V505" s="519"/>
      <c r="W505" s="519"/>
      <c r="X505" s="519"/>
      <c r="Y505" s="519"/>
      <c r="Z505" s="519"/>
      <c r="AA505" s="519"/>
      <c r="AB505" s="526"/>
      <c r="AC505" s="526"/>
      <c r="AD505" s="661"/>
      <c r="AE505" s="661"/>
      <c r="AF505" s="661"/>
      <c r="AG505" s="526">
        <v>0</v>
      </c>
      <c r="AH505" s="526"/>
      <c r="AI505" s="659" t="e">
        <v>#N/A</v>
      </c>
      <c r="AJ505" s="659"/>
      <c r="AK505" s="659"/>
      <c r="AL505" s="659"/>
      <c r="AM505" s="659"/>
      <c r="AN505" s="659"/>
      <c r="AO505" s="659"/>
      <c r="AP505" s="659"/>
      <c r="AQ505" s="659"/>
      <c r="AR505" s="659"/>
      <c r="AS505" s="659"/>
      <c r="AT505" s="659"/>
      <c r="AU505" s="659"/>
      <c r="AV505" s="659"/>
      <c r="AW505" s="658">
        <v>0</v>
      </c>
      <c r="AX505" s="658"/>
      <c r="AY505" s="658"/>
      <c r="AZ505" s="658"/>
      <c r="BA505" s="658"/>
      <c r="BB505" s="658"/>
      <c r="BC505" s="658">
        <v>0</v>
      </c>
      <c r="BD505" s="658"/>
      <c r="BE505" s="658"/>
      <c r="BF505" s="658">
        <v>182.49</v>
      </c>
      <c r="BG505" s="658"/>
      <c r="BH505" s="658"/>
      <c r="BI505" s="567">
        <v>0</v>
      </c>
      <c r="BJ505" s="567"/>
      <c r="BK505" s="567"/>
      <c r="BL505" s="567"/>
      <c r="BM505" s="660" t="s">
        <v>932</v>
      </c>
      <c r="BN505" s="660"/>
      <c r="BO505" s="660"/>
      <c r="BP505" s="660"/>
      <c r="BQ505" s="568">
        <v>0.2</v>
      </c>
      <c r="BR505" s="568"/>
      <c r="BS505" s="568"/>
      <c r="BT505" s="660" t="s">
        <v>932</v>
      </c>
      <c r="BU505" s="660"/>
      <c r="BV505" s="660"/>
      <c r="BW505" s="660"/>
      <c r="BX505" s="568">
        <v>0.5</v>
      </c>
      <c r="BY505" s="568"/>
      <c r="BZ505" s="568"/>
      <c r="CA505" s="660" t="s">
        <v>932</v>
      </c>
      <c r="CB505" s="660"/>
      <c r="CC505" s="660"/>
      <c r="CD505" s="660"/>
      <c r="CE505" s="568">
        <v>0.3</v>
      </c>
      <c r="CF505" s="568"/>
      <c r="CG505" s="568"/>
      <c r="CH505" s="660" t="s">
        <v>932</v>
      </c>
      <c r="CI505" s="660"/>
      <c r="CJ505" s="660"/>
      <c r="CK505" s="660"/>
      <c r="CL505" s="568" t="s">
        <v>932</v>
      </c>
      <c r="CM505" s="568"/>
      <c r="CN505" s="568"/>
    </row>
    <row r="506" hidden="1" customHeight="1" spans="1:92">
      <c r="A506" s="612"/>
      <c r="B506" s="612"/>
      <c r="C506" s="518"/>
      <c r="D506" s="518"/>
      <c r="E506" s="518"/>
      <c r="F506" s="657"/>
      <c r="G506" s="657"/>
      <c r="H506" s="657"/>
      <c r="I506" s="519"/>
      <c r="J506" s="519"/>
      <c r="K506" s="519"/>
      <c r="L506" s="519"/>
      <c r="M506" s="519"/>
      <c r="N506" s="519"/>
      <c r="O506" s="519"/>
      <c r="P506" s="519"/>
      <c r="Q506" s="519"/>
      <c r="R506" s="519"/>
      <c r="S506" s="519"/>
      <c r="T506" s="519"/>
      <c r="U506" s="519"/>
      <c r="V506" s="519"/>
      <c r="W506" s="519"/>
      <c r="X506" s="519"/>
      <c r="Y506" s="519"/>
      <c r="Z506" s="519"/>
      <c r="AA506" s="519"/>
      <c r="AB506" s="526"/>
      <c r="AC506" s="526"/>
      <c r="AD506" s="661"/>
      <c r="AE506" s="661"/>
      <c r="AF506" s="661"/>
      <c r="AG506" s="526">
        <v>0</v>
      </c>
      <c r="AH506" s="526"/>
      <c r="AI506" s="659" t="e">
        <v>#N/A</v>
      </c>
      <c r="AJ506" s="659"/>
      <c r="AK506" s="659"/>
      <c r="AL506" s="659"/>
      <c r="AM506" s="659"/>
      <c r="AN506" s="659"/>
      <c r="AO506" s="659"/>
      <c r="AP506" s="659"/>
      <c r="AQ506" s="659"/>
      <c r="AR506" s="659"/>
      <c r="AS506" s="659"/>
      <c r="AT506" s="659"/>
      <c r="AU506" s="659"/>
      <c r="AV506" s="659"/>
      <c r="AW506" s="658">
        <v>0</v>
      </c>
      <c r="AX506" s="658"/>
      <c r="AY506" s="658"/>
      <c r="AZ506" s="658"/>
      <c r="BA506" s="658"/>
      <c r="BB506" s="658"/>
      <c r="BC506" s="658">
        <v>0</v>
      </c>
      <c r="BD506" s="658"/>
      <c r="BE506" s="658"/>
      <c r="BF506" s="658">
        <v>182.49</v>
      </c>
      <c r="BG506" s="658"/>
      <c r="BH506" s="658"/>
      <c r="BI506" s="567">
        <v>0</v>
      </c>
      <c r="BJ506" s="567"/>
      <c r="BK506" s="567"/>
      <c r="BL506" s="567"/>
      <c r="BM506" s="660" t="s">
        <v>932</v>
      </c>
      <c r="BN506" s="660"/>
      <c r="BO506" s="660"/>
      <c r="BP506" s="660"/>
      <c r="BQ506" s="568">
        <v>0.2</v>
      </c>
      <c r="BR506" s="568"/>
      <c r="BS506" s="568"/>
      <c r="BT506" s="660" t="s">
        <v>932</v>
      </c>
      <c r="BU506" s="660"/>
      <c r="BV506" s="660"/>
      <c r="BW506" s="660"/>
      <c r="BX506" s="568">
        <v>0.5</v>
      </c>
      <c r="BY506" s="568"/>
      <c r="BZ506" s="568"/>
      <c r="CA506" s="660" t="s">
        <v>932</v>
      </c>
      <c r="CB506" s="660"/>
      <c r="CC506" s="660"/>
      <c r="CD506" s="660"/>
      <c r="CE506" s="568">
        <v>0.3</v>
      </c>
      <c r="CF506" s="568"/>
      <c r="CG506" s="568"/>
      <c r="CH506" s="660" t="s">
        <v>932</v>
      </c>
      <c r="CI506" s="660"/>
      <c r="CJ506" s="660"/>
      <c r="CK506" s="660"/>
      <c r="CL506" s="568" t="s">
        <v>932</v>
      </c>
      <c r="CM506" s="568"/>
      <c r="CN506" s="568"/>
    </row>
    <row r="507" hidden="1" customHeight="1" spans="1:92">
      <c r="A507" s="612"/>
      <c r="B507" s="612"/>
      <c r="C507" s="518"/>
      <c r="D507" s="518"/>
      <c r="E507" s="518"/>
      <c r="F507" s="657"/>
      <c r="G507" s="657"/>
      <c r="H507" s="657"/>
      <c r="I507" s="519"/>
      <c r="J507" s="519"/>
      <c r="K507" s="519"/>
      <c r="L507" s="519"/>
      <c r="M507" s="519"/>
      <c r="N507" s="519"/>
      <c r="O507" s="519"/>
      <c r="P507" s="519"/>
      <c r="Q507" s="519"/>
      <c r="R507" s="519"/>
      <c r="S507" s="519"/>
      <c r="T507" s="519"/>
      <c r="U507" s="519"/>
      <c r="V507" s="519"/>
      <c r="W507" s="519"/>
      <c r="X507" s="519"/>
      <c r="Y507" s="519"/>
      <c r="Z507" s="519"/>
      <c r="AA507" s="519"/>
      <c r="AB507" s="526"/>
      <c r="AC507" s="526"/>
      <c r="AD507" s="661"/>
      <c r="AE507" s="661"/>
      <c r="AF507" s="661"/>
      <c r="AG507" s="526">
        <v>0</v>
      </c>
      <c r="AH507" s="526"/>
      <c r="AI507" s="659" t="e">
        <v>#N/A</v>
      </c>
      <c r="AJ507" s="659"/>
      <c r="AK507" s="659"/>
      <c r="AL507" s="659"/>
      <c r="AM507" s="659"/>
      <c r="AN507" s="659"/>
      <c r="AO507" s="659"/>
      <c r="AP507" s="659"/>
      <c r="AQ507" s="659"/>
      <c r="AR507" s="659"/>
      <c r="AS507" s="659"/>
      <c r="AT507" s="659"/>
      <c r="AU507" s="659"/>
      <c r="AV507" s="659"/>
      <c r="AW507" s="658">
        <v>0</v>
      </c>
      <c r="AX507" s="658"/>
      <c r="AY507" s="658"/>
      <c r="AZ507" s="658"/>
      <c r="BA507" s="658"/>
      <c r="BB507" s="658"/>
      <c r="BC507" s="658">
        <v>0</v>
      </c>
      <c r="BD507" s="658"/>
      <c r="BE507" s="658"/>
      <c r="BF507" s="658">
        <v>182.49</v>
      </c>
      <c r="BG507" s="658"/>
      <c r="BH507" s="658"/>
      <c r="BI507" s="567">
        <v>0</v>
      </c>
      <c r="BJ507" s="567"/>
      <c r="BK507" s="567"/>
      <c r="BL507" s="567"/>
      <c r="BM507" s="660" t="s">
        <v>932</v>
      </c>
      <c r="BN507" s="660"/>
      <c r="BO507" s="660"/>
      <c r="BP507" s="660"/>
      <c r="BQ507" s="568">
        <v>0.2</v>
      </c>
      <c r="BR507" s="568"/>
      <c r="BS507" s="568"/>
      <c r="BT507" s="660" t="s">
        <v>932</v>
      </c>
      <c r="BU507" s="660"/>
      <c r="BV507" s="660"/>
      <c r="BW507" s="660"/>
      <c r="BX507" s="568">
        <v>0.5</v>
      </c>
      <c r="BY507" s="568"/>
      <c r="BZ507" s="568"/>
      <c r="CA507" s="660" t="s">
        <v>932</v>
      </c>
      <c r="CB507" s="660"/>
      <c r="CC507" s="660"/>
      <c r="CD507" s="660"/>
      <c r="CE507" s="568">
        <v>0.3</v>
      </c>
      <c r="CF507" s="568"/>
      <c r="CG507" s="568"/>
      <c r="CH507" s="660" t="s">
        <v>932</v>
      </c>
      <c r="CI507" s="660"/>
      <c r="CJ507" s="660"/>
      <c r="CK507" s="660"/>
      <c r="CL507" s="568" t="s">
        <v>932</v>
      </c>
      <c r="CM507" s="568"/>
      <c r="CN507" s="568"/>
    </row>
    <row r="508" hidden="1" customHeight="1" spans="1:92">
      <c r="A508" s="612"/>
      <c r="B508" s="612"/>
      <c r="C508" s="518"/>
      <c r="D508" s="518"/>
      <c r="E508" s="518"/>
      <c r="F508" s="657"/>
      <c r="G508" s="657"/>
      <c r="H508" s="657"/>
      <c r="I508" s="519"/>
      <c r="J508" s="519"/>
      <c r="K508" s="519"/>
      <c r="L508" s="519"/>
      <c r="M508" s="519"/>
      <c r="N508" s="519"/>
      <c r="O508" s="519"/>
      <c r="P508" s="519"/>
      <c r="Q508" s="519"/>
      <c r="R508" s="519"/>
      <c r="S508" s="519"/>
      <c r="T508" s="519"/>
      <c r="U508" s="519"/>
      <c r="V508" s="519"/>
      <c r="W508" s="519"/>
      <c r="X508" s="519"/>
      <c r="Y508" s="519"/>
      <c r="Z508" s="519"/>
      <c r="AA508" s="519"/>
      <c r="AB508" s="526"/>
      <c r="AC508" s="526"/>
      <c r="AD508" s="661"/>
      <c r="AE508" s="661"/>
      <c r="AF508" s="661"/>
      <c r="AG508" s="526">
        <v>0</v>
      </c>
      <c r="AH508" s="526"/>
      <c r="AI508" s="659" t="e">
        <v>#N/A</v>
      </c>
      <c r="AJ508" s="659"/>
      <c r="AK508" s="659"/>
      <c r="AL508" s="659"/>
      <c r="AM508" s="659"/>
      <c r="AN508" s="659"/>
      <c r="AO508" s="659"/>
      <c r="AP508" s="659"/>
      <c r="AQ508" s="659"/>
      <c r="AR508" s="659"/>
      <c r="AS508" s="659"/>
      <c r="AT508" s="659"/>
      <c r="AU508" s="659"/>
      <c r="AV508" s="659"/>
      <c r="AW508" s="658">
        <v>0</v>
      </c>
      <c r="AX508" s="658"/>
      <c r="AY508" s="658"/>
      <c r="AZ508" s="658"/>
      <c r="BA508" s="658"/>
      <c r="BB508" s="658"/>
      <c r="BC508" s="658">
        <v>0</v>
      </c>
      <c r="BD508" s="658"/>
      <c r="BE508" s="658"/>
      <c r="BF508" s="658">
        <v>182.49</v>
      </c>
      <c r="BG508" s="658"/>
      <c r="BH508" s="658"/>
      <c r="BI508" s="567">
        <v>0</v>
      </c>
      <c r="BJ508" s="567"/>
      <c r="BK508" s="567"/>
      <c r="BL508" s="567"/>
      <c r="BM508" s="660" t="s">
        <v>932</v>
      </c>
      <c r="BN508" s="660"/>
      <c r="BO508" s="660"/>
      <c r="BP508" s="660"/>
      <c r="BQ508" s="568">
        <v>0.2</v>
      </c>
      <c r="BR508" s="568"/>
      <c r="BS508" s="568"/>
      <c r="BT508" s="660" t="s">
        <v>932</v>
      </c>
      <c r="BU508" s="660"/>
      <c r="BV508" s="660"/>
      <c r="BW508" s="660"/>
      <c r="BX508" s="568">
        <v>0.5</v>
      </c>
      <c r="BY508" s="568"/>
      <c r="BZ508" s="568"/>
      <c r="CA508" s="660" t="s">
        <v>932</v>
      </c>
      <c r="CB508" s="660"/>
      <c r="CC508" s="660"/>
      <c r="CD508" s="660"/>
      <c r="CE508" s="568">
        <v>0.3</v>
      </c>
      <c r="CF508" s="568"/>
      <c r="CG508" s="568"/>
      <c r="CH508" s="660" t="s">
        <v>932</v>
      </c>
      <c r="CI508" s="660"/>
      <c r="CJ508" s="660"/>
      <c r="CK508" s="660"/>
      <c r="CL508" s="568" t="s">
        <v>932</v>
      </c>
      <c r="CM508" s="568"/>
      <c r="CN508" s="568"/>
    </row>
    <row r="509" hidden="1" customHeight="1" spans="1:92">
      <c r="A509" s="612"/>
      <c r="B509" s="612"/>
      <c r="C509" s="518"/>
      <c r="D509" s="518"/>
      <c r="E509" s="518"/>
      <c r="F509" s="657"/>
      <c r="G509" s="657"/>
      <c r="H509" s="657"/>
      <c r="I509" s="519"/>
      <c r="J509" s="519"/>
      <c r="K509" s="519"/>
      <c r="L509" s="519"/>
      <c r="M509" s="519"/>
      <c r="N509" s="519"/>
      <c r="O509" s="519"/>
      <c r="P509" s="519"/>
      <c r="Q509" s="519"/>
      <c r="R509" s="519"/>
      <c r="S509" s="519"/>
      <c r="T509" s="519"/>
      <c r="U509" s="519"/>
      <c r="V509" s="519"/>
      <c r="W509" s="519"/>
      <c r="X509" s="519"/>
      <c r="Y509" s="519"/>
      <c r="Z509" s="519"/>
      <c r="AA509" s="519"/>
      <c r="AB509" s="526"/>
      <c r="AC509" s="526"/>
      <c r="AD509" s="661"/>
      <c r="AE509" s="661"/>
      <c r="AF509" s="661"/>
      <c r="AG509" s="526">
        <v>0</v>
      </c>
      <c r="AH509" s="526"/>
      <c r="AI509" s="659" t="e">
        <v>#N/A</v>
      </c>
      <c r="AJ509" s="659"/>
      <c r="AK509" s="659"/>
      <c r="AL509" s="659"/>
      <c r="AM509" s="659"/>
      <c r="AN509" s="659"/>
      <c r="AO509" s="659"/>
      <c r="AP509" s="659"/>
      <c r="AQ509" s="659"/>
      <c r="AR509" s="659"/>
      <c r="AS509" s="659"/>
      <c r="AT509" s="659"/>
      <c r="AU509" s="659"/>
      <c r="AV509" s="659"/>
      <c r="AW509" s="658">
        <v>0</v>
      </c>
      <c r="AX509" s="658"/>
      <c r="AY509" s="658"/>
      <c r="AZ509" s="658"/>
      <c r="BA509" s="658"/>
      <c r="BB509" s="658"/>
      <c r="BC509" s="658">
        <v>0</v>
      </c>
      <c r="BD509" s="658"/>
      <c r="BE509" s="658"/>
      <c r="BF509" s="658">
        <v>182.49</v>
      </c>
      <c r="BG509" s="658"/>
      <c r="BH509" s="658"/>
      <c r="BI509" s="567">
        <v>0</v>
      </c>
      <c r="BJ509" s="567"/>
      <c r="BK509" s="567"/>
      <c r="BL509" s="567"/>
      <c r="BM509" s="660" t="s">
        <v>932</v>
      </c>
      <c r="BN509" s="660"/>
      <c r="BO509" s="660"/>
      <c r="BP509" s="660"/>
      <c r="BQ509" s="568">
        <v>0.2</v>
      </c>
      <c r="BR509" s="568"/>
      <c r="BS509" s="568"/>
      <c r="BT509" s="660" t="s">
        <v>932</v>
      </c>
      <c r="BU509" s="660"/>
      <c r="BV509" s="660"/>
      <c r="BW509" s="660"/>
      <c r="BX509" s="568">
        <v>0.5</v>
      </c>
      <c r="BY509" s="568"/>
      <c r="BZ509" s="568"/>
      <c r="CA509" s="660" t="s">
        <v>932</v>
      </c>
      <c r="CB509" s="660"/>
      <c r="CC509" s="660"/>
      <c r="CD509" s="660"/>
      <c r="CE509" s="568">
        <v>0.3</v>
      </c>
      <c r="CF509" s="568"/>
      <c r="CG509" s="568"/>
      <c r="CH509" s="660" t="s">
        <v>932</v>
      </c>
      <c r="CI509" s="660"/>
      <c r="CJ509" s="660"/>
      <c r="CK509" s="660"/>
      <c r="CL509" s="568" t="s">
        <v>932</v>
      </c>
      <c r="CM509" s="568"/>
      <c r="CN509" s="568"/>
    </row>
    <row r="510" hidden="1" customHeight="1" spans="1:92">
      <c r="A510" s="612"/>
      <c r="B510" s="612"/>
      <c r="C510" s="518"/>
      <c r="D510" s="518"/>
      <c r="E510" s="518"/>
      <c r="F510" s="657"/>
      <c r="G510" s="657"/>
      <c r="H510" s="657"/>
      <c r="I510" s="519"/>
      <c r="J510" s="519"/>
      <c r="K510" s="519"/>
      <c r="L510" s="519"/>
      <c r="M510" s="519"/>
      <c r="N510" s="519"/>
      <c r="O510" s="519"/>
      <c r="P510" s="519"/>
      <c r="Q510" s="519"/>
      <c r="R510" s="519"/>
      <c r="S510" s="519"/>
      <c r="T510" s="519"/>
      <c r="U510" s="519"/>
      <c r="V510" s="519"/>
      <c r="W510" s="519"/>
      <c r="X510" s="519"/>
      <c r="Y510" s="519"/>
      <c r="Z510" s="519"/>
      <c r="AA510" s="519"/>
      <c r="AB510" s="526"/>
      <c r="AC510" s="526"/>
      <c r="AD510" s="661"/>
      <c r="AE510" s="661"/>
      <c r="AF510" s="661"/>
      <c r="AG510" s="526">
        <v>0</v>
      </c>
      <c r="AH510" s="526"/>
      <c r="AI510" s="659" t="e">
        <v>#N/A</v>
      </c>
      <c r="AJ510" s="659"/>
      <c r="AK510" s="659"/>
      <c r="AL510" s="659"/>
      <c r="AM510" s="659"/>
      <c r="AN510" s="659"/>
      <c r="AO510" s="659"/>
      <c r="AP510" s="659"/>
      <c r="AQ510" s="659"/>
      <c r="AR510" s="659"/>
      <c r="AS510" s="659"/>
      <c r="AT510" s="659"/>
      <c r="AU510" s="659"/>
      <c r="AV510" s="659"/>
      <c r="AW510" s="658">
        <v>0</v>
      </c>
      <c r="AX510" s="658"/>
      <c r="AY510" s="658"/>
      <c r="AZ510" s="658"/>
      <c r="BA510" s="658"/>
      <c r="BB510" s="658"/>
      <c r="BC510" s="658">
        <v>0</v>
      </c>
      <c r="BD510" s="658"/>
      <c r="BE510" s="658"/>
      <c r="BF510" s="658">
        <v>182.49</v>
      </c>
      <c r="BG510" s="658"/>
      <c r="BH510" s="658"/>
      <c r="BI510" s="567">
        <v>0</v>
      </c>
      <c r="BJ510" s="567"/>
      <c r="BK510" s="567"/>
      <c r="BL510" s="567"/>
      <c r="BM510" s="660" t="s">
        <v>932</v>
      </c>
      <c r="BN510" s="660"/>
      <c r="BO510" s="660"/>
      <c r="BP510" s="660"/>
      <c r="BQ510" s="568">
        <v>0.2</v>
      </c>
      <c r="BR510" s="568"/>
      <c r="BS510" s="568"/>
      <c r="BT510" s="660" t="s">
        <v>932</v>
      </c>
      <c r="BU510" s="660"/>
      <c r="BV510" s="660"/>
      <c r="BW510" s="660"/>
      <c r="BX510" s="568">
        <v>0.5</v>
      </c>
      <c r="BY510" s="568"/>
      <c r="BZ510" s="568"/>
      <c r="CA510" s="660" t="s">
        <v>932</v>
      </c>
      <c r="CB510" s="660"/>
      <c r="CC510" s="660"/>
      <c r="CD510" s="660"/>
      <c r="CE510" s="568">
        <v>0.3</v>
      </c>
      <c r="CF510" s="568"/>
      <c r="CG510" s="568"/>
      <c r="CH510" s="660" t="s">
        <v>932</v>
      </c>
      <c r="CI510" s="660"/>
      <c r="CJ510" s="660"/>
      <c r="CK510" s="660"/>
      <c r="CL510" s="568" t="s">
        <v>932</v>
      </c>
      <c r="CM510" s="568"/>
      <c r="CN510" s="568"/>
    </row>
    <row r="511" hidden="1" customHeight="1" spans="1:92">
      <c r="A511" s="612"/>
      <c r="B511" s="612"/>
      <c r="C511" s="518"/>
      <c r="D511" s="518"/>
      <c r="E511" s="518"/>
      <c r="F511" s="657"/>
      <c r="G511" s="657"/>
      <c r="H511" s="657"/>
      <c r="I511" s="519"/>
      <c r="J511" s="519"/>
      <c r="K511" s="519"/>
      <c r="L511" s="519"/>
      <c r="M511" s="519"/>
      <c r="N511" s="519"/>
      <c r="O511" s="519"/>
      <c r="P511" s="519"/>
      <c r="Q511" s="519"/>
      <c r="R511" s="519"/>
      <c r="S511" s="519"/>
      <c r="T511" s="519"/>
      <c r="U511" s="519"/>
      <c r="V511" s="519"/>
      <c r="W511" s="519"/>
      <c r="X511" s="519"/>
      <c r="Y511" s="519"/>
      <c r="Z511" s="519"/>
      <c r="AA511" s="519"/>
      <c r="AB511" s="526"/>
      <c r="AC511" s="526"/>
      <c r="AD511" s="661"/>
      <c r="AE511" s="661"/>
      <c r="AF511" s="661"/>
      <c r="AG511" s="526">
        <v>0</v>
      </c>
      <c r="AH511" s="526"/>
      <c r="AI511" s="659" t="e">
        <v>#N/A</v>
      </c>
      <c r="AJ511" s="659"/>
      <c r="AK511" s="659"/>
      <c r="AL511" s="659"/>
      <c r="AM511" s="659"/>
      <c r="AN511" s="659"/>
      <c r="AO511" s="659"/>
      <c r="AP511" s="659"/>
      <c r="AQ511" s="659"/>
      <c r="AR511" s="659"/>
      <c r="AS511" s="659"/>
      <c r="AT511" s="659"/>
      <c r="AU511" s="659"/>
      <c r="AV511" s="659"/>
      <c r="AW511" s="658">
        <v>0</v>
      </c>
      <c r="AX511" s="658"/>
      <c r="AY511" s="658"/>
      <c r="AZ511" s="658"/>
      <c r="BA511" s="658"/>
      <c r="BB511" s="658"/>
      <c r="BC511" s="658">
        <v>0</v>
      </c>
      <c r="BD511" s="658"/>
      <c r="BE511" s="658"/>
      <c r="BF511" s="658">
        <v>182.49</v>
      </c>
      <c r="BG511" s="658"/>
      <c r="BH511" s="658"/>
      <c r="BI511" s="567">
        <v>0</v>
      </c>
      <c r="BJ511" s="567"/>
      <c r="BK511" s="567"/>
      <c r="BL511" s="567"/>
      <c r="BM511" s="660" t="s">
        <v>932</v>
      </c>
      <c r="BN511" s="660"/>
      <c r="BO511" s="660"/>
      <c r="BP511" s="660"/>
      <c r="BQ511" s="568">
        <v>0.2</v>
      </c>
      <c r="BR511" s="568"/>
      <c r="BS511" s="568"/>
      <c r="BT511" s="660" t="s">
        <v>932</v>
      </c>
      <c r="BU511" s="660"/>
      <c r="BV511" s="660"/>
      <c r="BW511" s="660"/>
      <c r="BX511" s="568">
        <v>0.5</v>
      </c>
      <c r="BY511" s="568"/>
      <c r="BZ511" s="568"/>
      <c r="CA511" s="660" t="s">
        <v>932</v>
      </c>
      <c r="CB511" s="660"/>
      <c r="CC511" s="660"/>
      <c r="CD511" s="660"/>
      <c r="CE511" s="568">
        <v>0.3</v>
      </c>
      <c r="CF511" s="568"/>
      <c r="CG511" s="568"/>
      <c r="CH511" s="660" t="s">
        <v>932</v>
      </c>
      <c r="CI511" s="660"/>
      <c r="CJ511" s="660"/>
      <c r="CK511" s="660"/>
      <c r="CL511" s="568" t="s">
        <v>932</v>
      </c>
      <c r="CM511" s="568"/>
      <c r="CN511" s="568"/>
    </row>
    <row r="512" customHeight="1" spans="1:92">
      <c r="A512" s="612" t="s">
        <v>1004</v>
      </c>
      <c r="B512" s="612"/>
      <c r="C512" s="518"/>
      <c r="D512" s="518"/>
      <c r="E512" s="518"/>
      <c r="F512" s="657">
        <v>1107900</v>
      </c>
      <c r="G512" s="657"/>
      <c r="H512" s="657"/>
      <c r="I512" s="519" t="s">
        <v>108</v>
      </c>
      <c r="J512" s="519"/>
      <c r="K512" s="519"/>
      <c r="L512" s="519"/>
      <c r="M512" s="519"/>
      <c r="N512" s="519"/>
      <c r="O512" s="519"/>
      <c r="P512" s="519"/>
      <c r="Q512" s="519"/>
      <c r="R512" s="519"/>
      <c r="S512" s="519"/>
      <c r="T512" s="519"/>
      <c r="U512" s="519"/>
      <c r="V512" s="519"/>
      <c r="W512" s="519"/>
      <c r="X512" s="519"/>
      <c r="Y512" s="519"/>
      <c r="Z512" s="519"/>
      <c r="AA512" s="519"/>
      <c r="AB512" s="526" t="s">
        <v>99</v>
      </c>
      <c r="AC512" s="526"/>
      <c r="AD512" s="658">
        <v>13.62</v>
      </c>
      <c r="AE512" s="658"/>
      <c r="AF512" s="658"/>
      <c r="AG512" s="526" t="s">
        <v>946</v>
      </c>
      <c r="AH512" s="526"/>
      <c r="AI512" s="659" t="s">
        <v>947</v>
      </c>
      <c r="AJ512" s="659"/>
      <c r="AK512" s="659"/>
      <c r="AL512" s="659"/>
      <c r="AM512" s="659"/>
      <c r="AN512" s="659"/>
      <c r="AO512" s="659"/>
      <c r="AP512" s="659"/>
      <c r="AQ512" s="659"/>
      <c r="AR512" s="659"/>
      <c r="AS512" s="659"/>
      <c r="AT512" s="659"/>
      <c r="AU512" s="659"/>
      <c r="AV512" s="659"/>
      <c r="AW512" s="658">
        <v>1</v>
      </c>
      <c r="AX512" s="658"/>
      <c r="AY512" s="658"/>
      <c r="AZ512" s="658">
        <v>3.853</v>
      </c>
      <c r="BA512" s="658"/>
      <c r="BB512" s="658"/>
      <c r="BC512" s="658">
        <v>3.53490786400208</v>
      </c>
      <c r="BD512" s="658"/>
      <c r="BE512" s="658"/>
      <c r="BF512" s="658">
        <v>182.49</v>
      </c>
      <c r="BG512" s="658"/>
      <c r="BH512" s="658"/>
      <c r="BI512" s="567">
        <v>0.0193704195517676</v>
      </c>
      <c r="BJ512" s="567"/>
      <c r="BK512" s="567"/>
      <c r="BL512" s="567"/>
      <c r="BM512" s="660" t="s">
        <v>932</v>
      </c>
      <c r="BN512" s="660"/>
      <c r="BO512" s="660"/>
      <c r="BP512" s="660"/>
      <c r="BQ512" s="568" t="s">
        <v>932</v>
      </c>
      <c r="BR512" s="568"/>
      <c r="BS512" s="568"/>
      <c r="BT512" s="660" t="s">
        <v>932</v>
      </c>
      <c r="BU512" s="660"/>
      <c r="BV512" s="660"/>
      <c r="BW512" s="660"/>
      <c r="BX512" s="568" t="s">
        <v>932</v>
      </c>
      <c r="BY512" s="568"/>
      <c r="BZ512" s="568"/>
      <c r="CA512" s="660" t="s">
        <v>932</v>
      </c>
      <c r="CB512" s="660"/>
      <c r="CC512" s="660"/>
      <c r="CD512" s="660"/>
      <c r="CE512" s="568" t="s">
        <v>932</v>
      </c>
      <c r="CF512" s="568"/>
      <c r="CG512" s="568"/>
      <c r="CH512" s="660">
        <v>0.0193704195517676</v>
      </c>
      <c r="CI512" s="660"/>
      <c r="CJ512" s="660"/>
      <c r="CK512" s="660"/>
      <c r="CL512" s="568">
        <v>1</v>
      </c>
      <c r="CM512" s="568"/>
      <c r="CN512" s="568"/>
    </row>
    <row r="513" customHeight="1" spans="1:92">
      <c r="A513" s="612"/>
      <c r="B513" s="612"/>
      <c r="C513" s="518"/>
      <c r="D513" s="518"/>
      <c r="E513" s="518"/>
      <c r="F513" s="657"/>
      <c r="G513" s="657"/>
      <c r="H513" s="657"/>
      <c r="I513" s="519"/>
      <c r="J513" s="519"/>
      <c r="K513" s="519"/>
      <c r="L513" s="519"/>
      <c r="M513" s="519"/>
      <c r="N513" s="519"/>
      <c r="O513" s="519"/>
      <c r="P513" s="519"/>
      <c r="Q513" s="519"/>
      <c r="R513" s="519"/>
      <c r="S513" s="519"/>
      <c r="T513" s="519"/>
      <c r="U513" s="519"/>
      <c r="V513" s="519"/>
      <c r="W513" s="519"/>
      <c r="X513" s="519"/>
      <c r="Y513" s="519"/>
      <c r="Z513" s="519"/>
      <c r="AA513" s="519"/>
      <c r="AB513" s="526"/>
      <c r="AC513" s="526"/>
      <c r="AD513" s="658"/>
      <c r="AE513" s="658"/>
      <c r="AF513" s="658"/>
      <c r="AG513" s="526" t="s">
        <v>935</v>
      </c>
      <c r="AH513" s="526"/>
      <c r="AI513" s="659" t="s">
        <v>936</v>
      </c>
      <c r="AJ513" s="659"/>
      <c r="AK513" s="659"/>
      <c r="AL513" s="659"/>
      <c r="AM513" s="659"/>
      <c r="AN513" s="659"/>
      <c r="AO513" s="659"/>
      <c r="AP513" s="659"/>
      <c r="AQ513" s="659"/>
      <c r="AR513" s="659"/>
      <c r="AS513" s="659"/>
      <c r="AT513" s="659"/>
      <c r="AU513" s="659"/>
      <c r="AV513" s="659"/>
      <c r="AW513" s="658">
        <v>9</v>
      </c>
      <c r="AX513" s="658"/>
      <c r="AY513" s="658"/>
      <c r="AZ513" s="658"/>
      <c r="BA513" s="658"/>
      <c r="BB513" s="658"/>
      <c r="BC513" s="658">
        <v>31.8141707760187</v>
      </c>
      <c r="BD513" s="658"/>
      <c r="BE513" s="658"/>
      <c r="BF513" s="658">
        <v>182.49</v>
      </c>
      <c r="BG513" s="658"/>
      <c r="BH513" s="658"/>
      <c r="BI513" s="567">
        <v>0.174333775965909</v>
      </c>
      <c r="BJ513" s="567"/>
      <c r="BK513" s="567"/>
      <c r="BL513" s="567"/>
      <c r="BM513" s="660" t="s">
        <v>932</v>
      </c>
      <c r="BN513" s="660"/>
      <c r="BO513" s="660"/>
      <c r="BP513" s="660"/>
      <c r="BQ513" s="568" t="s">
        <v>932</v>
      </c>
      <c r="BR513" s="568"/>
      <c r="BS513" s="568"/>
      <c r="BT513" s="660" t="s">
        <v>932</v>
      </c>
      <c r="BU513" s="660"/>
      <c r="BV513" s="660"/>
      <c r="BW513" s="660"/>
      <c r="BX513" s="568" t="s">
        <v>932</v>
      </c>
      <c r="BY513" s="568"/>
      <c r="BZ513" s="568"/>
      <c r="CA513" s="660" t="s">
        <v>932</v>
      </c>
      <c r="CB513" s="660"/>
      <c r="CC513" s="660"/>
      <c r="CD513" s="660"/>
      <c r="CE513" s="568" t="s">
        <v>932</v>
      </c>
      <c r="CF513" s="568"/>
      <c r="CG513" s="568"/>
      <c r="CH513" s="660">
        <v>0.174333775965909</v>
      </c>
      <c r="CI513" s="660"/>
      <c r="CJ513" s="660"/>
      <c r="CK513" s="660"/>
      <c r="CL513" s="568">
        <v>1</v>
      </c>
      <c r="CM513" s="568"/>
      <c r="CN513" s="568"/>
    </row>
    <row r="514" hidden="1" customHeight="1" spans="1:92">
      <c r="A514" s="612"/>
      <c r="B514" s="612"/>
      <c r="C514" s="518"/>
      <c r="D514" s="518"/>
      <c r="E514" s="518"/>
      <c r="F514" s="657"/>
      <c r="G514" s="657"/>
      <c r="H514" s="657"/>
      <c r="I514" s="519"/>
      <c r="J514" s="519"/>
      <c r="K514" s="519"/>
      <c r="L514" s="519"/>
      <c r="M514" s="519"/>
      <c r="N514" s="519"/>
      <c r="O514" s="519"/>
      <c r="P514" s="519"/>
      <c r="Q514" s="519"/>
      <c r="R514" s="519"/>
      <c r="S514" s="519"/>
      <c r="T514" s="519"/>
      <c r="U514" s="519"/>
      <c r="V514" s="519"/>
      <c r="W514" s="519"/>
      <c r="X514" s="519"/>
      <c r="Y514" s="519"/>
      <c r="Z514" s="519"/>
      <c r="AA514" s="519"/>
      <c r="AB514" s="526"/>
      <c r="AC514" s="526"/>
      <c r="AD514" s="658"/>
      <c r="AE514" s="658"/>
      <c r="AF514" s="658"/>
      <c r="AG514" s="526">
        <v>0</v>
      </c>
      <c r="AH514" s="526"/>
      <c r="AI514" s="659" t="e">
        <v>#N/A</v>
      </c>
      <c r="AJ514" s="659"/>
      <c r="AK514" s="659"/>
      <c r="AL514" s="659"/>
      <c r="AM514" s="659"/>
      <c r="AN514" s="659"/>
      <c r="AO514" s="659"/>
      <c r="AP514" s="659"/>
      <c r="AQ514" s="659"/>
      <c r="AR514" s="659"/>
      <c r="AS514" s="659"/>
      <c r="AT514" s="659"/>
      <c r="AU514" s="659"/>
      <c r="AV514" s="659"/>
      <c r="AW514" s="658">
        <v>0</v>
      </c>
      <c r="AX514" s="658"/>
      <c r="AY514" s="658"/>
      <c r="AZ514" s="658"/>
      <c r="BA514" s="658"/>
      <c r="BB514" s="658"/>
      <c r="BC514" s="658">
        <v>0</v>
      </c>
      <c r="BD514" s="658"/>
      <c r="BE514" s="658"/>
      <c r="BF514" s="658">
        <v>182.49</v>
      </c>
      <c r="BG514" s="658"/>
      <c r="BH514" s="658"/>
      <c r="BI514" s="567">
        <v>0</v>
      </c>
      <c r="BJ514" s="567"/>
      <c r="BK514" s="567"/>
      <c r="BL514" s="567"/>
      <c r="BM514" s="660" t="s">
        <v>932</v>
      </c>
      <c r="BN514" s="660"/>
      <c r="BO514" s="660"/>
      <c r="BP514" s="660"/>
      <c r="BQ514" s="568" t="s">
        <v>932</v>
      </c>
      <c r="BR514" s="568"/>
      <c r="BS514" s="568"/>
      <c r="BT514" s="660" t="s">
        <v>932</v>
      </c>
      <c r="BU514" s="660"/>
      <c r="BV514" s="660"/>
      <c r="BW514" s="660"/>
      <c r="BX514" s="568" t="s">
        <v>932</v>
      </c>
      <c r="BY514" s="568"/>
      <c r="BZ514" s="568"/>
      <c r="CA514" s="660" t="s">
        <v>932</v>
      </c>
      <c r="CB514" s="660"/>
      <c r="CC514" s="660"/>
      <c r="CD514" s="660"/>
      <c r="CE514" s="568" t="s">
        <v>932</v>
      </c>
      <c r="CF514" s="568"/>
      <c r="CG514" s="568"/>
      <c r="CH514" s="660" t="s">
        <v>932</v>
      </c>
      <c r="CI514" s="660"/>
      <c r="CJ514" s="660"/>
      <c r="CK514" s="660"/>
      <c r="CL514" s="568">
        <v>1</v>
      </c>
      <c r="CM514" s="568"/>
      <c r="CN514" s="568"/>
    </row>
    <row r="515" hidden="1" customHeight="1" spans="1:92">
      <c r="A515" s="612"/>
      <c r="B515" s="612"/>
      <c r="C515" s="518"/>
      <c r="D515" s="518"/>
      <c r="E515" s="518"/>
      <c r="F515" s="657"/>
      <c r="G515" s="657"/>
      <c r="H515" s="657"/>
      <c r="I515" s="519"/>
      <c r="J515" s="519"/>
      <c r="K515" s="519"/>
      <c r="L515" s="519"/>
      <c r="M515" s="519"/>
      <c r="N515" s="519"/>
      <c r="O515" s="519"/>
      <c r="P515" s="519"/>
      <c r="Q515" s="519"/>
      <c r="R515" s="519"/>
      <c r="S515" s="519"/>
      <c r="T515" s="519"/>
      <c r="U515" s="519"/>
      <c r="V515" s="519"/>
      <c r="W515" s="519"/>
      <c r="X515" s="519"/>
      <c r="Y515" s="519"/>
      <c r="Z515" s="519"/>
      <c r="AA515" s="519"/>
      <c r="AB515" s="526"/>
      <c r="AC515" s="526"/>
      <c r="AD515" s="658"/>
      <c r="AE515" s="658"/>
      <c r="AF515" s="658"/>
      <c r="AG515" s="526">
        <v>0</v>
      </c>
      <c r="AH515" s="526"/>
      <c r="AI515" s="659" t="e">
        <v>#N/A</v>
      </c>
      <c r="AJ515" s="659"/>
      <c r="AK515" s="659"/>
      <c r="AL515" s="659"/>
      <c r="AM515" s="659"/>
      <c r="AN515" s="659"/>
      <c r="AO515" s="659"/>
      <c r="AP515" s="659"/>
      <c r="AQ515" s="659"/>
      <c r="AR515" s="659"/>
      <c r="AS515" s="659"/>
      <c r="AT515" s="659"/>
      <c r="AU515" s="659"/>
      <c r="AV515" s="659"/>
      <c r="AW515" s="658">
        <v>0</v>
      </c>
      <c r="AX515" s="658"/>
      <c r="AY515" s="658"/>
      <c r="AZ515" s="658"/>
      <c r="BA515" s="658"/>
      <c r="BB515" s="658"/>
      <c r="BC515" s="658">
        <v>0</v>
      </c>
      <c r="BD515" s="658"/>
      <c r="BE515" s="658"/>
      <c r="BF515" s="658">
        <v>182.49</v>
      </c>
      <c r="BG515" s="658"/>
      <c r="BH515" s="658"/>
      <c r="BI515" s="567">
        <v>0</v>
      </c>
      <c r="BJ515" s="567"/>
      <c r="BK515" s="567"/>
      <c r="BL515" s="567"/>
      <c r="BM515" s="660" t="s">
        <v>932</v>
      </c>
      <c r="BN515" s="660"/>
      <c r="BO515" s="660"/>
      <c r="BP515" s="660"/>
      <c r="BQ515" s="568" t="s">
        <v>932</v>
      </c>
      <c r="BR515" s="568"/>
      <c r="BS515" s="568"/>
      <c r="BT515" s="660" t="s">
        <v>932</v>
      </c>
      <c r="BU515" s="660"/>
      <c r="BV515" s="660"/>
      <c r="BW515" s="660"/>
      <c r="BX515" s="568" t="s">
        <v>932</v>
      </c>
      <c r="BY515" s="568"/>
      <c r="BZ515" s="568"/>
      <c r="CA515" s="660" t="s">
        <v>932</v>
      </c>
      <c r="CB515" s="660"/>
      <c r="CC515" s="660"/>
      <c r="CD515" s="660"/>
      <c r="CE515" s="568" t="s">
        <v>932</v>
      </c>
      <c r="CF515" s="568"/>
      <c r="CG515" s="568"/>
      <c r="CH515" s="660" t="s">
        <v>932</v>
      </c>
      <c r="CI515" s="660"/>
      <c r="CJ515" s="660"/>
      <c r="CK515" s="660"/>
      <c r="CL515" s="568">
        <v>1</v>
      </c>
      <c r="CM515" s="568"/>
      <c r="CN515" s="568"/>
    </row>
    <row r="516" hidden="1" customHeight="1" spans="1:92">
      <c r="A516" s="612"/>
      <c r="B516" s="612"/>
      <c r="C516" s="518"/>
      <c r="D516" s="518"/>
      <c r="E516" s="518"/>
      <c r="F516" s="657"/>
      <c r="G516" s="657"/>
      <c r="H516" s="657"/>
      <c r="I516" s="519"/>
      <c r="J516" s="519"/>
      <c r="K516" s="519"/>
      <c r="L516" s="519"/>
      <c r="M516" s="519"/>
      <c r="N516" s="519"/>
      <c r="O516" s="519"/>
      <c r="P516" s="519"/>
      <c r="Q516" s="519"/>
      <c r="R516" s="519"/>
      <c r="S516" s="519"/>
      <c r="T516" s="519"/>
      <c r="U516" s="519"/>
      <c r="V516" s="519"/>
      <c r="W516" s="519"/>
      <c r="X516" s="519"/>
      <c r="Y516" s="519"/>
      <c r="Z516" s="519"/>
      <c r="AA516" s="519"/>
      <c r="AB516" s="526"/>
      <c r="AC516" s="526"/>
      <c r="AD516" s="658"/>
      <c r="AE516" s="658"/>
      <c r="AF516" s="658"/>
      <c r="AG516" s="526">
        <v>0</v>
      </c>
      <c r="AH516" s="526"/>
      <c r="AI516" s="659" t="e">
        <v>#N/A</v>
      </c>
      <c r="AJ516" s="659"/>
      <c r="AK516" s="659"/>
      <c r="AL516" s="659"/>
      <c r="AM516" s="659"/>
      <c r="AN516" s="659"/>
      <c r="AO516" s="659"/>
      <c r="AP516" s="659"/>
      <c r="AQ516" s="659"/>
      <c r="AR516" s="659"/>
      <c r="AS516" s="659"/>
      <c r="AT516" s="659"/>
      <c r="AU516" s="659"/>
      <c r="AV516" s="659"/>
      <c r="AW516" s="658">
        <v>0</v>
      </c>
      <c r="AX516" s="658"/>
      <c r="AY516" s="658"/>
      <c r="AZ516" s="658"/>
      <c r="BA516" s="658"/>
      <c r="BB516" s="658"/>
      <c r="BC516" s="658">
        <v>0</v>
      </c>
      <c r="BD516" s="658"/>
      <c r="BE516" s="658"/>
      <c r="BF516" s="658">
        <v>182.49</v>
      </c>
      <c r="BG516" s="658"/>
      <c r="BH516" s="658"/>
      <c r="BI516" s="567">
        <v>0</v>
      </c>
      <c r="BJ516" s="567"/>
      <c r="BK516" s="567"/>
      <c r="BL516" s="567"/>
      <c r="BM516" s="660" t="s">
        <v>932</v>
      </c>
      <c r="BN516" s="660"/>
      <c r="BO516" s="660"/>
      <c r="BP516" s="660"/>
      <c r="BQ516" s="568" t="s">
        <v>932</v>
      </c>
      <c r="BR516" s="568"/>
      <c r="BS516" s="568"/>
      <c r="BT516" s="660" t="s">
        <v>932</v>
      </c>
      <c r="BU516" s="660"/>
      <c r="BV516" s="660"/>
      <c r="BW516" s="660"/>
      <c r="BX516" s="568" t="s">
        <v>932</v>
      </c>
      <c r="BY516" s="568"/>
      <c r="BZ516" s="568"/>
      <c r="CA516" s="660" t="s">
        <v>932</v>
      </c>
      <c r="CB516" s="660"/>
      <c r="CC516" s="660"/>
      <c r="CD516" s="660"/>
      <c r="CE516" s="568" t="s">
        <v>932</v>
      </c>
      <c r="CF516" s="568"/>
      <c r="CG516" s="568"/>
      <c r="CH516" s="660" t="s">
        <v>932</v>
      </c>
      <c r="CI516" s="660"/>
      <c r="CJ516" s="660"/>
      <c r="CK516" s="660"/>
      <c r="CL516" s="568">
        <v>1</v>
      </c>
      <c r="CM516" s="568"/>
      <c r="CN516" s="568"/>
    </row>
    <row r="517" hidden="1" customHeight="1" spans="1:92">
      <c r="A517" s="612"/>
      <c r="B517" s="612"/>
      <c r="C517" s="518"/>
      <c r="D517" s="518"/>
      <c r="E517" s="518"/>
      <c r="F517" s="657"/>
      <c r="G517" s="657"/>
      <c r="H517" s="657"/>
      <c r="I517" s="519"/>
      <c r="J517" s="519"/>
      <c r="K517" s="519"/>
      <c r="L517" s="519"/>
      <c r="M517" s="519"/>
      <c r="N517" s="519"/>
      <c r="O517" s="519"/>
      <c r="P517" s="519"/>
      <c r="Q517" s="519"/>
      <c r="R517" s="519"/>
      <c r="S517" s="519"/>
      <c r="T517" s="519"/>
      <c r="U517" s="519"/>
      <c r="V517" s="519"/>
      <c r="W517" s="519"/>
      <c r="X517" s="519"/>
      <c r="Y517" s="519"/>
      <c r="Z517" s="519"/>
      <c r="AA517" s="519"/>
      <c r="AB517" s="526"/>
      <c r="AC517" s="526"/>
      <c r="AD517" s="658"/>
      <c r="AE517" s="658"/>
      <c r="AF517" s="658"/>
      <c r="AG517" s="526">
        <v>0</v>
      </c>
      <c r="AH517" s="526"/>
      <c r="AI517" s="659" t="e">
        <v>#N/A</v>
      </c>
      <c r="AJ517" s="659"/>
      <c r="AK517" s="659"/>
      <c r="AL517" s="659"/>
      <c r="AM517" s="659"/>
      <c r="AN517" s="659"/>
      <c r="AO517" s="659"/>
      <c r="AP517" s="659"/>
      <c r="AQ517" s="659"/>
      <c r="AR517" s="659"/>
      <c r="AS517" s="659"/>
      <c r="AT517" s="659"/>
      <c r="AU517" s="659"/>
      <c r="AV517" s="659"/>
      <c r="AW517" s="658">
        <v>0</v>
      </c>
      <c r="AX517" s="658"/>
      <c r="AY517" s="658"/>
      <c r="AZ517" s="658"/>
      <c r="BA517" s="658"/>
      <c r="BB517" s="658"/>
      <c r="BC517" s="658">
        <v>0</v>
      </c>
      <c r="BD517" s="658"/>
      <c r="BE517" s="658"/>
      <c r="BF517" s="658">
        <v>182.49</v>
      </c>
      <c r="BG517" s="658"/>
      <c r="BH517" s="658"/>
      <c r="BI517" s="567">
        <v>0</v>
      </c>
      <c r="BJ517" s="567"/>
      <c r="BK517" s="567"/>
      <c r="BL517" s="567"/>
      <c r="BM517" s="660" t="s">
        <v>932</v>
      </c>
      <c r="BN517" s="660"/>
      <c r="BO517" s="660"/>
      <c r="BP517" s="660"/>
      <c r="BQ517" s="568" t="s">
        <v>932</v>
      </c>
      <c r="BR517" s="568"/>
      <c r="BS517" s="568"/>
      <c r="BT517" s="660" t="s">
        <v>932</v>
      </c>
      <c r="BU517" s="660"/>
      <c r="BV517" s="660"/>
      <c r="BW517" s="660"/>
      <c r="BX517" s="568" t="s">
        <v>932</v>
      </c>
      <c r="BY517" s="568"/>
      <c r="BZ517" s="568"/>
      <c r="CA517" s="660" t="s">
        <v>932</v>
      </c>
      <c r="CB517" s="660"/>
      <c r="CC517" s="660"/>
      <c r="CD517" s="660"/>
      <c r="CE517" s="568" t="s">
        <v>932</v>
      </c>
      <c r="CF517" s="568"/>
      <c r="CG517" s="568"/>
      <c r="CH517" s="660" t="s">
        <v>932</v>
      </c>
      <c r="CI517" s="660"/>
      <c r="CJ517" s="660"/>
      <c r="CK517" s="660"/>
      <c r="CL517" s="568">
        <v>1</v>
      </c>
      <c r="CM517" s="568"/>
      <c r="CN517" s="568"/>
    </row>
    <row r="518" hidden="1" customHeight="1" spans="1:92">
      <c r="A518" s="612"/>
      <c r="B518" s="612"/>
      <c r="C518" s="518"/>
      <c r="D518" s="518"/>
      <c r="E518" s="518"/>
      <c r="F518" s="657"/>
      <c r="G518" s="657"/>
      <c r="H518" s="657"/>
      <c r="I518" s="519"/>
      <c r="J518" s="519"/>
      <c r="K518" s="519"/>
      <c r="L518" s="519"/>
      <c r="M518" s="519"/>
      <c r="N518" s="519"/>
      <c r="O518" s="519"/>
      <c r="P518" s="519"/>
      <c r="Q518" s="519"/>
      <c r="R518" s="519"/>
      <c r="S518" s="519"/>
      <c r="T518" s="519"/>
      <c r="U518" s="519"/>
      <c r="V518" s="519"/>
      <c r="W518" s="519"/>
      <c r="X518" s="519"/>
      <c r="Y518" s="519"/>
      <c r="Z518" s="519"/>
      <c r="AA518" s="519"/>
      <c r="AB518" s="526"/>
      <c r="AC518" s="526"/>
      <c r="AD518" s="658"/>
      <c r="AE518" s="658"/>
      <c r="AF518" s="658"/>
      <c r="AG518" s="526">
        <v>0</v>
      </c>
      <c r="AH518" s="526"/>
      <c r="AI518" s="659" t="e">
        <v>#N/A</v>
      </c>
      <c r="AJ518" s="659"/>
      <c r="AK518" s="659"/>
      <c r="AL518" s="659"/>
      <c r="AM518" s="659"/>
      <c r="AN518" s="659"/>
      <c r="AO518" s="659"/>
      <c r="AP518" s="659"/>
      <c r="AQ518" s="659"/>
      <c r="AR518" s="659"/>
      <c r="AS518" s="659"/>
      <c r="AT518" s="659"/>
      <c r="AU518" s="659"/>
      <c r="AV518" s="659"/>
      <c r="AW518" s="658">
        <v>0</v>
      </c>
      <c r="AX518" s="658"/>
      <c r="AY518" s="658"/>
      <c r="AZ518" s="658"/>
      <c r="BA518" s="658"/>
      <c r="BB518" s="658"/>
      <c r="BC518" s="658">
        <v>0</v>
      </c>
      <c r="BD518" s="658"/>
      <c r="BE518" s="658"/>
      <c r="BF518" s="658">
        <v>182.49</v>
      </c>
      <c r="BG518" s="658"/>
      <c r="BH518" s="658"/>
      <c r="BI518" s="567">
        <v>0</v>
      </c>
      <c r="BJ518" s="567"/>
      <c r="BK518" s="567"/>
      <c r="BL518" s="567"/>
      <c r="BM518" s="660" t="s">
        <v>932</v>
      </c>
      <c r="BN518" s="660"/>
      <c r="BO518" s="660"/>
      <c r="BP518" s="660"/>
      <c r="BQ518" s="568" t="s">
        <v>932</v>
      </c>
      <c r="BR518" s="568"/>
      <c r="BS518" s="568"/>
      <c r="BT518" s="660" t="s">
        <v>932</v>
      </c>
      <c r="BU518" s="660"/>
      <c r="BV518" s="660"/>
      <c r="BW518" s="660"/>
      <c r="BX518" s="568" t="s">
        <v>932</v>
      </c>
      <c r="BY518" s="568"/>
      <c r="BZ518" s="568"/>
      <c r="CA518" s="660" t="s">
        <v>932</v>
      </c>
      <c r="CB518" s="660"/>
      <c r="CC518" s="660"/>
      <c r="CD518" s="660"/>
      <c r="CE518" s="568" t="s">
        <v>932</v>
      </c>
      <c r="CF518" s="568"/>
      <c r="CG518" s="568"/>
      <c r="CH518" s="660" t="s">
        <v>932</v>
      </c>
      <c r="CI518" s="660"/>
      <c r="CJ518" s="660"/>
      <c r="CK518" s="660"/>
      <c r="CL518" s="568">
        <v>1</v>
      </c>
      <c r="CM518" s="568"/>
      <c r="CN518" s="568"/>
    </row>
    <row r="519" hidden="1" customHeight="1" spans="1:92">
      <c r="A519" s="612"/>
      <c r="B519" s="612"/>
      <c r="C519" s="518"/>
      <c r="D519" s="518"/>
      <c r="E519" s="518"/>
      <c r="F519" s="657"/>
      <c r="G519" s="657"/>
      <c r="H519" s="657"/>
      <c r="I519" s="519"/>
      <c r="J519" s="519"/>
      <c r="K519" s="519"/>
      <c r="L519" s="519"/>
      <c r="M519" s="519"/>
      <c r="N519" s="519"/>
      <c r="O519" s="519"/>
      <c r="P519" s="519"/>
      <c r="Q519" s="519"/>
      <c r="R519" s="519"/>
      <c r="S519" s="519"/>
      <c r="T519" s="519"/>
      <c r="U519" s="519"/>
      <c r="V519" s="519"/>
      <c r="W519" s="519"/>
      <c r="X519" s="519"/>
      <c r="Y519" s="519"/>
      <c r="Z519" s="519"/>
      <c r="AA519" s="519"/>
      <c r="AB519" s="526"/>
      <c r="AC519" s="526"/>
      <c r="AD519" s="658"/>
      <c r="AE519" s="658"/>
      <c r="AF519" s="658"/>
      <c r="AG519" s="526">
        <v>0</v>
      </c>
      <c r="AH519" s="526"/>
      <c r="AI519" s="659" t="e">
        <v>#N/A</v>
      </c>
      <c r="AJ519" s="659"/>
      <c r="AK519" s="659"/>
      <c r="AL519" s="659"/>
      <c r="AM519" s="659"/>
      <c r="AN519" s="659"/>
      <c r="AO519" s="659"/>
      <c r="AP519" s="659"/>
      <c r="AQ519" s="659"/>
      <c r="AR519" s="659"/>
      <c r="AS519" s="659"/>
      <c r="AT519" s="659"/>
      <c r="AU519" s="659"/>
      <c r="AV519" s="659"/>
      <c r="AW519" s="658">
        <v>0</v>
      </c>
      <c r="AX519" s="658"/>
      <c r="AY519" s="658"/>
      <c r="AZ519" s="658"/>
      <c r="BA519" s="658"/>
      <c r="BB519" s="658"/>
      <c r="BC519" s="658">
        <v>0</v>
      </c>
      <c r="BD519" s="658"/>
      <c r="BE519" s="658"/>
      <c r="BF519" s="658">
        <v>182.49</v>
      </c>
      <c r="BG519" s="658"/>
      <c r="BH519" s="658"/>
      <c r="BI519" s="567">
        <v>0</v>
      </c>
      <c r="BJ519" s="567"/>
      <c r="BK519" s="567"/>
      <c r="BL519" s="567"/>
      <c r="BM519" s="660" t="s">
        <v>932</v>
      </c>
      <c r="BN519" s="660"/>
      <c r="BO519" s="660"/>
      <c r="BP519" s="660"/>
      <c r="BQ519" s="568" t="s">
        <v>932</v>
      </c>
      <c r="BR519" s="568"/>
      <c r="BS519" s="568"/>
      <c r="BT519" s="660" t="s">
        <v>932</v>
      </c>
      <c r="BU519" s="660"/>
      <c r="BV519" s="660"/>
      <c r="BW519" s="660"/>
      <c r="BX519" s="568" t="s">
        <v>932</v>
      </c>
      <c r="BY519" s="568"/>
      <c r="BZ519" s="568"/>
      <c r="CA519" s="660" t="s">
        <v>932</v>
      </c>
      <c r="CB519" s="660"/>
      <c r="CC519" s="660"/>
      <c r="CD519" s="660"/>
      <c r="CE519" s="568" t="s">
        <v>932</v>
      </c>
      <c r="CF519" s="568"/>
      <c r="CG519" s="568"/>
      <c r="CH519" s="660" t="s">
        <v>932</v>
      </c>
      <c r="CI519" s="660"/>
      <c r="CJ519" s="660"/>
      <c r="CK519" s="660"/>
      <c r="CL519" s="568">
        <v>1</v>
      </c>
      <c r="CM519" s="568"/>
      <c r="CN519" s="568"/>
    </row>
    <row r="520" customHeight="1" spans="1:92">
      <c r="A520" s="612" t="s">
        <v>1005</v>
      </c>
      <c r="B520" s="612"/>
      <c r="C520" s="518"/>
      <c r="D520" s="518"/>
      <c r="E520" s="518"/>
      <c r="F520" s="657">
        <v>1106057</v>
      </c>
      <c r="G520" s="657"/>
      <c r="H520" s="657"/>
      <c r="I520" s="519" t="s">
        <v>109</v>
      </c>
      <c r="J520" s="519"/>
      <c r="K520" s="519"/>
      <c r="L520" s="519"/>
      <c r="M520" s="519"/>
      <c r="N520" s="519"/>
      <c r="O520" s="519"/>
      <c r="P520" s="519"/>
      <c r="Q520" s="519"/>
      <c r="R520" s="519"/>
      <c r="S520" s="519"/>
      <c r="T520" s="519"/>
      <c r="U520" s="519"/>
      <c r="V520" s="519"/>
      <c r="W520" s="519"/>
      <c r="X520" s="519"/>
      <c r="Y520" s="519"/>
      <c r="Z520" s="519"/>
      <c r="AA520" s="519"/>
      <c r="AB520" s="526" t="s">
        <v>99</v>
      </c>
      <c r="AC520" s="526"/>
      <c r="AD520" s="658">
        <v>2.4</v>
      </c>
      <c r="AE520" s="658"/>
      <c r="AF520" s="658"/>
      <c r="AG520" s="526" t="s">
        <v>946</v>
      </c>
      <c r="AH520" s="526"/>
      <c r="AI520" s="659" t="s">
        <v>947</v>
      </c>
      <c r="AJ520" s="659"/>
      <c r="AK520" s="659"/>
      <c r="AL520" s="659"/>
      <c r="AM520" s="659"/>
      <c r="AN520" s="659"/>
      <c r="AO520" s="659"/>
      <c r="AP520" s="659"/>
      <c r="AQ520" s="659"/>
      <c r="AR520" s="659"/>
      <c r="AS520" s="659"/>
      <c r="AT520" s="659"/>
      <c r="AU520" s="659"/>
      <c r="AV520" s="659"/>
      <c r="AW520" s="658">
        <v>1</v>
      </c>
      <c r="AX520" s="658"/>
      <c r="AY520" s="658"/>
      <c r="AZ520" s="658">
        <v>3.92899</v>
      </c>
      <c r="BA520" s="658"/>
      <c r="BB520" s="658"/>
      <c r="BC520" s="658">
        <v>0.610844008256575</v>
      </c>
      <c r="BD520" s="658"/>
      <c r="BE520" s="658"/>
      <c r="BF520" s="658">
        <v>182.49</v>
      </c>
      <c r="BG520" s="658"/>
      <c r="BH520" s="658"/>
      <c r="BI520" s="567">
        <v>0.00334727386846717</v>
      </c>
      <c r="BJ520" s="567"/>
      <c r="BK520" s="567"/>
      <c r="BL520" s="567"/>
      <c r="BM520" s="660" t="s">
        <v>932</v>
      </c>
      <c r="BN520" s="660"/>
      <c r="BO520" s="660"/>
      <c r="BP520" s="660"/>
      <c r="BQ520" s="568" t="s">
        <v>932</v>
      </c>
      <c r="BR520" s="568"/>
      <c r="BS520" s="568"/>
      <c r="BT520" s="660" t="s">
        <v>932</v>
      </c>
      <c r="BU520" s="660"/>
      <c r="BV520" s="660"/>
      <c r="BW520" s="660"/>
      <c r="BX520" s="568" t="s">
        <v>932</v>
      </c>
      <c r="BY520" s="568"/>
      <c r="BZ520" s="568"/>
      <c r="CA520" s="660" t="s">
        <v>932</v>
      </c>
      <c r="CB520" s="660"/>
      <c r="CC520" s="660"/>
      <c r="CD520" s="660"/>
      <c r="CE520" s="568" t="s">
        <v>932</v>
      </c>
      <c r="CF520" s="568"/>
      <c r="CG520" s="568"/>
      <c r="CH520" s="660">
        <v>0.00334727386846717</v>
      </c>
      <c r="CI520" s="660"/>
      <c r="CJ520" s="660"/>
      <c r="CK520" s="660"/>
      <c r="CL520" s="568">
        <v>1</v>
      </c>
      <c r="CM520" s="568"/>
      <c r="CN520" s="568"/>
    </row>
    <row r="521" customHeight="1" spans="1:92">
      <c r="A521" s="612"/>
      <c r="B521" s="612"/>
      <c r="C521" s="518"/>
      <c r="D521" s="518"/>
      <c r="E521" s="518"/>
      <c r="F521" s="657"/>
      <c r="G521" s="657"/>
      <c r="H521" s="657"/>
      <c r="I521" s="519"/>
      <c r="J521" s="519"/>
      <c r="K521" s="519"/>
      <c r="L521" s="519"/>
      <c r="M521" s="519"/>
      <c r="N521" s="519"/>
      <c r="O521" s="519"/>
      <c r="P521" s="519"/>
      <c r="Q521" s="519"/>
      <c r="R521" s="519"/>
      <c r="S521" s="519"/>
      <c r="T521" s="519"/>
      <c r="U521" s="519"/>
      <c r="V521" s="519"/>
      <c r="W521" s="519"/>
      <c r="X521" s="519"/>
      <c r="Y521" s="519"/>
      <c r="Z521" s="519"/>
      <c r="AA521" s="519"/>
      <c r="AB521" s="526"/>
      <c r="AC521" s="526"/>
      <c r="AD521" s="658"/>
      <c r="AE521" s="658"/>
      <c r="AF521" s="658"/>
      <c r="AG521" s="526" t="s">
        <v>935</v>
      </c>
      <c r="AH521" s="526"/>
      <c r="AI521" s="659" t="s">
        <v>936</v>
      </c>
      <c r="AJ521" s="659"/>
      <c r="AK521" s="659"/>
      <c r="AL521" s="659"/>
      <c r="AM521" s="659"/>
      <c r="AN521" s="659"/>
      <c r="AO521" s="659"/>
      <c r="AP521" s="659"/>
      <c r="AQ521" s="659"/>
      <c r="AR521" s="659"/>
      <c r="AS521" s="659"/>
      <c r="AT521" s="659"/>
      <c r="AU521" s="659"/>
      <c r="AV521" s="659"/>
      <c r="AW521" s="658">
        <v>9</v>
      </c>
      <c r="AX521" s="658"/>
      <c r="AY521" s="658"/>
      <c r="AZ521" s="658"/>
      <c r="BA521" s="658"/>
      <c r="BB521" s="658"/>
      <c r="BC521" s="658">
        <v>5.49759607430917</v>
      </c>
      <c r="BD521" s="658"/>
      <c r="BE521" s="658"/>
      <c r="BF521" s="658">
        <v>182.49</v>
      </c>
      <c r="BG521" s="658"/>
      <c r="BH521" s="658"/>
      <c r="BI521" s="567">
        <v>0.0301254648162046</v>
      </c>
      <c r="BJ521" s="567"/>
      <c r="BK521" s="567"/>
      <c r="BL521" s="567"/>
      <c r="BM521" s="660" t="s">
        <v>932</v>
      </c>
      <c r="BN521" s="660"/>
      <c r="BO521" s="660"/>
      <c r="BP521" s="660"/>
      <c r="BQ521" s="568" t="s">
        <v>932</v>
      </c>
      <c r="BR521" s="568"/>
      <c r="BS521" s="568"/>
      <c r="BT521" s="660" t="s">
        <v>932</v>
      </c>
      <c r="BU521" s="660"/>
      <c r="BV521" s="660"/>
      <c r="BW521" s="660"/>
      <c r="BX521" s="568" t="s">
        <v>932</v>
      </c>
      <c r="BY521" s="568"/>
      <c r="BZ521" s="568"/>
      <c r="CA521" s="660" t="s">
        <v>932</v>
      </c>
      <c r="CB521" s="660"/>
      <c r="CC521" s="660"/>
      <c r="CD521" s="660"/>
      <c r="CE521" s="568" t="s">
        <v>932</v>
      </c>
      <c r="CF521" s="568"/>
      <c r="CG521" s="568"/>
      <c r="CH521" s="660">
        <v>0.0301254648162046</v>
      </c>
      <c r="CI521" s="660"/>
      <c r="CJ521" s="660"/>
      <c r="CK521" s="660"/>
      <c r="CL521" s="568">
        <v>1</v>
      </c>
      <c r="CM521" s="568"/>
      <c r="CN521" s="568"/>
    </row>
    <row r="522" hidden="1" customHeight="1" spans="1:92">
      <c r="A522" s="612"/>
      <c r="B522" s="612"/>
      <c r="C522" s="518"/>
      <c r="D522" s="518"/>
      <c r="E522" s="518"/>
      <c r="F522" s="657"/>
      <c r="G522" s="657"/>
      <c r="H522" s="657"/>
      <c r="I522" s="519"/>
      <c r="J522" s="519"/>
      <c r="K522" s="519"/>
      <c r="L522" s="519"/>
      <c r="M522" s="519"/>
      <c r="N522" s="519"/>
      <c r="O522" s="519"/>
      <c r="P522" s="519"/>
      <c r="Q522" s="519"/>
      <c r="R522" s="519"/>
      <c r="S522" s="519"/>
      <c r="T522" s="519"/>
      <c r="U522" s="519"/>
      <c r="V522" s="519"/>
      <c r="W522" s="519"/>
      <c r="X522" s="519"/>
      <c r="Y522" s="519"/>
      <c r="Z522" s="519"/>
      <c r="AA522" s="519"/>
      <c r="AB522" s="526"/>
      <c r="AC522" s="526"/>
      <c r="AD522" s="658"/>
      <c r="AE522" s="658"/>
      <c r="AF522" s="658"/>
      <c r="AG522" s="526">
        <v>0</v>
      </c>
      <c r="AH522" s="526"/>
      <c r="AI522" s="659" t="e">
        <v>#N/A</v>
      </c>
      <c r="AJ522" s="659"/>
      <c r="AK522" s="659"/>
      <c r="AL522" s="659"/>
      <c r="AM522" s="659"/>
      <c r="AN522" s="659"/>
      <c r="AO522" s="659"/>
      <c r="AP522" s="659"/>
      <c r="AQ522" s="659"/>
      <c r="AR522" s="659"/>
      <c r="AS522" s="659"/>
      <c r="AT522" s="659"/>
      <c r="AU522" s="659"/>
      <c r="AV522" s="659"/>
      <c r="AW522" s="658">
        <v>0</v>
      </c>
      <c r="AX522" s="658"/>
      <c r="AY522" s="658"/>
      <c r="AZ522" s="658"/>
      <c r="BA522" s="658"/>
      <c r="BB522" s="658"/>
      <c r="BC522" s="658">
        <v>0</v>
      </c>
      <c r="BD522" s="658"/>
      <c r="BE522" s="658"/>
      <c r="BF522" s="658">
        <v>182.49</v>
      </c>
      <c r="BG522" s="658"/>
      <c r="BH522" s="658"/>
      <c r="BI522" s="567">
        <v>0</v>
      </c>
      <c r="BJ522" s="567"/>
      <c r="BK522" s="567"/>
      <c r="BL522" s="567"/>
      <c r="BM522" s="660" t="s">
        <v>932</v>
      </c>
      <c r="BN522" s="660"/>
      <c r="BO522" s="660"/>
      <c r="BP522" s="660"/>
      <c r="BQ522" s="568" t="s">
        <v>932</v>
      </c>
      <c r="BR522" s="568"/>
      <c r="BS522" s="568"/>
      <c r="BT522" s="660" t="s">
        <v>932</v>
      </c>
      <c r="BU522" s="660"/>
      <c r="BV522" s="660"/>
      <c r="BW522" s="660"/>
      <c r="BX522" s="568" t="s">
        <v>932</v>
      </c>
      <c r="BY522" s="568"/>
      <c r="BZ522" s="568"/>
      <c r="CA522" s="660" t="s">
        <v>932</v>
      </c>
      <c r="CB522" s="660"/>
      <c r="CC522" s="660"/>
      <c r="CD522" s="660"/>
      <c r="CE522" s="568" t="s">
        <v>932</v>
      </c>
      <c r="CF522" s="568"/>
      <c r="CG522" s="568"/>
      <c r="CH522" s="660" t="s">
        <v>932</v>
      </c>
      <c r="CI522" s="660"/>
      <c r="CJ522" s="660"/>
      <c r="CK522" s="660"/>
      <c r="CL522" s="568">
        <v>1</v>
      </c>
      <c r="CM522" s="568"/>
      <c r="CN522" s="568"/>
    </row>
    <row r="523" hidden="1" customHeight="1" spans="1:92">
      <c r="A523" s="612"/>
      <c r="B523" s="612"/>
      <c r="C523" s="518"/>
      <c r="D523" s="518"/>
      <c r="E523" s="518"/>
      <c r="F523" s="657"/>
      <c r="G523" s="657"/>
      <c r="H523" s="657"/>
      <c r="I523" s="519"/>
      <c r="J523" s="519"/>
      <c r="K523" s="519"/>
      <c r="L523" s="519"/>
      <c r="M523" s="519"/>
      <c r="N523" s="519"/>
      <c r="O523" s="519"/>
      <c r="P523" s="519"/>
      <c r="Q523" s="519"/>
      <c r="R523" s="519"/>
      <c r="S523" s="519"/>
      <c r="T523" s="519"/>
      <c r="U523" s="519"/>
      <c r="V523" s="519"/>
      <c r="W523" s="519"/>
      <c r="X523" s="519"/>
      <c r="Y523" s="519"/>
      <c r="Z523" s="519"/>
      <c r="AA523" s="519"/>
      <c r="AB523" s="526"/>
      <c r="AC523" s="526"/>
      <c r="AD523" s="658"/>
      <c r="AE523" s="658"/>
      <c r="AF523" s="658"/>
      <c r="AG523" s="526">
        <v>0</v>
      </c>
      <c r="AH523" s="526"/>
      <c r="AI523" s="659" t="e">
        <v>#N/A</v>
      </c>
      <c r="AJ523" s="659"/>
      <c r="AK523" s="659"/>
      <c r="AL523" s="659"/>
      <c r="AM523" s="659"/>
      <c r="AN523" s="659"/>
      <c r="AO523" s="659"/>
      <c r="AP523" s="659"/>
      <c r="AQ523" s="659"/>
      <c r="AR523" s="659"/>
      <c r="AS523" s="659"/>
      <c r="AT523" s="659"/>
      <c r="AU523" s="659"/>
      <c r="AV523" s="659"/>
      <c r="AW523" s="658">
        <v>0</v>
      </c>
      <c r="AX523" s="658"/>
      <c r="AY523" s="658"/>
      <c r="AZ523" s="658"/>
      <c r="BA523" s="658"/>
      <c r="BB523" s="658"/>
      <c r="BC523" s="658">
        <v>0</v>
      </c>
      <c r="BD523" s="658"/>
      <c r="BE523" s="658"/>
      <c r="BF523" s="658">
        <v>182.49</v>
      </c>
      <c r="BG523" s="658"/>
      <c r="BH523" s="658"/>
      <c r="BI523" s="567">
        <v>0</v>
      </c>
      <c r="BJ523" s="567"/>
      <c r="BK523" s="567"/>
      <c r="BL523" s="567"/>
      <c r="BM523" s="660" t="s">
        <v>932</v>
      </c>
      <c r="BN523" s="660"/>
      <c r="BO523" s="660"/>
      <c r="BP523" s="660"/>
      <c r="BQ523" s="568" t="s">
        <v>932</v>
      </c>
      <c r="BR523" s="568"/>
      <c r="BS523" s="568"/>
      <c r="BT523" s="660" t="s">
        <v>932</v>
      </c>
      <c r="BU523" s="660"/>
      <c r="BV523" s="660"/>
      <c r="BW523" s="660"/>
      <c r="BX523" s="568" t="s">
        <v>932</v>
      </c>
      <c r="BY523" s="568"/>
      <c r="BZ523" s="568"/>
      <c r="CA523" s="660" t="s">
        <v>932</v>
      </c>
      <c r="CB523" s="660"/>
      <c r="CC523" s="660"/>
      <c r="CD523" s="660"/>
      <c r="CE523" s="568" t="s">
        <v>932</v>
      </c>
      <c r="CF523" s="568"/>
      <c r="CG523" s="568"/>
      <c r="CH523" s="660" t="s">
        <v>932</v>
      </c>
      <c r="CI523" s="660"/>
      <c r="CJ523" s="660"/>
      <c r="CK523" s="660"/>
      <c r="CL523" s="568">
        <v>1</v>
      </c>
      <c r="CM523" s="568"/>
      <c r="CN523" s="568"/>
    </row>
    <row r="524" hidden="1" customHeight="1" spans="1:92">
      <c r="A524" s="612"/>
      <c r="B524" s="612"/>
      <c r="C524" s="518"/>
      <c r="D524" s="518"/>
      <c r="E524" s="518"/>
      <c r="F524" s="657"/>
      <c r="G524" s="657"/>
      <c r="H524" s="657"/>
      <c r="I524" s="519"/>
      <c r="J524" s="519"/>
      <c r="K524" s="519"/>
      <c r="L524" s="519"/>
      <c r="M524" s="519"/>
      <c r="N524" s="519"/>
      <c r="O524" s="519"/>
      <c r="P524" s="519"/>
      <c r="Q524" s="519"/>
      <c r="R524" s="519"/>
      <c r="S524" s="519"/>
      <c r="T524" s="519"/>
      <c r="U524" s="519"/>
      <c r="V524" s="519"/>
      <c r="W524" s="519"/>
      <c r="X524" s="519"/>
      <c r="Y524" s="519"/>
      <c r="Z524" s="519"/>
      <c r="AA524" s="519"/>
      <c r="AB524" s="526"/>
      <c r="AC524" s="526"/>
      <c r="AD524" s="658"/>
      <c r="AE524" s="658"/>
      <c r="AF524" s="658"/>
      <c r="AG524" s="526">
        <v>0</v>
      </c>
      <c r="AH524" s="526"/>
      <c r="AI524" s="659" t="e">
        <v>#N/A</v>
      </c>
      <c r="AJ524" s="659"/>
      <c r="AK524" s="659"/>
      <c r="AL524" s="659"/>
      <c r="AM524" s="659"/>
      <c r="AN524" s="659"/>
      <c r="AO524" s="659"/>
      <c r="AP524" s="659"/>
      <c r="AQ524" s="659"/>
      <c r="AR524" s="659"/>
      <c r="AS524" s="659"/>
      <c r="AT524" s="659"/>
      <c r="AU524" s="659"/>
      <c r="AV524" s="659"/>
      <c r="AW524" s="658">
        <v>0</v>
      </c>
      <c r="AX524" s="658"/>
      <c r="AY524" s="658"/>
      <c r="AZ524" s="658"/>
      <c r="BA524" s="658"/>
      <c r="BB524" s="658"/>
      <c r="BC524" s="658">
        <v>0</v>
      </c>
      <c r="BD524" s="658"/>
      <c r="BE524" s="658"/>
      <c r="BF524" s="658">
        <v>182.49</v>
      </c>
      <c r="BG524" s="658"/>
      <c r="BH524" s="658"/>
      <c r="BI524" s="567">
        <v>0</v>
      </c>
      <c r="BJ524" s="567"/>
      <c r="BK524" s="567"/>
      <c r="BL524" s="567"/>
      <c r="BM524" s="660" t="s">
        <v>932</v>
      </c>
      <c r="BN524" s="660"/>
      <c r="BO524" s="660"/>
      <c r="BP524" s="660"/>
      <c r="BQ524" s="568" t="s">
        <v>932</v>
      </c>
      <c r="BR524" s="568"/>
      <c r="BS524" s="568"/>
      <c r="BT524" s="660" t="s">
        <v>932</v>
      </c>
      <c r="BU524" s="660"/>
      <c r="BV524" s="660"/>
      <c r="BW524" s="660"/>
      <c r="BX524" s="568" t="s">
        <v>932</v>
      </c>
      <c r="BY524" s="568"/>
      <c r="BZ524" s="568"/>
      <c r="CA524" s="660" t="s">
        <v>932</v>
      </c>
      <c r="CB524" s="660"/>
      <c r="CC524" s="660"/>
      <c r="CD524" s="660"/>
      <c r="CE524" s="568" t="s">
        <v>932</v>
      </c>
      <c r="CF524" s="568"/>
      <c r="CG524" s="568"/>
      <c r="CH524" s="660" t="s">
        <v>932</v>
      </c>
      <c r="CI524" s="660"/>
      <c r="CJ524" s="660"/>
      <c r="CK524" s="660"/>
      <c r="CL524" s="568">
        <v>1</v>
      </c>
      <c r="CM524" s="568"/>
      <c r="CN524" s="568"/>
    </row>
    <row r="525" hidden="1" customHeight="1" spans="1:92">
      <c r="A525" s="612"/>
      <c r="B525" s="612"/>
      <c r="C525" s="518"/>
      <c r="D525" s="518"/>
      <c r="E525" s="518"/>
      <c r="F525" s="657"/>
      <c r="G525" s="657"/>
      <c r="H525" s="657"/>
      <c r="I525" s="519"/>
      <c r="J525" s="519"/>
      <c r="K525" s="519"/>
      <c r="L525" s="519"/>
      <c r="M525" s="519"/>
      <c r="N525" s="519"/>
      <c r="O525" s="519"/>
      <c r="P525" s="519"/>
      <c r="Q525" s="519"/>
      <c r="R525" s="519"/>
      <c r="S525" s="519"/>
      <c r="T525" s="519"/>
      <c r="U525" s="519"/>
      <c r="V525" s="519"/>
      <c r="W525" s="519"/>
      <c r="X525" s="519"/>
      <c r="Y525" s="519"/>
      <c r="Z525" s="519"/>
      <c r="AA525" s="519"/>
      <c r="AB525" s="526"/>
      <c r="AC525" s="526"/>
      <c r="AD525" s="658"/>
      <c r="AE525" s="658"/>
      <c r="AF525" s="658"/>
      <c r="AG525" s="526">
        <v>0</v>
      </c>
      <c r="AH525" s="526"/>
      <c r="AI525" s="659" t="e">
        <v>#N/A</v>
      </c>
      <c r="AJ525" s="659"/>
      <c r="AK525" s="659"/>
      <c r="AL525" s="659"/>
      <c r="AM525" s="659"/>
      <c r="AN525" s="659"/>
      <c r="AO525" s="659"/>
      <c r="AP525" s="659"/>
      <c r="AQ525" s="659"/>
      <c r="AR525" s="659"/>
      <c r="AS525" s="659"/>
      <c r="AT525" s="659"/>
      <c r="AU525" s="659"/>
      <c r="AV525" s="659"/>
      <c r="AW525" s="658">
        <v>0</v>
      </c>
      <c r="AX525" s="658"/>
      <c r="AY525" s="658"/>
      <c r="AZ525" s="658"/>
      <c r="BA525" s="658"/>
      <c r="BB525" s="658"/>
      <c r="BC525" s="658">
        <v>0</v>
      </c>
      <c r="BD525" s="658"/>
      <c r="BE525" s="658"/>
      <c r="BF525" s="658">
        <v>182.49</v>
      </c>
      <c r="BG525" s="658"/>
      <c r="BH525" s="658"/>
      <c r="BI525" s="567">
        <v>0</v>
      </c>
      <c r="BJ525" s="567"/>
      <c r="BK525" s="567"/>
      <c r="BL525" s="567"/>
      <c r="BM525" s="660" t="s">
        <v>932</v>
      </c>
      <c r="BN525" s="660"/>
      <c r="BO525" s="660"/>
      <c r="BP525" s="660"/>
      <c r="BQ525" s="568" t="s">
        <v>932</v>
      </c>
      <c r="BR525" s="568"/>
      <c r="BS525" s="568"/>
      <c r="BT525" s="660" t="s">
        <v>932</v>
      </c>
      <c r="BU525" s="660"/>
      <c r="BV525" s="660"/>
      <c r="BW525" s="660"/>
      <c r="BX525" s="568" t="s">
        <v>932</v>
      </c>
      <c r="BY525" s="568"/>
      <c r="BZ525" s="568"/>
      <c r="CA525" s="660" t="s">
        <v>932</v>
      </c>
      <c r="CB525" s="660"/>
      <c r="CC525" s="660"/>
      <c r="CD525" s="660"/>
      <c r="CE525" s="568" t="s">
        <v>932</v>
      </c>
      <c r="CF525" s="568"/>
      <c r="CG525" s="568"/>
      <c r="CH525" s="660" t="s">
        <v>932</v>
      </c>
      <c r="CI525" s="660"/>
      <c r="CJ525" s="660"/>
      <c r="CK525" s="660"/>
      <c r="CL525" s="568">
        <v>1</v>
      </c>
      <c r="CM525" s="568"/>
      <c r="CN525" s="568"/>
    </row>
    <row r="526" hidden="1" customHeight="1" spans="1:92">
      <c r="A526" s="612"/>
      <c r="B526" s="612"/>
      <c r="C526" s="518"/>
      <c r="D526" s="518"/>
      <c r="E526" s="518"/>
      <c r="F526" s="657"/>
      <c r="G526" s="657"/>
      <c r="H526" s="657"/>
      <c r="I526" s="519"/>
      <c r="J526" s="519"/>
      <c r="K526" s="519"/>
      <c r="L526" s="519"/>
      <c r="M526" s="519"/>
      <c r="N526" s="519"/>
      <c r="O526" s="519"/>
      <c r="P526" s="519"/>
      <c r="Q526" s="519"/>
      <c r="R526" s="519"/>
      <c r="S526" s="519"/>
      <c r="T526" s="519"/>
      <c r="U526" s="519"/>
      <c r="V526" s="519"/>
      <c r="W526" s="519"/>
      <c r="X526" s="519"/>
      <c r="Y526" s="519"/>
      <c r="Z526" s="519"/>
      <c r="AA526" s="519"/>
      <c r="AB526" s="526"/>
      <c r="AC526" s="526"/>
      <c r="AD526" s="658"/>
      <c r="AE526" s="658"/>
      <c r="AF526" s="658"/>
      <c r="AG526" s="526">
        <v>0</v>
      </c>
      <c r="AH526" s="526"/>
      <c r="AI526" s="659" t="e">
        <v>#N/A</v>
      </c>
      <c r="AJ526" s="659"/>
      <c r="AK526" s="659"/>
      <c r="AL526" s="659"/>
      <c r="AM526" s="659"/>
      <c r="AN526" s="659"/>
      <c r="AO526" s="659"/>
      <c r="AP526" s="659"/>
      <c r="AQ526" s="659"/>
      <c r="AR526" s="659"/>
      <c r="AS526" s="659"/>
      <c r="AT526" s="659"/>
      <c r="AU526" s="659"/>
      <c r="AV526" s="659"/>
      <c r="AW526" s="658">
        <v>0</v>
      </c>
      <c r="AX526" s="658"/>
      <c r="AY526" s="658"/>
      <c r="AZ526" s="658"/>
      <c r="BA526" s="658"/>
      <c r="BB526" s="658"/>
      <c r="BC526" s="658">
        <v>0</v>
      </c>
      <c r="BD526" s="658"/>
      <c r="BE526" s="658"/>
      <c r="BF526" s="658">
        <v>182.49</v>
      </c>
      <c r="BG526" s="658"/>
      <c r="BH526" s="658"/>
      <c r="BI526" s="567">
        <v>0</v>
      </c>
      <c r="BJ526" s="567"/>
      <c r="BK526" s="567"/>
      <c r="BL526" s="567"/>
      <c r="BM526" s="660" t="s">
        <v>932</v>
      </c>
      <c r="BN526" s="660"/>
      <c r="BO526" s="660"/>
      <c r="BP526" s="660"/>
      <c r="BQ526" s="568" t="s">
        <v>932</v>
      </c>
      <c r="BR526" s="568"/>
      <c r="BS526" s="568"/>
      <c r="BT526" s="660" t="s">
        <v>932</v>
      </c>
      <c r="BU526" s="660"/>
      <c r="BV526" s="660"/>
      <c r="BW526" s="660"/>
      <c r="BX526" s="568" t="s">
        <v>932</v>
      </c>
      <c r="BY526" s="568"/>
      <c r="BZ526" s="568"/>
      <c r="CA526" s="660" t="s">
        <v>932</v>
      </c>
      <c r="CB526" s="660"/>
      <c r="CC526" s="660"/>
      <c r="CD526" s="660"/>
      <c r="CE526" s="568" t="s">
        <v>932</v>
      </c>
      <c r="CF526" s="568"/>
      <c r="CG526" s="568"/>
      <c r="CH526" s="660" t="s">
        <v>932</v>
      </c>
      <c r="CI526" s="660"/>
      <c r="CJ526" s="660"/>
      <c r="CK526" s="660"/>
      <c r="CL526" s="568">
        <v>1</v>
      </c>
      <c r="CM526" s="568"/>
      <c r="CN526" s="568"/>
    </row>
    <row r="527" hidden="1" customHeight="1" spans="1:92">
      <c r="A527" s="612"/>
      <c r="B527" s="612"/>
      <c r="C527" s="518"/>
      <c r="D527" s="518"/>
      <c r="E527" s="518"/>
      <c r="F527" s="657"/>
      <c r="G527" s="657"/>
      <c r="H527" s="657"/>
      <c r="I527" s="519"/>
      <c r="J527" s="519"/>
      <c r="K527" s="519"/>
      <c r="L527" s="519"/>
      <c r="M527" s="519"/>
      <c r="N527" s="519"/>
      <c r="O527" s="519"/>
      <c r="P527" s="519"/>
      <c r="Q527" s="519"/>
      <c r="R527" s="519"/>
      <c r="S527" s="519"/>
      <c r="T527" s="519"/>
      <c r="U527" s="519"/>
      <c r="V527" s="519"/>
      <c r="W527" s="519"/>
      <c r="X527" s="519"/>
      <c r="Y527" s="519"/>
      <c r="Z527" s="519"/>
      <c r="AA527" s="519"/>
      <c r="AB527" s="526"/>
      <c r="AC527" s="526"/>
      <c r="AD527" s="658"/>
      <c r="AE527" s="658"/>
      <c r="AF527" s="658"/>
      <c r="AG527" s="526">
        <v>0</v>
      </c>
      <c r="AH527" s="526"/>
      <c r="AI527" s="659" t="e">
        <v>#N/A</v>
      </c>
      <c r="AJ527" s="659"/>
      <c r="AK527" s="659"/>
      <c r="AL527" s="659"/>
      <c r="AM527" s="659"/>
      <c r="AN527" s="659"/>
      <c r="AO527" s="659"/>
      <c r="AP527" s="659"/>
      <c r="AQ527" s="659"/>
      <c r="AR527" s="659"/>
      <c r="AS527" s="659"/>
      <c r="AT527" s="659"/>
      <c r="AU527" s="659"/>
      <c r="AV527" s="659"/>
      <c r="AW527" s="658">
        <v>0</v>
      </c>
      <c r="AX527" s="658"/>
      <c r="AY527" s="658"/>
      <c r="AZ527" s="658"/>
      <c r="BA527" s="658"/>
      <c r="BB527" s="658"/>
      <c r="BC527" s="658">
        <v>0</v>
      </c>
      <c r="BD527" s="658"/>
      <c r="BE527" s="658"/>
      <c r="BF527" s="658">
        <v>182.49</v>
      </c>
      <c r="BG527" s="658"/>
      <c r="BH527" s="658"/>
      <c r="BI527" s="567">
        <v>0</v>
      </c>
      <c r="BJ527" s="567"/>
      <c r="BK527" s="567"/>
      <c r="BL527" s="567"/>
      <c r="BM527" s="660" t="s">
        <v>932</v>
      </c>
      <c r="BN527" s="660"/>
      <c r="BO527" s="660"/>
      <c r="BP527" s="660"/>
      <c r="BQ527" s="568" t="s">
        <v>932</v>
      </c>
      <c r="BR527" s="568"/>
      <c r="BS527" s="568"/>
      <c r="BT527" s="660" t="s">
        <v>932</v>
      </c>
      <c r="BU527" s="660"/>
      <c r="BV527" s="660"/>
      <c r="BW527" s="660"/>
      <c r="BX527" s="568" t="s">
        <v>932</v>
      </c>
      <c r="BY527" s="568"/>
      <c r="BZ527" s="568"/>
      <c r="CA527" s="660" t="s">
        <v>932</v>
      </c>
      <c r="CB527" s="660"/>
      <c r="CC527" s="660"/>
      <c r="CD527" s="660"/>
      <c r="CE527" s="568" t="s">
        <v>932</v>
      </c>
      <c r="CF527" s="568"/>
      <c r="CG527" s="568"/>
      <c r="CH527" s="660" t="s">
        <v>932</v>
      </c>
      <c r="CI527" s="660"/>
      <c r="CJ527" s="660"/>
      <c r="CK527" s="660"/>
      <c r="CL527" s="568">
        <v>1</v>
      </c>
      <c r="CM527" s="568"/>
      <c r="CN527" s="568"/>
    </row>
    <row r="528" customHeight="1" spans="1:92">
      <c r="A528" s="612" t="s">
        <v>1006</v>
      </c>
      <c r="B528" s="612"/>
      <c r="C528" s="518"/>
      <c r="D528" s="518"/>
      <c r="E528" s="518"/>
      <c r="F528" s="657">
        <v>3108000</v>
      </c>
      <c r="G528" s="657"/>
      <c r="H528" s="657"/>
      <c r="I528" s="519" t="s">
        <v>110</v>
      </c>
      <c r="J528" s="519"/>
      <c r="K528" s="519"/>
      <c r="L528" s="519"/>
      <c r="M528" s="519"/>
      <c r="N528" s="519"/>
      <c r="O528" s="519"/>
      <c r="P528" s="519"/>
      <c r="Q528" s="519"/>
      <c r="R528" s="519"/>
      <c r="S528" s="519"/>
      <c r="T528" s="519"/>
      <c r="U528" s="519"/>
      <c r="V528" s="519"/>
      <c r="W528" s="519"/>
      <c r="X528" s="519"/>
      <c r="Y528" s="519"/>
      <c r="Z528" s="519"/>
      <c r="AA528" s="519"/>
      <c r="AB528" s="526" t="s">
        <v>7</v>
      </c>
      <c r="AC528" s="526"/>
      <c r="AD528" s="658">
        <v>14.14</v>
      </c>
      <c r="AE528" s="658"/>
      <c r="AF528" s="658"/>
      <c r="AG528" s="526" t="s">
        <v>937</v>
      </c>
      <c r="AH528" s="526"/>
      <c r="AI528" s="659" t="s">
        <v>938</v>
      </c>
      <c r="AJ528" s="659"/>
      <c r="AK528" s="659"/>
      <c r="AL528" s="659"/>
      <c r="AM528" s="659"/>
      <c r="AN528" s="659"/>
      <c r="AO528" s="659"/>
      <c r="AP528" s="659"/>
      <c r="AQ528" s="659"/>
      <c r="AR528" s="659"/>
      <c r="AS528" s="659"/>
      <c r="AT528" s="659"/>
      <c r="AU528" s="659"/>
      <c r="AV528" s="659"/>
      <c r="AW528" s="658">
        <v>0.65</v>
      </c>
      <c r="AX528" s="658"/>
      <c r="AY528" s="658"/>
      <c r="AZ528" s="658">
        <v>1</v>
      </c>
      <c r="BA528" s="658"/>
      <c r="BB528" s="658"/>
      <c r="BC528" s="658">
        <v>9.191</v>
      </c>
      <c r="BD528" s="658"/>
      <c r="BE528" s="658"/>
      <c r="BF528" s="658">
        <v>182.49</v>
      </c>
      <c r="BG528" s="658"/>
      <c r="BH528" s="658"/>
      <c r="BI528" s="567">
        <v>0.0503644035289605</v>
      </c>
      <c r="BJ528" s="567"/>
      <c r="BK528" s="567"/>
      <c r="BL528" s="567"/>
      <c r="BM528" s="660" t="s">
        <v>932</v>
      </c>
      <c r="BN528" s="660"/>
      <c r="BO528" s="660"/>
      <c r="BP528" s="660"/>
      <c r="BQ528" s="568" t="s">
        <v>932</v>
      </c>
      <c r="BR528" s="568"/>
      <c r="BS528" s="568"/>
      <c r="BT528" s="660" t="s">
        <v>932</v>
      </c>
      <c r="BU528" s="660"/>
      <c r="BV528" s="660"/>
      <c r="BW528" s="660"/>
      <c r="BX528" s="568" t="s">
        <v>932</v>
      </c>
      <c r="BY528" s="568"/>
      <c r="BZ528" s="568"/>
      <c r="CA528" s="660" t="s">
        <v>932</v>
      </c>
      <c r="CB528" s="660"/>
      <c r="CC528" s="660"/>
      <c r="CD528" s="660"/>
      <c r="CE528" s="568" t="s">
        <v>932</v>
      </c>
      <c r="CF528" s="568"/>
      <c r="CG528" s="568"/>
      <c r="CH528" s="660">
        <v>0.0503644035289605</v>
      </c>
      <c r="CI528" s="660"/>
      <c r="CJ528" s="660"/>
      <c r="CK528" s="660"/>
      <c r="CL528" s="568">
        <v>1</v>
      </c>
      <c r="CM528" s="568"/>
      <c r="CN528" s="568"/>
    </row>
    <row r="529" customHeight="1" spans="1:92">
      <c r="A529" s="612"/>
      <c r="B529" s="612"/>
      <c r="C529" s="518"/>
      <c r="D529" s="518"/>
      <c r="E529" s="518"/>
      <c r="F529" s="657"/>
      <c r="G529" s="657"/>
      <c r="H529" s="657"/>
      <c r="I529" s="519"/>
      <c r="J529" s="519"/>
      <c r="K529" s="519"/>
      <c r="L529" s="519"/>
      <c r="M529" s="519"/>
      <c r="N529" s="519"/>
      <c r="O529" s="519"/>
      <c r="P529" s="519"/>
      <c r="Q529" s="519"/>
      <c r="R529" s="519"/>
      <c r="S529" s="519"/>
      <c r="T529" s="519"/>
      <c r="U529" s="519"/>
      <c r="V529" s="519"/>
      <c r="W529" s="519"/>
      <c r="X529" s="519"/>
      <c r="Y529" s="519"/>
      <c r="Z529" s="519"/>
      <c r="AA529" s="519"/>
      <c r="AB529" s="526"/>
      <c r="AC529" s="526"/>
      <c r="AD529" s="658"/>
      <c r="AE529" s="658"/>
      <c r="AF529" s="658"/>
      <c r="AG529" s="526" t="s">
        <v>950</v>
      </c>
      <c r="AH529" s="526"/>
      <c r="AI529" s="659" t="s">
        <v>951</v>
      </c>
      <c r="AJ529" s="659"/>
      <c r="AK529" s="659"/>
      <c r="AL529" s="659"/>
      <c r="AM529" s="659"/>
      <c r="AN529" s="659"/>
      <c r="AO529" s="659"/>
      <c r="AP529" s="659"/>
      <c r="AQ529" s="659"/>
      <c r="AR529" s="659"/>
      <c r="AS529" s="659"/>
      <c r="AT529" s="659"/>
      <c r="AU529" s="659"/>
      <c r="AV529" s="659"/>
      <c r="AW529" s="658">
        <v>0.65</v>
      </c>
      <c r="AX529" s="658"/>
      <c r="AY529" s="658"/>
      <c r="AZ529" s="658"/>
      <c r="BA529" s="658"/>
      <c r="BB529" s="658"/>
      <c r="BC529" s="658">
        <v>9.191</v>
      </c>
      <c r="BD529" s="658"/>
      <c r="BE529" s="658"/>
      <c r="BF529" s="658">
        <v>182.49</v>
      </c>
      <c r="BG529" s="658"/>
      <c r="BH529" s="658"/>
      <c r="BI529" s="567">
        <v>0.0503644035289605</v>
      </c>
      <c r="BJ529" s="567"/>
      <c r="BK529" s="567"/>
      <c r="BL529" s="567"/>
      <c r="BM529" s="660" t="s">
        <v>932</v>
      </c>
      <c r="BN529" s="660"/>
      <c r="BO529" s="660"/>
      <c r="BP529" s="660"/>
      <c r="BQ529" s="568" t="s">
        <v>932</v>
      </c>
      <c r="BR529" s="568"/>
      <c r="BS529" s="568"/>
      <c r="BT529" s="660" t="s">
        <v>932</v>
      </c>
      <c r="BU529" s="660"/>
      <c r="BV529" s="660"/>
      <c r="BW529" s="660"/>
      <c r="BX529" s="568" t="s">
        <v>932</v>
      </c>
      <c r="BY529" s="568"/>
      <c r="BZ529" s="568"/>
      <c r="CA529" s="660" t="s">
        <v>932</v>
      </c>
      <c r="CB529" s="660"/>
      <c r="CC529" s="660"/>
      <c r="CD529" s="660"/>
      <c r="CE529" s="568" t="s">
        <v>932</v>
      </c>
      <c r="CF529" s="568"/>
      <c r="CG529" s="568"/>
      <c r="CH529" s="660">
        <v>0.0503644035289605</v>
      </c>
      <c r="CI529" s="660"/>
      <c r="CJ529" s="660"/>
      <c r="CK529" s="660"/>
      <c r="CL529" s="568">
        <v>1</v>
      </c>
      <c r="CM529" s="568"/>
      <c r="CN529" s="568"/>
    </row>
    <row r="530" hidden="1" customHeight="1" spans="1:92">
      <c r="A530" s="612"/>
      <c r="B530" s="612"/>
      <c r="C530" s="518"/>
      <c r="D530" s="518"/>
      <c r="E530" s="518"/>
      <c r="F530" s="657"/>
      <c r="G530" s="657"/>
      <c r="H530" s="657"/>
      <c r="I530" s="519"/>
      <c r="J530" s="519"/>
      <c r="K530" s="519"/>
      <c r="L530" s="519"/>
      <c r="M530" s="519"/>
      <c r="N530" s="519"/>
      <c r="O530" s="519"/>
      <c r="P530" s="519"/>
      <c r="Q530" s="519"/>
      <c r="R530" s="519"/>
      <c r="S530" s="519"/>
      <c r="T530" s="519"/>
      <c r="U530" s="519"/>
      <c r="V530" s="519"/>
      <c r="W530" s="519"/>
      <c r="X530" s="519"/>
      <c r="Y530" s="519"/>
      <c r="Z530" s="519"/>
      <c r="AA530" s="519"/>
      <c r="AB530" s="526"/>
      <c r="AC530" s="526"/>
      <c r="AD530" s="658"/>
      <c r="AE530" s="658"/>
      <c r="AF530" s="658"/>
      <c r="AG530" s="526">
        <v>0</v>
      </c>
      <c r="AH530" s="526"/>
      <c r="AI530" s="659" t="e">
        <v>#N/A</v>
      </c>
      <c r="AJ530" s="659"/>
      <c r="AK530" s="659"/>
      <c r="AL530" s="659"/>
      <c r="AM530" s="659"/>
      <c r="AN530" s="659"/>
      <c r="AO530" s="659"/>
      <c r="AP530" s="659"/>
      <c r="AQ530" s="659"/>
      <c r="AR530" s="659"/>
      <c r="AS530" s="659"/>
      <c r="AT530" s="659"/>
      <c r="AU530" s="659"/>
      <c r="AV530" s="659"/>
      <c r="AW530" s="658">
        <v>0</v>
      </c>
      <c r="AX530" s="658"/>
      <c r="AY530" s="658"/>
      <c r="AZ530" s="658"/>
      <c r="BA530" s="658"/>
      <c r="BB530" s="658"/>
      <c r="BC530" s="658">
        <v>0</v>
      </c>
      <c r="BD530" s="658"/>
      <c r="BE530" s="658"/>
      <c r="BF530" s="658">
        <v>182.49</v>
      </c>
      <c r="BG530" s="658"/>
      <c r="BH530" s="658"/>
      <c r="BI530" s="567">
        <v>0</v>
      </c>
      <c r="BJ530" s="567"/>
      <c r="BK530" s="567"/>
      <c r="BL530" s="567"/>
      <c r="BM530" s="660" t="s">
        <v>932</v>
      </c>
      <c r="BN530" s="660"/>
      <c r="BO530" s="660"/>
      <c r="BP530" s="660"/>
      <c r="BQ530" s="568" t="s">
        <v>932</v>
      </c>
      <c r="BR530" s="568"/>
      <c r="BS530" s="568"/>
      <c r="BT530" s="660" t="s">
        <v>932</v>
      </c>
      <c r="BU530" s="660"/>
      <c r="BV530" s="660"/>
      <c r="BW530" s="660"/>
      <c r="BX530" s="568" t="s">
        <v>932</v>
      </c>
      <c r="BY530" s="568"/>
      <c r="BZ530" s="568"/>
      <c r="CA530" s="660" t="s">
        <v>932</v>
      </c>
      <c r="CB530" s="660"/>
      <c r="CC530" s="660"/>
      <c r="CD530" s="660"/>
      <c r="CE530" s="568" t="s">
        <v>932</v>
      </c>
      <c r="CF530" s="568"/>
      <c r="CG530" s="568"/>
      <c r="CH530" s="660" t="s">
        <v>932</v>
      </c>
      <c r="CI530" s="660"/>
      <c r="CJ530" s="660"/>
      <c r="CK530" s="660"/>
      <c r="CL530" s="568">
        <v>1</v>
      </c>
      <c r="CM530" s="568"/>
      <c r="CN530" s="568"/>
    </row>
    <row r="531" hidden="1" customHeight="1" spans="1:92">
      <c r="A531" s="612"/>
      <c r="B531" s="612"/>
      <c r="C531" s="518"/>
      <c r="D531" s="518"/>
      <c r="E531" s="518"/>
      <c r="F531" s="657"/>
      <c r="G531" s="657"/>
      <c r="H531" s="657"/>
      <c r="I531" s="519"/>
      <c r="J531" s="519"/>
      <c r="K531" s="519"/>
      <c r="L531" s="519"/>
      <c r="M531" s="519"/>
      <c r="N531" s="519"/>
      <c r="O531" s="519"/>
      <c r="P531" s="519"/>
      <c r="Q531" s="519"/>
      <c r="R531" s="519"/>
      <c r="S531" s="519"/>
      <c r="T531" s="519"/>
      <c r="U531" s="519"/>
      <c r="V531" s="519"/>
      <c r="W531" s="519"/>
      <c r="X531" s="519"/>
      <c r="Y531" s="519"/>
      <c r="Z531" s="519"/>
      <c r="AA531" s="519"/>
      <c r="AB531" s="526"/>
      <c r="AC531" s="526"/>
      <c r="AD531" s="658"/>
      <c r="AE531" s="658"/>
      <c r="AF531" s="658"/>
      <c r="AG531" s="526">
        <v>0</v>
      </c>
      <c r="AH531" s="526"/>
      <c r="AI531" s="659" t="e">
        <v>#N/A</v>
      </c>
      <c r="AJ531" s="659"/>
      <c r="AK531" s="659"/>
      <c r="AL531" s="659"/>
      <c r="AM531" s="659"/>
      <c r="AN531" s="659"/>
      <c r="AO531" s="659"/>
      <c r="AP531" s="659"/>
      <c r="AQ531" s="659"/>
      <c r="AR531" s="659"/>
      <c r="AS531" s="659"/>
      <c r="AT531" s="659"/>
      <c r="AU531" s="659"/>
      <c r="AV531" s="659"/>
      <c r="AW531" s="658">
        <v>0</v>
      </c>
      <c r="AX531" s="658"/>
      <c r="AY531" s="658"/>
      <c r="AZ531" s="658"/>
      <c r="BA531" s="658"/>
      <c r="BB531" s="658"/>
      <c r="BC531" s="658">
        <v>0</v>
      </c>
      <c r="BD531" s="658"/>
      <c r="BE531" s="658"/>
      <c r="BF531" s="658">
        <v>182.49</v>
      </c>
      <c r="BG531" s="658"/>
      <c r="BH531" s="658"/>
      <c r="BI531" s="567">
        <v>0</v>
      </c>
      <c r="BJ531" s="567"/>
      <c r="BK531" s="567"/>
      <c r="BL531" s="567"/>
      <c r="BM531" s="660" t="s">
        <v>932</v>
      </c>
      <c r="BN531" s="660"/>
      <c r="BO531" s="660"/>
      <c r="BP531" s="660"/>
      <c r="BQ531" s="568" t="s">
        <v>932</v>
      </c>
      <c r="BR531" s="568"/>
      <c r="BS531" s="568"/>
      <c r="BT531" s="660" t="s">
        <v>932</v>
      </c>
      <c r="BU531" s="660"/>
      <c r="BV531" s="660"/>
      <c r="BW531" s="660"/>
      <c r="BX531" s="568" t="s">
        <v>932</v>
      </c>
      <c r="BY531" s="568"/>
      <c r="BZ531" s="568"/>
      <c r="CA531" s="660" t="s">
        <v>932</v>
      </c>
      <c r="CB531" s="660"/>
      <c r="CC531" s="660"/>
      <c r="CD531" s="660"/>
      <c r="CE531" s="568" t="s">
        <v>932</v>
      </c>
      <c r="CF531" s="568"/>
      <c r="CG531" s="568"/>
      <c r="CH531" s="660" t="s">
        <v>932</v>
      </c>
      <c r="CI531" s="660"/>
      <c r="CJ531" s="660"/>
      <c r="CK531" s="660"/>
      <c r="CL531" s="568">
        <v>1</v>
      </c>
      <c r="CM531" s="568"/>
      <c r="CN531" s="568"/>
    </row>
    <row r="532" hidden="1" customHeight="1" spans="1:92">
      <c r="A532" s="612"/>
      <c r="B532" s="612"/>
      <c r="C532" s="518"/>
      <c r="D532" s="518"/>
      <c r="E532" s="518"/>
      <c r="F532" s="657"/>
      <c r="G532" s="657"/>
      <c r="H532" s="657"/>
      <c r="I532" s="519"/>
      <c r="J532" s="519"/>
      <c r="K532" s="519"/>
      <c r="L532" s="519"/>
      <c r="M532" s="519"/>
      <c r="N532" s="519"/>
      <c r="O532" s="519"/>
      <c r="P532" s="519"/>
      <c r="Q532" s="519"/>
      <c r="R532" s="519"/>
      <c r="S532" s="519"/>
      <c r="T532" s="519"/>
      <c r="U532" s="519"/>
      <c r="V532" s="519"/>
      <c r="W532" s="519"/>
      <c r="X532" s="519"/>
      <c r="Y532" s="519"/>
      <c r="Z532" s="519"/>
      <c r="AA532" s="519"/>
      <c r="AB532" s="526"/>
      <c r="AC532" s="526"/>
      <c r="AD532" s="658"/>
      <c r="AE532" s="658"/>
      <c r="AF532" s="658"/>
      <c r="AG532" s="526">
        <v>0</v>
      </c>
      <c r="AH532" s="526"/>
      <c r="AI532" s="659" t="e">
        <v>#N/A</v>
      </c>
      <c r="AJ532" s="659"/>
      <c r="AK532" s="659"/>
      <c r="AL532" s="659"/>
      <c r="AM532" s="659"/>
      <c r="AN532" s="659"/>
      <c r="AO532" s="659"/>
      <c r="AP532" s="659"/>
      <c r="AQ532" s="659"/>
      <c r="AR532" s="659"/>
      <c r="AS532" s="659"/>
      <c r="AT532" s="659"/>
      <c r="AU532" s="659"/>
      <c r="AV532" s="659"/>
      <c r="AW532" s="658">
        <v>0</v>
      </c>
      <c r="AX532" s="658"/>
      <c r="AY532" s="658"/>
      <c r="AZ532" s="658"/>
      <c r="BA532" s="658"/>
      <c r="BB532" s="658"/>
      <c r="BC532" s="658">
        <v>0</v>
      </c>
      <c r="BD532" s="658"/>
      <c r="BE532" s="658"/>
      <c r="BF532" s="658">
        <v>182.49</v>
      </c>
      <c r="BG532" s="658"/>
      <c r="BH532" s="658"/>
      <c r="BI532" s="567">
        <v>0</v>
      </c>
      <c r="BJ532" s="567"/>
      <c r="BK532" s="567"/>
      <c r="BL532" s="567"/>
      <c r="BM532" s="660" t="s">
        <v>932</v>
      </c>
      <c r="BN532" s="660"/>
      <c r="BO532" s="660"/>
      <c r="BP532" s="660"/>
      <c r="BQ532" s="568" t="s">
        <v>932</v>
      </c>
      <c r="BR532" s="568"/>
      <c r="BS532" s="568"/>
      <c r="BT532" s="660" t="s">
        <v>932</v>
      </c>
      <c r="BU532" s="660"/>
      <c r="BV532" s="660"/>
      <c r="BW532" s="660"/>
      <c r="BX532" s="568" t="s">
        <v>932</v>
      </c>
      <c r="BY532" s="568"/>
      <c r="BZ532" s="568"/>
      <c r="CA532" s="660" t="s">
        <v>932</v>
      </c>
      <c r="CB532" s="660"/>
      <c r="CC532" s="660"/>
      <c r="CD532" s="660"/>
      <c r="CE532" s="568" t="s">
        <v>932</v>
      </c>
      <c r="CF532" s="568"/>
      <c r="CG532" s="568"/>
      <c r="CH532" s="660" t="s">
        <v>932</v>
      </c>
      <c r="CI532" s="660"/>
      <c r="CJ532" s="660"/>
      <c r="CK532" s="660"/>
      <c r="CL532" s="568">
        <v>1</v>
      </c>
      <c r="CM532" s="568"/>
      <c r="CN532" s="568"/>
    </row>
    <row r="533" hidden="1" customHeight="1" spans="1:92">
      <c r="A533" s="612"/>
      <c r="B533" s="612"/>
      <c r="C533" s="518"/>
      <c r="D533" s="518"/>
      <c r="E533" s="518"/>
      <c r="F533" s="657"/>
      <c r="G533" s="657"/>
      <c r="H533" s="657"/>
      <c r="I533" s="519"/>
      <c r="J533" s="519"/>
      <c r="K533" s="519"/>
      <c r="L533" s="519"/>
      <c r="M533" s="519"/>
      <c r="N533" s="519"/>
      <c r="O533" s="519"/>
      <c r="P533" s="519"/>
      <c r="Q533" s="519"/>
      <c r="R533" s="519"/>
      <c r="S533" s="519"/>
      <c r="T533" s="519"/>
      <c r="U533" s="519"/>
      <c r="V533" s="519"/>
      <c r="W533" s="519"/>
      <c r="X533" s="519"/>
      <c r="Y533" s="519"/>
      <c r="Z533" s="519"/>
      <c r="AA533" s="519"/>
      <c r="AB533" s="526"/>
      <c r="AC533" s="526"/>
      <c r="AD533" s="658"/>
      <c r="AE533" s="658"/>
      <c r="AF533" s="658"/>
      <c r="AG533" s="526">
        <v>0</v>
      </c>
      <c r="AH533" s="526"/>
      <c r="AI533" s="659" t="e">
        <v>#N/A</v>
      </c>
      <c r="AJ533" s="659"/>
      <c r="AK533" s="659"/>
      <c r="AL533" s="659"/>
      <c r="AM533" s="659"/>
      <c r="AN533" s="659"/>
      <c r="AO533" s="659"/>
      <c r="AP533" s="659"/>
      <c r="AQ533" s="659"/>
      <c r="AR533" s="659"/>
      <c r="AS533" s="659"/>
      <c r="AT533" s="659"/>
      <c r="AU533" s="659"/>
      <c r="AV533" s="659"/>
      <c r="AW533" s="658">
        <v>0</v>
      </c>
      <c r="AX533" s="658"/>
      <c r="AY533" s="658"/>
      <c r="AZ533" s="658"/>
      <c r="BA533" s="658"/>
      <c r="BB533" s="658"/>
      <c r="BC533" s="658">
        <v>0</v>
      </c>
      <c r="BD533" s="658"/>
      <c r="BE533" s="658"/>
      <c r="BF533" s="658">
        <v>182.49</v>
      </c>
      <c r="BG533" s="658"/>
      <c r="BH533" s="658"/>
      <c r="BI533" s="567">
        <v>0</v>
      </c>
      <c r="BJ533" s="567"/>
      <c r="BK533" s="567"/>
      <c r="BL533" s="567"/>
      <c r="BM533" s="660" t="s">
        <v>932</v>
      </c>
      <c r="BN533" s="660"/>
      <c r="BO533" s="660"/>
      <c r="BP533" s="660"/>
      <c r="BQ533" s="568" t="s">
        <v>932</v>
      </c>
      <c r="BR533" s="568"/>
      <c r="BS533" s="568"/>
      <c r="BT533" s="660" t="s">
        <v>932</v>
      </c>
      <c r="BU533" s="660"/>
      <c r="BV533" s="660"/>
      <c r="BW533" s="660"/>
      <c r="BX533" s="568" t="s">
        <v>932</v>
      </c>
      <c r="BY533" s="568"/>
      <c r="BZ533" s="568"/>
      <c r="CA533" s="660" t="s">
        <v>932</v>
      </c>
      <c r="CB533" s="660"/>
      <c r="CC533" s="660"/>
      <c r="CD533" s="660"/>
      <c r="CE533" s="568" t="s">
        <v>932</v>
      </c>
      <c r="CF533" s="568"/>
      <c r="CG533" s="568"/>
      <c r="CH533" s="660" t="s">
        <v>932</v>
      </c>
      <c r="CI533" s="660"/>
      <c r="CJ533" s="660"/>
      <c r="CK533" s="660"/>
      <c r="CL533" s="568">
        <v>1</v>
      </c>
      <c r="CM533" s="568"/>
      <c r="CN533" s="568"/>
    </row>
    <row r="534" hidden="1" customHeight="1" spans="1:92">
      <c r="A534" s="612"/>
      <c r="B534" s="612"/>
      <c r="C534" s="518"/>
      <c r="D534" s="518"/>
      <c r="E534" s="518"/>
      <c r="F534" s="657"/>
      <c r="G534" s="657"/>
      <c r="H534" s="657"/>
      <c r="I534" s="519"/>
      <c r="J534" s="519"/>
      <c r="K534" s="519"/>
      <c r="L534" s="519"/>
      <c r="M534" s="519"/>
      <c r="N534" s="519"/>
      <c r="O534" s="519"/>
      <c r="P534" s="519"/>
      <c r="Q534" s="519"/>
      <c r="R534" s="519"/>
      <c r="S534" s="519"/>
      <c r="T534" s="519"/>
      <c r="U534" s="519"/>
      <c r="V534" s="519"/>
      <c r="W534" s="519"/>
      <c r="X534" s="519"/>
      <c r="Y534" s="519"/>
      <c r="Z534" s="519"/>
      <c r="AA534" s="519"/>
      <c r="AB534" s="526"/>
      <c r="AC534" s="526"/>
      <c r="AD534" s="658"/>
      <c r="AE534" s="658"/>
      <c r="AF534" s="658"/>
      <c r="AG534" s="526">
        <v>0</v>
      </c>
      <c r="AH534" s="526"/>
      <c r="AI534" s="659" t="e">
        <v>#N/A</v>
      </c>
      <c r="AJ534" s="659"/>
      <c r="AK534" s="659"/>
      <c r="AL534" s="659"/>
      <c r="AM534" s="659"/>
      <c r="AN534" s="659"/>
      <c r="AO534" s="659"/>
      <c r="AP534" s="659"/>
      <c r="AQ534" s="659"/>
      <c r="AR534" s="659"/>
      <c r="AS534" s="659"/>
      <c r="AT534" s="659"/>
      <c r="AU534" s="659"/>
      <c r="AV534" s="659"/>
      <c r="AW534" s="658">
        <v>0</v>
      </c>
      <c r="AX534" s="658"/>
      <c r="AY534" s="658"/>
      <c r="AZ534" s="658"/>
      <c r="BA534" s="658"/>
      <c r="BB534" s="658"/>
      <c r="BC534" s="658">
        <v>0</v>
      </c>
      <c r="BD534" s="658"/>
      <c r="BE534" s="658"/>
      <c r="BF534" s="658">
        <v>182.49</v>
      </c>
      <c r="BG534" s="658"/>
      <c r="BH534" s="658"/>
      <c r="BI534" s="567">
        <v>0</v>
      </c>
      <c r="BJ534" s="567"/>
      <c r="BK534" s="567"/>
      <c r="BL534" s="567"/>
      <c r="BM534" s="660" t="s">
        <v>932</v>
      </c>
      <c r="BN534" s="660"/>
      <c r="BO534" s="660"/>
      <c r="BP534" s="660"/>
      <c r="BQ534" s="568" t="s">
        <v>932</v>
      </c>
      <c r="BR534" s="568"/>
      <c r="BS534" s="568"/>
      <c r="BT534" s="660" t="s">
        <v>932</v>
      </c>
      <c r="BU534" s="660"/>
      <c r="BV534" s="660"/>
      <c r="BW534" s="660"/>
      <c r="BX534" s="568" t="s">
        <v>932</v>
      </c>
      <c r="BY534" s="568"/>
      <c r="BZ534" s="568"/>
      <c r="CA534" s="660" t="s">
        <v>932</v>
      </c>
      <c r="CB534" s="660"/>
      <c r="CC534" s="660"/>
      <c r="CD534" s="660"/>
      <c r="CE534" s="568" t="s">
        <v>932</v>
      </c>
      <c r="CF534" s="568"/>
      <c r="CG534" s="568"/>
      <c r="CH534" s="660" t="s">
        <v>932</v>
      </c>
      <c r="CI534" s="660"/>
      <c r="CJ534" s="660"/>
      <c r="CK534" s="660"/>
      <c r="CL534" s="568">
        <v>1</v>
      </c>
      <c r="CM534" s="568"/>
      <c r="CN534" s="568"/>
    </row>
    <row r="535" hidden="1" customHeight="1" spans="1:92">
      <c r="A535" s="612"/>
      <c r="B535" s="612"/>
      <c r="C535" s="518"/>
      <c r="D535" s="518"/>
      <c r="E535" s="518"/>
      <c r="F535" s="657"/>
      <c r="G535" s="657"/>
      <c r="H535" s="657"/>
      <c r="I535" s="519"/>
      <c r="J535" s="519"/>
      <c r="K535" s="519"/>
      <c r="L535" s="519"/>
      <c r="M535" s="519"/>
      <c r="N535" s="519"/>
      <c r="O535" s="519"/>
      <c r="P535" s="519"/>
      <c r="Q535" s="519"/>
      <c r="R535" s="519"/>
      <c r="S535" s="519"/>
      <c r="T535" s="519"/>
      <c r="U535" s="519"/>
      <c r="V535" s="519"/>
      <c r="W535" s="519"/>
      <c r="X535" s="519"/>
      <c r="Y535" s="519"/>
      <c r="Z535" s="519"/>
      <c r="AA535" s="519"/>
      <c r="AB535" s="526"/>
      <c r="AC535" s="526"/>
      <c r="AD535" s="658"/>
      <c r="AE535" s="658"/>
      <c r="AF535" s="658"/>
      <c r="AG535" s="526">
        <v>0</v>
      </c>
      <c r="AH535" s="526"/>
      <c r="AI535" s="659" t="e">
        <v>#N/A</v>
      </c>
      <c r="AJ535" s="659"/>
      <c r="AK535" s="659"/>
      <c r="AL535" s="659"/>
      <c r="AM535" s="659"/>
      <c r="AN535" s="659"/>
      <c r="AO535" s="659"/>
      <c r="AP535" s="659"/>
      <c r="AQ535" s="659"/>
      <c r="AR535" s="659"/>
      <c r="AS535" s="659"/>
      <c r="AT535" s="659"/>
      <c r="AU535" s="659"/>
      <c r="AV535" s="659"/>
      <c r="AW535" s="658">
        <v>0</v>
      </c>
      <c r="AX535" s="658"/>
      <c r="AY535" s="658"/>
      <c r="AZ535" s="658"/>
      <c r="BA535" s="658"/>
      <c r="BB535" s="658"/>
      <c r="BC535" s="658">
        <v>0</v>
      </c>
      <c r="BD535" s="658"/>
      <c r="BE535" s="658"/>
      <c r="BF535" s="658">
        <v>182.49</v>
      </c>
      <c r="BG535" s="658"/>
      <c r="BH535" s="658"/>
      <c r="BI535" s="567">
        <v>0</v>
      </c>
      <c r="BJ535" s="567"/>
      <c r="BK535" s="567"/>
      <c r="BL535" s="567"/>
      <c r="BM535" s="660" t="s">
        <v>932</v>
      </c>
      <c r="BN535" s="660"/>
      <c r="BO535" s="660"/>
      <c r="BP535" s="660"/>
      <c r="BQ535" s="568" t="s">
        <v>932</v>
      </c>
      <c r="BR535" s="568"/>
      <c r="BS535" s="568"/>
      <c r="BT535" s="660" t="s">
        <v>932</v>
      </c>
      <c r="BU535" s="660"/>
      <c r="BV535" s="660"/>
      <c r="BW535" s="660"/>
      <c r="BX535" s="568" t="s">
        <v>932</v>
      </c>
      <c r="BY535" s="568"/>
      <c r="BZ535" s="568"/>
      <c r="CA535" s="660" t="s">
        <v>932</v>
      </c>
      <c r="CB535" s="660"/>
      <c r="CC535" s="660"/>
      <c r="CD535" s="660"/>
      <c r="CE535" s="568" t="s">
        <v>932</v>
      </c>
      <c r="CF535" s="568"/>
      <c r="CG535" s="568"/>
      <c r="CH535" s="660" t="s">
        <v>932</v>
      </c>
      <c r="CI535" s="660"/>
      <c r="CJ535" s="660"/>
      <c r="CK535" s="660"/>
      <c r="CL535" s="568">
        <v>1</v>
      </c>
      <c r="CM535" s="568"/>
      <c r="CN535" s="568"/>
    </row>
    <row r="536" customHeight="1" spans="1:92">
      <c r="A536" s="612" t="s">
        <v>1007</v>
      </c>
      <c r="B536" s="612"/>
      <c r="C536" s="518"/>
      <c r="D536" s="518"/>
      <c r="E536" s="518"/>
      <c r="F536" s="657">
        <v>407819</v>
      </c>
      <c r="G536" s="657"/>
      <c r="H536" s="657"/>
      <c r="I536" s="519" t="s">
        <v>100</v>
      </c>
      <c r="J536" s="519"/>
      <c r="K536" s="519"/>
      <c r="L536" s="519"/>
      <c r="M536" s="519"/>
      <c r="N536" s="519"/>
      <c r="O536" s="519"/>
      <c r="P536" s="519"/>
      <c r="Q536" s="519"/>
      <c r="R536" s="519"/>
      <c r="S536" s="519"/>
      <c r="T536" s="519"/>
      <c r="U536" s="519"/>
      <c r="V536" s="519"/>
      <c r="W536" s="519"/>
      <c r="X536" s="519"/>
      <c r="Y536" s="519"/>
      <c r="Z536" s="519"/>
      <c r="AA536" s="519"/>
      <c r="AB536" s="526" t="s">
        <v>101</v>
      </c>
      <c r="AC536" s="526"/>
      <c r="AD536" s="658">
        <v>1687.9</v>
      </c>
      <c r="AE536" s="658"/>
      <c r="AF536" s="658"/>
      <c r="AG536" s="526" t="s">
        <v>937</v>
      </c>
      <c r="AH536" s="526"/>
      <c r="AI536" s="659" t="s">
        <v>938</v>
      </c>
      <c r="AJ536" s="659"/>
      <c r="AK536" s="659"/>
      <c r="AL536" s="659"/>
      <c r="AM536" s="659"/>
      <c r="AN536" s="659"/>
      <c r="AO536" s="659"/>
      <c r="AP536" s="659"/>
      <c r="AQ536" s="659"/>
      <c r="AR536" s="659"/>
      <c r="AS536" s="659"/>
      <c r="AT536" s="659"/>
      <c r="AU536" s="659"/>
      <c r="AV536" s="659"/>
      <c r="AW536" s="658">
        <v>0.09</v>
      </c>
      <c r="AX536" s="658"/>
      <c r="AY536" s="658"/>
      <c r="AZ536" s="658">
        <v>1</v>
      </c>
      <c r="BA536" s="658"/>
      <c r="BB536" s="658"/>
      <c r="BC536" s="658">
        <v>151.911</v>
      </c>
      <c r="BD536" s="658"/>
      <c r="BE536" s="658"/>
      <c r="BF536" s="658">
        <v>182.49</v>
      </c>
      <c r="BG536" s="658"/>
      <c r="BH536" s="658"/>
      <c r="BI536" s="567">
        <v>0.832434653953641</v>
      </c>
      <c r="BJ536" s="567"/>
      <c r="BK536" s="567"/>
      <c r="BL536" s="567"/>
      <c r="BM536" s="660" t="s">
        <v>932</v>
      </c>
      <c r="BN536" s="660"/>
      <c r="BO536" s="660"/>
      <c r="BP536" s="660"/>
      <c r="BQ536" s="568" t="s">
        <v>932</v>
      </c>
      <c r="BR536" s="568"/>
      <c r="BS536" s="568"/>
      <c r="BT536" s="660" t="s">
        <v>932</v>
      </c>
      <c r="BU536" s="660"/>
      <c r="BV536" s="660"/>
      <c r="BW536" s="660"/>
      <c r="BX536" s="568" t="s">
        <v>932</v>
      </c>
      <c r="BY536" s="568"/>
      <c r="BZ536" s="568"/>
      <c r="CA536" s="660" t="s">
        <v>932</v>
      </c>
      <c r="CB536" s="660"/>
      <c r="CC536" s="660"/>
      <c r="CD536" s="660"/>
      <c r="CE536" s="568" t="s">
        <v>932</v>
      </c>
      <c r="CF536" s="568"/>
      <c r="CG536" s="568"/>
      <c r="CH536" s="660">
        <v>0.832434653953641</v>
      </c>
      <c r="CI536" s="660"/>
      <c r="CJ536" s="660"/>
      <c r="CK536" s="660"/>
      <c r="CL536" s="568">
        <v>1</v>
      </c>
      <c r="CM536" s="568"/>
      <c r="CN536" s="568"/>
    </row>
    <row r="537" customHeight="1" spans="1:92">
      <c r="A537" s="612"/>
      <c r="B537" s="612"/>
      <c r="C537" s="518"/>
      <c r="D537" s="518"/>
      <c r="E537" s="518"/>
      <c r="F537" s="657"/>
      <c r="G537" s="657"/>
      <c r="H537" s="657"/>
      <c r="I537" s="519"/>
      <c r="J537" s="519"/>
      <c r="K537" s="519"/>
      <c r="L537" s="519"/>
      <c r="M537" s="519"/>
      <c r="N537" s="519"/>
      <c r="O537" s="519"/>
      <c r="P537" s="519"/>
      <c r="Q537" s="519"/>
      <c r="R537" s="519"/>
      <c r="S537" s="519"/>
      <c r="T537" s="519"/>
      <c r="U537" s="519"/>
      <c r="V537" s="519"/>
      <c r="W537" s="519"/>
      <c r="X537" s="519"/>
      <c r="Y537" s="519"/>
      <c r="Z537" s="519"/>
      <c r="AA537" s="519"/>
      <c r="AB537" s="526"/>
      <c r="AC537" s="526"/>
      <c r="AD537" s="658"/>
      <c r="AE537" s="658"/>
      <c r="AF537" s="658"/>
      <c r="AG537" s="526" t="s">
        <v>939</v>
      </c>
      <c r="AH537" s="526"/>
      <c r="AI537" s="659" t="s">
        <v>940</v>
      </c>
      <c r="AJ537" s="659"/>
      <c r="AK537" s="659"/>
      <c r="AL537" s="659"/>
      <c r="AM537" s="659"/>
      <c r="AN537" s="659"/>
      <c r="AO537" s="659"/>
      <c r="AP537" s="659"/>
      <c r="AQ537" s="659"/>
      <c r="AR537" s="659"/>
      <c r="AS537" s="659"/>
      <c r="AT537" s="659"/>
      <c r="AU537" s="659"/>
      <c r="AV537" s="659"/>
      <c r="AW537" s="658">
        <v>0.09</v>
      </c>
      <c r="AX537" s="658"/>
      <c r="AY537" s="658"/>
      <c r="AZ537" s="658"/>
      <c r="BA537" s="658"/>
      <c r="BB537" s="658"/>
      <c r="BC537" s="658">
        <v>151.911</v>
      </c>
      <c r="BD537" s="658"/>
      <c r="BE537" s="658"/>
      <c r="BF537" s="658">
        <v>182.49</v>
      </c>
      <c r="BG537" s="658"/>
      <c r="BH537" s="658"/>
      <c r="BI537" s="567">
        <v>0.832434653953641</v>
      </c>
      <c r="BJ537" s="567"/>
      <c r="BK537" s="567"/>
      <c r="BL537" s="567"/>
      <c r="BM537" s="660" t="s">
        <v>932</v>
      </c>
      <c r="BN537" s="660"/>
      <c r="BO537" s="660"/>
      <c r="BP537" s="660"/>
      <c r="BQ537" s="568" t="s">
        <v>932</v>
      </c>
      <c r="BR537" s="568"/>
      <c r="BS537" s="568"/>
      <c r="BT537" s="660" t="s">
        <v>932</v>
      </c>
      <c r="BU537" s="660"/>
      <c r="BV537" s="660"/>
      <c r="BW537" s="660"/>
      <c r="BX537" s="568" t="s">
        <v>932</v>
      </c>
      <c r="BY537" s="568"/>
      <c r="BZ537" s="568"/>
      <c r="CA537" s="660" t="s">
        <v>932</v>
      </c>
      <c r="CB537" s="660"/>
      <c r="CC537" s="660"/>
      <c r="CD537" s="660"/>
      <c r="CE537" s="568" t="s">
        <v>932</v>
      </c>
      <c r="CF537" s="568"/>
      <c r="CG537" s="568"/>
      <c r="CH537" s="660">
        <v>0.832434653953641</v>
      </c>
      <c r="CI537" s="660"/>
      <c r="CJ537" s="660"/>
      <c r="CK537" s="660"/>
      <c r="CL537" s="568">
        <v>1</v>
      </c>
      <c r="CM537" s="568"/>
      <c r="CN537" s="568"/>
    </row>
    <row r="538" hidden="1" customHeight="1" spans="1:92">
      <c r="A538" s="612"/>
      <c r="B538" s="612"/>
      <c r="C538" s="518"/>
      <c r="D538" s="518"/>
      <c r="E538" s="518"/>
      <c r="F538" s="657"/>
      <c r="G538" s="657"/>
      <c r="H538" s="657"/>
      <c r="I538" s="519"/>
      <c r="J538" s="519"/>
      <c r="K538" s="519"/>
      <c r="L538" s="519"/>
      <c r="M538" s="519"/>
      <c r="N538" s="519"/>
      <c r="O538" s="519"/>
      <c r="P538" s="519"/>
      <c r="Q538" s="519"/>
      <c r="R538" s="519"/>
      <c r="S538" s="519"/>
      <c r="T538" s="519"/>
      <c r="U538" s="519"/>
      <c r="V538" s="519"/>
      <c r="W538" s="519"/>
      <c r="X538" s="519"/>
      <c r="Y538" s="519"/>
      <c r="Z538" s="519"/>
      <c r="AA538" s="519"/>
      <c r="AB538" s="526"/>
      <c r="AC538" s="526"/>
      <c r="AD538" s="658"/>
      <c r="AE538" s="658"/>
      <c r="AF538" s="658"/>
      <c r="AG538" s="526">
        <v>0</v>
      </c>
      <c r="AH538" s="526"/>
      <c r="AI538" s="659" t="e">
        <v>#N/A</v>
      </c>
      <c r="AJ538" s="659"/>
      <c r="AK538" s="659"/>
      <c r="AL538" s="659"/>
      <c r="AM538" s="659"/>
      <c r="AN538" s="659"/>
      <c r="AO538" s="659"/>
      <c r="AP538" s="659"/>
      <c r="AQ538" s="659"/>
      <c r="AR538" s="659"/>
      <c r="AS538" s="659"/>
      <c r="AT538" s="659"/>
      <c r="AU538" s="659"/>
      <c r="AV538" s="659"/>
      <c r="AW538" s="658">
        <v>0</v>
      </c>
      <c r="AX538" s="658"/>
      <c r="AY538" s="658"/>
      <c r="AZ538" s="658"/>
      <c r="BA538" s="658"/>
      <c r="BB538" s="658"/>
      <c r="BC538" s="658">
        <v>0</v>
      </c>
      <c r="BD538" s="658"/>
      <c r="BE538" s="658"/>
      <c r="BF538" s="658">
        <v>182.49</v>
      </c>
      <c r="BG538" s="658"/>
      <c r="BH538" s="658"/>
      <c r="BI538" s="567">
        <v>0</v>
      </c>
      <c r="BJ538" s="567"/>
      <c r="BK538" s="567"/>
      <c r="BL538" s="567"/>
      <c r="BM538" s="660" t="s">
        <v>932</v>
      </c>
      <c r="BN538" s="660"/>
      <c r="BO538" s="660"/>
      <c r="BP538" s="660"/>
      <c r="BQ538" s="568" t="s">
        <v>932</v>
      </c>
      <c r="BR538" s="568"/>
      <c r="BS538" s="568"/>
      <c r="BT538" s="660" t="s">
        <v>932</v>
      </c>
      <c r="BU538" s="660"/>
      <c r="BV538" s="660"/>
      <c r="BW538" s="660"/>
      <c r="BX538" s="568" t="s">
        <v>932</v>
      </c>
      <c r="BY538" s="568"/>
      <c r="BZ538" s="568"/>
      <c r="CA538" s="660" t="s">
        <v>932</v>
      </c>
      <c r="CB538" s="660"/>
      <c r="CC538" s="660"/>
      <c r="CD538" s="660"/>
      <c r="CE538" s="568" t="s">
        <v>932</v>
      </c>
      <c r="CF538" s="568"/>
      <c r="CG538" s="568"/>
      <c r="CH538" s="660" t="s">
        <v>932</v>
      </c>
      <c r="CI538" s="660"/>
      <c r="CJ538" s="660"/>
      <c r="CK538" s="660"/>
      <c r="CL538" s="568">
        <v>1</v>
      </c>
      <c r="CM538" s="568"/>
      <c r="CN538" s="568"/>
    </row>
    <row r="539" hidden="1" customHeight="1" spans="1:92">
      <c r="A539" s="612"/>
      <c r="B539" s="612"/>
      <c r="C539" s="518"/>
      <c r="D539" s="518"/>
      <c r="E539" s="518"/>
      <c r="F539" s="657"/>
      <c r="G539" s="657"/>
      <c r="H539" s="657"/>
      <c r="I539" s="519"/>
      <c r="J539" s="519"/>
      <c r="K539" s="519"/>
      <c r="L539" s="519"/>
      <c r="M539" s="519"/>
      <c r="N539" s="519"/>
      <c r="O539" s="519"/>
      <c r="P539" s="519"/>
      <c r="Q539" s="519"/>
      <c r="R539" s="519"/>
      <c r="S539" s="519"/>
      <c r="T539" s="519"/>
      <c r="U539" s="519"/>
      <c r="V539" s="519"/>
      <c r="W539" s="519"/>
      <c r="X539" s="519"/>
      <c r="Y539" s="519"/>
      <c r="Z539" s="519"/>
      <c r="AA539" s="519"/>
      <c r="AB539" s="526"/>
      <c r="AC539" s="526"/>
      <c r="AD539" s="658"/>
      <c r="AE539" s="658"/>
      <c r="AF539" s="658"/>
      <c r="AG539" s="526">
        <v>0</v>
      </c>
      <c r="AH539" s="526"/>
      <c r="AI539" s="659" t="e">
        <v>#N/A</v>
      </c>
      <c r="AJ539" s="659"/>
      <c r="AK539" s="659"/>
      <c r="AL539" s="659"/>
      <c r="AM539" s="659"/>
      <c r="AN539" s="659"/>
      <c r="AO539" s="659"/>
      <c r="AP539" s="659"/>
      <c r="AQ539" s="659"/>
      <c r="AR539" s="659"/>
      <c r="AS539" s="659"/>
      <c r="AT539" s="659"/>
      <c r="AU539" s="659"/>
      <c r="AV539" s="659"/>
      <c r="AW539" s="658">
        <v>0</v>
      </c>
      <c r="AX539" s="658"/>
      <c r="AY539" s="658"/>
      <c r="AZ539" s="658"/>
      <c r="BA539" s="658"/>
      <c r="BB539" s="658"/>
      <c r="BC539" s="658">
        <v>0</v>
      </c>
      <c r="BD539" s="658"/>
      <c r="BE539" s="658"/>
      <c r="BF539" s="658">
        <v>182.49</v>
      </c>
      <c r="BG539" s="658"/>
      <c r="BH539" s="658"/>
      <c r="BI539" s="567">
        <v>0</v>
      </c>
      <c r="BJ539" s="567"/>
      <c r="BK539" s="567"/>
      <c r="BL539" s="567"/>
      <c r="BM539" s="660" t="s">
        <v>932</v>
      </c>
      <c r="BN539" s="660"/>
      <c r="BO539" s="660"/>
      <c r="BP539" s="660"/>
      <c r="BQ539" s="568" t="s">
        <v>932</v>
      </c>
      <c r="BR539" s="568"/>
      <c r="BS539" s="568"/>
      <c r="BT539" s="660" t="s">
        <v>932</v>
      </c>
      <c r="BU539" s="660"/>
      <c r="BV539" s="660"/>
      <c r="BW539" s="660"/>
      <c r="BX539" s="568" t="s">
        <v>932</v>
      </c>
      <c r="BY539" s="568"/>
      <c r="BZ539" s="568"/>
      <c r="CA539" s="660" t="s">
        <v>932</v>
      </c>
      <c r="CB539" s="660"/>
      <c r="CC539" s="660"/>
      <c r="CD539" s="660"/>
      <c r="CE539" s="568" t="s">
        <v>932</v>
      </c>
      <c r="CF539" s="568"/>
      <c r="CG539" s="568"/>
      <c r="CH539" s="660" t="s">
        <v>932</v>
      </c>
      <c r="CI539" s="660"/>
      <c r="CJ539" s="660"/>
      <c r="CK539" s="660"/>
      <c r="CL539" s="568">
        <v>1</v>
      </c>
      <c r="CM539" s="568"/>
      <c r="CN539" s="568"/>
    </row>
    <row r="540" hidden="1" customHeight="1" spans="1:92">
      <c r="A540" s="612"/>
      <c r="B540" s="612"/>
      <c r="C540" s="518"/>
      <c r="D540" s="518"/>
      <c r="E540" s="518"/>
      <c r="F540" s="657"/>
      <c r="G540" s="657"/>
      <c r="H540" s="657"/>
      <c r="I540" s="519"/>
      <c r="J540" s="519"/>
      <c r="K540" s="519"/>
      <c r="L540" s="519"/>
      <c r="M540" s="519"/>
      <c r="N540" s="519"/>
      <c r="O540" s="519"/>
      <c r="P540" s="519"/>
      <c r="Q540" s="519"/>
      <c r="R540" s="519"/>
      <c r="S540" s="519"/>
      <c r="T540" s="519"/>
      <c r="U540" s="519"/>
      <c r="V540" s="519"/>
      <c r="W540" s="519"/>
      <c r="X540" s="519"/>
      <c r="Y540" s="519"/>
      <c r="Z540" s="519"/>
      <c r="AA540" s="519"/>
      <c r="AB540" s="526"/>
      <c r="AC540" s="526"/>
      <c r="AD540" s="658"/>
      <c r="AE540" s="658"/>
      <c r="AF540" s="658"/>
      <c r="AG540" s="526">
        <v>0</v>
      </c>
      <c r="AH540" s="526"/>
      <c r="AI540" s="659" t="e">
        <v>#N/A</v>
      </c>
      <c r="AJ540" s="659"/>
      <c r="AK540" s="659"/>
      <c r="AL540" s="659"/>
      <c r="AM540" s="659"/>
      <c r="AN540" s="659"/>
      <c r="AO540" s="659"/>
      <c r="AP540" s="659"/>
      <c r="AQ540" s="659"/>
      <c r="AR540" s="659"/>
      <c r="AS540" s="659"/>
      <c r="AT540" s="659"/>
      <c r="AU540" s="659"/>
      <c r="AV540" s="659"/>
      <c r="AW540" s="658">
        <v>0</v>
      </c>
      <c r="AX540" s="658"/>
      <c r="AY540" s="658"/>
      <c r="AZ540" s="658"/>
      <c r="BA540" s="658"/>
      <c r="BB540" s="658"/>
      <c r="BC540" s="658">
        <v>0</v>
      </c>
      <c r="BD540" s="658"/>
      <c r="BE540" s="658"/>
      <c r="BF540" s="658">
        <v>182.49</v>
      </c>
      <c r="BG540" s="658"/>
      <c r="BH540" s="658"/>
      <c r="BI540" s="567">
        <v>0</v>
      </c>
      <c r="BJ540" s="567"/>
      <c r="BK540" s="567"/>
      <c r="BL540" s="567"/>
      <c r="BM540" s="660" t="s">
        <v>932</v>
      </c>
      <c r="BN540" s="660"/>
      <c r="BO540" s="660"/>
      <c r="BP540" s="660"/>
      <c r="BQ540" s="568" t="s">
        <v>932</v>
      </c>
      <c r="BR540" s="568"/>
      <c r="BS540" s="568"/>
      <c r="BT540" s="660" t="s">
        <v>932</v>
      </c>
      <c r="BU540" s="660"/>
      <c r="BV540" s="660"/>
      <c r="BW540" s="660"/>
      <c r="BX540" s="568" t="s">
        <v>932</v>
      </c>
      <c r="BY540" s="568"/>
      <c r="BZ540" s="568"/>
      <c r="CA540" s="660" t="s">
        <v>932</v>
      </c>
      <c r="CB540" s="660"/>
      <c r="CC540" s="660"/>
      <c r="CD540" s="660"/>
      <c r="CE540" s="568" t="s">
        <v>932</v>
      </c>
      <c r="CF540" s="568"/>
      <c r="CG540" s="568"/>
      <c r="CH540" s="660" t="s">
        <v>932</v>
      </c>
      <c r="CI540" s="660"/>
      <c r="CJ540" s="660"/>
      <c r="CK540" s="660"/>
      <c r="CL540" s="568">
        <v>1</v>
      </c>
      <c r="CM540" s="568"/>
      <c r="CN540" s="568"/>
    </row>
    <row r="541" hidden="1" customHeight="1" spans="1:92">
      <c r="A541" s="612"/>
      <c r="B541" s="612"/>
      <c r="C541" s="518"/>
      <c r="D541" s="518"/>
      <c r="E541" s="518"/>
      <c r="F541" s="657"/>
      <c r="G541" s="657"/>
      <c r="H541" s="657"/>
      <c r="I541" s="519"/>
      <c r="J541" s="519"/>
      <c r="K541" s="519"/>
      <c r="L541" s="519"/>
      <c r="M541" s="519"/>
      <c r="N541" s="519"/>
      <c r="O541" s="519"/>
      <c r="P541" s="519"/>
      <c r="Q541" s="519"/>
      <c r="R541" s="519"/>
      <c r="S541" s="519"/>
      <c r="T541" s="519"/>
      <c r="U541" s="519"/>
      <c r="V541" s="519"/>
      <c r="W541" s="519"/>
      <c r="X541" s="519"/>
      <c r="Y541" s="519"/>
      <c r="Z541" s="519"/>
      <c r="AA541" s="519"/>
      <c r="AB541" s="526"/>
      <c r="AC541" s="526"/>
      <c r="AD541" s="658"/>
      <c r="AE541" s="658"/>
      <c r="AF541" s="658"/>
      <c r="AG541" s="526">
        <v>0</v>
      </c>
      <c r="AH541" s="526"/>
      <c r="AI541" s="659" t="e">
        <v>#N/A</v>
      </c>
      <c r="AJ541" s="659"/>
      <c r="AK541" s="659"/>
      <c r="AL541" s="659"/>
      <c r="AM541" s="659"/>
      <c r="AN541" s="659"/>
      <c r="AO541" s="659"/>
      <c r="AP541" s="659"/>
      <c r="AQ541" s="659"/>
      <c r="AR541" s="659"/>
      <c r="AS541" s="659"/>
      <c r="AT541" s="659"/>
      <c r="AU541" s="659"/>
      <c r="AV541" s="659"/>
      <c r="AW541" s="658">
        <v>0</v>
      </c>
      <c r="AX541" s="658"/>
      <c r="AY541" s="658"/>
      <c r="AZ541" s="658"/>
      <c r="BA541" s="658"/>
      <c r="BB541" s="658"/>
      <c r="BC541" s="658">
        <v>0</v>
      </c>
      <c r="BD541" s="658"/>
      <c r="BE541" s="658"/>
      <c r="BF541" s="658">
        <v>182.49</v>
      </c>
      <c r="BG541" s="658"/>
      <c r="BH541" s="658"/>
      <c r="BI541" s="567">
        <v>0</v>
      </c>
      <c r="BJ541" s="567"/>
      <c r="BK541" s="567"/>
      <c r="BL541" s="567"/>
      <c r="BM541" s="660" t="s">
        <v>932</v>
      </c>
      <c r="BN541" s="660"/>
      <c r="BO541" s="660"/>
      <c r="BP541" s="660"/>
      <c r="BQ541" s="568" t="s">
        <v>932</v>
      </c>
      <c r="BR541" s="568"/>
      <c r="BS541" s="568"/>
      <c r="BT541" s="660" t="s">
        <v>932</v>
      </c>
      <c r="BU541" s="660"/>
      <c r="BV541" s="660"/>
      <c r="BW541" s="660"/>
      <c r="BX541" s="568" t="s">
        <v>932</v>
      </c>
      <c r="BY541" s="568"/>
      <c r="BZ541" s="568"/>
      <c r="CA541" s="660" t="s">
        <v>932</v>
      </c>
      <c r="CB541" s="660"/>
      <c r="CC541" s="660"/>
      <c r="CD541" s="660"/>
      <c r="CE541" s="568" t="s">
        <v>932</v>
      </c>
      <c r="CF541" s="568"/>
      <c r="CG541" s="568"/>
      <c r="CH541" s="660" t="s">
        <v>932</v>
      </c>
      <c r="CI541" s="660"/>
      <c r="CJ541" s="660"/>
      <c r="CK541" s="660"/>
      <c r="CL541" s="568">
        <v>1</v>
      </c>
      <c r="CM541" s="568"/>
      <c r="CN541" s="568"/>
    </row>
    <row r="542" hidden="1" customHeight="1" spans="1:92">
      <c r="A542" s="612"/>
      <c r="B542" s="612"/>
      <c r="C542" s="518"/>
      <c r="D542" s="518"/>
      <c r="E542" s="518"/>
      <c r="F542" s="657"/>
      <c r="G542" s="657"/>
      <c r="H542" s="657"/>
      <c r="I542" s="519"/>
      <c r="J542" s="519"/>
      <c r="K542" s="519"/>
      <c r="L542" s="519"/>
      <c r="M542" s="519"/>
      <c r="N542" s="519"/>
      <c r="O542" s="519"/>
      <c r="P542" s="519"/>
      <c r="Q542" s="519"/>
      <c r="R542" s="519"/>
      <c r="S542" s="519"/>
      <c r="T542" s="519"/>
      <c r="U542" s="519"/>
      <c r="V542" s="519"/>
      <c r="W542" s="519"/>
      <c r="X542" s="519"/>
      <c r="Y542" s="519"/>
      <c r="Z542" s="519"/>
      <c r="AA542" s="519"/>
      <c r="AB542" s="526"/>
      <c r="AC542" s="526"/>
      <c r="AD542" s="658"/>
      <c r="AE542" s="658"/>
      <c r="AF542" s="658"/>
      <c r="AG542" s="526">
        <v>0</v>
      </c>
      <c r="AH542" s="526"/>
      <c r="AI542" s="659" t="e">
        <v>#N/A</v>
      </c>
      <c r="AJ542" s="659"/>
      <c r="AK542" s="659"/>
      <c r="AL542" s="659"/>
      <c r="AM542" s="659"/>
      <c r="AN542" s="659"/>
      <c r="AO542" s="659"/>
      <c r="AP542" s="659"/>
      <c r="AQ542" s="659"/>
      <c r="AR542" s="659"/>
      <c r="AS542" s="659"/>
      <c r="AT542" s="659"/>
      <c r="AU542" s="659"/>
      <c r="AV542" s="659"/>
      <c r="AW542" s="658">
        <v>0</v>
      </c>
      <c r="AX542" s="658"/>
      <c r="AY542" s="658"/>
      <c r="AZ542" s="658"/>
      <c r="BA542" s="658"/>
      <c r="BB542" s="658"/>
      <c r="BC542" s="658">
        <v>0</v>
      </c>
      <c r="BD542" s="658"/>
      <c r="BE542" s="658"/>
      <c r="BF542" s="658">
        <v>182.49</v>
      </c>
      <c r="BG542" s="658"/>
      <c r="BH542" s="658"/>
      <c r="BI542" s="567">
        <v>0</v>
      </c>
      <c r="BJ542" s="567"/>
      <c r="BK542" s="567"/>
      <c r="BL542" s="567"/>
      <c r="BM542" s="660" t="s">
        <v>932</v>
      </c>
      <c r="BN542" s="660"/>
      <c r="BO542" s="660"/>
      <c r="BP542" s="660"/>
      <c r="BQ542" s="568" t="s">
        <v>932</v>
      </c>
      <c r="BR542" s="568"/>
      <c r="BS542" s="568"/>
      <c r="BT542" s="660" t="s">
        <v>932</v>
      </c>
      <c r="BU542" s="660"/>
      <c r="BV542" s="660"/>
      <c r="BW542" s="660"/>
      <c r="BX542" s="568" t="s">
        <v>932</v>
      </c>
      <c r="BY542" s="568"/>
      <c r="BZ542" s="568"/>
      <c r="CA542" s="660" t="s">
        <v>932</v>
      </c>
      <c r="CB542" s="660"/>
      <c r="CC542" s="660"/>
      <c r="CD542" s="660"/>
      <c r="CE542" s="568" t="s">
        <v>932</v>
      </c>
      <c r="CF542" s="568"/>
      <c r="CG542" s="568"/>
      <c r="CH542" s="660" t="s">
        <v>932</v>
      </c>
      <c r="CI542" s="660"/>
      <c r="CJ542" s="660"/>
      <c r="CK542" s="660"/>
      <c r="CL542" s="568">
        <v>1</v>
      </c>
      <c r="CM542" s="568"/>
      <c r="CN542" s="568"/>
    </row>
    <row r="543" hidden="1" customHeight="1" spans="1:92">
      <c r="A543" s="612"/>
      <c r="B543" s="612"/>
      <c r="C543" s="518"/>
      <c r="D543" s="518"/>
      <c r="E543" s="518"/>
      <c r="F543" s="657"/>
      <c r="G543" s="657"/>
      <c r="H543" s="657"/>
      <c r="I543" s="519"/>
      <c r="J543" s="519"/>
      <c r="K543" s="519"/>
      <c r="L543" s="519"/>
      <c r="M543" s="519"/>
      <c r="N543" s="519"/>
      <c r="O543" s="519"/>
      <c r="P543" s="519"/>
      <c r="Q543" s="519"/>
      <c r="R543" s="519"/>
      <c r="S543" s="519"/>
      <c r="T543" s="519"/>
      <c r="U543" s="519"/>
      <c r="V543" s="519"/>
      <c r="W543" s="519"/>
      <c r="X543" s="519"/>
      <c r="Y543" s="519"/>
      <c r="Z543" s="519"/>
      <c r="AA543" s="519"/>
      <c r="AB543" s="526"/>
      <c r="AC543" s="526"/>
      <c r="AD543" s="658"/>
      <c r="AE543" s="658"/>
      <c r="AF543" s="658"/>
      <c r="AG543" s="526">
        <v>0</v>
      </c>
      <c r="AH543" s="526"/>
      <c r="AI543" s="659" t="e">
        <v>#N/A</v>
      </c>
      <c r="AJ543" s="659"/>
      <c r="AK543" s="659"/>
      <c r="AL543" s="659"/>
      <c r="AM543" s="659"/>
      <c r="AN543" s="659"/>
      <c r="AO543" s="659"/>
      <c r="AP543" s="659"/>
      <c r="AQ543" s="659"/>
      <c r="AR543" s="659"/>
      <c r="AS543" s="659"/>
      <c r="AT543" s="659"/>
      <c r="AU543" s="659"/>
      <c r="AV543" s="659"/>
      <c r="AW543" s="658">
        <v>0</v>
      </c>
      <c r="AX543" s="658"/>
      <c r="AY543" s="658"/>
      <c r="AZ543" s="658"/>
      <c r="BA543" s="658"/>
      <c r="BB543" s="658"/>
      <c r="BC543" s="658">
        <v>0</v>
      </c>
      <c r="BD543" s="658"/>
      <c r="BE543" s="658"/>
      <c r="BF543" s="658">
        <v>182.49</v>
      </c>
      <c r="BG543" s="658"/>
      <c r="BH543" s="658"/>
      <c r="BI543" s="567">
        <v>0</v>
      </c>
      <c r="BJ543" s="567"/>
      <c r="BK543" s="567"/>
      <c r="BL543" s="567"/>
      <c r="BM543" s="660" t="s">
        <v>932</v>
      </c>
      <c r="BN543" s="660"/>
      <c r="BO543" s="660"/>
      <c r="BP543" s="660"/>
      <c r="BQ543" s="568" t="s">
        <v>932</v>
      </c>
      <c r="BR543" s="568"/>
      <c r="BS543" s="568"/>
      <c r="BT543" s="660" t="s">
        <v>932</v>
      </c>
      <c r="BU543" s="660"/>
      <c r="BV543" s="660"/>
      <c r="BW543" s="660"/>
      <c r="BX543" s="568" t="s">
        <v>932</v>
      </c>
      <c r="BY543" s="568"/>
      <c r="BZ543" s="568"/>
      <c r="CA543" s="660" t="s">
        <v>932</v>
      </c>
      <c r="CB543" s="660"/>
      <c r="CC543" s="660"/>
      <c r="CD543" s="660"/>
      <c r="CE543" s="568" t="s">
        <v>932</v>
      </c>
      <c r="CF543" s="568"/>
      <c r="CG543" s="568"/>
      <c r="CH543" s="660" t="s">
        <v>932</v>
      </c>
      <c r="CI543" s="660"/>
      <c r="CJ543" s="660"/>
      <c r="CK543" s="660"/>
      <c r="CL543" s="568">
        <v>1</v>
      </c>
      <c r="CM543" s="568"/>
      <c r="CN543" s="568"/>
    </row>
    <row r="544" customHeight="1" spans="1:92">
      <c r="A544" s="612" t="s">
        <v>1008</v>
      </c>
      <c r="B544" s="612"/>
      <c r="C544" s="518"/>
      <c r="D544" s="518"/>
      <c r="E544" s="518"/>
      <c r="F544" s="657">
        <v>1100657</v>
      </c>
      <c r="G544" s="657"/>
      <c r="H544" s="657"/>
      <c r="I544" s="519" t="s">
        <v>114</v>
      </c>
      <c r="J544" s="519"/>
      <c r="K544" s="519"/>
      <c r="L544" s="519"/>
      <c r="M544" s="519"/>
      <c r="N544" s="519"/>
      <c r="O544" s="519"/>
      <c r="P544" s="519"/>
      <c r="Q544" s="519"/>
      <c r="R544" s="519"/>
      <c r="S544" s="519"/>
      <c r="T544" s="519"/>
      <c r="U544" s="519"/>
      <c r="V544" s="519"/>
      <c r="W544" s="519"/>
      <c r="X544" s="519"/>
      <c r="Y544" s="519"/>
      <c r="Z544" s="519"/>
      <c r="AA544" s="519"/>
      <c r="AB544" s="526" t="s">
        <v>99</v>
      </c>
      <c r="AC544" s="526"/>
      <c r="AD544" s="658">
        <v>13.62</v>
      </c>
      <c r="AE544" s="658"/>
      <c r="AF544" s="658"/>
      <c r="AG544" s="526" t="s">
        <v>935</v>
      </c>
      <c r="AH544" s="526"/>
      <c r="AI544" s="659" t="s">
        <v>936</v>
      </c>
      <c r="AJ544" s="659"/>
      <c r="AK544" s="659"/>
      <c r="AL544" s="659"/>
      <c r="AM544" s="659"/>
      <c r="AN544" s="659"/>
      <c r="AO544" s="659"/>
      <c r="AP544" s="659"/>
      <c r="AQ544" s="659"/>
      <c r="AR544" s="659"/>
      <c r="AS544" s="659"/>
      <c r="AT544" s="659"/>
      <c r="AU544" s="659"/>
      <c r="AV544" s="659"/>
      <c r="AW544" s="658">
        <v>1</v>
      </c>
      <c r="AX544" s="658"/>
      <c r="AY544" s="658"/>
      <c r="AZ544" s="658">
        <v>9</v>
      </c>
      <c r="BA544" s="658"/>
      <c r="BB544" s="658"/>
      <c r="BC544" s="658">
        <v>1.51333333333333</v>
      </c>
      <c r="BD544" s="658"/>
      <c r="BE544" s="658"/>
      <c r="BF544" s="658">
        <v>182.49</v>
      </c>
      <c r="BG544" s="658"/>
      <c r="BH544" s="658"/>
      <c r="BI544" s="567">
        <v>0.00829269183699563</v>
      </c>
      <c r="BJ544" s="567"/>
      <c r="BK544" s="567"/>
      <c r="BL544" s="567"/>
      <c r="BM544" s="660" t="s">
        <v>932</v>
      </c>
      <c r="BN544" s="660"/>
      <c r="BO544" s="660"/>
      <c r="BP544" s="660"/>
      <c r="BQ544" s="568" t="s">
        <v>932</v>
      </c>
      <c r="BR544" s="568"/>
      <c r="BS544" s="568"/>
      <c r="BT544" s="660" t="s">
        <v>932</v>
      </c>
      <c r="BU544" s="660"/>
      <c r="BV544" s="660"/>
      <c r="BW544" s="660"/>
      <c r="BX544" s="568" t="s">
        <v>932</v>
      </c>
      <c r="BY544" s="568"/>
      <c r="BZ544" s="568"/>
      <c r="CA544" s="660" t="s">
        <v>932</v>
      </c>
      <c r="CB544" s="660"/>
      <c r="CC544" s="660"/>
      <c r="CD544" s="660"/>
      <c r="CE544" s="568" t="s">
        <v>932</v>
      </c>
      <c r="CF544" s="568"/>
      <c r="CG544" s="568"/>
      <c r="CH544" s="660">
        <v>0.00829269183699563</v>
      </c>
      <c r="CI544" s="660"/>
      <c r="CJ544" s="660"/>
      <c r="CK544" s="660"/>
      <c r="CL544" s="568">
        <v>1</v>
      </c>
      <c r="CM544" s="568"/>
      <c r="CN544" s="568"/>
    </row>
    <row r="545" hidden="1" customHeight="1" spans="1:92">
      <c r="A545" s="612"/>
      <c r="B545" s="612"/>
      <c r="C545" s="518"/>
      <c r="D545" s="518"/>
      <c r="E545" s="518"/>
      <c r="F545" s="657"/>
      <c r="G545" s="657"/>
      <c r="H545" s="657"/>
      <c r="I545" s="519"/>
      <c r="J545" s="519"/>
      <c r="K545" s="519"/>
      <c r="L545" s="519"/>
      <c r="M545" s="519"/>
      <c r="N545" s="519"/>
      <c r="O545" s="519"/>
      <c r="P545" s="519"/>
      <c r="Q545" s="519"/>
      <c r="R545" s="519"/>
      <c r="S545" s="519"/>
      <c r="T545" s="519"/>
      <c r="U545" s="519"/>
      <c r="V545" s="519"/>
      <c r="W545" s="519"/>
      <c r="X545" s="519"/>
      <c r="Y545" s="519"/>
      <c r="Z545" s="519"/>
      <c r="AA545" s="519"/>
      <c r="AB545" s="526"/>
      <c r="AC545" s="526"/>
      <c r="AD545" s="658"/>
      <c r="AE545" s="658"/>
      <c r="AF545" s="658"/>
      <c r="AG545" s="526">
        <v>0</v>
      </c>
      <c r="AH545" s="526"/>
      <c r="AI545" s="659" t="e">
        <v>#N/A</v>
      </c>
      <c r="AJ545" s="659"/>
      <c r="AK545" s="659"/>
      <c r="AL545" s="659"/>
      <c r="AM545" s="659"/>
      <c r="AN545" s="659"/>
      <c r="AO545" s="659"/>
      <c r="AP545" s="659"/>
      <c r="AQ545" s="659"/>
      <c r="AR545" s="659"/>
      <c r="AS545" s="659"/>
      <c r="AT545" s="659"/>
      <c r="AU545" s="659"/>
      <c r="AV545" s="659"/>
      <c r="AW545" s="658">
        <v>0</v>
      </c>
      <c r="AX545" s="658"/>
      <c r="AY545" s="658"/>
      <c r="AZ545" s="658"/>
      <c r="BA545" s="658"/>
      <c r="BB545" s="658"/>
      <c r="BC545" s="658">
        <v>0</v>
      </c>
      <c r="BD545" s="658"/>
      <c r="BE545" s="658"/>
      <c r="BF545" s="658">
        <v>182.49</v>
      </c>
      <c r="BG545" s="658"/>
      <c r="BH545" s="658"/>
      <c r="BI545" s="567">
        <v>0</v>
      </c>
      <c r="BJ545" s="567"/>
      <c r="BK545" s="567"/>
      <c r="BL545" s="567"/>
      <c r="BM545" s="660" t="s">
        <v>932</v>
      </c>
      <c r="BN545" s="660"/>
      <c r="BO545" s="660"/>
      <c r="BP545" s="660"/>
      <c r="BQ545" s="568" t="s">
        <v>932</v>
      </c>
      <c r="BR545" s="568"/>
      <c r="BS545" s="568"/>
      <c r="BT545" s="660" t="s">
        <v>932</v>
      </c>
      <c r="BU545" s="660"/>
      <c r="BV545" s="660"/>
      <c r="BW545" s="660"/>
      <c r="BX545" s="568" t="s">
        <v>932</v>
      </c>
      <c r="BY545" s="568"/>
      <c r="BZ545" s="568"/>
      <c r="CA545" s="660" t="s">
        <v>932</v>
      </c>
      <c r="CB545" s="660"/>
      <c r="CC545" s="660"/>
      <c r="CD545" s="660"/>
      <c r="CE545" s="568" t="s">
        <v>932</v>
      </c>
      <c r="CF545" s="568"/>
      <c r="CG545" s="568"/>
      <c r="CH545" s="660" t="s">
        <v>932</v>
      </c>
      <c r="CI545" s="660"/>
      <c r="CJ545" s="660"/>
      <c r="CK545" s="660"/>
      <c r="CL545" s="568">
        <v>1</v>
      </c>
      <c r="CM545" s="568"/>
      <c r="CN545" s="568"/>
    </row>
    <row r="546" hidden="1" customHeight="1" spans="1:92">
      <c r="A546" s="612"/>
      <c r="B546" s="612"/>
      <c r="C546" s="518"/>
      <c r="D546" s="518"/>
      <c r="E546" s="518"/>
      <c r="F546" s="657"/>
      <c r="G546" s="657"/>
      <c r="H546" s="657"/>
      <c r="I546" s="519"/>
      <c r="J546" s="519"/>
      <c r="K546" s="519"/>
      <c r="L546" s="519"/>
      <c r="M546" s="519"/>
      <c r="N546" s="519"/>
      <c r="O546" s="519"/>
      <c r="P546" s="519"/>
      <c r="Q546" s="519"/>
      <c r="R546" s="519"/>
      <c r="S546" s="519"/>
      <c r="T546" s="519"/>
      <c r="U546" s="519"/>
      <c r="V546" s="519"/>
      <c r="W546" s="519"/>
      <c r="X546" s="519"/>
      <c r="Y546" s="519"/>
      <c r="Z546" s="519"/>
      <c r="AA546" s="519"/>
      <c r="AB546" s="526"/>
      <c r="AC546" s="526"/>
      <c r="AD546" s="658"/>
      <c r="AE546" s="658"/>
      <c r="AF546" s="658"/>
      <c r="AG546" s="526">
        <v>0</v>
      </c>
      <c r="AH546" s="526"/>
      <c r="AI546" s="659" t="e">
        <v>#N/A</v>
      </c>
      <c r="AJ546" s="659"/>
      <c r="AK546" s="659"/>
      <c r="AL546" s="659"/>
      <c r="AM546" s="659"/>
      <c r="AN546" s="659"/>
      <c r="AO546" s="659"/>
      <c r="AP546" s="659"/>
      <c r="AQ546" s="659"/>
      <c r="AR546" s="659"/>
      <c r="AS546" s="659"/>
      <c r="AT546" s="659"/>
      <c r="AU546" s="659"/>
      <c r="AV546" s="659"/>
      <c r="AW546" s="658">
        <v>0</v>
      </c>
      <c r="AX546" s="658"/>
      <c r="AY546" s="658"/>
      <c r="AZ546" s="658"/>
      <c r="BA546" s="658"/>
      <c r="BB546" s="658"/>
      <c r="BC546" s="658">
        <v>0</v>
      </c>
      <c r="BD546" s="658"/>
      <c r="BE546" s="658"/>
      <c r="BF546" s="658">
        <v>182.49</v>
      </c>
      <c r="BG546" s="658"/>
      <c r="BH546" s="658"/>
      <c r="BI546" s="567">
        <v>0</v>
      </c>
      <c r="BJ546" s="567"/>
      <c r="BK546" s="567"/>
      <c r="BL546" s="567"/>
      <c r="BM546" s="660" t="s">
        <v>932</v>
      </c>
      <c r="BN546" s="660"/>
      <c r="BO546" s="660"/>
      <c r="BP546" s="660"/>
      <c r="BQ546" s="568" t="s">
        <v>932</v>
      </c>
      <c r="BR546" s="568"/>
      <c r="BS546" s="568"/>
      <c r="BT546" s="660" t="s">
        <v>932</v>
      </c>
      <c r="BU546" s="660"/>
      <c r="BV546" s="660"/>
      <c r="BW546" s="660"/>
      <c r="BX546" s="568" t="s">
        <v>932</v>
      </c>
      <c r="BY546" s="568"/>
      <c r="BZ546" s="568"/>
      <c r="CA546" s="660" t="s">
        <v>932</v>
      </c>
      <c r="CB546" s="660"/>
      <c r="CC546" s="660"/>
      <c r="CD546" s="660"/>
      <c r="CE546" s="568" t="s">
        <v>932</v>
      </c>
      <c r="CF546" s="568"/>
      <c r="CG546" s="568"/>
      <c r="CH546" s="660" t="s">
        <v>932</v>
      </c>
      <c r="CI546" s="660"/>
      <c r="CJ546" s="660"/>
      <c r="CK546" s="660"/>
      <c r="CL546" s="568">
        <v>1</v>
      </c>
      <c r="CM546" s="568"/>
      <c r="CN546" s="568"/>
    </row>
    <row r="547" hidden="1" customHeight="1" spans="1:92">
      <c r="A547" s="612"/>
      <c r="B547" s="612"/>
      <c r="C547" s="518"/>
      <c r="D547" s="518"/>
      <c r="E547" s="518"/>
      <c r="F547" s="657"/>
      <c r="G547" s="657"/>
      <c r="H547" s="657"/>
      <c r="I547" s="519"/>
      <c r="J547" s="519"/>
      <c r="K547" s="519"/>
      <c r="L547" s="519"/>
      <c r="M547" s="519"/>
      <c r="N547" s="519"/>
      <c r="O547" s="519"/>
      <c r="P547" s="519"/>
      <c r="Q547" s="519"/>
      <c r="R547" s="519"/>
      <c r="S547" s="519"/>
      <c r="T547" s="519"/>
      <c r="U547" s="519"/>
      <c r="V547" s="519"/>
      <c r="W547" s="519"/>
      <c r="X547" s="519"/>
      <c r="Y547" s="519"/>
      <c r="Z547" s="519"/>
      <c r="AA547" s="519"/>
      <c r="AB547" s="526"/>
      <c r="AC547" s="526"/>
      <c r="AD547" s="658"/>
      <c r="AE547" s="658"/>
      <c r="AF547" s="658"/>
      <c r="AG547" s="526">
        <v>0</v>
      </c>
      <c r="AH547" s="526"/>
      <c r="AI547" s="659" t="e">
        <v>#N/A</v>
      </c>
      <c r="AJ547" s="659"/>
      <c r="AK547" s="659"/>
      <c r="AL547" s="659"/>
      <c r="AM547" s="659"/>
      <c r="AN547" s="659"/>
      <c r="AO547" s="659"/>
      <c r="AP547" s="659"/>
      <c r="AQ547" s="659"/>
      <c r="AR547" s="659"/>
      <c r="AS547" s="659"/>
      <c r="AT547" s="659"/>
      <c r="AU547" s="659"/>
      <c r="AV547" s="659"/>
      <c r="AW547" s="658">
        <v>0</v>
      </c>
      <c r="AX547" s="658"/>
      <c r="AY547" s="658"/>
      <c r="AZ547" s="658"/>
      <c r="BA547" s="658"/>
      <c r="BB547" s="658"/>
      <c r="BC547" s="658">
        <v>0</v>
      </c>
      <c r="BD547" s="658"/>
      <c r="BE547" s="658"/>
      <c r="BF547" s="658">
        <v>182.49</v>
      </c>
      <c r="BG547" s="658"/>
      <c r="BH547" s="658"/>
      <c r="BI547" s="567">
        <v>0</v>
      </c>
      <c r="BJ547" s="567"/>
      <c r="BK547" s="567"/>
      <c r="BL547" s="567"/>
      <c r="BM547" s="660" t="s">
        <v>932</v>
      </c>
      <c r="BN547" s="660"/>
      <c r="BO547" s="660"/>
      <c r="BP547" s="660"/>
      <c r="BQ547" s="568" t="s">
        <v>932</v>
      </c>
      <c r="BR547" s="568"/>
      <c r="BS547" s="568"/>
      <c r="BT547" s="660" t="s">
        <v>932</v>
      </c>
      <c r="BU547" s="660"/>
      <c r="BV547" s="660"/>
      <c r="BW547" s="660"/>
      <c r="BX547" s="568" t="s">
        <v>932</v>
      </c>
      <c r="BY547" s="568"/>
      <c r="BZ547" s="568"/>
      <c r="CA547" s="660" t="s">
        <v>932</v>
      </c>
      <c r="CB547" s="660"/>
      <c r="CC547" s="660"/>
      <c r="CD547" s="660"/>
      <c r="CE547" s="568" t="s">
        <v>932</v>
      </c>
      <c r="CF547" s="568"/>
      <c r="CG547" s="568"/>
      <c r="CH547" s="660" t="s">
        <v>932</v>
      </c>
      <c r="CI547" s="660"/>
      <c r="CJ547" s="660"/>
      <c r="CK547" s="660"/>
      <c r="CL547" s="568">
        <v>1</v>
      </c>
      <c r="CM547" s="568"/>
      <c r="CN547" s="568"/>
    </row>
    <row r="548" hidden="1" customHeight="1" spans="1:92">
      <c r="A548" s="612"/>
      <c r="B548" s="612"/>
      <c r="C548" s="518"/>
      <c r="D548" s="518"/>
      <c r="E548" s="518"/>
      <c r="F548" s="657"/>
      <c r="G548" s="657"/>
      <c r="H548" s="657"/>
      <c r="I548" s="519"/>
      <c r="J548" s="519"/>
      <c r="K548" s="519"/>
      <c r="L548" s="519"/>
      <c r="M548" s="519"/>
      <c r="N548" s="519"/>
      <c r="O548" s="519"/>
      <c r="P548" s="519"/>
      <c r="Q548" s="519"/>
      <c r="R548" s="519"/>
      <c r="S548" s="519"/>
      <c r="T548" s="519"/>
      <c r="U548" s="519"/>
      <c r="V548" s="519"/>
      <c r="W548" s="519"/>
      <c r="X548" s="519"/>
      <c r="Y548" s="519"/>
      <c r="Z548" s="519"/>
      <c r="AA548" s="519"/>
      <c r="AB548" s="526"/>
      <c r="AC548" s="526"/>
      <c r="AD548" s="658"/>
      <c r="AE548" s="658"/>
      <c r="AF548" s="658"/>
      <c r="AG548" s="526">
        <v>0</v>
      </c>
      <c r="AH548" s="526"/>
      <c r="AI548" s="659" t="e">
        <v>#N/A</v>
      </c>
      <c r="AJ548" s="659"/>
      <c r="AK548" s="659"/>
      <c r="AL548" s="659"/>
      <c r="AM548" s="659"/>
      <c r="AN548" s="659"/>
      <c r="AO548" s="659"/>
      <c r="AP548" s="659"/>
      <c r="AQ548" s="659"/>
      <c r="AR548" s="659"/>
      <c r="AS548" s="659"/>
      <c r="AT548" s="659"/>
      <c r="AU548" s="659"/>
      <c r="AV548" s="659"/>
      <c r="AW548" s="658">
        <v>0</v>
      </c>
      <c r="AX548" s="658"/>
      <c r="AY548" s="658"/>
      <c r="AZ548" s="658"/>
      <c r="BA548" s="658"/>
      <c r="BB548" s="658"/>
      <c r="BC548" s="658">
        <v>0</v>
      </c>
      <c r="BD548" s="658"/>
      <c r="BE548" s="658"/>
      <c r="BF548" s="658">
        <v>182.49</v>
      </c>
      <c r="BG548" s="658"/>
      <c r="BH548" s="658"/>
      <c r="BI548" s="567">
        <v>0</v>
      </c>
      <c r="BJ548" s="567"/>
      <c r="BK548" s="567"/>
      <c r="BL548" s="567"/>
      <c r="BM548" s="660" t="s">
        <v>932</v>
      </c>
      <c r="BN548" s="660"/>
      <c r="BO548" s="660"/>
      <c r="BP548" s="660"/>
      <c r="BQ548" s="568" t="s">
        <v>932</v>
      </c>
      <c r="BR548" s="568"/>
      <c r="BS548" s="568"/>
      <c r="BT548" s="660" t="s">
        <v>932</v>
      </c>
      <c r="BU548" s="660"/>
      <c r="BV548" s="660"/>
      <c r="BW548" s="660"/>
      <c r="BX548" s="568" t="s">
        <v>932</v>
      </c>
      <c r="BY548" s="568"/>
      <c r="BZ548" s="568"/>
      <c r="CA548" s="660" t="s">
        <v>932</v>
      </c>
      <c r="CB548" s="660"/>
      <c r="CC548" s="660"/>
      <c r="CD548" s="660"/>
      <c r="CE548" s="568" t="s">
        <v>932</v>
      </c>
      <c r="CF548" s="568"/>
      <c r="CG548" s="568"/>
      <c r="CH548" s="660" t="s">
        <v>932</v>
      </c>
      <c r="CI548" s="660"/>
      <c r="CJ548" s="660"/>
      <c r="CK548" s="660"/>
      <c r="CL548" s="568">
        <v>1</v>
      </c>
      <c r="CM548" s="568"/>
      <c r="CN548" s="568"/>
    </row>
    <row r="549" hidden="1" customHeight="1" spans="1:92">
      <c r="A549" s="612"/>
      <c r="B549" s="612"/>
      <c r="C549" s="518"/>
      <c r="D549" s="518"/>
      <c r="E549" s="518"/>
      <c r="F549" s="657"/>
      <c r="G549" s="657"/>
      <c r="H549" s="657"/>
      <c r="I549" s="519"/>
      <c r="J549" s="519"/>
      <c r="K549" s="519"/>
      <c r="L549" s="519"/>
      <c r="M549" s="519"/>
      <c r="N549" s="519"/>
      <c r="O549" s="519"/>
      <c r="P549" s="519"/>
      <c r="Q549" s="519"/>
      <c r="R549" s="519"/>
      <c r="S549" s="519"/>
      <c r="T549" s="519"/>
      <c r="U549" s="519"/>
      <c r="V549" s="519"/>
      <c r="W549" s="519"/>
      <c r="X549" s="519"/>
      <c r="Y549" s="519"/>
      <c r="Z549" s="519"/>
      <c r="AA549" s="519"/>
      <c r="AB549" s="526"/>
      <c r="AC549" s="526"/>
      <c r="AD549" s="658"/>
      <c r="AE549" s="658"/>
      <c r="AF549" s="658"/>
      <c r="AG549" s="526">
        <v>0</v>
      </c>
      <c r="AH549" s="526"/>
      <c r="AI549" s="659" t="e">
        <v>#N/A</v>
      </c>
      <c r="AJ549" s="659"/>
      <c r="AK549" s="659"/>
      <c r="AL549" s="659"/>
      <c r="AM549" s="659"/>
      <c r="AN549" s="659"/>
      <c r="AO549" s="659"/>
      <c r="AP549" s="659"/>
      <c r="AQ549" s="659"/>
      <c r="AR549" s="659"/>
      <c r="AS549" s="659"/>
      <c r="AT549" s="659"/>
      <c r="AU549" s="659"/>
      <c r="AV549" s="659"/>
      <c r="AW549" s="658">
        <v>0</v>
      </c>
      <c r="AX549" s="658"/>
      <c r="AY549" s="658"/>
      <c r="AZ549" s="658"/>
      <c r="BA549" s="658"/>
      <c r="BB549" s="658"/>
      <c r="BC549" s="658">
        <v>0</v>
      </c>
      <c r="BD549" s="658"/>
      <c r="BE549" s="658"/>
      <c r="BF549" s="658">
        <v>182.49</v>
      </c>
      <c r="BG549" s="658"/>
      <c r="BH549" s="658"/>
      <c r="BI549" s="567">
        <v>0</v>
      </c>
      <c r="BJ549" s="567"/>
      <c r="BK549" s="567"/>
      <c r="BL549" s="567"/>
      <c r="BM549" s="660" t="s">
        <v>932</v>
      </c>
      <c r="BN549" s="660"/>
      <c r="BO549" s="660"/>
      <c r="BP549" s="660"/>
      <c r="BQ549" s="568" t="s">
        <v>932</v>
      </c>
      <c r="BR549" s="568"/>
      <c r="BS549" s="568"/>
      <c r="BT549" s="660" t="s">
        <v>932</v>
      </c>
      <c r="BU549" s="660"/>
      <c r="BV549" s="660"/>
      <c r="BW549" s="660"/>
      <c r="BX549" s="568" t="s">
        <v>932</v>
      </c>
      <c r="BY549" s="568"/>
      <c r="BZ549" s="568"/>
      <c r="CA549" s="660" t="s">
        <v>932</v>
      </c>
      <c r="CB549" s="660"/>
      <c r="CC549" s="660"/>
      <c r="CD549" s="660"/>
      <c r="CE549" s="568" t="s">
        <v>932</v>
      </c>
      <c r="CF549" s="568"/>
      <c r="CG549" s="568"/>
      <c r="CH549" s="660" t="s">
        <v>932</v>
      </c>
      <c r="CI549" s="660"/>
      <c r="CJ549" s="660"/>
      <c r="CK549" s="660"/>
      <c r="CL549" s="568">
        <v>1</v>
      </c>
      <c r="CM549" s="568"/>
      <c r="CN549" s="568"/>
    </row>
    <row r="550" hidden="1" customHeight="1" spans="1:92">
      <c r="A550" s="612"/>
      <c r="B550" s="612"/>
      <c r="C550" s="518"/>
      <c r="D550" s="518"/>
      <c r="E550" s="518"/>
      <c r="F550" s="657"/>
      <c r="G550" s="657"/>
      <c r="H550" s="657"/>
      <c r="I550" s="519"/>
      <c r="J550" s="519"/>
      <c r="K550" s="519"/>
      <c r="L550" s="519"/>
      <c r="M550" s="519"/>
      <c r="N550" s="519"/>
      <c r="O550" s="519"/>
      <c r="P550" s="519"/>
      <c r="Q550" s="519"/>
      <c r="R550" s="519"/>
      <c r="S550" s="519"/>
      <c r="T550" s="519"/>
      <c r="U550" s="519"/>
      <c r="V550" s="519"/>
      <c r="W550" s="519"/>
      <c r="X550" s="519"/>
      <c r="Y550" s="519"/>
      <c r="Z550" s="519"/>
      <c r="AA550" s="519"/>
      <c r="AB550" s="526"/>
      <c r="AC550" s="526"/>
      <c r="AD550" s="658"/>
      <c r="AE550" s="658"/>
      <c r="AF550" s="658"/>
      <c r="AG550" s="526">
        <v>0</v>
      </c>
      <c r="AH550" s="526"/>
      <c r="AI550" s="659" t="e">
        <v>#N/A</v>
      </c>
      <c r="AJ550" s="659"/>
      <c r="AK550" s="659"/>
      <c r="AL550" s="659"/>
      <c r="AM550" s="659"/>
      <c r="AN550" s="659"/>
      <c r="AO550" s="659"/>
      <c r="AP550" s="659"/>
      <c r="AQ550" s="659"/>
      <c r="AR550" s="659"/>
      <c r="AS550" s="659"/>
      <c r="AT550" s="659"/>
      <c r="AU550" s="659"/>
      <c r="AV550" s="659"/>
      <c r="AW550" s="658">
        <v>0</v>
      </c>
      <c r="AX550" s="658"/>
      <c r="AY550" s="658"/>
      <c r="AZ550" s="658"/>
      <c r="BA550" s="658"/>
      <c r="BB550" s="658"/>
      <c r="BC550" s="658">
        <v>0</v>
      </c>
      <c r="BD550" s="658"/>
      <c r="BE550" s="658"/>
      <c r="BF550" s="658">
        <v>182.49</v>
      </c>
      <c r="BG550" s="658"/>
      <c r="BH550" s="658"/>
      <c r="BI550" s="567">
        <v>0</v>
      </c>
      <c r="BJ550" s="567"/>
      <c r="BK550" s="567"/>
      <c r="BL550" s="567"/>
      <c r="BM550" s="660" t="s">
        <v>932</v>
      </c>
      <c r="BN550" s="660"/>
      <c r="BO550" s="660"/>
      <c r="BP550" s="660"/>
      <c r="BQ550" s="568" t="s">
        <v>932</v>
      </c>
      <c r="BR550" s="568"/>
      <c r="BS550" s="568"/>
      <c r="BT550" s="660" t="s">
        <v>932</v>
      </c>
      <c r="BU550" s="660"/>
      <c r="BV550" s="660"/>
      <c r="BW550" s="660"/>
      <c r="BX550" s="568" t="s">
        <v>932</v>
      </c>
      <c r="BY550" s="568"/>
      <c r="BZ550" s="568"/>
      <c r="CA550" s="660" t="s">
        <v>932</v>
      </c>
      <c r="CB550" s="660"/>
      <c r="CC550" s="660"/>
      <c r="CD550" s="660"/>
      <c r="CE550" s="568" t="s">
        <v>932</v>
      </c>
      <c r="CF550" s="568"/>
      <c r="CG550" s="568"/>
      <c r="CH550" s="660" t="s">
        <v>932</v>
      </c>
      <c r="CI550" s="660"/>
      <c r="CJ550" s="660"/>
      <c r="CK550" s="660"/>
      <c r="CL550" s="568">
        <v>1</v>
      </c>
      <c r="CM550" s="568"/>
      <c r="CN550" s="568"/>
    </row>
    <row r="551" hidden="1" customHeight="1" spans="1:92">
      <c r="A551" s="612"/>
      <c r="B551" s="612"/>
      <c r="C551" s="518"/>
      <c r="D551" s="518"/>
      <c r="E551" s="518"/>
      <c r="F551" s="657"/>
      <c r="G551" s="657"/>
      <c r="H551" s="657"/>
      <c r="I551" s="519"/>
      <c r="J551" s="519"/>
      <c r="K551" s="519"/>
      <c r="L551" s="519"/>
      <c r="M551" s="519"/>
      <c r="N551" s="519"/>
      <c r="O551" s="519"/>
      <c r="P551" s="519"/>
      <c r="Q551" s="519"/>
      <c r="R551" s="519"/>
      <c r="S551" s="519"/>
      <c r="T551" s="519"/>
      <c r="U551" s="519"/>
      <c r="V551" s="519"/>
      <c r="W551" s="519"/>
      <c r="X551" s="519"/>
      <c r="Y551" s="519"/>
      <c r="Z551" s="519"/>
      <c r="AA551" s="519"/>
      <c r="AB551" s="526"/>
      <c r="AC551" s="526"/>
      <c r="AD551" s="658"/>
      <c r="AE551" s="658"/>
      <c r="AF551" s="658"/>
      <c r="AG551" s="526">
        <v>0</v>
      </c>
      <c r="AH551" s="526"/>
      <c r="AI551" s="659" t="e">
        <v>#N/A</v>
      </c>
      <c r="AJ551" s="659"/>
      <c r="AK551" s="659"/>
      <c r="AL551" s="659"/>
      <c r="AM551" s="659"/>
      <c r="AN551" s="659"/>
      <c r="AO551" s="659"/>
      <c r="AP551" s="659"/>
      <c r="AQ551" s="659"/>
      <c r="AR551" s="659"/>
      <c r="AS551" s="659"/>
      <c r="AT551" s="659"/>
      <c r="AU551" s="659"/>
      <c r="AV551" s="659"/>
      <c r="AW551" s="658">
        <v>0</v>
      </c>
      <c r="AX551" s="658"/>
      <c r="AY551" s="658"/>
      <c r="AZ551" s="658"/>
      <c r="BA551" s="658"/>
      <c r="BB551" s="658"/>
      <c r="BC551" s="658">
        <v>0</v>
      </c>
      <c r="BD551" s="658"/>
      <c r="BE551" s="658"/>
      <c r="BF551" s="658">
        <v>182.49</v>
      </c>
      <c r="BG551" s="658"/>
      <c r="BH551" s="658"/>
      <c r="BI551" s="567">
        <v>0</v>
      </c>
      <c r="BJ551" s="567"/>
      <c r="BK551" s="567"/>
      <c r="BL551" s="567"/>
      <c r="BM551" s="660" t="s">
        <v>932</v>
      </c>
      <c r="BN551" s="660"/>
      <c r="BO551" s="660"/>
      <c r="BP551" s="660"/>
      <c r="BQ551" s="568" t="s">
        <v>932</v>
      </c>
      <c r="BR551" s="568"/>
      <c r="BS551" s="568"/>
      <c r="BT551" s="660" t="s">
        <v>932</v>
      </c>
      <c r="BU551" s="660"/>
      <c r="BV551" s="660"/>
      <c r="BW551" s="660"/>
      <c r="BX551" s="568" t="s">
        <v>932</v>
      </c>
      <c r="BY551" s="568"/>
      <c r="BZ551" s="568"/>
      <c r="CA551" s="660" t="s">
        <v>932</v>
      </c>
      <c r="CB551" s="660"/>
      <c r="CC551" s="660"/>
      <c r="CD551" s="660"/>
      <c r="CE551" s="568" t="s">
        <v>932</v>
      </c>
      <c r="CF551" s="568"/>
      <c r="CG551" s="568"/>
      <c r="CH551" s="660" t="s">
        <v>932</v>
      </c>
      <c r="CI551" s="660"/>
      <c r="CJ551" s="660"/>
      <c r="CK551" s="660"/>
      <c r="CL551" s="568">
        <v>1</v>
      </c>
      <c r="CM551" s="568"/>
      <c r="CN551" s="568"/>
    </row>
    <row r="552" customHeight="1" spans="1:92">
      <c r="A552" s="612" t="s">
        <v>1009</v>
      </c>
      <c r="B552" s="612"/>
      <c r="C552" s="518"/>
      <c r="D552" s="518"/>
      <c r="E552" s="518"/>
      <c r="F552" s="657">
        <v>1106057</v>
      </c>
      <c r="G552" s="657"/>
      <c r="H552" s="657"/>
      <c r="I552" s="519" t="s">
        <v>109</v>
      </c>
      <c r="J552" s="519"/>
      <c r="K552" s="519"/>
      <c r="L552" s="519"/>
      <c r="M552" s="519"/>
      <c r="N552" s="519"/>
      <c r="O552" s="519"/>
      <c r="P552" s="519"/>
      <c r="Q552" s="519"/>
      <c r="R552" s="519"/>
      <c r="S552" s="519"/>
      <c r="T552" s="519"/>
      <c r="U552" s="519"/>
      <c r="V552" s="519"/>
      <c r="W552" s="519"/>
      <c r="X552" s="519"/>
      <c r="Y552" s="519"/>
      <c r="Z552" s="519"/>
      <c r="AA552" s="519"/>
      <c r="AB552" s="526" t="s">
        <v>99</v>
      </c>
      <c r="AC552" s="526"/>
      <c r="AD552" s="661">
        <v>2.9</v>
      </c>
      <c r="AE552" s="661"/>
      <c r="AF552" s="661"/>
      <c r="AG552" s="526" t="s">
        <v>946</v>
      </c>
      <c r="AH552" s="526"/>
      <c r="AI552" s="659" t="s">
        <v>947</v>
      </c>
      <c r="AJ552" s="659"/>
      <c r="AK552" s="659"/>
      <c r="AL552" s="659"/>
      <c r="AM552" s="659"/>
      <c r="AN552" s="659"/>
      <c r="AO552" s="659"/>
      <c r="AP552" s="659"/>
      <c r="AQ552" s="659"/>
      <c r="AR552" s="659"/>
      <c r="AS552" s="659"/>
      <c r="AT552" s="659"/>
      <c r="AU552" s="659"/>
      <c r="AV552" s="659"/>
      <c r="AW552" s="658">
        <v>1</v>
      </c>
      <c r="AX552" s="658"/>
      <c r="AY552" s="658"/>
      <c r="AZ552" s="658">
        <v>3.92899</v>
      </c>
      <c r="BA552" s="658"/>
      <c r="BB552" s="658"/>
      <c r="BC552" s="658">
        <v>0.738103176643361</v>
      </c>
      <c r="BD552" s="658"/>
      <c r="BE552" s="658"/>
      <c r="BF552" s="658">
        <v>182.49</v>
      </c>
      <c r="BG552" s="658"/>
      <c r="BH552" s="658"/>
      <c r="BI552" s="567">
        <v>0.0040446225910645</v>
      </c>
      <c r="BJ552" s="567"/>
      <c r="BK552" s="567"/>
      <c r="BL552" s="567"/>
      <c r="BM552" s="660">
        <v>0.000808924518212901</v>
      </c>
      <c r="BN552" s="660"/>
      <c r="BO552" s="660"/>
      <c r="BP552" s="660"/>
      <c r="BQ552" s="568">
        <v>0.2</v>
      </c>
      <c r="BR552" s="568"/>
      <c r="BS552" s="568"/>
      <c r="BT552" s="660">
        <v>0.00202231129553225</v>
      </c>
      <c r="BU552" s="660"/>
      <c r="BV552" s="660"/>
      <c r="BW552" s="660"/>
      <c r="BX552" s="568">
        <v>0.5</v>
      </c>
      <c r="BY552" s="568"/>
      <c r="BZ552" s="568"/>
      <c r="CA552" s="660">
        <v>0.00121338677731935</v>
      </c>
      <c r="CB552" s="660"/>
      <c r="CC552" s="660"/>
      <c r="CD552" s="660"/>
      <c r="CE552" s="568">
        <v>0.3</v>
      </c>
      <c r="CF552" s="568"/>
      <c r="CG552" s="568"/>
      <c r="CH552" s="660" t="s">
        <v>932</v>
      </c>
      <c r="CI552" s="660"/>
      <c r="CJ552" s="660"/>
      <c r="CK552" s="660"/>
      <c r="CL552" s="568" t="s">
        <v>932</v>
      </c>
      <c r="CM552" s="568"/>
      <c r="CN552" s="568"/>
    </row>
    <row r="553" customHeight="1" spans="1:92">
      <c r="A553" s="612"/>
      <c r="B553" s="612"/>
      <c r="C553" s="518"/>
      <c r="D553" s="518"/>
      <c r="E553" s="518"/>
      <c r="F553" s="657"/>
      <c r="G553" s="657"/>
      <c r="H553" s="657"/>
      <c r="I553" s="519"/>
      <c r="J553" s="519"/>
      <c r="K553" s="519"/>
      <c r="L553" s="519"/>
      <c r="M553" s="519"/>
      <c r="N553" s="519"/>
      <c r="O553" s="519"/>
      <c r="P553" s="519"/>
      <c r="Q553" s="519"/>
      <c r="R553" s="519"/>
      <c r="S553" s="519"/>
      <c r="T553" s="519"/>
      <c r="U553" s="519"/>
      <c r="V553" s="519"/>
      <c r="W553" s="519"/>
      <c r="X553" s="519"/>
      <c r="Y553" s="519"/>
      <c r="Z553" s="519"/>
      <c r="AA553" s="519"/>
      <c r="AB553" s="526"/>
      <c r="AC553" s="526"/>
      <c r="AD553" s="661"/>
      <c r="AE553" s="661"/>
      <c r="AF553" s="661"/>
      <c r="AG553" s="526" t="s">
        <v>935</v>
      </c>
      <c r="AH553" s="526"/>
      <c r="AI553" s="659" t="s">
        <v>936</v>
      </c>
      <c r="AJ553" s="659"/>
      <c r="AK553" s="659"/>
      <c r="AL553" s="659"/>
      <c r="AM553" s="659"/>
      <c r="AN553" s="659"/>
      <c r="AO553" s="659"/>
      <c r="AP553" s="659"/>
      <c r="AQ553" s="659"/>
      <c r="AR553" s="659"/>
      <c r="AS553" s="659"/>
      <c r="AT553" s="659"/>
      <c r="AU553" s="659"/>
      <c r="AV553" s="659"/>
      <c r="AW553" s="658">
        <v>9</v>
      </c>
      <c r="AX553" s="658"/>
      <c r="AY553" s="658"/>
      <c r="AZ553" s="658"/>
      <c r="BA553" s="658"/>
      <c r="BB553" s="658"/>
      <c r="BC553" s="658">
        <v>6.64292858979025</v>
      </c>
      <c r="BD553" s="658"/>
      <c r="BE553" s="658"/>
      <c r="BF553" s="658">
        <v>182.49</v>
      </c>
      <c r="BG553" s="658"/>
      <c r="BH553" s="658"/>
      <c r="BI553" s="567">
        <v>0.0364016033195805</v>
      </c>
      <c r="BJ553" s="567"/>
      <c r="BK553" s="567"/>
      <c r="BL553" s="567"/>
      <c r="BM553" s="660">
        <v>0.00728032066391611</v>
      </c>
      <c r="BN553" s="660"/>
      <c r="BO553" s="660"/>
      <c r="BP553" s="660"/>
      <c r="BQ553" s="568">
        <v>0.2</v>
      </c>
      <c r="BR553" s="568"/>
      <c r="BS553" s="568"/>
      <c r="BT553" s="660">
        <v>0.0182008016597903</v>
      </c>
      <c r="BU553" s="660"/>
      <c r="BV553" s="660"/>
      <c r="BW553" s="660"/>
      <c r="BX553" s="568">
        <v>0.5</v>
      </c>
      <c r="BY553" s="568"/>
      <c r="BZ553" s="568"/>
      <c r="CA553" s="660">
        <v>0.0109204809958742</v>
      </c>
      <c r="CB553" s="660"/>
      <c r="CC553" s="660"/>
      <c r="CD553" s="660"/>
      <c r="CE553" s="568">
        <v>0.3</v>
      </c>
      <c r="CF553" s="568"/>
      <c r="CG553" s="568"/>
      <c r="CH553" s="660" t="s">
        <v>932</v>
      </c>
      <c r="CI553" s="660"/>
      <c r="CJ553" s="660"/>
      <c r="CK553" s="660"/>
      <c r="CL553" s="568" t="s">
        <v>932</v>
      </c>
      <c r="CM553" s="568"/>
      <c r="CN553" s="568"/>
    </row>
    <row r="554" hidden="1" customHeight="1" spans="1:92">
      <c r="A554" s="612"/>
      <c r="B554" s="612"/>
      <c r="C554" s="518"/>
      <c r="D554" s="518"/>
      <c r="E554" s="518"/>
      <c r="F554" s="657"/>
      <c r="G554" s="657"/>
      <c r="H554" s="657"/>
      <c r="I554" s="519"/>
      <c r="J554" s="519"/>
      <c r="K554" s="519"/>
      <c r="L554" s="519"/>
      <c r="M554" s="519"/>
      <c r="N554" s="519"/>
      <c r="O554" s="519"/>
      <c r="P554" s="519"/>
      <c r="Q554" s="519"/>
      <c r="R554" s="519"/>
      <c r="S554" s="519"/>
      <c r="T554" s="519"/>
      <c r="U554" s="519"/>
      <c r="V554" s="519"/>
      <c r="W554" s="519"/>
      <c r="X554" s="519"/>
      <c r="Y554" s="519"/>
      <c r="Z554" s="519"/>
      <c r="AA554" s="519"/>
      <c r="AB554" s="526"/>
      <c r="AC554" s="526"/>
      <c r="AD554" s="661"/>
      <c r="AE554" s="661"/>
      <c r="AF554" s="661"/>
      <c r="AG554" s="526">
        <v>0</v>
      </c>
      <c r="AH554" s="526"/>
      <c r="AI554" s="659" t="e">
        <v>#N/A</v>
      </c>
      <c r="AJ554" s="659"/>
      <c r="AK554" s="659"/>
      <c r="AL554" s="659"/>
      <c r="AM554" s="659"/>
      <c r="AN554" s="659"/>
      <c r="AO554" s="659"/>
      <c r="AP554" s="659"/>
      <c r="AQ554" s="659"/>
      <c r="AR554" s="659"/>
      <c r="AS554" s="659"/>
      <c r="AT554" s="659"/>
      <c r="AU554" s="659"/>
      <c r="AV554" s="659"/>
      <c r="AW554" s="658">
        <v>0</v>
      </c>
      <c r="AX554" s="658"/>
      <c r="AY554" s="658"/>
      <c r="AZ554" s="658"/>
      <c r="BA554" s="658"/>
      <c r="BB554" s="658"/>
      <c r="BC554" s="658">
        <v>0</v>
      </c>
      <c r="BD554" s="658"/>
      <c r="BE554" s="658"/>
      <c r="BF554" s="658">
        <v>182.49</v>
      </c>
      <c r="BG554" s="658"/>
      <c r="BH554" s="658"/>
      <c r="BI554" s="567">
        <v>0</v>
      </c>
      <c r="BJ554" s="567"/>
      <c r="BK554" s="567"/>
      <c r="BL554" s="567"/>
      <c r="BM554" s="660" t="s">
        <v>932</v>
      </c>
      <c r="BN554" s="660"/>
      <c r="BO554" s="660"/>
      <c r="BP554" s="660"/>
      <c r="BQ554" s="568">
        <v>0.2</v>
      </c>
      <c r="BR554" s="568"/>
      <c r="BS554" s="568"/>
      <c r="BT554" s="660" t="s">
        <v>932</v>
      </c>
      <c r="BU554" s="660"/>
      <c r="BV554" s="660"/>
      <c r="BW554" s="660"/>
      <c r="BX554" s="568">
        <v>0.5</v>
      </c>
      <c r="BY554" s="568"/>
      <c r="BZ554" s="568"/>
      <c r="CA554" s="660" t="s">
        <v>932</v>
      </c>
      <c r="CB554" s="660"/>
      <c r="CC554" s="660"/>
      <c r="CD554" s="660"/>
      <c r="CE554" s="568">
        <v>0.3</v>
      </c>
      <c r="CF554" s="568"/>
      <c r="CG554" s="568"/>
      <c r="CH554" s="660" t="s">
        <v>932</v>
      </c>
      <c r="CI554" s="660"/>
      <c r="CJ554" s="660"/>
      <c r="CK554" s="660"/>
      <c r="CL554" s="568" t="s">
        <v>932</v>
      </c>
      <c r="CM554" s="568"/>
      <c r="CN554" s="568"/>
    </row>
    <row r="555" hidden="1" customHeight="1" spans="1:92">
      <c r="A555" s="612"/>
      <c r="B555" s="612"/>
      <c r="C555" s="518"/>
      <c r="D555" s="518"/>
      <c r="E555" s="518"/>
      <c r="F555" s="657"/>
      <c r="G555" s="657"/>
      <c r="H555" s="657"/>
      <c r="I555" s="519"/>
      <c r="J555" s="519"/>
      <c r="K555" s="519"/>
      <c r="L555" s="519"/>
      <c r="M555" s="519"/>
      <c r="N555" s="519"/>
      <c r="O555" s="519"/>
      <c r="P555" s="519"/>
      <c r="Q555" s="519"/>
      <c r="R555" s="519"/>
      <c r="S555" s="519"/>
      <c r="T555" s="519"/>
      <c r="U555" s="519"/>
      <c r="V555" s="519"/>
      <c r="W555" s="519"/>
      <c r="X555" s="519"/>
      <c r="Y555" s="519"/>
      <c r="Z555" s="519"/>
      <c r="AA555" s="519"/>
      <c r="AB555" s="526"/>
      <c r="AC555" s="526"/>
      <c r="AD555" s="661"/>
      <c r="AE555" s="661"/>
      <c r="AF555" s="661"/>
      <c r="AG555" s="526">
        <v>0</v>
      </c>
      <c r="AH555" s="526"/>
      <c r="AI555" s="659" t="e">
        <v>#N/A</v>
      </c>
      <c r="AJ555" s="659"/>
      <c r="AK555" s="659"/>
      <c r="AL555" s="659"/>
      <c r="AM555" s="659"/>
      <c r="AN555" s="659"/>
      <c r="AO555" s="659"/>
      <c r="AP555" s="659"/>
      <c r="AQ555" s="659"/>
      <c r="AR555" s="659"/>
      <c r="AS555" s="659"/>
      <c r="AT555" s="659"/>
      <c r="AU555" s="659"/>
      <c r="AV555" s="659"/>
      <c r="AW555" s="658">
        <v>0</v>
      </c>
      <c r="AX555" s="658"/>
      <c r="AY555" s="658"/>
      <c r="AZ555" s="658"/>
      <c r="BA555" s="658"/>
      <c r="BB555" s="658"/>
      <c r="BC555" s="658">
        <v>0</v>
      </c>
      <c r="BD555" s="658"/>
      <c r="BE555" s="658"/>
      <c r="BF555" s="658">
        <v>182.49</v>
      </c>
      <c r="BG555" s="658"/>
      <c r="BH555" s="658"/>
      <c r="BI555" s="567">
        <v>0</v>
      </c>
      <c r="BJ555" s="567"/>
      <c r="BK555" s="567"/>
      <c r="BL555" s="567"/>
      <c r="BM555" s="660" t="s">
        <v>932</v>
      </c>
      <c r="BN555" s="660"/>
      <c r="BO555" s="660"/>
      <c r="BP555" s="660"/>
      <c r="BQ555" s="568">
        <v>0.2</v>
      </c>
      <c r="BR555" s="568"/>
      <c r="BS555" s="568"/>
      <c r="BT555" s="660" t="s">
        <v>932</v>
      </c>
      <c r="BU555" s="660"/>
      <c r="BV555" s="660"/>
      <c r="BW555" s="660"/>
      <c r="BX555" s="568">
        <v>0.5</v>
      </c>
      <c r="BY555" s="568"/>
      <c r="BZ555" s="568"/>
      <c r="CA555" s="660" t="s">
        <v>932</v>
      </c>
      <c r="CB555" s="660"/>
      <c r="CC555" s="660"/>
      <c r="CD555" s="660"/>
      <c r="CE555" s="568">
        <v>0.3</v>
      </c>
      <c r="CF555" s="568"/>
      <c r="CG555" s="568"/>
      <c r="CH555" s="660" t="s">
        <v>932</v>
      </c>
      <c r="CI555" s="660"/>
      <c r="CJ555" s="660"/>
      <c r="CK555" s="660"/>
      <c r="CL555" s="568" t="s">
        <v>932</v>
      </c>
      <c r="CM555" s="568"/>
      <c r="CN555" s="568"/>
    </row>
    <row r="556" hidden="1" customHeight="1" spans="1:92">
      <c r="A556" s="612"/>
      <c r="B556" s="612"/>
      <c r="C556" s="518"/>
      <c r="D556" s="518"/>
      <c r="E556" s="518"/>
      <c r="F556" s="657"/>
      <c r="G556" s="657"/>
      <c r="H556" s="657"/>
      <c r="I556" s="519"/>
      <c r="J556" s="519"/>
      <c r="K556" s="519"/>
      <c r="L556" s="519"/>
      <c r="M556" s="519"/>
      <c r="N556" s="519"/>
      <c r="O556" s="519"/>
      <c r="P556" s="519"/>
      <c r="Q556" s="519"/>
      <c r="R556" s="519"/>
      <c r="S556" s="519"/>
      <c r="T556" s="519"/>
      <c r="U556" s="519"/>
      <c r="V556" s="519"/>
      <c r="W556" s="519"/>
      <c r="X556" s="519"/>
      <c r="Y556" s="519"/>
      <c r="Z556" s="519"/>
      <c r="AA556" s="519"/>
      <c r="AB556" s="526"/>
      <c r="AC556" s="526"/>
      <c r="AD556" s="661"/>
      <c r="AE556" s="661"/>
      <c r="AF556" s="661"/>
      <c r="AG556" s="526">
        <v>0</v>
      </c>
      <c r="AH556" s="526"/>
      <c r="AI556" s="659" t="e">
        <v>#N/A</v>
      </c>
      <c r="AJ556" s="659"/>
      <c r="AK556" s="659"/>
      <c r="AL556" s="659"/>
      <c r="AM556" s="659"/>
      <c r="AN556" s="659"/>
      <c r="AO556" s="659"/>
      <c r="AP556" s="659"/>
      <c r="AQ556" s="659"/>
      <c r="AR556" s="659"/>
      <c r="AS556" s="659"/>
      <c r="AT556" s="659"/>
      <c r="AU556" s="659"/>
      <c r="AV556" s="659"/>
      <c r="AW556" s="658">
        <v>0</v>
      </c>
      <c r="AX556" s="658"/>
      <c r="AY556" s="658"/>
      <c r="AZ556" s="658"/>
      <c r="BA556" s="658"/>
      <c r="BB556" s="658"/>
      <c r="BC556" s="658">
        <v>0</v>
      </c>
      <c r="BD556" s="658"/>
      <c r="BE556" s="658"/>
      <c r="BF556" s="658">
        <v>182.49</v>
      </c>
      <c r="BG556" s="658"/>
      <c r="BH556" s="658"/>
      <c r="BI556" s="567">
        <v>0</v>
      </c>
      <c r="BJ556" s="567"/>
      <c r="BK556" s="567"/>
      <c r="BL556" s="567"/>
      <c r="BM556" s="660" t="s">
        <v>932</v>
      </c>
      <c r="BN556" s="660"/>
      <c r="BO556" s="660"/>
      <c r="BP556" s="660"/>
      <c r="BQ556" s="568">
        <v>0.2</v>
      </c>
      <c r="BR556" s="568"/>
      <c r="BS556" s="568"/>
      <c r="BT556" s="660" t="s">
        <v>932</v>
      </c>
      <c r="BU556" s="660"/>
      <c r="BV556" s="660"/>
      <c r="BW556" s="660"/>
      <c r="BX556" s="568">
        <v>0.5</v>
      </c>
      <c r="BY556" s="568"/>
      <c r="BZ556" s="568"/>
      <c r="CA556" s="660" t="s">
        <v>932</v>
      </c>
      <c r="CB556" s="660"/>
      <c r="CC556" s="660"/>
      <c r="CD556" s="660"/>
      <c r="CE556" s="568">
        <v>0.3</v>
      </c>
      <c r="CF556" s="568"/>
      <c r="CG556" s="568"/>
      <c r="CH556" s="660" t="s">
        <v>932</v>
      </c>
      <c r="CI556" s="660"/>
      <c r="CJ556" s="660"/>
      <c r="CK556" s="660"/>
      <c r="CL556" s="568" t="s">
        <v>932</v>
      </c>
      <c r="CM556" s="568"/>
      <c r="CN556" s="568"/>
    </row>
    <row r="557" hidden="1" customHeight="1" spans="1:92">
      <c r="A557" s="612"/>
      <c r="B557" s="612"/>
      <c r="C557" s="518"/>
      <c r="D557" s="518"/>
      <c r="E557" s="518"/>
      <c r="F557" s="657"/>
      <c r="G557" s="657"/>
      <c r="H557" s="657"/>
      <c r="I557" s="519"/>
      <c r="J557" s="519"/>
      <c r="K557" s="519"/>
      <c r="L557" s="519"/>
      <c r="M557" s="519"/>
      <c r="N557" s="519"/>
      <c r="O557" s="519"/>
      <c r="P557" s="519"/>
      <c r="Q557" s="519"/>
      <c r="R557" s="519"/>
      <c r="S557" s="519"/>
      <c r="T557" s="519"/>
      <c r="U557" s="519"/>
      <c r="V557" s="519"/>
      <c r="W557" s="519"/>
      <c r="X557" s="519"/>
      <c r="Y557" s="519"/>
      <c r="Z557" s="519"/>
      <c r="AA557" s="519"/>
      <c r="AB557" s="526"/>
      <c r="AC557" s="526"/>
      <c r="AD557" s="661"/>
      <c r="AE557" s="661"/>
      <c r="AF557" s="661"/>
      <c r="AG557" s="526">
        <v>0</v>
      </c>
      <c r="AH557" s="526"/>
      <c r="AI557" s="659" t="e">
        <v>#N/A</v>
      </c>
      <c r="AJ557" s="659"/>
      <c r="AK557" s="659"/>
      <c r="AL557" s="659"/>
      <c r="AM557" s="659"/>
      <c r="AN557" s="659"/>
      <c r="AO557" s="659"/>
      <c r="AP557" s="659"/>
      <c r="AQ557" s="659"/>
      <c r="AR557" s="659"/>
      <c r="AS557" s="659"/>
      <c r="AT557" s="659"/>
      <c r="AU557" s="659"/>
      <c r="AV557" s="659"/>
      <c r="AW557" s="658">
        <v>0</v>
      </c>
      <c r="AX557" s="658"/>
      <c r="AY557" s="658"/>
      <c r="AZ557" s="658"/>
      <c r="BA557" s="658"/>
      <c r="BB557" s="658"/>
      <c r="BC557" s="658">
        <v>0</v>
      </c>
      <c r="BD557" s="658"/>
      <c r="BE557" s="658"/>
      <c r="BF557" s="658">
        <v>182.49</v>
      </c>
      <c r="BG557" s="658"/>
      <c r="BH557" s="658"/>
      <c r="BI557" s="567">
        <v>0</v>
      </c>
      <c r="BJ557" s="567"/>
      <c r="BK557" s="567"/>
      <c r="BL557" s="567"/>
      <c r="BM557" s="660" t="s">
        <v>932</v>
      </c>
      <c r="BN557" s="660"/>
      <c r="BO557" s="660"/>
      <c r="BP557" s="660"/>
      <c r="BQ557" s="568">
        <v>0.2</v>
      </c>
      <c r="BR557" s="568"/>
      <c r="BS557" s="568"/>
      <c r="BT557" s="660" t="s">
        <v>932</v>
      </c>
      <c r="BU557" s="660"/>
      <c r="BV557" s="660"/>
      <c r="BW557" s="660"/>
      <c r="BX557" s="568">
        <v>0.5</v>
      </c>
      <c r="BY557" s="568"/>
      <c r="BZ557" s="568"/>
      <c r="CA557" s="660" t="s">
        <v>932</v>
      </c>
      <c r="CB557" s="660"/>
      <c r="CC557" s="660"/>
      <c r="CD557" s="660"/>
      <c r="CE557" s="568">
        <v>0.3</v>
      </c>
      <c r="CF557" s="568"/>
      <c r="CG557" s="568"/>
      <c r="CH557" s="660" t="s">
        <v>932</v>
      </c>
      <c r="CI557" s="660"/>
      <c r="CJ557" s="660"/>
      <c r="CK557" s="660"/>
      <c r="CL557" s="568" t="s">
        <v>932</v>
      </c>
      <c r="CM557" s="568"/>
      <c r="CN557" s="568"/>
    </row>
    <row r="558" hidden="1" customHeight="1" spans="1:92">
      <c r="A558" s="612"/>
      <c r="B558" s="612"/>
      <c r="C558" s="518"/>
      <c r="D558" s="518"/>
      <c r="E558" s="518"/>
      <c r="F558" s="657"/>
      <c r="G558" s="657"/>
      <c r="H558" s="657"/>
      <c r="I558" s="519"/>
      <c r="J558" s="519"/>
      <c r="K558" s="519"/>
      <c r="L558" s="519"/>
      <c r="M558" s="519"/>
      <c r="N558" s="519"/>
      <c r="O558" s="519"/>
      <c r="P558" s="519"/>
      <c r="Q558" s="519"/>
      <c r="R558" s="519"/>
      <c r="S558" s="519"/>
      <c r="T558" s="519"/>
      <c r="U558" s="519"/>
      <c r="V558" s="519"/>
      <c r="W558" s="519"/>
      <c r="X558" s="519"/>
      <c r="Y558" s="519"/>
      <c r="Z558" s="519"/>
      <c r="AA558" s="519"/>
      <c r="AB558" s="526"/>
      <c r="AC558" s="526"/>
      <c r="AD558" s="661"/>
      <c r="AE558" s="661"/>
      <c r="AF558" s="661"/>
      <c r="AG558" s="526">
        <v>0</v>
      </c>
      <c r="AH558" s="526"/>
      <c r="AI558" s="659" t="e">
        <v>#N/A</v>
      </c>
      <c r="AJ558" s="659"/>
      <c r="AK558" s="659"/>
      <c r="AL558" s="659"/>
      <c r="AM558" s="659"/>
      <c r="AN558" s="659"/>
      <c r="AO558" s="659"/>
      <c r="AP558" s="659"/>
      <c r="AQ558" s="659"/>
      <c r="AR558" s="659"/>
      <c r="AS558" s="659"/>
      <c r="AT558" s="659"/>
      <c r="AU558" s="659"/>
      <c r="AV558" s="659"/>
      <c r="AW558" s="658">
        <v>0</v>
      </c>
      <c r="AX558" s="658"/>
      <c r="AY558" s="658"/>
      <c r="AZ558" s="658"/>
      <c r="BA558" s="658"/>
      <c r="BB558" s="658"/>
      <c r="BC558" s="658">
        <v>0</v>
      </c>
      <c r="BD558" s="658"/>
      <c r="BE558" s="658"/>
      <c r="BF558" s="658">
        <v>182.49</v>
      </c>
      <c r="BG558" s="658"/>
      <c r="BH558" s="658"/>
      <c r="BI558" s="567">
        <v>0</v>
      </c>
      <c r="BJ558" s="567"/>
      <c r="BK558" s="567"/>
      <c r="BL558" s="567"/>
      <c r="BM558" s="660" t="s">
        <v>932</v>
      </c>
      <c r="BN558" s="660"/>
      <c r="BO558" s="660"/>
      <c r="BP558" s="660"/>
      <c r="BQ558" s="568">
        <v>0.2</v>
      </c>
      <c r="BR558" s="568"/>
      <c r="BS558" s="568"/>
      <c r="BT558" s="660" t="s">
        <v>932</v>
      </c>
      <c r="BU558" s="660"/>
      <c r="BV558" s="660"/>
      <c r="BW558" s="660"/>
      <c r="BX558" s="568">
        <v>0.5</v>
      </c>
      <c r="BY558" s="568"/>
      <c r="BZ558" s="568"/>
      <c r="CA558" s="660" t="s">
        <v>932</v>
      </c>
      <c r="CB558" s="660"/>
      <c r="CC558" s="660"/>
      <c r="CD558" s="660"/>
      <c r="CE558" s="568">
        <v>0.3</v>
      </c>
      <c r="CF558" s="568"/>
      <c r="CG558" s="568"/>
      <c r="CH558" s="660" t="s">
        <v>932</v>
      </c>
      <c r="CI558" s="660"/>
      <c r="CJ558" s="660"/>
      <c r="CK558" s="660"/>
      <c r="CL558" s="568" t="s">
        <v>932</v>
      </c>
      <c r="CM558" s="568"/>
      <c r="CN558" s="568"/>
    </row>
    <row r="559" hidden="1" customHeight="1" spans="1:92">
      <c r="A559" s="612"/>
      <c r="B559" s="612"/>
      <c r="C559" s="518"/>
      <c r="D559" s="518"/>
      <c r="E559" s="518"/>
      <c r="F559" s="657"/>
      <c r="G559" s="657"/>
      <c r="H559" s="657"/>
      <c r="I559" s="519"/>
      <c r="J559" s="519"/>
      <c r="K559" s="519"/>
      <c r="L559" s="519"/>
      <c r="M559" s="519"/>
      <c r="N559" s="519"/>
      <c r="O559" s="519"/>
      <c r="P559" s="519"/>
      <c r="Q559" s="519"/>
      <c r="R559" s="519"/>
      <c r="S559" s="519"/>
      <c r="T559" s="519"/>
      <c r="U559" s="519"/>
      <c r="V559" s="519"/>
      <c r="W559" s="519"/>
      <c r="X559" s="519"/>
      <c r="Y559" s="519"/>
      <c r="Z559" s="519"/>
      <c r="AA559" s="519"/>
      <c r="AB559" s="526"/>
      <c r="AC559" s="526"/>
      <c r="AD559" s="661"/>
      <c r="AE559" s="661"/>
      <c r="AF559" s="661"/>
      <c r="AG559" s="526">
        <v>0</v>
      </c>
      <c r="AH559" s="526"/>
      <c r="AI559" s="659" t="e">
        <v>#N/A</v>
      </c>
      <c r="AJ559" s="659"/>
      <c r="AK559" s="659"/>
      <c r="AL559" s="659"/>
      <c r="AM559" s="659"/>
      <c r="AN559" s="659"/>
      <c r="AO559" s="659"/>
      <c r="AP559" s="659"/>
      <c r="AQ559" s="659"/>
      <c r="AR559" s="659"/>
      <c r="AS559" s="659"/>
      <c r="AT559" s="659"/>
      <c r="AU559" s="659"/>
      <c r="AV559" s="659"/>
      <c r="AW559" s="658">
        <v>0</v>
      </c>
      <c r="AX559" s="658"/>
      <c r="AY559" s="658"/>
      <c r="AZ559" s="658"/>
      <c r="BA559" s="658"/>
      <c r="BB559" s="658"/>
      <c r="BC559" s="658">
        <v>0</v>
      </c>
      <c r="BD559" s="658"/>
      <c r="BE559" s="658"/>
      <c r="BF559" s="658">
        <v>182.49</v>
      </c>
      <c r="BG559" s="658"/>
      <c r="BH559" s="658"/>
      <c r="BI559" s="567">
        <v>0</v>
      </c>
      <c r="BJ559" s="567"/>
      <c r="BK559" s="567"/>
      <c r="BL559" s="567"/>
      <c r="BM559" s="660" t="s">
        <v>932</v>
      </c>
      <c r="BN559" s="660"/>
      <c r="BO559" s="660"/>
      <c r="BP559" s="660"/>
      <c r="BQ559" s="568">
        <v>0.2</v>
      </c>
      <c r="BR559" s="568"/>
      <c r="BS559" s="568"/>
      <c r="BT559" s="660" t="s">
        <v>932</v>
      </c>
      <c r="BU559" s="660"/>
      <c r="BV559" s="660"/>
      <c r="BW559" s="660"/>
      <c r="BX559" s="568">
        <v>0.5</v>
      </c>
      <c r="BY559" s="568"/>
      <c r="BZ559" s="568"/>
      <c r="CA559" s="660" t="s">
        <v>932</v>
      </c>
      <c r="CB559" s="660"/>
      <c r="CC559" s="660"/>
      <c r="CD559" s="660"/>
      <c r="CE559" s="568">
        <v>0.3</v>
      </c>
      <c r="CF559" s="568"/>
      <c r="CG559" s="568"/>
      <c r="CH559" s="660" t="s">
        <v>932</v>
      </c>
      <c r="CI559" s="660"/>
      <c r="CJ559" s="660"/>
      <c r="CK559" s="660"/>
      <c r="CL559" s="568" t="s">
        <v>932</v>
      </c>
      <c r="CM559" s="568"/>
      <c r="CN559" s="568"/>
    </row>
    <row r="560" customHeight="1" spans="1:92">
      <c r="A560" s="612" t="s">
        <v>1010</v>
      </c>
      <c r="B560" s="612"/>
      <c r="C560" s="518"/>
      <c r="D560" s="518"/>
      <c r="E560" s="518"/>
      <c r="F560" s="657">
        <v>3108000</v>
      </c>
      <c r="G560" s="657"/>
      <c r="H560" s="657"/>
      <c r="I560" s="519" t="s">
        <v>110</v>
      </c>
      <c r="J560" s="519"/>
      <c r="K560" s="519"/>
      <c r="L560" s="519"/>
      <c r="M560" s="519"/>
      <c r="N560" s="519"/>
      <c r="O560" s="519"/>
      <c r="P560" s="519"/>
      <c r="Q560" s="519"/>
      <c r="R560" s="519"/>
      <c r="S560" s="519"/>
      <c r="T560" s="519"/>
      <c r="U560" s="519"/>
      <c r="V560" s="519"/>
      <c r="W560" s="519"/>
      <c r="X560" s="519"/>
      <c r="Y560" s="519"/>
      <c r="Z560" s="519"/>
      <c r="AA560" s="519"/>
      <c r="AB560" s="526" t="s">
        <v>7</v>
      </c>
      <c r="AC560" s="526"/>
      <c r="AD560" s="661">
        <v>12</v>
      </c>
      <c r="AE560" s="661"/>
      <c r="AF560" s="661"/>
      <c r="AG560" s="526" t="s">
        <v>937</v>
      </c>
      <c r="AH560" s="526"/>
      <c r="AI560" s="659" t="s">
        <v>938</v>
      </c>
      <c r="AJ560" s="659"/>
      <c r="AK560" s="659"/>
      <c r="AL560" s="659"/>
      <c r="AM560" s="659"/>
      <c r="AN560" s="659"/>
      <c r="AO560" s="659"/>
      <c r="AP560" s="659"/>
      <c r="AQ560" s="659"/>
      <c r="AR560" s="659"/>
      <c r="AS560" s="659"/>
      <c r="AT560" s="659"/>
      <c r="AU560" s="659"/>
      <c r="AV560" s="659"/>
      <c r="AW560" s="658">
        <v>0.65</v>
      </c>
      <c r="AX560" s="658"/>
      <c r="AY560" s="658"/>
      <c r="AZ560" s="658">
        <v>1</v>
      </c>
      <c r="BA560" s="658"/>
      <c r="BB560" s="658"/>
      <c r="BC560" s="658">
        <v>7.8</v>
      </c>
      <c r="BD560" s="658"/>
      <c r="BE560" s="658"/>
      <c r="BF560" s="658">
        <v>182.49</v>
      </c>
      <c r="BG560" s="658"/>
      <c r="BH560" s="658"/>
      <c r="BI560" s="567">
        <v>0.0427420680585238</v>
      </c>
      <c r="BJ560" s="567"/>
      <c r="BK560" s="567"/>
      <c r="BL560" s="567"/>
      <c r="BM560" s="660">
        <v>0.00854841361170475</v>
      </c>
      <c r="BN560" s="660"/>
      <c r="BO560" s="660"/>
      <c r="BP560" s="660"/>
      <c r="BQ560" s="568">
        <v>0.2</v>
      </c>
      <c r="BR560" s="568"/>
      <c r="BS560" s="568"/>
      <c r="BT560" s="660">
        <v>0.0213710340292619</v>
      </c>
      <c r="BU560" s="660"/>
      <c r="BV560" s="660"/>
      <c r="BW560" s="660"/>
      <c r="BX560" s="568">
        <v>0.5</v>
      </c>
      <c r="BY560" s="568"/>
      <c r="BZ560" s="568"/>
      <c r="CA560" s="660">
        <v>0.0128226204175571</v>
      </c>
      <c r="CB560" s="660"/>
      <c r="CC560" s="660"/>
      <c r="CD560" s="660"/>
      <c r="CE560" s="568">
        <v>0.3</v>
      </c>
      <c r="CF560" s="568"/>
      <c r="CG560" s="568"/>
      <c r="CH560" s="660" t="s">
        <v>932</v>
      </c>
      <c r="CI560" s="660"/>
      <c r="CJ560" s="660"/>
      <c r="CK560" s="660"/>
      <c r="CL560" s="568" t="s">
        <v>932</v>
      </c>
      <c r="CM560" s="568"/>
      <c r="CN560" s="568"/>
    </row>
    <row r="561" customHeight="1" spans="1:92">
      <c r="A561" s="612"/>
      <c r="B561" s="612"/>
      <c r="C561" s="518"/>
      <c r="D561" s="518"/>
      <c r="E561" s="518"/>
      <c r="F561" s="657"/>
      <c r="G561" s="657"/>
      <c r="H561" s="657"/>
      <c r="I561" s="519"/>
      <c r="J561" s="519"/>
      <c r="K561" s="519"/>
      <c r="L561" s="519"/>
      <c r="M561" s="519"/>
      <c r="N561" s="519"/>
      <c r="O561" s="519"/>
      <c r="P561" s="519"/>
      <c r="Q561" s="519"/>
      <c r="R561" s="519"/>
      <c r="S561" s="519"/>
      <c r="T561" s="519"/>
      <c r="U561" s="519"/>
      <c r="V561" s="519"/>
      <c r="W561" s="519"/>
      <c r="X561" s="519"/>
      <c r="Y561" s="519"/>
      <c r="Z561" s="519"/>
      <c r="AA561" s="519"/>
      <c r="AB561" s="526"/>
      <c r="AC561" s="526"/>
      <c r="AD561" s="661"/>
      <c r="AE561" s="661"/>
      <c r="AF561" s="661"/>
      <c r="AG561" s="526" t="s">
        <v>950</v>
      </c>
      <c r="AH561" s="526"/>
      <c r="AI561" s="659" t="s">
        <v>951</v>
      </c>
      <c r="AJ561" s="659"/>
      <c r="AK561" s="659"/>
      <c r="AL561" s="659"/>
      <c r="AM561" s="659"/>
      <c r="AN561" s="659"/>
      <c r="AO561" s="659"/>
      <c r="AP561" s="659"/>
      <c r="AQ561" s="659"/>
      <c r="AR561" s="659"/>
      <c r="AS561" s="659"/>
      <c r="AT561" s="659"/>
      <c r="AU561" s="659"/>
      <c r="AV561" s="659"/>
      <c r="AW561" s="658">
        <v>0.65</v>
      </c>
      <c r="AX561" s="658"/>
      <c r="AY561" s="658"/>
      <c r="AZ561" s="658"/>
      <c r="BA561" s="658"/>
      <c r="BB561" s="658"/>
      <c r="BC561" s="658">
        <v>7.8</v>
      </c>
      <c r="BD561" s="658"/>
      <c r="BE561" s="658"/>
      <c r="BF561" s="658">
        <v>182.49</v>
      </c>
      <c r="BG561" s="658"/>
      <c r="BH561" s="658"/>
      <c r="BI561" s="567">
        <v>0.0427420680585238</v>
      </c>
      <c r="BJ561" s="567"/>
      <c r="BK561" s="567"/>
      <c r="BL561" s="567"/>
      <c r="BM561" s="660">
        <v>0.00854841361170475</v>
      </c>
      <c r="BN561" s="660"/>
      <c r="BO561" s="660"/>
      <c r="BP561" s="660"/>
      <c r="BQ561" s="568">
        <v>0.2</v>
      </c>
      <c r="BR561" s="568"/>
      <c r="BS561" s="568"/>
      <c r="BT561" s="660">
        <v>0.0213710340292619</v>
      </c>
      <c r="BU561" s="660"/>
      <c r="BV561" s="660"/>
      <c r="BW561" s="660"/>
      <c r="BX561" s="568">
        <v>0.5</v>
      </c>
      <c r="BY561" s="568"/>
      <c r="BZ561" s="568"/>
      <c r="CA561" s="660">
        <v>0.0128226204175571</v>
      </c>
      <c r="CB561" s="660"/>
      <c r="CC561" s="660"/>
      <c r="CD561" s="660"/>
      <c r="CE561" s="568">
        <v>0.3</v>
      </c>
      <c r="CF561" s="568"/>
      <c r="CG561" s="568"/>
      <c r="CH561" s="660" t="s">
        <v>932</v>
      </c>
      <c r="CI561" s="660"/>
      <c r="CJ561" s="660"/>
      <c r="CK561" s="660"/>
      <c r="CL561" s="568" t="s">
        <v>932</v>
      </c>
      <c r="CM561" s="568"/>
      <c r="CN561" s="568"/>
    </row>
    <row r="562" hidden="1" customHeight="1" spans="1:92">
      <c r="A562" s="612"/>
      <c r="B562" s="612"/>
      <c r="C562" s="518"/>
      <c r="D562" s="518"/>
      <c r="E562" s="518"/>
      <c r="F562" s="657"/>
      <c r="G562" s="657"/>
      <c r="H562" s="657"/>
      <c r="I562" s="519"/>
      <c r="J562" s="519"/>
      <c r="K562" s="519"/>
      <c r="L562" s="519"/>
      <c r="M562" s="519"/>
      <c r="N562" s="519"/>
      <c r="O562" s="519"/>
      <c r="P562" s="519"/>
      <c r="Q562" s="519"/>
      <c r="R562" s="519"/>
      <c r="S562" s="519"/>
      <c r="T562" s="519"/>
      <c r="U562" s="519"/>
      <c r="V562" s="519"/>
      <c r="W562" s="519"/>
      <c r="X562" s="519"/>
      <c r="Y562" s="519"/>
      <c r="Z562" s="519"/>
      <c r="AA562" s="519"/>
      <c r="AB562" s="526"/>
      <c r="AC562" s="526"/>
      <c r="AD562" s="661"/>
      <c r="AE562" s="661"/>
      <c r="AF562" s="661"/>
      <c r="AG562" s="526">
        <v>0</v>
      </c>
      <c r="AH562" s="526"/>
      <c r="AI562" s="659" t="e">
        <v>#N/A</v>
      </c>
      <c r="AJ562" s="659"/>
      <c r="AK562" s="659"/>
      <c r="AL562" s="659"/>
      <c r="AM562" s="659"/>
      <c r="AN562" s="659"/>
      <c r="AO562" s="659"/>
      <c r="AP562" s="659"/>
      <c r="AQ562" s="659"/>
      <c r="AR562" s="659"/>
      <c r="AS562" s="659"/>
      <c r="AT562" s="659"/>
      <c r="AU562" s="659"/>
      <c r="AV562" s="659"/>
      <c r="AW562" s="658">
        <v>0</v>
      </c>
      <c r="AX562" s="658"/>
      <c r="AY562" s="658"/>
      <c r="AZ562" s="658"/>
      <c r="BA562" s="658"/>
      <c r="BB562" s="658"/>
      <c r="BC562" s="658">
        <v>0</v>
      </c>
      <c r="BD562" s="658"/>
      <c r="BE562" s="658"/>
      <c r="BF562" s="658">
        <v>182.49</v>
      </c>
      <c r="BG562" s="658"/>
      <c r="BH562" s="658"/>
      <c r="BI562" s="567">
        <v>0</v>
      </c>
      <c r="BJ562" s="567"/>
      <c r="BK562" s="567"/>
      <c r="BL562" s="567"/>
      <c r="BM562" s="660" t="s">
        <v>932</v>
      </c>
      <c r="BN562" s="660"/>
      <c r="BO562" s="660"/>
      <c r="BP562" s="660"/>
      <c r="BQ562" s="568">
        <v>0.2</v>
      </c>
      <c r="BR562" s="568"/>
      <c r="BS562" s="568"/>
      <c r="BT562" s="660" t="s">
        <v>932</v>
      </c>
      <c r="BU562" s="660"/>
      <c r="BV562" s="660"/>
      <c r="BW562" s="660"/>
      <c r="BX562" s="568">
        <v>0.5</v>
      </c>
      <c r="BY562" s="568"/>
      <c r="BZ562" s="568"/>
      <c r="CA562" s="660" t="s">
        <v>932</v>
      </c>
      <c r="CB562" s="660"/>
      <c r="CC562" s="660"/>
      <c r="CD562" s="660"/>
      <c r="CE562" s="568">
        <v>0.3</v>
      </c>
      <c r="CF562" s="568"/>
      <c r="CG562" s="568"/>
      <c r="CH562" s="660" t="s">
        <v>932</v>
      </c>
      <c r="CI562" s="660"/>
      <c r="CJ562" s="660"/>
      <c r="CK562" s="660"/>
      <c r="CL562" s="568" t="s">
        <v>932</v>
      </c>
      <c r="CM562" s="568"/>
      <c r="CN562" s="568"/>
    </row>
    <row r="563" hidden="1" customHeight="1" spans="1:92">
      <c r="A563" s="612"/>
      <c r="B563" s="612"/>
      <c r="C563" s="518"/>
      <c r="D563" s="518"/>
      <c r="E563" s="518"/>
      <c r="F563" s="657"/>
      <c r="G563" s="657"/>
      <c r="H563" s="657"/>
      <c r="I563" s="519"/>
      <c r="J563" s="519"/>
      <c r="K563" s="519"/>
      <c r="L563" s="519"/>
      <c r="M563" s="519"/>
      <c r="N563" s="519"/>
      <c r="O563" s="519"/>
      <c r="P563" s="519"/>
      <c r="Q563" s="519"/>
      <c r="R563" s="519"/>
      <c r="S563" s="519"/>
      <c r="T563" s="519"/>
      <c r="U563" s="519"/>
      <c r="V563" s="519"/>
      <c r="W563" s="519"/>
      <c r="X563" s="519"/>
      <c r="Y563" s="519"/>
      <c r="Z563" s="519"/>
      <c r="AA563" s="519"/>
      <c r="AB563" s="526"/>
      <c r="AC563" s="526"/>
      <c r="AD563" s="661"/>
      <c r="AE563" s="661"/>
      <c r="AF563" s="661"/>
      <c r="AG563" s="526">
        <v>0</v>
      </c>
      <c r="AH563" s="526"/>
      <c r="AI563" s="659" t="e">
        <v>#N/A</v>
      </c>
      <c r="AJ563" s="659"/>
      <c r="AK563" s="659"/>
      <c r="AL563" s="659"/>
      <c r="AM563" s="659"/>
      <c r="AN563" s="659"/>
      <c r="AO563" s="659"/>
      <c r="AP563" s="659"/>
      <c r="AQ563" s="659"/>
      <c r="AR563" s="659"/>
      <c r="AS563" s="659"/>
      <c r="AT563" s="659"/>
      <c r="AU563" s="659"/>
      <c r="AV563" s="659"/>
      <c r="AW563" s="658">
        <v>0</v>
      </c>
      <c r="AX563" s="658"/>
      <c r="AY563" s="658"/>
      <c r="AZ563" s="658"/>
      <c r="BA563" s="658"/>
      <c r="BB563" s="658"/>
      <c r="BC563" s="658">
        <v>0</v>
      </c>
      <c r="BD563" s="658"/>
      <c r="BE563" s="658"/>
      <c r="BF563" s="658">
        <v>182.49</v>
      </c>
      <c r="BG563" s="658"/>
      <c r="BH563" s="658"/>
      <c r="BI563" s="567">
        <v>0</v>
      </c>
      <c r="BJ563" s="567"/>
      <c r="BK563" s="567"/>
      <c r="BL563" s="567"/>
      <c r="BM563" s="660" t="s">
        <v>932</v>
      </c>
      <c r="BN563" s="660"/>
      <c r="BO563" s="660"/>
      <c r="BP563" s="660"/>
      <c r="BQ563" s="568">
        <v>0.2</v>
      </c>
      <c r="BR563" s="568"/>
      <c r="BS563" s="568"/>
      <c r="BT563" s="660" t="s">
        <v>932</v>
      </c>
      <c r="BU563" s="660"/>
      <c r="BV563" s="660"/>
      <c r="BW563" s="660"/>
      <c r="BX563" s="568">
        <v>0.5</v>
      </c>
      <c r="BY563" s="568"/>
      <c r="BZ563" s="568"/>
      <c r="CA563" s="660" t="s">
        <v>932</v>
      </c>
      <c r="CB563" s="660"/>
      <c r="CC563" s="660"/>
      <c r="CD563" s="660"/>
      <c r="CE563" s="568">
        <v>0.3</v>
      </c>
      <c r="CF563" s="568"/>
      <c r="CG563" s="568"/>
      <c r="CH563" s="660" t="s">
        <v>932</v>
      </c>
      <c r="CI563" s="660"/>
      <c r="CJ563" s="660"/>
      <c r="CK563" s="660"/>
      <c r="CL563" s="568" t="s">
        <v>932</v>
      </c>
      <c r="CM563" s="568"/>
      <c r="CN563" s="568"/>
    </row>
    <row r="564" hidden="1" customHeight="1" spans="1:92">
      <c r="A564" s="612"/>
      <c r="B564" s="612"/>
      <c r="C564" s="518"/>
      <c r="D564" s="518"/>
      <c r="E564" s="518"/>
      <c r="F564" s="657"/>
      <c r="G564" s="657"/>
      <c r="H564" s="657"/>
      <c r="I564" s="519"/>
      <c r="J564" s="519"/>
      <c r="K564" s="519"/>
      <c r="L564" s="519"/>
      <c r="M564" s="519"/>
      <c r="N564" s="519"/>
      <c r="O564" s="519"/>
      <c r="P564" s="519"/>
      <c r="Q564" s="519"/>
      <c r="R564" s="519"/>
      <c r="S564" s="519"/>
      <c r="T564" s="519"/>
      <c r="U564" s="519"/>
      <c r="V564" s="519"/>
      <c r="W564" s="519"/>
      <c r="X564" s="519"/>
      <c r="Y564" s="519"/>
      <c r="Z564" s="519"/>
      <c r="AA564" s="519"/>
      <c r="AB564" s="526"/>
      <c r="AC564" s="526"/>
      <c r="AD564" s="661"/>
      <c r="AE564" s="661"/>
      <c r="AF564" s="661"/>
      <c r="AG564" s="526">
        <v>0</v>
      </c>
      <c r="AH564" s="526"/>
      <c r="AI564" s="659" t="e">
        <v>#N/A</v>
      </c>
      <c r="AJ564" s="659"/>
      <c r="AK564" s="659"/>
      <c r="AL564" s="659"/>
      <c r="AM564" s="659"/>
      <c r="AN564" s="659"/>
      <c r="AO564" s="659"/>
      <c r="AP564" s="659"/>
      <c r="AQ564" s="659"/>
      <c r="AR564" s="659"/>
      <c r="AS564" s="659"/>
      <c r="AT564" s="659"/>
      <c r="AU564" s="659"/>
      <c r="AV564" s="659"/>
      <c r="AW564" s="658">
        <v>0</v>
      </c>
      <c r="AX564" s="658"/>
      <c r="AY564" s="658"/>
      <c r="AZ564" s="658"/>
      <c r="BA564" s="658"/>
      <c r="BB564" s="658"/>
      <c r="BC564" s="658">
        <v>0</v>
      </c>
      <c r="BD564" s="658"/>
      <c r="BE564" s="658"/>
      <c r="BF564" s="658">
        <v>182.49</v>
      </c>
      <c r="BG564" s="658"/>
      <c r="BH564" s="658"/>
      <c r="BI564" s="567">
        <v>0</v>
      </c>
      <c r="BJ564" s="567"/>
      <c r="BK564" s="567"/>
      <c r="BL564" s="567"/>
      <c r="BM564" s="660" t="s">
        <v>932</v>
      </c>
      <c r="BN564" s="660"/>
      <c r="BO564" s="660"/>
      <c r="BP564" s="660"/>
      <c r="BQ564" s="568">
        <v>0.2</v>
      </c>
      <c r="BR564" s="568"/>
      <c r="BS564" s="568"/>
      <c r="BT564" s="660" t="s">
        <v>932</v>
      </c>
      <c r="BU564" s="660"/>
      <c r="BV564" s="660"/>
      <c r="BW564" s="660"/>
      <c r="BX564" s="568">
        <v>0.5</v>
      </c>
      <c r="BY564" s="568"/>
      <c r="BZ564" s="568"/>
      <c r="CA564" s="660" t="s">
        <v>932</v>
      </c>
      <c r="CB564" s="660"/>
      <c r="CC564" s="660"/>
      <c r="CD564" s="660"/>
      <c r="CE564" s="568">
        <v>0.3</v>
      </c>
      <c r="CF564" s="568"/>
      <c r="CG564" s="568"/>
      <c r="CH564" s="660" t="s">
        <v>932</v>
      </c>
      <c r="CI564" s="660"/>
      <c r="CJ564" s="660"/>
      <c r="CK564" s="660"/>
      <c r="CL564" s="568" t="s">
        <v>932</v>
      </c>
      <c r="CM564" s="568"/>
      <c r="CN564" s="568"/>
    </row>
    <row r="565" hidden="1" customHeight="1" spans="1:92">
      <c r="A565" s="612"/>
      <c r="B565" s="612"/>
      <c r="C565" s="518"/>
      <c r="D565" s="518"/>
      <c r="E565" s="518"/>
      <c r="F565" s="657"/>
      <c r="G565" s="657"/>
      <c r="H565" s="657"/>
      <c r="I565" s="519"/>
      <c r="J565" s="519"/>
      <c r="K565" s="519"/>
      <c r="L565" s="519"/>
      <c r="M565" s="519"/>
      <c r="N565" s="519"/>
      <c r="O565" s="519"/>
      <c r="P565" s="519"/>
      <c r="Q565" s="519"/>
      <c r="R565" s="519"/>
      <c r="S565" s="519"/>
      <c r="T565" s="519"/>
      <c r="U565" s="519"/>
      <c r="V565" s="519"/>
      <c r="W565" s="519"/>
      <c r="X565" s="519"/>
      <c r="Y565" s="519"/>
      <c r="Z565" s="519"/>
      <c r="AA565" s="519"/>
      <c r="AB565" s="526"/>
      <c r="AC565" s="526"/>
      <c r="AD565" s="661"/>
      <c r="AE565" s="661"/>
      <c r="AF565" s="661"/>
      <c r="AG565" s="526">
        <v>0</v>
      </c>
      <c r="AH565" s="526"/>
      <c r="AI565" s="659" t="e">
        <v>#N/A</v>
      </c>
      <c r="AJ565" s="659"/>
      <c r="AK565" s="659"/>
      <c r="AL565" s="659"/>
      <c r="AM565" s="659"/>
      <c r="AN565" s="659"/>
      <c r="AO565" s="659"/>
      <c r="AP565" s="659"/>
      <c r="AQ565" s="659"/>
      <c r="AR565" s="659"/>
      <c r="AS565" s="659"/>
      <c r="AT565" s="659"/>
      <c r="AU565" s="659"/>
      <c r="AV565" s="659"/>
      <c r="AW565" s="658">
        <v>0</v>
      </c>
      <c r="AX565" s="658"/>
      <c r="AY565" s="658"/>
      <c r="AZ565" s="658"/>
      <c r="BA565" s="658"/>
      <c r="BB565" s="658"/>
      <c r="BC565" s="658">
        <v>0</v>
      </c>
      <c r="BD565" s="658"/>
      <c r="BE565" s="658"/>
      <c r="BF565" s="658">
        <v>182.49</v>
      </c>
      <c r="BG565" s="658"/>
      <c r="BH565" s="658"/>
      <c r="BI565" s="567">
        <v>0</v>
      </c>
      <c r="BJ565" s="567"/>
      <c r="BK565" s="567"/>
      <c r="BL565" s="567"/>
      <c r="BM565" s="660" t="s">
        <v>932</v>
      </c>
      <c r="BN565" s="660"/>
      <c r="BO565" s="660"/>
      <c r="BP565" s="660"/>
      <c r="BQ565" s="568">
        <v>0.2</v>
      </c>
      <c r="BR565" s="568"/>
      <c r="BS565" s="568"/>
      <c r="BT565" s="660" t="s">
        <v>932</v>
      </c>
      <c r="BU565" s="660"/>
      <c r="BV565" s="660"/>
      <c r="BW565" s="660"/>
      <c r="BX565" s="568">
        <v>0.5</v>
      </c>
      <c r="BY565" s="568"/>
      <c r="BZ565" s="568"/>
      <c r="CA565" s="660" t="s">
        <v>932</v>
      </c>
      <c r="CB565" s="660"/>
      <c r="CC565" s="660"/>
      <c r="CD565" s="660"/>
      <c r="CE565" s="568">
        <v>0.3</v>
      </c>
      <c r="CF565" s="568"/>
      <c r="CG565" s="568"/>
      <c r="CH565" s="660" t="s">
        <v>932</v>
      </c>
      <c r="CI565" s="660"/>
      <c r="CJ565" s="660"/>
      <c r="CK565" s="660"/>
      <c r="CL565" s="568" t="s">
        <v>932</v>
      </c>
      <c r="CM565" s="568"/>
      <c r="CN565" s="568"/>
    </row>
    <row r="566" hidden="1" customHeight="1" spans="1:92">
      <c r="A566" s="612"/>
      <c r="B566" s="612"/>
      <c r="C566" s="518"/>
      <c r="D566" s="518"/>
      <c r="E566" s="518"/>
      <c r="F566" s="657"/>
      <c r="G566" s="657"/>
      <c r="H566" s="657"/>
      <c r="I566" s="519"/>
      <c r="J566" s="519"/>
      <c r="K566" s="519"/>
      <c r="L566" s="519"/>
      <c r="M566" s="519"/>
      <c r="N566" s="519"/>
      <c r="O566" s="519"/>
      <c r="P566" s="519"/>
      <c r="Q566" s="519"/>
      <c r="R566" s="519"/>
      <c r="S566" s="519"/>
      <c r="T566" s="519"/>
      <c r="U566" s="519"/>
      <c r="V566" s="519"/>
      <c r="W566" s="519"/>
      <c r="X566" s="519"/>
      <c r="Y566" s="519"/>
      <c r="Z566" s="519"/>
      <c r="AA566" s="519"/>
      <c r="AB566" s="526"/>
      <c r="AC566" s="526"/>
      <c r="AD566" s="661"/>
      <c r="AE566" s="661"/>
      <c r="AF566" s="661"/>
      <c r="AG566" s="526">
        <v>0</v>
      </c>
      <c r="AH566" s="526"/>
      <c r="AI566" s="659" t="e">
        <v>#N/A</v>
      </c>
      <c r="AJ566" s="659"/>
      <c r="AK566" s="659"/>
      <c r="AL566" s="659"/>
      <c r="AM566" s="659"/>
      <c r="AN566" s="659"/>
      <c r="AO566" s="659"/>
      <c r="AP566" s="659"/>
      <c r="AQ566" s="659"/>
      <c r="AR566" s="659"/>
      <c r="AS566" s="659"/>
      <c r="AT566" s="659"/>
      <c r="AU566" s="659"/>
      <c r="AV566" s="659"/>
      <c r="AW566" s="658">
        <v>0</v>
      </c>
      <c r="AX566" s="658"/>
      <c r="AY566" s="658"/>
      <c r="AZ566" s="658"/>
      <c r="BA566" s="658"/>
      <c r="BB566" s="658"/>
      <c r="BC566" s="658">
        <v>0</v>
      </c>
      <c r="BD566" s="658"/>
      <c r="BE566" s="658"/>
      <c r="BF566" s="658">
        <v>182.49</v>
      </c>
      <c r="BG566" s="658"/>
      <c r="BH566" s="658"/>
      <c r="BI566" s="567">
        <v>0</v>
      </c>
      <c r="BJ566" s="567"/>
      <c r="BK566" s="567"/>
      <c r="BL566" s="567"/>
      <c r="BM566" s="660" t="s">
        <v>932</v>
      </c>
      <c r="BN566" s="660"/>
      <c r="BO566" s="660"/>
      <c r="BP566" s="660"/>
      <c r="BQ566" s="568">
        <v>0.2</v>
      </c>
      <c r="BR566" s="568"/>
      <c r="BS566" s="568"/>
      <c r="BT566" s="660" t="s">
        <v>932</v>
      </c>
      <c r="BU566" s="660"/>
      <c r="BV566" s="660"/>
      <c r="BW566" s="660"/>
      <c r="BX566" s="568">
        <v>0.5</v>
      </c>
      <c r="BY566" s="568"/>
      <c r="BZ566" s="568"/>
      <c r="CA566" s="660" t="s">
        <v>932</v>
      </c>
      <c r="CB566" s="660"/>
      <c r="CC566" s="660"/>
      <c r="CD566" s="660"/>
      <c r="CE566" s="568">
        <v>0.3</v>
      </c>
      <c r="CF566" s="568"/>
      <c r="CG566" s="568"/>
      <c r="CH566" s="660" t="s">
        <v>932</v>
      </c>
      <c r="CI566" s="660"/>
      <c r="CJ566" s="660"/>
      <c r="CK566" s="660"/>
      <c r="CL566" s="568" t="s">
        <v>932</v>
      </c>
      <c r="CM566" s="568"/>
      <c r="CN566" s="568"/>
    </row>
    <row r="567" hidden="1" customHeight="1" spans="1:92">
      <c r="A567" s="612"/>
      <c r="B567" s="612"/>
      <c r="C567" s="518"/>
      <c r="D567" s="518"/>
      <c r="E567" s="518"/>
      <c r="F567" s="657"/>
      <c r="G567" s="657"/>
      <c r="H567" s="657"/>
      <c r="I567" s="519"/>
      <c r="J567" s="519"/>
      <c r="K567" s="519"/>
      <c r="L567" s="519"/>
      <c r="M567" s="519"/>
      <c r="N567" s="519"/>
      <c r="O567" s="519"/>
      <c r="P567" s="519"/>
      <c r="Q567" s="519"/>
      <c r="R567" s="519"/>
      <c r="S567" s="519"/>
      <c r="T567" s="519"/>
      <c r="U567" s="519"/>
      <c r="V567" s="519"/>
      <c r="W567" s="519"/>
      <c r="X567" s="519"/>
      <c r="Y567" s="519"/>
      <c r="Z567" s="519"/>
      <c r="AA567" s="519"/>
      <c r="AB567" s="526"/>
      <c r="AC567" s="526"/>
      <c r="AD567" s="661"/>
      <c r="AE567" s="661"/>
      <c r="AF567" s="661"/>
      <c r="AG567" s="526">
        <v>0</v>
      </c>
      <c r="AH567" s="526"/>
      <c r="AI567" s="659" t="e">
        <v>#N/A</v>
      </c>
      <c r="AJ567" s="659"/>
      <c r="AK567" s="659"/>
      <c r="AL567" s="659"/>
      <c r="AM567" s="659"/>
      <c r="AN567" s="659"/>
      <c r="AO567" s="659"/>
      <c r="AP567" s="659"/>
      <c r="AQ567" s="659"/>
      <c r="AR567" s="659"/>
      <c r="AS567" s="659"/>
      <c r="AT567" s="659"/>
      <c r="AU567" s="659"/>
      <c r="AV567" s="659"/>
      <c r="AW567" s="658">
        <v>0</v>
      </c>
      <c r="AX567" s="658"/>
      <c r="AY567" s="658"/>
      <c r="AZ567" s="658"/>
      <c r="BA567" s="658"/>
      <c r="BB567" s="658"/>
      <c r="BC567" s="658">
        <v>0</v>
      </c>
      <c r="BD567" s="658"/>
      <c r="BE567" s="658"/>
      <c r="BF567" s="658">
        <v>182.49</v>
      </c>
      <c r="BG567" s="658"/>
      <c r="BH567" s="658"/>
      <c r="BI567" s="567">
        <v>0</v>
      </c>
      <c r="BJ567" s="567"/>
      <c r="BK567" s="567"/>
      <c r="BL567" s="567"/>
      <c r="BM567" s="660" t="s">
        <v>932</v>
      </c>
      <c r="BN567" s="660"/>
      <c r="BO567" s="660"/>
      <c r="BP567" s="660"/>
      <c r="BQ567" s="568">
        <v>0.2</v>
      </c>
      <c r="BR567" s="568"/>
      <c r="BS567" s="568"/>
      <c r="BT567" s="660" t="s">
        <v>932</v>
      </c>
      <c r="BU567" s="660"/>
      <c r="BV567" s="660"/>
      <c r="BW567" s="660"/>
      <c r="BX567" s="568">
        <v>0.5</v>
      </c>
      <c r="BY567" s="568"/>
      <c r="BZ567" s="568"/>
      <c r="CA567" s="660" t="s">
        <v>932</v>
      </c>
      <c r="CB567" s="660"/>
      <c r="CC567" s="660"/>
      <c r="CD567" s="660"/>
      <c r="CE567" s="568">
        <v>0.3</v>
      </c>
      <c r="CF567" s="568"/>
      <c r="CG567" s="568"/>
      <c r="CH567" s="660" t="s">
        <v>932</v>
      </c>
      <c r="CI567" s="660"/>
      <c r="CJ567" s="660"/>
      <c r="CK567" s="660"/>
      <c r="CL567" s="568" t="s">
        <v>932</v>
      </c>
      <c r="CM567" s="568"/>
      <c r="CN567" s="568"/>
    </row>
    <row r="568" customHeight="1" spans="1:92">
      <c r="A568" s="612" t="s">
        <v>1011</v>
      </c>
      <c r="B568" s="612"/>
      <c r="C568" s="518"/>
      <c r="D568" s="518"/>
      <c r="E568" s="518"/>
      <c r="F568" s="657">
        <v>5213571</v>
      </c>
      <c r="G568" s="657"/>
      <c r="H568" s="657"/>
      <c r="I568" s="519" t="s">
        <v>136</v>
      </c>
      <c r="J568" s="519"/>
      <c r="K568" s="519"/>
      <c r="L568" s="519"/>
      <c r="M568" s="519"/>
      <c r="N568" s="519"/>
      <c r="O568" s="519"/>
      <c r="P568" s="519"/>
      <c r="Q568" s="519"/>
      <c r="R568" s="519"/>
      <c r="S568" s="519"/>
      <c r="T568" s="519"/>
      <c r="U568" s="519"/>
      <c r="V568" s="519"/>
      <c r="W568" s="519"/>
      <c r="X568" s="519"/>
      <c r="Y568" s="519"/>
      <c r="Z568" s="519"/>
      <c r="AA568" s="519"/>
      <c r="AB568" s="526" t="s">
        <v>7</v>
      </c>
      <c r="AC568" s="526"/>
      <c r="AD568" s="658">
        <v>10.17</v>
      </c>
      <c r="AE568" s="658"/>
      <c r="AF568" s="658"/>
      <c r="AG568" s="526" t="s">
        <v>954</v>
      </c>
      <c r="AH568" s="526"/>
      <c r="AI568" s="659" t="s">
        <v>955</v>
      </c>
      <c r="AJ568" s="659"/>
      <c r="AK568" s="659"/>
      <c r="AL568" s="659"/>
      <c r="AM568" s="659"/>
      <c r="AN568" s="659"/>
      <c r="AO568" s="659"/>
      <c r="AP568" s="659"/>
      <c r="AQ568" s="659"/>
      <c r="AR568" s="659"/>
      <c r="AS568" s="659"/>
      <c r="AT568" s="659"/>
      <c r="AU568" s="659"/>
      <c r="AV568" s="659"/>
      <c r="AW568" s="658">
        <v>1</v>
      </c>
      <c r="AX568" s="658"/>
      <c r="AY568" s="658"/>
      <c r="AZ568" s="658">
        <v>3</v>
      </c>
      <c r="BA568" s="658"/>
      <c r="BB568" s="658"/>
      <c r="BC568" s="658">
        <v>3.39</v>
      </c>
      <c r="BD568" s="658"/>
      <c r="BE568" s="658"/>
      <c r="BF568" s="658">
        <v>182.49</v>
      </c>
      <c r="BG568" s="658"/>
      <c r="BH568" s="658"/>
      <c r="BI568" s="567">
        <v>0.0185763603485122</v>
      </c>
      <c r="BJ568" s="567"/>
      <c r="BK568" s="567"/>
      <c r="BL568" s="567"/>
      <c r="BM568" s="660" t="s">
        <v>932</v>
      </c>
      <c r="BN568" s="660"/>
      <c r="BO568" s="660"/>
      <c r="BP568" s="660"/>
      <c r="BQ568" s="568" t="s">
        <v>932</v>
      </c>
      <c r="BR568" s="568"/>
      <c r="BS568" s="568"/>
      <c r="BT568" s="660" t="s">
        <v>932</v>
      </c>
      <c r="BU568" s="660"/>
      <c r="BV568" s="660"/>
      <c r="BW568" s="660"/>
      <c r="BX568" s="568" t="s">
        <v>932</v>
      </c>
      <c r="BY568" s="568"/>
      <c r="BZ568" s="568"/>
      <c r="CA568" s="660">
        <v>0.0074305441394049</v>
      </c>
      <c r="CB568" s="660"/>
      <c r="CC568" s="660"/>
      <c r="CD568" s="660"/>
      <c r="CE568" s="568">
        <v>0.4</v>
      </c>
      <c r="CF568" s="568"/>
      <c r="CG568" s="568"/>
      <c r="CH568" s="660">
        <v>0.0111458162091073</v>
      </c>
      <c r="CI568" s="660"/>
      <c r="CJ568" s="660"/>
      <c r="CK568" s="660"/>
      <c r="CL568" s="568">
        <v>0.6</v>
      </c>
      <c r="CM568" s="568"/>
      <c r="CN568" s="568"/>
    </row>
    <row r="569" customHeight="1" spans="1:92">
      <c r="A569" s="612"/>
      <c r="B569" s="612"/>
      <c r="C569" s="518"/>
      <c r="D569" s="518"/>
      <c r="E569" s="518"/>
      <c r="F569" s="657"/>
      <c r="G569" s="657"/>
      <c r="H569" s="657"/>
      <c r="I569" s="519"/>
      <c r="J569" s="519"/>
      <c r="K569" s="519"/>
      <c r="L569" s="519"/>
      <c r="M569" s="519"/>
      <c r="N569" s="519"/>
      <c r="O569" s="519"/>
      <c r="P569" s="519"/>
      <c r="Q569" s="519"/>
      <c r="R569" s="519"/>
      <c r="S569" s="519"/>
      <c r="T569" s="519"/>
      <c r="U569" s="519"/>
      <c r="V569" s="519"/>
      <c r="W569" s="519"/>
      <c r="X569" s="519"/>
      <c r="Y569" s="519"/>
      <c r="Z569" s="519"/>
      <c r="AA569" s="519"/>
      <c r="AB569" s="526"/>
      <c r="AC569" s="526"/>
      <c r="AD569" s="658"/>
      <c r="AE569" s="658"/>
      <c r="AF569" s="658"/>
      <c r="AG569" s="526" t="s">
        <v>935</v>
      </c>
      <c r="AH569" s="526"/>
      <c r="AI569" s="659" t="s">
        <v>936</v>
      </c>
      <c r="AJ569" s="659"/>
      <c r="AK569" s="659"/>
      <c r="AL569" s="659"/>
      <c r="AM569" s="659"/>
      <c r="AN569" s="659"/>
      <c r="AO569" s="659"/>
      <c r="AP569" s="659"/>
      <c r="AQ569" s="659"/>
      <c r="AR569" s="659"/>
      <c r="AS569" s="659"/>
      <c r="AT569" s="659"/>
      <c r="AU569" s="659"/>
      <c r="AV569" s="659"/>
      <c r="AW569" s="658">
        <v>2</v>
      </c>
      <c r="AX569" s="658"/>
      <c r="AY569" s="658"/>
      <c r="AZ569" s="658"/>
      <c r="BA569" s="658"/>
      <c r="BB569" s="658"/>
      <c r="BC569" s="658">
        <v>6.78</v>
      </c>
      <c r="BD569" s="658"/>
      <c r="BE569" s="658"/>
      <c r="BF569" s="658">
        <v>182.49</v>
      </c>
      <c r="BG569" s="658"/>
      <c r="BH569" s="658"/>
      <c r="BI569" s="567">
        <v>0.0371527206970245</v>
      </c>
      <c r="BJ569" s="567"/>
      <c r="BK569" s="567"/>
      <c r="BL569" s="567"/>
      <c r="BM569" s="660" t="s">
        <v>932</v>
      </c>
      <c r="BN569" s="660"/>
      <c r="BO569" s="660"/>
      <c r="BP569" s="660"/>
      <c r="BQ569" s="568" t="s">
        <v>932</v>
      </c>
      <c r="BR569" s="568"/>
      <c r="BS569" s="568"/>
      <c r="BT569" s="660" t="s">
        <v>932</v>
      </c>
      <c r="BU569" s="660"/>
      <c r="BV569" s="660"/>
      <c r="BW569" s="660"/>
      <c r="BX569" s="568" t="s">
        <v>932</v>
      </c>
      <c r="BY569" s="568"/>
      <c r="BZ569" s="568"/>
      <c r="CA569" s="660">
        <v>0.0148610882788098</v>
      </c>
      <c r="CB569" s="660"/>
      <c r="CC569" s="660"/>
      <c r="CD569" s="660"/>
      <c r="CE569" s="568">
        <v>0.4</v>
      </c>
      <c r="CF569" s="568"/>
      <c r="CG569" s="568"/>
      <c r="CH569" s="660">
        <v>0.0222916324182147</v>
      </c>
      <c r="CI569" s="660"/>
      <c r="CJ569" s="660"/>
      <c r="CK569" s="660"/>
      <c r="CL569" s="568">
        <v>0.6</v>
      </c>
      <c r="CM569" s="568"/>
      <c r="CN569" s="568"/>
    </row>
    <row r="570" hidden="1" customHeight="1" spans="1:92">
      <c r="A570" s="612"/>
      <c r="B570" s="612"/>
      <c r="C570" s="518"/>
      <c r="D570" s="518"/>
      <c r="E570" s="518"/>
      <c r="F570" s="657"/>
      <c r="G570" s="657"/>
      <c r="H570" s="657"/>
      <c r="I570" s="519"/>
      <c r="J570" s="519"/>
      <c r="K570" s="519"/>
      <c r="L570" s="519"/>
      <c r="M570" s="519"/>
      <c r="N570" s="519"/>
      <c r="O570" s="519"/>
      <c r="P570" s="519"/>
      <c r="Q570" s="519"/>
      <c r="R570" s="519"/>
      <c r="S570" s="519"/>
      <c r="T570" s="519"/>
      <c r="U570" s="519"/>
      <c r="V570" s="519"/>
      <c r="W570" s="519"/>
      <c r="X570" s="519"/>
      <c r="Y570" s="519"/>
      <c r="Z570" s="519"/>
      <c r="AA570" s="519"/>
      <c r="AB570" s="526"/>
      <c r="AC570" s="526"/>
      <c r="AD570" s="658"/>
      <c r="AE570" s="658"/>
      <c r="AF570" s="658"/>
      <c r="AG570" s="526">
        <v>0</v>
      </c>
      <c r="AH570" s="526"/>
      <c r="AI570" s="659" t="e">
        <v>#N/A</v>
      </c>
      <c r="AJ570" s="659"/>
      <c r="AK570" s="659"/>
      <c r="AL570" s="659"/>
      <c r="AM570" s="659"/>
      <c r="AN570" s="659"/>
      <c r="AO570" s="659"/>
      <c r="AP570" s="659"/>
      <c r="AQ570" s="659"/>
      <c r="AR570" s="659"/>
      <c r="AS570" s="659"/>
      <c r="AT570" s="659"/>
      <c r="AU570" s="659"/>
      <c r="AV570" s="659"/>
      <c r="AW570" s="658">
        <v>0</v>
      </c>
      <c r="AX570" s="658"/>
      <c r="AY570" s="658"/>
      <c r="AZ570" s="658"/>
      <c r="BA570" s="658"/>
      <c r="BB570" s="658"/>
      <c r="BC570" s="658">
        <v>0</v>
      </c>
      <c r="BD570" s="658"/>
      <c r="BE570" s="658"/>
      <c r="BF570" s="658">
        <v>182.49</v>
      </c>
      <c r="BG570" s="658"/>
      <c r="BH570" s="658"/>
      <c r="BI570" s="567">
        <v>0</v>
      </c>
      <c r="BJ570" s="567"/>
      <c r="BK570" s="567"/>
      <c r="BL570" s="567"/>
      <c r="BM570" s="660" t="s">
        <v>932</v>
      </c>
      <c r="BN570" s="660"/>
      <c r="BO570" s="660"/>
      <c r="BP570" s="660"/>
      <c r="BQ570" s="568" t="s">
        <v>932</v>
      </c>
      <c r="BR570" s="568"/>
      <c r="BS570" s="568"/>
      <c r="BT570" s="660" t="s">
        <v>932</v>
      </c>
      <c r="BU570" s="660"/>
      <c r="BV570" s="660"/>
      <c r="BW570" s="660"/>
      <c r="BX570" s="568" t="s">
        <v>932</v>
      </c>
      <c r="BY570" s="568"/>
      <c r="BZ570" s="568"/>
      <c r="CA570" s="660" t="s">
        <v>932</v>
      </c>
      <c r="CB570" s="660"/>
      <c r="CC570" s="660"/>
      <c r="CD570" s="660"/>
      <c r="CE570" s="568">
        <v>0.4</v>
      </c>
      <c r="CF570" s="568"/>
      <c r="CG570" s="568"/>
      <c r="CH570" s="660" t="s">
        <v>932</v>
      </c>
      <c r="CI570" s="660"/>
      <c r="CJ570" s="660"/>
      <c r="CK570" s="660"/>
      <c r="CL570" s="568">
        <v>0.6</v>
      </c>
      <c r="CM570" s="568"/>
      <c r="CN570" s="568"/>
    </row>
    <row r="571" hidden="1" customHeight="1" spans="1:92">
      <c r="A571" s="612"/>
      <c r="B571" s="612"/>
      <c r="C571" s="518"/>
      <c r="D571" s="518"/>
      <c r="E571" s="518"/>
      <c r="F571" s="657"/>
      <c r="G571" s="657"/>
      <c r="H571" s="657"/>
      <c r="I571" s="519"/>
      <c r="J571" s="519"/>
      <c r="K571" s="519"/>
      <c r="L571" s="519"/>
      <c r="M571" s="519"/>
      <c r="N571" s="519"/>
      <c r="O571" s="519"/>
      <c r="P571" s="519"/>
      <c r="Q571" s="519"/>
      <c r="R571" s="519"/>
      <c r="S571" s="519"/>
      <c r="T571" s="519"/>
      <c r="U571" s="519"/>
      <c r="V571" s="519"/>
      <c r="W571" s="519"/>
      <c r="X571" s="519"/>
      <c r="Y571" s="519"/>
      <c r="Z571" s="519"/>
      <c r="AA571" s="519"/>
      <c r="AB571" s="526"/>
      <c r="AC571" s="526"/>
      <c r="AD571" s="658"/>
      <c r="AE571" s="658"/>
      <c r="AF571" s="658"/>
      <c r="AG571" s="526">
        <v>0</v>
      </c>
      <c r="AH571" s="526"/>
      <c r="AI571" s="659" t="e">
        <v>#N/A</v>
      </c>
      <c r="AJ571" s="659"/>
      <c r="AK571" s="659"/>
      <c r="AL571" s="659"/>
      <c r="AM571" s="659"/>
      <c r="AN571" s="659"/>
      <c r="AO571" s="659"/>
      <c r="AP571" s="659"/>
      <c r="AQ571" s="659"/>
      <c r="AR571" s="659"/>
      <c r="AS571" s="659"/>
      <c r="AT571" s="659"/>
      <c r="AU571" s="659"/>
      <c r="AV571" s="659"/>
      <c r="AW571" s="658">
        <v>0</v>
      </c>
      <c r="AX571" s="658"/>
      <c r="AY571" s="658"/>
      <c r="AZ571" s="658"/>
      <c r="BA571" s="658"/>
      <c r="BB571" s="658"/>
      <c r="BC571" s="658">
        <v>0</v>
      </c>
      <c r="BD571" s="658"/>
      <c r="BE571" s="658"/>
      <c r="BF571" s="658">
        <v>182.49</v>
      </c>
      <c r="BG571" s="658"/>
      <c r="BH571" s="658"/>
      <c r="BI571" s="567">
        <v>0</v>
      </c>
      <c r="BJ571" s="567"/>
      <c r="BK571" s="567"/>
      <c r="BL571" s="567"/>
      <c r="BM571" s="660" t="s">
        <v>932</v>
      </c>
      <c r="BN571" s="660"/>
      <c r="BO571" s="660"/>
      <c r="BP571" s="660"/>
      <c r="BQ571" s="568" t="s">
        <v>932</v>
      </c>
      <c r="BR571" s="568"/>
      <c r="BS571" s="568"/>
      <c r="BT571" s="660" t="s">
        <v>932</v>
      </c>
      <c r="BU571" s="660"/>
      <c r="BV571" s="660"/>
      <c r="BW571" s="660"/>
      <c r="BX571" s="568" t="s">
        <v>932</v>
      </c>
      <c r="BY571" s="568"/>
      <c r="BZ571" s="568"/>
      <c r="CA571" s="660" t="s">
        <v>932</v>
      </c>
      <c r="CB571" s="660"/>
      <c r="CC571" s="660"/>
      <c r="CD571" s="660"/>
      <c r="CE571" s="568">
        <v>0.4</v>
      </c>
      <c r="CF571" s="568"/>
      <c r="CG571" s="568"/>
      <c r="CH571" s="660" t="s">
        <v>932</v>
      </c>
      <c r="CI571" s="660"/>
      <c r="CJ571" s="660"/>
      <c r="CK571" s="660"/>
      <c r="CL571" s="568">
        <v>0.6</v>
      </c>
      <c r="CM571" s="568"/>
      <c r="CN571" s="568"/>
    </row>
    <row r="572" hidden="1" customHeight="1" spans="1:92">
      <c r="A572" s="612"/>
      <c r="B572" s="612"/>
      <c r="C572" s="518"/>
      <c r="D572" s="518"/>
      <c r="E572" s="518"/>
      <c r="F572" s="657"/>
      <c r="G572" s="657"/>
      <c r="H572" s="657"/>
      <c r="I572" s="519"/>
      <c r="J572" s="519"/>
      <c r="K572" s="519"/>
      <c r="L572" s="519"/>
      <c r="M572" s="519"/>
      <c r="N572" s="519"/>
      <c r="O572" s="519"/>
      <c r="P572" s="519"/>
      <c r="Q572" s="519"/>
      <c r="R572" s="519"/>
      <c r="S572" s="519"/>
      <c r="T572" s="519"/>
      <c r="U572" s="519"/>
      <c r="V572" s="519"/>
      <c r="W572" s="519"/>
      <c r="X572" s="519"/>
      <c r="Y572" s="519"/>
      <c r="Z572" s="519"/>
      <c r="AA572" s="519"/>
      <c r="AB572" s="526"/>
      <c r="AC572" s="526"/>
      <c r="AD572" s="658"/>
      <c r="AE572" s="658"/>
      <c r="AF572" s="658"/>
      <c r="AG572" s="526">
        <v>0</v>
      </c>
      <c r="AH572" s="526"/>
      <c r="AI572" s="659" t="e">
        <v>#N/A</v>
      </c>
      <c r="AJ572" s="659"/>
      <c r="AK572" s="659"/>
      <c r="AL572" s="659"/>
      <c r="AM572" s="659"/>
      <c r="AN572" s="659"/>
      <c r="AO572" s="659"/>
      <c r="AP572" s="659"/>
      <c r="AQ572" s="659"/>
      <c r="AR572" s="659"/>
      <c r="AS572" s="659"/>
      <c r="AT572" s="659"/>
      <c r="AU572" s="659"/>
      <c r="AV572" s="659"/>
      <c r="AW572" s="658">
        <v>0</v>
      </c>
      <c r="AX572" s="658"/>
      <c r="AY572" s="658"/>
      <c r="AZ572" s="658"/>
      <c r="BA572" s="658"/>
      <c r="BB572" s="658"/>
      <c r="BC572" s="658">
        <v>0</v>
      </c>
      <c r="BD572" s="658"/>
      <c r="BE572" s="658"/>
      <c r="BF572" s="658">
        <v>182.49</v>
      </c>
      <c r="BG572" s="658"/>
      <c r="BH572" s="658"/>
      <c r="BI572" s="567">
        <v>0</v>
      </c>
      <c r="BJ572" s="567"/>
      <c r="BK572" s="567"/>
      <c r="BL572" s="567"/>
      <c r="BM572" s="660" t="s">
        <v>932</v>
      </c>
      <c r="BN572" s="660"/>
      <c r="BO572" s="660"/>
      <c r="BP572" s="660"/>
      <c r="BQ572" s="568" t="s">
        <v>932</v>
      </c>
      <c r="BR572" s="568"/>
      <c r="BS572" s="568"/>
      <c r="BT572" s="660" t="s">
        <v>932</v>
      </c>
      <c r="BU572" s="660"/>
      <c r="BV572" s="660"/>
      <c r="BW572" s="660"/>
      <c r="BX572" s="568" t="s">
        <v>932</v>
      </c>
      <c r="BY572" s="568"/>
      <c r="BZ572" s="568"/>
      <c r="CA572" s="660" t="s">
        <v>932</v>
      </c>
      <c r="CB572" s="660"/>
      <c r="CC572" s="660"/>
      <c r="CD572" s="660"/>
      <c r="CE572" s="568">
        <v>0.4</v>
      </c>
      <c r="CF572" s="568"/>
      <c r="CG572" s="568"/>
      <c r="CH572" s="660" t="s">
        <v>932</v>
      </c>
      <c r="CI572" s="660"/>
      <c r="CJ572" s="660"/>
      <c r="CK572" s="660"/>
      <c r="CL572" s="568">
        <v>0.6</v>
      </c>
      <c r="CM572" s="568"/>
      <c r="CN572" s="568"/>
    </row>
    <row r="573" hidden="1" customHeight="1" spans="1:92">
      <c r="A573" s="612"/>
      <c r="B573" s="612"/>
      <c r="C573" s="518"/>
      <c r="D573" s="518"/>
      <c r="E573" s="518"/>
      <c r="F573" s="657"/>
      <c r="G573" s="657"/>
      <c r="H573" s="657"/>
      <c r="I573" s="519"/>
      <c r="J573" s="519"/>
      <c r="K573" s="519"/>
      <c r="L573" s="519"/>
      <c r="M573" s="519"/>
      <c r="N573" s="519"/>
      <c r="O573" s="519"/>
      <c r="P573" s="519"/>
      <c r="Q573" s="519"/>
      <c r="R573" s="519"/>
      <c r="S573" s="519"/>
      <c r="T573" s="519"/>
      <c r="U573" s="519"/>
      <c r="V573" s="519"/>
      <c r="W573" s="519"/>
      <c r="X573" s="519"/>
      <c r="Y573" s="519"/>
      <c r="Z573" s="519"/>
      <c r="AA573" s="519"/>
      <c r="AB573" s="526"/>
      <c r="AC573" s="526"/>
      <c r="AD573" s="658"/>
      <c r="AE573" s="658"/>
      <c r="AF573" s="658"/>
      <c r="AG573" s="526">
        <v>0</v>
      </c>
      <c r="AH573" s="526"/>
      <c r="AI573" s="659" t="e">
        <v>#N/A</v>
      </c>
      <c r="AJ573" s="659"/>
      <c r="AK573" s="659"/>
      <c r="AL573" s="659"/>
      <c r="AM573" s="659"/>
      <c r="AN573" s="659"/>
      <c r="AO573" s="659"/>
      <c r="AP573" s="659"/>
      <c r="AQ573" s="659"/>
      <c r="AR573" s="659"/>
      <c r="AS573" s="659"/>
      <c r="AT573" s="659"/>
      <c r="AU573" s="659"/>
      <c r="AV573" s="659"/>
      <c r="AW573" s="658">
        <v>0</v>
      </c>
      <c r="AX573" s="658"/>
      <c r="AY573" s="658"/>
      <c r="AZ573" s="658"/>
      <c r="BA573" s="658"/>
      <c r="BB573" s="658"/>
      <c r="BC573" s="658">
        <v>0</v>
      </c>
      <c r="BD573" s="658"/>
      <c r="BE573" s="658"/>
      <c r="BF573" s="658">
        <v>182.49</v>
      </c>
      <c r="BG573" s="658"/>
      <c r="BH573" s="658"/>
      <c r="BI573" s="567">
        <v>0</v>
      </c>
      <c r="BJ573" s="567"/>
      <c r="BK573" s="567"/>
      <c r="BL573" s="567"/>
      <c r="BM573" s="660" t="s">
        <v>932</v>
      </c>
      <c r="BN573" s="660"/>
      <c r="BO573" s="660"/>
      <c r="BP573" s="660"/>
      <c r="BQ573" s="568" t="s">
        <v>932</v>
      </c>
      <c r="BR573" s="568"/>
      <c r="BS573" s="568"/>
      <c r="BT573" s="660" t="s">
        <v>932</v>
      </c>
      <c r="BU573" s="660"/>
      <c r="BV573" s="660"/>
      <c r="BW573" s="660"/>
      <c r="BX573" s="568" t="s">
        <v>932</v>
      </c>
      <c r="BY573" s="568"/>
      <c r="BZ573" s="568"/>
      <c r="CA573" s="660" t="s">
        <v>932</v>
      </c>
      <c r="CB573" s="660"/>
      <c r="CC573" s="660"/>
      <c r="CD573" s="660"/>
      <c r="CE573" s="568">
        <v>0.4</v>
      </c>
      <c r="CF573" s="568"/>
      <c r="CG573" s="568"/>
      <c r="CH573" s="660" t="s">
        <v>932</v>
      </c>
      <c r="CI573" s="660"/>
      <c r="CJ573" s="660"/>
      <c r="CK573" s="660"/>
      <c r="CL573" s="568">
        <v>0.6</v>
      </c>
      <c r="CM573" s="568"/>
      <c r="CN573" s="568"/>
    </row>
    <row r="574" hidden="1" customHeight="1" spans="1:92">
      <c r="A574" s="612"/>
      <c r="B574" s="612"/>
      <c r="C574" s="518"/>
      <c r="D574" s="518"/>
      <c r="E574" s="518"/>
      <c r="F574" s="657"/>
      <c r="G574" s="657"/>
      <c r="H574" s="657"/>
      <c r="I574" s="519"/>
      <c r="J574" s="519"/>
      <c r="K574" s="519"/>
      <c r="L574" s="519"/>
      <c r="M574" s="519"/>
      <c r="N574" s="519"/>
      <c r="O574" s="519"/>
      <c r="P574" s="519"/>
      <c r="Q574" s="519"/>
      <c r="R574" s="519"/>
      <c r="S574" s="519"/>
      <c r="T574" s="519"/>
      <c r="U574" s="519"/>
      <c r="V574" s="519"/>
      <c r="W574" s="519"/>
      <c r="X574" s="519"/>
      <c r="Y574" s="519"/>
      <c r="Z574" s="519"/>
      <c r="AA574" s="519"/>
      <c r="AB574" s="526"/>
      <c r="AC574" s="526"/>
      <c r="AD574" s="658"/>
      <c r="AE574" s="658"/>
      <c r="AF574" s="658"/>
      <c r="AG574" s="526">
        <v>0</v>
      </c>
      <c r="AH574" s="526"/>
      <c r="AI574" s="659" t="e">
        <v>#N/A</v>
      </c>
      <c r="AJ574" s="659"/>
      <c r="AK574" s="659"/>
      <c r="AL574" s="659"/>
      <c r="AM574" s="659"/>
      <c r="AN574" s="659"/>
      <c r="AO574" s="659"/>
      <c r="AP574" s="659"/>
      <c r="AQ574" s="659"/>
      <c r="AR574" s="659"/>
      <c r="AS574" s="659"/>
      <c r="AT574" s="659"/>
      <c r="AU574" s="659"/>
      <c r="AV574" s="659"/>
      <c r="AW574" s="658">
        <v>0</v>
      </c>
      <c r="AX574" s="658"/>
      <c r="AY574" s="658"/>
      <c r="AZ574" s="658"/>
      <c r="BA574" s="658"/>
      <c r="BB574" s="658"/>
      <c r="BC574" s="658">
        <v>0</v>
      </c>
      <c r="BD574" s="658"/>
      <c r="BE574" s="658"/>
      <c r="BF574" s="658">
        <v>182.49</v>
      </c>
      <c r="BG574" s="658"/>
      <c r="BH574" s="658"/>
      <c r="BI574" s="567">
        <v>0</v>
      </c>
      <c r="BJ574" s="567"/>
      <c r="BK574" s="567"/>
      <c r="BL574" s="567"/>
      <c r="BM574" s="660" t="s">
        <v>932</v>
      </c>
      <c r="BN574" s="660"/>
      <c r="BO574" s="660"/>
      <c r="BP574" s="660"/>
      <c r="BQ574" s="568" t="s">
        <v>932</v>
      </c>
      <c r="BR574" s="568"/>
      <c r="BS574" s="568"/>
      <c r="BT574" s="660" t="s">
        <v>932</v>
      </c>
      <c r="BU574" s="660"/>
      <c r="BV574" s="660"/>
      <c r="BW574" s="660"/>
      <c r="BX574" s="568" t="s">
        <v>932</v>
      </c>
      <c r="BY574" s="568"/>
      <c r="BZ574" s="568"/>
      <c r="CA574" s="660" t="s">
        <v>932</v>
      </c>
      <c r="CB574" s="660"/>
      <c r="CC574" s="660"/>
      <c r="CD574" s="660"/>
      <c r="CE574" s="568">
        <v>0.4</v>
      </c>
      <c r="CF574" s="568"/>
      <c r="CG574" s="568"/>
      <c r="CH574" s="660" t="s">
        <v>932</v>
      </c>
      <c r="CI574" s="660"/>
      <c r="CJ574" s="660"/>
      <c r="CK574" s="660"/>
      <c r="CL574" s="568">
        <v>0.6</v>
      </c>
      <c r="CM574" s="568"/>
      <c r="CN574" s="568"/>
    </row>
    <row r="575" hidden="1" customHeight="1" spans="1:92">
      <c r="A575" s="612"/>
      <c r="B575" s="612"/>
      <c r="C575" s="518"/>
      <c r="D575" s="518"/>
      <c r="E575" s="518"/>
      <c r="F575" s="657"/>
      <c r="G575" s="657"/>
      <c r="H575" s="657"/>
      <c r="I575" s="519"/>
      <c r="J575" s="519"/>
      <c r="K575" s="519"/>
      <c r="L575" s="519"/>
      <c r="M575" s="519"/>
      <c r="N575" s="519"/>
      <c r="O575" s="519"/>
      <c r="P575" s="519"/>
      <c r="Q575" s="519"/>
      <c r="R575" s="519"/>
      <c r="S575" s="519"/>
      <c r="T575" s="519"/>
      <c r="U575" s="519"/>
      <c r="V575" s="519"/>
      <c r="W575" s="519"/>
      <c r="X575" s="519"/>
      <c r="Y575" s="519"/>
      <c r="Z575" s="519"/>
      <c r="AA575" s="519"/>
      <c r="AB575" s="526"/>
      <c r="AC575" s="526"/>
      <c r="AD575" s="658"/>
      <c r="AE575" s="658"/>
      <c r="AF575" s="658"/>
      <c r="AG575" s="526">
        <v>0</v>
      </c>
      <c r="AH575" s="526"/>
      <c r="AI575" s="659" t="e">
        <v>#N/A</v>
      </c>
      <c r="AJ575" s="659"/>
      <c r="AK575" s="659"/>
      <c r="AL575" s="659"/>
      <c r="AM575" s="659"/>
      <c r="AN575" s="659"/>
      <c r="AO575" s="659"/>
      <c r="AP575" s="659"/>
      <c r="AQ575" s="659"/>
      <c r="AR575" s="659"/>
      <c r="AS575" s="659"/>
      <c r="AT575" s="659"/>
      <c r="AU575" s="659"/>
      <c r="AV575" s="659"/>
      <c r="AW575" s="658">
        <v>0</v>
      </c>
      <c r="AX575" s="658"/>
      <c r="AY575" s="658"/>
      <c r="AZ575" s="658"/>
      <c r="BA575" s="658"/>
      <c r="BB575" s="658"/>
      <c r="BC575" s="658">
        <v>0</v>
      </c>
      <c r="BD575" s="658"/>
      <c r="BE575" s="658"/>
      <c r="BF575" s="658">
        <v>182.49</v>
      </c>
      <c r="BG575" s="658"/>
      <c r="BH575" s="658"/>
      <c r="BI575" s="567">
        <v>0</v>
      </c>
      <c r="BJ575" s="567"/>
      <c r="BK575" s="567"/>
      <c r="BL575" s="567"/>
      <c r="BM575" s="660" t="s">
        <v>932</v>
      </c>
      <c r="BN575" s="660"/>
      <c r="BO575" s="660"/>
      <c r="BP575" s="660"/>
      <c r="BQ575" s="568" t="s">
        <v>932</v>
      </c>
      <c r="BR575" s="568"/>
      <c r="BS575" s="568"/>
      <c r="BT575" s="660" t="s">
        <v>932</v>
      </c>
      <c r="BU575" s="660"/>
      <c r="BV575" s="660"/>
      <c r="BW575" s="660"/>
      <c r="BX575" s="568" t="s">
        <v>932</v>
      </c>
      <c r="BY575" s="568"/>
      <c r="BZ575" s="568"/>
      <c r="CA575" s="660" t="s">
        <v>932</v>
      </c>
      <c r="CB575" s="660"/>
      <c r="CC575" s="660"/>
      <c r="CD575" s="660"/>
      <c r="CE575" s="568">
        <v>0.4</v>
      </c>
      <c r="CF575" s="568"/>
      <c r="CG575" s="568"/>
      <c r="CH575" s="660" t="s">
        <v>932</v>
      </c>
      <c r="CI575" s="660"/>
      <c r="CJ575" s="660"/>
      <c r="CK575" s="660"/>
      <c r="CL575" s="568">
        <v>0.6</v>
      </c>
      <c r="CM575" s="568"/>
      <c r="CN575" s="568"/>
    </row>
    <row r="576" customHeight="1" spans="1:92">
      <c r="A576" s="612" t="s">
        <v>1012</v>
      </c>
      <c r="B576" s="612"/>
      <c r="C576" s="518"/>
      <c r="D576" s="518"/>
      <c r="E576" s="518"/>
      <c r="F576" s="657">
        <v>5216111</v>
      </c>
      <c r="G576" s="657"/>
      <c r="H576" s="657"/>
      <c r="I576" s="519" t="s">
        <v>137</v>
      </c>
      <c r="J576" s="519"/>
      <c r="K576" s="519"/>
      <c r="L576" s="519"/>
      <c r="M576" s="519"/>
      <c r="N576" s="519"/>
      <c r="O576" s="519"/>
      <c r="P576" s="519"/>
      <c r="Q576" s="519"/>
      <c r="R576" s="519"/>
      <c r="S576" s="519"/>
      <c r="T576" s="519"/>
      <c r="U576" s="519"/>
      <c r="V576" s="519"/>
      <c r="W576" s="519"/>
      <c r="X576" s="519"/>
      <c r="Y576" s="519"/>
      <c r="Z576" s="519"/>
      <c r="AA576" s="519"/>
      <c r="AB576" s="526" t="s">
        <v>82</v>
      </c>
      <c r="AC576" s="526"/>
      <c r="AD576" s="658">
        <v>18</v>
      </c>
      <c r="AE576" s="658"/>
      <c r="AF576" s="658"/>
      <c r="AG576" s="526" t="s">
        <v>950</v>
      </c>
      <c r="AH576" s="526"/>
      <c r="AI576" s="659" t="s">
        <v>951</v>
      </c>
      <c r="AJ576" s="659"/>
      <c r="AK576" s="659"/>
      <c r="AL576" s="659"/>
      <c r="AM576" s="659"/>
      <c r="AN576" s="659"/>
      <c r="AO576" s="659"/>
      <c r="AP576" s="659"/>
      <c r="AQ576" s="659"/>
      <c r="AR576" s="659"/>
      <c r="AS576" s="659"/>
      <c r="AT576" s="659"/>
      <c r="AU576" s="659"/>
      <c r="AV576" s="659"/>
      <c r="AW576" s="658">
        <v>1</v>
      </c>
      <c r="AX576" s="658"/>
      <c r="AY576" s="658"/>
      <c r="AZ576" s="658">
        <v>4</v>
      </c>
      <c r="BA576" s="658"/>
      <c r="BB576" s="658"/>
      <c r="BC576" s="658">
        <v>4.5</v>
      </c>
      <c r="BD576" s="658"/>
      <c r="BE576" s="658"/>
      <c r="BF576" s="658">
        <v>182.49</v>
      </c>
      <c r="BG576" s="658"/>
      <c r="BH576" s="658"/>
      <c r="BI576" s="567">
        <v>0.0246588854183791</v>
      </c>
      <c r="BJ576" s="567"/>
      <c r="BK576" s="567"/>
      <c r="BL576" s="567"/>
      <c r="BM576" s="660" t="s">
        <v>932</v>
      </c>
      <c r="BN576" s="660"/>
      <c r="BO576" s="660"/>
      <c r="BP576" s="660"/>
      <c r="BQ576" s="568" t="s">
        <v>932</v>
      </c>
      <c r="BR576" s="568"/>
      <c r="BS576" s="568"/>
      <c r="BT576" s="660" t="s">
        <v>932</v>
      </c>
      <c r="BU576" s="660"/>
      <c r="BV576" s="660"/>
      <c r="BW576" s="660"/>
      <c r="BX576" s="568" t="s">
        <v>932</v>
      </c>
      <c r="BY576" s="568"/>
      <c r="BZ576" s="568"/>
      <c r="CA576" s="660">
        <v>0.00986355416735164</v>
      </c>
      <c r="CB576" s="660"/>
      <c r="CC576" s="660"/>
      <c r="CD576" s="660"/>
      <c r="CE576" s="568">
        <v>0.4</v>
      </c>
      <c r="CF576" s="568"/>
      <c r="CG576" s="568"/>
      <c r="CH576" s="660">
        <v>0.0147953312510275</v>
      </c>
      <c r="CI576" s="660"/>
      <c r="CJ576" s="660"/>
      <c r="CK576" s="660"/>
      <c r="CL576" s="568">
        <v>0.6</v>
      </c>
      <c r="CM576" s="568"/>
      <c r="CN576" s="568"/>
    </row>
    <row r="577" customHeight="1" spans="1:92">
      <c r="A577" s="612"/>
      <c r="B577" s="612"/>
      <c r="C577" s="518"/>
      <c r="D577" s="518"/>
      <c r="E577" s="518"/>
      <c r="F577" s="657"/>
      <c r="G577" s="657"/>
      <c r="H577" s="657"/>
      <c r="I577" s="519"/>
      <c r="J577" s="519"/>
      <c r="K577" s="519"/>
      <c r="L577" s="519"/>
      <c r="M577" s="519"/>
      <c r="N577" s="519"/>
      <c r="O577" s="519"/>
      <c r="P577" s="519"/>
      <c r="Q577" s="519"/>
      <c r="R577" s="519"/>
      <c r="S577" s="519"/>
      <c r="T577" s="519"/>
      <c r="U577" s="519"/>
      <c r="V577" s="519"/>
      <c r="W577" s="519"/>
      <c r="X577" s="519"/>
      <c r="Y577" s="519"/>
      <c r="Z577" s="519"/>
      <c r="AA577" s="519"/>
      <c r="AB577" s="526"/>
      <c r="AC577" s="526"/>
      <c r="AD577" s="658"/>
      <c r="AE577" s="658"/>
      <c r="AF577" s="658"/>
      <c r="AG577" s="526" t="s">
        <v>1013</v>
      </c>
      <c r="AH577" s="526"/>
      <c r="AI577" s="659" t="s">
        <v>1014</v>
      </c>
      <c r="AJ577" s="659"/>
      <c r="AK577" s="659"/>
      <c r="AL577" s="659"/>
      <c r="AM577" s="659"/>
      <c r="AN577" s="659"/>
      <c r="AO577" s="659"/>
      <c r="AP577" s="659"/>
      <c r="AQ577" s="659"/>
      <c r="AR577" s="659"/>
      <c r="AS577" s="659"/>
      <c r="AT577" s="659"/>
      <c r="AU577" s="659"/>
      <c r="AV577" s="659"/>
      <c r="AW577" s="658">
        <v>0.5</v>
      </c>
      <c r="AX577" s="658"/>
      <c r="AY577" s="658"/>
      <c r="AZ577" s="658"/>
      <c r="BA577" s="658"/>
      <c r="BB577" s="658"/>
      <c r="BC577" s="658">
        <v>2.25</v>
      </c>
      <c r="BD577" s="658"/>
      <c r="BE577" s="658"/>
      <c r="BF577" s="658">
        <v>182.49</v>
      </c>
      <c r="BG577" s="658"/>
      <c r="BH577" s="658"/>
      <c r="BI577" s="567">
        <v>0.0123294427091895</v>
      </c>
      <c r="BJ577" s="567"/>
      <c r="BK577" s="567"/>
      <c r="BL577" s="567"/>
      <c r="BM577" s="660" t="s">
        <v>932</v>
      </c>
      <c r="BN577" s="660"/>
      <c r="BO577" s="660"/>
      <c r="BP577" s="660"/>
      <c r="BQ577" s="568" t="s">
        <v>932</v>
      </c>
      <c r="BR577" s="568"/>
      <c r="BS577" s="568"/>
      <c r="BT577" s="660" t="s">
        <v>932</v>
      </c>
      <c r="BU577" s="660"/>
      <c r="BV577" s="660"/>
      <c r="BW577" s="660"/>
      <c r="BX577" s="568" t="s">
        <v>932</v>
      </c>
      <c r="BY577" s="568"/>
      <c r="BZ577" s="568"/>
      <c r="CA577" s="660">
        <v>0.00493177708367582</v>
      </c>
      <c r="CB577" s="660"/>
      <c r="CC577" s="660"/>
      <c r="CD577" s="660"/>
      <c r="CE577" s="568">
        <v>0.4</v>
      </c>
      <c r="CF577" s="568"/>
      <c r="CG577" s="568"/>
      <c r="CH577" s="660">
        <v>0.00739766562551373</v>
      </c>
      <c r="CI577" s="660"/>
      <c r="CJ577" s="660"/>
      <c r="CK577" s="660"/>
      <c r="CL577" s="568">
        <v>0.6</v>
      </c>
      <c r="CM577" s="568"/>
      <c r="CN577" s="568"/>
    </row>
    <row r="578" customHeight="1" spans="1:92">
      <c r="A578" s="612"/>
      <c r="B578" s="612"/>
      <c r="C578" s="518"/>
      <c r="D578" s="518"/>
      <c r="E578" s="518"/>
      <c r="F578" s="657"/>
      <c r="G578" s="657"/>
      <c r="H578" s="657"/>
      <c r="I578" s="519"/>
      <c r="J578" s="519"/>
      <c r="K578" s="519"/>
      <c r="L578" s="519"/>
      <c r="M578" s="519"/>
      <c r="N578" s="519"/>
      <c r="O578" s="519"/>
      <c r="P578" s="519"/>
      <c r="Q578" s="519"/>
      <c r="R578" s="519"/>
      <c r="S578" s="519"/>
      <c r="T578" s="519"/>
      <c r="U578" s="519"/>
      <c r="V578" s="519"/>
      <c r="W578" s="519"/>
      <c r="X578" s="519"/>
      <c r="Y578" s="519"/>
      <c r="Z578" s="519"/>
      <c r="AA578" s="519"/>
      <c r="AB578" s="526"/>
      <c r="AC578" s="526"/>
      <c r="AD578" s="658"/>
      <c r="AE578" s="658"/>
      <c r="AF578" s="658"/>
      <c r="AG578" s="526" t="s">
        <v>935</v>
      </c>
      <c r="AH578" s="526"/>
      <c r="AI578" s="659" t="s">
        <v>936</v>
      </c>
      <c r="AJ578" s="659"/>
      <c r="AK578" s="659"/>
      <c r="AL578" s="659"/>
      <c r="AM578" s="659"/>
      <c r="AN578" s="659"/>
      <c r="AO578" s="659"/>
      <c r="AP578" s="659"/>
      <c r="AQ578" s="659"/>
      <c r="AR578" s="659"/>
      <c r="AS578" s="659"/>
      <c r="AT578" s="659"/>
      <c r="AU578" s="659"/>
      <c r="AV578" s="659"/>
      <c r="AW578" s="658">
        <v>1</v>
      </c>
      <c r="AX578" s="658"/>
      <c r="AY578" s="658"/>
      <c r="AZ578" s="658"/>
      <c r="BA578" s="658"/>
      <c r="BB578" s="658"/>
      <c r="BC578" s="658">
        <v>4.5</v>
      </c>
      <c r="BD578" s="658"/>
      <c r="BE578" s="658"/>
      <c r="BF578" s="658">
        <v>182.49</v>
      </c>
      <c r="BG578" s="658"/>
      <c r="BH578" s="658"/>
      <c r="BI578" s="567">
        <v>0.0246588854183791</v>
      </c>
      <c r="BJ578" s="567"/>
      <c r="BK578" s="567"/>
      <c r="BL578" s="567"/>
      <c r="BM578" s="660" t="s">
        <v>932</v>
      </c>
      <c r="BN578" s="660"/>
      <c r="BO578" s="660"/>
      <c r="BP578" s="660"/>
      <c r="BQ578" s="568" t="s">
        <v>932</v>
      </c>
      <c r="BR578" s="568"/>
      <c r="BS578" s="568"/>
      <c r="BT578" s="660" t="s">
        <v>932</v>
      </c>
      <c r="BU578" s="660"/>
      <c r="BV578" s="660"/>
      <c r="BW578" s="660"/>
      <c r="BX578" s="568" t="s">
        <v>932</v>
      </c>
      <c r="BY578" s="568"/>
      <c r="BZ578" s="568"/>
      <c r="CA578" s="660">
        <v>0.00986355416735164</v>
      </c>
      <c r="CB578" s="660"/>
      <c r="CC578" s="660"/>
      <c r="CD578" s="660"/>
      <c r="CE578" s="568">
        <v>0.4</v>
      </c>
      <c r="CF578" s="568"/>
      <c r="CG578" s="568"/>
      <c r="CH578" s="660">
        <v>0.0147953312510275</v>
      </c>
      <c r="CI578" s="660"/>
      <c r="CJ578" s="660"/>
      <c r="CK578" s="660"/>
      <c r="CL578" s="568">
        <v>0.6</v>
      </c>
      <c r="CM578" s="568"/>
      <c r="CN578" s="568"/>
    </row>
    <row r="579" hidden="1" customHeight="1" spans="1:92">
      <c r="A579" s="612"/>
      <c r="B579" s="612"/>
      <c r="C579" s="518"/>
      <c r="D579" s="518"/>
      <c r="E579" s="518"/>
      <c r="F579" s="657"/>
      <c r="G579" s="657"/>
      <c r="H579" s="657"/>
      <c r="I579" s="519"/>
      <c r="J579" s="519"/>
      <c r="K579" s="519"/>
      <c r="L579" s="519"/>
      <c r="M579" s="519"/>
      <c r="N579" s="519"/>
      <c r="O579" s="519"/>
      <c r="P579" s="519"/>
      <c r="Q579" s="519"/>
      <c r="R579" s="519"/>
      <c r="S579" s="519"/>
      <c r="T579" s="519"/>
      <c r="U579" s="519"/>
      <c r="V579" s="519"/>
      <c r="W579" s="519"/>
      <c r="X579" s="519"/>
      <c r="Y579" s="519"/>
      <c r="Z579" s="519"/>
      <c r="AA579" s="519"/>
      <c r="AB579" s="526"/>
      <c r="AC579" s="526"/>
      <c r="AD579" s="658"/>
      <c r="AE579" s="658"/>
      <c r="AF579" s="658"/>
      <c r="AG579" s="526">
        <v>0</v>
      </c>
      <c r="AH579" s="526"/>
      <c r="AI579" s="659" t="e">
        <v>#N/A</v>
      </c>
      <c r="AJ579" s="659"/>
      <c r="AK579" s="659"/>
      <c r="AL579" s="659"/>
      <c r="AM579" s="659"/>
      <c r="AN579" s="659"/>
      <c r="AO579" s="659"/>
      <c r="AP579" s="659"/>
      <c r="AQ579" s="659"/>
      <c r="AR579" s="659"/>
      <c r="AS579" s="659"/>
      <c r="AT579" s="659"/>
      <c r="AU579" s="659"/>
      <c r="AV579" s="659"/>
      <c r="AW579" s="658">
        <v>0</v>
      </c>
      <c r="AX579" s="658"/>
      <c r="AY579" s="658"/>
      <c r="AZ579" s="658"/>
      <c r="BA579" s="658"/>
      <c r="BB579" s="658"/>
      <c r="BC579" s="658">
        <v>0</v>
      </c>
      <c r="BD579" s="658"/>
      <c r="BE579" s="658"/>
      <c r="BF579" s="658">
        <v>182.49</v>
      </c>
      <c r="BG579" s="658"/>
      <c r="BH579" s="658"/>
      <c r="BI579" s="567">
        <v>0</v>
      </c>
      <c r="BJ579" s="567"/>
      <c r="BK579" s="567"/>
      <c r="BL579" s="567"/>
      <c r="BM579" s="660" t="s">
        <v>932</v>
      </c>
      <c r="BN579" s="660"/>
      <c r="BO579" s="660"/>
      <c r="BP579" s="660"/>
      <c r="BQ579" s="568" t="s">
        <v>932</v>
      </c>
      <c r="BR579" s="568"/>
      <c r="BS579" s="568"/>
      <c r="BT579" s="660" t="s">
        <v>932</v>
      </c>
      <c r="BU579" s="660"/>
      <c r="BV579" s="660"/>
      <c r="BW579" s="660"/>
      <c r="BX579" s="568" t="s">
        <v>932</v>
      </c>
      <c r="BY579" s="568"/>
      <c r="BZ579" s="568"/>
      <c r="CA579" s="660" t="s">
        <v>932</v>
      </c>
      <c r="CB579" s="660"/>
      <c r="CC579" s="660"/>
      <c r="CD579" s="660"/>
      <c r="CE579" s="568">
        <v>0.4</v>
      </c>
      <c r="CF579" s="568"/>
      <c r="CG579" s="568"/>
      <c r="CH579" s="660" t="s">
        <v>932</v>
      </c>
      <c r="CI579" s="660"/>
      <c r="CJ579" s="660"/>
      <c r="CK579" s="660"/>
      <c r="CL579" s="568">
        <v>0.6</v>
      </c>
      <c r="CM579" s="568"/>
      <c r="CN579" s="568"/>
    </row>
    <row r="580" hidden="1" customHeight="1" spans="1:92">
      <c r="A580" s="612"/>
      <c r="B580" s="612"/>
      <c r="C580" s="518"/>
      <c r="D580" s="518"/>
      <c r="E580" s="518"/>
      <c r="F580" s="657"/>
      <c r="G580" s="657"/>
      <c r="H580" s="657"/>
      <c r="I580" s="519"/>
      <c r="J580" s="519"/>
      <c r="K580" s="519"/>
      <c r="L580" s="519"/>
      <c r="M580" s="519"/>
      <c r="N580" s="519"/>
      <c r="O580" s="519"/>
      <c r="P580" s="519"/>
      <c r="Q580" s="519"/>
      <c r="R580" s="519"/>
      <c r="S580" s="519"/>
      <c r="T580" s="519"/>
      <c r="U580" s="519"/>
      <c r="V580" s="519"/>
      <c r="W580" s="519"/>
      <c r="X580" s="519"/>
      <c r="Y580" s="519"/>
      <c r="Z580" s="519"/>
      <c r="AA580" s="519"/>
      <c r="AB580" s="526"/>
      <c r="AC580" s="526"/>
      <c r="AD580" s="658"/>
      <c r="AE580" s="658"/>
      <c r="AF580" s="658"/>
      <c r="AG580" s="526">
        <v>0</v>
      </c>
      <c r="AH580" s="526"/>
      <c r="AI580" s="659" t="e">
        <v>#N/A</v>
      </c>
      <c r="AJ580" s="659"/>
      <c r="AK580" s="659"/>
      <c r="AL580" s="659"/>
      <c r="AM580" s="659"/>
      <c r="AN580" s="659"/>
      <c r="AO580" s="659"/>
      <c r="AP580" s="659"/>
      <c r="AQ580" s="659"/>
      <c r="AR580" s="659"/>
      <c r="AS580" s="659"/>
      <c r="AT580" s="659"/>
      <c r="AU580" s="659"/>
      <c r="AV580" s="659"/>
      <c r="AW580" s="658">
        <v>0</v>
      </c>
      <c r="AX580" s="658"/>
      <c r="AY580" s="658"/>
      <c r="AZ580" s="658"/>
      <c r="BA580" s="658"/>
      <c r="BB580" s="658"/>
      <c r="BC580" s="658">
        <v>0</v>
      </c>
      <c r="BD580" s="658"/>
      <c r="BE580" s="658"/>
      <c r="BF580" s="658">
        <v>182.49</v>
      </c>
      <c r="BG580" s="658"/>
      <c r="BH580" s="658"/>
      <c r="BI580" s="567">
        <v>0</v>
      </c>
      <c r="BJ580" s="567"/>
      <c r="BK580" s="567"/>
      <c r="BL580" s="567"/>
      <c r="BM580" s="660" t="s">
        <v>932</v>
      </c>
      <c r="BN580" s="660"/>
      <c r="BO580" s="660"/>
      <c r="BP580" s="660"/>
      <c r="BQ580" s="568" t="s">
        <v>932</v>
      </c>
      <c r="BR580" s="568"/>
      <c r="BS580" s="568"/>
      <c r="BT580" s="660" t="s">
        <v>932</v>
      </c>
      <c r="BU580" s="660"/>
      <c r="BV580" s="660"/>
      <c r="BW580" s="660"/>
      <c r="BX580" s="568" t="s">
        <v>932</v>
      </c>
      <c r="BY580" s="568"/>
      <c r="BZ580" s="568"/>
      <c r="CA580" s="660" t="s">
        <v>932</v>
      </c>
      <c r="CB580" s="660"/>
      <c r="CC580" s="660"/>
      <c r="CD580" s="660"/>
      <c r="CE580" s="568">
        <v>0.4</v>
      </c>
      <c r="CF580" s="568"/>
      <c r="CG580" s="568"/>
      <c r="CH580" s="660" t="s">
        <v>932</v>
      </c>
      <c r="CI580" s="660"/>
      <c r="CJ580" s="660"/>
      <c r="CK580" s="660"/>
      <c r="CL580" s="568">
        <v>0.6</v>
      </c>
      <c r="CM580" s="568"/>
      <c r="CN580" s="568"/>
    </row>
    <row r="581" hidden="1" customHeight="1" spans="1:92">
      <c r="A581" s="612"/>
      <c r="B581" s="612"/>
      <c r="C581" s="518"/>
      <c r="D581" s="518"/>
      <c r="E581" s="518"/>
      <c r="F581" s="657"/>
      <c r="G581" s="657"/>
      <c r="H581" s="657"/>
      <c r="I581" s="519"/>
      <c r="J581" s="519"/>
      <c r="K581" s="519"/>
      <c r="L581" s="519"/>
      <c r="M581" s="519"/>
      <c r="N581" s="519"/>
      <c r="O581" s="519"/>
      <c r="P581" s="519"/>
      <c r="Q581" s="519"/>
      <c r="R581" s="519"/>
      <c r="S581" s="519"/>
      <c r="T581" s="519"/>
      <c r="U581" s="519"/>
      <c r="V581" s="519"/>
      <c r="W581" s="519"/>
      <c r="X581" s="519"/>
      <c r="Y581" s="519"/>
      <c r="Z581" s="519"/>
      <c r="AA581" s="519"/>
      <c r="AB581" s="526"/>
      <c r="AC581" s="526"/>
      <c r="AD581" s="658"/>
      <c r="AE581" s="658"/>
      <c r="AF581" s="658"/>
      <c r="AG581" s="526">
        <v>0</v>
      </c>
      <c r="AH581" s="526"/>
      <c r="AI581" s="659" t="e">
        <v>#N/A</v>
      </c>
      <c r="AJ581" s="659"/>
      <c r="AK581" s="659"/>
      <c r="AL581" s="659"/>
      <c r="AM581" s="659"/>
      <c r="AN581" s="659"/>
      <c r="AO581" s="659"/>
      <c r="AP581" s="659"/>
      <c r="AQ581" s="659"/>
      <c r="AR581" s="659"/>
      <c r="AS581" s="659"/>
      <c r="AT581" s="659"/>
      <c r="AU581" s="659"/>
      <c r="AV581" s="659"/>
      <c r="AW581" s="658">
        <v>0</v>
      </c>
      <c r="AX581" s="658"/>
      <c r="AY581" s="658"/>
      <c r="AZ581" s="658"/>
      <c r="BA581" s="658"/>
      <c r="BB581" s="658"/>
      <c r="BC581" s="658">
        <v>0</v>
      </c>
      <c r="BD581" s="658"/>
      <c r="BE581" s="658"/>
      <c r="BF581" s="658">
        <v>182.49</v>
      </c>
      <c r="BG581" s="658"/>
      <c r="BH581" s="658"/>
      <c r="BI581" s="567">
        <v>0</v>
      </c>
      <c r="BJ581" s="567"/>
      <c r="BK581" s="567"/>
      <c r="BL581" s="567"/>
      <c r="BM581" s="660" t="s">
        <v>932</v>
      </c>
      <c r="BN581" s="660"/>
      <c r="BO581" s="660"/>
      <c r="BP581" s="660"/>
      <c r="BQ581" s="568" t="s">
        <v>932</v>
      </c>
      <c r="BR581" s="568"/>
      <c r="BS581" s="568"/>
      <c r="BT581" s="660" t="s">
        <v>932</v>
      </c>
      <c r="BU581" s="660"/>
      <c r="BV581" s="660"/>
      <c r="BW581" s="660"/>
      <c r="BX581" s="568" t="s">
        <v>932</v>
      </c>
      <c r="BY581" s="568"/>
      <c r="BZ581" s="568"/>
      <c r="CA581" s="660" t="s">
        <v>932</v>
      </c>
      <c r="CB581" s="660"/>
      <c r="CC581" s="660"/>
      <c r="CD581" s="660"/>
      <c r="CE581" s="568">
        <v>0.4</v>
      </c>
      <c r="CF581" s="568"/>
      <c r="CG581" s="568"/>
      <c r="CH581" s="660" t="s">
        <v>932</v>
      </c>
      <c r="CI581" s="660"/>
      <c r="CJ581" s="660"/>
      <c r="CK581" s="660"/>
      <c r="CL581" s="568">
        <v>0.6</v>
      </c>
      <c r="CM581" s="568"/>
      <c r="CN581" s="568"/>
    </row>
    <row r="582" hidden="1" customHeight="1" spans="1:92">
      <c r="A582" s="612"/>
      <c r="B582" s="612"/>
      <c r="C582" s="518"/>
      <c r="D582" s="518"/>
      <c r="E582" s="518"/>
      <c r="F582" s="657"/>
      <c r="G582" s="657"/>
      <c r="H582" s="657"/>
      <c r="I582" s="519"/>
      <c r="J582" s="519"/>
      <c r="K582" s="519"/>
      <c r="L582" s="519"/>
      <c r="M582" s="519"/>
      <c r="N582" s="519"/>
      <c r="O582" s="519"/>
      <c r="P582" s="519"/>
      <c r="Q582" s="519"/>
      <c r="R582" s="519"/>
      <c r="S582" s="519"/>
      <c r="T582" s="519"/>
      <c r="U582" s="519"/>
      <c r="V582" s="519"/>
      <c r="W582" s="519"/>
      <c r="X582" s="519"/>
      <c r="Y582" s="519"/>
      <c r="Z582" s="519"/>
      <c r="AA582" s="519"/>
      <c r="AB582" s="526"/>
      <c r="AC582" s="526"/>
      <c r="AD582" s="658"/>
      <c r="AE582" s="658"/>
      <c r="AF582" s="658"/>
      <c r="AG582" s="526">
        <v>0</v>
      </c>
      <c r="AH582" s="526"/>
      <c r="AI582" s="659" t="e">
        <v>#N/A</v>
      </c>
      <c r="AJ582" s="659"/>
      <c r="AK582" s="659"/>
      <c r="AL582" s="659"/>
      <c r="AM582" s="659"/>
      <c r="AN582" s="659"/>
      <c r="AO582" s="659"/>
      <c r="AP582" s="659"/>
      <c r="AQ582" s="659"/>
      <c r="AR582" s="659"/>
      <c r="AS582" s="659"/>
      <c r="AT582" s="659"/>
      <c r="AU582" s="659"/>
      <c r="AV582" s="659"/>
      <c r="AW582" s="658">
        <v>0</v>
      </c>
      <c r="AX582" s="658"/>
      <c r="AY582" s="658"/>
      <c r="AZ582" s="658"/>
      <c r="BA582" s="658"/>
      <c r="BB582" s="658"/>
      <c r="BC582" s="658">
        <v>0</v>
      </c>
      <c r="BD582" s="658"/>
      <c r="BE582" s="658"/>
      <c r="BF582" s="658">
        <v>182.49</v>
      </c>
      <c r="BG582" s="658"/>
      <c r="BH582" s="658"/>
      <c r="BI582" s="567">
        <v>0</v>
      </c>
      <c r="BJ582" s="567"/>
      <c r="BK582" s="567"/>
      <c r="BL582" s="567"/>
      <c r="BM582" s="660" t="s">
        <v>932</v>
      </c>
      <c r="BN582" s="660"/>
      <c r="BO582" s="660"/>
      <c r="BP582" s="660"/>
      <c r="BQ582" s="568" t="s">
        <v>932</v>
      </c>
      <c r="BR582" s="568"/>
      <c r="BS582" s="568"/>
      <c r="BT582" s="660" t="s">
        <v>932</v>
      </c>
      <c r="BU582" s="660"/>
      <c r="BV582" s="660"/>
      <c r="BW582" s="660"/>
      <c r="BX582" s="568" t="s">
        <v>932</v>
      </c>
      <c r="BY582" s="568"/>
      <c r="BZ582" s="568"/>
      <c r="CA582" s="660" t="s">
        <v>932</v>
      </c>
      <c r="CB582" s="660"/>
      <c r="CC582" s="660"/>
      <c r="CD582" s="660"/>
      <c r="CE582" s="568">
        <v>0.4</v>
      </c>
      <c r="CF582" s="568"/>
      <c r="CG582" s="568"/>
      <c r="CH582" s="660" t="s">
        <v>932</v>
      </c>
      <c r="CI582" s="660"/>
      <c r="CJ582" s="660"/>
      <c r="CK582" s="660"/>
      <c r="CL582" s="568">
        <v>0.6</v>
      </c>
      <c r="CM582" s="568"/>
      <c r="CN582" s="568"/>
    </row>
    <row r="583" hidden="1" customHeight="1" spans="1:92">
      <c r="A583" s="612"/>
      <c r="B583" s="612"/>
      <c r="C583" s="518"/>
      <c r="D583" s="518"/>
      <c r="E583" s="518"/>
      <c r="F583" s="657"/>
      <c r="G583" s="657"/>
      <c r="H583" s="657"/>
      <c r="I583" s="519"/>
      <c r="J583" s="519"/>
      <c r="K583" s="519"/>
      <c r="L583" s="519"/>
      <c r="M583" s="519"/>
      <c r="N583" s="519"/>
      <c r="O583" s="519"/>
      <c r="P583" s="519"/>
      <c r="Q583" s="519"/>
      <c r="R583" s="519"/>
      <c r="S583" s="519"/>
      <c r="T583" s="519"/>
      <c r="U583" s="519"/>
      <c r="V583" s="519"/>
      <c r="W583" s="519"/>
      <c r="X583" s="519"/>
      <c r="Y583" s="519"/>
      <c r="Z583" s="519"/>
      <c r="AA583" s="519"/>
      <c r="AB583" s="526"/>
      <c r="AC583" s="526"/>
      <c r="AD583" s="658"/>
      <c r="AE583" s="658"/>
      <c r="AF583" s="658"/>
      <c r="AG583" s="526">
        <v>0</v>
      </c>
      <c r="AH583" s="526"/>
      <c r="AI583" s="659" t="e">
        <v>#N/A</v>
      </c>
      <c r="AJ583" s="659"/>
      <c r="AK583" s="659"/>
      <c r="AL583" s="659"/>
      <c r="AM583" s="659"/>
      <c r="AN583" s="659"/>
      <c r="AO583" s="659"/>
      <c r="AP583" s="659"/>
      <c r="AQ583" s="659"/>
      <c r="AR583" s="659"/>
      <c r="AS583" s="659"/>
      <c r="AT583" s="659"/>
      <c r="AU583" s="659"/>
      <c r="AV583" s="659"/>
      <c r="AW583" s="658">
        <v>0</v>
      </c>
      <c r="AX583" s="658"/>
      <c r="AY583" s="658"/>
      <c r="AZ583" s="658"/>
      <c r="BA583" s="658"/>
      <c r="BB583" s="658"/>
      <c r="BC583" s="658">
        <v>0</v>
      </c>
      <c r="BD583" s="658"/>
      <c r="BE583" s="658"/>
      <c r="BF583" s="658">
        <v>182.49</v>
      </c>
      <c r="BG583" s="658"/>
      <c r="BH583" s="658"/>
      <c r="BI583" s="567">
        <v>0</v>
      </c>
      <c r="BJ583" s="567"/>
      <c r="BK583" s="567"/>
      <c r="BL583" s="567"/>
      <c r="BM583" s="660" t="s">
        <v>932</v>
      </c>
      <c r="BN583" s="660"/>
      <c r="BO583" s="660"/>
      <c r="BP583" s="660"/>
      <c r="BQ583" s="568" t="s">
        <v>932</v>
      </c>
      <c r="BR583" s="568"/>
      <c r="BS583" s="568"/>
      <c r="BT583" s="660" t="s">
        <v>932</v>
      </c>
      <c r="BU583" s="660"/>
      <c r="BV583" s="660"/>
      <c r="BW583" s="660"/>
      <c r="BX583" s="568" t="s">
        <v>932</v>
      </c>
      <c r="BY583" s="568"/>
      <c r="BZ583" s="568"/>
      <c r="CA583" s="660" t="s">
        <v>932</v>
      </c>
      <c r="CB583" s="660"/>
      <c r="CC583" s="660"/>
      <c r="CD583" s="660"/>
      <c r="CE583" s="568">
        <v>0.4</v>
      </c>
      <c r="CF583" s="568"/>
      <c r="CG583" s="568"/>
      <c r="CH583" s="660" t="s">
        <v>932</v>
      </c>
      <c r="CI583" s="660"/>
      <c r="CJ583" s="660"/>
      <c r="CK583" s="660"/>
      <c r="CL583" s="568">
        <v>0.6</v>
      </c>
      <c r="CM583" s="568"/>
      <c r="CN583" s="568"/>
    </row>
    <row r="584" customHeight="1" spans="1:92">
      <c r="A584" s="612" t="s">
        <v>1015</v>
      </c>
      <c r="B584" s="612"/>
      <c r="C584" s="518"/>
      <c r="D584" s="518"/>
      <c r="E584" s="518"/>
      <c r="F584" s="657">
        <v>5214001</v>
      </c>
      <c r="G584" s="657"/>
      <c r="H584" s="657"/>
      <c r="I584" s="519" t="s">
        <v>138</v>
      </c>
      <c r="J584" s="519"/>
      <c r="K584" s="519"/>
      <c r="L584" s="519"/>
      <c r="M584" s="519"/>
      <c r="N584" s="519"/>
      <c r="O584" s="519"/>
      <c r="P584" s="519"/>
      <c r="Q584" s="519"/>
      <c r="R584" s="519"/>
      <c r="S584" s="519"/>
      <c r="T584" s="519"/>
      <c r="U584" s="519"/>
      <c r="V584" s="519"/>
      <c r="W584" s="519"/>
      <c r="X584" s="519"/>
      <c r="Y584" s="519"/>
      <c r="Z584" s="519"/>
      <c r="AA584" s="519"/>
      <c r="AB584" s="526" t="s">
        <v>7</v>
      </c>
      <c r="AC584" s="526"/>
      <c r="AD584" s="658">
        <v>7.5</v>
      </c>
      <c r="AE584" s="658"/>
      <c r="AF584" s="658"/>
      <c r="AG584" s="526" t="s">
        <v>1016</v>
      </c>
      <c r="AH584" s="526"/>
      <c r="AI584" s="659" t="s">
        <v>1017</v>
      </c>
      <c r="AJ584" s="659"/>
      <c r="AK584" s="659"/>
      <c r="AL584" s="659"/>
      <c r="AM584" s="659"/>
      <c r="AN584" s="659"/>
      <c r="AO584" s="659"/>
      <c r="AP584" s="659"/>
      <c r="AQ584" s="659"/>
      <c r="AR584" s="659"/>
      <c r="AS584" s="659"/>
      <c r="AT584" s="659"/>
      <c r="AU584" s="659"/>
      <c r="AV584" s="659"/>
      <c r="AW584" s="658">
        <v>1</v>
      </c>
      <c r="AX584" s="658"/>
      <c r="AY584" s="658"/>
      <c r="AZ584" s="658">
        <v>190.9</v>
      </c>
      <c r="BA584" s="658"/>
      <c r="BB584" s="658"/>
      <c r="BC584" s="658">
        <v>0.0392875851231011</v>
      </c>
      <c r="BD584" s="658"/>
      <c r="BE584" s="658"/>
      <c r="BF584" s="658">
        <v>182.49</v>
      </c>
      <c r="BG584" s="658"/>
      <c r="BH584" s="658"/>
      <c r="BI584" s="567">
        <v>0.000215286235536748</v>
      </c>
      <c r="BJ584" s="567"/>
      <c r="BK584" s="567"/>
      <c r="BL584" s="567"/>
      <c r="BM584" s="660" t="s">
        <v>932</v>
      </c>
      <c r="BN584" s="660"/>
      <c r="BO584" s="660"/>
      <c r="BP584" s="660"/>
      <c r="BQ584" s="568" t="s">
        <v>932</v>
      </c>
      <c r="BR584" s="568"/>
      <c r="BS584" s="568"/>
      <c r="BT584" s="660" t="s">
        <v>932</v>
      </c>
      <c r="BU584" s="660"/>
      <c r="BV584" s="660"/>
      <c r="BW584" s="660"/>
      <c r="BX584" s="568" t="s">
        <v>932</v>
      </c>
      <c r="BY584" s="568"/>
      <c r="BZ584" s="568"/>
      <c r="CA584" s="660">
        <v>8.61144942146991e-5</v>
      </c>
      <c r="CB584" s="660"/>
      <c r="CC584" s="660"/>
      <c r="CD584" s="660"/>
      <c r="CE584" s="568">
        <v>0.4</v>
      </c>
      <c r="CF584" s="568"/>
      <c r="CG584" s="568"/>
      <c r="CH584" s="660">
        <v>0.000129171741322049</v>
      </c>
      <c r="CI584" s="660"/>
      <c r="CJ584" s="660"/>
      <c r="CK584" s="660"/>
      <c r="CL584" s="568">
        <v>0.6</v>
      </c>
      <c r="CM584" s="568"/>
      <c r="CN584" s="568"/>
    </row>
    <row r="585" customHeight="1" spans="1:92">
      <c r="A585" s="612"/>
      <c r="B585" s="612"/>
      <c r="C585" s="518"/>
      <c r="D585" s="518"/>
      <c r="E585" s="518"/>
      <c r="F585" s="657"/>
      <c r="G585" s="657"/>
      <c r="H585" s="657"/>
      <c r="I585" s="519"/>
      <c r="J585" s="519"/>
      <c r="K585" s="519"/>
      <c r="L585" s="519"/>
      <c r="M585" s="519"/>
      <c r="N585" s="519"/>
      <c r="O585" s="519"/>
      <c r="P585" s="519"/>
      <c r="Q585" s="519"/>
      <c r="R585" s="519"/>
      <c r="S585" s="519"/>
      <c r="T585" s="519"/>
      <c r="U585" s="519"/>
      <c r="V585" s="519"/>
      <c r="W585" s="519"/>
      <c r="X585" s="519"/>
      <c r="Y585" s="519"/>
      <c r="Z585" s="519"/>
      <c r="AA585" s="519"/>
      <c r="AB585" s="526"/>
      <c r="AC585" s="526"/>
      <c r="AD585" s="658"/>
      <c r="AE585" s="658"/>
      <c r="AF585" s="658"/>
      <c r="AG585" s="526" t="s">
        <v>935</v>
      </c>
      <c r="AH585" s="526"/>
      <c r="AI585" s="659" t="s">
        <v>936</v>
      </c>
      <c r="AJ585" s="659"/>
      <c r="AK585" s="659"/>
      <c r="AL585" s="659"/>
      <c r="AM585" s="659"/>
      <c r="AN585" s="659"/>
      <c r="AO585" s="659"/>
      <c r="AP585" s="659"/>
      <c r="AQ585" s="659"/>
      <c r="AR585" s="659"/>
      <c r="AS585" s="659"/>
      <c r="AT585" s="659"/>
      <c r="AU585" s="659"/>
      <c r="AV585" s="659"/>
      <c r="AW585" s="658">
        <v>4</v>
      </c>
      <c r="AX585" s="658"/>
      <c r="AY585" s="658"/>
      <c r="AZ585" s="658"/>
      <c r="BA585" s="658"/>
      <c r="BB585" s="658"/>
      <c r="BC585" s="658">
        <v>0.157150340492404</v>
      </c>
      <c r="BD585" s="658"/>
      <c r="BE585" s="658"/>
      <c r="BF585" s="658">
        <v>182.49</v>
      </c>
      <c r="BG585" s="658"/>
      <c r="BH585" s="658"/>
      <c r="BI585" s="567">
        <v>0.000861144942146991</v>
      </c>
      <c r="BJ585" s="567"/>
      <c r="BK585" s="567"/>
      <c r="BL585" s="567"/>
      <c r="BM585" s="660" t="s">
        <v>932</v>
      </c>
      <c r="BN585" s="660"/>
      <c r="BO585" s="660"/>
      <c r="BP585" s="660"/>
      <c r="BQ585" s="568" t="s">
        <v>932</v>
      </c>
      <c r="BR585" s="568"/>
      <c r="BS585" s="568"/>
      <c r="BT585" s="660" t="s">
        <v>932</v>
      </c>
      <c r="BU585" s="660"/>
      <c r="BV585" s="660"/>
      <c r="BW585" s="660"/>
      <c r="BX585" s="568" t="s">
        <v>932</v>
      </c>
      <c r="BY585" s="568"/>
      <c r="BZ585" s="568"/>
      <c r="CA585" s="660">
        <v>0.000344457976858796</v>
      </c>
      <c r="CB585" s="660"/>
      <c r="CC585" s="660"/>
      <c r="CD585" s="660"/>
      <c r="CE585" s="568">
        <v>0.4</v>
      </c>
      <c r="CF585" s="568"/>
      <c r="CG585" s="568"/>
      <c r="CH585" s="660">
        <v>0.000516686965288195</v>
      </c>
      <c r="CI585" s="660"/>
      <c r="CJ585" s="660"/>
      <c r="CK585" s="660"/>
      <c r="CL585" s="568">
        <v>0.6</v>
      </c>
      <c r="CM585" s="568"/>
      <c r="CN585" s="568"/>
    </row>
    <row r="586" hidden="1" customHeight="1" spans="1:92">
      <c r="A586" s="612"/>
      <c r="B586" s="612"/>
      <c r="C586" s="518"/>
      <c r="D586" s="518"/>
      <c r="E586" s="518"/>
      <c r="F586" s="657"/>
      <c r="G586" s="657"/>
      <c r="H586" s="657"/>
      <c r="I586" s="519"/>
      <c r="J586" s="519"/>
      <c r="K586" s="519"/>
      <c r="L586" s="519"/>
      <c r="M586" s="519"/>
      <c r="N586" s="519"/>
      <c r="O586" s="519"/>
      <c r="P586" s="519"/>
      <c r="Q586" s="519"/>
      <c r="R586" s="519"/>
      <c r="S586" s="519"/>
      <c r="T586" s="519"/>
      <c r="U586" s="519"/>
      <c r="V586" s="519"/>
      <c r="W586" s="519"/>
      <c r="X586" s="519"/>
      <c r="Y586" s="519"/>
      <c r="Z586" s="519"/>
      <c r="AA586" s="519"/>
      <c r="AB586" s="526"/>
      <c r="AC586" s="526"/>
      <c r="AD586" s="658"/>
      <c r="AE586" s="658"/>
      <c r="AF586" s="658"/>
      <c r="AG586" s="526">
        <v>0</v>
      </c>
      <c r="AH586" s="526"/>
      <c r="AI586" s="659" t="e">
        <v>#N/A</v>
      </c>
      <c r="AJ586" s="659"/>
      <c r="AK586" s="659"/>
      <c r="AL586" s="659"/>
      <c r="AM586" s="659"/>
      <c r="AN586" s="659"/>
      <c r="AO586" s="659"/>
      <c r="AP586" s="659"/>
      <c r="AQ586" s="659"/>
      <c r="AR586" s="659"/>
      <c r="AS586" s="659"/>
      <c r="AT586" s="659"/>
      <c r="AU586" s="659"/>
      <c r="AV586" s="659"/>
      <c r="AW586" s="658">
        <v>0</v>
      </c>
      <c r="AX586" s="658"/>
      <c r="AY586" s="658"/>
      <c r="AZ586" s="658"/>
      <c r="BA586" s="658"/>
      <c r="BB586" s="658"/>
      <c r="BC586" s="658">
        <v>0</v>
      </c>
      <c r="BD586" s="658"/>
      <c r="BE586" s="658"/>
      <c r="BF586" s="658">
        <v>182.49</v>
      </c>
      <c r="BG586" s="658"/>
      <c r="BH586" s="658"/>
      <c r="BI586" s="567">
        <v>0</v>
      </c>
      <c r="BJ586" s="567"/>
      <c r="BK586" s="567"/>
      <c r="BL586" s="567"/>
      <c r="BM586" s="660" t="s">
        <v>932</v>
      </c>
      <c r="BN586" s="660"/>
      <c r="BO586" s="660"/>
      <c r="BP586" s="660"/>
      <c r="BQ586" s="568" t="s">
        <v>932</v>
      </c>
      <c r="BR586" s="568"/>
      <c r="BS586" s="568"/>
      <c r="BT586" s="660" t="s">
        <v>932</v>
      </c>
      <c r="BU586" s="660"/>
      <c r="BV586" s="660"/>
      <c r="BW586" s="660"/>
      <c r="BX586" s="568" t="s">
        <v>932</v>
      </c>
      <c r="BY586" s="568"/>
      <c r="BZ586" s="568"/>
      <c r="CA586" s="660" t="s">
        <v>932</v>
      </c>
      <c r="CB586" s="660"/>
      <c r="CC586" s="660"/>
      <c r="CD586" s="660"/>
      <c r="CE586" s="568">
        <v>0.4</v>
      </c>
      <c r="CF586" s="568"/>
      <c r="CG586" s="568"/>
      <c r="CH586" s="660" t="s">
        <v>932</v>
      </c>
      <c r="CI586" s="660"/>
      <c r="CJ586" s="660"/>
      <c r="CK586" s="660"/>
      <c r="CL586" s="568">
        <v>0.6</v>
      </c>
      <c r="CM586" s="568"/>
      <c r="CN586" s="568"/>
    </row>
    <row r="587" hidden="1" customHeight="1" spans="1:92">
      <c r="A587" s="612"/>
      <c r="B587" s="612"/>
      <c r="C587" s="518"/>
      <c r="D587" s="518"/>
      <c r="E587" s="518"/>
      <c r="F587" s="657"/>
      <c r="G587" s="657"/>
      <c r="H587" s="657"/>
      <c r="I587" s="519"/>
      <c r="J587" s="519"/>
      <c r="K587" s="519"/>
      <c r="L587" s="519"/>
      <c r="M587" s="519"/>
      <c r="N587" s="519"/>
      <c r="O587" s="519"/>
      <c r="P587" s="519"/>
      <c r="Q587" s="519"/>
      <c r="R587" s="519"/>
      <c r="S587" s="519"/>
      <c r="T587" s="519"/>
      <c r="U587" s="519"/>
      <c r="V587" s="519"/>
      <c r="W587" s="519"/>
      <c r="X587" s="519"/>
      <c r="Y587" s="519"/>
      <c r="Z587" s="519"/>
      <c r="AA587" s="519"/>
      <c r="AB587" s="526"/>
      <c r="AC587" s="526"/>
      <c r="AD587" s="658"/>
      <c r="AE587" s="658"/>
      <c r="AF587" s="658"/>
      <c r="AG587" s="526">
        <v>0</v>
      </c>
      <c r="AH587" s="526"/>
      <c r="AI587" s="659" t="e">
        <v>#N/A</v>
      </c>
      <c r="AJ587" s="659"/>
      <c r="AK587" s="659"/>
      <c r="AL587" s="659"/>
      <c r="AM587" s="659"/>
      <c r="AN587" s="659"/>
      <c r="AO587" s="659"/>
      <c r="AP587" s="659"/>
      <c r="AQ587" s="659"/>
      <c r="AR587" s="659"/>
      <c r="AS587" s="659"/>
      <c r="AT587" s="659"/>
      <c r="AU587" s="659"/>
      <c r="AV587" s="659"/>
      <c r="AW587" s="658">
        <v>0</v>
      </c>
      <c r="AX587" s="658"/>
      <c r="AY587" s="658"/>
      <c r="AZ587" s="658"/>
      <c r="BA587" s="658"/>
      <c r="BB587" s="658"/>
      <c r="BC587" s="658">
        <v>0</v>
      </c>
      <c r="BD587" s="658"/>
      <c r="BE587" s="658"/>
      <c r="BF587" s="658">
        <v>182.49</v>
      </c>
      <c r="BG587" s="658"/>
      <c r="BH587" s="658"/>
      <c r="BI587" s="567">
        <v>0</v>
      </c>
      <c r="BJ587" s="567"/>
      <c r="BK587" s="567"/>
      <c r="BL587" s="567"/>
      <c r="BM587" s="660" t="s">
        <v>932</v>
      </c>
      <c r="BN587" s="660"/>
      <c r="BO587" s="660"/>
      <c r="BP587" s="660"/>
      <c r="BQ587" s="568" t="s">
        <v>932</v>
      </c>
      <c r="BR587" s="568"/>
      <c r="BS587" s="568"/>
      <c r="BT587" s="660" t="s">
        <v>932</v>
      </c>
      <c r="BU587" s="660"/>
      <c r="BV587" s="660"/>
      <c r="BW587" s="660"/>
      <c r="BX587" s="568" t="s">
        <v>932</v>
      </c>
      <c r="BY587" s="568"/>
      <c r="BZ587" s="568"/>
      <c r="CA587" s="660" t="s">
        <v>932</v>
      </c>
      <c r="CB587" s="660"/>
      <c r="CC587" s="660"/>
      <c r="CD587" s="660"/>
      <c r="CE587" s="568">
        <v>0.4</v>
      </c>
      <c r="CF587" s="568"/>
      <c r="CG587" s="568"/>
      <c r="CH587" s="660" t="s">
        <v>932</v>
      </c>
      <c r="CI587" s="660"/>
      <c r="CJ587" s="660"/>
      <c r="CK587" s="660"/>
      <c r="CL587" s="568">
        <v>0.6</v>
      </c>
      <c r="CM587" s="568"/>
      <c r="CN587" s="568"/>
    </row>
    <row r="588" hidden="1" customHeight="1" spans="1:92">
      <c r="A588" s="612"/>
      <c r="B588" s="612"/>
      <c r="C588" s="518"/>
      <c r="D588" s="518"/>
      <c r="E588" s="518"/>
      <c r="F588" s="657"/>
      <c r="G588" s="657"/>
      <c r="H588" s="657"/>
      <c r="I588" s="519"/>
      <c r="J588" s="519"/>
      <c r="K588" s="519"/>
      <c r="L588" s="519"/>
      <c r="M588" s="519"/>
      <c r="N588" s="519"/>
      <c r="O588" s="519"/>
      <c r="P588" s="519"/>
      <c r="Q588" s="519"/>
      <c r="R588" s="519"/>
      <c r="S588" s="519"/>
      <c r="T588" s="519"/>
      <c r="U588" s="519"/>
      <c r="V588" s="519"/>
      <c r="W588" s="519"/>
      <c r="X588" s="519"/>
      <c r="Y588" s="519"/>
      <c r="Z588" s="519"/>
      <c r="AA588" s="519"/>
      <c r="AB588" s="526"/>
      <c r="AC588" s="526"/>
      <c r="AD588" s="658"/>
      <c r="AE588" s="658"/>
      <c r="AF588" s="658"/>
      <c r="AG588" s="526">
        <v>0</v>
      </c>
      <c r="AH588" s="526"/>
      <c r="AI588" s="659" t="e">
        <v>#N/A</v>
      </c>
      <c r="AJ588" s="659"/>
      <c r="AK588" s="659"/>
      <c r="AL588" s="659"/>
      <c r="AM588" s="659"/>
      <c r="AN588" s="659"/>
      <c r="AO588" s="659"/>
      <c r="AP588" s="659"/>
      <c r="AQ588" s="659"/>
      <c r="AR588" s="659"/>
      <c r="AS588" s="659"/>
      <c r="AT588" s="659"/>
      <c r="AU588" s="659"/>
      <c r="AV588" s="659"/>
      <c r="AW588" s="658">
        <v>0</v>
      </c>
      <c r="AX588" s="658"/>
      <c r="AY588" s="658"/>
      <c r="AZ588" s="658"/>
      <c r="BA588" s="658"/>
      <c r="BB588" s="658"/>
      <c r="BC588" s="658">
        <v>0</v>
      </c>
      <c r="BD588" s="658"/>
      <c r="BE588" s="658"/>
      <c r="BF588" s="658">
        <v>182.49</v>
      </c>
      <c r="BG588" s="658"/>
      <c r="BH588" s="658"/>
      <c r="BI588" s="567">
        <v>0</v>
      </c>
      <c r="BJ588" s="567"/>
      <c r="BK588" s="567"/>
      <c r="BL588" s="567"/>
      <c r="BM588" s="660" t="s">
        <v>932</v>
      </c>
      <c r="BN588" s="660"/>
      <c r="BO588" s="660"/>
      <c r="BP588" s="660"/>
      <c r="BQ588" s="568" t="s">
        <v>932</v>
      </c>
      <c r="BR588" s="568"/>
      <c r="BS588" s="568"/>
      <c r="BT588" s="660" t="s">
        <v>932</v>
      </c>
      <c r="BU588" s="660"/>
      <c r="BV588" s="660"/>
      <c r="BW588" s="660"/>
      <c r="BX588" s="568" t="s">
        <v>932</v>
      </c>
      <c r="BY588" s="568"/>
      <c r="BZ588" s="568"/>
      <c r="CA588" s="660" t="s">
        <v>932</v>
      </c>
      <c r="CB588" s="660"/>
      <c r="CC588" s="660"/>
      <c r="CD588" s="660"/>
      <c r="CE588" s="568">
        <v>0.4</v>
      </c>
      <c r="CF588" s="568"/>
      <c r="CG588" s="568"/>
      <c r="CH588" s="660" t="s">
        <v>932</v>
      </c>
      <c r="CI588" s="660"/>
      <c r="CJ588" s="660"/>
      <c r="CK588" s="660"/>
      <c r="CL588" s="568">
        <v>0.6</v>
      </c>
      <c r="CM588" s="568"/>
      <c r="CN588" s="568"/>
    </row>
    <row r="589" hidden="1" customHeight="1" spans="1:92">
      <c r="A589" s="612"/>
      <c r="B589" s="612"/>
      <c r="C589" s="518"/>
      <c r="D589" s="518"/>
      <c r="E589" s="518"/>
      <c r="F589" s="657"/>
      <c r="G589" s="657"/>
      <c r="H589" s="657"/>
      <c r="I589" s="519"/>
      <c r="J589" s="519"/>
      <c r="K589" s="519"/>
      <c r="L589" s="519"/>
      <c r="M589" s="519"/>
      <c r="N589" s="519"/>
      <c r="O589" s="519"/>
      <c r="P589" s="519"/>
      <c r="Q589" s="519"/>
      <c r="R589" s="519"/>
      <c r="S589" s="519"/>
      <c r="T589" s="519"/>
      <c r="U589" s="519"/>
      <c r="V589" s="519"/>
      <c r="W589" s="519"/>
      <c r="X589" s="519"/>
      <c r="Y589" s="519"/>
      <c r="Z589" s="519"/>
      <c r="AA589" s="519"/>
      <c r="AB589" s="526"/>
      <c r="AC589" s="526"/>
      <c r="AD589" s="658"/>
      <c r="AE589" s="658"/>
      <c r="AF589" s="658"/>
      <c r="AG589" s="526">
        <v>0</v>
      </c>
      <c r="AH589" s="526"/>
      <c r="AI589" s="659" t="e">
        <v>#N/A</v>
      </c>
      <c r="AJ589" s="659"/>
      <c r="AK589" s="659"/>
      <c r="AL589" s="659"/>
      <c r="AM589" s="659"/>
      <c r="AN589" s="659"/>
      <c r="AO589" s="659"/>
      <c r="AP589" s="659"/>
      <c r="AQ589" s="659"/>
      <c r="AR589" s="659"/>
      <c r="AS589" s="659"/>
      <c r="AT589" s="659"/>
      <c r="AU589" s="659"/>
      <c r="AV589" s="659"/>
      <c r="AW589" s="658">
        <v>0</v>
      </c>
      <c r="AX589" s="658"/>
      <c r="AY589" s="658"/>
      <c r="AZ589" s="658"/>
      <c r="BA589" s="658"/>
      <c r="BB589" s="658"/>
      <c r="BC589" s="658">
        <v>0</v>
      </c>
      <c r="BD589" s="658"/>
      <c r="BE589" s="658"/>
      <c r="BF589" s="658">
        <v>182.49</v>
      </c>
      <c r="BG589" s="658"/>
      <c r="BH589" s="658"/>
      <c r="BI589" s="567">
        <v>0</v>
      </c>
      <c r="BJ589" s="567"/>
      <c r="BK589" s="567"/>
      <c r="BL589" s="567"/>
      <c r="BM589" s="660" t="s">
        <v>932</v>
      </c>
      <c r="BN589" s="660"/>
      <c r="BO589" s="660"/>
      <c r="BP589" s="660"/>
      <c r="BQ589" s="568" t="s">
        <v>932</v>
      </c>
      <c r="BR589" s="568"/>
      <c r="BS589" s="568"/>
      <c r="BT589" s="660" t="s">
        <v>932</v>
      </c>
      <c r="BU589" s="660"/>
      <c r="BV589" s="660"/>
      <c r="BW589" s="660"/>
      <c r="BX589" s="568" t="s">
        <v>932</v>
      </c>
      <c r="BY589" s="568"/>
      <c r="BZ589" s="568"/>
      <c r="CA589" s="660" t="s">
        <v>932</v>
      </c>
      <c r="CB589" s="660"/>
      <c r="CC589" s="660"/>
      <c r="CD589" s="660"/>
      <c r="CE589" s="568">
        <v>0.4</v>
      </c>
      <c r="CF589" s="568"/>
      <c r="CG589" s="568"/>
      <c r="CH589" s="660" t="s">
        <v>932</v>
      </c>
      <c r="CI589" s="660"/>
      <c r="CJ589" s="660"/>
      <c r="CK589" s="660"/>
      <c r="CL589" s="568">
        <v>0.6</v>
      </c>
      <c r="CM589" s="568"/>
      <c r="CN589" s="568"/>
    </row>
    <row r="590" hidden="1" customHeight="1" spans="1:92">
      <c r="A590" s="612"/>
      <c r="B590" s="612"/>
      <c r="C590" s="518"/>
      <c r="D590" s="518"/>
      <c r="E590" s="518"/>
      <c r="F590" s="657"/>
      <c r="G590" s="657"/>
      <c r="H590" s="657"/>
      <c r="I590" s="519"/>
      <c r="J590" s="519"/>
      <c r="K590" s="519"/>
      <c r="L590" s="519"/>
      <c r="M590" s="519"/>
      <c r="N590" s="519"/>
      <c r="O590" s="519"/>
      <c r="P590" s="519"/>
      <c r="Q590" s="519"/>
      <c r="R590" s="519"/>
      <c r="S590" s="519"/>
      <c r="T590" s="519"/>
      <c r="U590" s="519"/>
      <c r="V590" s="519"/>
      <c r="W590" s="519"/>
      <c r="X590" s="519"/>
      <c r="Y590" s="519"/>
      <c r="Z590" s="519"/>
      <c r="AA590" s="519"/>
      <c r="AB590" s="526"/>
      <c r="AC590" s="526"/>
      <c r="AD590" s="658"/>
      <c r="AE590" s="658"/>
      <c r="AF590" s="658"/>
      <c r="AG590" s="526">
        <v>0</v>
      </c>
      <c r="AH590" s="526"/>
      <c r="AI590" s="659" t="e">
        <v>#N/A</v>
      </c>
      <c r="AJ590" s="659"/>
      <c r="AK590" s="659"/>
      <c r="AL590" s="659"/>
      <c r="AM590" s="659"/>
      <c r="AN590" s="659"/>
      <c r="AO590" s="659"/>
      <c r="AP590" s="659"/>
      <c r="AQ590" s="659"/>
      <c r="AR590" s="659"/>
      <c r="AS590" s="659"/>
      <c r="AT590" s="659"/>
      <c r="AU590" s="659"/>
      <c r="AV590" s="659"/>
      <c r="AW590" s="658">
        <v>0</v>
      </c>
      <c r="AX590" s="658"/>
      <c r="AY590" s="658"/>
      <c r="AZ590" s="658"/>
      <c r="BA590" s="658"/>
      <c r="BB590" s="658"/>
      <c r="BC590" s="658">
        <v>0</v>
      </c>
      <c r="BD590" s="658"/>
      <c r="BE590" s="658"/>
      <c r="BF590" s="658">
        <v>182.49</v>
      </c>
      <c r="BG590" s="658"/>
      <c r="BH590" s="658"/>
      <c r="BI590" s="567">
        <v>0</v>
      </c>
      <c r="BJ590" s="567"/>
      <c r="BK590" s="567"/>
      <c r="BL590" s="567"/>
      <c r="BM590" s="660" t="s">
        <v>932</v>
      </c>
      <c r="BN590" s="660"/>
      <c r="BO590" s="660"/>
      <c r="BP590" s="660"/>
      <c r="BQ590" s="568" t="s">
        <v>932</v>
      </c>
      <c r="BR590" s="568"/>
      <c r="BS590" s="568"/>
      <c r="BT590" s="660" t="s">
        <v>932</v>
      </c>
      <c r="BU590" s="660"/>
      <c r="BV590" s="660"/>
      <c r="BW590" s="660"/>
      <c r="BX590" s="568" t="s">
        <v>932</v>
      </c>
      <c r="BY590" s="568"/>
      <c r="BZ590" s="568"/>
      <c r="CA590" s="660" t="s">
        <v>932</v>
      </c>
      <c r="CB590" s="660"/>
      <c r="CC590" s="660"/>
      <c r="CD590" s="660"/>
      <c r="CE590" s="568">
        <v>0.4</v>
      </c>
      <c r="CF590" s="568"/>
      <c r="CG590" s="568"/>
      <c r="CH590" s="660" t="s">
        <v>932</v>
      </c>
      <c r="CI590" s="660"/>
      <c r="CJ590" s="660"/>
      <c r="CK590" s="660"/>
      <c r="CL590" s="568">
        <v>0.6</v>
      </c>
      <c r="CM590" s="568"/>
      <c r="CN590" s="568"/>
    </row>
    <row r="591" hidden="1" customHeight="1" spans="1:92">
      <c r="A591" s="612"/>
      <c r="B591" s="612"/>
      <c r="C591" s="518"/>
      <c r="D591" s="518"/>
      <c r="E591" s="518"/>
      <c r="F591" s="657"/>
      <c r="G591" s="657"/>
      <c r="H591" s="657"/>
      <c r="I591" s="519"/>
      <c r="J591" s="519"/>
      <c r="K591" s="519"/>
      <c r="L591" s="519"/>
      <c r="M591" s="519"/>
      <c r="N591" s="519"/>
      <c r="O591" s="519"/>
      <c r="P591" s="519"/>
      <c r="Q591" s="519"/>
      <c r="R591" s="519"/>
      <c r="S591" s="519"/>
      <c r="T591" s="519"/>
      <c r="U591" s="519"/>
      <c r="V591" s="519"/>
      <c r="W591" s="519"/>
      <c r="X591" s="519"/>
      <c r="Y591" s="519"/>
      <c r="Z591" s="519"/>
      <c r="AA591" s="519"/>
      <c r="AB591" s="526"/>
      <c r="AC591" s="526"/>
      <c r="AD591" s="658"/>
      <c r="AE591" s="658"/>
      <c r="AF591" s="658"/>
      <c r="AG591" s="526">
        <v>0</v>
      </c>
      <c r="AH591" s="526"/>
      <c r="AI591" s="659" t="e">
        <v>#N/A</v>
      </c>
      <c r="AJ591" s="659"/>
      <c r="AK591" s="659"/>
      <c r="AL591" s="659"/>
      <c r="AM591" s="659"/>
      <c r="AN591" s="659"/>
      <c r="AO591" s="659"/>
      <c r="AP591" s="659"/>
      <c r="AQ591" s="659"/>
      <c r="AR591" s="659"/>
      <c r="AS591" s="659"/>
      <c r="AT591" s="659"/>
      <c r="AU591" s="659"/>
      <c r="AV591" s="659"/>
      <c r="AW591" s="658">
        <v>0</v>
      </c>
      <c r="AX591" s="658"/>
      <c r="AY591" s="658"/>
      <c r="AZ591" s="658"/>
      <c r="BA591" s="658"/>
      <c r="BB591" s="658"/>
      <c r="BC591" s="658">
        <v>0</v>
      </c>
      <c r="BD591" s="658"/>
      <c r="BE591" s="658"/>
      <c r="BF591" s="658">
        <v>182.49</v>
      </c>
      <c r="BG591" s="658"/>
      <c r="BH591" s="658"/>
      <c r="BI591" s="567">
        <v>0</v>
      </c>
      <c r="BJ591" s="567"/>
      <c r="BK591" s="567"/>
      <c r="BL591" s="567"/>
      <c r="BM591" s="660" t="s">
        <v>932</v>
      </c>
      <c r="BN591" s="660"/>
      <c r="BO591" s="660"/>
      <c r="BP591" s="660"/>
      <c r="BQ591" s="568" t="s">
        <v>932</v>
      </c>
      <c r="BR591" s="568"/>
      <c r="BS591" s="568"/>
      <c r="BT591" s="660" t="s">
        <v>932</v>
      </c>
      <c r="BU591" s="660"/>
      <c r="BV591" s="660"/>
      <c r="BW591" s="660"/>
      <c r="BX591" s="568" t="s">
        <v>932</v>
      </c>
      <c r="BY591" s="568"/>
      <c r="BZ591" s="568"/>
      <c r="CA591" s="660" t="s">
        <v>932</v>
      </c>
      <c r="CB591" s="660"/>
      <c r="CC591" s="660"/>
      <c r="CD591" s="660"/>
      <c r="CE591" s="568">
        <v>0.4</v>
      </c>
      <c r="CF591" s="568"/>
      <c r="CG591" s="568"/>
      <c r="CH591" s="660" t="s">
        <v>932</v>
      </c>
      <c r="CI591" s="660"/>
      <c r="CJ591" s="660"/>
      <c r="CK591" s="660"/>
      <c r="CL591" s="568">
        <v>0.6</v>
      </c>
      <c r="CM591" s="568"/>
      <c r="CN591" s="568"/>
    </row>
    <row r="592" customHeight="1" spans="1:92">
      <c r="A592" s="612" t="s">
        <v>1018</v>
      </c>
      <c r="B592" s="612"/>
      <c r="C592" s="518"/>
      <c r="D592" s="518"/>
      <c r="E592" s="518"/>
      <c r="F592" s="657">
        <v>2007971</v>
      </c>
      <c r="G592" s="657"/>
      <c r="H592" s="657"/>
      <c r="I592" s="519" t="s">
        <v>140</v>
      </c>
      <c r="J592" s="519"/>
      <c r="K592" s="519"/>
      <c r="L592" s="519"/>
      <c r="M592" s="519"/>
      <c r="N592" s="519"/>
      <c r="O592" s="519"/>
      <c r="P592" s="519"/>
      <c r="Q592" s="519"/>
      <c r="R592" s="519"/>
      <c r="S592" s="519"/>
      <c r="T592" s="519"/>
      <c r="U592" s="519"/>
      <c r="V592" s="519"/>
      <c r="W592" s="519"/>
      <c r="X592" s="519"/>
      <c r="Y592" s="519"/>
      <c r="Z592" s="519"/>
      <c r="AA592" s="519"/>
      <c r="AB592" s="526" t="s">
        <v>9</v>
      </c>
      <c r="AC592" s="526"/>
      <c r="AD592" s="658">
        <v>10</v>
      </c>
      <c r="AE592" s="658"/>
      <c r="AF592" s="658"/>
      <c r="AG592" s="526" t="s">
        <v>935</v>
      </c>
      <c r="AH592" s="526"/>
      <c r="AI592" s="659" t="s">
        <v>936</v>
      </c>
      <c r="AJ592" s="659"/>
      <c r="AK592" s="659"/>
      <c r="AL592" s="659"/>
      <c r="AM592" s="659"/>
      <c r="AN592" s="659"/>
      <c r="AO592" s="659"/>
      <c r="AP592" s="659"/>
      <c r="AQ592" s="659"/>
      <c r="AR592" s="659"/>
      <c r="AS592" s="659"/>
      <c r="AT592" s="659"/>
      <c r="AU592" s="659"/>
      <c r="AV592" s="659"/>
      <c r="AW592" s="658">
        <v>1</v>
      </c>
      <c r="AX592" s="658"/>
      <c r="AY592" s="658"/>
      <c r="AZ592" s="658">
        <v>2</v>
      </c>
      <c r="BA592" s="658"/>
      <c r="BB592" s="658"/>
      <c r="BC592" s="658">
        <v>5</v>
      </c>
      <c r="BD592" s="658"/>
      <c r="BE592" s="658"/>
      <c r="BF592" s="658">
        <v>182.49</v>
      </c>
      <c r="BG592" s="658"/>
      <c r="BH592" s="658"/>
      <c r="BI592" s="567">
        <v>0.0273987615759768</v>
      </c>
      <c r="BJ592" s="567"/>
      <c r="BK592" s="567"/>
      <c r="BL592" s="567"/>
      <c r="BM592" s="660" t="s">
        <v>932</v>
      </c>
      <c r="BN592" s="660"/>
      <c r="BO592" s="660"/>
      <c r="BP592" s="660"/>
      <c r="BQ592" s="568" t="s">
        <v>932</v>
      </c>
      <c r="BR592" s="568"/>
      <c r="BS592" s="568"/>
      <c r="BT592" s="660" t="s">
        <v>932</v>
      </c>
      <c r="BU592" s="660"/>
      <c r="BV592" s="660"/>
      <c r="BW592" s="660"/>
      <c r="BX592" s="568" t="s">
        <v>932</v>
      </c>
      <c r="BY592" s="568"/>
      <c r="BZ592" s="568"/>
      <c r="CA592" s="660" t="s">
        <v>932</v>
      </c>
      <c r="CB592" s="660"/>
      <c r="CC592" s="660"/>
      <c r="CD592" s="660"/>
      <c r="CE592" s="568" t="s">
        <v>932</v>
      </c>
      <c r="CF592" s="568"/>
      <c r="CG592" s="568"/>
      <c r="CH592" s="660">
        <v>0.0273987615759768</v>
      </c>
      <c r="CI592" s="660"/>
      <c r="CJ592" s="660"/>
      <c r="CK592" s="660"/>
      <c r="CL592" s="568">
        <v>1</v>
      </c>
      <c r="CM592" s="568"/>
      <c r="CN592" s="568"/>
    </row>
    <row r="593" hidden="1" customHeight="1" spans="1:92">
      <c r="A593" s="612"/>
      <c r="B593" s="612"/>
      <c r="C593" s="518"/>
      <c r="D593" s="518"/>
      <c r="E593" s="518"/>
      <c r="F593" s="657"/>
      <c r="G593" s="657"/>
      <c r="H593" s="657"/>
      <c r="I593" s="519"/>
      <c r="J593" s="519"/>
      <c r="K593" s="519"/>
      <c r="L593" s="519"/>
      <c r="M593" s="519"/>
      <c r="N593" s="519"/>
      <c r="O593" s="519"/>
      <c r="P593" s="519"/>
      <c r="Q593" s="519"/>
      <c r="R593" s="519"/>
      <c r="S593" s="519"/>
      <c r="T593" s="519"/>
      <c r="U593" s="519"/>
      <c r="V593" s="519"/>
      <c r="W593" s="519"/>
      <c r="X593" s="519"/>
      <c r="Y593" s="519"/>
      <c r="Z593" s="519"/>
      <c r="AA593" s="519"/>
      <c r="AB593" s="526"/>
      <c r="AC593" s="526"/>
      <c r="AD593" s="658"/>
      <c r="AE593" s="658"/>
      <c r="AF593" s="658"/>
      <c r="AG593" s="526">
        <v>0</v>
      </c>
      <c r="AH593" s="526"/>
      <c r="AI593" s="659" t="e">
        <v>#N/A</v>
      </c>
      <c r="AJ593" s="659"/>
      <c r="AK593" s="659"/>
      <c r="AL593" s="659"/>
      <c r="AM593" s="659"/>
      <c r="AN593" s="659"/>
      <c r="AO593" s="659"/>
      <c r="AP593" s="659"/>
      <c r="AQ593" s="659"/>
      <c r="AR593" s="659"/>
      <c r="AS593" s="659"/>
      <c r="AT593" s="659"/>
      <c r="AU593" s="659"/>
      <c r="AV593" s="659"/>
      <c r="AW593" s="658">
        <v>0</v>
      </c>
      <c r="AX593" s="658"/>
      <c r="AY593" s="658"/>
      <c r="AZ593" s="658"/>
      <c r="BA593" s="658"/>
      <c r="BB593" s="658"/>
      <c r="BC593" s="658">
        <v>0</v>
      </c>
      <c r="BD593" s="658"/>
      <c r="BE593" s="658"/>
      <c r="BF593" s="658">
        <v>182.49</v>
      </c>
      <c r="BG593" s="658"/>
      <c r="BH593" s="658"/>
      <c r="BI593" s="567">
        <v>0</v>
      </c>
      <c r="BJ593" s="567"/>
      <c r="BK593" s="567"/>
      <c r="BL593" s="567"/>
      <c r="BM593" s="660" t="s">
        <v>932</v>
      </c>
      <c r="BN593" s="660"/>
      <c r="BO593" s="660"/>
      <c r="BP593" s="660"/>
      <c r="BQ593" s="568" t="s">
        <v>932</v>
      </c>
      <c r="BR593" s="568"/>
      <c r="BS593" s="568"/>
      <c r="BT593" s="660" t="s">
        <v>932</v>
      </c>
      <c r="BU593" s="660"/>
      <c r="BV593" s="660"/>
      <c r="BW593" s="660"/>
      <c r="BX593" s="568" t="s">
        <v>932</v>
      </c>
      <c r="BY593" s="568"/>
      <c r="BZ593" s="568"/>
      <c r="CA593" s="660" t="s">
        <v>932</v>
      </c>
      <c r="CB593" s="660"/>
      <c r="CC593" s="660"/>
      <c r="CD593" s="660"/>
      <c r="CE593" s="568" t="s">
        <v>932</v>
      </c>
      <c r="CF593" s="568"/>
      <c r="CG593" s="568"/>
      <c r="CH593" s="660" t="s">
        <v>932</v>
      </c>
      <c r="CI593" s="660"/>
      <c r="CJ593" s="660"/>
      <c r="CK593" s="660"/>
      <c r="CL593" s="568">
        <v>1</v>
      </c>
      <c r="CM593" s="568"/>
      <c r="CN593" s="568"/>
    </row>
    <row r="594" hidden="1" customHeight="1" spans="1:92">
      <c r="A594" s="612"/>
      <c r="B594" s="612"/>
      <c r="C594" s="518"/>
      <c r="D594" s="518"/>
      <c r="E594" s="518"/>
      <c r="F594" s="657"/>
      <c r="G594" s="657"/>
      <c r="H594" s="657"/>
      <c r="I594" s="519"/>
      <c r="J594" s="519"/>
      <c r="K594" s="519"/>
      <c r="L594" s="519"/>
      <c r="M594" s="519"/>
      <c r="N594" s="519"/>
      <c r="O594" s="519"/>
      <c r="P594" s="519"/>
      <c r="Q594" s="519"/>
      <c r="R594" s="519"/>
      <c r="S594" s="519"/>
      <c r="T594" s="519"/>
      <c r="U594" s="519"/>
      <c r="V594" s="519"/>
      <c r="W594" s="519"/>
      <c r="X594" s="519"/>
      <c r="Y594" s="519"/>
      <c r="Z594" s="519"/>
      <c r="AA594" s="519"/>
      <c r="AB594" s="526"/>
      <c r="AC594" s="526"/>
      <c r="AD594" s="658"/>
      <c r="AE594" s="658"/>
      <c r="AF594" s="658"/>
      <c r="AG594" s="526">
        <v>0</v>
      </c>
      <c r="AH594" s="526"/>
      <c r="AI594" s="659" t="e">
        <v>#N/A</v>
      </c>
      <c r="AJ594" s="659"/>
      <c r="AK594" s="659"/>
      <c r="AL594" s="659"/>
      <c r="AM594" s="659"/>
      <c r="AN594" s="659"/>
      <c r="AO594" s="659"/>
      <c r="AP594" s="659"/>
      <c r="AQ594" s="659"/>
      <c r="AR594" s="659"/>
      <c r="AS594" s="659"/>
      <c r="AT594" s="659"/>
      <c r="AU594" s="659"/>
      <c r="AV594" s="659"/>
      <c r="AW594" s="658">
        <v>0</v>
      </c>
      <c r="AX594" s="658"/>
      <c r="AY594" s="658"/>
      <c r="AZ594" s="658"/>
      <c r="BA594" s="658"/>
      <c r="BB594" s="658"/>
      <c r="BC594" s="658">
        <v>0</v>
      </c>
      <c r="BD594" s="658"/>
      <c r="BE594" s="658"/>
      <c r="BF594" s="658">
        <v>182.49</v>
      </c>
      <c r="BG594" s="658"/>
      <c r="BH594" s="658"/>
      <c r="BI594" s="567">
        <v>0</v>
      </c>
      <c r="BJ594" s="567"/>
      <c r="BK594" s="567"/>
      <c r="BL594" s="567"/>
      <c r="BM594" s="660" t="s">
        <v>932</v>
      </c>
      <c r="BN594" s="660"/>
      <c r="BO594" s="660"/>
      <c r="BP594" s="660"/>
      <c r="BQ594" s="568" t="s">
        <v>932</v>
      </c>
      <c r="BR594" s="568"/>
      <c r="BS594" s="568"/>
      <c r="BT594" s="660" t="s">
        <v>932</v>
      </c>
      <c r="BU594" s="660"/>
      <c r="BV594" s="660"/>
      <c r="BW594" s="660"/>
      <c r="BX594" s="568" t="s">
        <v>932</v>
      </c>
      <c r="BY594" s="568"/>
      <c r="BZ594" s="568"/>
      <c r="CA594" s="660" t="s">
        <v>932</v>
      </c>
      <c r="CB594" s="660"/>
      <c r="CC594" s="660"/>
      <c r="CD594" s="660"/>
      <c r="CE594" s="568" t="s">
        <v>932</v>
      </c>
      <c r="CF594" s="568"/>
      <c r="CG594" s="568"/>
      <c r="CH594" s="660" t="s">
        <v>932</v>
      </c>
      <c r="CI594" s="660"/>
      <c r="CJ594" s="660"/>
      <c r="CK594" s="660"/>
      <c r="CL594" s="568">
        <v>1</v>
      </c>
      <c r="CM594" s="568"/>
      <c r="CN594" s="568"/>
    </row>
    <row r="595" hidden="1" customHeight="1" spans="1:92">
      <c r="A595" s="612"/>
      <c r="B595" s="612"/>
      <c r="C595" s="518"/>
      <c r="D595" s="518"/>
      <c r="E595" s="518"/>
      <c r="F595" s="657"/>
      <c r="G595" s="657"/>
      <c r="H595" s="657"/>
      <c r="I595" s="519"/>
      <c r="J595" s="519"/>
      <c r="K595" s="519"/>
      <c r="L595" s="519"/>
      <c r="M595" s="519"/>
      <c r="N595" s="519"/>
      <c r="O595" s="519"/>
      <c r="P595" s="519"/>
      <c r="Q595" s="519"/>
      <c r="R595" s="519"/>
      <c r="S595" s="519"/>
      <c r="T595" s="519"/>
      <c r="U595" s="519"/>
      <c r="V595" s="519"/>
      <c r="W595" s="519"/>
      <c r="X595" s="519"/>
      <c r="Y595" s="519"/>
      <c r="Z595" s="519"/>
      <c r="AA595" s="519"/>
      <c r="AB595" s="526"/>
      <c r="AC595" s="526"/>
      <c r="AD595" s="658"/>
      <c r="AE595" s="658"/>
      <c r="AF595" s="658"/>
      <c r="AG595" s="526">
        <v>0</v>
      </c>
      <c r="AH595" s="526"/>
      <c r="AI595" s="659" t="e">
        <v>#N/A</v>
      </c>
      <c r="AJ595" s="659"/>
      <c r="AK595" s="659"/>
      <c r="AL595" s="659"/>
      <c r="AM595" s="659"/>
      <c r="AN595" s="659"/>
      <c r="AO595" s="659"/>
      <c r="AP595" s="659"/>
      <c r="AQ595" s="659"/>
      <c r="AR595" s="659"/>
      <c r="AS595" s="659"/>
      <c r="AT595" s="659"/>
      <c r="AU595" s="659"/>
      <c r="AV595" s="659"/>
      <c r="AW595" s="658">
        <v>0</v>
      </c>
      <c r="AX595" s="658"/>
      <c r="AY595" s="658"/>
      <c r="AZ595" s="658"/>
      <c r="BA595" s="658"/>
      <c r="BB595" s="658"/>
      <c r="BC595" s="658">
        <v>0</v>
      </c>
      <c r="BD595" s="658"/>
      <c r="BE595" s="658"/>
      <c r="BF595" s="658">
        <v>182.49</v>
      </c>
      <c r="BG595" s="658"/>
      <c r="BH595" s="658"/>
      <c r="BI595" s="567">
        <v>0</v>
      </c>
      <c r="BJ595" s="567"/>
      <c r="BK595" s="567"/>
      <c r="BL595" s="567"/>
      <c r="BM595" s="660" t="s">
        <v>932</v>
      </c>
      <c r="BN595" s="660"/>
      <c r="BO595" s="660"/>
      <c r="BP595" s="660"/>
      <c r="BQ595" s="568" t="s">
        <v>932</v>
      </c>
      <c r="BR595" s="568"/>
      <c r="BS595" s="568"/>
      <c r="BT595" s="660" t="s">
        <v>932</v>
      </c>
      <c r="BU595" s="660"/>
      <c r="BV595" s="660"/>
      <c r="BW595" s="660"/>
      <c r="BX595" s="568" t="s">
        <v>932</v>
      </c>
      <c r="BY595" s="568"/>
      <c r="BZ595" s="568"/>
      <c r="CA595" s="660" t="s">
        <v>932</v>
      </c>
      <c r="CB595" s="660"/>
      <c r="CC595" s="660"/>
      <c r="CD595" s="660"/>
      <c r="CE595" s="568" t="s">
        <v>932</v>
      </c>
      <c r="CF595" s="568"/>
      <c r="CG595" s="568"/>
      <c r="CH595" s="660" t="s">
        <v>932</v>
      </c>
      <c r="CI595" s="660"/>
      <c r="CJ595" s="660"/>
      <c r="CK595" s="660"/>
      <c r="CL595" s="568">
        <v>1</v>
      </c>
      <c r="CM595" s="568"/>
      <c r="CN595" s="568"/>
    </row>
    <row r="596" hidden="1" customHeight="1" spans="1:92">
      <c r="A596" s="612"/>
      <c r="B596" s="612"/>
      <c r="C596" s="518"/>
      <c r="D596" s="518"/>
      <c r="E596" s="518"/>
      <c r="F596" s="657"/>
      <c r="G596" s="657"/>
      <c r="H596" s="657"/>
      <c r="I596" s="519"/>
      <c r="J596" s="519"/>
      <c r="K596" s="519"/>
      <c r="L596" s="519"/>
      <c r="M596" s="519"/>
      <c r="N596" s="519"/>
      <c r="O596" s="519"/>
      <c r="P596" s="519"/>
      <c r="Q596" s="519"/>
      <c r="R596" s="519"/>
      <c r="S596" s="519"/>
      <c r="T596" s="519"/>
      <c r="U596" s="519"/>
      <c r="V596" s="519"/>
      <c r="W596" s="519"/>
      <c r="X596" s="519"/>
      <c r="Y596" s="519"/>
      <c r="Z596" s="519"/>
      <c r="AA596" s="519"/>
      <c r="AB596" s="526"/>
      <c r="AC596" s="526"/>
      <c r="AD596" s="658"/>
      <c r="AE596" s="658"/>
      <c r="AF596" s="658"/>
      <c r="AG596" s="526">
        <v>0</v>
      </c>
      <c r="AH596" s="526"/>
      <c r="AI596" s="659" t="e">
        <v>#N/A</v>
      </c>
      <c r="AJ596" s="659"/>
      <c r="AK596" s="659"/>
      <c r="AL596" s="659"/>
      <c r="AM596" s="659"/>
      <c r="AN596" s="659"/>
      <c r="AO596" s="659"/>
      <c r="AP596" s="659"/>
      <c r="AQ596" s="659"/>
      <c r="AR596" s="659"/>
      <c r="AS596" s="659"/>
      <c r="AT596" s="659"/>
      <c r="AU596" s="659"/>
      <c r="AV596" s="659"/>
      <c r="AW596" s="658">
        <v>0</v>
      </c>
      <c r="AX596" s="658"/>
      <c r="AY596" s="658"/>
      <c r="AZ596" s="658"/>
      <c r="BA596" s="658"/>
      <c r="BB596" s="658"/>
      <c r="BC596" s="658">
        <v>0</v>
      </c>
      <c r="BD596" s="658"/>
      <c r="BE596" s="658"/>
      <c r="BF596" s="658">
        <v>182.49</v>
      </c>
      <c r="BG596" s="658"/>
      <c r="BH596" s="658"/>
      <c r="BI596" s="567">
        <v>0</v>
      </c>
      <c r="BJ596" s="567"/>
      <c r="BK596" s="567"/>
      <c r="BL596" s="567"/>
      <c r="BM596" s="660" t="s">
        <v>932</v>
      </c>
      <c r="BN596" s="660"/>
      <c r="BO596" s="660"/>
      <c r="BP596" s="660"/>
      <c r="BQ596" s="568" t="s">
        <v>932</v>
      </c>
      <c r="BR596" s="568"/>
      <c r="BS596" s="568"/>
      <c r="BT596" s="660" t="s">
        <v>932</v>
      </c>
      <c r="BU596" s="660"/>
      <c r="BV596" s="660"/>
      <c r="BW596" s="660"/>
      <c r="BX596" s="568" t="s">
        <v>932</v>
      </c>
      <c r="BY596" s="568"/>
      <c r="BZ596" s="568"/>
      <c r="CA596" s="660" t="s">
        <v>932</v>
      </c>
      <c r="CB596" s="660"/>
      <c r="CC596" s="660"/>
      <c r="CD596" s="660"/>
      <c r="CE596" s="568" t="s">
        <v>932</v>
      </c>
      <c r="CF596" s="568"/>
      <c r="CG596" s="568"/>
      <c r="CH596" s="660" t="s">
        <v>932</v>
      </c>
      <c r="CI596" s="660"/>
      <c r="CJ596" s="660"/>
      <c r="CK596" s="660"/>
      <c r="CL596" s="568">
        <v>1</v>
      </c>
      <c r="CM596" s="568"/>
      <c r="CN596" s="568"/>
    </row>
    <row r="597" hidden="1" customHeight="1" spans="1:92">
      <c r="A597" s="612"/>
      <c r="B597" s="612"/>
      <c r="C597" s="518"/>
      <c r="D597" s="518"/>
      <c r="E597" s="518"/>
      <c r="F597" s="657"/>
      <c r="G597" s="657"/>
      <c r="H597" s="657"/>
      <c r="I597" s="519"/>
      <c r="J597" s="519"/>
      <c r="K597" s="519"/>
      <c r="L597" s="519"/>
      <c r="M597" s="519"/>
      <c r="N597" s="519"/>
      <c r="O597" s="519"/>
      <c r="P597" s="519"/>
      <c r="Q597" s="519"/>
      <c r="R597" s="519"/>
      <c r="S597" s="519"/>
      <c r="T597" s="519"/>
      <c r="U597" s="519"/>
      <c r="V597" s="519"/>
      <c r="W597" s="519"/>
      <c r="X597" s="519"/>
      <c r="Y597" s="519"/>
      <c r="Z597" s="519"/>
      <c r="AA597" s="519"/>
      <c r="AB597" s="526"/>
      <c r="AC597" s="526"/>
      <c r="AD597" s="658"/>
      <c r="AE597" s="658"/>
      <c r="AF597" s="658"/>
      <c r="AG597" s="526">
        <v>0</v>
      </c>
      <c r="AH597" s="526"/>
      <c r="AI597" s="659" t="e">
        <v>#N/A</v>
      </c>
      <c r="AJ597" s="659"/>
      <c r="AK597" s="659"/>
      <c r="AL597" s="659"/>
      <c r="AM597" s="659"/>
      <c r="AN597" s="659"/>
      <c r="AO597" s="659"/>
      <c r="AP597" s="659"/>
      <c r="AQ597" s="659"/>
      <c r="AR597" s="659"/>
      <c r="AS597" s="659"/>
      <c r="AT597" s="659"/>
      <c r="AU597" s="659"/>
      <c r="AV597" s="659"/>
      <c r="AW597" s="658">
        <v>0</v>
      </c>
      <c r="AX597" s="658"/>
      <c r="AY597" s="658"/>
      <c r="AZ597" s="658"/>
      <c r="BA597" s="658"/>
      <c r="BB597" s="658"/>
      <c r="BC597" s="658">
        <v>0</v>
      </c>
      <c r="BD597" s="658"/>
      <c r="BE597" s="658"/>
      <c r="BF597" s="658">
        <v>182.49</v>
      </c>
      <c r="BG597" s="658"/>
      <c r="BH597" s="658"/>
      <c r="BI597" s="567">
        <v>0</v>
      </c>
      <c r="BJ597" s="567"/>
      <c r="BK597" s="567"/>
      <c r="BL597" s="567"/>
      <c r="BM597" s="660" t="s">
        <v>932</v>
      </c>
      <c r="BN597" s="660"/>
      <c r="BO597" s="660"/>
      <c r="BP597" s="660"/>
      <c r="BQ597" s="568" t="s">
        <v>932</v>
      </c>
      <c r="BR597" s="568"/>
      <c r="BS597" s="568"/>
      <c r="BT597" s="660" t="s">
        <v>932</v>
      </c>
      <c r="BU597" s="660"/>
      <c r="BV597" s="660"/>
      <c r="BW597" s="660"/>
      <c r="BX597" s="568" t="s">
        <v>932</v>
      </c>
      <c r="BY597" s="568"/>
      <c r="BZ597" s="568"/>
      <c r="CA597" s="660" t="s">
        <v>932</v>
      </c>
      <c r="CB597" s="660"/>
      <c r="CC597" s="660"/>
      <c r="CD597" s="660"/>
      <c r="CE597" s="568" t="s">
        <v>932</v>
      </c>
      <c r="CF597" s="568"/>
      <c r="CG597" s="568"/>
      <c r="CH597" s="660" t="s">
        <v>932</v>
      </c>
      <c r="CI597" s="660"/>
      <c r="CJ597" s="660"/>
      <c r="CK597" s="660"/>
      <c r="CL597" s="568">
        <v>1</v>
      </c>
      <c r="CM597" s="568"/>
      <c r="CN597" s="568"/>
    </row>
    <row r="598" hidden="1" customHeight="1" spans="1:92">
      <c r="A598" s="612"/>
      <c r="B598" s="612"/>
      <c r="C598" s="518"/>
      <c r="D598" s="518"/>
      <c r="E598" s="518"/>
      <c r="F598" s="657"/>
      <c r="G598" s="657"/>
      <c r="H598" s="657"/>
      <c r="I598" s="519"/>
      <c r="J598" s="519"/>
      <c r="K598" s="519"/>
      <c r="L598" s="519"/>
      <c r="M598" s="519"/>
      <c r="N598" s="519"/>
      <c r="O598" s="519"/>
      <c r="P598" s="519"/>
      <c r="Q598" s="519"/>
      <c r="R598" s="519"/>
      <c r="S598" s="519"/>
      <c r="T598" s="519"/>
      <c r="U598" s="519"/>
      <c r="V598" s="519"/>
      <c r="W598" s="519"/>
      <c r="X598" s="519"/>
      <c r="Y598" s="519"/>
      <c r="Z598" s="519"/>
      <c r="AA598" s="519"/>
      <c r="AB598" s="526"/>
      <c r="AC598" s="526"/>
      <c r="AD598" s="658"/>
      <c r="AE598" s="658"/>
      <c r="AF598" s="658"/>
      <c r="AG598" s="526">
        <v>0</v>
      </c>
      <c r="AH598" s="526"/>
      <c r="AI598" s="659" t="e">
        <v>#N/A</v>
      </c>
      <c r="AJ598" s="659"/>
      <c r="AK598" s="659"/>
      <c r="AL598" s="659"/>
      <c r="AM598" s="659"/>
      <c r="AN598" s="659"/>
      <c r="AO598" s="659"/>
      <c r="AP598" s="659"/>
      <c r="AQ598" s="659"/>
      <c r="AR598" s="659"/>
      <c r="AS598" s="659"/>
      <c r="AT598" s="659"/>
      <c r="AU598" s="659"/>
      <c r="AV598" s="659"/>
      <c r="AW598" s="658">
        <v>0</v>
      </c>
      <c r="AX598" s="658"/>
      <c r="AY598" s="658"/>
      <c r="AZ598" s="658"/>
      <c r="BA598" s="658"/>
      <c r="BB598" s="658"/>
      <c r="BC598" s="658">
        <v>0</v>
      </c>
      <c r="BD598" s="658"/>
      <c r="BE598" s="658"/>
      <c r="BF598" s="658">
        <v>182.49</v>
      </c>
      <c r="BG598" s="658"/>
      <c r="BH598" s="658"/>
      <c r="BI598" s="567">
        <v>0</v>
      </c>
      <c r="BJ598" s="567"/>
      <c r="BK598" s="567"/>
      <c r="BL598" s="567"/>
      <c r="BM598" s="660" t="s">
        <v>932</v>
      </c>
      <c r="BN598" s="660"/>
      <c r="BO598" s="660"/>
      <c r="BP598" s="660"/>
      <c r="BQ598" s="568" t="s">
        <v>932</v>
      </c>
      <c r="BR598" s="568"/>
      <c r="BS598" s="568"/>
      <c r="BT598" s="660" t="s">
        <v>932</v>
      </c>
      <c r="BU598" s="660"/>
      <c r="BV598" s="660"/>
      <c r="BW598" s="660"/>
      <c r="BX598" s="568" t="s">
        <v>932</v>
      </c>
      <c r="BY598" s="568"/>
      <c r="BZ598" s="568"/>
      <c r="CA598" s="660" t="s">
        <v>932</v>
      </c>
      <c r="CB598" s="660"/>
      <c r="CC598" s="660"/>
      <c r="CD598" s="660"/>
      <c r="CE598" s="568" t="s">
        <v>932</v>
      </c>
      <c r="CF598" s="568"/>
      <c r="CG598" s="568"/>
      <c r="CH598" s="660" t="s">
        <v>932</v>
      </c>
      <c r="CI598" s="660"/>
      <c r="CJ598" s="660"/>
      <c r="CK598" s="660"/>
      <c r="CL598" s="568">
        <v>1</v>
      </c>
      <c r="CM598" s="568"/>
      <c r="CN598" s="568"/>
    </row>
    <row r="599" hidden="1" customHeight="1" spans="1:92">
      <c r="A599" s="612"/>
      <c r="B599" s="612"/>
      <c r="C599" s="518"/>
      <c r="D599" s="518"/>
      <c r="E599" s="518"/>
      <c r="F599" s="657"/>
      <c r="G599" s="657"/>
      <c r="H599" s="657"/>
      <c r="I599" s="519"/>
      <c r="J599" s="519"/>
      <c r="K599" s="519"/>
      <c r="L599" s="519"/>
      <c r="M599" s="519"/>
      <c r="N599" s="519"/>
      <c r="O599" s="519"/>
      <c r="P599" s="519"/>
      <c r="Q599" s="519"/>
      <c r="R599" s="519"/>
      <c r="S599" s="519"/>
      <c r="T599" s="519"/>
      <c r="U599" s="519"/>
      <c r="V599" s="519"/>
      <c r="W599" s="519"/>
      <c r="X599" s="519"/>
      <c r="Y599" s="519"/>
      <c r="Z599" s="519"/>
      <c r="AA599" s="519"/>
      <c r="AB599" s="526"/>
      <c r="AC599" s="526"/>
      <c r="AD599" s="658"/>
      <c r="AE599" s="658"/>
      <c r="AF599" s="658"/>
      <c r="AG599" s="526">
        <v>0</v>
      </c>
      <c r="AH599" s="526"/>
      <c r="AI599" s="659" t="e">
        <v>#N/A</v>
      </c>
      <c r="AJ599" s="659"/>
      <c r="AK599" s="659"/>
      <c r="AL599" s="659"/>
      <c r="AM599" s="659"/>
      <c r="AN599" s="659"/>
      <c r="AO599" s="659"/>
      <c r="AP599" s="659"/>
      <c r="AQ599" s="659"/>
      <c r="AR599" s="659"/>
      <c r="AS599" s="659"/>
      <c r="AT599" s="659"/>
      <c r="AU599" s="659"/>
      <c r="AV599" s="659"/>
      <c r="AW599" s="658">
        <v>0</v>
      </c>
      <c r="AX599" s="658"/>
      <c r="AY599" s="658"/>
      <c r="AZ599" s="658"/>
      <c r="BA599" s="658"/>
      <c r="BB599" s="658"/>
      <c r="BC599" s="658">
        <v>0</v>
      </c>
      <c r="BD599" s="658"/>
      <c r="BE599" s="658"/>
      <c r="BF599" s="658">
        <v>182.49</v>
      </c>
      <c r="BG599" s="658"/>
      <c r="BH599" s="658"/>
      <c r="BI599" s="567">
        <v>0</v>
      </c>
      <c r="BJ599" s="567"/>
      <c r="BK599" s="567"/>
      <c r="BL599" s="567"/>
      <c r="BM599" s="660" t="s">
        <v>932</v>
      </c>
      <c r="BN599" s="660"/>
      <c r="BO599" s="660"/>
      <c r="BP599" s="660"/>
      <c r="BQ599" s="568" t="s">
        <v>932</v>
      </c>
      <c r="BR599" s="568"/>
      <c r="BS599" s="568"/>
      <c r="BT599" s="660" t="s">
        <v>932</v>
      </c>
      <c r="BU599" s="660"/>
      <c r="BV599" s="660"/>
      <c r="BW599" s="660"/>
      <c r="BX599" s="568" t="s">
        <v>932</v>
      </c>
      <c r="BY599" s="568"/>
      <c r="BZ599" s="568"/>
      <c r="CA599" s="660" t="s">
        <v>932</v>
      </c>
      <c r="CB599" s="660"/>
      <c r="CC599" s="660"/>
      <c r="CD599" s="660"/>
      <c r="CE599" s="568" t="s">
        <v>932</v>
      </c>
      <c r="CF599" s="568"/>
      <c r="CG599" s="568"/>
      <c r="CH599" s="660" t="s">
        <v>932</v>
      </c>
      <c r="CI599" s="660"/>
      <c r="CJ599" s="660"/>
      <c r="CK599" s="660"/>
      <c r="CL599" s="568">
        <v>1</v>
      </c>
      <c r="CM599" s="568"/>
      <c r="CN599" s="568"/>
    </row>
    <row r="600" customHeight="1" spans="1:92">
      <c r="A600" s="612" t="s">
        <v>1019</v>
      </c>
      <c r="B600" s="612"/>
      <c r="C600" s="518"/>
      <c r="D600" s="518"/>
      <c r="E600" s="518"/>
      <c r="F600" s="657">
        <v>5502109</v>
      </c>
      <c r="G600" s="657"/>
      <c r="H600" s="657"/>
      <c r="I600" s="519" t="s">
        <v>98</v>
      </c>
      <c r="J600" s="519"/>
      <c r="K600" s="519"/>
      <c r="L600" s="519"/>
      <c r="M600" s="519"/>
      <c r="N600" s="519"/>
      <c r="O600" s="519"/>
      <c r="P600" s="519"/>
      <c r="Q600" s="519"/>
      <c r="R600" s="519"/>
      <c r="S600" s="519"/>
      <c r="T600" s="519"/>
      <c r="U600" s="519"/>
      <c r="V600" s="519"/>
      <c r="W600" s="519"/>
      <c r="X600" s="519"/>
      <c r="Y600" s="519"/>
      <c r="Z600" s="519"/>
      <c r="AA600" s="519"/>
      <c r="AB600" s="526" t="s">
        <v>99</v>
      </c>
      <c r="AC600" s="526"/>
      <c r="AD600" s="658">
        <v>181.79</v>
      </c>
      <c r="AE600" s="658"/>
      <c r="AF600" s="658"/>
      <c r="AG600" s="526" t="s">
        <v>935</v>
      </c>
      <c r="AH600" s="526"/>
      <c r="AI600" s="659" t="s">
        <v>936</v>
      </c>
      <c r="AJ600" s="659"/>
      <c r="AK600" s="659"/>
      <c r="AL600" s="659"/>
      <c r="AM600" s="659"/>
      <c r="AN600" s="659"/>
      <c r="AO600" s="659"/>
      <c r="AP600" s="659"/>
      <c r="AQ600" s="659"/>
      <c r="AR600" s="659"/>
      <c r="AS600" s="659"/>
      <c r="AT600" s="659"/>
      <c r="AU600" s="659"/>
      <c r="AV600" s="659"/>
      <c r="AW600" s="658">
        <v>1</v>
      </c>
      <c r="AX600" s="658"/>
      <c r="AY600" s="658"/>
      <c r="AZ600" s="658">
        <v>230.19</v>
      </c>
      <c r="BA600" s="658"/>
      <c r="BB600" s="658"/>
      <c r="BC600" s="658">
        <v>0.789738911334115</v>
      </c>
      <c r="BD600" s="658"/>
      <c r="BE600" s="658"/>
      <c r="BF600" s="658">
        <v>182.49</v>
      </c>
      <c r="BG600" s="658"/>
      <c r="BH600" s="658"/>
      <c r="BI600" s="567">
        <v>0.00432757362778298</v>
      </c>
      <c r="BJ600" s="567"/>
      <c r="BK600" s="567"/>
      <c r="BL600" s="567"/>
      <c r="BM600" s="660" t="s">
        <v>932</v>
      </c>
      <c r="BN600" s="660"/>
      <c r="BO600" s="660"/>
      <c r="BP600" s="660"/>
      <c r="BQ600" s="568" t="s">
        <v>932</v>
      </c>
      <c r="BR600" s="568"/>
      <c r="BS600" s="568"/>
      <c r="BT600" s="660">
        <v>0.00432757362778298</v>
      </c>
      <c r="BU600" s="660"/>
      <c r="BV600" s="660"/>
      <c r="BW600" s="660"/>
      <c r="BX600" s="568">
        <v>1</v>
      </c>
      <c r="BY600" s="568"/>
      <c r="BZ600" s="568"/>
      <c r="CA600" s="660" t="s">
        <v>932</v>
      </c>
      <c r="CB600" s="660"/>
      <c r="CC600" s="660"/>
      <c r="CD600" s="660"/>
      <c r="CE600" s="568" t="s">
        <v>932</v>
      </c>
      <c r="CF600" s="568"/>
      <c r="CG600" s="568"/>
      <c r="CH600" s="660" t="s">
        <v>932</v>
      </c>
      <c r="CI600" s="660"/>
      <c r="CJ600" s="660"/>
      <c r="CK600" s="660"/>
      <c r="CL600" s="568" t="s">
        <v>932</v>
      </c>
      <c r="CM600" s="568"/>
      <c r="CN600" s="568"/>
    </row>
    <row r="601" hidden="1" customHeight="1" spans="1:92">
      <c r="A601" s="612"/>
      <c r="B601" s="612"/>
      <c r="C601" s="518"/>
      <c r="D601" s="518"/>
      <c r="E601" s="518"/>
      <c r="F601" s="657"/>
      <c r="G601" s="657"/>
      <c r="H601" s="657"/>
      <c r="I601" s="519"/>
      <c r="J601" s="519"/>
      <c r="K601" s="519"/>
      <c r="L601" s="519"/>
      <c r="M601" s="519"/>
      <c r="N601" s="519"/>
      <c r="O601" s="519"/>
      <c r="P601" s="519"/>
      <c r="Q601" s="519"/>
      <c r="R601" s="519"/>
      <c r="S601" s="519"/>
      <c r="T601" s="519"/>
      <c r="U601" s="519"/>
      <c r="V601" s="519"/>
      <c r="W601" s="519"/>
      <c r="X601" s="519"/>
      <c r="Y601" s="519"/>
      <c r="Z601" s="519"/>
      <c r="AA601" s="519"/>
      <c r="AB601" s="526"/>
      <c r="AC601" s="526"/>
      <c r="AD601" s="658"/>
      <c r="AE601" s="658"/>
      <c r="AF601" s="658"/>
      <c r="AG601" s="526">
        <v>0</v>
      </c>
      <c r="AH601" s="526"/>
      <c r="AI601" s="659" t="e">
        <v>#N/A</v>
      </c>
      <c r="AJ601" s="659"/>
      <c r="AK601" s="659"/>
      <c r="AL601" s="659"/>
      <c r="AM601" s="659"/>
      <c r="AN601" s="659"/>
      <c r="AO601" s="659"/>
      <c r="AP601" s="659"/>
      <c r="AQ601" s="659"/>
      <c r="AR601" s="659"/>
      <c r="AS601" s="659"/>
      <c r="AT601" s="659"/>
      <c r="AU601" s="659"/>
      <c r="AV601" s="659"/>
      <c r="AW601" s="658">
        <v>0</v>
      </c>
      <c r="AX601" s="658"/>
      <c r="AY601" s="658"/>
      <c r="AZ601" s="658"/>
      <c r="BA601" s="658"/>
      <c r="BB601" s="658"/>
      <c r="BC601" s="658">
        <v>0</v>
      </c>
      <c r="BD601" s="658"/>
      <c r="BE601" s="658"/>
      <c r="BF601" s="658">
        <v>182.49</v>
      </c>
      <c r="BG601" s="658"/>
      <c r="BH601" s="658"/>
      <c r="BI601" s="567">
        <v>0</v>
      </c>
      <c r="BJ601" s="567"/>
      <c r="BK601" s="567"/>
      <c r="BL601" s="567"/>
      <c r="BM601" s="660" t="s">
        <v>932</v>
      </c>
      <c r="BN601" s="660"/>
      <c r="BO601" s="660"/>
      <c r="BP601" s="660"/>
      <c r="BQ601" s="568" t="s">
        <v>932</v>
      </c>
      <c r="BR601" s="568"/>
      <c r="BS601" s="568"/>
      <c r="BT601" s="660" t="s">
        <v>932</v>
      </c>
      <c r="BU601" s="660"/>
      <c r="BV601" s="660"/>
      <c r="BW601" s="660"/>
      <c r="BX601" s="568">
        <v>1</v>
      </c>
      <c r="BY601" s="568"/>
      <c r="BZ601" s="568"/>
      <c r="CA601" s="660" t="s">
        <v>932</v>
      </c>
      <c r="CB601" s="660"/>
      <c r="CC601" s="660"/>
      <c r="CD601" s="660"/>
      <c r="CE601" s="568" t="s">
        <v>932</v>
      </c>
      <c r="CF601" s="568"/>
      <c r="CG601" s="568"/>
      <c r="CH601" s="660" t="s">
        <v>932</v>
      </c>
      <c r="CI601" s="660"/>
      <c r="CJ601" s="660"/>
      <c r="CK601" s="660"/>
      <c r="CL601" s="568" t="s">
        <v>932</v>
      </c>
      <c r="CM601" s="568"/>
      <c r="CN601" s="568"/>
    </row>
    <row r="602" hidden="1" customHeight="1" spans="1:92">
      <c r="A602" s="612"/>
      <c r="B602" s="612"/>
      <c r="C602" s="518"/>
      <c r="D602" s="518"/>
      <c r="E602" s="518"/>
      <c r="F602" s="657"/>
      <c r="G602" s="657"/>
      <c r="H602" s="657"/>
      <c r="I602" s="519"/>
      <c r="J602" s="519"/>
      <c r="K602" s="519"/>
      <c r="L602" s="519"/>
      <c r="M602" s="519"/>
      <c r="N602" s="519"/>
      <c r="O602" s="519"/>
      <c r="P602" s="519"/>
      <c r="Q602" s="519"/>
      <c r="R602" s="519"/>
      <c r="S602" s="519"/>
      <c r="T602" s="519"/>
      <c r="U602" s="519"/>
      <c r="V602" s="519"/>
      <c r="W602" s="519"/>
      <c r="X602" s="519"/>
      <c r="Y602" s="519"/>
      <c r="Z602" s="519"/>
      <c r="AA602" s="519"/>
      <c r="AB602" s="526"/>
      <c r="AC602" s="526"/>
      <c r="AD602" s="658"/>
      <c r="AE602" s="658"/>
      <c r="AF602" s="658"/>
      <c r="AG602" s="526">
        <v>0</v>
      </c>
      <c r="AH602" s="526"/>
      <c r="AI602" s="659" t="e">
        <v>#N/A</v>
      </c>
      <c r="AJ602" s="659"/>
      <c r="AK602" s="659"/>
      <c r="AL602" s="659"/>
      <c r="AM602" s="659"/>
      <c r="AN602" s="659"/>
      <c r="AO602" s="659"/>
      <c r="AP602" s="659"/>
      <c r="AQ602" s="659"/>
      <c r="AR602" s="659"/>
      <c r="AS602" s="659"/>
      <c r="AT602" s="659"/>
      <c r="AU602" s="659"/>
      <c r="AV602" s="659"/>
      <c r="AW602" s="658">
        <v>0</v>
      </c>
      <c r="AX602" s="658"/>
      <c r="AY602" s="658"/>
      <c r="AZ602" s="658"/>
      <c r="BA602" s="658"/>
      <c r="BB602" s="658"/>
      <c r="BC602" s="658">
        <v>0</v>
      </c>
      <c r="BD602" s="658"/>
      <c r="BE602" s="658"/>
      <c r="BF602" s="658">
        <v>182.49</v>
      </c>
      <c r="BG602" s="658"/>
      <c r="BH602" s="658"/>
      <c r="BI602" s="567">
        <v>0</v>
      </c>
      <c r="BJ602" s="567"/>
      <c r="BK602" s="567"/>
      <c r="BL602" s="567"/>
      <c r="BM602" s="660" t="s">
        <v>932</v>
      </c>
      <c r="BN602" s="660"/>
      <c r="BO602" s="660"/>
      <c r="BP602" s="660"/>
      <c r="BQ602" s="568" t="s">
        <v>932</v>
      </c>
      <c r="BR602" s="568"/>
      <c r="BS602" s="568"/>
      <c r="BT602" s="660" t="s">
        <v>932</v>
      </c>
      <c r="BU602" s="660"/>
      <c r="BV602" s="660"/>
      <c r="BW602" s="660"/>
      <c r="BX602" s="568">
        <v>1</v>
      </c>
      <c r="BY602" s="568"/>
      <c r="BZ602" s="568"/>
      <c r="CA602" s="660" t="s">
        <v>932</v>
      </c>
      <c r="CB602" s="660"/>
      <c r="CC602" s="660"/>
      <c r="CD602" s="660"/>
      <c r="CE602" s="568" t="s">
        <v>932</v>
      </c>
      <c r="CF602" s="568"/>
      <c r="CG602" s="568"/>
      <c r="CH602" s="660" t="s">
        <v>932</v>
      </c>
      <c r="CI602" s="660"/>
      <c r="CJ602" s="660"/>
      <c r="CK602" s="660"/>
      <c r="CL602" s="568" t="s">
        <v>932</v>
      </c>
      <c r="CM602" s="568"/>
      <c r="CN602" s="568"/>
    </row>
    <row r="603" hidden="1" customHeight="1" spans="1:92">
      <c r="A603" s="612"/>
      <c r="B603" s="612"/>
      <c r="C603" s="518"/>
      <c r="D603" s="518"/>
      <c r="E603" s="518"/>
      <c r="F603" s="657"/>
      <c r="G603" s="657"/>
      <c r="H603" s="657"/>
      <c r="I603" s="519"/>
      <c r="J603" s="519"/>
      <c r="K603" s="519"/>
      <c r="L603" s="519"/>
      <c r="M603" s="519"/>
      <c r="N603" s="519"/>
      <c r="O603" s="519"/>
      <c r="P603" s="519"/>
      <c r="Q603" s="519"/>
      <c r="R603" s="519"/>
      <c r="S603" s="519"/>
      <c r="T603" s="519"/>
      <c r="U603" s="519"/>
      <c r="V603" s="519"/>
      <c r="W603" s="519"/>
      <c r="X603" s="519"/>
      <c r="Y603" s="519"/>
      <c r="Z603" s="519"/>
      <c r="AA603" s="519"/>
      <c r="AB603" s="526"/>
      <c r="AC603" s="526"/>
      <c r="AD603" s="658"/>
      <c r="AE603" s="658"/>
      <c r="AF603" s="658"/>
      <c r="AG603" s="526">
        <v>0</v>
      </c>
      <c r="AH603" s="526"/>
      <c r="AI603" s="659" t="e">
        <v>#N/A</v>
      </c>
      <c r="AJ603" s="659"/>
      <c r="AK603" s="659"/>
      <c r="AL603" s="659"/>
      <c r="AM603" s="659"/>
      <c r="AN603" s="659"/>
      <c r="AO603" s="659"/>
      <c r="AP603" s="659"/>
      <c r="AQ603" s="659"/>
      <c r="AR603" s="659"/>
      <c r="AS603" s="659"/>
      <c r="AT603" s="659"/>
      <c r="AU603" s="659"/>
      <c r="AV603" s="659"/>
      <c r="AW603" s="658">
        <v>0</v>
      </c>
      <c r="AX603" s="658"/>
      <c r="AY603" s="658"/>
      <c r="AZ603" s="658"/>
      <c r="BA603" s="658"/>
      <c r="BB603" s="658"/>
      <c r="BC603" s="658">
        <v>0</v>
      </c>
      <c r="BD603" s="658"/>
      <c r="BE603" s="658"/>
      <c r="BF603" s="658">
        <v>182.49</v>
      </c>
      <c r="BG603" s="658"/>
      <c r="BH603" s="658"/>
      <c r="BI603" s="567">
        <v>0</v>
      </c>
      <c r="BJ603" s="567"/>
      <c r="BK603" s="567"/>
      <c r="BL603" s="567"/>
      <c r="BM603" s="660" t="s">
        <v>932</v>
      </c>
      <c r="BN603" s="660"/>
      <c r="BO603" s="660"/>
      <c r="BP603" s="660"/>
      <c r="BQ603" s="568" t="s">
        <v>932</v>
      </c>
      <c r="BR603" s="568"/>
      <c r="BS603" s="568"/>
      <c r="BT603" s="660" t="s">
        <v>932</v>
      </c>
      <c r="BU603" s="660"/>
      <c r="BV603" s="660"/>
      <c r="BW603" s="660"/>
      <c r="BX603" s="568">
        <v>1</v>
      </c>
      <c r="BY603" s="568"/>
      <c r="BZ603" s="568"/>
      <c r="CA603" s="660" t="s">
        <v>932</v>
      </c>
      <c r="CB603" s="660"/>
      <c r="CC603" s="660"/>
      <c r="CD603" s="660"/>
      <c r="CE603" s="568" t="s">
        <v>932</v>
      </c>
      <c r="CF603" s="568"/>
      <c r="CG603" s="568"/>
      <c r="CH603" s="660" t="s">
        <v>932</v>
      </c>
      <c r="CI603" s="660"/>
      <c r="CJ603" s="660"/>
      <c r="CK603" s="660"/>
      <c r="CL603" s="568" t="s">
        <v>932</v>
      </c>
      <c r="CM603" s="568"/>
      <c r="CN603" s="568"/>
    </row>
    <row r="604" hidden="1" customHeight="1" spans="1:92">
      <c r="A604" s="612"/>
      <c r="B604" s="612"/>
      <c r="C604" s="518"/>
      <c r="D604" s="518"/>
      <c r="E604" s="518"/>
      <c r="F604" s="657"/>
      <c r="G604" s="657"/>
      <c r="H604" s="657"/>
      <c r="I604" s="519"/>
      <c r="J604" s="519"/>
      <c r="K604" s="519"/>
      <c r="L604" s="519"/>
      <c r="M604" s="519"/>
      <c r="N604" s="519"/>
      <c r="O604" s="519"/>
      <c r="P604" s="519"/>
      <c r="Q604" s="519"/>
      <c r="R604" s="519"/>
      <c r="S604" s="519"/>
      <c r="T604" s="519"/>
      <c r="U604" s="519"/>
      <c r="V604" s="519"/>
      <c r="W604" s="519"/>
      <c r="X604" s="519"/>
      <c r="Y604" s="519"/>
      <c r="Z604" s="519"/>
      <c r="AA604" s="519"/>
      <c r="AB604" s="526"/>
      <c r="AC604" s="526"/>
      <c r="AD604" s="658"/>
      <c r="AE604" s="658"/>
      <c r="AF604" s="658"/>
      <c r="AG604" s="526">
        <v>0</v>
      </c>
      <c r="AH604" s="526"/>
      <c r="AI604" s="659" t="e">
        <v>#N/A</v>
      </c>
      <c r="AJ604" s="659"/>
      <c r="AK604" s="659"/>
      <c r="AL604" s="659"/>
      <c r="AM604" s="659"/>
      <c r="AN604" s="659"/>
      <c r="AO604" s="659"/>
      <c r="AP604" s="659"/>
      <c r="AQ604" s="659"/>
      <c r="AR604" s="659"/>
      <c r="AS604" s="659"/>
      <c r="AT604" s="659"/>
      <c r="AU604" s="659"/>
      <c r="AV604" s="659"/>
      <c r="AW604" s="658">
        <v>0</v>
      </c>
      <c r="AX604" s="658"/>
      <c r="AY604" s="658"/>
      <c r="AZ604" s="658"/>
      <c r="BA604" s="658"/>
      <c r="BB604" s="658"/>
      <c r="BC604" s="658">
        <v>0</v>
      </c>
      <c r="BD604" s="658"/>
      <c r="BE604" s="658"/>
      <c r="BF604" s="658">
        <v>182.49</v>
      </c>
      <c r="BG604" s="658"/>
      <c r="BH604" s="658"/>
      <c r="BI604" s="567">
        <v>0</v>
      </c>
      <c r="BJ604" s="567"/>
      <c r="BK604" s="567"/>
      <c r="BL604" s="567"/>
      <c r="BM604" s="660" t="s">
        <v>932</v>
      </c>
      <c r="BN604" s="660"/>
      <c r="BO604" s="660"/>
      <c r="BP604" s="660"/>
      <c r="BQ604" s="568" t="s">
        <v>932</v>
      </c>
      <c r="BR604" s="568"/>
      <c r="BS604" s="568"/>
      <c r="BT604" s="660" t="s">
        <v>932</v>
      </c>
      <c r="BU604" s="660"/>
      <c r="BV604" s="660"/>
      <c r="BW604" s="660"/>
      <c r="BX604" s="568">
        <v>1</v>
      </c>
      <c r="BY604" s="568"/>
      <c r="BZ604" s="568"/>
      <c r="CA604" s="660" t="s">
        <v>932</v>
      </c>
      <c r="CB604" s="660"/>
      <c r="CC604" s="660"/>
      <c r="CD604" s="660"/>
      <c r="CE604" s="568" t="s">
        <v>932</v>
      </c>
      <c r="CF604" s="568"/>
      <c r="CG604" s="568"/>
      <c r="CH604" s="660" t="s">
        <v>932</v>
      </c>
      <c r="CI604" s="660"/>
      <c r="CJ604" s="660"/>
      <c r="CK604" s="660"/>
      <c r="CL604" s="568" t="s">
        <v>932</v>
      </c>
      <c r="CM604" s="568"/>
      <c r="CN604" s="568"/>
    </row>
    <row r="605" hidden="1" customHeight="1" spans="1:92">
      <c r="A605" s="612"/>
      <c r="B605" s="612"/>
      <c r="C605" s="518"/>
      <c r="D605" s="518"/>
      <c r="E605" s="518"/>
      <c r="F605" s="657"/>
      <c r="G605" s="657"/>
      <c r="H605" s="657"/>
      <c r="I605" s="519"/>
      <c r="J605" s="519"/>
      <c r="K605" s="519"/>
      <c r="L605" s="519"/>
      <c r="M605" s="519"/>
      <c r="N605" s="519"/>
      <c r="O605" s="519"/>
      <c r="P605" s="519"/>
      <c r="Q605" s="519"/>
      <c r="R605" s="519"/>
      <c r="S605" s="519"/>
      <c r="T605" s="519"/>
      <c r="U605" s="519"/>
      <c r="V605" s="519"/>
      <c r="W605" s="519"/>
      <c r="X605" s="519"/>
      <c r="Y605" s="519"/>
      <c r="Z605" s="519"/>
      <c r="AA605" s="519"/>
      <c r="AB605" s="526"/>
      <c r="AC605" s="526"/>
      <c r="AD605" s="658"/>
      <c r="AE605" s="658"/>
      <c r="AF605" s="658"/>
      <c r="AG605" s="526">
        <v>0</v>
      </c>
      <c r="AH605" s="526"/>
      <c r="AI605" s="659" t="e">
        <v>#N/A</v>
      </c>
      <c r="AJ605" s="659"/>
      <c r="AK605" s="659"/>
      <c r="AL605" s="659"/>
      <c r="AM605" s="659"/>
      <c r="AN605" s="659"/>
      <c r="AO605" s="659"/>
      <c r="AP605" s="659"/>
      <c r="AQ605" s="659"/>
      <c r="AR605" s="659"/>
      <c r="AS605" s="659"/>
      <c r="AT605" s="659"/>
      <c r="AU605" s="659"/>
      <c r="AV605" s="659"/>
      <c r="AW605" s="658">
        <v>0</v>
      </c>
      <c r="AX605" s="658"/>
      <c r="AY605" s="658"/>
      <c r="AZ605" s="658"/>
      <c r="BA605" s="658"/>
      <c r="BB605" s="658"/>
      <c r="BC605" s="658">
        <v>0</v>
      </c>
      <c r="BD605" s="658"/>
      <c r="BE605" s="658"/>
      <c r="BF605" s="658">
        <v>182.49</v>
      </c>
      <c r="BG605" s="658"/>
      <c r="BH605" s="658"/>
      <c r="BI605" s="567">
        <v>0</v>
      </c>
      <c r="BJ605" s="567"/>
      <c r="BK605" s="567"/>
      <c r="BL605" s="567"/>
      <c r="BM605" s="660" t="s">
        <v>932</v>
      </c>
      <c r="BN605" s="660"/>
      <c r="BO605" s="660"/>
      <c r="BP605" s="660"/>
      <c r="BQ605" s="568" t="s">
        <v>932</v>
      </c>
      <c r="BR605" s="568"/>
      <c r="BS605" s="568"/>
      <c r="BT605" s="660" t="s">
        <v>932</v>
      </c>
      <c r="BU605" s="660"/>
      <c r="BV605" s="660"/>
      <c r="BW605" s="660"/>
      <c r="BX605" s="568">
        <v>1</v>
      </c>
      <c r="BY605" s="568"/>
      <c r="BZ605" s="568"/>
      <c r="CA605" s="660" t="s">
        <v>932</v>
      </c>
      <c r="CB605" s="660"/>
      <c r="CC605" s="660"/>
      <c r="CD605" s="660"/>
      <c r="CE605" s="568" t="s">
        <v>932</v>
      </c>
      <c r="CF605" s="568"/>
      <c r="CG605" s="568"/>
      <c r="CH605" s="660" t="s">
        <v>932</v>
      </c>
      <c r="CI605" s="660"/>
      <c r="CJ605" s="660"/>
      <c r="CK605" s="660"/>
      <c r="CL605" s="568" t="s">
        <v>932</v>
      </c>
      <c r="CM605" s="568"/>
      <c r="CN605" s="568"/>
    </row>
    <row r="606" hidden="1" customHeight="1" spans="1:92">
      <c r="A606" s="612"/>
      <c r="B606" s="612"/>
      <c r="C606" s="518"/>
      <c r="D606" s="518"/>
      <c r="E606" s="518"/>
      <c r="F606" s="657"/>
      <c r="G606" s="657"/>
      <c r="H606" s="657"/>
      <c r="I606" s="519"/>
      <c r="J606" s="519"/>
      <c r="K606" s="519"/>
      <c r="L606" s="519"/>
      <c r="M606" s="519"/>
      <c r="N606" s="519"/>
      <c r="O606" s="519"/>
      <c r="P606" s="519"/>
      <c r="Q606" s="519"/>
      <c r="R606" s="519"/>
      <c r="S606" s="519"/>
      <c r="T606" s="519"/>
      <c r="U606" s="519"/>
      <c r="V606" s="519"/>
      <c r="W606" s="519"/>
      <c r="X606" s="519"/>
      <c r="Y606" s="519"/>
      <c r="Z606" s="519"/>
      <c r="AA606" s="519"/>
      <c r="AB606" s="526"/>
      <c r="AC606" s="526"/>
      <c r="AD606" s="658"/>
      <c r="AE606" s="658"/>
      <c r="AF606" s="658"/>
      <c r="AG606" s="526">
        <v>0</v>
      </c>
      <c r="AH606" s="526"/>
      <c r="AI606" s="659" t="e">
        <v>#N/A</v>
      </c>
      <c r="AJ606" s="659"/>
      <c r="AK606" s="659"/>
      <c r="AL606" s="659"/>
      <c r="AM606" s="659"/>
      <c r="AN606" s="659"/>
      <c r="AO606" s="659"/>
      <c r="AP606" s="659"/>
      <c r="AQ606" s="659"/>
      <c r="AR606" s="659"/>
      <c r="AS606" s="659"/>
      <c r="AT606" s="659"/>
      <c r="AU606" s="659"/>
      <c r="AV606" s="659"/>
      <c r="AW606" s="658">
        <v>0</v>
      </c>
      <c r="AX606" s="658"/>
      <c r="AY606" s="658"/>
      <c r="AZ606" s="658"/>
      <c r="BA606" s="658"/>
      <c r="BB606" s="658"/>
      <c r="BC606" s="658">
        <v>0</v>
      </c>
      <c r="BD606" s="658"/>
      <c r="BE606" s="658"/>
      <c r="BF606" s="658">
        <v>182.49</v>
      </c>
      <c r="BG606" s="658"/>
      <c r="BH606" s="658"/>
      <c r="BI606" s="567">
        <v>0</v>
      </c>
      <c r="BJ606" s="567"/>
      <c r="BK606" s="567"/>
      <c r="BL606" s="567"/>
      <c r="BM606" s="660" t="s">
        <v>932</v>
      </c>
      <c r="BN606" s="660"/>
      <c r="BO606" s="660"/>
      <c r="BP606" s="660"/>
      <c r="BQ606" s="568" t="s">
        <v>932</v>
      </c>
      <c r="BR606" s="568"/>
      <c r="BS606" s="568"/>
      <c r="BT606" s="660" t="s">
        <v>932</v>
      </c>
      <c r="BU606" s="660"/>
      <c r="BV606" s="660"/>
      <c r="BW606" s="660"/>
      <c r="BX606" s="568">
        <v>1</v>
      </c>
      <c r="BY606" s="568"/>
      <c r="BZ606" s="568"/>
      <c r="CA606" s="660" t="s">
        <v>932</v>
      </c>
      <c r="CB606" s="660"/>
      <c r="CC606" s="660"/>
      <c r="CD606" s="660"/>
      <c r="CE606" s="568" t="s">
        <v>932</v>
      </c>
      <c r="CF606" s="568"/>
      <c r="CG606" s="568"/>
      <c r="CH606" s="660" t="s">
        <v>932</v>
      </c>
      <c r="CI606" s="660"/>
      <c r="CJ606" s="660"/>
      <c r="CK606" s="660"/>
      <c r="CL606" s="568" t="s">
        <v>932</v>
      </c>
      <c r="CM606" s="568"/>
      <c r="CN606" s="568"/>
    </row>
    <row r="607" hidden="1" customHeight="1" spans="1:92">
      <c r="A607" s="612"/>
      <c r="B607" s="612"/>
      <c r="C607" s="518"/>
      <c r="D607" s="518"/>
      <c r="E607" s="518"/>
      <c r="F607" s="657"/>
      <c r="G607" s="657"/>
      <c r="H607" s="657"/>
      <c r="I607" s="519"/>
      <c r="J607" s="519"/>
      <c r="K607" s="519"/>
      <c r="L607" s="519"/>
      <c r="M607" s="519"/>
      <c r="N607" s="519"/>
      <c r="O607" s="519"/>
      <c r="P607" s="519"/>
      <c r="Q607" s="519"/>
      <c r="R607" s="519"/>
      <c r="S607" s="519"/>
      <c r="T607" s="519"/>
      <c r="U607" s="519"/>
      <c r="V607" s="519"/>
      <c r="W607" s="519"/>
      <c r="X607" s="519"/>
      <c r="Y607" s="519"/>
      <c r="Z607" s="519"/>
      <c r="AA607" s="519"/>
      <c r="AB607" s="526"/>
      <c r="AC607" s="526"/>
      <c r="AD607" s="658"/>
      <c r="AE607" s="658"/>
      <c r="AF607" s="658"/>
      <c r="AG607" s="526">
        <v>0</v>
      </c>
      <c r="AH607" s="526"/>
      <c r="AI607" s="659" t="e">
        <v>#N/A</v>
      </c>
      <c r="AJ607" s="659"/>
      <c r="AK607" s="659"/>
      <c r="AL607" s="659"/>
      <c r="AM607" s="659"/>
      <c r="AN607" s="659"/>
      <c r="AO607" s="659"/>
      <c r="AP607" s="659"/>
      <c r="AQ607" s="659"/>
      <c r="AR607" s="659"/>
      <c r="AS607" s="659"/>
      <c r="AT607" s="659"/>
      <c r="AU607" s="659"/>
      <c r="AV607" s="659"/>
      <c r="AW607" s="658">
        <v>0</v>
      </c>
      <c r="AX607" s="658"/>
      <c r="AY607" s="658"/>
      <c r="AZ607" s="658"/>
      <c r="BA607" s="658"/>
      <c r="BB607" s="658"/>
      <c r="BC607" s="658">
        <v>0</v>
      </c>
      <c r="BD607" s="658"/>
      <c r="BE607" s="658"/>
      <c r="BF607" s="658">
        <v>182.49</v>
      </c>
      <c r="BG607" s="658"/>
      <c r="BH607" s="658"/>
      <c r="BI607" s="567">
        <v>0</v>
      </c>
      <c r="BJ607" s="567"/>
      <c r="BK607" s="567"/>
      <c r="BL607" s="567"/>
      <c r="BM607" s="660" t="s">
        <v>932</v>
      </c>
      <c r="BN607" s="660"/>
      <c r="BO607" s="660"/>
      <c r="BP607" s="660"/>
      <c r="BQ607" s="568" t="s">
        <v>932</v>
      </c>
      <c r="BR607" s="568"/>
      <c r="BS607" s="568"/>
      <c r="BT607" s="660" t="s">
        <v>932</v>
      </c>
      <c r="BU607" s="660"/>
      <c r="BV607" s="660"/>
      <c r="BW607" s="660"/>
      <c r="BX607" s="568">
        <v>1</v>
      </c>
      <c r="BY607" s="568"/>
      <c r="BZ607" s="568"/>
      <c r="CA607" s="660" t="s">
        <v>932</v>
      </c>
      <c r="CB607" s="660"/>
      <c r="CC607" s="660"/>
      <c r="CD607" s="660"/>
      <c r="CE607" s="568" t="s">
        <v>932</v>
      </c>
      <c r="CF607" s="568"/>
      <c r="CG607" s="568"/>
      <c r="CH607" s="660" t="s">
        <v>932</v>
      </c>
      <c r="CI607" s="660"/>
      <c r="CJ607" s="660"/>
      <c r="CK607" s="660"/>
      <c r="CL607" s="568" t="s">
        <v>932</v>
      </c>
      <c r="CM607" s="568"/>
      <c r="CN607" s="568"/>
    </row>
    <row r="608" customHeight="1" spans="1:92">
      <c r="A608" s="612" t="s">
        <v>929</v>
      </c>
      <c r="B608" s="612"/>
      <c r="C608" s="518" t="s">
        <v>1020</v>
      </c>
      <c r="D608" s="518"/>
      <c r="E608" s="518"/>
      <c r="F608" s="657">
        <v>1106057</v>
      </c>
      <c r="G608" s="657"/>
      <c r="H608" s="657"/>
      <c r="I608" s="519" t="s">
        <v>109</v>
      </c>
      <c r="J608" s="519"/>
      <c r="K608" s="519"/>
      <c r="L608" s="519"/>
      <c r="M608" s="519"/>
      <c r="N608" s="519"/>
      <c r="O608" s="519"/>
      <c r="P608" s="519"/>
      <c r="Q608" s="519"/>
      <c r="R608" s="519"/>
      <c r="S608" s="519"/>
      <c r="T608" s="519"/>
      <c r="U608" s="519"/>
      <c r="V608" s="519"/>
      <c r="W608" s="519"/>
      <c r="X608" s="519"/>
      <c r="Y608" s="519"/>
      <c r="Z608" s="519"/>
      <c r="AA608" s="519"/>
      <c r="AB608" s="526" t="s">
        <v>99</v>
      </c>
      <c r="AC608" s="526"/>
      <c r="AD608" s="658">
        <v>0.01</v>
      </c>
      <c r="AE608" s="658"/>
      <c r="AF608" s="658"/>
      <c r="AG608" s="553" t="s">
        <v>946</v>
      </c>
      <c r="AH608" s="554"/>
      <c r="AI608" s="555" t="s">
        <v>947</v>
      </c>
      <c r="AJ608" s="556"/>
      <c r="AK608" s="556"/>
      <c r="AL608" s="556"/>
      <c r="AM608" s="556"/>
      <c r="AN608" s="556"/>
      <c r="AO608" s="556"/>
      <c r="AP608" s="556"/>
      <c r="AQ608" s="556"/>
      <c r="AR608" s="556"/>
      <c r="AS608" s="556"/>
      <c r="AT608" s="556"/>
      <c r="AU608" s="556"/>
      <c r="AV608" s="557"/>
      <c r="AW608" s="558">
        <v>1</v>
      </c>
      <c r="AX608" s="559"/>
      <c r="AY608" s="560"/>
      <c r="AZ608" s="658">
        <v>3.92899</v>
      </c>
      <c r="BA608" s="658"/>
      <c r="BB608" s="658"/>
      <c r="BC608" s="558">
        <v>0.00254518336773573</v>
      </c>
      <c r="BD608" s="559"/>
      <c r="BE608" s="560"/>
      <c r="BF608" s="558">
        <v>182.49</v>
      </c>
      <c r="BG608" s="559"/>
      <c r="BH608" s="560"/>
      <c r="BI608" s="564">
        <v>1.39469744519466e-5</v>
      </c>
      <c r="BJ608" s="565"/>
      <c r="BK608" s="565"/>
      <c r="BL608" s="566"/>
      <c r="BM608" s="662">
        <v>1.39469744519466e-5</v>
      </c>
      <c r="BN608" s="663"/>
      <c r="BO608" s="663"/>
      <c r="BP608" s="664"/>
      <c r="BQ608" s="665">
        <v>1</v>
      </c>
      <c r="BR608" s="666"/>
      <c r="BS608" s="667"/>
      <c r="BT608" s="662" t="s">
        <v>932</v>
      </c>
      <c r="BU608" s="663"/>
      <c r="BV608" s="663"/>
      <c r="BW608" s="664"/>
      <c r="BX608" s="665" t="s">
        <v>932</v>
      </c>
      <c r="BY608" s="666"/>
      <c r="BZ608" s="667"/>
      <c r="CA608" s="662" t="s">
        <v>932</v>
      </c>
      <c r="CB608" s="663"/>
      <c r="CC608" s="663"/>
      <c r="CD608" s="664"/>
      <c r="CE608" s="665" t="s">
        <v>932</v>
      </c>
      <c r="CF608" s="666"/>
      <c r="CG608" s="667"/>
      <c r="CH608" s="662" t="s">
        <v>932</v>
      </c>
      <c r="CI608" s="663"/>
      <c r="CJ608" s="663"/>
      <c r="CK608" s="664"/>
      <c r="CL608" s="665" t="s">
        <v>932</v>
      </c>
      <c r="CM608" s="666"/>
      <c r="CN608" s="667"/>
    </row>
    <row r="609" customHeight="1" spans="1:92">
      <c r="A609" s="612"/>
      <c r="B609" s="612"/>
      <c r="C609" s="518"/>
      <c r="D609" s="518"/>
      <c r="E609" s="518"/>
      <c r="F609" s="657"/>
      <c r="G609" s="657"/>
      <c r="H609" s="657"/>
      <c r="I609" s="519"/>
      <c r="J609" s="519"/>
      <c r="K609" s="519"/>
      <c r="L609" s="519"/>
      <c r="M609" s="519"/>
      <c r="N609" s="519"/>
      <c r="O609" s="519"/>
      <c r="P609" s="519"/>
      <c r="Q609" s="519"/>
      <c r="R609" s="519"/>
      <c r="S609" s="519"/>
      <c r="T609" s="519"/>
      <c r="U609" s="519"/>
      <c r="V609" s="519"/>
      <c r="W609" s="519"/>
      <c r="X609" s="519"/>
      <c r="Y609" s="519"/>
      <c r="Z609" s="519"/>
      <c r="AA609" s="519"/>
      <c r="AB609" s="526"/>
      <c r="AC609" s="526"/>
      <c r="AD609" s="658"/>
      <c r="AE609" s="658"/>
      <c r="AF609" s="658"/>
      <c r="AG609" s="526" t="s">
        <v>935</v>
      </c>
      <c r="AH609" s="526"/>
      <c r="AI609" s="659" t="s">
        <v>936</v>
      </c>
      <c r="AJ609" s="659"/>
      <c r="AK609" s="659"/>
      <c r="AL609" s="659"/>
      <c r="AM609" s="659"/>
      <c r="AN609" s="659"/>
      <c r="AO609" s="659"/>
      <c r="AP609" s="659"/>
      <c r="AQ609" s="659"/>
      <c r="AR609" s="659"/>
      <c r="AS609" s="659"/>
      <c r="AT609" s="659"/>
      <c r="AU609" s="659"/>
      <c r="AV609" s="659"/>
      <c r="AW609" s="658">
        <v>9</v>
      </c>
      <c r="AX609" s="658"/>
      <c r="AY609" s="658"/>
      <c r="AZ609" s="658"/>
      <c r="BA609" s="658"/>
      <c r="BB609" s="658"/>
      <c r="BC609" s="658">
        <v>0.0229066503096216</v>
      </c>
      <c r="BD609" s="658"/>
      <c r="BE609" s="658"/>
      <c r="BF609" s="658">
        <v>182.49</v>
      </c>
      <c r="BG609" s="658"/>
      <c r="BH609" s="658"/>
      <c r="BI609" s="567">
        <v>0.000125522770067519</v>
      </c>
      <c r="BJ609" s="567"/>
      <c r="BK609" s="567"/>
      <c r="BL609" s="567"/>
      <c r="BM609" s="660">
        <v>0.000125522770067519</v>
      </c>
      <c r="BN609" s="660"/>
      <c r="BO609" s="660"/>
      <c r="BP609" s="660"/>
      <c r="BQ609" s="568">
        <v>1</v>
      </c>
      <c r="BR609" s="568"/>
      <c r="BS609" s="568"/>
      <c r="BT609" s="660" t="s">
        <v>932</v>
      </c>
      <c r="BU609" s="660"/>
      <c r="BV609" s="660"/>
      <c r="BW609" s="660"/>
      <c r="BX609" s="568" t="s">
        <v>932</v>
      </c>
      <c r="BY609" s="568"/>
      <c r="BZ609" s="568"/>
      <c r="CA609" s="660" t="s">
        <v>932</v>
      </c>
      <c r="CB609" s="660"/>
      <c r="CC609" s="660"/>
      <c r="CD609" s="660"/>
      <c r="CE609" s="568" t="s">
        <v>932</v>
      </c>
      <c r="CF609" s="568"/>
      <c r="CG609" s="568"/>
      <c r="CH609" s="660" t="s">
        <v>932</v>
      </c>
      <c r="CI609" s="660"/>
      <c r="CJ609" s="660"/>
      <c r="CK609" s="660"/>
      <c r="CL609" s="568" t="s">
        <v>932</v>
      </c>
      <c r="CM609" s="568"/>
      <c r="CN609" s="568"/>
    </row>
    <row r="610" hidden="1" customHeight="1" spans="1:92">
      <c r="A610" s="612"/>
      <c r="B610" s="612"/>
      <c r="C610" s="518"/>
      <c r="D610" s="518"/>
      <c r="E610" s="518"/>
      <c r="F610" s="657"/>
      <c r="G610" s="657"/>
      <c r="H610" s="657"/>
      <c r="I610" s="519"/>
      <c r="J610" s="519"/>
      <c r="K610" s="519"/>
      <c r="L610" s="519"/>
      <c r="M610" s="519"/>
      <c r="N610" s="519"/>
      <c r="O610" s="519"/>
      <c r="P610" s="519"/>
      <c r="Q610" s="519"/>
      <c r="R610" s="519"/>
      <c r="S610" s="519"/>
      <c r="T610" s="519"/>
      <c r="U610" s="519"/>
      <c r="V610" s="519"/>
      <c r="W610" s="519"/>
      <c r="X610" s="519"/>
      <c r="Y610" s="519"/>
      <c r="Z610" s="519"/>
      <c r="AA610" s="519"/>
      <c r="AB610" s="526"/>
      <c r="AC610" s="526"/>
      <c r="AD610" s="658"/>
      <c r="AE610" s="658"/>
      <c r="AF610" s="658"/>
      <c r="AG610" s="526">
        <v>0</v>
      </c>
      <c r="AH610" s="526"/>
      <c r="AI610" s="659" t="e">
        <v>#N/A</v>
      </c>
      <c r="AJ610" s="659"/>
      <c r="AK610" s="659"/>
      <c r="AL610" s="659"/>
      <c r="AM610" s="659"/>
      <c r="AN610" s="659"/>
      <c r="AO610" s="659"/>
      <c r="AP610" s="659"/>
      <c r="AQ610" s="659"/>
      <c r="AR610" s="659"/>
      <c r="AS610" s="659"/>
      <c r="AT610" s="659"/>
      <c r="AU610" s="659"/>
      <c r="AV610" s="659"/>
      <c r="AW610" s="658">
        <v>0</v>
      </c>
      <c r="AX610" s="658"/>
      <c r="AY610" s="658"/>
      <c r="AZ610" s="658"/>
      <c r="BA610" s="658"/>
      <c r="BB610" s="658"/>
      <c r="BC610" s="658">
        <v>0</v>
      </c>
      <c r="BD610" s="658"/>
      <c r="BE610" s="658"/>
      <c r="BF610" s="658">
        <v>182.49</v>
      </c>
      <c r="BG610" s="658"/>
      <c r="BH610" s="658"/>
      <c r="BI610" s="567">
        <v>0</v>
      </c>
      <c r="BJ610" s="567"/>
      <c r="BK610" s="567"/>
      <c r="BL610" s="567"/>
      <c r="BM610" s="660" t="s">
        <v>932</v>
      </c>
      <c r="BN610" s="660"/>
      <c r="BO610" s="660"/>
      <c r="BP610" s="660"/>
      <c r="BQ610" s="568">
        <v>1</v>
      </c>
      <c r="BR610" s="568"/>
      <c r="BS610" s="568"/>
      <c r="BT610" s="660" t="s">
        <v>932</v>
      </c>
      <c r="BU610" s="660"/>
      <c r="BV610" s="660"/>
      <c r="BW610" s="660"/>
      <c r="BX610" s="568" t="s">
        <v>932</v>
      </c>
      <c r="BY610" s="568"/>
      <c r="BZ610" s="568"/>
      <c r="CA610" s="660" t="s">
        <v>932</v>
      </c>
      <c r="CB610" s="660"/>
      <c r="CC610" s="660"/>
      <c r="CD610" s="660"/>
      <c r="CE610" s="568" t="s">
        <v>932</v>
      </c>
      <c r="CF610" s="568"/>
      <c r="CG610" s="568"/>
      <c r="CH610" s="660" t="s">
        <v>932</v>
      </c>
      <c r="CI610" s="660"/>
      <c r="CJ610" s="660"/>
      <c r="CK610" s="660"/>
      <c r="CL610" s="568" t="s">
        <v>932</v>
      </c>
      <c r="CM610" s="568"/>
      <c r="CN610" s="568"/>
    </row>
    <row r="611" hidden="1" customHeight="1" spans="1:92">
      <c r="A611" s="612"/>
      <c r="B611" s="612"/>
      <c r="C611" s="518"/>
      <c r="D611" s="518"/>
      <c r="E611" s="518"/>
      <c r="F611" s="657"/>
      <c r="G611" s="657"/>
      <c r="H611" s="657"/>
      <c r="I611" s="519"/>
      <c r="J611" s="519"/>
      <c r="K611" s="519"/>
      <c r="L611" s="519"/>
      <c r="M611" s="519"/>
      <c r="N611" s="519"/>
      <c r="O611" s="519"/>
      <c r="P611" s="519"/>
      <c r="Q611" s="519"/>
      <c r="R611" s="519"/>
      <c r="S611" s="519"/>
      <c r="T611" s="519"/>
      <c r="U611" s="519"/>
      <c r="V611" s="519"/>
      <c r="W611" s="519"/>
      <c r="X611" s="519"/>
      <c r="Y611" s="519"/>
      <c r="Z611" s="519"/>
      <c r="AA611" s="519"/>
      <c r="AB611" s="526"/>
      <c r="AC611" s="526"/>
      <c r="AD611" s="658"/>
      <c r="AE611" s="658"/>
      <c r="AF611" s="658"/>
      <c r="AG611" s="526">
        <v>0</v>
      </c>
      <c r="AH611" s="526"/>
      <c r="AI611" s="659" t="e">
        <v>#N/A</v>
      </c>
      <c r="AJ611" s="659"/>
      <c r="AK611" s="659"/>
      <c r="AL611" s="659"/>
      <c r="AM611" s="659"/>
      <c r="AN611" s="659"/>
      <c r="AO611" s="659"/>
      <c r="AP611" s="659"/>
      <c r="AQ611" s="659"/>
      <c r="AR611" s="659"/>
      <c r="AS611" s="659"/>
      <c r="AT611" s="659"/>
      <c r="AU611" s="659"/>
      <c r="AV611" s="659"/>
      <c r="AW611" s="658">
        <v>0</v>
      </c>
      <c r="AX611" s="658"/>
      <c r="AY611" s="658"/>
      <c r="AZ611" s="658"/>
      <c r="BA611" s="658"/>
      <c r="BB611" s="658"/>
      <c r="BC611" s="658">
        <v>0</v>
      </c>
      <c r="BD611" s="658"/>
      <c r="BE611" s="658"/>
      <c r="BF611" s="658">
        <v>182.49</v>
      </c>
      <c r="BG611" s="658"/>
      <c r="BH611" s="658"/>
      <c r="BI611" s="567">
        <v>0</v>
      </c>
      <c r="BJ611" s="567"/>
      <c r="BK611" s="567"/>
      <c r="BL611" s="567"/>
      <c r="BM611" s="660" t="s">
        <v>932</v>
      </c>
      <c r="BN611" s="660"/>
      <c r="BO611" s="660"/>
      <c r="BP611" s="660"/>
      <c r="BQ611" s="568">
        <v>1</v>
      </c>
      <c r="BR611" s="568"/>
      <c r="BS611" s="568"/>
      <c r="BT611" s="660" t="s">
        <v>932</v>
      </c>
      <c r="BU611" s="660"/>
      <c r="BV611" s="660"/>
      <c r="BW611" s="660"/>
      <c r="BX611" s="568" t="s">
        <v>932</v>
      </c>
      <c r="BY611" s="568"/>
      <c r="BZ611" s="568"/>
      <c r="CA611" s="660" t="s">
        <v>932</v>
      </c>
      <c r="CB611" s="660"/>
      <c r="CC611" s="660"/>
      <c r="CD611" s="660"/>
      <c r="CE611" s="568" t="s">
        <v>932</v>
      </c>
      <c r="CF611" s="568"/>
      <c r="CG611" s="568"/>
      <c r="CH611" s="660" t="s">
        <v>932</v>
      </c>
      <c r="CI611" s="660"/>
      <c r="CJ611" s="660"/>
      <c r="CK611" s="660"/>
      <c r="CL611" s="568" t="s">
        <v>932</v>
      </c>
      <c r="CM611" s="568"/>
      <c r="CN611" s="568"/>
    </row>
    <row r="612" hidden="1" customHeight="1" spans="1:92">
      <c r="A612" s="612"/>
      <c r="B612" s="612"/>
      <c r="C612" s="518"/>
      <c r="D612" s="518"/>
      <c r="E612" s="518"/>
      <c r="F612" s="657"/>
      <c r="G612" s="657"/>
      <c r="H612" s="657"/>
      <c r="I612" s="519"/>
      <c r="J612" s="519"/>
      <c r="K612" s="519"/>
      <c r="L612" s="519"/>
      <c r="M612" s="519"/>
      <c r="N612" s="519"/>
      <c r="O612" s="519"/>
      <c r="P612" s="519"/>
      <c r="Q612" s="519"/>
      <c r="R612" s="519"/>
      <c r="S612" s="519"/>
      <c r="T612" s="519"/>
      <c r="U612" s="519"/>
      <c r="V612" s="519"/>
      <c r="W612" s="519"/>
      <c r="X612" s="519"/>
      <c r="Y612" s="519"/>
      <c r="Z612" s="519"/>
      <c r="AA612" s="519"/>
      <c r="AB612" s="526"/>
      <c r="AC612" s="526"/>
      <c r="AD612" s="658"/>
      <c r="AE612" s="658"/>
      <c r="AF612" s="658"/>
      <c r="AG612" s="526">
        <v>0</v>
      </c>
      <c r="AH612" s="526"/>
      <c r="AI612" s="659" t="e">
        <v>#N/A</v>
      </c>
      <c r="AJ612" s="659"/>
      <c r="AK612" s="659"/>
      <c r="AL612" s="659"/>
      <c r="AM612" s="659"/>
      <c r="AN612" s="659"/>
      <c r="AO612" s="659"/>
      <c r="AP612" s="659"/>
      <c r="AQ612" s="659"/>
      <c r="AR612" s="659"/>
      <c r="AS612" s="659"/>
      <c r="AT612" s="659"/>
      <c r="AU612" s="659"/>
      <c r="AV612" s="659"/>
      <c r="AW612" s="658">
        <v>0</v>
      </c>
      <c r="AX612" s="658"/>
      <c r="AY612" s="658"/>
      <c r="AZ612" s="658"/>
      <c r="BA612" s="658"/>
      <c r="BB612" s="658"/>
      <c r="BC612" s="658">
        <v>0</v>
      </c>
      <c r="BD612" s="658"/>
      <c r="BE612" s="658"/>
      <c r="BF612" s="658">
        <v>182.49</v>
      </c>
      <c r="BG612" s="658"/>
      <c r="BH612" s="658"/>
      <c r="BI612" s="567">
        <v>0</v>
      </c>
      <c r="BJ612" s="567"/>
      <c r="BK612" s="567"/>
      <c r="BL612" s="567"/>
      <c r="BM612" s="660" t="s">
        <v>932</v>
      </c>
      <c r="BN612" s="660"/>
      <c r="BO612" s="660"/>
      <c r="BP612" s="660"/>
      <c r="BQ612" s="568">
        <v>1</v>
      </c>
      <c r="BR612" s="568"/>
      <c r="BS612" s="568"/>
      <c r="BT612" s="660" t="s">
        <v>932</v>
      </c>
      <c r="BU612" s="660"/>
      <c r="BV612" s="660"/>
      <c r="BW612" s="660"/>
      <c r="BX612" s="568" t="s">
        <v>932</v>
      </c>
      <c r="BY612" s="568"/>
      <c r="BZ612" s="568"/>
      <c r="CA612" s="660" t="s">
        <v>932</v>
      </c>
      <c r="CB612" s="660"/>
      <c r="CC612" s="660"/>
      <c r="CD612" s="660"/>
      <c r="CE612" s="568" t="s">
        <v>932</v>
      </c>
      <c r="CF612" s="568"/>
      <c r="CG612" s="568"/>
      <c r="CH612" s="660" t="s">
        <v>932</v>
      </c>
      <c r="CI612" s="660"/>
      <c r="CJ612" s="660"/>
      <c r="CK612" s="660"/>
      <c r="CL612" s="568" t="s">
        <v>932</v>
      </c>
      <c r="CM612" s="568"/>
      <c r="CN612" s="568"/>
    </row>
    <row r="613" hidden="1" customHeight="1" spans="1:92">
      <c r="A613" s="612"/>
      <c r="B613" s="612"/>
      <c r="C613" s="518"/>
      <c r="D613" s="518"/>
      <c r="E613" s="518"/>
      <c r="F613" s="657"/>
      <c r="G613" s="657"/>
      <c r="H613" s="657"/>
      <c r="I613" s="519"/>
      <c r="J613" s="519"/>
      <c r="K613" s="519"/>
      <c r="L613" s="519"/>
      <c r="M613" s="519"/>
      <c r="N613" s="519"/>
      <c r="O613" s="519"/>
      <c r="P613" s="519"/>
      <c r="Q613" s="519"/>
      <c r="R613" s="519"/>
      <c r="S613" s="519"/>
      <c r="T613" s="519"/>
      <c r="U613" s="519"/>
      <c r="V613" s="519"/>
      <c r="W613" s="519"/>
      <c r="X613" s="519"/>
      <c r="Y613" s="519"/>
      <c r="Z613" s="519"/>
      <c r="AA613" s="519"/>
      <c r="AB613" s="526"/>
      <c r="AC613" s="526"/>
      <c r="AD613" s="658"/>
      <c r="AE613" s="658"/>
      <c r="AF613" s="658"/>
      <c r="AG613" s="526">
        <v>0</v>
      </c>
      <c r="AH613" s="526"/>
      <c r="AI613" s="659" t="e">
        <v>#N/A</v>
      </c>
      <c r="AJ613" s="659"/>
      <c r="AK613" s="659"/>
      <c r="AL613" s="659"/>
      <c r="AM613" s="659"/>
      <c r="AN613" s="659"/>
      <c r="AO613" s="659"/>
      <c r="AP613" s="659"/>
      <c r="AQ613" s="659"/>
      <c r="AR613" s="659"/>
      <c r="AS613" s="659"/>
      <c r="AT613" s="659"/>
      <c r="AU613" s="659"/>
      <c r="AV613" s="659"/>
      <c r="AW613" s="658">
        <v>0</v>
      </c>
      <c r="AX613" s="658"/>
      <c r="AY613" s="658"/>
      <c r="AZ613" s="658"/>
      <c r="BA613" s="658"/>
      <c r="BB613" s="658"/>
      <c r="BC613" s="658">
        <v>0</v>
      </c>
      <c r="BD613" s="658"/>
      <c r="BE613" s="658"/>
      <c r="BF613" s="658">
        <v>182.49</v>
      </c>
      <c r="BG613" s="658"/>
      <c r="BH613" s="658"/>
      <c r="BI613" s="567">
        <v>0</v>
      </c>
      <c r="BJ613" s="567"/>
      <c r="BK613" s="567"/>
      <c r="BL613" s="567"/>
      <c r="BM613" s="660" t="s">
        <v>932</v>
      </c>
      <c r="BN613" s="660"/>
      <c r="BO613" s="660"/>
      <c r="BP613" s="660"/>
      <c r="BQ613" s="568">
        <v>1</v>
      </c>
      <c r="BR613" s="568"/>
      <c r="BS613" s="568"/>
      <c r="BT613" s="660" t="s">
        <v>932</v>
      </c>
      <c r="BU613" s="660"/>
      <c r="BV613" s="660"/>
      <c r="BW613" s="660"/>
      <c r="BX613" s="568" t="s">
        <v>932</v>
      </c>
      <c r="BY613" s="568"/>
      <c r="BZ613" s="568"/>
      <c r="CA613" s="660" t="s">
        <v>932</v>
      </c>
      <c r="CB613" s="660"/>
      <c r="CC613" s="660"/>
      <c r="CD613" s="660"/>
      <c r="CE613" s="568" t="s">
        <v>932</v>
      </c>
      <c r="CF613" s="568"/>
      <c r="CG613" s="568"/>
      <c r="CH613" s="660" t="s">
        <v>932</v>
      </c>
      <c r="CI613" s="660"/>
      <c r="CJ613" s="660"/>
      <c r="CK613" s="660"/>
      <c r="CL613" s="568" t="s">
        <v>932</v>
      </c>
      <c r="CM613" s="568"/>
      <c r="CN613" s="568"/>
    </row>
    <row r="614" hidden="1" customHeight="1" spans="1:92">
      <c r="A614" s="612"/>
      <c r="B614" s="612"/>
      <c r="C614" s="518"/>
      <c r="D614" s="518"/>
      <c r="E614" s="518"/>
      <c r="F614" s="657"/>
      <c r="G614" s="657"/>
      <c r="H614" s="657"/>
      <c r="I614" s="519"/>
      <c r="J614" s="519"/>
      <c r="K614" s="519"/>
      <c r="L614" s="519"/>
      <c r="M614" s="519"/>
      <c r="N614" s="519"/>
      <c r="O614" s="519"/>
      <c r="P614" s="519"/>
      <c r="Q614" s="519"/>
      <c r="R614" s="519"/>
      <c r="S614" s="519"/>
      <c r="T614" s="519"/>
      <c r="U614" s="519"/>
      <c r="V614" s="519"/>
      <c r="W614" s="519"/>
      <c r="X614" s="519"/>
      <c r="Y614" s="519"/>
      <c r="Z614" s="519"/>
      <c r="AA614" s="519"/>
      <c r="AB614" s="526"/>
      <c r="AC614" s="526"/>
      <c r="AD614" s="658"/>
      <c r="AE614" s="658"/>
      <c r="AF614" s="658"/>
      <c r="AG614" s="526">
        <v>0</v>
      </c>
      <c r="AH614" s="526"/>
      <c r="AI614" s="659" t="e">
        <v>#N/A</v>
      </c>
      <c r="AJ614" s="659"/>
      <c r="AK614" s="659"/>
      <c r="AL614" s="659"/>
      <c r="AM614" s="659"/>
      <c r="AN614" s="659"/>
      <c r="AO614" s="659"/>
      <c r="AP614" s="659"/>
      <c r="AQ614" s="659"/>
      <c r="AR614" s="659"/>
      <c r="AS614" s="659"/>
      <c r="AT614" s="659"/>
      <c r="AU614" s="659"/>
      <c r="AV614" s="659"/>
      <c r="AW614" s="658">
        <v>0</v>
      </c>
      <c r="AX614" s="658"/>
      <c r="AY614" s="658"/>
      <c r="AZ614" s="658"/>
      <c r="BA614" s="658"/>
      <c r="BB614" s="658"/>
      <c r="BC614" s="658">
        <v>0</v>
      </c>
      <c r="BD614" s="658"/>
      <c r="BE614" s="658"/>
      <c r="BF614" s="658">
        <v>182.49</v>
      </c>
      <c r="BG614" s="658"/>
      <c r="BH614" s="658"/>
      <c r="BI614" s="567">
        <v>0</v>
      </c>
      <c r="BJ614" s="567"/>
      <c r="BK614" s="567"/>
      <c r="BL614" s="567"/>
      <c r="BM614" s="660" t="s">
        <v>932</v>
      </c>
      <c r="BN614" s="660"/>
      <c r="BO614" s="660"/>
      <c r="BP614" s="660"/>
      <c r="BQ614" s="568">
        <v>1</v>
      </c>
      <c r="BR614" s="568"/>
      <c r="BS614" s="568"/>
      <c r="BT614" s="660" t="s">
        <v>932</v>
      </c>
      <c r="BU614" s="660"/>
      <c r="BV614" s="660"/>
      <c r="BW614" s="660"/>
      <c r="BX614" s="568" t="s">
        <v>932</v>
      </c>
      <c r="BY614" s="568"/>
      <c r="BZ614" s="568"/>
      <c r="CA614" s="660" t="s">
        <v>932</v>
      </c>
      <c r="CB614" s="660"/>
      <c r="CC614" s="660"/>
      <c r="CD614" s="660"/>
      <c r="CE614" s="568" t="s">
        <v>932</v>
      </c>
      <c r="CF614" s="568"/>
      <c r="CG614" s="568"/>
      <c r="CH614" s="660" t="s">
        <v>932</v>
      </c>
      <c r="CI614" s="660"/>
      <c r="CJ614" s="660"/>
      <c r="CK614" s="660"/>
      <c r="CL614" s="568" t="s">
        <v>932</v>
      </c>
      <c r="CM614" s="568"/>
      <c r="CN614" s="568"/>
    </row>
    <row r="615" hidden="1" customHeight="1" spans="1:92">
      <c r="A615" s="612"/>
      <c r="B615" s="612"/>
      <c r="C615" s="518"/>
      <c r="D615" s="518"/>
      <c r="E615" s="518"/>
      <c r="F615" s="657"/>
      <c r="G615" s="657"/>
      <c r="H615" s="657"/>
      <c r="I615" s="519"/>
      <c r="J615" s="519"/>
      <c r="K615" s="519"/>
      <c r="L615" s="519"/>
      <c r="M615" s="519"/>
      <c r="N615" s="519"/>
      <c r="O615" s="519"/>
      <c r="P615" s="519"/>
      <c r="Q615" s="519"/>
      <c r="R615" s="519"/>
      <c r="S615" s="519"/>
      <c r="T615" s="519"/>
      <c r="U615" s="519"/>
      <c r="V615" s="519"/>
      <c r="W615" s="519"/>
      <c r="X615" s="519"/>
      <c r="Y615" s="519"/>
      <c r="Z615" s="519"/>
      <c r="AA615" s="519"/>
      <c r="AB615" s="526"/>
      <c r="AC615" s="526"/>
      <c r="AD615" s="658"/>
      <c r="AE615" s="658"/>
      <c r="AF615" s="658"/>
      <c r="AG615" s="526">
        <v>0</v>
      </c>
      <c r="AH615" s="526"/>
      <c r="AI615" s="659" t="e">
        <v>#N/A</v>
      </c>
      <c r="AJ615" s="659"/>
      <c r="AK615" s="659"/>
      <c r="AL615" s="659"/>
      <c r="AM615" s="659"/>
      <c r="AN615" s="659"/>
      <c r="AO615" s="659"/>
      <c r="AP615" s="659"/>
      <c r="AQ615" s="659"/>
      <c r="AR615" s="659"/>
      <c r="AS615" s="659"/>
      <c r="AT615" s="659"/>
      <c r="AU615" s="659"/>
      <c r="AV615" s="659"/>
      <c r="AW615" s="658">
        <v>0</v>
      </c>
      <c r="AX615" s="658"/>
      <c r="AY615" s="658"/>
      <c r="AZ615" s="658"/>
      <c r="BA615" s="658"/>
      <c r="BB615" s="658"/>
      <c r="BC615" s="658">
        <v>0</v>
      </c>
      <c r="BD615" s="658"/>
      <c r="BE615" s="658"/>
      <c r="BF615" s="658">
        <v>182.49</v>
      </c>
      <c r="BG615" s="658"/>
      <c r="BH615" s="658"/>
      <c r="BI615" s="567">
        <v>0</v>
      </c>
      <c r="BJ615" s="567"/>
      <c r="BK615" s="567"/>
      <c r="BL615" s="567"/>
      <c r="BM615" s="660" t="s">
        <v>932</v>
      </c>
      <c r="BN615" s="660"/>
      <c r="BO615" s="660"/>
      <c r="BP615" s="660"/>
      <c r="BQ615" s="568">
        <v>1</v>
      </c>
      <c r="BR615" s="568"/>
      <c r="BS615" s="568"/>
      <c r="BT615" s="660" t="s">
        <v>932</v>
      </c>
      <c r="BU615" s="660"/>
      <c r="BV615" s="660"/>
      <c r="BW615" s="660"/>
      <c r="BX615" s="568" t="s">
        <v>932</v>
      </c>
      <c r="BY615" s="568"/>
      <c r="BZ615" s="568"/>
      <c r="CA615" s="660" t="s">
        <v>932</v>
      </c>
      <c r="CB615" s="660"/>
      <c r="CC615" s="660"/>
      <c r="CD615" s="660"/>
      <c r="CE615" s="568" t="s">
        <v>932</v>
      </c>
      <c r="CF615" s="568"/>
      <c r="CG615" s="568"/>
      <c r="CH615" s="660" t="s">
        <v>932</v>
      </c>
      <c r="CI615" s="660"/>
      <c r="CJ615" s="660"/>
      <c r="CK615" s="660"/>
      <c r="CL615" s="568" t="s">
        <v>932</v>
      </c>
      <c r="CM615" s="568"/>
      <c r="CN615" s="568"/>
    </row>
    <row r="616" hidden="1" customHeight="1" spans="1:92">
      <c r="A616" s="612" t="s">
        <v>979</v>
      </c>
      <c r="B616" s="612"/>
      <c r="C616" s="518" t="s">
        <v>1020</v>
      </c>
      <c r="D616" s="518"/>
      <c r="E616" s="518"/>
      <c r="F616" s="657">
        <v>407819</v>
      </c>
      <c r="G616" s="657"/>
      <c r="H616" s="657"/>
      <c r="I616" s="519" t="s">
        <v>100</v>
      </c>
      <c r="J616" s="519"/>
      <c r="K616" s="519"/>
      <c r="L616" s="519"/>
      <c r="M616" s="519"/>
      <c r="N616" s="519"/>
      <c r="O616" s="519"/>
      <c r="P616" s="519"/>
      <c r="Q616" s="519"/>
      <c r="R616" s="519"/>
      <c r="S616" s="519"/>
      <c r="T616" s="519"/>
      <c r="U616" s="519"/>
      <c r="V616" s="519"/>
      <c r="W616" s="519"/>
      <c r="X616" s="519"/>
      <c r="Y616" s="519"/>
      <c r="Z616" s="519"/>
      <c r="AA616" s="519"/>
      <c r="AB616" s="526" t="s">
        <v>101</v>
      </c>
      <c r="AC616" s="526"/>
      <c r="AD616" s="658">
        <v>231.2</v>
      </c>
      <c r="AE616" s="658"/>
      <c r="AF616" s="658"/>
      <c r="AG616" s="526" t="s">
        <v>937</v>
      </c>
      <c r="AH616" s="526"/>
      <c r="AI616" s="659" t="s">
        <v>938</v>
      </c>
      <c r="AJ616" s="659"/>
      <c r="AK616" s="659"/>
      <c r="AL616" s="659"/>
      <c r="AM616" s="659"/>
      <c r="AN616" s="659"/>
      <c r="AO616" s="659"/>
      <c r="AP616" s="659"/>
      <c r="AQ616" s="659"/>
      <c r="AR616" s="659"/>
      <c r="AS616" s="659"/>
      <c r="AT616" s="659"/>
      <c r="AU616" s="659"/>
      <c r="AV616" s="659"/>
      <c r="AW616" s="658">
        <v>0.09</v>
      </c>
      <c r="AX616" s="658"/>
      <c r="AY616" s="658"/>
      <c r="AZ616" s="658">
        <v>1</v>
      </c>
      <c r="BA616" s="658"/>
      <c r="BB616" s="658"/>
      <c r="BC616" s="658">
        <v>20.808</v>
      </c>
      <c r="BD616" s="658"/>
      <c r="BE616" s="658"/>
      <c r="BF616" s="658">
        <v>182.49</v>
      </c>
      <c r="BG616" s="658"/>
      <c r="BH616" s="658"/>
      <c r="BI616" s="567">
        <v>0.114022686174585</v>
      </c>
      <c r="BJ616" s="567"/>
      <c r="BK616" s="567"/>
      <c r="BL616" s="567"/>
      <c r="BM616" s="660" t="s">
        <v>932</v>
      </c>
      <c r="BN616" s="660"/>
      <c r="BO616" s="660"/>
      <c r="BP616" s="660"/>
      <c r="BQ616" s="568" t="s">
        <v>932</v>
      </c>
      <c r="BR616" s="568"/>
      <c r="BS616" s="568"/>
      <c r="BT616" s="660" t="s">
        <v>932</v>
      </c>
      <c r="BU616" s="660"/>
      <c r="BV616" s="660"/>
      <c r="BW616" s="660"/>
      <c r="BX616" s="568" t="s">
        <v>932</v>
      </c>
      <c r="BY616" s="568"/>
      <c r="BZ616" s="568"/>
      <c r="CA616" s="660">
        <v>0.114022686174585</v>
      </c>
      <c r="CB616" s="660"/>
      <c r="CC616" s="660"/>
      <c r="CD616" s="660"/>
      <c r="CE616" s="568">
        <v>1</v>
      </c>
      <c r="CF616" s="568"/>
      <c r="CG616" s="568"/>
      <c r="CH616" s="660" t="s">
        <v>932</v>
      </c>
      <c r="CI616" s="660"/>
      <c r="CJ616" s="660"/>
      <c r="CK616" s="660"/>
      <c r="CL616" s="568" t="s">
        <v>932</v>
      </c>
      <c r="CM616" s="568"/>
      <c r="CN616" s="568"/>
    </row>
    <row r="617" hidden="1" customHeight="1" spans="1:92">
      <c r="A617" s="612"/>
      <c r="B617" s="612"/>
      <c r="C617" s="518"/>
      <c r="D617" s="518"/>
      <c r="E617" s="518"/>
      <c r="F617" s="657"/>
      <c r="G617" s="657"/>
      <c r="H617" s="657"/>
      <c r="I617" s="519"/>
      <c r="J617" s="519"/>
      <c r="K617" s="519"/>
      <c r="L617" s="519"/>
      <c r="M617" s="519"/>
      <c r="N617" s="519"/>
      <c r="O617" s="519"/>
      <c r="P617" s="519"/>
      <c r="Q617" s="519"/>
      <c r="R617" s="519"/>
      <c r="S617" s="519"/>
      <c r="T617" s="519"/>
      <c r="U617" s="519"/>
      <c r="V617" s="519"/>
      <c r="W617" s="519"/>
      <c r="X617" s="519"/>
      <c r="Y617" s="519"/>
      <c r="Z617" s="519"/>
      <c r="AA617" s="519"/>
      <c r="AB617" s="526"/>
      <c r="AC617" s="526"/>
      <c r="AD617" s="658"/>
      <c r="AE617" s="658"/>
      <c r="AF617" s="658"/>
      <c r="AG617" s="526" t="s">
        <v>939</v>
      </c>
      <c r="AH617" s="526"/>
      <c r="AI617" s="659" t="s">
        <v>940</v>
      </c>
      <c r="AJ617" s="659"/>
      <c r="AK617" s="659"/>
      <c r="AL617" s="659"/>
      <c r="AM617" s="659"/>
      <c r="AN617" s="659"/>
      <c r="AO617" s="659"/>
      <c r="AP617" s="659"/>
      <c r="AQ617" s="659"/>
      <c r="AR617" s="659"/>
      <c r="AS617" s="659"/>
      <c r="AT617" s="659"/>
      <c r="AU617" s="659"/>
      <c r="AV617" s="659"/>
      <c r="AW617" s="658">
        <v>0.09</v>
      </c>
      <c r="AX617" s="658"/>
      <c r="AY617" s="658"/>
      <c r="AZ617" s="658"/>
      <c r="BA617" s="658"/>
      <c r="BB617" s="658"/>
      <c r="BC617" s="658">
        <v>20.808</v>
      </c>
      <c r="BD617" s="658"/>
      <c r="BE617" s="658"/>
      <c r="BF617" s="658">
        <v>182.49</v>
      </c>
      <c r="BG617" s="658"/>
      <c r="BH617" s="658"/>
      <c r="BI617" s="567">
        <v>0.114022686174585</v>
      </c>
      <c r="BJ617" s="567"/>
      <c r="BK617" s="567"/>
      <c r="BL617" s="567"/>
      <c r="BM617" s="660" t="s">
        <v>932</v>
      </c>
      <c r="BN617" s="660"/>
      <c r="BO617" s="660"/>
      <c r="BP617" s="660"/>
      <c r="BQ617" s="568" t="s">
        <v>932</v>
      </c>
      <c r="BR617" s="568"/>
      <c r="BS617" s="568"/>
      <c r="BT617" s="660" t="s">
        <v>932</v>
      </c>
      <c r="BU617" s="660"/>
      <c r="BV617" s="660"/>
      <c r="BW617" s="660"/>
      <c r="BX617" s="568" t="s">
        <v>932</v>
      </c>
      <c r="BY617" s="568"/>
      <c r="BZ617" s="568"/>
      <c r="CA617" s="660">
        <v>0.114022686174585</v>
      </c>
      <c r="CB617" s="660"/>
      <c r="CC617" s="660"/>
      <c r="CD617" s="660"/>
      <c r="CE617" s="568">
        <v>1</v>
      </c>
      <c r="CF617" s="568"/>
      <c r="CG617" s="568"/>
      <c r="CH617" s="660" t="s">
        <v>932</v>
      </c>
      <c r="CI617" s="660"/>
      <c r="CJ617" s="660"/>
      <c r="CK617" s="660"/>
      <c r="CL617" s="568" t="s">
        <v>932</v>
      </c>
      <c r="CM617" s="568"/>
      <c r="CN617" s="568"/>
    </row>
    <row r="618" hidden="1" customHeight="1" spans="1:92">
      <c r="A618" s="612"/>
      <c r="B618" s="612"/>
      <c r="C618" s="518"/>
      <c r="D618" s="518"/>
      <c r="E618" s="518"/>
      <c r="F618" s="657"/>
      <c r="G618" s="657"/>
      <c r="H618" s="657"/>
      <c r="I618" s="519"/>
      <c r="J618" s="519"/>
      <c r="K618" s="519"/>
      <c r="L618" s="519"/>
      <c r="M618" s="519"/>
      <c r="N618" s="519"/>
      <c r="O618" s="519"/>
      <c r="P618" s="519"/>
      <c r="Q618" s="519"/>
      <c r="R618" s="519"/>
      <c r="S618" s="519"/>
      <c r="T618" s="519"/>
      <c r="U618" s="519"/>
      <c r="V618" s="519"/>
      <c r="W618" s="519"/>
      <c r="X618" s="519"/>
      <c r="Y618" s="519"/>
      <c r="Z618" s="519"/>
      <c r="AA618" s="519"/>
      <c r="AB618" s="526"/>
      <c r="AC618" s="526"/>
      <c r="AD618" s="658"/>
      <c r="AE618" s="658"/>
      <c r="AF618" s="658"/>
      <c r="AG618" s="526">
        <v>0</v>
      </c>
      <c r="AH618" s="526"/>
      <c r="AI618" s="659" t="e">
        <v>#N/A</v>
      </c>
      <c r="AJ618" s="659"/>
      <c r="AK618" s="659"/>
      <c r="AL618" s="659"/>
      <c r="AM618" s="659"/>
      <c r="AN618" s="659"/>
      <c r="AO618" s="659"/>
      <c r="AP618" s="659"/>
      <c r="AQ618" s="659"/>
      <c r="AR618" s="659"/>
      <c r="AS618" s="659"/>
      <c r="AT618" s="659"/>
      <c r="AU618" s="659"/>
      <c r="AV618" s="659"/>
      <c r="AW618" s="658">
        <v>0</v>
      </c>
      <c r="AX618" s="658"/>
      <c r="AY618" s="658"/>
      <c r="AZ618" s="658"/>
      <c r="BA618" s="658"/>
      <c r="BB618" s="658"/>
      <c r="BC618" s="658">
        <v>0</v>
      </c>
      <c r="BD618" s="658"/>
      <c r="BE618" s="658"/>
      <c r="BF618" s="658">
        <v>182.49</v>
      </c>
      <c r="BG618" s="658"/>
      <c r="BH618" s="658"/>
      <c r="BI618" s="567">
        <v>0</v>
      </c>
      <c r="BJ618" s="567"/>
      <c r="BK618" s="567"/>
      <c r="BL618" s="567"/>
      <c r="BM618" s="660" t="s">
        <v>932</v>
      </c>
      <c r="BN618" s="660"/>
      <c r="BO618" s="660"/>
      <c r="BP618" s="660"/>
      <c r="BQ618" s="568" t="s">
        <v>932</v>
      </c>
      <c r="BR618" s="568"/>
      <c r="BS618" s="568"/>
      <c r="BT618" s="660" t="s">
        <v>932</v>
      </c>
      <c r="BU618" s="660"/>
      <c r="BV618" s="660"/>
      <c r="BW618" s="660"/>
      <c r="BX618" s="568" t="s">
        <v>932</v>
      </c>
      <c r="BY618" s="568"/>
      <c r="BZ618" s="568"/>
      <c r="CA618" s="660" t="s">
        <v>932</v>
      </c>
      <c r="CB618" s="660"/>
      <c r="CC618" s="660"/>
      <c r="CD618" s="660"/>
      <c r="CE618" s="568">
        <v>1</v>
      </c>
      <c r="CF618" s="568"/>
      <c r="CG618" s="568"/>
      <c r="CH618" s="660" t="s">
        <v>932</v>
      </c>
      <c r="CI618" s="660"/>
      <c r="CJ618" s="660"/>
      <c r="CK618" s="660"/>
      <c r="CL618" s="568" t="s">
        <v>932</v>
      </c>
      <c r="CM618" s="568"/>
      <c r="CN618" s="568"/>
    </row>
    <row r="619" hidden="1" customHeight="1" spans="1:92">
      <c r="A619" s="612"/>
      <c r="B619" s="612"/>
      <c r="C619" s="518"/>
      <c r="D619" s="518"/>
      <c r="E619" s="518"/>
      <c r="F619" s="657"/>
      <c r="G619" s="657"/>
      <c r="H619" s="657"/>
      <c r="I619" s="519"/>
      <c r="J619" s="519"/>
      <c r="K619" s="519"/>
      <c r="L619" s="519"/>
      <c r="M619" s="519"/>
      <c r="N619" s="519"/>
      <c r="O619" s="519"/>
      <c r="P619" s="519"/>
      <c r="Q619" s="519"/>
      <c r="R619" s="519"/>
      <c r="S619" s="519"/>
      <c r="T619" s="519"/>
      <c r="U619" s="519"/>
      <c r="V619" s="519"/>
      <c r="W619" s="519"/>
      <c r="X619" s="519"/>
      <c r="Y619" s="519"/>
      <c r="Z619" s="519"/>
      <c r="AA619" s="519"/>
      <c r="AB619" s="526"/>
      <c r="AC619" s="526"/>
      <c r="AD619" s="658"/>
      <c r="AE619" s="658"/>
      <c r="AF619" s="658"/>
      <c r="AG619" s="526">
        <v>0</v>
      </c>
      <c r="AH619" s="526"/>
      <c r="AI619" s="659" t="e">
        <v>#N/A</v>
      </c>
      <c r="AJ619" s="659"/>
      <c r="AK619" s="659"/>
      <c r="AL619" s="659"/>
      <c r="AM619" s="659"/>
      <c r="AN619" s="659"/>
      <c r="AO619" s="659"/>
      <c r="AP619" s="659"/>
      <c r="AQ619" s="659"/>
      <c r="AR619" s="659"/>
      <c r="AS619" s="659"/>
      <c r="AT619" s="659"/>
      <c r="AU619" s="659"/>
      <c r="AV619" s="659"/>
      <c r="AW619" s="658">
        <v>0</v>
      </c>
      <c r="AX619" s="658"/>
      <c r="AY619" s="658"/>
      <c r="AZ619" s="658"/>
      <c r="BA619" s="658"/>
      <c r="BB619" s="658"/>
      <c r="BC619" s="658">
        <v>0</v>
      </c>
      <c r="BD619" s="658"/>
      <c r="BE619" s="658"/>
      <c r="BF619" s="658">
        <v>182.49</v>
      </c>
      <c r="BG619" s="658"/>
      <c r="BH619" s="658"/>
      <c r="BI619" s="567">
        <v>0</v>
      </c>
      <c r="BJ619" s="567"/>
      <c r="BK619" s="567"/>
      <c r="BL619" s="567"/>
      <c r="BM619" s="660" t="s">
        <v>932</v>
      </c>
      <c r="BN619" s="660"/>
      <c r="BO619" s="660"/>
      <c r="BP619" s="660"/>
      <c r="BQ619" s="568" t="s">
        <v>932</v>
      </c>
      <c r="BR619" s="568"/>
      <c r="BS619" s="568"/>
      <c r="BT619" s="660" t="s">
        <v>932</v>
      </c>
      <c r="BU619" s="660"/>
      <c r="BV619" s="660"/>
      <c r="BW619" s="660"/>
      <c r="BX619" s="568" t="s">
        <v>932</v>
      </c>
      <c r="BY619" s="568"/>
      <c r="BZ619" s="568"/>
      <c r="CA619" s="660" t="s">
        <v>932</v>
      </c>
      <c r="CB619" s="660"/>
      <c r="CC619" s="660"/>
      <c r="CD619" s="660"/>
      <c r="CE619" s="568">
        <v>1</v>
      </c>
      <c r="CF619" s="568"/>
      <c r="CG619" s="568"/>
      <c r="CH619" s="660" t="s">
        <v>932</v>
      </c>
      <c r="CI619" s="660"/>
      <c r="CJ619" s="660"/>
      <c r="CK619" s="660"/>
      <c r="CL619" s="568" t="s">
        <v>932</v>
      </c>
      <c r="CM619" s="568"/>
      <c r="CN619" s="568"/>
    </row>
    <row r="620" hidden="1" customHeight="1" spans="1:92">
      <c r="A620" s="612"/>
      <c r="B620" s="612"/>
      <c r="C620" s="518"/>
      <c r="D620" s="518"/>
      <c r="E620" s="518"/>
      <c r="F620" s="657"/>
      <c r="G620" s="657"/>
      <c r="H620" s="657"/>
      <c r="I620" s="519"/>
      <c r="J620" s="519"/>
      <c r="K620" s="519"/>
      <c r="L620" s="519"/>
      <c r="M620" s="519"/>
      <c r="N620" s="519"/>
      <c r="O620" s="519"/>
      <c r="P620" s="519"/>
      <c r="Q620" s="519"/>
      <c r="R620" s="519"/>
      <c r="S620" s="519"/>
      <c r="T620" s="519"/>
      <c r="U620" s="519"/>
      <c r="V620" s="519"/>
      <c r="W620" s="519"/>
      <c r="X620" s="519"/>
      <c r="Y620" s="519"/>
      <c r="Z620" s="519"/>
      <c r="AA620" s="519"/>
      <c r="AB620" s="526"/>
      <c r="AC620" s="526"/>
      <c r="AD620" s="658"/>
      <c r="AE620" s="658"/>
      <c r="AF620" s="658"/>
      <c r="AG620" s="526">
        <v>0</v>
      </c>
      <c r="AH620" s="526"/>
      <c r="AI620" s="659" t="e">
        <v>#N/A</v>
      </c>
      <c r="AJ620" s="659"/>
      <c r="AK620" s="659"/>
      <c r="AL620" s="659"/>
      <c r="AM620" s="659"/>
      <c r="AN620" s="659"/>
      <c r="AO620" s="659"/>
      <c r="AP620" s="659"/>
      <c r="AQ620" s="659"/>
      <c r="AR620" s="659"/>
      <c r="AS620" s="659"/>
      <c r="AT620" s="659"/>
      <c r="AU620" s="659"/>
      <c r="AV620" s="659"/>
      <c r="AW620" s="658">
        <v>0</v>
      </c>
      <c r="AX620" s="658"/>
      <c r="AY620" s="658"/>
      <c r="AZ620" s="658"/>
      <c r="BA620" s="658"/>
      <c r="BB620" s="658"/>
      <c r="BC620" s="658">
        <v>0</v>
      </c>
      <c r="BD620" s="658"/>
      <c r="BE620" s="658"/>
      <c r="BF620" s="658">
        <v>182.49</v>
      </c>
      <c r="BG620" s="658"/>
      <c r="BH620" s="658"/>
      <c r="BI620" s="567">
        <v>0</v>
      </c>
      <c r="BJ620" s="567"/>
      <c r="BK620" s="567"/>
      <c r="BL620" s="567"/>
      <c r="BM620" s="660" t="s">
        <v>932</v>
      </c>
      <c r="BN620" s="660"/>
      <c r="BO620" s="660"/>
      <c r="BP620" s="660"/>
      <c r="BQ620" s="568" t="s">
        <v>932</v>
      </c>
      <c r="BR620" s="568"/>
      <c r="BS620" s="568"/>
      <c r="BT620" s="660" t="s">
        <v>932</v>
      </c>
      <c r="BU620" s="660"/>
      <c r="BV620" s="660"/>
      <c r="BW620" s="660"/>
      <c r="BX620" s="568" t="s">
        <v>932</v>
      </c>
      <c r="BY620" s="568"/>
      <c r="BZ620" s="568"/>
      <c r="CA620" s="660" t="s">
        <v>932</v>
      </c>
      <c r="CB620" s="660"/>
      <c r="CC620" s="660"/>
      <c r="CD620" s="660"/>
      <c r="CE620" s="568">
        <v>1</v>
      </c>
      <c r="CF620" s="568"/>
      <c r="CG620" s="568"/>
      <c r="CH620" s="660" t="s">
        <v>932</v>
      </c>
      <c r="CI620" s="660"/>
      <c r="CJ620" s="660"/>
      <c r="CK620" s="660"/>
      <c r="CL620" s="568" t="s">
        <v>932</v>
      </c>
      <c r="CM620" s="568"/>
      <c r="CN620" s="568"/>
    </row>
    <row r="621" hidden="1" customHeight="1" spans="1:92">
      <c r="A621" s="612"/>
      <c r="B621" s="612"/>
      <c r="C621" s="518"/>
      <c r="D621" s="518"/>
      <c r="E621" s="518"/>
      <c r="F621" s="657"/>
      <c r="G621" s="657"/>
      <c r="H621" s="657"/>
      <c r="I621" s="519"/>
      <c r="J621" s="519"/>
      <c r="K621" s="519"/>
      <c r="L621" s="519"/>
      <c r="M621" s="519"/>
      <c r="N621" s="519"/>
      <c r="O621" s="519"/>
      <c r="P621" s="519"/>
      <c r="Q621" s="519"/>
      <c r="R621" s="519"/>
      <c r="S621" s="519"/>
      <c r="T621" s="519"/>
      <c r="U621" s="519"/>
      <c r="V621" s="519"/>
      <c r="W621" s="519"/>
      <c r="X621" s="519"/>
      <c r="Y621" s="519"/>
      <c r="Z621" s="519"/>
      <c r="AA621" s="519"/>
      <c r="AB621" s="526"/>
      <c r="AC621" s="526"/>
      <c r="AD621" s="658"/>
      <c r="AE621" s="658"/>
      <c r="AF621" s="658"/>
      <c r="AG621" s="526">
        <v>0</v>
      </c>
      <c r="AH621" s="526"/>
      <c r="AI621" s="659" t="e">
        <v>#N/A</v>
      </c>
      <c r="AJ621" s="659"/>
      <c r="AK621" s="659"/>
      <c r="AL621" s="659"/>
      <c r="AM621" s="659"/>
      <c r="AN621" s="659"/>
      <c r="AO621" s="659"/>
      <c r="AP621" s="659"/>
      <c r="AQ621" s="659"/>
      <c r="AR621" s="659"/>
      <c r="AS621" s="659"/>
      <c r="AT621" s="659"/>
      <c r="AU621" s="659"/>
      <c r="AV621" s="659"/>
      <c r="AW621" s="658">
        <v>0</v>
      </c>
      <c r="AX621" s="658"/>
      <c r="AY621" s="658"/>
      <c r="AZ621" s="658"/>
      <c r="BA621" s="658"/>
      <c r="BB621" s="658"/>
      <c r="BC621" s="658">
        <v>0</v>
      </c>
      <c r="BD621" s="658"/>
      <c r="BE621" s="658"/>
      <c r="BF621" s="658">
        <v>182.49</v>
      </c>
      <c r="BG621" s="658"/>
      <c r="BH621" s="658"/>
      <c r="BI621" s="567">
        <v>0</v>
      </c>
      <c r="BJ621" s="567"/>
      <c r="BK621" s="567"/>
      <c r="BL621" s="567"/>
      <c r="BM621" s="660" t="s">
        <v>932</v>
      </c>
      <c r="BN621" s="660"/>
      <c r="BO621" s="660"/>
      <c r="BP621" s="660"/>
      <c r="BQ621" s="568" t="s">
        <v>932</v>
      </c>
      <c r="BR621" s="568"/>
      <c r="BS621" s="568"/>
      <c r="BT621" s="660" t="s">
        <v>932</v>
      </c>
      <c r="BU621" s="660"/>
      <c r="BV621" s="660"/>
      <c r="BW621" s="660"/>
      <c r="BX621" s="568" t="s">
        <v>932</v>
      </c>
      <c r="BY621" s="568"/>
      <c r="BZ621" s="568"/>
      <c r="CA621" s="660" t="s">
        <v>932</v>
      </c>
      <c r="CB621" s="660"/>
      <c r="CC621" s="660"/>
      <c r="CD621" s="660"/>
      <c r="CE621" s="568">
        <v>1</v>
      </c>
      <c r="CF621" s="568"/>
      <c r="CG621" s="568"/>
      <c r="CH621" s="660" t="s">
        <v>932</v>
      </c>
      <c r="CI621" s="660"/>
      <c r="CJ621" s="660"/>
      <c r="CK621" s="660"/>
      <c r="CL621" s="568" t="s">
        <v>932</v>
      </c>
      <c r="CM621" s="568"/>
      <c r="CN621" s="568"/>
    </row>
    <row r="622" hidden="1" customHeight="1" spans="1:92">
      <c r="A622" s="612"/>
      <c r="B622" s="612"/>
      <c r="C622" s="518"/>
      <c r="D622" s="518"/>
      <c r="E622" s="518"/>
      <c r="F622" s="657"/>
      <c r="G622" s="657"/>
      <c r="H622" s="657"/>
      <c r="I622" s="519"/>
      <c r="J622" s="519"/>
      <c r="K622" s="519"/>
      <c r="L622" s="519"/>
      <c r="M622" s="519"/>
      <c r="N622" s="519"/>
      <c r="O622" s="519"/>
      <c r="P622" s="519"/>
      <c r="Q622" s="519"/>
      <c r="R622" s="519"/>
      <c r="S622" s="519"/>
      <c r="T622" s="519"/>
      <c r="U622" s="519"/>
      <c r="V622" s="519"/>
      <c r="W622" s="519"/>
      <c r="X622" s="519"/>
      <c r="Y622" s="519"/>
      <c r="Z622" s="519"/>
      <c r="AA622" s="519"/>
      <c r="AB622" s="526"/>
      <c r="AC622" s="526"/>
      <c r="AD622" s="658"/>
      <c r="AE622" s="658"/>
      <c r="AF622" s="658"/>
      <c r="AG622" s="526">
        <v>0</v>
      </c>
      <c r="AH622" s="526"/>
      <c r="AI622" s="659" t="e">
        <v>#N/A</v>
      </c>
      <c r="AJ622" s="659"/>
      <c r="AK622" s="659"/>
      <c r="AL622" s="659"/>
      <c r="AM622" s="659"/>
      <c r="AN622" s="659"/>
      <c r="AO622" s="659"/>
      <c r="AP622" s="659"/>
      <c r="AQ622" s="659"/>
      <c r="AR622" s="659"/>
      <c r="AS622" s="659"/>
      <c r="AT622" s="659"/>
      <c r="AU622" s="659"/>
      <c r="AV622" s="659"/>
      <c r="AW622" s="658">
        <v>0</v>
      </c>
      <c r="AX622" s="658"/>
      <c r="AY622" s="658"/>
      <c r="AZ622" s="658"/>
      <c r="BA622" s="658"/>
      <c r="BB622" s="658"/>
      <c r="BC622" s="658">
        <v>0</v>
      </c>
      <c r="BD622" s="658"/>
      <c r="BE622" s="658"/>
      <c r="BF622" s="658">
        <v>182.49</v>
      </c>
      <c r="BG622" s="658"/>
      <c r="BH622" s="658"/>
      <c r="BI622" s="567">
        <v>0</v>
      </c>
      <c r="BJ622" s="567"/>
      <c r="BK622" s="567"/>
      <c r="BL622" s="567"/>
      <c r="BM622" s="660" t="s">
        <v>932</v>
      </c>
      <c r="BN622" s="660"/>
      <c r="BO622" s="660"/>
      <c r="BP622" s="660"/>
      <c r="BQ622" s="568" t="s">
        <v>932</v>
      </c>
      <c r="BR622" s="568"/>
      <c r="BS622" s="568"/>
      <c r="BT622" s="660" t="s">
        <v>932</v>
      </c>
      <c r="BU622" s="660"/>
      <c r="BV622" s="660"/>
      <c r="BW622" s="660"/>
      <c r="BX622" s="568" t="s">
        <v>932</v>
      </c>
      <c r="BY622" s="568"/>
      <c r="BZ622" s="568"/>
      <c r="CA622" s="660" t="s">
        <v>932</v>
      </c>
      <c r="CB622" s="660"/>
      <c r="CC622" s="660"/>
      <c r="CD622" s="660"/>
      <c r="CE622" s="568">
        <v>1</v>
      </c>
      <c r="CF622" s="568"/>
      <c r="CG622" s="568"/>
      <c r="CH622" s="660" t="s">
        <v>932</v>
      </c>
      <c r="CI622" s="660"/>
      <c r="CJ622" s="660"/>
      <c r="CK622" s="660"/>
      <c r="CL622" s="568" t="s">
        <v>932</v>
      </c>
      <c r="CM622" s="568"/>
      <c r="CN622" s="568"/>
    </row>
    <row r="623" hidden="1" customHeight="1" spans="1:92">
      <c r="A623" s="612"/>
      <c r="B623" s="612"/>
      <c r="C623" s="518"/>
      <c r="D623" s="518"/>
      <c r="E623" s="518"/>
      <c r="F623" s="657"/>
      <c r="G623" s="657"/>
      <c r="H623" s="657"/>
      <c r="I623" s="519"/>
      <c r="J623" s="519"/>
      <c r="K623" s="519"/>
      <c r="L623" s="519"/>
      <c r="M623" s="519"/>
      <c r="N623" s="519"/>
      <c r="O623" s="519"/>
      <c r="P623" s="519"/>
      <c r="Q623" s="519"/>
      <c r="R623" s="519"/>
      <c r="S623" s="519"/>
      <c r="T623" s="519"/>
      <c r="U623" s="519"/>
      <c r="V623" s="519"/>
      <c r="W623" s="519"/>
      <c r="X623" s="519"/>
      <c r="Y623" s="519"/>
      <c r="Z623" s="519"/>
      <c r="AA623" s="519"/>
      <c r="AB623" s="526"/>
      <c r="AC623" s="526"/>
      <c r="AD623" s="658"/>
      <c r="AE623" s="658"/>
      <c r="AF623" s="658"/>
      <c r="AG623" s="526">
        <v>0</v>
      </c>
      <c r="AH623" s="526"/>
      <c r="AI623" s="659" t="e">
        <v>#N/A</v>
      </c>
      <c r="AJ623" s="659"/>
      <c r="AK623" s="659"/>
      <c r="AL623" s="659"/>
      <c r="AM623" s="659"/>
      <c r="AN623" s="659"/>
      <c r="AO623" s="659"/>
      <c r="AP623" s="659"/>
      <c r="AQ623" s="659"/>
      <c r="AR623" s="659"/>
      <c r="AS623" s="659"/>
      <c r="AT623" s="659"/>
      <c r="AU623" s="659"/>
      <c r="AV623" s="659"/>
      <c r="AW623" s="658">
        <v>0</v>
      </c>
      <c r="AX623" s="658"/>
      <c r="AY623" s="658"/>
      <c r="AZ623" s="658"/>
      <c r="BA623" s="658"/>
      <c r="BB623" s="658"/>
      <c r="BC623" s="658">
        <v>0</v>
      </c>
      <c r="BD623" s="658"/>
      <c r="BE623" s="658"/>
      <c r="BF623" s="658">
        <v>182.49</v>
      </c>
      <c r="BG623" s="658"/>
      <c r="BH623" s="658"/>
      <c r="BI623" s="567">
        <v>0</v>
      </c>
      <c r="BJ623" s="567"/>
      <c r="BK623" s="567"/>
      <c r="BL623" s="567"/>
      <c r="BM623" s="660" t="s">
        <v>932</v>
      </c>
      <c r="BN623" s="660"/>
      <c r="BO623" s="660"/>
      <c r="BP623" s="660"/>
      <c r="BQ623" s="568" t="s">
        <v>932</v>
      </c>
      <c r="BR623" s="568"/>
      <c r="BS623" s="568"/>
      <c r="BT623" s="660" t="s">
        <v>932</v>
      </c>
      <c r="BU623" s="660"/>
      <c r="BV623" s="660"/>
      <c r="BW623" s="660"/>
      <c r="BX623" s="568" t="s">
        <v>932</v>
      </c>
      <c r="BY623" s="568"/>
      <c r="BZ623" s="568"/>
      <c r="CA623" s="660" t="s">
        <v>932</v>
      </c>
      <c r="CB623" s="660"/>
      <c r="CC623" s="660"/>
      <c r="CD623" s="660"/>
      <c r="CE623" s="568">
        <v>1</v>
      </c>
      <c r="CF623" s="568"/>
      <c r="CG623" s="568"/>
      <c r="CH623" s="660" t="s">
        <v>932</v>
      </c>
      <c r="CI623" s="660"/>
      <c r="CJ623" s="660"/>
      <c r="CK623" s="660"/>
      <c r="CL623" s="568" t="s">
        <v>932</v>
      </c>
      <c r="CM623" s="568"/>
      <c r="CN623" s="568"/>
    </row>
    <row r="624" customHeight="1" spans="1:92">
      <c r="A624" s="612" t="s">
        <v>980</v>
      </c>
      <c r="B624" s="612"/>
      <c r="C624" s="518" t="s">
        <v>1020</v>
      </c>
      <c r="D624" s="518"/>
      <c r="E624" s="518"/>
      <c r="F624" s="657">
        <v>407819</v>
      </c>
      <c r="G624" s="657"/>
      <c r="H624" s="657"/>
      <c r="I624" s="519" t="s">
        <v>100</v>
      </c>
      <c r="J624" s="519"/>
      <c r="K624" s="519"/>
      <c r="L624" s="519"/>
      <c r="M624" s="519"/>
      <c r="N624" s="519"/>
      <c r="O624" s="519"/>
      <c r="P624" s="519"/>
      <c r="Q624" s="519"/>
      <c r="R624" s="519"/>
      <c r="S624" s="519"/>
      <c r="T624" s="519"/>
      <c r="U624" s="519"/>
      <c r="V624" s="519"/>
      <c r="W624" s="519"/>
      <c r="X624" s="519"/>
      <c r="Y624" s="519"/>
      <c r="Z624" s="519"/>
      <c r="AA624" s="519"/>
      <c r="AB624" s="526" t="s">
        <v>101</v>
      </c>
      <c r="AC624" s="526"/>
      <c r="AD624" s="658">
        <v>231.2</v>
      </c>
      <c r="AE624" s="658"/>
      <c r="AF624" s="658"/>
      <c r="AG624" s="526" t="s">
        <v>937</v>
      </c>
      <c r="AH624" s="526"/>
      <c r="AI624" s="659" t="s">
        <v>938</v>
      </c>
      <c r="AJ624" s="659"/>
      <c r="AK624" s="659"/>
      <c r="AL624" s="659"/>
      <c r="AM624" s="659"/>
      <c r="AN624" s="659"/>
      <c r="AO624" s="659"/>
      <c r="AP624" s="659"/>
      <c r="AQ624" s="659"/>
      <c r="AR624" s="659"/>
      <c r="AS624" s="659"/>
      <c r="AT624" s="659"/>
      <c r="AU624" s="659"/>
      <c r="AV624" s="659"/>
      <c r="AW624" s="658">
        <v>0.09</v>
      </c>
      <c r="AX624" s="658"/>
      <c r="AY624" s="658"/>
      <c r="AZ624" s="658">
        <v>1</v>
      </c>
      <c r="BA624" s="658"/>
      <c r="BB624" s="658"/>
      <c r="BC624" s="658">
        <v>20.808</v>
      </c>
      <c r="BD624" s="658"/>
      <c r="BE624" s="658"/>
      <c r="BF624" s="658">
        <v>182.49</v>
      </c>
      <c r="BG624" s="658"/>
      <c r="BH624" s="658"/>
      <c r="BI624" s="567">
        <v>0.114022686174585</v>
      </c>
      <c r="BJ624" s="567"/>
      <c r="BK624" s="567"/>
      <c r="BL624" s="567"/>
      <c r="BM624" s="660" t="s">
        <v>932</v>
      </c>
      <c r="BN624" s="660"/>
      <c r="BO624" s="660"/>
      <c r="BP624" s="660"/>
      <c r="BQ624" s="568" t="s">
        <v>932</v>
      </c>
      <c r="BR624" s="568"/>
      <c r="BS624" s="568"/>
      <c r="BT624" s="660" t="s">
        <v>932</v>
      </c>
      <c r="BU624" s="660"/>
      <c r="BV624" s="660"/>
      <c r="BW624" s="660"/>
      <c r="BX624" s="568" t="s">
        <v>932</v>
      </c>
      <c r="BY624" s="568"/>
      <c r="BZ624" s="568"/>
      <c r="CA624" s="660">
        <v>0.114022686174585</v>
      </c>
      <c r="CB624" s="660"/>
      <c r="CC624" s="660"/>
      <c r="CD624" s="660"/>
      <c r="CE624" s="568">
        <v>1</v>
      </c>
      <c r="CF624" s="568"/>
      <c r="CG624" s="568"/>
      <c r="CH624" s="660" t="s">
        <v>932</v>
      </c>
      <c r="CI624" s="660"/>
      <c r="CJ624" s="660"/>
      <c r="CK624" s="660"/>
      <c r="CL624" s="568" t="s">
        <v>932</v>
      </c>
      <c r="CM624" s="568"/>
      <c r="CN624" s="568"/>
    </row>
    <row r="625" customHeight="1" spans="1:92">
      <c r="A625" s="612"/>
      <c r="B625" s="612"/>
      <c r="C625" s="518"/>
      <c r="D625" s="518"/>
      <c r="E625" s="518"/>
      <c r="F625" s="657"/>
      <c r="G625" s="657"/>
      <c r="H625" s="657"/>
      <c r="I625" s="519"/>
      <c r="J625" s="519"/>
      <c r="K625" s="519"/>
      <c r="L625" s="519"/>
      <c r="M625" s="519"/>
      <c r="N625" s="519"/>
      <c r="O625" s="519"/>
      <c r="P625" s="519"/>
      <c r="Q625" s="519"/>
      <c r="R625" s="519"/>
      <c r="S625" s="519"/>
      <c r="T625" s="519"/>
      <c r="U625" s="519"/>
      <c r="V625" s="519"/>
      <c r="W625" s="519"/>
      <c r="X625" s="519"/>
      <c r="Y625" s="519"/>
      <c r="Z625" s="519"/>
      <c r="AA625" s="519"/>
      <c r="AB625" s="526"/>
      <c r="AC625" s="526"/>
      <c r="AD625" s="658"/>
      <c r="AE625" s="658"/>
      <c r="AF625" s="658"/>
      <c r="AG625" s="526" t="s">
        <v>939</v>
      </c>
      <c r="AH625" s="526"/>
      <c r="AI625" s="659" t="s">
        <v>940</v>
      </c>
      <c r="AJ625" s="659"/>
      <c r="AK625" s="659"/>
      <c r="AL625" s="659"/>
      <c r="AM625" s="659"/>
      <c r="AN625" s="659"/>
      <c r="AO625" s="659"/>
      <c r="AP625" s="659"/>
      <c r="AQ625" s="659"/>
      <c r="AR625" s="659"/>
      <c r="AS625" s="659"/>
      <c r="AT625" s="659"/>
      <c r="AU625" s="659"/>
      <c r="AV625" s="659"/>
      <c r="AW625" s="658">
        <v>0.09</v>
      </c>
      <c r="AX625" s="658"/>
      <c r="AY625" s="658"/>
      <c r="AZ625" s="658"/>
      <c r="BA625" s="658"/>
      <c r="BB625" s="658"/>
      <c r="BC625" s="658">
        <v>20.808</v>
      </c>
      <c r="BD625" s="658"/>
      <c r="BE625" s="658"/>
      <c r="BF625" s="658">
        <v>182.49</v>
      </c>
      <c r="BG625" s="658"/>
      <c r="BH625" s="658"/>
      <c r="BI625" s="567">
        <v>0.114022686174585</v>
      </c>
      <c r="BJ625" s="567"/>
      <c r="BK625" s="567"/>
      <c r="BL625" s="567"/>
      <c r="BM625" s="660" t="s">
        <v>932</v>
      </c>
      <c r="BN625" s="660"/>
      <c r="BO625" s="660"/>
      <c r="BP625" s="660"/>
      <c r="BQ625" s="568" t="s">
        <v>932</v>
      </c>
      <c r="BR625" s="568"/>
      <c r="BS625" s="568"/>
      <c r="BT625" s="660" t="s">
        <v>932</v>
      </c>
      <c r="BU625" s="660"/>
      <c r="BV625" s="660"/>
      <c r="BW625" s="660"/>
      <c r="BX625" s="568" t="s">
        <v>932</v>
      </c>
      <c r="BY625" s="568"/>
      <c r="BZ625" s="568"/>
      <c r="CA625" s="660">
        <v>0.114022686174585</v>
      </c>
      <c r="CB625" s="660"/>
      <c r="CC625" s="660"/>
      <c r="CD625" s="660"/>
      <c r="CE625" s="568">
        <v>1</v>
      </c>
      <c r="CF625" s="568"/>
      <c r="CG625" s="568"/>
      <c r="CH625" s="660" t="s">
        <v>932</v>
      </c>
      <c r="CI625" s="660"/>
      <c r="CJ625" s="660"/>
      <c r="CK625" s="660"/>
      <c r="CL625" s="568" t="s">
        <v>932</v>
      </c>
      <c r="CM625" s="568"/>
      <c r="CN625" s="568"/>
    </row>
    <row r="626" hidden="1" customHeight="1" spans="1:92">
      <c r="A626" s="612"/>
      <c r="B626" s="612"/>
      <c r="C626" s="518"/>
      <c r="D626" s="518"/>
      <c r="E626" s="518"/>
      <c r="F626" s="657"/>
      <c r="G626" s="657"/>
      <c r="H626" s="657"/>
      <c r="I626" s="519"/>
      <c r="J626" s="519"/>
      <c r="K626" s="519"/>
      <c r="L626" s="519"/>
      <c r="M626" s="519"/>
      <c r="N626" s="519"/>
      <c r="O626" s="519"/>
      <c r="P626" s="519"/>
      <c r="Q626" s="519"/>
      <c r="R626" s="519"/>
      <c r="S626" s="519"/>
      <c r="T626" s="519"/>
      <c r="U626" s="519"/>
      <c r="V626" s="519"/>
      <c r="W626" s="519"/>
      <c r="X626" s="519"/>
      <c r="Y626" s="519"/>
      <c r="Z626" s="519"/>
      <c r="AA626" s="519"/>
      <c r="AB626" s="526"/>
      <c r="AC626" s="526"/>
      <c r="AD626" s="658"/>
      <c r="AE626" s="658"/>
      <c r="AF626" s="658"/>
      <c r="AG626" s="526">
        <v>0</v>
      </c>
      <c r="AH626" s="526"/>
      <c r="AI626" s="659" t="e">
        <v>#N/A</v>
      </c>
      <c r="AJ626" s="659"/>
      <c r="AK626" s="659"/>
      <c r="AL626" s="659"/>
      <c r="AM626" s="659"/>
      <c r="AN626" s="659"/>
      <c r="AO626" s="659"/>
      <c r="AP626" s="659"/>
      <c r="AQ626" s="659"/>
      <c r="AR626" s="659"/>
      <c r="AS626" s="659"/>
      <c r="AT626" s="659"/>
      <c r="AU626" s="659"/>
      <c r="AV626" s="659"/>
      <c r="AW626" s="658">
        <v>0</v>
      </c>
      <c r="AX626" s="658"/>
      <c r="AY626" s="658"/>
      <c r="AZ626" s="658"/>
      <c r="BA626" s="658"/>
      <c r="BB626" s="658"/>
      <c r="BC626" s="658">
        <v>0</v>
      </c>
      <c r="BD626" s="658"/>
      <c r="BE626" s="658"/>
      <c r="BF626" s="658">
        <v>182.49</v>
      </c>
      <c r="BG626" s="658"/>
      <c r="BH626" s="658"/>
      <c r="BI626" s="567">
        <v>0</v>
      </c>
      <c r="BJ626" s="567"/>
      <c r="BK626" s="567"/>
      <c r="BL626" s="567"/>
      <c r="BM626" s="660" t="s">
        <v>932</v>
      </c>
      <c r="BN626" s="660"/>
      <c r="BO626" s="660"/>
      <c r="BP626" s="660"/>
      <c r="BQ626" s="568" t="s">
        <v>932</v>
      </c>
      <c r="BR626" s="568"/>
      <c r="BS626" s="568"/>
      <c r="BT626" s="660" t="s">
        <v>932</v>
      </c>
      <c r="BU626" s="660"/>
      <c r="BV626" s="660"/>
      <c r="BW626" s="660"/>
      <c r="BX626" s="568" t="s">
        <v>932</v>
      </c>
      <c r="BY626" s="568"/>
      <c r="BZ626" s="568"/>
      <c r="CA626" s="660" t="s">
        <v>932</v>
      </c>
      <c r="CB626" s="660"/>
      <c r="CC626" s="660"/>
      <c r="CD626" s="660"/>
      <c r="CE626" s="568">
        <v>1</v>
      </c>
      <c r="CF626" s="568"/>
      <c r="CG626" s="568"/>
      <c r="CH626" s="660" t="s">
        <v>932</v>
      </c>
      <c r="CI626" s="660"/>
      <c r="CJ626" s="660"/>
      <c r="CK626" s="660"/>
      <c r="CL626" s="568" t="s">
        <v>932</v>
      </c>
      <c r="CM626" s="568"/>
      <c r="CN626" s="568"/>
    </row>
    <row r="627" hidden="1" customHeight="1" spans="1:92">
      <c r="A627" s="612"/>
      <c r="B627" s="612"/>
      <c r="C627" s="518"/>
      <c r="D627" s="518"/>
      <c r="E627" s="518"/>
      <c r="F627" s="657"/>
      <c r="G627" s="657"/>
      <c r="H627" s="657"/>
      <c r="I627" s="519"/>
      <c r="J627" s="519"/>
      <c r="K627" s="519"/>
      <c r="L627" s="519"/>
      <c r="M627" s="519"/>
      <c r="N627" s="519"/>
      <c r="O627" s="519"/>
      <c r="P627" s="519"/>
      <c r="Q627" s="519"/>
      <c r="R627" s="519"/>
      <c r="S627" s="519"/>
      <c r="T627" s="519"/>
      <c r="U627" s="519"/>
      <c r="V627" s="519"/>
      <c r="W627" s="519"/>
      <c r="X627" s="519"/>
      <c r="Y627" s="519"/>
      <c r="Z627" s="519"/>
      <c r="AA627" s="519"/>
      <c r="AB627" s="526"/>
      <c r="AC627" s="526"/>
      <c r="AD627" s="658"/>
      <c r="AE627" s="658"/>
      <c r="AF627" s="658"/>
      <c r="AG627" s="526">
        <v>0</v>
      </c>
      <c r="AH627" s="526"/>
      <c r="AI627" s="659" t="e">
        <v>#N/A</v>
      </c>
      <c r="AJ627" s="659"/>
      <c r="AK627" s="659"/>
      <c r="AL627" s="659"/>
      <c r="AM627" s="659"/>
      <c r="AN627" s="659"/>
      <c r="AO627" s="659"/>
      <c r="AP627" s="659"/>
      <c r="AQ627" s="659"/>
      <c r="AR627" s="659"/>
      <c r="AS627" s="659"/>
      <c r="AT627" s="659"/>
      <c r="AU627" s="659"/>
      <c r="AV627" s="659"/>
      <c r="AW627" s="658">
        <v>0</v>
      </c>
      <c r="AX627" s="658"/>
      <c r="AY627" s="658"/>
      <c r="AZ627" s="658"/>
      <c r="BA627" s="658"/>
      <c r="BB627" s="658"/>
      <c r="BC627" s="658">
        <v>0</v>
      </c>
      <c r="BD627" s="658"/>
      <c r="BE627" s="658"/>
      <c r="BF627" s="658">
        <v>182.49</v>
      </c>
      <c r="BG627" s="658"/>
      <c r="BH627" s="658"/>
      <c r="BI627" s="567">
        <v>0</v>
      </c>
      <c r="BJ627" s="567"/>
      <c r="BK627" s="567"/>
      <c r="BL627" s="567"/>
      <c r="BM627" s="660" t="s">
        <v>932</v>
      </c>
      <c r="BN627" s="660"/>
      <c r="BO627" s="660"/>
      <c r="BP627" s="660"/>
      <c r="BQ627" s="568" t="s">
        <v>932</v>
      </c>
      <c r="BR627" s="568"/>
      <c r="BS627" s="568"/>
      <c r="BT627" s="660" t="s">
        <v>932</v>
      </c>
      <c r="BU627" s="660"/>
      <c r="BV627" s="660"/>
      <c r="BW627" s="660"/>
      <c r="BX627" s="568" t="s">
        <v>932</v>
      </c>
      <c r="BY627" s="568"/>
      <c r="BZ627" s="568"/>
      <c r="CA627" s="660" t="s">
        <v>932</v>
      </c>
      <c r="CB627" s="660"/>
      <c r="CC627" s="660"/>
      <c r="CD627" s="660"/>
      <c r="CE627" s="568">
        <v>1</v>
      </c>
      <c r="CF627" s="568"/>
      <c r="CG627" s="568"/>
      <c r="CH627" s="660" t="s">
        <v>932</v>
      </c>
      <c r="CI627" s="660"/>
      <c r="CJ627" s="660"/>
      <c r="CK627" s="660"/>
      <c r="CL627" s="568" t="s">
        <v>932</v>
      </c>
      <c r="CM627" s="568"/>
      <c r="CN627" s="568"/>
    </row>
    <row r="628" hidden="1" customHeight="1" spans="1:92">
      <c r="A628" s="612"/>
      <c r="B628" s="612"/>
      <c r="C628" s="518"/>
      <c r="D628" s="518"/>
      <c r="E628" s="518"/>
      <c r="F628" s="657"/>
      <c r="G628" s="657"/>
      <c r="H628" s="657"/>
      <c r="I628" s="519"/>
      <c r="J628" s="519"/>
      <c r="K628" s="519"/>
      <c r="L628" s="519"/>
      <c r="M628" s="519"/>
      <c r="N628" s="519"/>
      <c r="O628" s="519"/>
      <c r="P628" s="519"/>
      <c r="Q628" s="519"/>
      <c r="R628" s="519"/>
      <c r="S628" s="519"/>
      <c r="T628" s="519"/>
      <c r="U628" s="519"/>
      <c r="V628" s="519"/>
      <c r="W628" s="519"/>
      <c r="X628" s="519"/>
      <c r="Y628" s="519"/>
      <c r="Z628" s="519"/>
      <c r="AA628" s="519"/>
      <c r="AB628" s="526"/>
      <c r="AC628" s="526"/>
      <c r="AD628" s="658"/>
      <c r="AE628" s="658"/>
      <c r="AF628" s="658"/>
      <c r="AG628" s="526">
        <v>0</v>
      </c>
      <c r="AH628" s="526"/>
      <c r="AI628" s="659" t="e">
        <v>#N/A</v>
      </c>
      <c r="AJ628" s="659"/>
      <c r="AK628" s="659"/>
      <c r="AL628" s="659"/>
      <c r="AM628" s="659"/>
      <c r="AN628" s="659"/>
      <c r="AO628" s="659"/>
      <c r="AP628" s="659"/>
      <c r="AQ628" s="659"/>
      <c r="AR628" s="659"/>
      <c r="AS628" s="659"/>
      <c r="AT628" s="659"/>
      <c r="AU628" s="659"/>
      <c r="AV628" s="659"/>
      <c r="AW628" s="658">
        <v>0</v>
      </c>
      <c r="AX628" s="658"/>
      <c r="AY628" s="658"/>
      <c r="AZ628" s="658"/>
      <c r="BA628" s="658"/>
      <c r="BB628" s="658"/>
      <c r="BC628" s="658">
        <v>0</v>
      </c>
      <c r="BD628" s="658"/>
      <c r="BE628" s="658"/>
      <c r="BF628" s="658">
        <v>182.49</v>
      </c>
      <c r="BG628" s="658"/>
      <c r="BH628" s="658"/>
      <c r="BI628" s="567">
        <v>0</v>
      </c>
      <c r="BJ628" s="567"/>
      <c r="BK628" s="567"/>
      <c r="BL628" s="567"/>
      <c r="BM628" s="660" t="s">
        <v>932</v>
      </c>
      <c r="BN628" s="660"/>
      <c r="BO628" s="660"/>
      <c r="BP628" s="660"/>
      <c r="BQ628" s="568" t="s">
        <v>932</v>
      </c>
      <c r="BR628" s="568"/>
      <c r="BS628" s="568"/>
      <c r="BT628" s="660" t="s">
        <v>932</v>
      </c>
      <c r="BU628" s="660"/>
      <c r="BV628" s="660"/>
      <c r="BW628" s="660"/>
      <c r="BX628" s="568" t="s">
        <v>932</v>
      </c>
      <c r="BY628" s="568"/>
      <c r="BZ628" s="568"/>
      <c r="CA628" s="660" t="s">
        <v>932</v>
      </c>
      <c r="CB628" s="660"/>
      <c r="CC628" s="660"/>
      <c r="CD628" s="660"/>
      <c r="CE628" s="568">
        <v>1</v>
      </c>
      <c r="CF628" s="568"/>
      <c r="CG628" s="568"/>
      <c r="CH628" s="660" t="s">
        <v>932</v>
      </c>
      <c r="CI628" s="660"/>
      <c r="CJ628" s="660"/>
      <c r="CK628" s="660"/>
      <c r="CL628" s="568" t="s">
        <v>932</v>
      </c>
      <c r="CM628" s="568"/>
      <c r="CN628" s="568"/>
    </row>
    <row r="629" hidden="1" customHeight="1" spans="1:92">
      <c r="A629" s="612"/>
      <c r="B629" s="612"/>
      <c r="C629" s="518"/>
      <c r="D629" s="518"/>
      <c r="E629" s="518"/>
      <c r="F629" s="657"/>
      <c r="G629" s="657"/>
      <c r="H629" s="657"/>
      <c r="I629" s="519"/>
      <c r="J629" s="519"/>
      <c r="K629" s="519"/>
      <c r="L629" s="519"/>
      <c r="M629" s="519"/>
      <c r="N629" s="519"/>
      <c r="O629" s="519"/>
      <c r="P629" s="519"/>
      <c r="Q629" s="519"/>
      <c r="R629" s="519"/>
      <c r="S629" s="519"/>
      <c r="T629" s="519"/>
      <c r="U629" s="519"/>
      <c r="V629" s="519"/>
      <c r="W629" s="519"/>
      <c r="X629" s="519"/>
      <c r="Y629" s="519"/>
      <c r="Z629" s="519"/>
      <c r="AA629" s="519"/>
      <c r="AB629" s="526"/>
      <c r="AC629" s="526"/>
      <c r="AD629" s="658"/>
      <c r="AE629" s="658"/>
      <c r="AF629" s="658"/>
      <c r="AG629" s="526">
        <v>0</v>
      </c>
      <c r="AH629" s="526"/>
      <c r="AI629" s="659" t="e">
        <v>#N/A</v>
      </c>
      <c r="AJ629" s="659"/>
      <c r="AK629" s="659"/>
      <c r="AL629" s="659"/>
      <c r="AM629" s="659"/>
      <c r="AN629" s="659"/>
      <c r="AO629" s="659"/>
      <c r="AP629" s="659"/>
      <c r="AQ629" s="659"/>
      <c r="AR629" s="659"/>
      <c r="AS629" s="659"/>
      <c r="AT629" s="659"/>
      <c r="AU629" s="659"/>
      <c r="AV629" s="659"/>
      <c r="AW629" s="658">
        <v>0</v>
      </c>
      <c r="AX629" s="658"/>
      <c r="AY629" s="658"/>
      <c r="AZ629" s="658"/>
      <c r="BA629" s="658"/>
      <c r="BB629" s="658"/>
      <c r="BC629" s="658">
        <v>0</v>
      </c>
      <c r="BD629" s="658"/>
      <c r="BE629" s="658"/>
      <c r="BF629" s="658">
        <v>182.49</v>
      </c>
      <c r="BG629" s="658"/>
      <c r="BH629" s="658"/>
      <c r="BI629" s="567">
        <v>0</v>
      </c>
      <c r="BJ629" s="567"/>
      <c r="BK629" s="567"/>
      <c r="BL629" s="567"/>
      <c r="BM629" s="660" t="s">
        <v>932</v>
      </c>
      <c r="BN629" s="660"/>
      <c r="BO629" s="660"/>
      <c r="BP629" s="660"/>
      <c r="BQ629" s="568" t="s">
        <v>932</v>
      </c>
      <c r="BR629" s="568"/>
      <c r="BS629" s="568"/>
      <c r="BT629" s="660" t="s">
        <v>932</v>
      </c>
      <c r="BU629" s="660"/>
      <c r="BV629" s="660"/>
      <c r="BW629" s="660"/>
      <c r="BX629" s="568" t="s">
        <v>932</v>
      </c>
      <c r="BY629" s="568"/>
      <c r="BZ629" s="568"/>
      <c r="CA629" s="660" t="s">
        <v>932</v>
      </c>
      <c r="CB629" s="660"/>
      <c r="CC629" s="660"/>
      <c r="CD629" s="660"/>
      <c r="CE629" s="568">
        <v>1</v>
      </c>
      <c r="CF629" s="568"/>
      <c r="CG629" s="568"/>
      <c r="CH629" s="660" t="s">
        <v>932</v>
      </c>
      <c r="CI629" s="660"/>
      <c r="CJ629" s="660"/>
      <c r="CK629" s="660"/>
      <c r="CL629" s="568" t="s">
        <v>932</v>
      </c>
      <c r="CM629" s="568"/>
      <c r="CN629" s="568"/>
    </row>
    <row r="630" hidden="1" customHeight="1" spans="1:92">
      <c r="A630" s="612"/>
      <c r="B630" s="612"/>
      <c r="C630" s="518"/>
      <c r="D630" s="518"/>
      <c r="E630" s="518"/>
      <c r="F630" s="657"/>
      <c r="G630" s="657"/>
      <c r="H630" s="657"/>
      <c r="I630" s="519"/>
      <c r="J630" s="519"/>
      <c r="K630" s="519"/>
      <c r="L630" s="519"/>
      <c r="M630" s="519"/>
      <c r="N630" s="519"/>
      <c r="O630" s="519"/>
      <c r="P630" s="519"/>
      <c r="Q630" s="519"/>
      <c r="R630" s="519"/>
      <c r="S630" s="519"/>
      <c r="T630" s="519"/>
      <c r="U630" s="519"/>
      <c r="V630" s="519"/>
      <c r="W630" s="519"/>
      <c r="X630" s="519"/>
      <c r="Y630" s="519"/>
      <c r="Z630" s="519"/>
      <c r="AA630" s="519"/>
      <c r="AB630" s="526"/>
      <c r="AC630" s="526"/>
      <c r="AD630" s="658"/>
      <c r="AE630" s="658"/>
      <c r="AF630" s="658"/>
      <c r="AG630" s="526">
        <v>0</v>
      </c>
      <c r="AH630" s="526"/>
      <c r="AI630" s="659" t="e">
        <v>#N/A</v>
      </c>
      <c r="AJ630" s="659"/>
      <c r="AK630" s="659"/>
      <c r="AL630" s="659"/>
      <c r="AM630" s="659"/>
      <c r="AN630" s="659"/>
      <c r="AO630" s="659"/>
      <c r="AP630" s="659"/>
      <c r="AQ630" s="659"/>
      <c r="AR630" s="659"/>
      <c r="AS630" s="659"/>
      <c r="AT630" s="659"/>
      <c r="AU630" s="659"/>
      <c r="AV630" s="659"/>
      <c r="AW630" s="658">
        <v>0</v>
      </c>
      <c r="AX630" s="658"/>
      <c r="AY630" s="658"/>
      <c r="AZ630" s="658"/>
      <c r="BA630" s="658"/>
      <c r="BB630" s="658"/>
      <c r="BC630" s="658">
        <v>0</v>
      </c>
      <c r="BD630" s="658"/>
      <c r="BE630" s="658"/>
      <c r="BF630" s="658">
        <v>182.49</v>
      </c>
      <c r="BG630" s="658"/>
      <c r="BH630" s="658"/>
      <c r="BI630" s="567">
        <v>0</v>
      </c>
      <c r="BJ630" s="567"/>
      <c r="BK630" s="567"/>
      <c r="BL630" s="567"/>
      <c r="BM630" s="660" t="s">
        <v>932</v>
      </c>
      <c r="BN630" s="660"/>
      <c r="BO630" s="660"/>
      <c r="BP630" s="660"/>
      <c r="BQ630" s="568" t="s">
        <v>932</v>
      </c>
      <c r="BR630" s="568"/>
      <c r="BS630" s="568"/>
      <c r="BT630" s="660" t="s">
        <v>932</v>
      </c>
      <c r="BU630" s="660"/>
      <c r="BV630" s="660"/>
      <c r="BW630" s="660"/>
      <c r="BX630" s="568" t="s">
        <v>932</v>
      </c>
      <c r="BY630" s="568"/>
      <c r="BZ630" s="568"/>
      <c r="CA630" s="660" t="s">
        <v>932</v>
      </c>
      <c r="CB630" s="660"/>
      <c r="CC630" s="660"/>
      <c r="CD630" s="660"/>
      <c r="CE630" s="568">
        <v>1</v>
      </c>
      <c r="CF630" s="568"/>
      <c r="CG630" s="568"/>
      <c r="CH630" s="660" t="s">
        <v>932</v>
      </c>
      <c r="CI630" s="660"/>
      <c r="CJ630" s="660"/>
      <c r="CK630" s="660"/>
      <c r="CL630" s="568" t="s">
        <v>932</v>
      </c>
      <c r="CM630" s="568"/>
      <c r="CN630" s="568"/>
    </row>
    <row r="631" hidden="1" customHeight="1" spans="1:92">
      <c r="A631" s="612"/>
      <c r="B631" s="612"/>
      <c r="C631" s="518"/>
      <c r="D631" s="518"/>
      <c r="E631" s="518"/>
      <c r="F631" s="657"/>
      <c r="G631" s="657"/>
      <c r="H631" s="657"/>
      <c r="I631" s="519"/>
      <c r="J631" s="519"/>
      <c r="K631" s="519"/>
      <c r="L631" s="519"/>
      <c r="M631" s="519"/>
      <c r="N631" s="519"/>
      <c r="O631" s="519"/>
      <c r="P631" s="519"/>
      <c r="Q631" s="519"/>
      <c r="R631" s="519"/>
      <c r="S631" s="519"/>
      <c r="T631" s="519"/>
      <c r="U631" s="519"/>
      <c r="V631" s="519"/>
      <c r="W631" s="519"/>
      <c r="X631" s="519"/>
      <c r="Y631" s="519"/>
      <c r="Z631" s="519"/>
      <c r="AA631" s="519"/>
      <c r="AB631" s="526"/>
      <c r="AC631" s="526"/>
      <c r="AD631" s="658"/>
      <c r="AE631" s="658"/>
      <c r="AF631" s="658"/>
      <c r="AG631" s="526">
        <v>0</v>
      </c>
      <c r="AH631" s="526"/>
      <c r="AI631" s="659" t="e">
        <v>#N/A</v>
      </c>
      <c r="AJ631" s="659"/>
      <c r="AK631" s="659"/>
      <c r="AL631" s="659"/>
      <c r="AM631" s="659"/>
      <c r="AN631" s="659"/>
      <c r="AO631" s="659"/>
      <c r="AP631" s="659"/>
      <c r="AQ631" s="659"/>
      <c r="AR631" s="659"/>
      <c r="AS631" s="659"/>
      <c r="AT631" s="659"/>
      <c r="AU631" s="659"/>
      <c r="AV631" s="659"/>
      <c r="AW631" s="658">
        <v>0</v>
      </c>
      <c r="AX631" s="658"/>
      <c r="AY631" s="658"/>
      <c r="AZ631" s="658"/>
      <c r="BA631" s="658"/>
      <c r="BB631" s="658"/>
      <c r="BC631" s="658">
        <v>0</v>
      </c>
      <c r="BD631" s="658"/>
      <c r="BE631" s="658"/>
      <c r="BF631" s="658">
        <v>182.49</v>
      </c>
      <c r="BG631" s="658"/>
      <c r="BH631" s="658"/>
      <c r="BI631" s="567">
        <v>0</v>
      </c>
      <c r="BJ631" s="567"/>
      <c r="BK631" s="567"/>
      <c r="BL631" s="567"/>
      <c r="BM631" s="660" t="s">
        <v>932</v>
      </c>
      <c r="BN631" s="660"/>
      <c r="BO631" s="660"/>
      <c r="BP631" s="660"/>
      <c r="BQ631" s="568" t="s">
        <v>932</v>
      </c>
      <c r="BR631" s="568"/>
      <c r="BS631" s="568"/>
      <c r="BT631" s="660" t="s">
        <v>932</v>
      </c>
      <c r="BU631" s="660"/>
      <c r="BV631" s="660"/>
      <c r="BW631" s="660"/>
      <c r="BX631" s="568" t="s">
        <v>932</v>
      </c>
      <c r="BY631" s="568"/>
      <c r="BZ631" s="568"/>
      <c r="CA631" s="660" t="s">
        <v>932</v>
      </c>
      <c r="CB631" s="660"/>
      <c r="CC631" s="660"/>
      <c r="CD631" s="660"/>
      <c r="CE631" s="568">
        <v>1</v>
      </c>
      <c r="CF631" s="568"/>
      <c r="CG631" s="568"/>
      <c r="CH631" s="660" t="s">
        <v>932</v>
      </c>
      <c r="CI631" s="660"/>
      <c r="CJ631" s="660"/>
      <c r="CK631" s="660"/>
      <c r="CL631" s="568" t="s">
        <v>932</v>
      </c>
      <c r="CM631" s="568"/>
      <c r="CN631" s="568"/>
    </row>
    <row r="632" hidden="1" customHeight="1" spans="1:92">
      <c r="BM632" s="607">
        <v>1.3268812921892</v>
      </c>
      <c r="BN632" s="608"/>
      <c r="BO632" s="608"/>
      <c r="BP632" s="609"/>
      <c r="BT632" s="607">
        <v>8.41495618229633</v>
      </c>
      <c r="BU632" s="608"/>
      <c r="BV632" s="608"/>
      <c r="BW632" s="609"/>
      <c r="CA632" s="607">
        <v>9.35030513778156</v>
      </c>
      <c r="CB632" s="608"/>
      <c r="CC632" s="608"/>
      <c r="CD632" s="609"/>
      <c r="CH632" s="607">
        <v>3.8849328786773</v>
      </c>
      <c r="CI632" s="608"/>
      <c r="CJ632" s="608"/>
      <c r="CK632" s="609"/>
    </row>
    <row r="633" customHeight="1" spans="1:92">
      <c r="F633" s="69" t="s">
        <v>634</v>
      </c>
      <c r="G633" s="69"/>
      <c r="H633" s="69"/>
      <c r="I633" s="70" t="s">
        <v>635</v>
      </c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0"/>
      <c r="Y633" s="70"/>
      <c r="Z633" s="70"/>
      <c r="AA633" s="70"/>
      <c r="AB633" s="71" t="s">
        <v>1021</v>
      </c>
      <c r="AC633" s="71"/>
      <c r="AD633" s="71"/>
      <c r="AE633" s="71"/>
      <c r="AF633" s="71" t="s">
        <v>638</v>
      </c>
      <c r="AG633" s="71"/>
      <c r="AH633" s="71"/>
      <c r="AI633" s="71"/>
      <c r="AJ633" s="71" t="s">
        <v>1022</v>
      </c>
      <c r="AK633" s="71"/>
      <c r="AL633" s="71"/>
      <c r="AM633" s="71" t="s">
        <v>639</v>
      </c>
      <c r="AN633" s="71"/>
      <c r="AO633" s="71"/>
      <c r="AP633" s="71"/>
      <c r="AQ633" s="71" t="s">
        <v>1022</v>
      </c>
      <c r="AR633" s="71"/>
      <c r="AS633" s="71"/>
      <c r="AT633" s="71" t="s">
        <v>640</v>
      </c>
      <c r="AU633" s="71"/>
      <c r="AV633" s="71"/>
      <c r="AW633" s="71"/>
      <c r="AX633" s="71" t="s">
        <v>1022</v>
      </c>
      <c r="AY633" s="71"/>
      <c r="AZ633" s="71"/>
      <c r="BA633" s="71" t="s">
        <v>641</v>
      </c>
      <c r="BB633" s="71"/>
      <c r="BC633" s="71"/>
      <c r="BD633" s="71"/>
      <c r="BE633" s="71" t="s">
        <v>1022</v>
      </c>
      <c r="BF633" s="71"/>
      <c r="BG633" s="71"/>
      <c r="CA633" s="610"/>
      <c r="CB633" s="610"/>
      <c r="CC633" s="610"/>
      <c r="CD633" s="610"/>
      <c r="CH633" s="610"/>
      <c r="CI633" s="610"/>
      <c r="CJ633" s="610"/>
      <c r="CK633" s="610"/>
    </row>
    <row r="634" customHeight="1" spans="1:92">
      <c r="F634" s="612" t="s">
        <v>937</v>
      </c>
      <c r="G634" s="612"/>
      <c r="H634" s="612"/>
      <c r="I634" s="206" t="s">
        <v>938</v>
      </c>
      <c r="J634" s="206"/>
      <c r="K634" s="206"/>
      <c r="L634" s="206"/>
      <c r="M634" s="206"/>
      <c r="N634" s="206"/>
      <c r="O634" s="206"/>
      <c r="P634" s="206"/>
      <c r="Q634" s="206"/>
      <c r="R634" s="206"/>
      <c r="S634" s="206"/>
      <c r="T634" s="206"/>
      <c r="U634" s="206"/>
      <c r="V634" s="206"/>
      <c r="W634" s="206"/>
      <c r="X634" s="206"/>
      <c r="Y634" s="206"/>
      <c r="Z634" s="206"/>
      <c r="AA634" s="206"/>
      <c r="AB634" s="668">
        <v>9.84874382499188</v>
      </c>
      <c r="AC634" s="668"/>
      <c r="AD634" s="668"/>
      <c r="AE634" s="668"/>
      <c r="AF634" s="614">
        <v>0.503120907480608</v>
      </c>
      <c r="AG634" s="614"/>
      <c r="AH634" s="614"/>
      <c r="AI634" s="614"/>
      <c r="AJ634" s="615">
        <v>1</v>
      </c>
      <c r="AK634" s="615"/>
      <c r="AL634" s="615"/>
      <c r="AM634" s="614">
        <v>3.66464261226031</v>
      </c>
      <c r="AN634" s="614"/>
      <c r="AO634" s="614"/>
      <c r="AP634" s="614"/>
      <c r="AQ634" s="615">
        <v>4</v>
      </c>
      <c r="AR634" s="615"/>
      <c r="AS634" s="615"/>
      <c r="AT634" s="614">
        <v>4.04563590281795</v>
      </c>
      <c r="AU634" s="614"/>
      <c r="AV634" s="614"/>
      <c r="AW634" s="614"/>
      <c r="AX634" s="621">
        <v>5</v>
      </c>
      <c r="AY634" s="621"/>
      <c r="AZ634" s="621"/>
      <c r="BA634" s="614">
        <v>1.63534440243301</v>
      </c>
      <c r="BB634" s="614"/>
      <c r="BC634" s="614"/>
      <c r="BD634" s="614"/>
      <c r="BE634" s="615">
        <v>2</v>
      </c>
      <c r="BF634" s="615"/>
      <c r="BG634" s="615"/>
      <c r="CA634" s="610"/>
      <c r="CB634" s="610"/>
      <c r="CC634" s="610"/>
      <c r="CD634" s="610"/>
      <c r="CH634" s="610"/>
      <c r="CI634" s="610"/>
      <c r="CJ634" s="610"/>
      <c r="CK634" s="610"/>
    </row>
    <row r="635" customHeight="1" spans="1:92">
      <c r="F635" s="612" t="s">
        <v>939</v>
      </c>
      <c r="G635" s="612"/>
      <c r="H635" s="612"/>
      <c r="I635" s="206" t="s">
        <v>940</v>
      </c>
      <c r="J635" s="206"/>
      <c r="K635" s="206"/>
      <c r="L635" s="206"/>
      <c r="M635" s="206"/>
      <c r="N635" s="206"/>
      <c r="O635" s="206"/>
      <c r="P635" s="206"/>
      <c r="Q635" s="206"/>
      <c r="R635" s="206"/>
      <c r="S635" s="206"/>
      <c r="T635" s="206"/>
      <c r="U635" s="206"/>
      <c r="V635" s="206"/>
      <c r="W635" s="206"/>
      <c r="X635" s="206"/>
      <c r="Y635" s="206"/>
      <c r="Z635" s="206"/>
      <c r="AA635" s="206"/>
      <c r="AB635" s="668">
        <v>7.053248491441</v>
      </c>
      <c r="AC635" s="668"/>
      <c r="AD635" s="668"/>
      <c r="AE635" s="668"/>
      <c r="AF635" s="614">
        <v>0.344483333007911</v>
      </c>
      <c r="AG635" s="614"/>
      <c r="AH635" s="614"/>
      <c r="AI635" s="614"/>
      <c r="AJ635" s="615">
        <v>1</v>
      </c>
      <c r="AK635" s="615"/>
      <c r="AL635" s="615"/>
      <c r="AM635" s="614">
        <v>2.43184370980072</v>
      </c>
      <c r="AN635" s="614"/>
      <c r="AO635" s="614"/>
      <c r="AP635" s="614"/>
      <c r="AQ635" s="615">
        <v>3</v>
      </c>
      <c r="AR635" s="615"/>
      <c r="AS635" s="615"/>
      <c r="AT635" s="614">
        <v>2.81746065626018</v>
      </c>
      <c r="AU635" s="614"/>
      <c r="AV635" s="614"/>
      <c r="AW635" s="614"/>
      <c r="AX635" s="621">
        <v>3</v>
      </c>
      <c r="AY635" s="621"/>
      <c r="AZ635" s="621"/>
      <c r="BA635" s="614">
        <v>1.45946079237218</v>
      </c>
      <c r="BB635" s="614"/>
      <c r="BC635" s="614"/>
      <c r="BD635" s="614"/>
      <c r="BE635" s="615">
        <v>2</v>
      </c>
      <c r="BF635" s="615"/>
      <c r="BG635" s="615"/>
      <c r="CA635" s="610"/>
      <c r="CB635" s="610"/>
      <c r="CC635" s="610"/>
      <c r="CD635" s="610"/>
      <c r="CH635" s="610"/>
      <c r="CI635" s="610"/>
      <c r="CJ635" s="610"/>
      <c r="CK635" s="610"/>
    </row>
    <row r="636" customHeight="1" spans="1:92">
      <c r="F636" s="612" t="s">
        <v>941</v>
      </c>
      <c r="G636" s="612"/>
      <c r="H636" s="612"/>
      <c r="I636" s="206" t="s">
        <v>942</v>
      </c>
      <c r="J636" s="206"/>
      <c r="K636" s="206"/>
      <c r="L636" s="206"/>
      <c r="M636" s="206"/>
      <c r="N636" s="206"/>
      <c r="O636" s="206"/>
      <c r="P636" s="206"/>
      <c r="Q636" s="206"/>
      <c r="R636" s="206"/>
      <c r="S636" s="206"/>
      <c r="T636" s="206"/>
      <c r="U636" s="206"/>
      <c r="V636" s="206"/>
      <c r="W636" s="206"/>
      <c r="X636" s="206"/>
      <c r="Y636" s="206"/>
      <c r="Z636" s="206"/>
      <c r="AA636" s="206"/>
      <c r="AB636" s="668">
        <v>0.0328785138911721</v>
      </c>
      <c r="AC636" s="668"/>
      <c r="AD636" s="668"/>
      <c r="AE636" s="668"/>
      <c r="AF636" s="614">
        <v>0.0205490711819826</v>
      </c>
      <c r="AG636" s="614"/>
      <c r="AH636" s="614"/>
      <c r="AI636" s="614"/>
      <c r="AJ636" s="621">
        <v>1</v>
      </c>
      <c r="AK636" s="621"/>
      <c r="AL636" s="621"/>
      <c r="AM636" s="614">
        <v>0.0123294427091895</v>
      </c>
      <c r="AN636" s="614"/>
      <c r="AO636" s="614"/>
      <c r="AP636" s="614"/>
      <c r="AQ636" s="615">
        <v>1</v>
      </c>
      <c r="AR636" s="615"/>
      <c r="AS636" s="615"/>
      <c r="AT636" s="614">
        <v>0</v>
      </c>
      <c r="AU636" s="614"/>
      <c r="AV636" s="614"/>
      <c r="AW636" s="614"/>
      <c r="AX636" s="621">
        <v>0</v>
      </c>
      <c r="AY636" s="621"/>
      <c r="AZ636" s="621"/>
      <c r="BA636" s="614">
        <v>0</v>
      </c>
      <c r="BB636" s="614"/>
      <c r="BC636" s="614"/>
      <c r="BD636" s="614"/>
      <c r="BE636" s="615">
        <v>0</v>
      </c>
      <c r="BF636" s="615"/>
      <c r="BG636" s="615"/>
      <c r="CA636" s="610"/>
      <c r="CB636" s="610"/>
      <c r="CC636" s="610"/>
      <c r="CD636" s="610"/>
      <c r="CH636" s="610"/>
      <c r="CI636" s="610"/>
      <c r="CJ636" s="610"/>
      <c r="CK636" s="610"/>
    </row>
    <row r="637" customHeight="1" spans="1:92">
      <c r="F637" s="612" t="s">
        <v>950</v>
      </c>
      <c r="G637" s="612"/>
      <c r="H637" s="612"/>
      <c r="I637" s="206" t="s">
        <v>951</v>
      </c>
      <c r="J637" s="206"/>
      <c r="K637" s="206"/>
      <c r="L637" s="206"/>
      <c r="M637" s="206"/>
      <c r="N637" s="206"/>
      <c r="O637" s="206"/>
      <c r="P637" s="206"/>
      <c r="Q637" s="206"/>
      <c r="R637" s="206"/>
      <c r="S637" s="206"/>
      <c r="T637" s="206"/>
      <c r="U637" s="206"/>
      <c r="V637" s="206"/>
      <c r="W637" s="206"/>
      <c r="X637" s="206"/>
      <c r="Y637" s="206"/>
      <c r="Z637" s="206"/>
      <c r="AA637" s="206"/>
      <c r="AB637" s="668">
        <v>2.331519535317</v>
      </c>
      <c r="AC637" s="668"/>
      <c r="AD637" s="668"/>
      <c r="AE637" s="668"/>
      <c r="AF637" s="614">
        <v>0.158003178256343</v>
      </c>
      <c r="AG637" s="614"/>
      <c r="AH637" s="614"/>
      <c r="AI637" s="614"/>
      <c r="AJ637" s="621">
        <v>1</v>
      </c>
      <c r="AK637" s="621"/>
      <c r="AL637" s="621"/>
      <c r="AM637" s="614">
        <v>0.988481560633459</v>
      </c>
      <c r="AN637" s="614"/>
      <c r="AO637" s="614"/>
      <c r="AP637" s="614"/>
      <c r="AQ637" s="615">
        <v>1</v>
      </c>
      <c r="AR637" s="615"/>
      <c r="AS637" s="615"/>
      <c r="AT637" s="614">
        <v>0.994355855115349</v>
      </c>
      <c r="AU637" s="614"/>
      <c r="AV637" s="614"/>
      <c r="AW637" s="614"/>
      <c r="AX637" s="621">
        <v>1</v>
      </c>
      <c r="AY637" s="621"/>
      <c r="AZ637" s="621"/>
      <c r="BA637" s="614">
        <v>0.190678941311853</v>
      </c>
      <c r="BB637" s="614"/>
      <c r="BC637" s="614"/>
      <c r="BD637" s="614"/>
      <c r="BE637" s="615">
        <v>1</v>
      </c>
      <c r="BF637" s="615"/>
      <c r="BG637" s="615"/>
      <c r="CA637" s="610"/>
      <c r="CB637" s="610"/>
      <c r="CC637" s="610"/>
      <c r="CD637" s="610"/>
      <c r="CH637" s="610"/>
      <c r="CI637" s="610"/>
      <c r="CJ637" s="610"/>
      <c r="CK637" s="610"/>
    </row>
    <row r="638" customHeight="1" spans="1:92">
      <c r="F638" s="612" t="s">
        <v>943</v>
      </c>
      <c r="G638" s="612"/>
      <c r="H638" s="612"/>
      <c r="I638" s="206" t="s">
        <v>944</v>
      </c>
      <c r="J638" s="206"/>
      <c r="K638" s="206"/>
      <c r="L638" s="206"/>
      <c r="M638" s="206"/>
      <c r="N638" s="206"/>
      <c r="O638" s="206"/>
      <c r="P638" s="206"/>
      <c r="Q638" s="206"/>
      <c r="R638" s="206"/>
      <c r="S638" s="206"/>
      <c r="T638" s="206"/>
      <c r="U638" s="206"/>
      <c r="V638" s="206"/>
      <c r="W638" s="206"/>
      <c r="X638" s="206"/>
      <c r="Y638" s="206"/>
      <c r="Z638" s="206"/>
      <c r="AA638" s="206"/>
      <c r="AB638" s="668">
        <v>0.00657570277823442</v>
      </c>
      <c r="AC638" s="668"/>
      <c r="AD638" s="668"/>
      <c r="AE638" s="668"/>
      <c r="AF638" s="614">
        <v>0.00410981423639651</v>
      </c>
      <c r="AG638" s="614"/>
      <c r="AH638" s="614"/>
      <c r="AI638" s="614"/>
      <c r="AJ638" s="615">
        <v>1</v>
      </c>
      <c r="AK638" s="615"/>
      <c r="AL638" s="615"/>
      <c r="AM638" s="614">
        <v>0.00246588854183791</v>
      </c>
      <c r="AN638" s="614"/>
      <c r="AO638" s="614"/>
      <c r="AP638" s="614"/>
      <c r="AQ638" s="615">
        <v>1</v>
      </c>
      <c r="AR638" s="615"/>
      <c r="AS638" s="615"/>
      <c r="AT638" s="614">
        <v>0</v>
      </c>
      <c r="AU638" s="614"/>
      <c r="AV638" s="614"/>
      <c r="AW638" s="614"/>
      <c r="AX638" s="621">
        <v>0</v>
      </c>
      <c r="AY638" s="621"/>
      <c r="AZ638" s="621"/>
      <c r="BA638" s="614">
        <v>0</v>
      </c>
      <c r="BB638" s="614"/>
      <c r="BC638" s="614"/>
      <c r="BD638" s="614"/>
      <c r="BE638" s="615">
        <v>0</v>
      </c>
      <c r="BF638" s="615"/>
      <c r="BG638" s="615"/>
      <c r="CA638" s="610"/>
      <c r="CB638" s="610"/>
      <c r="CC638" s="610"/>
      <c r="CD638" s="610"/>
      <c r="CH638" s="610"/>
      <c r="CI638" s="610"/>
      <c r="CJ638" s="610"/>
      <c r="CK638" s="610"/>
    </row>
    <row r="639" customHeight="1" spans="1:92">
      <c r="F639" s="612" t="s">
        <v>946</v>
      </c>
      <c r="G639" s="612"/>
      <c r="H639" s="612"/>
      <c r="I639" s="206" t="s">
        <v>947</v>
      </c>
      <c r="J639" s="206"/>
      <c r="K639" s="206"/>
      <c r="L639" s="206"/>
      <c r="M639" s="206"/>
      <c r="N639" s="206"/>
      <c r="O639" s="206"/>
      <c r="P639" s="206"/>
      <c r="Q639" s="206"/>
      <c r="R639" s="206"/>
      <c r="S639" s="206"/>
      <c r="T639" s="206"/>
      <c r="U639" s="206"/>
      <c r="V639" s="206"/>
      <c r="W639" s="206"/>
      <c r="X639" s="206"/>
      <c r="Y639" s="206"/>
      <c r="Z639" s="206"/>
      <c r="AA639" s="206"/>
      <c r="AB639" s="668">
        <v>0.217596839594928</v>
      </c>
      <c r="AC639" s="668"/>
      <c r="AD639" s="668"/>
      <c r="AE639" s="668"/>
      <c r="AF639" s="669">
        <v>0.00712394636115748</v>
      </c>
      <c r="AG639" s="669"/>
      <c r="AH639" s="669"/>
      <c r="AI639" s="669"/>
      <c r="AJ639" s="615">
        <v>1</v>
      </c>
      <c r="AK639" s="615"/>
      <c r="AL639" s="615"/>
      <c r="AM639" s="614">
        <v>0.070504276848332</v>
      </c>
      <c r="AN639" s="614"/>
      <c r="AO639" s="614"/>
      <c r="AP639" s="614"/>
      <c r="AQ639" s="615">
        <v>1</v>
      </c>
      <c r="AR639" s="615"/>
      <c r="AS639" s="615"/>
      <c r="AT639" s="614">
        <v>0.0903712658779486</v>
      </c>
      <c r="AU639" s="614"/>
      <c r="AV639" s="614"/>
      <c r="AW639" s="614"/>
      <c r="AX639" s="621">
        <v>1</v>
      </c>
      <c r="AY639" s="621"/>
      <c r="AZ639" s="621"/>
      <c r="BA639" s="614">
        <v>0.0495973505074895</v>
      </c>
      <c r="BB639" s="614"/>
      <c r="BC639" s="614"/>
      <c r="BD639" s="614"/>
      <c r="BE639" s="615">
        <v>1</v>
      </c>
      <c r="BF639" s="615"/>
      <c r="BG639" s="615"/>
      <c r="CA639" s="610"/>
      <c r="CB639" s="610"/>
      <c r="CC639" s="610"/>
      <c r="CD639" s="610"/>
      <c r="CH639" s="610"/>
      <c r="CI639" s="610"/>
      <c r="CJ639" s="610"/>
      <c r="CK639" s="610"/>
    </row>
    <row r="640" customHeight="1" spans="1:92">
      <c r="F640" s="612" t="s">
        <v>1013</v>
      </c>
      <c r="G640" s="612"/>
      <c r="H640" s="612"/>
      <c r="I640" s="206" t="s">
        <v>1014</v>
      </c>
      <c r="J640" s="206"/>
      <c r="K640" s="206"/>
      <c r="L640" s="206"/>
      <c r="M640" s="206"/>
      <c r="N640" s="206"/>
      <c r="O640" s="206"/>
      <c r="P640" s="206"/>
      <c r="Q640" s="206"/>
      <c r="R640" s="206"/>
      <c r="S640" s="206"/>
      <c r="T640" s="206"/>
      <c r="U640" s="206"/>
      <c r="V640" s="206"/>
      <c r="W640" s="206"/>
      <c r="X640" s="206"/>
      <c r="Y640" s="206"/>
      <c r="Z640" s="206"/>
      <c r="AA640" s="206"/>
      <c r="AB640" s="668">
        <v>0.0123294427091895</v>
      </c>
      <c r="AC640" s="668"/>
      <c r="AD640" s="668"/>
      <c r="AE640" s="668"/>
      <c r="AF640" s="669">
        <v>0</v>
      </c>
      <c r="AG640" s="669"/>
      <c r="AH640" s="669"/>
      <c r="AI640" s="669"/>
      <c r="AJ640" s="615">
        <v>0</v>
      </c>
      <c r="AK640" s="615"/>
      <c r="AL640" s="615"/>
      <c r="AM640" s="614">
        <v>0</v>
      </c>
      <c r="AN640" s="614"/>
      <c r="AO640" s="614"/>
      <c r="AP640" s="614"/>
      <c r="AQ640" s="615">
        <v>0</v>
      </c>
      <c r="AR640" s="615"/>
      <c r="AS640" s="615"/>
      <c r="AT640" s="614">
        <v>0.00493177708367582</v>
      </c>
      <c r="AU640" s="614"/>
      <c r="AV640" s="614"/>
      <c r="AW640" s="614"/>
      <c r="AX640" s="621">
        <v>1</v>
      </c>
      <c r="AY640" s="621"/>
      <c r="AZ640" s="621"/>
      <c r="BA640" s="614">
        <v>0.00739766562551373</v>
      </c>
      <c r="BB640" s="614"/>
      <c r="BC640" s="614"/>
      <c r="BD640" s="614"/>
      <c r="BE640" s="615">
        <v>1</v>
      </c>
      <c r="BF640" s="615"/>
      <c r="BG640" s="615"/>
      <c r="CA640" s="610"/>
      <c r="CB640" s="610"/>
      <c r="CC640" s="610"/>
      <c r="CD640" s="610"/>
      <c r="CH640" s="610"/>
      <c r="CI640" s="610"/>
      <c r="CJ640" s="610"/>
      <c r="CK640" s="610"/>
    </row>
    <row r="641" customHeight="1" spans="6:82">
      <c r="F641" s="612" t="s">
        <v>935</v>
      </c>
      <c r="G641" s="612"/>
      <c r="H641" s="612"/>
      <c r="I641" s="206" t="s">
        <v>936</v>
      </c>
      <c r="J641" s="206"/>
      <c r="K641" s="206"/>
      <c r="L641" s="206"/>
      <c r="M641" s="206"/>
      <c r="N641" s="206"/>
      <c r="O641" s="206"/>
      <c r="P641" s="206"/>
      <c r="Q641" s="206"/>
      <c r="R641" s="206"/>
      <c r="S641" s="206"/>
      <c r="T641" s="206"/>
      <c r="U641" s="206"/>
      <c r="V641" s="206"/>
      <c r="W641" s="206"/>
      <c r="X641" s="206"/>
      <c r="Y641" s="206"/>
      <c r="Z641" s="206"/>
      <c r="AA641" s="206"/>
      <c r="AB641" s="668">
        <v>2.96175574048832</v>
      </c>
      <c r="AC641" s="668"/>
      <c r="AD641" s="668"/>
      <c r="AE641" s="668"/>
      <c r="AF641" s="669">
        <v>0.281317991086688</v>
      </c>
      <c r="AG641" s="669"/>
      <c r="AH641" s="669"/>
      <c r="AI641" s="669"/>
      <c r="AJ641" s="615">
        <v>1</v>
      </c>
      <c r="AK641" s="615"/>
      <c r="AL641" s="615"/>
      <c r="AM641" s="614">
        <v>1.00195734021723</v>
      </c>
      <c r="AN641" s="614"/>
      <c r="AO641" s="614"/>
      <c r="AP641" s="614"/>
      <c r="AQ641" s="615">
        <v>2</v>
      </c>
      <c r="AR641" s="615"/>
      <c r="AS641" s="615"/>
      <c r="AT641" s="614">
        <v>1.14730167070759</v>
      </c>
      <c r="AU641" s="614"/>
      <c r="AV641" s="614"/>
      <c r="AW641" s="614"/>
      <c r="AX641" s="621">
        <v>2</v>
      </c>
      <c r="AY641" s="621"/>
      <c r="AZ641" s="621"/>
      <c r="BA641" s="614">
        <v>0.531178738476818</v>
      </c>
      <c r="BB641" s="614"/>
      <c r="BC641" s="614"/>
      <c r="BD641" s="614"/>
      <c r="BE641" s="615">
        <v>1</v>
      </c>
      <c r="BF641" s="615"/>
      <c r="BG641" s="615"/>
      <c r="CA641" s="610"/>
      <c r="CB641" s="610"/>
      <c r="CC641" s="610"/>
      <c r="CD641" s="610"/>
    </row>
    <row r="642" customHeight="1" spans="6:82">
      <c r="F642" s="612" t="s">
        <v>954</v>
      </c>
      <c r="G642" s="612"/>
      <c r="H642" s="612"/>
      <c r="I642" s="206" t="s">
        <v>955</v>
      </c>
      <c r="J642" s="206"/>
      <c r="K642" s="206"/>
      <c r="L642" s="206"/>
      <c r="M642" s="206"/>
      <c r="N642" s="206"/>
      <c r="O642" s="206"/>
      <c r="P642" s="206"/>
      <c r="Q642" s="206"/>
      <c r="R642" s="206"/>
      <c r="S642" s="206"/>
      <c r="T642" s="206"/>
      <c r="U642" s="206"/>
      <c r="V642" s="206"/>
      <c r="W642" s="206"/>
      <c r="X642" s="206"/>
      <c r="Y642" s="206"/>
      <c r="Z642" s="206"/>
      <c r="AA642" s="206"/>
      <c r="AB642" s="668">
        <v>0.504039062919001</v>
      </c>
      <c r="AC642" s="668"/>
      <c r="AD642" s="668"/>
      <c r="AE642" s="668"/>
      <c r="AF642" s="614">
        <v>0</v>
      </c>
      <c r="AG642" s="614"/>
      <c r="AH642" s="614"/>
      <c r="AI642" s="614"/>
      <c r="AJ642" s="615">
        <v>0</v>
      </c>
      <c r="AK642" s="615"/>
      <c r="AL642" s="615"/>
      <c r="AM642" s="614">
        <v>0.242731351285245</v>
      </c>
      <c r="AN642" s="614"/>
      <c r="AO642" s="614"/>
      <c r="AP642" s="614"/>
      <c r="AQ642" s="615">
        <v>1</v>
      </c>
      <c r="AR642" s="615"/>
      <c r="AS642" s="615"/>
      <c r="AT642" s="614">
        <v>0.25016189542465</v>
      </c>
      <c r="AU642" s="614"/>
      <c r="AV642" s="614"/>
      <c r="AW642" s="614"/>
      <c r="AX642" s="615">
        <v>1</v>
      </c>
      <c r="AY642" s="615"/>
      <c r="AZ642" s="615"/>
      <c r="BA642" s="614">
        <v>0.0111458162091073</v>
      </c>
      <c r="BB642" s="614"/>
      <c r="BC642" s="614"/>
      <c r="BD642" s="614"/>
      <c r="BE642" s="615">
        <v>1</v>
      </c>
      <c r="BF642" s="615"/>
      <c r="BG642" s="615"/>
      <c r="CA642" s="610"/>
      <c r="CB642" s="610"/>
      <c r="CC642" s="610"/>
      <c r="CD642" s="610"/>
    </row>
    <row r="643" customHeight="1" spans="6:82">
      <c r="F643" s="612" t="s">
        <v>1016</v>
      </c>
      <c r="G643" s="612"/>
      <c r="H643" s="612"/>
      <c r="I643" s="206" t="s">
        <v>1017</v>
      </c>
      <c r="J643" s="206"/>
      <c r="K643" s="206"/>
      <c r="L643" s="206"/>
      <c r="M643" s="206"/>
      <c r="N643" s="206"/>
      <c r="O643" s="206"/>
      <c r="P643" s="206"/>
      <c r="Q643" s="206"/>
      <c r="R643" s="206"/>
      <c r="S643" s="206"/>
      <c r="T643" s="206"/>
      <c r="U643" s="206"/>
      <c r="V643" s="206"/>
      <c r="W643" s="206"/>
      <c r="X643" s="206"/>
      <c r="Y643" s="206"/>
      <c r="Z643" s="206"/>
      <c r="AA643" s="206"/>
      <c r="AB643" s="668">
        <v>0.000215286235536748</v>
      </c>
      <c r="AC643" s="668"/>
      <c r="AD643" s="668"/>
      <c r="AE643" s="668"/>
      <c r="AF643" s="614">
        <v>0</v>
      </c>
      <c r="AG643" s="614"/>
      <c r="AH643" s="614"/>
      <c r="AI643" s="614"/>
      <c r="AJ643" s="615">
        <v>0</v>
      </c>
      <c r="AK643" s="615"/>
      <c r="AL643" s="615"/>
      <c r="AM643" s="614">
        <v>0</v>
      </c>
      <c r="AN643" s="614"/>
      <c r="AO643" s="614"/>
      <c r="AP643" s="614"/>
      <c r="AQ643" s="615">
        <v>0</v>
      </c>
      <c r="AR643" s="615"/>
      <c r="AS643" s="615"/>
      <c r="AT643" s="614">
        <v>8.61144942146991e-5</v>
      </c>
      <c r="AU643" s="614"/>
      <c r="AV643" s="614"/>
      <c r="AW643" s="614"/>
      <c r="AX643" s="615">
        <v>1</v>
      </c>
      <c r="AY643" s="615"/>
      <c r="AZ643" s="615"/>
      <c r="BA643" s="614">
        <v>0.000129171741322049</v>
      </c>
      <c r="BB643" s="614"/>
      <c r="BC643" s="614"/>
      <c r="BD643" s="614"/>
      <c r="BE643" s="615">
        <v>1</v>
      </c>
      <c r="BF643" s="615"/>
      <c r="BG643" s="615"/>
      <c r="CA643" s="610"/>
      <c r="CB643" s="610"/>
      <c r="CC643" s="610"/>
      <c r="CD643" s="610"/>
    </row>
    <row r="644" customHeight="1" spans="6:82">
      <c r="F644" s="670" t="s">
        <v>930</v>
      </c>
      <c r="G644" s="670"/>
      <c r="H644" s="670"/>
      <c r="I644" s="206" t="s">
        <v>931</v>
      </c>
      <c r="J644" s="206"/>
      <c r="K644" s="206"/>
      <c r="L644" s="206"/>
      <c r="M644" s="206"/>
      <c r="N644" s="206"/>
      <c r="O644" s="206"/>
      <c r="P644" s="206"/>
      <c r="Q644" s="206"/>
      <c r="R644" s="206"/>
      <c r="S644" s="206"/>
      <c r="T644" s="206"/>
      <c r="U644" s="206"/>
      <c r="V644" s="206"/>
      <c r="W644" s="206"/>
      <c r="X644" s="206"/>
      <c r="Y644" s="206"/>
      <c r="Z644" s="206"/>
      <c r="AA644" s="206"/>
      <c r="AB644" s="668">
        <v>0.00612965093977752</v>
      </c>
      <c r="AC644" s="668"/>
      <c r="AD644" s="668"/>
      <c r="AE644" s="668"/>
      <c r="AF644" s="614">
        <v>0.00612965093977752</v>
      </c>
      <c r="AG644" s="614"/>
      <c r="AH644" s="614"/>
      <c r="AI644" s="614"/>
      <c r="AJ644" s="615">
        <v>1</v>
      </c>
      <c r="AK644" s="615"/>
      <c r="AL644" s="615"/>
      <c r="AM644" s="614">
        <v>0</v>
      </c>
      <c r="AN644" s="614"/>
      <c r="AO644" s="614"/>
      <c r="AP644" s="614"/>
      <c r="AQ644" s="615">
        <v>0</v>
      </c>
      <c r="AR644" s="615"/>
      <c r="AS644" s="615"/>
      <c r="AT644" s="614">
        <v>0</v>
      </c>
      <c r="AU644" s="614"/>
      <c r="AV644" s="614"/>
      <c r="AW644" s="614"/>
      <c r="AX644" s="615">
        <v>0</v>
      </c>
      <c r="AY644" s="615"/>
      <c r="AZ644" s="615"/>
      <c r="BA644" s="614">
        <v>0</v>
      </c>
      <c r="BB644" s="614"/>
      <c r="BC644" s="614"/>
      <c r="BD644" s="614"/>
      <c r="BE644" s="615">
        <v>0</v>
      </c>
      <c r="BF644" s="615"/>
      <c r="BG644" s="615"/>
      <c r="CA644" s="610"/>
      <c r="CB644" s="610"/>
      <c r="CC644" s="610"/>
      <c r="CD644" s="610"/>
    </row>
    <row r="645" customHeight="1" spans="6:82">
      <c r="F645" s="670" t="s">
        <v>933</v>
      </c>
      <c r="G645" s="670"/>
      <c r="H645" s="670"/>
      <c r="I645" s="206" t="s">
        <v>934</v>
      </c>
      <c r="J645" s="206"/>
      <c r="K645" s="206"/>
      <c r="L645" s="206"/>
      <c r="M645" s="206"/>
      <c r="N645" s="206"/>
      <c r="O645" s="206"/>
      <c r="P645" s="206"/>
      <c r="Q645" s="206"/>
      <c r="R645" s="206"/>
      <c r="S645" s="206"/>
      <c r="T645" s="206"/>
      <c r="U645" s="206"/>
      <c r="V645" s="206"/>
      <c r="W645" s="206"/>
      <c r="X645" s="206"/>
      <c r="Y645" s="206"/>
      <c r="Z645" s="206"/>
      <c r="AA645" s="206"/>
      <c r="AB645" s="668">
        <v>0.00204339963833635</v>
      </c>
      <c r="AC645" s="668"/>
      <c r="AD645" s="668"/>
      <c r="AE645" s="668"/>
      <c r="AF645" s="614">
        <v>0.00204339963833635</v>
      </c>
      <c r="AG645" s="614"/>
      <c r="AH645" s="614"/>
      <c r="AI645" s="614"/>
      <c r="AJ645" s="615">
        <v>1</v>
      </c>
      <c r="AK645" s="615"/>
      <c r="AL645" s="615"/>
      <c r="AM645" s="614">
        <v>0</v>
      </c>
      <c r="AN645" s="614"/>
      <c r="AO645" s="614"/>
      <c r="AP645" s="614"/>
      <c r="AQ645" s="615">
        <v>0</v>
      </c>
      <c r="AR645" s="615"/>
      <c r="AS645" s="615"/>
      <c r="AT645" s="614">
        <v>0</v>
      </c>
      <c r="AU645" s="614"/>
      <c r="AV645" s="614"/>
      <c r="AW645" s="614"/>
      <c r="AX645" s="615">
        <v>0</v>
      </c>
      <c r="AY645" s="615"/>
      <c r="AZ645" s="615"/>
      <c r="BA645" s="614">
        <v>0</v>
      </c>
      <c r="BB645" s="614"/>
      <c r="BC645" s="614"/>
      <c r="BD645" s="614"/>
      <c r="BE645" s="615">
        <v>0</v>
      </c>
      <c r="BF645" s="615"/>
      <c r="BG645" s="615"/>
      <c r="CA645" s="610"/>
      <c r="CB645" s="610"/>
      <c r="CC645" s="610"/>
      <c r="CD645" s="610"/>
    </row>
    <row r="646" customHeight="1" spans="6:82">
      <c r="AF646" s="616" t="s">
        <v>1023</v>
      </c>
      <c r="AG646" s="616"/>
      <c r="AH646" s="616"/>
      <c r="AI646" s="616"/>
      <c r="AJ646" s="617">
        <v>9</v>
      </c>
      <c r="AK646" s="617"/>
      <c r="AL646" s="617"/>
      <c r="AM646" s="616" t="s">
        <v>1024</v>
      </c>
      <c r="AN646" s="616"/>
      <c r="AO646" s="616"/>
      <c r="AP646" s="616"/>
      <c r="AQ646" s="617">
        <v>14</v>
      </c>
      <c r="AR646" s="617"/>
      <c r="AS646" s="617"/>
      <c r="AT646" s="616" t="s">
        <v>1025</v>
      </c>
      <c r="AU646" s="616"/>
      <c r="AV646" s="616"/>
      <c r="AW646" s="616"/>
      <c r="AX646" s="617">
        <v>15</v>
      </c>
      <c r="AY646" s="617"/>
      <c r="AZ646" s="617"/>
      <c r="BA646" s="616" t="s">
        <v>1026</v>
      </c>
      <c r="BB646" s="616"/>
      <c r="BC646" s="616"/>
      <c r="BD646" s="616"/>
      <c r="BE646" s="617">
        <v>10</v>
      </c>
      <c r="BF646" s="617"/>
      <c r="BG646" s="617"/>
    </row>
    <row r="647" customHeight="1" spans="6:82">
      <c r="AF647" s="564">
        <v>1.3268812921892</v>
      </c>
      <c r="AG647" s="565"/>
      <c r="AH647" s="565"/>
      <c r="AI647" s="566"/>
      <c r="AM647" s="564">
        <v>8.41495618229633</v>
      </c>
      <c r="AN647" s="565"/>
      <c r="AO647" s="565"/>
      <c r="AP647" s="566"/>
      <c r="AT647" s="564">
        <v>9.35030513778156</v>
      </c>
      <c r="AU647" s="565"/>
      <c r="AV647" s="565"/>
      <c r="AW647" s="566"/>
      <c r="BA647" s="564">
        <v>3.8849328786773</v>
      </c>
      <c r="BB647" s="565"/>
      <c r="BC647" s="565"/>
      <c r="BD647" s="566"/>
    </row>
    <row r="648" customHeight="1" spans="6:82">
      <c r="AF648" s="564">
        <v>1.3268812921892</v>
      </c>
      <c r="AG648" s="565"/>
      <c r="AH648" s="565"/>
      <c r="AI648" s="566"/>
      <c r="AM648" s="564">
        <v>8.41495618229633</v>
      </c>
      <c r="AN648" s="565"/>
      <c r="AO648" s="565"/>
      <c r="AP648" s="566"/>
      <c r="AT648" s="564">
        <v>9.35030513778156</v>
      </c>
      <c r="AU648" s="565"/>
      <c r="AV648" s="565"/>
      <c r="AW648" s="566"/>
      <c r="BA648" s="564">
        <v>3.8849328786773</v>
      </c>
      <c r="BB648" s="565"/>
      <c r="BC648" s="565"/>
      <c r="BD648" s="566"/>
    </row>
  </sheetData>
  <mergeCells count="9378">
    <mergeCell ref="A4:H4"/>
    <mergeCell ref="I4:CN4"/>
    <mergeCell ref="A5:H5"/>
    <mergeCell ref="I5:CN5"/>
    <mergeCell ref="A6:H6"/>
    <mergeCell ref="I6:CN6"/>
    <mergeCell ref="A7:H7"/>
    <mergeCell ref="I7:CN7"/>
    <mergeCell ref="A8:H8"/>
    <mergeCell ref="CD8:CJ8"/>
    <mergeCell ref="CK8:CL8"/>
    <mergeCell ref="CM8:CN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CD11:CJ11"/>
    <mergeCell ref="CK11:CL11"/>
    <mergeCell ref="CM11:CN11"/>
    <mergeCell ref="A12:H12"/>
    <mergeCell ref="I12:U12"/>
    <mergeCell ref="V12:AH12"/>
    <mergeCell ref="A13:CN13"/>
    <mergeCell ref="A14:CN14"/>
    <mergeCell ref="A15:B15"/>
    <mergeCell ref="C15:E15"/>
    <mergeCell ref="F15:H15"/>
    <mergeCell ref="I15:AA15"/>
    <mergeCell ref="AB15:AC15"/>
    <mergeCell ref="AD15:AF15"/>
    <mergeCell ref="AG15:AH15"/>
    <mergeCell ref="AI15:AV15"/>
    <mergeCell ref="AW15:AY15"/>
    <mergeCell ref="AZ15:BB15"/>
    <mergeCell ref="BC15:BE15"/>
    <mergeCell ref="BF15:BH15"/>
    <mergeCell ref="BI15:BL15"/>
    <mergeCell ref="BM15:BP15"/>
    <mergeCell ref="BQ15:BS15"/>
    <mergeCell ref="BT15:BW15"/>
    <mergeCell ref="BX15:BZ15"/>
    <mergeCell ref="CA15:CD15"/>
    <mergeCell ref="CE15:CG15"/>
    <mergeCell ref="CH15:CK15"/>
    <mergeCell ref="CL15:CN15"/>
    <mergeCell ref="AG16:AH16"/>
    <mergeCell ref="AI16:AV16"/>
    <mergeCell ref="AW16:AY16"/>
    <mergeCell ref="BC16:BE16"/>
    <mergeCell ref="BF16:BH16"/>
    <mergeCell ref="BI16:BL16"/>
    <mergeCell ref="BM16:BP16"/>
    <mergeCell ref="BQ16:BS16"/>
    <mergeCell ref="BT16:BW16"/>
    <mergeCell ref="BX16:BZ16"/>
    <mergeCell ref="CA16:CD16"/>
    <mergeCell ref="CE16:CG16"/>
    <mergeCell ref="CH16:CK16"/>
    <mergeCell ref="CL16:CN16"/>
    <mergeCell ref="AG17:AH17"/>
    <mergeCell ref="AI17:AV17"/>
    <mergeCell ref="AW17:AY17"/>
    <mergeCell ref="BC17:BE17"/>
    <mergeCell ref="BF17:BH17"/>
    <mergeCell ref="BI17:BL17"/>
    <mergeCell ref="BM17:BP17"/>
    <mergeCell ref="BQ17:BS17"/>
    <mergeCell ref="BT17:BW17"/>
    <mergeCell ref="BX17:BZ17"/>
    <mergeCell ref="CA17:CD17"/>
    <mergeCell ref="CE17:CG17"/>
    <mergeCell ref="CH17:CK17"/>
    <mergeCell ref="CL17:CN17"/>
    <mergeCell ref="AG18:AH18"/>
    <mergeCell ref="AI18:AV18"/>
    <mergeCell ref="AW18:AY18"/>
    <mergeCell ref="BC18:BE18"/>
    <mergeCell ref="BF18:BH18"/>
    <mergeCell ref="BI18:BL18"/>
    <mergeCell ref="BM18:BP18"/>
    <mergeCell ref="BQ18:BS18"/>
    <mergeCell ref="BT18:BW18"/>
    <mergeCell ref="BX18:BZ18"/>
    <mergeCell ref="CA18:CD18"/>
    <mergeCell ref="CE18:CG18"/>
    <mergeCell ref="CH18:CK18"/>
    <mergeCell ref="CL18:CN18"/>
    <mergeCell ref="AG19:AH19"/>
    <mergeCell ref="AI19:AV19"/>
    <mergeCell ref="AW19:AY19"/>
    <mergeCell ref="BC19:BE19"/>
    <mergeCell ref="BF19:BH19"/>
    <mergeCell ref="BI19:BL19"/>
    <mergeCell ref="BM19:BP19"/>
    <mergeCell ref="BQ19:BS19"/>
    <mergeCell ref="BT19:BW19"/>
    <mergeCell ref="BX19:BZ19"/>
    <mergeCell ref="CA19:CD19"/>
    <mergeCell ref="CE19:CG19"/>
    <mergeCell ref="CH19:CK19"/>
    <mergeCell ref="CL19:CN19"/>
    <mergeCell ref="AG20:AH20"/>
    <mergeCell ref="AI20:AV20"/>
    <mergeCell ref="AW20:AY20"/>
    <mergeCell ref="BC20:BE20"/>
    <mergeCell ref="BF20:BH20"/>
    <mergeCell ref="BI20:BL20"/>
    <mergeCell ref="BM20:BP20"/>
    <mergeCell ref="BQ20:BS20"/>
    <mergeCell ref="BT20:BW20"/>
    <mergeCell ref="BX20:BZ20"/>
    <mergeCell ref="CA20:CD20"/>
    <mergeCell ref="CE20:CG20"/>
    <mergeCell ref="CH20:CK20"/>
    <mergeCell ref="CL20:CN20"/>
    <mergeCell ref="AG21:AH21"/>
    <mergeCell ref="AI21:AV21"/>
    <mergeCell ref="AW21:AY21"/>
    <mergeCell ref="BC21:BE21"/>
    <mergeCell ref="BF21:BH21"/>
    <mergeCell ref="BI21:BL21"/>
    <mergeCell ref="BM21:BP21"/>
    <mergeCell ref="BQ21:BS21"/>
    <mergeCell ref="BT21:BW21"/>
    <mergeCell ref="BX21:BZ21"/>
    <mergeCell ref="CA21:CD21"/>
    <mergeCell ref="CE21:CG21"/>
    <mergeCell ref="CH21:CK21"/>
    <mergeCell ref="CL21:CN21"/>
    <mergeCell ref="AG22:AH22"/>
    <mergeCell ref="AI22:AV22"/>
    <mergeCell ref="AW22:AY22"/>
    <mergeCell ref="BC22:BE22"/>
    <mergeCell ref="BF22:BH22"/>
    <mergeCell ref="BI22:BL22"/>
    <mergeCell ref="BM22:BP22"/>
    <mergeCell ref="BQ22:BS22"/>
    <mergeCell ref="BT22:BW22"/>
    <mergeCell ref="BX22:BZ22"/>
    <mergeCell ref="CA22:CD22"/>
    <mergeCell ref="CE22:CG22"/>
    <mergeCell ref="CH22:CK22"/>
    <mergeCell ref="CL22:CN22"/>
    <mergeCell ref="AG23:AH23"/>
    <mergeCell ref="AI23:AV23"/>
    <mergeCell ref="AW23:AY23"/>
    <mergeCell ref="BC23:BE23"/>
    <mergeCell ref="BF23:BH23"/>
    <mergeCell ref="BI23:BL23"/>
    <mergeCell ref="BM23:BP23"/>
    <mergeCell ref="BQ23:BS23"/>
    <mergeCell ref="BT23:BW23"/>
    <mergeCell ref="BX23:BZ23"/>
    <mergeCell ref="CA23:CD23"/>
    <mergeCell ref="CE23:CG23"/>
    <mergeCell ref="CH23:CK23"/>
    <mergeCell ref="CL23:CN23"/>
    <mergeCell ref="AG24:AH24"/>
    <mergeCell ref="AI24:AV24"/>
    <mergeCell ref="AW24:AY24"/>
    <mergeCell ref="BC24:BE24"/>
    <mergeCell ref="BF24:BH24"/>
    <mergeCell ref="BI24:BL24"/>
    <mergeCell ref="BM24:BP24"/>
    <mergeCell ref="BQ24:BS24"/>
    <mergeCell ref="BT24:BW24"/>
    <mergeCell ref="BX24:BZ24"/>
    <mergeCell ref="CA24:CD24"/>
    <mergeCell ref="CE24:CG24"/>
    <mergeCell ref="CH24:CK24"/>
    <mergeCell ref="CL24:CN24"/>
    <mergeCell ref="AG25:AH25"/>
    <mergeCell ref="AI25:AV25"/>
    <mergeCell ref="AW25:AY25"/>
    <mergeCell ref="BC25:BE25"/>
    <mergeCell ref="BF25:BH25"/>
    <mergeCell ref="BI25:BL25"/>
    <mergeCell ref="BM25:BP25"/>
    <mergeCell ref="BQ25:BS25"/>
    <mergeCell ref="BT25:BW25"/>
    <mergeCell ref="BX25:BZ25"/>
    <mergeCell ref="CA25:CD25"/>
    <mergeCell ref="CE25:CG25"/>
    <mergeCell ref="CH25:CK25"/>
    <mergeCell ref="CL25:CN25"/>
    <mergeCell ref="AG26:AH26"/>
    <mergeCell ref="AI26:AV26"/>
    <mergeCell ref="AW26:AY26"/>
    <mergeCell ref="BC26:BE26"/>
    <mergeCell ref="BF26:BH26"/>
    <mergeCell ref="BI26:BL26"/>
    <mergeCell ref="BM26:BP26"/>
    <mergeCell ref="BQ26:BS26"/>
    <mergeCell ref="BT26:BW26"/>
    <mergeCell ref="BX26:BZ26"/>
    <mergeCell ref="CA26:CD26"/>
    <mergeCell ref="CE26:CG26"/>
    <mergeCell ref="CH26:CK26"/>
    <mergeCell ref="CL26:CN26"/>
    <mergeCell ref="AG27:AH27"/>
    <mergeCell ref="AI27:AV27"/>
    <mergeCell ref="AW27:AY27"/>
    <mergeCell ref="BC27:BE27"/>
    <mergeCell ref="BF27:BH27"/>
    <mergeCell ref="BI27:BL27"/>
    <mergeCell ref="BM27:BP27"/>
    <mergeCell ref="BQ27:BS27"/>
    <mergeCell ref="BT27:BW27"/>
    <mergeCell ref="BX27:BZ27"/>
    <mergeCell ref="CA27:CD27"/>
    <mergeCell ref="CE27:CG27"/>
    <mergeCell ref="CH27:CK27"/>
    <mergeCell ref="CL27:CN27"/>
    <mergeCell ref="AG28:AH28"/>
    <mergeCell ref="AI28:AV28"/>
    <mergeCell ref="AW28:AY28"/>
    <mergeCell ref="BC28:BE28"/>
    <mergeCell ref="BF28:BH28"/>
    <mergeCell ref="BI28:BL28"/>
    <mergeCell ref="BM28:BP28"/>
    <mergeCell ref="BQ28:BS28"/>
    <mergeCell ref="BT28:BW28"/>
    <mergeCell ref="BX28:BZ28"/>
    <mergeCell ref="CA28:CD28"/>
    <mergeCell ref="CE28:CG28"/>
    <mergeCell ref="CH28:CK28"/>
    <mergeCell ref="CL28:CN28"/>
    <mergeCell ref="AG29:AH29"/>
    <mergeCell ref="AI29:AV29"/>
    <mergeCell ref="AW29:AY29"/>
    <mergeCell ref="BC29:BE29"/>
    <mergeCell ref="BF29:BH29"/>
    <mergeCell ref="BI29:BL29"/>
    <mergeCell ref="BM29:BP29"/>
    <mergeCell ref="BQ29:BS29"/>
    <mergeCell ref="BT29:BW29"/>
    <mergeCell ref="BX29:BZ29"/>
    <mergeCell ref="CA29:CD29"/>
    <mergeCell ref="CE29:CG29"/>
    <mergeCell ref="CH29:CK29"/>
    <mergeCell ref="CL29:CN29"/>
    <mergeCell ref="AG30:AH30"/>
    <mergeCell ref="AI30:AV30"/>
    <mergeCell ref="AW30:AY30"/>
    <mergeCell ref="BC30:BE30"/>
    <mergeCell ref="BF30:BH30"/>
    <mergeCell ref="BI30:BL30"/>
    <mergeCell ref="BM30:BP30"/>
    <mergeCell ref="BQ30:BS30"/>
    <mergeCell ref="BT30:BW30"/>
    <mergeCell ref="BX30:BZ30"/>
    <mergeCell ref="CA30:CD30"/>
    <mergeCell ref="CE30:CG30"/>
    <mergeCell ref="CH30:CK30"/>
    <mergeCell ref="CL30:CN30"/>
    <mergeCell ref="AG31:AH31"/>
    <mergeCell ref="AI31:AV31"/>
    <mergeCell ref="AW31:AY31"/>
    <mergeCell ref="BC31:BE31"/>
    <mergeCell ref="BF31:BH31"/>
    <mergeCell ref="BI31:BL31"/>
    <mergeCell ref="BM31:BP31"/>
    <mergeCell ref="BQ31:BS31"/>
    <mergeCell ref="BT31:BW31"/>
    <mergeCell ref="BX31:BZ31"/>
    <mergeCell ref="CA31:CD31"/>
    <mergeCell ref="CE31:CG31"/>
    <mergeCell ref="CH31:CK31"/>
    <mergeCell ref="CL31:CN31"/>
    <mergeCell ref="AG32:AH32"/>
    <mergeCell ref="AI32:AV32"/>
    <mergeCell ref="AW32:AY32"/>
    <mergeCell ref="BC32:BE32"/>
    <mergeCell ref="BF32:BH32"/>
    <mergeCell ref="BI32:BL32"/>
    <mergeCell ref="BM32:BP32"/>
    <mergeCell ref="BQ32:BS32"/>
    <mergeCell ref="BT32:BW32"/>
    <mergeCell ref="BX32:BZ32"/>
    <mergeCell ref="CA32:CD32"/>
    <mergeCell ref="CE32:CG32"/>
    <mergeCell ref="CH32:CK32"/>
    <mergeCell ref="CL32:CN32"/>
    <mergeCell ref="AG33:AH33"/>
    <mergeCell ref="AI33:AV33"/>
    <mergeCell ref="AW33:AY33"/>
    <mergeCell ref="BC33:BE33"/>
    <mergeCell ref="BF33:BH33"/>
    <mergeCell ref="BI33:BL33"/>
    <mergeCell ref="BM33:BP33"/>
    <mergeCell ref="BQ33:BS33"/>
    <mergeCell ref="BT33:BW33"/>
    <mergeCell ref="BX33:BZ33"/>
    <mergeCell ref="CA33:CD33"/>
    <mergeCell ref="CE33:CG33"/>
    <mergeCell ref="CH33:CK33"/>
    <mergeCell ref="CL33:CN33"/>
    <mergeCell ref="AG34:AH34"/>
    <mergeCell ref="AI34:AV34"/>
    <mergeCell ref="AW34:AY34"/>
    <mergeCell ref="BC34:BE34"/>
    <mergeCell ref="BF34:BH34"/>
    <mergeCell ref="BI34:BL34"/>
    <mergeCell ref="BM34:BP34"/>
    <mergeCell ref="BQ34:BS34"/>
    <mergeCell ref="BT34:BW34"/>
    <mergeCell ref="BX34:BZ34"/>
    <mergeCell ref="CA34:CD34"/>
    <mergeCell ref="CE34:CG34"/>
    <mergeCell ref="CH34:CK34"/>
    <mergeCell ref="CL34:CN34"/>
    <mergeCell ref="AG35:AH35"/>
    <mergeCell ref="AI35:AV35"/>
    <mergeCell ref="AW35:AY35"/>
    <mergeCell ref="BC35:BE35"/>
    <mergeCell ref="BF35:BH35"/>
    <mergeCell ref="BI35:BL35"/>
    <mergeCell ref="BM35:BP35"/>
    <mergeCell ref="BQ35:BS35"/>
    <mergeCell ref="BT35:BW35"/>
    <mergeCell ref="BX35:BZ35"/>
    <mergeCell ref="CA35:CD35"/>
    <mergeCell ref="CE35:CG35"/>
    <mergeCell ref="CH35:CK35"/>
    <mergeCell ref="CL35:CN35"/>
    <mergeCell ref="AG36:AH36"/>
    <mergeCell ref="AI36:AV36"/>
    <mergeCell ref="AW36:AY36"/>
    <mergeCell ref="BC36:BE36"/>
    <mergeCell ref="BF36:BH36"/>
    <mergeCell ref="BI36:BL36"/>
    <mergeCell ref="BM36:BP36"/>
    <mergeCell ref="BQ36:BS36"/>
    <mergeCell ref="BT36:BW36"/>
    <mergeCell ref="BX36:BZ36"/>
    <mergeCell ref="CA36:CD36"/>
    <mergeCell ref="CE36:CG36"/>
    <mergeCell ref="CH36:CK36"/>
    <mergeCell ref="CL36:CN36"/>
    <mergeCell ref="AG37:AH37"/>
    <mergeCell ref="AI37:AV37"/>
    <mergeCell ref="AW37:AY37"/>
    <mergeCell ref="BC37:BE37"/>
    <mergeCell ref="BF37:BH37"/>
    <mergeCell ref="BI37:BL37"/>
    <mergeCell ref="BM37:BP37"/>
    <mergeCell ref="BQ37:BS37"/>
    <mergeCell ref="BT37:BW37"/>
    <mergeCell ref="BX37:BZ37"/>
    <mergeCell ref="CA37:CD37"/>
    <mergeCell ref="CE37:CG37"/>
    <mergeCell ref="CH37:CK37"/>
    <mergeCell ref="CL37:CN37"/>
    <mergeCell ref="AG38:AH38"/>
    <mergeCell ref="AI38:AV38"/>
    <mergeCell ref="AW38:AY38"/>
    <mergeCell ref="BC38:BE38"/>
    <mergeCell ref="BF38:BH38"/>
    <mergeCell ref="BI38:BL38"/>
    <mergeCell ref="BM38:BP38"/>
    <mergeCell ref="BQ38:BS38"/>
    <mergeCell ref="BT38:BW38"/>
    <mergeCell ref="BX38:BZ38"/>
    <mergeCell ref="CA38:CD38"/>
    <mergeCell ref="CE38:CG38"/>
    <mergeCell ref="CH38:CK38"/>
    <mergeCell ref="CL38:CN38"/>
    <mergeCell ref="AG39:AH39"/>
    <mergeCell ref="AI39:AV39"/>
    <mergeCell ref="AW39:AY39"/>
    <mergeCell ref="BC39:BE39"/>
    <mergeCell ref="BF39:BH39"/>
    <mergeCell ref="BI39:BL39"/>
    <mergeCell ref="BM39:BP39"/>
    <mergeCell ref="BQ39:BS39"/>
    <mergeCell ref="BT39:BW39"/>
    <mergeCell ref="BX39:BZ39"/>
    <mergeCell ref="CA39:CD39"/>
    <mergeCell ref="CE39:CG39"/>
    <mergeCell ref="CH39:CK39"/>
    <mergeCell ref="CL39:CN39"/>
    <mergeCell ref="AG40:AH40"/>
    <mergeCell ref="AI40:AV40"/>
    <mergeCell ref="AW40:AY40"/>
    <mergeCell ref="BC40:BE40"/>
    <mergeCell ref="BF40:BH40"/>
    <mergeCell ref="BI40:BL40"/>
    <mergeCell ref="BM40:BP40"/>
    <mergeCell ref="BQ40:BS40"/>
    <mergeCell ref="BT40:BW40"/>
    <mergeCell ref="BX40:BZ40"/>
    <mergeCell ref="CA40:CD40"/>
    <mergeCell ref="CE40:CG40"/>
    <mergeCell ref="CH40:CK40"/>
    <mergeCell ref="CL40:CN40"/>
    <mergeCell ref="AG41:AH41"/>
    <mergeCell ref="AI41:AV41"/>
    <mergeCell ref="AW41:AY41"/>
    <mergeCell ref="BC41:BE41"/>
    <mergeCell ref="BF41:BH41"/>
    <mergeCell ref="BI41:BL41"/>
    <mergeCell ref="BM41:BP41"/>
    <mergeCell ref="BQ41:BS41"/>
    <mergeCell ref="BT41:BW41"/>
    <mergeCell ref="BX41:BZ41"/>
    <mergeCell ref="CA41:CD41"/>
    <mergeCell ref="CE41:CG41"/>
    <mergeCell ref="CH41:CK41"/>
    <mergeCell ref="CL41:CN41"/>
    <mergeCell ref="AG42:AH42"/>
    <mergeCell ref="AI42:AV42"/>
    <mergeCell ref="AW42:AY42"/>
    <mergeCell ref="BC42:BE42"/>
    <mergeCell ref="BF42:BH42"/>
    <mergeCell ref="BI42:BL42"/>
    <mergeCell ref="BM42:BP42"/>
    <mergeCell ref="BQ42:BS42"/>
    <mergeCell ref="BT42:BW42"/>
    <mergeCell ref="BX42:BZ42"/>
    <mergeCell ref="CA42:CD42"/>
    <mergeCell ref="CE42:CG42"/>
    <mergeCell ref="CH42:CK42"/>
    <mergeCell ref="CL42:CN42"/>
    <mergeCell ref="AG43:AH43"/>
    <mergeCell ref="AI43:AV43"/>
    <mergeCell ref="AW43:AY43"/>
    <mergeCell ref="BC43:BE43"/>
    <mergeCell ref="BF43:BH43"/>
    <mergeCell ref="BI43:BL43"/>
    <mergeCell ref="BM43:BP43"/>
    <mergeCell ref="BQ43:BS43"/>
    <mergeCell ref="BT43:BW43"/>
    <mergeCell ref="BX43:BZ43"/>
    <mergeCell ref="CA43:CD43"/>
    <mergeCell ref="CE43:CG43"/>
    <mergeCell ref="CH43:CK43"/>
    <mergeCell ref="CL43:CN43"/>
    <mergeCell ref="AG44:AH44"/>
    <mergeCell ref="AI44:AV44"/>
    <mergeCell ref="AW44:AY44"/>
    <mergeCell ref="BC44:BE44"/>
    <mergeCell ref="BF44:BH44"/>
    <mergeCell ref="BI44:BL44"/>
    <mergeCell ref="BM44:BP44"/>
    <mergeCell ref="BQ44:BS44"/>
    <mergeCell ref="BT44:BW44"/>
    <mergeCell ref="BX44:BZ44"/>
    <mergeCell ref="CA44:CD44"/>
    <mergeCell ref="CE44:CG44"/>
    <mergeCell ref="CH44:CK44"/>
    <mergeCell ref="CL44:CN44"/>
    <mergeCell ref="AG45:AH45"/>
    <mergeCell ref="AI45:AV45"/>
    <mergeCell ref="AW45:AY45"/>
    <mergeCell ref="BC45:BE45"/>
    <mergeCell ref="BF45:BH45"/>
    <mergeCell ref="BI45:BL45"/>
    <mergeCell ref="BM45:BP45"/>
    <mergeCell ref="BQ45:BS45"/>
    <mergeCell ref="BT45:BW45"/>
    <mergeCell ref="BX45:BZ45"/>
    <mergeCell ref="CA45:CD45"/>
    <mergeCell ref="CE45:CG45"/>
    <mergeCell ref="CH45:CK45"/>
    <mergeCell ref="CL45:CN45"/>
    <mergeCell ref="AG46:AH46"/>
    <mergeCell ref="AI46:AV46"/>
    <mergeCell ref="AW46:AY46"/>
    <mergeCell ref="BC46:BE46"/>
    <mergeCell ref="BF46:BH46"/>
    <mergeCell ref="BI46:BL46"/>
    <mergeCell ref="BM46:BP46"/>
    <mergeCell ref="BQ46:BS46"/>
    <mergeCell ref="BT46:BW46"/>
    <mergeCell ref="BX46:BZ46"/>
    <mergeCell ref="CA46:CD46"/>
    <mergeCell ref="CE46:CG46"/>
    <mergeCell ref="CH46:CK46"/>
    <mergeCell ref="CL46:CN46"/>
    <mergeCell ref="AG47:AH47"/>
    <mergeCell ref="AI47:AV47"/>
    <mergeCell ref="AW47:AY47"/>
    <mergeCell ref="BC47:BE47"/>
    <mergeCell ref="BF47:BH47"/>
    <mergeCell ref="BI47:BL47"/>
    <mergeCell ref="BM47:BP47"/>
    <mergeCell ref="BQ47:BS47"/>
    <mergeCell ref="BT47:BW47"/>
    <mergeCell ref="BX47:BZ47"/>
    <mergeCell ref="CA47:CD47"/>
    <mergeCell ref="CE47:CG47"/>
    <mergeCell ref="CH47:CK47"/>
    <mergeCell ref="CL47:CN47"/>
    <mergeCell ref="AG48:AH48"/>
    <mergeCell ref="AI48:AV48"/>
    <mergeCell ref="AW48:AY48"/>
    <mergeCell ref="BC48:BE48"/>
    <mergeCell ref="BF48:BH48"/>
    <mergeCell ref="BI48:BL48"/>
    <mergeCell ref="BM48:BP48"/>
    <mergeCell ref="BQ48:BS48"/>
    <mergeCell ref="BT48:BW48"/>
    <mergeCell ref="BX48:BZ48"/>
    <mergeCell ref="CA48:CD48"/>
    <mergeCell ref="CE48:CG48"/>
    <mergeCell ref="CH48:CK48"/>
    <mergeCell ref="CL48:CN48"/>
    <mergeCell ref="AG49:AH49"/>
    <mergeCell ref="AI49:AV49"/>
    <mergeCell ref="AW49:AY49"/>
    <mergeCell ref="BC49:BE49"/>
    <mergeCell ref="BF49:BH49"/>
    <mergeCell ref="BI49:BL49"/>
    <mergeCell ref="BM49:BP49"/>
    <mergeCell ref="BQ49:BS49"/>
    <mergeCell ref="BT49:BW49"/>
    <mergeCell ref="BX49:BZ49"/>
    <mergeCell ref="CA49:CD49"/>
    <mergeCell ref="CE49:CG49"/>
    <mergeCell ref="CH49:CK49"/>
    <mergeCell ref="CL49:CN49"/>
    <mergeCell ref="AG50:AH50"/>
    <mergeCell ref="AI50:AV50"/>
    <mergeCell ref="AW50:AY50"/>
    <mergeCell ref="BC50:BE50"/>
    <mergeCell ref="BF50:BH50"/>
    <mergeCell ref="BI50:BL50"/>
    <mergeCell ref="BM50:BP50"/>
    <mergeCell ref="BQ50:BS50"/>
    <mergeCell ref="BT50:BW50"/>
    <mergeCell ref="BX50:BZ50"/>
    <mergeCell ref="CA50:CD50"/>
    <mergeCell ref="CE50:CG50"/>
    <mergeCell ref="CH50:CK50"/>
    <mergeCell ref="CL50:CN50"/>
    <mergeCell ref="AG51:AH51"/>
    <mergeCell ref="AI51:AV51"/>
    <mergeCell ref="AW51:AY51"/>
    <mergeCell ref="BC51:BE51"/>
    <mergeCell ref="BF51:BH51"/>
    <mergeCell ref="BI51:BL51"/>
    <mergeCell ref="BM51:BP51"/>
    <mergeCell ref="BQ51:BS51"/>
    <mergeCell ref="BT51:BW51"/>
    <mergeCell ref="BX51:BZ51"/>
    <mergeCell ref="CA51:CD51"/>
    <mergeCell ref="CE51:CG51"/>
    <mergeCell ref="CH51:CK51"/>
    <mergeCell ref="CL51:CN51"/>
    <mergeCell ref="AG52:AH52"/>
    <mergeCell ref="AI52:AV52"/>
    <mergeCell ref="AW52:AY52"/>
    <mergeCell ref="BC52:BE52"/>
    <mergeCell ref="BF52:BH52"/>
    <mergeCell ref="BI52:BL52"/>
    <mergeCell ref="BM52:BP52"/>
    <mergeCell ref="BQ52:BS52"/>
    <mergeCell ref="BT52:BW52"/>
    <mergeCell ref="BX52:BZ52"/>
    <mergeCell ref="CA52:CD52"/>
    <mergeCell ref="CE52:CG52"/>
    <mergeCell ref="CH52:CK52"/>
    <mergeCell ref="CL52:CN52"/>
    <mergeCell ref="AG53:AH53"/>
    <mergeCell ref="AI53:AV53"/>
    <mergeCell ref="AW53:AY53"/>
    <mergeCell ref="BC53:BE53"/>
    <mergeCell ref="BF53:BH53"/>
    <mergeCell ref="BI53:BL53"/>
    <mergeCell ref="BM53:BP53"/>
    <mergeCell ref="BQ53:BS53"/>
    <mergeCell ref="BT53:BW53"/>
    <mergeCell ref="BX53:BZ53"/>
    <mergeCell ref="CA53:CD53"/>
    <mergeCell ref="CE53:CG53"/>
    <mergeCell ref="CH53:CK53"/>
    <mergeCell ref="CL53:CN53"/>
    <mergeCell ref="AG54:AH54"/>
    <mergeCell ref="AI54:AV54"/>
    <mergeCell ref="AW54:AY54"/>
    <mergeCell ref="BC54:BE54"/>
    <mergeCell ref="BF54:BH54"/>
    <mergeCell ref="BI54:BL54"/>
    <mergeCell ref="BM54:BP54"/>
    <mergeCell ref="BQ54:BS54"/>
    <mergeCell ref="BT54:BW54"/>
    <mergeCell ref="BX54:BZ54"/>
    <mergeCell ref="CA54:CD54"/>
    <mergeCell ref="CE54:CG54"/>
    <mergeCell ref="CH54:CK54"/>
    <mergeCell ref="CL54:CN54"/>
    <mergeCell ref="AG55:AH55"/>
    <mergeCell ref="AI55:AV55"/>
    <mergeCell ref="AW55:AY55"/>
    <mergeCell ref="BC55:BE55"/>
    <mergeCell ref="BF55:BH55"/>
    <mergeCell ref="BI55:BL55"/>
    <mergeCell ref="BM55:BP55"/>
    <mergeCell ref="BQ55:BS55"/>
    <mergeCell ref="BT55:BW55"/>
    <mergeCell ref="BX55:BZ55"/>
    <mergeCell ref="CA55:CD55"/>
    <mergeCell ref="CE55:CG55"/>
    <mergeCell ref="CH55:CK55"/>
    <mergeCell ref="CL55:CN55"/>
    <mergeCell ref="AG56:AH56"/>
    <mergeCell ref="AI56:AV56"/>
    <mergeCell ref="AW56:AY56"/>
    <mergeCell ref="BC56:BE56"/>
    <mergeCell ref="BF56:BH56"/>
    <mergeCell ref="BI56:BL56"/>
    <mergeCell ref="BM56:BP56"/>
    <mergeCell ref="BQ56:BS56"/>
    <mergeCell ref="BT56:BW56"/>
    <mergeCell ref="BX56:BZ56"/>
    <mergeCell ref="CA56:CD56"/>
    <mergeCell ref="CE56:CG56"/>
    <mergeCell ref="CH56:CK56"/>
    <mergeCell ref="CL56:CN56"/>
    <mergeCell ref="AG57:AH57"/>
    <mergeCell ref="AI57:AV57"/>
    <mergeCell ref="AW57:AY57"/>
    <mergeCell ref="BC57:BE57"/>
    <mergeCell ref="BF57:BH57"/>
    <mergeCell ref="BI57:BL57"/>
    <mergeCell ref="BM57:BP57"/>
    <mergeCell ref="BQ57:BS57"/>
    <mergeCell ref="BT57:BW57"/>
    <mergeCell ref="BX57:BZ57"/>
    <mergeCell ref="CA57:CD57"/>
    <mergeCell ref="CE57:CG57"/>
    <mergeCell ref="CH57:CK57"/>
    <mergeCell ref="CL57:CN57"/>
    <mergeCell ref="AG58:AH58"/>
    <mergeCell ref="AI58:AV58"/>
    <mergeCell ref="AW58:AY58"/>
    <mergeCell ref="BC58:BE58"/>
    <mergeCell ref="BF58:BH58"/>
    <mergeCell ref="BI58:BL58"/>
    <mergeCell ref="BM58:BP58"/>
    <mergeCell ref="BQ58:BS58"/>
    <mergeCell ref="BT58:BW58"/>
    <mergeCell ref="BX58:BZ58"/>
    <mergeCell ref="CA58:CD58"/>
    <mergeCell ref="CE58:CG58"/>
    <mergeCell ref="CH58:CK58"/>
    <mergeCell ref="CL58:CN58"/>
    <mergeCell ref="AG59:AH59"/>
    <mergeCell ref="AI59:AV59"/>
    <mergeCell ref="AW59:AY59"/>
    <mergeCell ref="BC59:BE59"/>
    <mergeCell ref="BF59:BH59"/>
    <mergeCell ref="BI59:BL59"/>
    <mergeCell ref="BM59:BP59"/>
    <mergeCell ref="BQ59:BS59"/>
    <mergeCell ref="BT59:BW59"/>
    <mergeCell ref="BX59:BZ59"/>
    <mergeCell ref="CA59:CD59"/>
    <mergeCell ref="CE59:CG59"/>
    <mergeCell ref="CH59:CK59"/>
    <mergeCell ref="CL59:CN59"/>
    <mergeCell ref="AG60:AH60"/>
    <mergeCell ref="AI60:AV60"/>
    <mergeCell ref="AW60:AY60"/>
    <mergeCell ref="BC60:BE60"/>
    <mergeCell ref="BF60:BH60"/>
    <mergeCell ref="BI60:BL60"/>
    <mergeCell ref="BM60:BP60"/>
    <mergeCell ref="BQ60:BS60"/>
    <mergeCell ref="BT60:BW60"/>
    <mergeCell ref="BX60:BZ60"/>
    <mergeCell ref="CA60:CD60"/>
    <mergeCell ref="CE60:CG60"/>
    <mergeCell ref="CH60:CK60"/>
    <mergeCell ref="CL60:CN60"/>
    <mergeCell ref="AG61:AH61"/>
    <mergeCell ref="AI61:AV61"/>
    <mergeCell ref="AW61:AY61"/>
    <mergeCell ref="BC61:BE61"/>
    <mergeCell ref="BF61:BH61"/>
    <mergeCell ref="BI61:BL61"/>
    <mergeCell ref="BM61:BP61"/>
    <mergeCell ref="BQ61:BS61"/>
    <mergeCell ref="BT61:BW61"/>
    <mergeCell ref="BX61:BZ61"/>
    <mergeCell ref="CA61:CD61"/>
    <mergeCell ref="CE61:CG61"/>
    <mergeCell ref="CH61:CK61"/>
    <mergeCell ref="CL61:CN61"/>
    <mergeCell ref="AG62:AH62"/>
    <mergeCell ref="AI62:AV62"/>
    <mergeCell ref="AW62:AY62"/>
    <mergeCell ref="BC62:BE62"/>
    <mergeCell ref="BF62:BH62"/>
    <mergeCell ref="BI62:BL62"/>
    <mergeCell ref="BM62:BP62"/>
    <mergeCell ref="BQ62:BS62"/>
    <mergeCell ref="BT62:BW62"/>
    <mergeCell ref="BX62:BZ62"/>
    <mergeCell ref="CA62:CD62"/>
    <mergeCell ref="CE62:CG62"/>
    <mergeCell ref="CH62:CK62"/>
    <mergeCell ref="CL62:CN62"/>
    <mergeCell ref="AG63:AH63"/>
    <mergeCell ref="AI63:AV63"/>
    <mergeCell ref="AW63:AY63"/>
    <mergeCell ref="BC63:BE63"/>
    <mergeCell ref="BF63:BH63"/>
    <mergeCell ref="BI63:BL63"/>
    <mergeCell ref="BM63:BP63"/>
    <mergeCell ref="BQ63:BS63"/>
    <mergeCell ref="BT63:BW63"/>
    <mergeCell ref="BX63:BZ63"/>
    <mergeCell ref="CA63:CD63"/>
    <mergeCell ref="CE63:CG63"/>
    <mergeCell ref="CH63:CK63"/>
    <mergeCell ref="CL63:CN63"/>
    <mergeCell ref="AG64:AH64"/>
    <mergeCell ref="AI64:AV64"/>
    <mergeCell ref="AW64:AY64"/>
    <mergeCell ref="BC64:BE64"/>
    <mergeCell ref="BF64:BH64"/>
    <mergeCell ref="BI64:BL64"/>
    <mergeCell ref="BM64:BP64"/>
    <mergeCell ref="BQ64:BS64"/>
    <mergeCell ref="BT64:BW64"/>
    <mergeCell ref="BX64:BZ64"/>
    <mergeCell ref="CA64:CD64"/>
    <mergeCell ref="CE64:CG64"/>
    <mergeCell ref="CH64:CK64"/>
    <mergeCell ref="CL64:CN64"/>
    <mergeCell ref="AG65:AH65"/>
    <mergeCell ref="AI65:AV65"/>
    <mergeCell ref="AW65:AY65"/>
    <mergeCell ref="BC65:BE65"/>
    <mergeCell ref="BF65:BH65"/>
    <mergeCell ref="BI65:BL65"/>
    <mergeCell ref="BM65:BP65"/>
    <mergeCell ref="BQ65:BS65"/>
    <mergeCell ref="BT65:BW65"/>
    <mergeCell ref="BX65:BZ65"/>
    <mergeCell ref="CA65:CD65"/>
    <mergeCell ref="CE65:CG65"/>
    <mergeCell ref="CH65:CK65"/>
    <mergeCell ref="CL65:CN65"/>
    <mergeCell ref="AG66:AH66"/>
    <mergeCell ref="AI66:AV66"/>
    <mergeCell ref="AW66:AY66"/>
    <mergeCell ref="BC66:BE66"/>
    <mergeCell ref="BF66:BH66"/>
    <mergeCell ref="BI66:BL66"/>
    <mergeCell ref="BM66:BP66"/>
    <mergeCell ref="BQ66:BS66"/>
    <mergeCell ref="BT66:BW66"/>
    <mergeCell ref="BX66:BZ66"/>
    <mergeCell ref="CA66:CD66"/>
    <mergeCell ref="CE66:CG66"/>
    <mergeCell ref="CH66:CK66"/>
    <mergeCell ref="CL66:CN66"/>
    <mergeCell ref="AG67:AH67"/>
    <mergeCell ref="AI67:AV67"/>
    <mergeCell ref="AW67:AY67"/>
    <mergeCell ref="BC67:BE67"/>
    <mergeCell ref="BF67:BH67"/>
    <mergeCell ref="BI67:BL67"/>
    <mergeCell ref="BM67:BP67"/>
    <mergeCell ref="BQ67:BS67"/>
    <mergeCell ref="BT67:BW67"/>
    <mergeCell ref="BX67:BZ67"/>
    <mergeCell ref="CA67:CD67"/>
    <mergeCell ref="CE67:CG67"/>
    <mergeCell ref="CH67:CK67"/>
    <mergeCell ref="CL67:CN67"/>
    <mergeCell ref="AG68:AH68"/>
    <mergeCell ref="AI68:AV68"/>
    <mergeCell ref="AW68:AY68"/>
    <mergeCell ref="BC68:BE68"/>
    <mergeCell ref="BF68:BH68"/>
    <mergeCell ref="BI68:BL68"/>
    <mergeCell ref="BM68:BP68"/>
    <mergeCell ref="BQ68:BS68"/>
    <mergeCell ref="BT68:BW68"/>
    <mergeCell ref="BX68:BZ68"/>
    <mergeCell ref="CA68:CD68"/>
    <mergeCell ref="CE68:CG68"/>
    <mergeCell ref="CH68:CK68"/>
    <mergeCell ref="CL68:CN68"/>
    <mergeCell ref="AG69:AH69"/>
    <mergeCell ref="AI69:AV69"/>
    <mergeCell ref="AW69:AY69"/>
    <mergeCell ref="BC69:BE69"/>
    <mergeCell ref="BF69:BH69"/>
    <mergeCell ref="BI69:BL69"/>
    <mergeCell ref="BM69:BP69"/>
    <mergeCell ref="BQ69:BS69"/>
    <mergeCell ref="BT69:BW69"/>
    <mergeCell ref="BX69:BZ69"/>
    <mergeCell ref="CA69:CD69"/>
    <mergeCell ref="CE69:CG69"/>
    <mergeCell ref="CH69:CK69"/>
    <mergeCell ref="CL69:CN69"/>
    <mergeCell ref="AG70:AH70"/>
    <mergeCell ref="AI70:AV70"/>
    <mergeCell ref="AW70:AY70"/>
    <mergeCell ref="BC70:BE70"/>
    <mergeCell ref="BF70:BH70"/>
    <mergeCell ref="BI70:BL70"/>
    <mergeCell ref="BM70:BP70"/>
    <mergeCell ref="BQ70:BS70"/>
    <mergeCell ref="BT70:BW70"/>
    <mergeCell ref="BX70:BZ70"/>
    <mergeCell ref="CA70:CD70"/>
    <mergeCell ref="CE70:CG70"/>
    <mergeCell ref="CH70:CK70"/>
    <mergeCell ref="CL70:CN70"/>
    <mergeCell ref="AG71:AH71"/>
    <mergeCell ref="AI71:AV71"/>
    <mergeCell ref="AW71:AY71"/>
    <mergeCell ref="BC71:BE71"/>
    <mergeCell ref="BF71:BH71"/>
    <mergeCell ref="BI71:BL71"/>
    <mergeCell ref="BM71:BP71"/>
    <mergeCell ref="BQ71:BS71"/>
    <mergeCell ref="BT71:BW71"/>
    <mergeCell ref="BX71:BZ71"/>
    <mergeCell ref="CA71:CD71"/>
    <mergeCell ref="CE71:CG71"/>
    <mergeCell ref="CH71:CK71"/>
    <mergeCell ref="CL71:CN71"/>
    <mergeCell ref="AG72:AH72"/>
    <mergeCell ref="AI72:AV72"/>
    <mergeCell ref="AW72:AY72"/>
    <mergeCell ref="BC72:BE72"/>
    <mergeCell ref="BF72:BH72"/>
    <mergeCell ref="BI72:BL72"/>
    <mergeCell ref="BM72:BP72"/>
    <mergeCell ref="BQ72:BS72"/>
    <mergeCell ref="BT72:BW72"/>
    <mergeCell ref="BX72:BZ72"/>
    <mergeCell ref="CA72:CD72"/>
    <mergeCell ref="CE72:CG72"/>
    <mergeCell ref="CH72:CK72"/>
    <mergeCell ref="CL72:CN72"/>
    <mergeCell ref="AG73:AH73"/>
    <mergeCell ref="AI73:AV73"/>
    <mergeCell ref="AW73:AY73"/>
    <mergeCell ref="BC73:BE73"/>
    <mergeCell ref="BF73:BH73"/>
    <mergeCell ref="BI73:BL73"/>
    <mergeCell ref="BM73:BP73"/>
    <mergeCell ref="BQ73:BS73"/>
    <mergeCell ref="BT73:BW73"/>
    <mergeCell ref="BX73:BZ73"/>
    <mergeCell ref="CA73:CD73"/>
    <mergeCell ref="CE73:CG73"/>
    <mergeCell ref="CH73:CK73"/>
    <mergeCell ref="CL73:CN73"/>
    <mergeCell ref="AG74:AH74"/>
    <mergeCell ref="AI74:AV74"/>
    <mergeCell ref="AW74:AY74"/>
    <mergeCell ref="BC74:BE74"/>
    <mergeCell ref="BF74:BH74"/>
    <mergeCell ref="BI74:BL74"/>
    <mergeCell ref="BM74:BP74"/>
    <mergeCell ref="BQ74:BS74"/>
    <mergeCell ref="BT74:BW74"/>
    <mergeCell ref="BX74:BZ74"/>
    <mergeCell ref="CA74:CD74"/>
    <mergeCell ref="CE74:CG74"/>
    <mergeCell ref="CH74:CK74"/>
    <mergeCell ref="CL74:CN74"/>
    <mergeCell ref="AG75:AH75"/>
    <mergeCell ref="AI75:AV75"/>
    <mergeCell ref="AW75:AY75"/>
    <mergeCell ref="BC75:BE75"/>
    <mergeCell ref="BF75:BH75"/>
    <mergeCell ref="BI75:BL75"/>
    <mergeCell ref="BM75:BP75"/>
    <mergeCell ref="BQ75:BS75"/>
    <mergeCell ref="BT75:BW75"/>
    <mergeCell ref="BX75:BZ75"/>
    <mergeCell ref="CA75:CD75"/>
    <mergeCell ref="CE75:CG75"/>
    <mergeCell ref="CH75:CK75"/>
    <mergeCell ref="CL75:CN75"/>
    <mergeCell ref="AG76:AH76"/>
    <mergeCell ref="AI76:AV76"/>
    <mergeCell ref="AW76:AY76"/>
    <mergeCell ref="BC76:BE76"/>
    <mergeCell ref="BF76:BH76"/>
    <mergeCell ref="BI76:BL76"/>
    <mergeCell ref="BM76:BP76"/>
    <mergeCell ref="BQ76:BS76"/>
    <mergeCell ref="BT76:BW76"/>
    <mergeCell ref="BX76:BZ76"/>
    <mergeCell ref="CA76:CD76"/>
    <mergeCell ref="CE76:CG76"/>
    <mergeCell ref="CH76:CK76"/>
    <mergeCell ref="CL76:CN76"/>
    <mergeCell ref="AG77:AH77"/>
    <mergeCell ref="AI77:AV77"/>
    <mergeCell ref="AW77:AY77"/>
    <mergeCell ref="BC77:BE77"/>
    <mergeCell ref="BF77:BH77"/>
    <mergeCell ref="BI77:BL77"/>
    <mergeCell ref="BM77:BP77"/>
    <mergeCell ref="BQ77:BS77"/>
    <mergeCell ref="BT77:BW77"/>
    <mergeCell ref="BX77:BZ77"/>
    <mergeCell ref="CA77:CD77"/>
    <mergeCell ref="CE77:CG77"/>
    <mergeCell ref="CH77:CK77"/>
    <mergeCell ref="CL77:CN77"/>
    <mergeCell ref="AG78:AH78"/>
    <mergeCell ref="AI78:AV78"/>
    <mergeCell ref="AW78:AY78"/>
    <mergeCell ref="BC78:BE78"/>
    <mergeCell ref="BF78:BH78"/>
    <mergeCell ref="BI78:BL78"/>
    <mergeCell ref="BM78:BP78"/>
    <mergeCell ref="BQ78:BS78"/>
    <mergeCell ref="BT78:BW78"/>
    <mergeCell ref="BX78:BZ78"/>
    <mergeCell ref="CA78:CD78"/>
    <mergeCell ref="CE78:CG78"/>
    <mergeCell ref="CH78:CK78"/>
    <mergeCell ref="CL78:CN78"/>
    <mergeCell ref="AG79:AH79"/>
    <mergeCell ref="AI79:AV79"/>
    <mergeCell ref="AW79:AY79"/>
    <mergeCell ref="BC79:BE79"/>
    <mergeCell ref="BF79:BH79"/>
    <mergeCell ref="BI79:BL79"/>
    <mergeCell ref="BM79:BP79"/>
    <mergeCell ref="BQ79:BS79"/>
    <mergeCell ref="BT79:BW79"/>
    <mergeCell ref="BX79:BZ79"/>
    <mergeCell ref="CA79:CD79"/>
    <mergeCell ref="CE79:CG79"/>
    <mergeCell ref="CH79:CK79"/>
    <mergeCell ref="CL79:CN79"/>
    <mergeCell ref="AG80:AH80"/>
    <mergeCell ref="AI80:AV80"/>
    <mergeCell ref="AW80:AY80"/>
    <mergeCell ref="BC80:BE80"/>
    <mergeCell ref="BF80:BH80"/>
    <mergeCell ref="BI80:BL80"/>
    <mergeCell ref="BM80:BP80"/>
    <mergeCell ref="BQ80:BS80"/>
    <mergeCell ref="BT80:BW80"/>
    <mergeCell ref="BX80:BZ80"/>
    <mergeCell ref="CA80:CD80"/>
    <mergeCell ref="CE80:CG80"/>
    <mergeCell ref="CH80:CK80"/>
    <mergeCell ref="CL80:CN80"/>
    <mergeCell ref="AG81:AH81"/>
    <mergeCell ref="AI81:AV81"/>
    <mergeCell ref="AW81:AY81"/>
    <mergeCell ref="BC81:BE81"/>
    <mergeCell ref="BF81:BH81"/>
    <mergeCell ref="BI81:BL81"/>
    <mergeCell ref="BM81:BP81"/>
    <mergeCell ref="BQ81:BS81"/>
    <mergeCell ref="BT81:BW81"/>
    <mergeCell ref="BX81:BZ81"/>
    <mergeCell ref="CA81:CD81"/>
    <mergeCell ref="CE81:CG81"/>
    <mergeCell ref="CH81:CK81"/>
    <mergeCell ref="CL81:CN81"/>
    <mergeCell ref="AG82:AH82"/>
    <mergeCell ref="AI82:AV82"/>
    <mergeCell ref="AW82:AY82"/>
    <mergeCell ref="BC82:BE82"/>
    <mergeCell ref="BF82:BH82"/>
    <mergeCell ref="BI82:BL82"/>
    <mergeCell ref="BM82:BP82"/>
    <mergeCell ref="BQ82:BS82"/>
    <mergeCell ref="BT82:BW82"/>
    <mergeCell ref="BX82:BZ82"/>
    <mergeCell ref="CA82:CD82"/>
    <mergeCell ref="CE82:CG82"/>
    <mergeCell ref="CH82:CK82"/>
    <mergeCell ref="CL82:CN82"/>
    <mergeCell ref="AG83:AH83"/>
    <mergeCell ref="AI83:AV83"/>
    <mergeCell ref="AW83:AY83"/>
    <mergeCell ref="BC83:BE83"/>
    <mergeCell ref="BF83:BH83"/>
    <mergeCell ref="BI83:BL83"/>
    <mergeCell ref="BM83:BP83"/>
    <mergeCell ref="BQ83:BS83"/>
    <mergeCell ref="BT83:BW83"/>
    <mergeCell ref="BX83:BZ83"/>
    <mergeCell ref="CA83:CD83"/>
    <mergeCell ref="CE83:CG83"/>
    <mergeCell ref="CH83:CK83"/>
    <mergeCell ref="CL83:CN83"/>
    <mergeCell ref="AG84:AH84"/>
    <mergeCell ref="AI84:AV84"/>
    <mergeCell ref="AW84:AY84"/>
    <mergeCell ref="BC84:BE84"/>
    <mergeCell ref="BF84:BH84"/>
    <mergeCell ref="BI84:BL84"/>
    <mergeCell ref="BM84:BP84"/>
    <mergeCell ref="BQ84:BS84"/>
    <mergeCell ref="BT84:BW84"/>
    <mergeCell ref="BX84:BZ84"/>
    <mergeCell ref="CA84:CD84"/>
    <mergeCell ref="CE84:CG84"/>
    <mergeCell ref="CH84:CK84"/>
    <mergeCell ref="CL84:CN84"/>
    <mergeCell ref="AG85:AH85"/>
    <mergeCell ref="AI85:AV85"/>
    <mergeCell ref="AW85:AY85"/>
    <mergeCell ref="BC85:BE85"/>
    <mergeCell ref="BF85:BH85"/>
    <mergeCell ref="BI85:BL85"/>
    <mergeCell ref="BM85:BP85"/>
    <mergeCell ref="BQ85:BS85"/>
    <mergeCell ref="BT85:BW85"/>
    <mergeCell ref="BX85:BZ85"/>
    <mergeCell ref="CA85:CD85"/>
    <mergeCell ref="CE85:CG85"/>
    <mergeCell ref="CH85:CK85"/>
    <mergeCell ref="CL85:CN85"/>
    <mergeCell ref="AG86:AH86"/>
    <mergeCell ref="AI86:AV86"/>
    <mergeCell ref="AW86:AY86"/>
    <mergeCell ref="BC86:BE86"/>
    <mergeCell ref="BF86:BH86"/>
    <mergeCell ref="BI86:BL86"/>
    <mergeCell ref="BM86:BP86"/>
    <mergeCell ref="BQ86:BS86"/>
    <mergeCell ref="BT86:BW86"/>
    <mergeCell ref="BX86:BZ86"/>
    <mergeCell ref="CA86:CD86"/>
    <mergeCell ref="CE86:CG86"/>
    <mergeCell ref="CH86:CK86"/>
    <mergeCell ref="CL86:CN86"/>
    <mergeCell ref="AG87:AH87"/>
    <mergeCell ref="AI87:AV87"/>
    <mergeCell ref="AW87:AY87"/>
    <mergeCell ref="BC87:BE87"/>
    <mergeCell ref="BF87:BH87"/>
    <mergeCell ref="BI87:BL87"/>
    <mergeCell ref="BM87:BP87"/>
    <mergeCell ref="BQ87:BS87"/>
    <mergeCell ref="BT87:BW87"/>
    <mergeCell ref="BX87:BZ87"/>
    <mergeCell ref="CA87:CD87"/>
    <mergeCell ref="CE87:CG87"/>
    <mergeCell ref="CH87:CK87"/>
    <mergeCell ref="CL87:CN87"/>
    <mergeCell ref="AG88:AH88"/>
    <mergeCell ref="AI88:AV88"/>
    <mergeCell ref="AW88:AY88"/>
    <mergeCell ref="BC88:BE88"/>
    <mergeCell ref="BF88:BH88"/>
    <mergeCell ref="BI88:BL88"/>
    <mergeCell ref="BM88:BP88"/>
    <mergeCell ref="BQ88:BS88"/>
    <mergeCell ref="BT88:BW88"/>
    <mergeCell ref="BX88:BZ88"/>
    <mergeCell ref="CA88:CD88"/>
    <mergeCell ref="CE88:CG88"/>
    <mergeCell ref="CH88:CK88"/>
    <mergeCell ref="CL88:CN88"/>
    <mergeCell ref="AG89:AH89"/>
    <mergeCell ref="AI89:AV89"/>
    <mergeCell ref="AW89:AY89"/>
    <mergeCell ref="BC89:BE89"/>
    <mergeCell ref="BF89:BH89"/>
    <mergeCell ref="BI89:BL89"/>
    <mergeCell ref="BM89:BP89"/>
    <mergeCell ref="BQ89:BS89"/>
    <mergeCell ref="BT89:BW89"/>
    <mergeCell ref="BX89:BZ89"/>
    <mergeCell ref="CA89:CD89"/>
    <mergeCell ref="CE89:CG89"/>
    <mergeCell ref="CH89:CK89"/>
    <mergeCell ref="CL89:CN89"/>
    <mergeCell ref="AG90:AH90"/>
    <mergeCell ref="AI90:AV90"/>
    <mergeCell ref="AW90:AY90"/>
    <mergeCell ref="BC90:BE90"/>
    <mergeCell ref="BF90:BH90"/>
    <mergeCell ref="BI90:BL90"/>
    <mergeCell ref="BM90:BP90"/>
    <mergeCell ref="BQ90:BS90"/>
    <mergeCell ref="BT90:BW90"/>
    <mergeCell ref="BX90:BZ90"/>
    <mergeCell ref="CA90:CD90"/>
    <mergeCell ref="CE90:CG90"/>
    <mergeCell ref="CH90:CK90"/>
    <mergeCell ref="CL90:CN90"/>
    <mergeCell ref="AG91:AH91"/>
    <mergeCell ref="AI91:AV91"/>
    <mergeCell ref="AW91:AY91"/>
    <mergeCell ref="BC91:BE91"/>
    <mergeCell ref="BF91:BH91"/>
    <mergeCell ref="BI91:BL91"/>
    <mergeCell ref="BM91:BP91"/>
    <mergeCell ref="BQ91:BS91"/>
    <mergeCell ref="BT91:BW91"/>
    <mergeCell ref="BX91:BZ91"/>
    <mergeCell ref="CA91:CD91"/>
    <mergeCell ref="CE91:CG91"/>
    <mergeCell ref="CH91:CK91"/>
    <mergeCell ref="CL91:CN91"/>
    <mergeCell ref="AG92:AH92"/>
    <mergeCell ref="AI92:AV92"/>
    <mergeCell ref="AW92:AY92"/>
    <mergeCell ref="BC92:BE92"/>
    <mergeCell ref="BF92:BH92"/>
    <mergeCell ref="BI92:BL92"/>
    <mergeCell ref="BM92:BP92"/>
    <mergeCell ref="BQ92:BS92"/>
    <mergeCell ref="BT92:BW92"/>
    <mergeCell ref="BX92:BZ92"/>
    <mergeCell ref="CA92:CD92"/>
    <mergeCell ref="CE92:CG92"/>
    <mergeCell ref="CH92:CK92"/>
    <mergeCell ref="CL92:CN92"/>
    <mergeCell ref="AG93:AH93"/>
    <mergeCell ref="AI93:AV93"/>
    <mergeCell ref="AW93:AY93"/>
    <mergeCell ref="BC93:BE93"/>
    <mergeCell ref="BF93:BH93"/>
    <mergeCell ref="BI93:BL93"/>
    <mergeCell ref="BM93:BP93"/>
    <mergeCell ref="BQ93:BS93"/>
    <mergeCell ref="BT93:BW93"/>
    <mergeCell ref="BX93:BZ93"/>
    <mergeCell ref="CA93:CD93"/>
    <mergeCell ref="CE93:CG93"/>
    <mergeCell ref="CH93:CK93"/>
    <mergeCell ref="CL93:CN93"/>
    <mergeCell ref="AG94:AH94"/>
    <mergeCell ref="AI94:AV94"/>
    <mergeCell ref="AW94:AY94"/>
    <mergeCell ref="BC94:BE94"/>
    <mergeCell ref="BF94:BH94"/>
    <mergeCell ref="BI94:BL94"/>
    <mergeCell ref="BM94:BP94"/>
    <mergeCell ref="BQ94:BS94"/>
    <mergeCell ref="BT94:BW94"/>
    <mergeCell ref="BX94:BZ94"/>
    <mergeCell ref="CA94:CD94"/>
    <mergeCell ref="CE94:CG94"/>
    <mergeCell ref="CH94:CK94"/>
    <mergeCell ref="CL94:CN94"/>
    <mergeCell ref="AG95:AH95"/>
    <mergeCell ref="AI95:AV95"/>
    <mergeCell ref="AW95:AY95"/>
    <mergeCell ref="BC95:BE95"/>
    <mergeCell ref="BF95:BH95"/>
    <mergeCell ref="BI95:BL95"/>
    <mergeCell ref="BM95:BP95"/>
    <mergeCell ref="BQ95:BS95"/>
    <mergeCell ref="BT95:BW95"/>
    <mergeCell ref="BX95:BZ95"/>
    <mergeCell ref="CA95:CD95"/>
    <mergeCell ref="CE95:CG95"/>
    <mergeCell ref="CH95:CK95"/>
    <mergeCell ref="CL95:CN95"/>
    <mergeCell ref="AG96:AH96"/>
    <mergeCell ref="AI96:AV96"/>
    <mergeCell ref="AW96:AY96"/>
    <mergeCell ref="BC96:BE96"/>
    <mergeCell ref="BF96:BH96"/>
    <mergeCell ref="BI96:BL96"/>
    <mergeCell ref="BM96:BP96"/>
    <mergeCell ref="BQ96:BS96"/>
    <mergeCell ref="BT96:BW96"/>
    <mergeCell ref="BX96:BZ96"/>
    <mergeCell ref="CA96:CD96"/>
    <mergeCell ref="CE96:CG96"/>
    <mergeCell ref="CH96:CK96"/>
    <mergeCell ref="CL96:CN96"/>
    <mergeCell ref="AG97:AH97"/>
    <mergeCell ref="AI97:AV97"/>
    <mergeCell ref="AW97:AY97"/>
    <mergeCell ref="BC97:BE97"/>
    <mergeCell ref="BF97:BH97"/>
    <mergeCell ref="BI97:BL97"/>
    <mergeCell ref="BM97:BP97"/>
    <mergeCell ref="BQ97:BS97"/>
    <mergeCell ref="BT97:BW97"/>
    <mergeCell ref="BX97:BZ97"/>
    <mergeCell ref="CA97:CD97"/>
    <mergeCell ref="CE97:CG97"/>
    <mergeCell ref="CH97:CK97"/>
    <mergeCell ref="CL97:CN97"/>
    <mergeCell ref="AG98:AH98"/>
    <mergeCell ref="AI98:AV98"/>
    <mergeCell ref="AW98:AY98"/>
    <mergeCell ref="BC98:BE98"/>
    <mergeCell ref="BF98:BH98"/>
    <mergeCell ref="BI98:BL98"/>
    <mergeCell ref="BM98:BP98"/>
    <mergeCell ref="BQ98:BS98"/>
    <mergeCell ref="BT98:BW98"/>
    <mergeCell ref="BX98:BZ98"/>
    <mergeCell ref="CA98:CD98"/>
    <mergeCell ref="CE98:CG98"/>
    <mergeCell ref="CH98:CK98"/>
    <mergeCell ref="CL98:CN98"/>
    <mergeCell ref="AG99:AH99"/>
    <mergeCell ref="AI99:AV99"/>
    <mergeCell ref="AW99:AY99"/>
    <mergeCell ref="BC99:BE99"/>
    <mergeCell ref="BF99:BH99"/>
    <mergeCell ref="BI99:BL99"/>
    <mergeCell ref="BM99:BP99"/>
    <mergeCell ref="BQ99:BS99"/>
    <mergeCell ref="BT99:BW99"/>
    <mergeCell ref="BX99:BZ99"/>
    <mergeCell ref="CA99:CD99"/>
    <mergeCell ref="CE99:CG99"/>
    <mergeCell ref="CH99:CK99"/>
    <mergeCell ref="CL99:CN99"/>
    <mergeCell ref="AG100:AH100"/>
    <mergeCell ref="AI100:AV100"/>
    <mergeCell ref="AW100:AY100"/>
    <mergeCell ref="BC100:BE100"/>
    <mergeCell ref="BF100:BH100"/>
    <mergeCell ref="BI100:BL100"/>
    <mergeCell ref="BM100:BP100"/>
    <mergeCell ref="BQ100:BS100"/>
    <mergeCell ref="BT100:BW100"/>
    <mergeCell ref="BX100:BZ100"/>
    <mergeCell ref="CA100:CD100"/>
    <mergeCell ref="CE100:CG100"/>
    <mergeCell ref="CH100:CK100"/>
    <mergeCell ref="CL100:CN100"/>
    <mergeCell ref="AG101:AH101"/>
    <mergeCell ref="AI101:AV101"/>
    <mergeCell ref="AW101:AY101"/>
    <mergeCell ref="BC101:BE101"/>
    <mergeCell ref="BF101:BH101"/>
    <mergeCell ref="BI101:BL101"/>
    <mergeCell ref="BM101:BP101"/>
    <mergeCell ref="BQ101:BS101"/>
    <mergeCell ref="BT101:BW101"/>
    <mergeCell ref="BX101:BZ101"/>
    <mergeCell ref="CA101:CD101"/>
    <mergeCell ref="CE101:CG101"/>
    <mergeCell ref="CH101:CK101"/>
    <mergeCell ref="CL101:CN101"/>
    <mergeCell ref="AG102:AH102"/>
    <mergeCell ref="AI102:AV102"/>
    <mergeCell ref="AW102:AY102"/>
    <mergeCell ref="BC102:BE102"/>
    <mergeCell ref="BF102:BH102"/>
    <mergeCell ref="BI102:BL102"/>
    <mergeCell ref="BM102:BP102"/>
    <mergeCell ref="BQ102:BS102"/>
    <mergeCell ref="BT102:BW102"/>
    <mergeCell ref="BX102:BZ102"/>
    <mergeCell ref="CA102:CD102"/>
    <mergeCell ref="CE102:CG102"/>
    <mergeCell ref="CH102:CK102"/>
    <mergeCell ref="CL102:CN102"/>
    <mergeCell ref="AG103:AH103"/>
    <mergeCell ref="AI103:AV103"/>
    <mergeCell ref="AW103:AY103"/>
    <mergeCell ref="BC103:BE103"/>
    <mergeCell ref="BF103:BH103"/>
    <mergeCell ref="BI103:BL103"/>
    <mergeCell ref="BM103:BP103"/>
    <mergeCell ref="BQ103:BS103"/>
    <mergeCell ref="BT103:BW103"/>
    <mergeCell ref="BX103:BZ103"/>
    <mergeCell ref="CA103:CD103"/>
    <mergeCell ref="CE103:CG103"/>
    <mergeCell ref="CH103:CK103"/>
    <mergeCell ref="CL103:CN103"/>
    <mergeCell ref="AG104:AH104"/>
    <mergeCell ref="AI104:AV104"/>
    <mergeCell ref="AW104:AY104"/>
    <mergeCell ref="BC104:BE104"/>
    <mergeCell ref="BF104:BH104"/>
    <mergeCell ref="BI104:BL104"/>
    <mergeCell ref="BM104:BP104"/>
    <mergeCell ref="BQ104:BS104"/>
    <mergeCell ref="BT104:BW104"/>
    <mergeCell ref="BX104:BZ104"/>
    <mergeCell ref="CA104:CD104"/>
    <mergeCell ref="CE104:CG104"/>
    <mergeCell ref="CH104:CK104"/>
    <mergeCell ref="CL104:CN104"/>
    <mergeCell ref="AG105:AH105"/>
    <mergeCell ref="AI105:AV105"/>
    <mergeCell ref="AW105:AY105"/>
    <mergeCell ref="BC105:BE105"/>
    <mergeCell ref="BF105:BH105"/>
    <mergeCell ref="BI105:BL105"/>
    <mergeCell ref="BM105:BP105"/>
    <mergeCell ref="BQ105:BS105"/>
    <mergeCell ref="BT105:BW105"/>
    <mergeCell ref="BX105:BZ105"/>
    <mergeCell ref="CA105:CD105"/>
    <mergeCell ref="CE105:CG105"/>
    <mergeCell ref="CH105:CK105"/>
    <mergeCell ref="CL105:CN105"/>
    <mergeCell ref="AG106:AH106"/>
    <mergeCell ref="AI106:AV106"/>
    <mergeCell ref="AW106:AY106"/>
    <mergeCell ref="BC106:BE106"/>
    <mergeCell ref="BF106:BH106"/>
    <mergeCell ref="BI106:BL106"/>
    <mergeCell ref="BM106:BP106"/>
    <mergeCell ref="BQ106:BS106"/>
    <mergeCell ref="BT106:BW106"/>
    <mergeCell ref="BX106:BZ106"/>
    <mergeCell ref="CA106:CD106"/>
    <mergeCell ref="CE106:CG106"/>
    <mergeCell ref="CH106:CK106"/>
    <mergeCell ref="CL106:CN106"/>
    <mergeCell ref="AG107:AH107"/>
    <mergeCell ref="AI107:AV107"/>
    <mergeCell ref="AW107:AY107"/>
    <mergeCell ref="BC107:BE107"/>
    <mergeCell ref="BF107:BH107"/>
    <mergeCell ref="BI107:BL107"/>
    <mergeCell ref="BM107:BP107"/>
    <mergeCell ref="BQ107:BS107"/>
    <mergeCell ref="BT107:BW107"/>
    <mergeCell ref="BX107:BZ107"/>
    <mergeCell ref="CA107:CD107"/>
    <mergeCell ref="CE107:CG107"/>
    <mergeCell ref="CH107:CK107"/>
    <mergeCell ref="CL107:CN107"/>
    <mergeCell ref="AG108:AH108"/>
    <mergeCell ref="AI108:AV108"/>
    <mergeCell ref="AW108:AY108"/>
    <mergeCell ref="BC108:BE108"/>
    <mergeCell ref="BF108:BH108"/>
    <mergeCell ref="BI108:BL108"/>
    <mergeCell ref="BM108:BP108"/>
    <mergeCell ref="BQ108:BS108"/>
    <mergeCell ref="BT108:BW108"/>
    <mergeCell ref="BX108:BZ108"/>
    <mergeCell ref="CA108:CD108"/>
    <mergeCell ref="CE108:CG108"/>
    <mergeCell ref="CH108:CK108"/>
    <mergeCell ref="CL108:CN108"/>
    <mergeCell ref="AG109:AH109"/>
    <mergeCell ref="AI109:AV109"/>
    <mergeCell ref="AW109:AY109"/>
    <mergeCell ref="BC109:BE109"/>
    <mergeCell ref="BF109:BH109"/>
    <mergeCell ref="BI109:BL109"/>
    <mergeCell ref="BM109:BP109"/>
    <mergeCell ref="BQ109:BS109"/>
    <mergeCell ref="BT109:BW109"/>
    <mergeCell ref="BX109:BZ109"/>
    <mergeCell ref="CA109:CD109"/>
    <mergeCell ref="CE109:CG109"/>
    <mergeCell ref="CH109:CK109"/>
    <mergeCell ref="CL109:CN109"/>
    <mergeCell ref="AG110:AH110"/>
    <mergeCell ref="AI110:AV110"/>
    <mergeCell ref="AW110:AY110"/>
    <mergeCell ref="BC110:BE110"/>
    <mergeCell ref="BF110:BH110"/>
    <mergeCell ref="BI110:BL110"/>
    <mergeCell ref="BM110:BP110"/>
    <mergeCell ref="BQ110:BS110"/>
    <mergeCell ref="BT110:BW110"/>
    <mergeCell ref="BX110:BZ110"/>
    <mergeCell ref="CA110:CD110"/>
    <mergeCell ref="CE110:CG110"/>
    <mergeCell ref="CH110:CK110"/>
    <mergeCell ref="CL110:CN110"/>
    <mergeCell ref="AG111:AH111"/>
    <mergeCell ref="AI111:AV111"/>
    <mergeCell ref="AW111:AY111"/>
    <mergeCell ref="BC111:BE111"/>
    <mergeCell ref="BF111:BH111"/>
    <mergeCell ref="BI111:BL111"/>
    <mergeCell ref="BM111:BP111"/>
    <mergeCell ref="BQ111:BS111"/>
    <mergeCell ref="BT111:BW111"/>
    <mergeCell ref="BX111:BZ111"/>
    <mergeCell ref="CA111:CD111"/>
    <mergeCell ref="CE111:CG111"/>
    <mergeCell ref="CH111:CK111"/>
    <mergeCell ref="CL111:CN111"/>
    <mergeCell ref="AG112:AH112"/>
    <mergeCell ref="AI112:AV112"/>
    <mergeCell ref="AW112:AY112"/>
    <mergeCell ref="BC112:BE112"/>
    <mergeCell ref="BF112:BH112"/>
    <mergeCell ref="BI112:BL112"/>
    <mergeCell ref="BM112:BP112"/>
    <mergeCell ref="BQ112:BS112"/>
    <mergeCell ref="BT112:BW112"/>
    <mergeCell ref="BX112:BZ112"/>
    <mergeCell ref="CA112:CD112"/>
    <mergeCell ref="CE112:CG112"/>
    <mergeCell ref="CH112:CK112"/>
    <mergeCell ref="CL112:CN112"/>
    <mergeCell ref="AG113:AH113"/>
    <mergeCell ref="AI113:AV113"/>
    <mergeCell ref="AW113:AY113"/>
    <mergeCell ref="BC113:BE113"/>
    <mergeCell ref="BF113:BH113"/>
    <mergeCell ref="BI113:BL113"/>
    <mergeCell ref="BM113:BP113"/>
    <mergeCell ref="BQ113:BS113"/>
    <mergeCell ref="BT113:BW113"/>
    <mergeCell ref="BX113:BZ113"/>
    <mergeCell ref="CA113:CD113"/>
    <mergeCell ref="CE113:CG113"/>
    <mergeCell ref="CH113:CK113"/>
    <mergeCell ref="CL113:CN113"/>
    <mergeCell ref="AG114:AH114"/>
    <mergeCell ref="AI114:AV114"/>
    <mergeCell ref="AW114:AY114"/>
    <mergeCell ref="BC114:BE114"/>
    <mergeCell ref="BF114:BH114"/>
    <mergeCell ref="BI114:BL114"/>
    <mergeCell ref="BM114:BP114"/>
    <mergeCell ref="BQ114:BS114"/>
    <mergeCell ref="BT114:BW114"/>
    <mergeCell ref="BX114:BZ114"/>
    <mergeCell ref="CA114:CD114"/>
    <mergeCell ref="CE114:CG114"/>
    <mergeCell ref="CH114:CK114"/>
    <mergeCell ref="CL114:CN114"/>
    <mergeCell ref="AG115:AH115"/>
    <mergeCell ref="AI115:AV115"/>
    <mergeCell ref="AW115:AY115"/>
    <mergeCell ref="BC115:BE115"/>
    <mergeCell ref="BF115:BH115"/>
    <mergeCell ref="BI115:BL115"/>
    <mergeCell ref="BM115:BP115"/>
    <mergeCell ref="BQ115:BS115"/>
    <mergeCell ref="BT115:BW115"/>
    <mergeCell ref="BX115:BZ115"/>
    <mergeCell ref="CA115:CD115"/>
    <mergeCell ref="CE115:CG115"/>
    <mergeCell ref="CH115:CK115"/>
    <mergeCell ref="CL115:CN115"/>
    <mergeCell ref="AG116:AH116"/>
    <mergeCell ref="AI116:AV116"/>
    <mergeCell ref="AW116:AY116"/>
    <mergeCell ref="BC116:BE116"/>
    <mergeCell ref="BF116:BH116"/>
    <mergeCell ref="BI116:BL116"/>
    <mergeCell ref="BM116:BP116"/>
    <mergeCell ref="BQ116:BS116"/>
    <mergeCell ref="BT116:BW116"/>
    <mergeCell ref="BX116:BZ116"/>
    <mergeCell ref="CA116:CD116"/>
    <mergeCell ref="CE116:CG116"/>
    <mergeCell ref="CH116:CK116"/>
    <mergeCell ref="CL116:CN116"/>
    <mergeCell ref="AG117:AH117"/>
    <mergeCell ref="AI117:AV117"/>
    <mergeCell ref="AW117:AY117"/>
    <mergeCell ref="BC117:BE117"/>
    <mergeCell ref="BF117:BH117"/>
    <mergeCell ref="BI117:BL117"/>
    <mergeCell ref="BM117:BP117"/>
    <mergeCell ref="BQ117:BS117"/>
    <mergeCell ref="BT117:BW117"/>
    <mergeCell ref="BX117:BZ117"/>
    <mergeCell ref="CA117:CD117"/>
    <mergeCell ref="CE117:CG117"/>
    <mergeCell ref="CH117:CK117"/>
    <mergeCell ref="CL117:CN117"/>
    <mergeCell ref="AG118:AH118"/>
    <mergeCell ref="AI118:AV118"/>
    <mergeCell ref="AW118:AY118"/>
    <mergeCell ref="BC118:BE118"/>
    <mergeCell ref="BF118:BH118"/>
    <mergeCell ref="BI118:BL118"/>
    <mergeCell ref="BM118:BP118"/>
    <mergeCell ref="BQ118:BS118"/>
    <mergeCell ref="BT118:BW118"/>
    <mergeCell ref="BX118:BZ118"/>
    <mergeCell ref="CA118:CD118"/>
    <mergeCell ref="CE118:CG118"/>
    <mergeCell ref="CH118:CK118"/>
    <mergeCell ref="CL118:CN118"/>
    <mergeCell ref="AG119:AH119"/>
    <mergeCell ref="AI119:AV119"/>
    <mergeCell ref="AW119:AY119"/>
    <mergeCell ref="BC119:BE119"/>
    <mergeCell ref="BF119:BH119"/>
    <mergeCell ref="BI119:BL119"/>
    <mergeCell ref="BM119:BP119"/>
    <mergeCell ref="BQ119:BS119"/>
    <mergeCell ref="BT119:BW119"/>
    <mergeCell ref="BX119:BZ119"/>
    <mergeCell ref="CA119:CD119"/>
    <mergeCell ref="CE119:CG119"/>
    <mergeCell ref="CH119:CK119"/>
    <mergeCell ref="CL119:CN119"/>
    <mergeCell ref="AG120:AH120"/>
    <mergeCell ref="AI120:AV120"/>
    <mergeCell ref="AW120:AY120"/>
    <mergeCell ref="BC120:BE120"/>
    <mergeCell ref="BF120:BH120"/>
    <mergeCell ref="BI120:BL120"/>
    <mergeCell ref="BM120:BP120"/>
    <mergeCell ref="BQ120:BS120"/>
    <mergeCell ref="BT120:BW120"/>
    <mergeCell ref="BX120:BZ120"/>
    <mergeCell ref="CA120:CD120"/>
    <mergeCell ref="CE120:CG120"/>
    <mergeCell ref="CH120:CK120"/>
    <mergeCell ref="CL120:CN120"/>
    <mergeCell ref="AG121:AH121"/>
    <mergeCell ref="AI121:AV121"/>
    <mergeCell ref="AW121:AY121"/>
    <mergeCell ref="BC121:BE121"/>
    <mergeCell ref="BF121:BH121"/>
    <mergeCell ref="BI121:BL121"/>
    <mergeCell ref="BM121:BP121"/>
    <mergeCell ref="BQ121:BS121"/>
    <mergeCell ref="BT121:BW121"/>
    <mergeCell ref="BX121:BZ121"/>
    <mergeCell ref="CA121:CD121"/>
    <mergeCell ref="CE121:CG121"/>
    <mergeCell ref="CH121:CK121"/>
    <mergeCell ref="CL121:CN121"/>
    <mergeCell ref="AG122:AH122"/>
    <mergeCell ref="AI122:AV122"/>
    <mergeCell ref="AW122:AY122"/>
    <mergeCell ref="BC122:BE122"/>
    <mergeCell ref="BF122:BH122"/>
    <mergeCell ref="BI122:BL122"/>
    <mergeCell ref="BM122:BP122"/>
    <mergeCell ref="BQ122:BS122"/>
    <mergeCell ref="BT122:BW122"/>
    <mergeCell ref="BX122:BZ122"/>
    <mergeCell ref="CA122:CD122"/>
    <mergeCell ref="CE122:CG122"/>
    <mergeCell ref="CH122:CK122"/>
    <mergeCell ref="CL122:CN122"/>
    <mergeCell ref="AG123:AH123"/>
    <mergeCell ref="AI123:AV123"/>
    <mergeCell ref="AW123:AY123"/>
    <mergeCell ref="BC123:BE123"/>
    <mergeCell ref="BF123:BH123"/>
    <mergeCell ref="BI123:BL123"/>
    <mergeCell ref="BM123:BP123"/>
    <mergeCell ref="BQ123:BS123"/>
    <mergeCell ref="BT123:BW123"/>
    <mergeCell ref="BX123:BZ123"/>
    <mergeCell ref="CA123:CD123"/>
    <mergeCell ref="CE123:CG123"/>
    <mergeCell ref="CH123:CK123"/>
    <mergeCell ref="CL123:CN123"/>
    <mergeCell ref="AG124:AH124"/>
    <mergeCell ref="AI124:AV124"/>
    <mergeCell ref="AW124:AY124"/>
    <mergeCell ref="BC124:BE124"/>
    <mergeCell ref="BF124:BH124"/>
    <mergeCell ref="BI124:BL124"/>
    <mergeCell ref="BM124:BP124"/>
    <mergeCell ref="BQ124:BS124"/>
    <mergeCell ref="BT124:BW124"/>
    <mergeCell ref="BX124:BZ124"/>
    <mergeCell ref="CA124:CD124"/>
    <mergeCell ref="CE124:CG124"/>
    <mergeCell ref="CH124:CK124"/>
    <mergeCell ref="CL124:CN124"/>
    <mergeCell ref="AG125:AH125"/>
    <mergeCell ref="AI125:AV125"/>
    <mergeCell ref="AW125:AY125"/>
    <mergeCell ref="BC125:BE125"/>
    <mergeCell ref="BF125:BH125"/>
    <mergeCell ref="BI125:BL125"/>
    <mergeCell ref="BM125:BP125"/>
    <mergeCell ref="BQ125:BS125"/>
    <mergeCell ref="BT125:BW125"/>
    <mergeCell ref="BX125:BZ125"/>
    <mergeCell ref="CA125:CD125"/>
    <mergeCell ref="CE125:CG125"/>
    <mergeCell ref="CH125:CK125"/>
    <mergeCell ref="CL125:CN125"/>
    <mergeCell ref="AG126:AH126"/>
    <mergeCell ref="AI126:AV126"/>
    <mergeCell ref="AW126:AY126"/>
    <mergeCell ref="BC126:BE126"/>
    <mergeCell ref="BF126:BH126"/>
    <mergeCell ref="BI126:BL126"/>
    <mergeCell ref="BM126:BP126"/>
    <mergeCell ref="BQ126:BS126"/>
    <mergeCell ref="BT126:BW126"/>
    <mergeCell ref="BX126:BZ126"/>
    <mergeCell ref="CA126:CD126"/>
    <mergeCell ref="CE126:CG126"/>
    <mergeCell ref="CH126:CK126"/>
    <mergeCell ref="CL126:CN126"/>
    <mergeCell ref="AG127:AH127"/>
    <mergeCell ref="AI127:AV127"/>
    <mergeCell ref="AW127:AY127"/>
    <mergeCell ref="BC127:BE127"/>
    <mergeCell ref="BF127:BH127"/>
    <mergeCell ref="BI127:BL127"/>
    <mergeCell ref="BM127:BP127"/>
    <mergeCell ref="BQ127:BS127"/>
    <mergeCell ref="BT127:BW127"/>
    <mergeCell ref="BX127:BZ127"/>
    <mergeCell ref="CA127:CD127"/>
    <mergeCell ref="CE127:CG127"/>
    <mergeCell ref="CH127:CK127"/>
    <mergeCell ref="CL127:CN127"/>
    <mergeCell ref="AG128:AH128"/>
    <mergeCell ref="AI128:AV128"/>
    <mergeCell ref="AW128:AY128"/>
    <mergeCell ref="BC128:BE128"/>
    <mergeCell ref="BF128:BH128"/>
    <mergeCell ref="BI128:BL128"/>
    <mergeCell ref="BM128:BP128"/>
    <mergeCell ref="BQ128:BS128"/>
    <mergeCell ref="BT128:BW128"/>
    <mergeCell ref="BX128:BZ128"/>
    <mergeCell ref="CA128:CD128"/>
    <mergeCell ref="CE128:CG128"/>
    <mergeCell ref="CH128:CK128"/>
    <mergeCell ref="CL128:CN128"/>
    <mergeCell ref="AG129:AH129"/>
    <mergeCell ref="AI129:AV129"/>
    <mergeCell ref="AW129:AY129"/>
    <mergeCell ref="BC129:BE129"/>
    <mergeCell ref="BF129:BH129"/>
    <mergeCell ref="BI129:BL129"/>
    <mergeCell ref="BM129:BP129"/>
    <mergeCell ref="BQ129:BS129"/>
    <mergeCell ref="BT129:BW129"/>
    <mergeCell ref="BX129:BZ129"/>
    <mergeCell ref="CA129:CD129"/>
    <mergeCell ref="CE129:CG129"/>
    <mergeCell ref="CH129:CK129"/>
    <mergeCell ref="CL129:CN129"/>
    <mergeCell ref="AG130:AH130"/>
    <mergeCell ref="AI130:AV130"/>
    <mergeCell ref="AW130:AY130"/>
    <mergeCell ref="BC130:BE130"/>
    <mergeCell ref="BF130:BH130"/>
    <mergeCell ref="BI130:BL130"/>
    <mergeCell ref="BM130:BP130"/>
    <mergeCell ref="BQ130:BS130"/>
    <mergeCell ref="BT130:BW130"/>
    <mergeCell ref="BX130:BZ130"/>
    <mergeCell ref="CA130:CD130"/>
    <mergeCell ref="CE130:CG130"/>
    <mergeCell ref="CH130:CK130"/>
    <mergeCell ref="CL130:CN130"/>
    <mergeCell ref="AG131:AH131"/>
    <mergeCell ref="AI131:AV131"/>
    <mergeCell ref="AW131:AY131"/>
    <mergeCell ref="BC131:BE131"/>
    <mergeCell ref="BF131:BH131"/>
    <mergeCell ref="BI131:BL131"/>
    <mergeCell ref="BM131:BP131"/>
    <mergeCell ref="BQ131:BS131"/>
    <mergeCell ref="BT131:BW131"/>
    <mergeCell ref="BX131:BZ131"/>
    <mergeCell ref="CA131:CD131"/>
    <mergeCell ref="CE131:CG131"/>
    <mergeCell ref="CH131:CK131"/>
    <mergeCell ref="CL131:CN131"/>
    <mergeCell ref="AG132:AH132"/>
    <mergeCell ref="AI132:AV132"/>
    <mergeCell ref="AW132:AY132"/>
    <mergeCell ref="BC132:BE132"/>
    <mergeCell ref="BF132:BH132"/>
    <mergeCell ref="BI132:BL132"/>
    <mergeCell ref="BM132:BP132"/>
    <mergeCell ref="BQ132:BS132"/>
    <mergeCell ref="BT132:BW132"/>
    <mergeCell ref="BX132:BZ132"/>
    <mergeCell ref="CA132:CD132"/>
    <mergeCell ref="CE132:CG132"/>
    <mergeCell ref="CH132:CK132"/>
    <mergeCell ref="CL132:CN132"/>
    <mergeCell ref="AG133:AH133"/>
    <mergeCell ref="AI133:AV133"/>
    <mergeCell ref="AW133:AY133"/>
    <mergeCell ref="BC133:BE133"/>
    <mergeCell ref="BF133:BH133"/>
    <mergeCell ref="BI133:BL133"/>
    <mergeCell ref="BM133:BP133"/>
    <mergeCell ref="BQ133:BS133"/>
    <mergeCell ref="BT133:BW133"/>
    <mergeCell ref="BX133:BZ133"/>
    <mergeCell ref="CA133:CD133"/>
    <mergeCell ref="CE133:CG133"/>
    <mergeCell ref="CH133:CK133"/>
    <mergeCell ref="CL133:CN133"/>
    <mergeCell ref="AG134:AH134"/>
    <mergeCell ref="AI134:AV134"/>
    <mergeCell ref="AW134:AY134"/>
    <mergeCell ref="BC134:BE134"/>
    <mergeCell ref="BF134:BH134"/>
    <mergeCell ref="BI134:BL134"/>
    <mergeCell ref="BM134:BP134"/>
    <mergeCell ref="BQ134:BS134"/>
    <mergeCell ref="BT134:BW134"/>
    <mergeCell ref="BX134:BZ134"/>
    <mergeCell ref="CA134:CD134"/>
    <mergeCell ref="CE134:CG134"/>
    <mergeCell ref="CH134:CK134"/>
    <mergeCell ref="CL134:CN134"/>
    <mergeCell ref="AG135:AH135"/>
    <mergeCell ref="AI135:AV135"/>
    <mergeCell ref="AW135:AY135"/>
    <mergeCell ref="BC135:BE135"/>
    <mergeCell ref="BF135:BH135"/>
    <mergeCell ref="BI135:BL135"/>
    <mergeCell ref="BM135:BP135"/>
    <mergeCell ref="BQ135:BS135"/>
    <mergeCell ref="BT135:BW135"/>
    <mergeCell ref="BX135:BZ135"/>
    <mergeCell ref="CA135:CD135"/>
    <mergeCell ref="CE135:CG135"/>
    <mergeCell ref="CH135:CK135"/>
    <mergeCell ref="CL135:CN135"/>
    <mergeCell ref="AG136:AH136"/>
    <mergeCell ref="AI136:AV136"/>
    <mergeCell ref="AW136:AY136"/>
    <mergeCell ref="BC136:BE136"/>
    <mergeCell ref="BF136:BH136"/>
    <mergeCell ref="BI136:BL136"/>
    <mergeCell ref="BM136:BP136"/>
    <mergeCell ref="BQ136:BS136"/>
    <mergeCell ref="BT136:BW136"/>
    <mergeCell ref="BX136:BZ136"/>
    <mergeCell ref="CA136:CD136"/>
    <mergeCell ref="CE136:CG136"/>
    <mergeCell ref="CH136:CK136"/>
    <mergeCell ref="CL136:CN136"/>
    <mergeCell ref="AG137:AH137"/>
    <mergeCell ref="AI137:AV137"/>
    <mergeCell ref="AW137:AY137"/>
    <mergeCell ref="BC137:BE137"/>
    <mergeCell ref="BF137:BH137"/>
    <mergeCell ref="BI137:BL137"/>
    <mergeCell ref="BM137:BP137"/>
    <mergeCell ref="BQ137:BS137"/>
    <mergeCell ref="BT137:BW137"/>
    <mergeCell ref="BX137:BZ137"/>
    <mergeCell ref="CA137:CD137"/>
    <mergeCell ref="CE137:CG137"/>
    <mergeCell ref="CH137:CK137"/>
    <mergeCell ref="CL137:CN137"/>
    <mergeCell ref="AG138:AH138"/>
    <mergeCell ref="AI138:AV138"/>
    <mergeCell ref="AW138:AY138"/>
    <mergeCell ref="BC138:BE138"/>
    <mergeCell ref="BF138:BH138"/>
    <mergeCell ref="BI138:BL138"/>
    <mergeCell ref="BM138:BP138"/>
    <mergeCell ref="BQ138:BS138"/>
    <mergeCell ref="BT138:BW138"/>
    <mergeCell ref="BX138:BZ138"/>
    <mergeCell ref="CA138:CD138"/>
    <mergeCell ref="CE138:CG138"/>
    <mergeCell ref="CH138:CK138"/>
    <mergeCell ref="CL138:CN138"/>
    <mergeCell ref="AG139:AH139"/>
    <mergeCell ref="AI139:AV139"/>
    <mergeCell ref="AW139:AY139"/>
    <mergeCell ref="BC139:BE139"/>
    <mergeCell ref="BF139:BH139"/>
    <mergeCell ref="BI139:BL139"/>
    <mergeCell ref="BM139:BP139"/>
    <mergeCell ref="BQ139:BS139"/>
    <mergeCell ref="BT139:BW139"/>
    <mergeCell ref="BX139:BZ139"/>
    <mergeCell ref="CA139:CD139"/>
    <mergeCell ref="CE139:CG139"/>
    <mergeCell ref="CH139:CK139"/>
    <mergeCell ref="CL139:CN139"/>
    <mergeCell ref="AG140:AH140"/>
    <mergeCell ref="AI140:AV140"/>
    <mergeCell ref="AW140:AY140"/>
    <mergeCell ref="BC140:BE140"/>
    <mergeCell ref="BF140:BH140"/>
    <mergeCell ref="BI140:BL140"/>
    <mergeCell ref="BM140:BP140"/>
    <mergeCell ref="BQ140:BS140"/>
    <mergeCell ref="BT140:BW140"/>
    <mergeCell ref="BX140:BZ140"/>
    <mergeCell ref="CA140:CD140"/>
    <mergeCell ref="CE140:CG140"/>
    <mergeCell ref="CH140:CK140"/>
    <mergeCell ref="CL140:CN140"/>
    <mergeCell ref="AG141:AH141"/>
    <mergeCell ref="AI141:AV141"/>
    <mergeCell ref="AW141:AY141"/>
    <mergeCell ref="BC141:BE141"/>
    <mergeCell ref="BF141:BH141"/>
    <mergeCell ref="BI141:BL141"/>
    <mergeCell ref="BM141:BP141"/>
    <mergeCell ref="BQ141:BS141"/>
    <mergeCell ref="BT141:BW141"/>
    <mergeCell ref="BX141:BZ141"/>
    <mergeCell ref="CA141:CD141"/>
    <mergeCell ref="CE141:CG141"/>
    <mergeCell ref="CH141:CK141"/>
    <mergeCell ref="CL141:CN141"/>
    <mergeCell ref="AG142:AH142"/>
    <mergeCell ref="AI142:AV142"/>
    <mergeCell ref="AW142:AY142"/>
    <mergeCell ref="BC142:BE142"/>
    <mergeCell ref="BF142:BH142"/>
    <mergeCell ref="BI142:BL142"/>
    <mergeCell ref="BM142:BP142"/>
    <mergeCell ref="BQ142:BS142"/>
    <mergeCell ref="BT142:BW142"/>
    <mergeCell ref="BX142:BZ142"/>
    <mergeCell ref="CA142:CD142"/>
    <mergeCell ref="CE142:CG142"/>
    <mergeCell ref="CH142:CK142"/>
    <mergeCell ref="CL142:CN142"/>
    <mergeCell ref="AG143:AH143"/>
    <mergeCell ref="AI143:AV143"/>
    <mergeCell ref="AW143:AY143"/>
    <mergeCell ref="BC143:BE143"/>
    <mergeCell ref="BF143:BH143"/>
    <mergeCell ref="BI143:BL143"/>
    <mergeCell ref="BM143:BP143"/>
    <mergeCell ref="BQ143:BS143"/>
    <mergeCell ref="BT143:BW143"/>
    <mergeCell ref="BX143:BZ143"/>
    <mergeCell ref="CA143:CD143"/>
    <mergeCell ref="CE143:CG143"/>
    <mergeCell ref="CH143:CK143"/>
    <mergeCell ref="CL143:CN143"/>
    <mergeCell ref="AG144:AH144"/>
    <mergeCell ref="AI144:AV144"/>
    <mergeCell ref="AW144:AY144"/>
    <mergeCell ref="BC144:BE144"/>
    <mergeCell ref="BF144:BH144"/>
    <mergeCell ref="BI144:BL144"/>
    <mergeCell ref="BM144:BP144"/>
    <mergeCell ref="BQ144:BS144"/>
    <mergeCell ref="BT144:BW144"/>
    <mergeCell ref="BX144:BZ144"/>
    <mergeCell ref="CA144:CD144"/>
    <mergeCell ref="CE144:CG144"/>
    <mergeCell ref="CH144:CK144"/>
    <mergeCell ref="CL144:CN144"/>
    <mergeCell ref="AG145:AH145"/>
    <mergeCell ref="AI145:AV145"/>
    <mergeCell ref="AW145:AY145"/>
    <mergeCell ref="BC145:BE145"/>
    <mergeCell ref="BF145:BH145"/>
    <mergeCell ref="BI145:BL145"/>
    <mergeCell ref="BM145:BP145"/>
    <mergeCell ref="BQ145:BS145"/>
    <mergeCell ref="BT145:BW145"/>
    <mergeCell ref="BX145:BZ145"/>
    <mergeCell ref="CA145:CD145"/>
    <mergeCell ref="CE145:CG145"/>
    <mergeCell ref="CH145:CK145"/>
    <mergeCell ref="CL145:CN145"/>
    <mergeCell ref="AG146:AH146"/>
    <mergeCell ref="AI146:AV146"/>
    <mergeCell ref="AW146:AY146"/>
    <mergeCell ref="BC146:BE146"/>
    <mergeCell ref="BF146:BH146"/>
    <mergeCell ref="BI146:BL146"/>
    <mergeCell ref="BM146:BP146"/>
    <mergeCell ref="BQ146:BS146"/>
    <mergeCell ref="BT146:BW146"/>
    <mergeCell ref="BX146:BZ146"/>
    <mergeCell ref="CA146:CD146"/>
    <mergeCell ref="CE146:CG146"/>
    <mergeCell ref="CH146:CK146"/>
    <mergeCell ref="CL146:CN146"/>
    <mergeCell ref="AG147:AH147"/>
    <mergeCell ref="AI147:AV147"/>
    <mergeCell ref="AW147:AY147"/>
    <mergeCell ref="BC147:BE147"/>
    <mergeCell ref="BF147:BH147"/>
    <mergeCell ref="BI147:BL147"/>
    <mergeCell ref="BM147:BP147"/>
    <mergeCell ref="BQ147:BS147"/>
    <mergeCell ref="BT147:BW147"/>
    <mergeCell ref="BX147:BZ147"/>
    <mergeCell ref="CA147:CD147"/>
    <mergeCell ref="CE147:CG147"/>
    <mergeCell ref="CH147:CK147"/>
    <mergeCell ref="CL147:CN147"/>
    <mergeCell ref="AG148:AH148"/>
    <mergeCell ref="AI148:AV148"/>
    <mergeCell ref="AW148:AY148"/>
    <mergeCell ref="BC148:BE148"/>
    <mergeCell ref="BF148:BH148"/>
    <mergeCell ref="BI148:BL148"/>
    <mergeCell ref="BM148:BP148"/>
    <mergeCell ref="BQ148:BS148"/>
    <mergeCell ref="BT148:BW148"/>
    <mergeCell ref="BX148:BZ148"/>
    <mergeCell ref="CA148:CD148"/>
    <mergeCell ref="CE148:CG148"/>
    <mergeCell ref="CH148:CK148"/>
    <mergeCell ref="CL148:CN148"/>
    <mergeCell ref="AG149:AH149"/>
    <mergeCell ref="AI149:AV149"/>
    <mergeCell ref="AW149:AY149"/>
    <mergeCell ref="BC149:BE149"/>
    <mergeCell ref="BF149:BH149"/>
    <mergeCell ref="BI149:BL149"/>
    <mergeCell ref="BM149:BP149"/>
    <mergeCell ref="BQ149:BS149"/>
    <mergeCell ref="BT149:BW149"/>
    <mergeCell ref="BX149:BZ149"/>
    <mergeCell ref="CA149:CD149"/>
    <mergeCell ref="CE149:CG149"/>
    <mergeCell ref="CH149:CK149"/>
    <mergeCell ref="CL149:CN149"/>
    <mergeCell ref="AG150:AH150"/>
    <mergeCell ref="AI150:AV150"/>
    <mergeCell ref="AW150:AY150"/>
    <mergeCell ref="BC150:BE150"/>
    <mergeCell ref="BF150:BH150"/>
    <mergeCell ref="BI150:BL150"/>
    <mergeCell ref="BM150:BP150"/>
    <mergeCell ref="BQ150:BS150"/>
    <mergeCell ref="BT150:BW150"/>
    <mergeCell ref="BX150:BZ150"/>
    <mergeCell ref="CA150:CD150"/>
    <mergeCell ref="CE150:CG150"/>
    <mergeCell ref="CH150:CK150"/>
    <mergeCell ref="CL150:CN150"/>
    <mergeCell ref="AG151:AH151"/>
    <mergeCell ref="AI151:AV151"/>
    <mergeCell ref="AW151:AY151"/>
    <mergeCell ref="BC151:BE151"/>
    <mergeCell ref="BF151:BH151"/>
    <mergeCell ref="BI151:BL151"/>
    <mergeCell ref="BM151:BP151"/>
    <mergeCell ref="BQ151:BS151"/>
    <mergeCell ref="BT151:BW151"/>
    <mergeCell ref="BX151:BZ151"/>
    <mergeCell ref="CA151:CD151"/>
    <mergeCell ref="CE151:CG151"/>
    <mergeCell ref="CH151:CK151"/>
    <mergeCell ref="CL151:CN151"/>
    <mergeCell ref="AG152:AH152"/>
    <mergeCell ref="AI152:AV152"/>
    <mergeCell ref="AW152:AY152"/>
    <mergeCell ref="BC152:BE152"/>
    <mergeCell ref="BF152:BH152"/>
    <mergeCell ref="BI152:BL152"/>
    <mergeCell ref="BM152:BP152"/>
    <mergeCell ref="BQ152:BS152"/>
    <mergeCell ref="BT152:BW152"/>
    <mergeCell ref="BX152:BZ152"/>
    <mergeCell ref="CA152:CD152"/>
    <mergeCell ref="CE152:CG152"/>
    <mergeCell ref="CH152:CK152"/>
    <mergeCell ref="CL152:CN152"/>
    <mergeCell ref="AG153:AH153"/>
    <mergeCell ref="AI153:AV153"/>
    <mergeCell ref="AW153:AY153"/>
    <mergeCell ref="BC153:BE153"/>
    <mergeCell ref="BF153:BH153"/>
    <mergeCell ref="BI153:BL153"/>
    <mergeCell ref="BM153:BP153"/>
    <mergeCell ref="BQ153:BS153"/>
    <mergeCell ref="BT153:BW153"/>
    <mergeCell ref="BX153:BZ153"/>
    <mergeCell ref="CA153:CD153"/>
    <mergeCell ref="CE153:CG153"/>
    <mergeCell ref="CH153:CK153"/>
    <mergeCell ref="CL153:CN153"/>
    <mergeCell ref="AG154:AH154"/>
    <mergeCell ref="AI154:AV154"/>
    <mergeCell ref="AW154:AY154"/>
    <mergeCell ref="BC154:BE154"/>
    <mergeCell ref="BF154:BH154"/>
    <mergeCell ref="BI154:BL154"/>
    <mergeCell ref="BM154:BP154"/>
    <mergeCell ref="BQ154:BS154"/>
    <mergeCell ref="BT154:BW154"/>
    <mergeCell ref="BX154:BZ154"/>
    <mergeCell ref="CA154:CD154"/>
    <mergeCell ref="CE154:CG154"/>
    <mergeCell ref="CH154:CK154"/>
    <mergeCell ref="CL154:CN154"/>
    <mergeCell ref="AG155:AH155"/>
    <mergeCell ref="AI155:AV155"/>
    <mergeCell ref="AW155:AY155"/>
    <mergeCell ref="BC155:BE155"/>
    <mergeCell ref="BF155:BH155"/>
    <mergeCell ref="BI155:BL155"/>
    <mergeCell ref="BM155:BP155"/>
    <mergeCell ref="BQ155:BS155"/>
    <mergeCell ref="BT155:BW155"/>
    <mergeCell ref="BX155:BZ155"/>
    <mergeCell ref="CA155:CD155"/>
    <mergeCell ref="CE155:CG155"/>
    <mergeCell ref="CH155:CK155"/>
    <mergeCell ref="CL155:CN155"/>
    <mergeCell ref="AG156:AH156"/>
    <mergeCell ref="AI156:AV156"/>
    <mergeCell ref="AW156:AY156"/>
    <mergeCell ref="BC156:BE156"/>
    <mergeCell ref="BF156:BH156"/>
    <mergeCell ref="BI156:BL156"/>
    <mergeCell ref="BM156:BP156"/>
    <mergeCell ref="BQ156:BS156"/>
    <mergeCell ref="BT156:BW156"/>
    <mergeCell ref="BX156:BZ156"/>
    <mergeCell ref="CA156:CD156"/>
    <mergeCell ref="CE156:CG156"/>
    <mergeCell ref="CH156:CK156"/>
    <mergeCell ref="CL156:CN156"/>
    <mergeCell ref="AG157:AH157"/>
    <mergeCell ref="AI157:AV157"/>
    <mergeCell ref="AW157:AY157"/>
    <mergeCell ref="BC157:BE157"/>
    <mergeCell ref="BF157:BH157"/>
    <mergeCell ref="BI157:BL157"/>
    <mergeCell ref="BM157:BP157"/>
    <mergeCell ref="BQ157:BS157"/>
    <mergeCell ref="BT157:BW157"/>
    <mergeCell ref="BX157:BZ157"/>
    <mergeCell ref="CA157:CD157"/>
    <mergeCell ref="CE157:CG157"/>
    <mergeCell ref="CH157:CK157"/>
    <mergeCell ref="CL157:CN157"/>
    <mergeCell ref="AG158:AH158"/>
    <mergeCell ref="AI158:AV158"/>
    <mergeCell ref="AW158:AY158"/>
    <mergeCell ref="BC158:BE158"/>
    <mergeCell ref="BF158:BH158"/>
    <mergeCell ref="BI158:BL158"/>
    <mergeCell ref="BM158:BP158"/>
    <mergeCell ref="BQ158:BS158"/>
    <mergeCell ref="BT158:BW158"/>
    <mergeCell ref="BX158:BZ158"/>
    <mergeCell ref="CA158:CD158"/>
    <mergeCell ref="CE158:CG158"/>
    <mergeCell ref="CH158:CK158"/>
    <mergeCell ref="CL158:CN158"/>
    <mergeCell ref="AG159:AH159"/>
    <mergeCell ref="AI159:AV159"/>
    <mergeCell ref="AW159:AY159"/>
    <mergeCell ref="BC159:BE159"/>
    <mergeCell ref="BF159:BH159"/>
    <mergeCell ref="BI159:BL159"/>
    <mergeCell ref="BM159:BP159"/>
    <mergeCell ref="BQ159:BS159"/>
    <mergeCell ref="BT159:BW159"/>
    <mergeCell ref="BX159:BZ159"/>
    <mergeCell ref="CA159:CD159"/>
    <mergeCell ref="CE159:CG159"/>
    <mergeCell ref="CH159:CK159"/>
    <mergeCell ref="CL159:CN159"/>
    <mergeCell ref="AG160:AH160"/>
    <mergeCell ref="AI160:AV160"/>
    <mergeCell ref="AW160:AY160"/>
    <mergeCell ref="BC160:BE160"/>
    <mergeCell ref="BF160:BH160"/>
    <mergeCell ref="BI160:BL160"/>
    <mergeCell ref="BM160:BP160"/>
    <mergeCell ref="BQ160:BS160"/>
    <mergeCell ref="BT160:BW160"/>
    <mergeCell ref="BX160:BZ160"/>
    <mergeCell ref="CA160:CD160"/>
    <mergeCell ref="CE160:CG160"/>
    <mergeCell ref="CH160:CK160"/>
    <mergeCell ref="CL160:CN160"/>
    <mergeCell ref="AG161:AH161"/>
    <mergeCell ref="AI161:AV161"/>
    <mergeCell ref="AW161:AY161"/>
    <mergeCell ref="BC161:BE161"/>
    <mergeCell ref="BF161:BH161"/>
    <mergeCell ref="BI161:BL161"/>
    <mergeCell ref="BM161:BP161"/>
    <mergeCell ref="BQ161:BS161"/>
    <mergeCell ref="BT161:BW161"/>
    <mergeCell ref="BX161:BZ161"/>
    <mergeCell ref="CA161:CD161"/>
    <mergeCell ref="CE161:CG161"/>
    <mergeCell ref="CH161:CK161"/>
    <mergeCell ref="CL161:CN161"/>
    <mergeCell ref="AG162:AH162"/>
    <mergeCell ref="AI162:AV162"/>
    <mergeCell ref="AW162:AY162"/>
    <mergeCell ref="BC162:BE162"/>
    <mergeCell ref="BF162:BH162"/>
    <mergeCell ref="BI162:BL162"/>
    <mergeCell ref="BM162:BP162"/>
    <mergeCell ref="BQ162:BS162"/>
    <mergeCell ref="BT162:BW162"/>
    <mergeCell ref="BX162:BZ162"/>
    <mergeCell ref="CA162:CD162"/>
    <mergeCell ref="CE162:CG162"/>
    <mergeCell ref="CH162:CK162"/>
    <mergeCell ref="CL162:CN162"/>
    <mergeCell ref="AG163:AH163"/>
    <mergeCell ref="AI163:AV163"/>
    <mergeCell ref="AW163:AY163"/>
    <mergeCell ref="BC163:BE163"/>
    <mergeCell ref="BF163:BH163"/>
    <mergeCell ref="BI163:BL163"/>
    <mergeCell ref="BM163:BP163"/>
    <mergeCell ref="BQ163:BS163"/>
    <mergeCell ref="BT163:BW163"/>
    <mergeCell ref="BX163:BZ163"/>
    <mergeCell ref="CA163:CD163"/>
    <mergeCell ref="CE163:CG163"/>
    <mergeCell ref="CH163:CK163"/>
    <mergeCell ref="CL163:CN163"/>
    <mergeCell ref="AG164:AH164"/>
    <mergeCell ref="AI164:AV164"/>
    <mergeCell ref="AW164:AY164"/>
    <mergeCell ref="BC164:BE164"/>
    <mergeCell ref="BF164:BH164"/>
    <mergeCell ref="BI164:BL164"/>
    <mergeCell ref="BM164:BP164"/>
    <mergeCell ref="BQ164:BS164"/>
    <mergeCell ref="BT164:BW164"/>
    <mergeCell ref="BX164:BZ164"/>
    <mergeCell ref="CA164:CD164"/>
    <mergeCell ref="CE164:CG164"/>
    <mergeCell ref="CH164:CK164"/>
    <mergeCell ref="CL164:CN164"/>
    <mergeCell ref="AG165:AH165"/>
    <mergeCell ref="AI165:AV165"/>
    <mergeCell ref="AW165:AY165"/>
    <mergeCell ref="BC165:BE165"/>
    <mergeCell ref="BF165:BH165"/>
    <mergeCell ref="BI165:BL165"/>
    <mergeCell ref="BM165:BP165"/>
    <mergeCell ref="BQ165:BS165"/>
    <mergeCell ref="BT165:BW165"/>
    <mergeCell ref="BX165:BZ165"/>
    <mergeCell ref="CA165:CD165"/>
    <mergeCell ref="CE165:CG165"/>
    <mergeCell ref="CH165:CK165"/>
    <mergeCell ref="CL165:CN165"/>
    <mergeCell ref="AG166:AH166"/>
    <mergeCell ref="AI166:AV166"/>
    <mergeCell ref="AW166:AY166"/>
    <mergeCell ref="BC166:BE166"/>
    <mergeCell ref="BF166:BH166"/>
    <mergeCell ref="BI166:BL166"/>
    <mergeCell ref="BM166:BP166"/>
    <mergeCell ref="BQ166:BS166"/>
    <mergeCell ref="BT166:BW166"/>
    <mergeCell ref="BX166:BZ166"/>
    <mergeCell ref="CA166:CD166"/>
    <mergeCell ref="CE166:CG166"/>
    <mergeCell ref="CH166:CK166"/>
    <mergeCell ref="CL166:CN166"/>
    <mergeCell ref="AG167:AH167"/>
    <mergeCell ref="AI167:AV167"/>
    <mergeCell ref="AW167:AY167"/>
    <mergeCell ref="BC167:BE167"/>
    <mergeCell ref="BF167:BH167"/>
    <mergeCell ref="BI167:BL167"/>
    <mergeCell ref="BM167:BP167"/>
    <mergeCell ref="BQ167:BS167"/>
    <mergeCell ref="BT167:BW167"/>
    <mergeCell ref="BX167:BZ167"/>
    <mergeCell ref="CA167:CD167"/>
    <mergeCell ref="CE167:CG167"/>
    <mergeCell ref="CH167:CK167"/>
    <mergeCell ref="CL167:CN167"/>
    <mergeCell ref="AG168:AH168"/>
    <mergeCell ref="AI168:AV168"/>
    <mergeCell ref="AW168:AY168"/>
    <mergeCell ref="BC168:BE168"/>
    <mergeCell ref="BF168:BH168"/>
    <mergeCell ref="BI168:BL168"/>
    <mergeCell ref="BM168:BP168"/>
    <mergeCell ref="BQ168:BS168"/>
    <mergeCell ref="BT168:BW168"/>
    <mergeCell ref="BX168:BZ168"/>
    <mergeCell ref="CA168:CD168"/>
    <mergeCell ref="CE168:CG168"/>
    <mergeCell ref="CH168:CK168"/>
    <mergeCell ref="CL168:CN168"/>
    <mergeCell ref="AG169:AH169"/>
    <mergeCell ref="AI169:AV169"/>
    <mergeCell ref="AW169:AY169"/>
    <mergeCell ref="BC169:BE169"/>
    <mergeCell ref="BF169:BH169"/>
    <mergeCell ref="BI169:BL169"/>
    <mergeCell ref="BM169:BP169"/>
    <mergeCell ref="BQ169:BS169"/>
    <mergeCell ref="BT169:BW169"/>
    <mergeCell ref="BX169:BZ169"/>
    <mergeCell ref="CA169:CD169"/>
    <mergeCell ref="CE169:CG169"/>
    <mergeCell ref="CH169:CK169"/>
    <mergeCell ref="CL169:CN169"/>
    <mergeCell ref="AG170:AH170"/>
    <mergeCell ref="AI170:AV170"/>
    <mergeCell ref="AW170:AY170"/>
    <mergeCell ref="BC170:BE170"/>
    <mergeCell ref="BF170:BH170"/>
    <mergeCell ref="BI170:BL170"/>
    <mergeCell ref="BM170:BP170"/>
    <mergeCell ref="BQ170:BS170"/>
    <mergeCell ref="BT170:BW170"/>
    <mergeCell ref="BX170:BZ170"/>
    <mergeCell ref="CA170:CD170"/>
    <mergeCell ref="CE170:CG170"/>
    <mergeCell ref="CH170:CK170"/>
    <mergeCell ref="CL170:CN170"/>
    <mergeCell ref="AG171:AH171"/>
    <mergeCell ref="AI171:AV171"/>
    <mergeCell ref="AW171:AY171"/>
    <mergeCell ref="BC171:BE171"/>
    <mergeCell ref="BF171:BH171"/>
    <mergeCell ref="BI171:BL171"/>
    <mergeCell ref="BM171:BP171"/>
    <mergeCell ref="BQ171:BS171"/>
    <mergeCell ref="BT171:BW171"/>
    <mergeCell ref="BX171:BZ171"/>
    <mergeCell ref="CA171:CD171"/>
    <mergeCell ref="CE171:CG171"/>
    <mergeCell ref="CH171:CK171"/>
    <mergeCell ref="CL171:CN171"/>
    <mergeCell ref="AG172:AH172"/>
    <mergeCell ref="AI172:AV172"/>
    <mergeCell ref="AW172:AY172"/>
    <mergeCell ref="BC172:BE172"/>
    <mergeCell ref="BF172:BH172"/>
    <mergeCell ref="BI172:BL172"/>
    <mergeCell ref="BM172:BP172"/>
    <mergeCell ref="BQ172:BS172"/>
    <mergeCell ref="BT172:BW172"/>
    <mergeCell ref="BX172:BZ172"/>
    <mergeCell ref="CA172:CD172"/>
    <mergeCell ref="CE172:CG172"/>
    <mergeCell ref="CH172:CK172"/>
    <mergeCell ref="CL172:CN172"/>
    <mergeCell ref="AG173:AH173"/>
    <mergeCell ref="AI173:AV173"/>
    <mergeCell ref="AW173:AY173"/>
    <mergeCell ref="BC173:BE173"/>
    <mergeCell ref="BF173:BH173"/>
    <mergeCell ref="BI173:BL173"/>
    <mergeCell ref="BM173:BP173"/>
    <mergeCell ref="BQ173:BS173"/>
    <mergeCell ref="BT173:BW173"/>
    <mergeCell ref="BX173:BZ173"/>
    <mergeCell ref="CA173:CD173"/>
    <mergeCell ref="CE173:CG173"/>
    <mergeCell ref="CH173:CK173"/>
    <mergeCell ref="CL173:CN173"/>
    <mergeCell ref="AG174:AH174"/>
    <mergeCell ref="AI174:AV174"/>
    <mergeCell ref="AW174:AY174"/>
    <mergeCell ref="BC174:BE174"/>
    <mergeCell ref="BF174:BH174"/>
    <mergeCell ref="BI174:BL174"/>
    <mergeCell ref="BM174:BP174"/>
    <mergeCell ref="BQ174:BS174"/>
    <mergeCell ref="BT174:BW174"/>
    <mergeCell ref="BX174:BZ174"/>
    <mergeCell ref="CA174:CD174"/>
    <mergeCell ref="CE174:CG174"/>
    <mergeCell ref="CH174:CK174"/>
    <mergeCell ref="CL174:CN174"/>
    <mergeCell ref="AG175:AH175"/>
    <mergeCell ref="AI175:AV175"/>
    <mergeCell ref="AW175:AY175"/>
    <mergeCell ref="BC175:BE175"/>
    <mergeCell ref="BF175:BH175"/>
    <mergeCell ref="BI175:BL175"/>
    <mergeCell ref="BM175:BP175"/>
    <mergeCell ref="BQ175:BS175"/>
    <mergeCell ref="BT175:BW175"/>
    <mergeCell ref="BX175:BZ175"/>
    <mergeCell ref="CA175:CD175"/>
    <mergeCell ref="CE175:CG175"/>
    <mergeCell ref="CH175:CK175"/>
    <mergeCell ref="CL175:CN175"/>
    <mergeCell ref="AG176:AH176"/>
    <mergeCell ref="AI176:AV176"/>
    <mergeCell ref="AW176:AY176"/>
    <mergeCell ref="BC176:BE176"/>
    <mergeCell ref="BF176:BH176"/>
    <mergeCell ref="BI176:BL176"/>
    <mergeCell ref="BM176:BP176"/>
    <mergeCell ref="BQ176:BS176"/>
    <mergeCell ref="BT176:BW176"/>
    <mergeCell ref="BX176:BZ176"/>
    <mergeCell ref="CA176:CD176"/>
    <mergeCell ref="CE176:CG176"/>
    <mergeCell ref="CH176:CK176"/>
    <mergeCell ref="CL176:CN176"/>
    <mergeCell ref="AG177:AH177"/>
    <mergeCell ref="AI177:AV177"/>
    <mergeCell ref="AW177:AY177"/>
    <mergeCell ref="BC177:BE177"/>
    <mergeCell ref="BF177:BH177"/>
    <mergeCell ref="BI177:BL177"/>
    <mergeCell ref="BM177:BP177"/>
    <mergeCell ref="BQ177:BS177"/>
    <mergeCell ref="BT177:BW177"/>
    <mergeCell ref="BX177:BZ177"/>
    <mergeCell ref="CA177:CD177"/>
    <mergeCell ref="CE177:CG177"/>
    <mergeCell ref="CH177:CK177"/>
    <mergeCell ref="CL177:CN177"/>
    <mergeCell ref="AG178:AH178"/>
    <mergeCell ref="AI178:AV178"/>
    <mergeCell ref="AW178:AY178"/>
    <mergeCell ref="BC178:BE178"/>
    <mergeCell ref="BF178:BH178"/>
    <mergeCell ref="BI178:BL178"/>
    <mergeCell ref="BM178:BP178"/>
    <mergeCell ref="BQ178:BS178"/>
    <mergeCell ref="BT178:BW178"/>
    <mergeCell ref="BX178:BZ178"/>
    <mergeCell ref="CA178:CD178"/>
    <mergeCell ref="CE178:CG178"/>
    <mergeCell ref="CH178:CK178"/>
    <mergeCell ref="CL178:CN178"/>
    <mergeCell ref="AG179:AH179"/>
    <mergeCell ref="AI179:AV179"/>
    <mergeCell ref="AW179:AY179"/>
    <mergeCell ref="BC179:BE179"/>
    <mergeCell ref="BF179:BH179"/>
    <mergeCell ref="BI179:BL179"/>
    <mergeCell ref="BM179:BP179"/>
    <mergeCell ref="BQ179:BS179"/>
    <mergeCell ref="BT179:BW179"/>
    <mergeCell ref="BX179:BZ179"/>
    <mergeCell ref="CA179:CD179"/>
    <mergeCell ref="CE179:CG179"/>
    <mergeCell ref="CH179:CK179"/>
    <mergeCell ref="CL179:CN179"/>
    <mergeCell ref="AG180:AH180"/>
    <mergeCell ref="AI180:AV180"/>
    <mergeCell ref="AW180:AY180"/>
    <mergeCell ref="BC180:BE180"/>
    <mergeCell ref="BF180:BH180"/>
    <mergeCell ref="BI180:BL180"/>
    <mergeCell ref="BM180:BP180"/>
    <mergeCell ref="BQ180:BS180"/>
    <mergeCell ref="BT180:BW180"/>
    <mergeCell ref="BX180:BZ180"/>
    <mergeCell ref="CA180:CD180"/>
    <mergeCell ref="CE180:CG180"/>
    <mergeCell ref="CH180:CK180"/>
    <mergeCell ref="CL180:CN180"/>
    <mergeCell ref="AG181:AH181"/>
    <mergeCell ref="AI181:AV181"/>
    <mergeCell ref="AW181:AY181"/>
    <mergeCell ref="BC181:BE181"/>
    <mergeCell ref="BF181:BH181"/>
    <mergeCell ref="BI181:BL181"/>
    <mergeCell ref="BM181:BP181"/>
    <mergeCell ref="BQ181:BS181"/>
    <mergeCell ref="BT181:BW181"/>
    <mergeCell ref="BX181:BZ181"/>
    <mergeCell ref="CA181:CD181"/>
    <mergeCell ref="CE181:CG181"/>
    <mergeCell ref="CH181:CK181"/>
    <mergeCell ref="CL181:CN181"/>
    <mergeCell ref="AG182:AH182"/>
    <mergeCell ref="AI182:AV182"/>
    <mergeCell ref="AW182:AY182"/>
    <mergeCell ref="BC182:BE182"/>
    <mergeCell ref="BF182:BH182"/>
    <mergeCell ref="BI182:BL182"/>
    <mergeCell ref="BM182:BP182"/>
    <mergeCell ref="BQ182:BS182"/>
    <mergeCell ref="BT182:BW182"/>
    <mergeCell ref="BX182:BZ182"/>
    <mergeCell ref="CA182:CD182"/>
    <mergeCell ref="CE182:CG182"/>
    <mergeCell ref="CH182:CK182"/>
    <mergeCell ref="CL182:CN182"/>
    <mergeCell ref="AG183:AH183"/>
    <mergeCell ref="AI183:AV183"/>
    <mergeCell ref="AW183:AY183"/>
    <mergeCell ref="BC183:BE183"/>
    <mergeCell ref="BF183:BH183"/>
    <mergeCell ref="BI183:BL183"/>
    <mergeCell ref="BM183:BP183"/>
    <mergeCell ref="BQ183:BS183"/>
    <mergeCell ref="BT183:BW183"/>
    <mergeCell ref="BX183:BZ183"/>
    <mergeCell ref="CA183:CD183"/>
    <mergeCell ref="CE183:CG183"/>
    <mergeCell ref="CH183:CK183"/>
    <mergeCell ref="CL183:CN183"/>
    <mergeCell ref="AG184:AH184"/>
    <mergeCell ref="AI184:AV184"/>
    <mergeCell ref="AW184:AY184"/>
    <mergeCell ref="BC184:BE184"/>
    <mergeCell ref="BF184:BH184"/>
    <mergeCell ref="BI184:BL184"/>
    <mergeCell ref="BM184:BP184"/>
    <mergeCell ref="BQ184:BS184"/>
    <mergeCell ref="BT184:BW184"/>
    <mergeCell ref="BX184:BZ184"/>
    <mergeCell ref="CA184:CD184"/>
    <mergeCell ref="CE184:CG184"/>
    <mergeCell ref="CH184:CK184"/>
    <mergeCell ref="CL184:CN184"/>
    <mergeCell ref="AG185:AH185"/>
    <mergeCell ref="AI185:AV185"/>
    <mergeCell ref="AW185:AY185"/>
    <mergeCell ref="BC185:BE185"/>
    <mergeCell ref="BF185:BH185"/>
    <mergeCell ref="BI185:BL185"/>
    <mergeCell ref="BM185:BP185"/>
    <mergeCell ref="BQ185:BS185"/>
    <mergeCell ref="BT185:BW185"/>
    <mergeCell ref="BX185:BZ185"/>
    <mergeCell ref="CA185:CD185"/>
    <mergeCell ref="CE185:CG185"/>
    <mergeCell ref="CH185:CK185"/>
    <mergeCell ref="CL185:CN185"/>
    <mergeCell ref="AG186:AH186"/>
    <mergeCell ref="AI186:AV186"/>
    <mergeCell ref="AW186:AY186"/>
    <mergeCell ref="BC186:BE186"/>
    <mergeCell ref="BF186:BH186"/>
    <mergeCell ref="BI186:BL186"/>
    <mergeCell ref="BM186:BP186"/>
    <mergeCell ref="BQ186:BS186"/>
    <mergeCell ref="BT186:BW186"/>
    <mergeCell ref="BX186:BZ186"/>
    <mergeCell ref="CA186:CD186"/>
    <mergeCell ref="CE186:CG186"/>
    <mergeCell ref="CH186:CK186"/>
    <mergeCell ref="CL186:CN186"/>
    <mergeCell ref="AG187:AH187"/>
    <mergeCell ref="AI187:AV187"/>
    <mergeCell ref="AW187:AY187"/>
    <mergeCell ref="BC187:BE187"/>
    <mergeCell ref="BF187:BH187"/>
    <mergeCell ref="BI187:BL187"/>
    <mergeCell ref="BM187:BP187"/>
    <mergeCell ref="BQ187:BS187"/>
    <mergeCell ref="BT187:BW187"/>
    <mergeCell ref="BX187:BZ187"/>
    <mergeCell ref="CA187:CD187"/>
    <mergeCell ref="CE187:CG187"/>
    <mergeCell ref="CH187:CK187"/>
    <mergeCell ref="CL187:CN187"/>
    <mergeCell ref="AG188:AH188"/>
    <mergeCell ref="AI188:AV188"/>
    <mergeCell ref="AW188:AY188"/>
    <mergeCell ref="BC188:BE188"/>
    <mergeCell ref="BF188:BH188"/>
    <mergeCell ref="BI188:BL188"/>
    <mergeCell ref="BM188:BP188"/>
    <mergeCell ref="BQ188:BS188"/>
    <mergeCell ref="BT188:BW188"/>
    <mergeCell ref="BX188:BZ188"/>
    <mergeCell ref="CA188:CD188"/>
    <mergeCell ref="CE188:CG188"/>
    <mergeCell ref="CH188:CK188"/>
    <mergeCell ref="CL188:CN188"/>
    <mergeCell ref="AG189:AH189"/>
    <mergeCell ref="AI189:AV189"/>
    <mergeCell ref="AW189:AY189"/>
    <mergeCell ref="BC189:BE189"/>
    <mergeCell ref="BF189:BH189"/>
    <mergeCell ref="BI189:BL189"/>
    <mergeCell ref="BM189:BP189"/>
    <mergeCell ref="BQ189:BS189"/>
    <mergeCell ref="BT189:BW189"/>
    <mergeCell ref="BX189:BZ189"/>
    <mergeCell ref="CA189:CD189"/>
    <mergeCell ref="CE189:CG189"/>
    <mergeCell ref="CH189:CK189"/>
    <mergeCell ref="CL189:CN189"/>
    <mergeCell ref="AG190:AH190"/>
    <mergeCell ref="AI190:AV190"/>
    <mergeCell ref="AW190:AY190"/>
    <mergeCell ref="BC190:BE190"/>
    <mergeCell ref="BF190:BH190"/>
    <mergeCell ref="BI190:BL190"/>
    <mergeCell ref="BM190:BP190"/>
    <mergeCell ref="BQ190:BS190"/>
    <mergeCell ref="BT190:BW190"/>
    <mergeCell ref="BX190:BZ190"/>
    <mergeCell ref="CA190:CD190"/>
    <mergeCell ref="CE190:CG190"/>
    <mergeCell ref="CH190:CK190"/>
    <mergeCell ref="CL190:CN190"/>
    <mergeCell ref="AG191:AH191"/>
    <mergeCell ref="AI191:AV191"/>
    <mergeCell ref="AW191:AY191"/>
    <mergeCell ref="BC191:BE191"/>
    <mergeCell ref="BF191:BH191"/>
    <mergeCell ref="BI191:BL191"/>
    <mergeCell ref="BM191:BP191"/>
    <mergeCell ref="BQ191:BS191"/>
    <mergeCell ref="BT191:BW191"/>
    <mergeCell ref="BX191:BZ191"/>
    <mergeCell ref="CA191:CD191"/>
    <mergeCell ref="CE191:CG191"/>
    <mergeCell ref="CH191:CK191"/>
    <mergeCell ref="CL191:CN191"/>
    <mergeCell ref="AG192:AH192"/>
    <mergeCell ref="AI192:AV192"/>
    <mergeCell ref="AW192:AY192"/>
    <mergeCell ref="BC192:BE192"/>
    <mergeCell ref="BF192:BH192"/>
    <mergeCell ref="BI192:BL192"/>
    <mergeCell ref="BM192:BP192"/>
    <mergeCell ref="BQ192:BS192"/>
    <mergeCell ref="BT192:BW192"/>
    <mergeCell ref="BX192:BZ192"/>
    <mergeCell ref="CA192:CD192"/>
    <mergeCell ref="CE192:CG192"/>
    <mergeCell ref="CH192:CK192"/>
    <mergeCell ref="CL192:CN192"/>
    <mergeCell ref="AG193:AH193"/>
    <mergeCell ref="AI193:AV193"/>
    <mergeCell ref="AW193:AY193"/>
    <mergeCell ref="BC193:BE193"/>
    <mergeCell ref="BF193:BH193"/>
    <mergeCell ref="BI193:BL193"/>
    <mergeCell ref="BM193:BP193"/>
    <mergeCell ref="BQ193:BS193"/>
    <mergeCell ref="BT193:BW193"/>
    <mergeCell ref="BX193:BZ193"/>
    <mergeCell ref="CA193:CD193"/>
    <mergeCell ref="CE193:CG193"/>
    <mergeCell ref="CH193:CK193"/>
    <mergeCell ref="CL193:CN193"/>
    <mergeCell ref="AG194:AH194"/>
    <mergeCell ref="AI194:AV194"/>
    <mergeCell ref="AW194:AY194"/>
    <mergeCell ref="BC194:BE194"/>
    <mergeCell ref="BF194:BH194"/>
    <mergeCell ref="BI194:BL194"/>
    <mergeCell ref="BM194:BP194"/>
    <mergeCell ref="BQ194:BS194"/>
    <mergeCell ref="BT194:BW194"/>
    <mergeCell ref="BX194:BZ194"/>
    <mergeCell ref="CA194:CD194"/>
    <mergeCell ref="CE194:CG194"/>
    <mergeCell ref="CH194:CK194"/>
    <mergeCell ref="CL194:CN194"/>
    <mergeCell ref="AG195:AH195"/>
    <mergeCell ref="AI195:AV195"/>
    <mergeCell ref="AW195:AY195"/>
    <mergeCell ref="BC195:BE195"/>
    <mergeCell ref="BF195:BH195"/>
    <mergeCell ref="BI195:BL195"/>
    <mergeCell ref="BM195:BP195"/>
    <mergeCell ref="BQ195:BS195"/>
    <mergeCell ref="BT195:BW195"/>
    <mergeCell ref="BX195:BZ195"/>
    <mergeCell ref="CA195:CD195"/>
    <mergeCell ref="CE195:CG195"/>
    <mergeCell ref="CH195:CK195"/>
    <mergeCell ref="CL195:CN195"/>
    <mergeCell ref="AG196:AH196"/>
    <mergeCell ref="AI196:AV196"/>
    <mergeCell ref="AW196:AY196"/>
    <mergeCell ref="BC196:BE196"/>
    <mergeCell ref="BF196:BH196"/>
    <mergeCell ref="BI196:BL196"/>
    <mergeCell ref="BM196:BP196"/>
    <mergeCell ref="BQ196:BS196"/>
    <mergeCell ref="BT196:BW196"/>
    <mergeCell ref="BX196:BZ196"/>
    <mergeCell ref="CA196:CD196"/>
    <mergeCell ref="CE196:CG196"/>
    <mergeCell ref="CH196:CK196"/>
    <mergeCell ref="CL196:CN196"/>
    <mergeCell ref="AG197:AH197"/>
    <mergeCell ref="AI197:AV197"/>
    <mergeCell ref="AW197:AY197"/>
    <mergeCell ref="BC197:BE197"/>
    <mergeCell ref="BF197:BH197"/>
    <mergeCell ref="BI197:BL197"/>
    <mergeCell ref="BM197:BP197"/>
    <mergeCell ref="BQ197:BS197"/>
    <mergeCell ref="BT197:BW197"/>
    <mergeCell ref="BX197:BZ197"/>
    <mergeCell ref="CA197:CD197"/>
    <mergeCell ref="CE197:CG197"/>
    <mergeCell ref="CH197:CK197"/>
    <mergeCell ref="CL197:CN197"/>
    <mergeCell ref="AG198:AH198"/>
    <mergeCell ref="AI198:AV198"/>
    <mergeCell ref="AW198:AY198"/>
    <mergeCell ref="BC198:BE198"/>
    <mergeCell ref="BF198:BH198"/>
    <mergeCell ref="BI198:BL198"/>
    <mergeCell ref="BM198:BP198"/>
    <mergeCell ref="BQ198:BS198"/>
    <mergeCell ref="BT198:BW198"/>
    <mergeCell ref="BX198:BZ198"/>
    <mergeCell ref="CA198:CD198"/>
    <mergeCell ref="CE198:CG198"/>
    <mergeCell ref="CH198:CK198"/>
    <mergeCell ref="CL198:CN198"/>
    <mergeCell ref="AG199:AH199"/>
    <mergeCell ref="AI199:AV199"/>
    <mergeCell ref="AW199:AY199"/>
    <mergeCell ref="BC199:BE199"/>
    <mergeCell ref="BF199:BH199"/>
    <mergeCell ref="BI199:BL199"/>
    <mergeCell ref="BM199:BP199"/>
    <mergeCell ref="BQ199:BS199"/>
    <mergeCell ref="BT199:BW199"/>
    <mergeCell ref="BX199:BZ199"/>
    <mergeCell ref="CA199:CD199"/>
    <mergeCell ref="CE199:CG199"/>
    <mergeCell ref="CH199:CK199"/>
    <mergeCell ref="CL199:CN199"/>
    <mergeCell ref="AG200:AH200"/>
    <mergeCell ref="AI200:AV200"/>
    <mergeCell ref="AW200:AY200"/>
    <mergeCell ref="BC200:BE200"/>
    <mergeCell ref="BF200:BH200"/>
    <mergeCell ref="BI200:BL200"/>
    <mergeCell ref="BM200:BP200"/>
    <mergeCell ref="BQ200:BS200"/>
    <mergeCell ref="BT200:BW200"/>
    <mergeCell ref="BX200:BZ200"/>
    <mergeCell ref="CA200:CD200"/>
    <mergeCell ref="CE200:CG200"/>
    <mergeCell ref="CH200:CK200"/>
    <mergeCell ref="CL200:CN200"/>
    <mergeCell ref="AG201:AH201"/>
    <mergeCell ref="AI201:AV201"/>
    <mergeCell ref="AW201:AY201"/>
    <mergeCell ref="BC201:BE201"/>
    <mergeCell ref="BF201:BH201"/>
    <mergeCell ref="BI201:BL201"/>
    <mergeCell ref="BM201:BP201"/>
    <mergeCell ref="BQ201:BS201"/>
    <mergeCell ref="BT201:BW201"/>
    <mergeCell ref="BX201:BZ201"/>
    <mergeCell ref="CA201:CD201"/>
    <mergeCell ref="CE201:CG201"/>
    <mergeCell ref="CH201:CK201"/>
    <mergeCell ref="CL201:CN201"/>
    <mergeCell ref="AG202:AH202"/>
    <mergeCell ref="AI202:AV202"/>
    <mergeCell ref="AW202:AY202"/>
    <mergeCell ref="BC202:BE202"/>
    <mergeCell ref="BF202:BH202"/>
    <mergeCell ref="BI202:BL202"/>
    <mergeCell ref="BM202:BP202"/>
    <mergeCell ref="BQ202:BS202"/>
    <mergeCell ref="BT202:BW202"/>
    <mergeCell ref="BX202:BZ202"/>
    <mergeCell ref="CA202:CD202"/>
    <mergeCell ref="CE202:CG202"/>
    <mergeCell ref="CH202:CK202"/>
    <mergeCell ref="CL202:CN202"/>
    <mergeCell ref="AG203:AH203"/>
    <mergeCell ref="AI203:AV203"/>
    <mergeCell ref="AW203:AY203"/>
    <mergeCell ref="BC203:BE203"/>
    <mergeCell ref="BF203:BH203"/>
    <mergeCell ref="BI203:BL203"/>
    <mergeCell ref="BM203:BP203"/>
    <mergeCell ref="BQ203:BS203"/>
    <mergeCell ref="BT203:BW203"/>
    <mergeCell ref="BX203:BZ203"/>
    <mergeCell ref="CA203:CD203"/>
    <mergeCell ref="CE203:CG203"/>
    <mergeCell ref="CH203:CK203"/>
    <mergeCell ref="CL203:CN203"/>
    <mergeCell ref="AG204:AH204"/>
    <mergeCell ref="AI204:AV204"/>
    <mergeCell ref="AW204:AY204"/>
    <mergeCell ref="BC204:BE204"/>
    <mergeCell ref="BF204:BH204"/>
    <mergeCell ref="BI204:BL204"/>
    <mergeCell ref="BM204:BP204"/>
    <mergeCell ref="BQ204:BS204"/>
    <mergeCell ref="BT204:BW204"/>
    <mergeCell ref="BX204:BZ204"/>
    <mergeCell ref="CA204:CD204"/>
    <mergeCell ref="CE204:CG204"/>
    <mergeCell ref="CH204:CK204"/>
    <mergeCell ref="CL204:CN204"/>
    <mergeCell ref="AG205:AH205"/>
    <mergeCell ref="AI205:AV205"/>
    <mergeCell ref="AW205:AY205"/>
    <mergeCell ref="BC205:BE205"/>
    <mergeCell ref="BF205:BH205"/>
    <mergeCell ref="BI205:BL205"/>
    <mergeCell ref="BM205:BP205"/>
    <mergeCell ref="BQ205:BS205"/>
    <mergeCell ref="BT205:BW205"/>
    <mergeCell ref="BX205:BZ205"/>
    <mergeCell ref="CA205:CD205"/>
    <mergeCell ref="CE205:CG205"/>
    <mergeCell ref="CH205:CK205"/>
    <mergeCell ref="CL205:CN205"/>
    <mergeCell ref="AG206:AH206"/>
    <mergeCell ref="AI206:AV206"/>
    <mergeCell ref="AW206:AY206"/>
    <mergeCell ref="BC206:BE206"/>
    <mergeCell ref="BF206:BH206"/>
    <mergeCell ref="BI206:BL206"/>
    <mergeCell ref="BM206:BP206"/>
    <mergeCell ref="BQ206:BS206"/>
    <mergeCell ref="BT206:BW206"/>
    <mergeCell ref="BX206:BZ206"/>
    <mergeCell ref="CA206:CD206"/>
    <mergeCell ref="CE206:CG206"/>
    <mergeCell ref="CH206:CK206"/>
    <mergeCell ref="CL206:CN206"/>
    <mergeCell ref="AG207:AH207"/>
    <mergeCell ref="AI207:AV207"/>
    <mergeCell ref="AW207:AY207"/>
    <mergeCell ref="BC207:BE207"/>
    <mergeCell ref="BF207:BH207"/>
    <mergeCell ref="BI207:BL207"/>
    <mergeCell ref="BM207:BP207"/>
    <mergeCell ref="BQ207:BS207"/>
    <mergeCell ref="BT207:BW207"/>
    <mergeCell ref="BX207:BZ207"/>
    <mergeCell ref="CA207:CD207"/>
    <mergeCell ref="CE207:CG207"/>
    <mergeCell ref="CH207:CK207"/>
    <mergeCell ref="CL207:CN207"/>
    <mergeCell ref="AG208:AH208"/>
    <mergeCell ref="AI208:AV208"/>
    <mergeCell ref="AW208:AY208"/>
    <mergeCell ref="BC208:BE208"/>
    <mergeCell ref="BF208:BH208"/>
    <mergeCell ref="BI208:BL208"/>
    <mergeCell ref="BM208:BP208"/>
    <mergeCell ref="BQ208:BS208"/>
    <mergeCell ref="BT208:BW208"/>
    <mergeCell ref="BX208:BZ208"/>
    <mergeCell ref="CA208:CD208"/>
    <mergeCell ref="CE208:CG208"/>
    <mergeCell ref="CH208:CK208"/>
    <mergeCell ref="CL208:CN208"/>
    <mergeCell ref="AG209:AH209"/>
    <mergeCell ref="AI209:AV209"/>
    <mergeCell ref="AW209:AY209"/>
    <mergeCell ref="BC209:BE209"/>
    <mergeCell ref="BF209:BH209"/>
    <mergeCell ref="BI209:BL209"/>
    <mergeCell ref="BM209:BP209"/>
    <mergeCell ref="BQ209:BS209"/>
    <mergeCell ref="BT209:BW209"/>
    <mergeCell ref="BX209:BZ209"/>
    <mergeCell ref="CA209:CD209"/>
    <mergeCell ref="CE209:CG209"/>
    <mergeCell ref="CH209:CK209"/>
    <mergeCell ref="CL209:CN209"/>
    <mergeCell ref="AG210:AH210"/>
    <mergeCell ref="AI210:AV210"/>
    <mergeCell ref="AW210:AY210"/>
    <mergeCell ref="BC210:BE210"/>
    <mergeCell ref="BF210:BH210"/>
    <mergeCell ref="BI210:BL210"/>
    <mergeCell ref="BM210:BP210"/>
    <mergeCell ref="BQ210:BS210"/>
    <mergeCell ref="BT210:BW210"/>
    <mergeCell ref="BX210:BZ210"/>
    <mergeCell ref="CA210:CD210"/>
    <mergeCell ref="CE210:CG210"/>
    <mergeCell ref="CH210:CK210"/>
    <mergeCell ref="CL210:CN210"/>
    <mergeCell ref="AG211:AH211"/>
    <mergeCell ref="AI211:AV211"/>
    <mergeCell ref="AW211:AY211"/>
    <mergeCell ref="BC211:BE211"/>
    <mergeCell ref="BF211:BH211"/>
    <mergeCell ref="BI211:BL211"/>
    <mergeCell ref="BM211:BP211"/>
    <mergeCell ref="BQ211:BS211"/>
    <mergeCell ref="BT211:BW211"/>
    <mergeCell ref="BX211:BZ211"/>
    <mergeCell ref="CA211:CD211"/>
    <mergeCell ref="CE211:CG211"/>
    <mergeCell ref="CH211:CK211"/>
    <mergeCell ref="CL211:CN211"/>
    <mergeCell ref="AG212:AH212"/>
    <mergeCell ref="AI212:AV212"/>
    <mergeCell ref="AW212:AY212"/>
    <mergeCell ref="BC212:BE212"/>
    <mergeCell ref="BF212:BH212"/>
    <mergeCell ref="BI212:BL212"/>
    <mergeCell ref="BM212:BP212"/>
    <mergeCell ref="BQ212:BS212"/>
    <mergeCell ref="BT212:BW212"/>
    <mergeCell ref="BX212:BZ212"/>
    <mergeCell ref="CA212:CD212"/>
    <mergeCell ref="CE212:CG212"/>
    <mergeCell ref="CH212:CK212"/>
    <mergeCell ref="CL212:CN212"/>
    <mergeCell ref="AG213:AH213"/>
    <mergeCell ref="AI213:AV213"/>
    <mergeCell ref="AW213:AY213"/>
    <mergeCell ref="BC213:BE213"/>
    <mergeCell ref="BF213:BH213"/>
    <mergeCell ref="BI213:BL213"/>
    <mergeCell ref="BM213:BP213"/>
    <mergeCell ref="BQ213:BS213"/>
    <mergeCell ref="BT213:BW213"/>
    <mergeCell ref="BX213:BZ213"/>
    <mergeCell ref="CA213:CD213"/>
    <mergeCell ref="CE213:CG213"/>
    <mergeCell ref="CH213:CK213"/>
    <mergeCell ref="CL213:CN213"/>
    <mergeCell ref="AG214:AH214"/>
    <mergeCell ref="AI214:AV214"/>
    <mergeCell ref="AW214:AY214"/>
    <mergeCell ref="BC214:BE214"/>
    <mergeCell ref="BF214:BH214"/>
    <mergeCell ref="BI214:BL214"/>
    <mergeCell ref="BM214:BP214"/>
    <mergeCell ref="BQ214:BS214"/>
    <mergeCell ref="BT214:BW214"/>
    <mergeCell ref="BX214:BZ214"/>
    <mergeCell ref="CA214:CD214"/>
    <mergeCell ref="CE214:CG214"/>
    <mergeCell ref="CH214:CK214"/>
    <mergeCell ref="CL214:CN214"/>
    <mergeCell ref="AG215:AH215"/>
    <mergeCell ref="AI215:AV215"/>
    <mergeCell ref="AW215:AY215"/>
    <mergeCell ref="BC215:BE215"/>
    <mergeCell ref="BF215:BH215"/>
    <mergeCell ref="BI215:BL215"/>
    <mergeCell ref="BM215:BP215"/>
    <mergeCell ref="BQ215:BS215"/>
    <mergeCell ref="BT215:BW215"/>
    <mergeCell ref="BX215:BZ215"/>
    <mergeCell ref="CA215:CD215"/>
    <mergeCell ref="CE215:CG215"/>
    <mergeCell ref="CH215:CK215"/>
    <mergeCell ref="CL215:CN215"/>
    <mergeCell ref="AG216:AH216"/>
    <mergeCell ref="AI216:AV216"/>
    <mergeCell ref="AW216:AY216"/>
    <mergeCell ref="BC216:BE216"/>
    <mergeCell ref="BF216:BH216"/>
    <mergeCell ref="BI216:BL216"/>
    <mergeCell ref="BM216:BP216"/>
    <mergeCell ref="BQ216:BS216"/>
    <mergeCell ref="BT216:BW216"/>
    <mergeCell ref="BX216:BZ216"/>
    <mergeCell ref="CA216:CD216"/>
    <mergeCell ref="CE216:CG216"/>
    <mergeCell ref="CH216:CK216"/>
    <mergeCell ref="CL216:CN216"/>
    <mergeCell ref="AG217:AH217"/>
    <mergeCell ref="AI217:AV217"/>
    <mergeCell ref="AW217:AY217"/>
    <mergeCell ref="BC217:BE217"/>
    <mergeCell ref="BF217:BH217"/>
    <mergeCell ref="BI217:BL217"/>
    <mergeCell ref="BM217:BP217"/>
    <mergeCell ref="BQ217:BS217"/>
    <mergeCell ref="BT217:BW217"/>
    <mergeCell ref="BX217:BZ217"/>
    <mergeCell ref="CA217:CD217"/>
    <mergeCell ref="CE217:CG217"/>
    <mergeCell ref="CH217:CK217"/>
    <mergeCell ref="CL217:CN217"/>
    <mergeCell ref="AG218:AH218"/>
    <mergeCell ref="AI218:AV218"/>
    <mergeCell ref="AW218:AY218"/>
    <mergeCell ref="BC218:BE218"/>
    <mergeCell ref="BF218:BH218"/>
    <mergeCell ref="BI218:BL218"/>
    <mergeCell ref="BM218:BP218"/>
    <mergeCell ref="BQ218:BS218"/>
    <mergeCell ref="BT218:BW218"/>
    <mergeCell ref="BX218:BZ218"/>
    <mergeCell ref="CA218:CD218"/>
    <mergeCell ref="CE218:CG218"/>
    <mergeCell ref="CH218:CK218"/>
    <mergeCell ref="CL218:CN218"/>
    <mergeCell ref="AG219:AH219"/>
    <mergeCell ref="AI219:AV219"/>
    <mergeCell ref="AW219:AY219"/>
    <mergeCell ref="BC219:BE219"/>
    <mergeCell ref="BF219:BH219"/>
    <mergeCell ref="BI219:BL219"/>
    <mergeCell ref="BM219:BP219"/>
    <mergeCell ref="BQ219:BS219"/>
    <mergeCell ref="BT219:BW219"/>
    <mergeCell ref="BX219:BZ219"/>
    <mergeCell ref="CA219:CD219"/>
    <mergeCell ref="CE219:CG219"/>
    <mergeCell ref="CH219:CK219"/>
    <mergeCell ref="CL219:CN219"/>
    <mergeCell ref="AG220:AH220"/>
    <mergeCell ref="AI220:AV220"/>
    <mergeCell ref="AW220:AY220"/>
    <mergeCell ref="BC220:BE220"/>
    <mergeCell ref="BF220:BH220"/>
    <mergeCell ref="BI220:BL220"/>
    <mergeCell ref="BM220:BP220"/>
    <mergeCell ref="BQ220:BS220"/>
    <mergeCell ref="BT220:BW220"/>
    <mergeCell ref="BX220:BZ220"/>
    <mergeCell ref="CA220:CD220"/>
    <mergeCell ref="CE220:CG220"/>
    <mergeCell ref="CH220:CK220"/>
    <mergeCell ref="CL220:CN220"/>
    <mergeCell ref="AG221:AH221"/>
    <mergeCell ref="AI221:AV221"/>
    <mergeCell ref="AW221:AY221"/>
    <mergeCell ref="BC221:BE221"/>
    <mergeCell ref="BF221:BH221"/>
    <mergeCell ref="BI221:BL221"/>
    <mergeCell ref="BM221:BP221"/>
    <mergeCell ref="BQ221:BS221"/>
    <mergeCell ref="BT221:BW221"/>
    <mergeCell ref="BX221:BZ221"/>
    <mergeCell ref="CA221:CD221"/>
    <mergeCell ref="CE221:CG221"/>
    <mergeCell ref="CH221:CK221"/>
    <mergeCell ref="CL221:CN221"/>
    <mergeCell ref="AG222:AH222"/>
    <mergeCell ref="AI222:AV222"/>
    <mergeCell ref="AW222:AY222"/>
    <mergeCell ref="BC222:BE222"/>
    <mergeCell ref="BF222:BH222"/>
    <mergeCell ref="BI222:BL222"/>
    <mergeCell ref="BM222:BP222"/>
    <mergeCell ref="BQ222:BS222"/>
    <mergeCell ref="BT222:BW222"/>
    <mergeCell ref="BX222:BZ222"/>
    <mergeCell ref="CA222:CD222"/>
    <mergeCell ref="CE222:CG222"/>
    <mergeCell ref="CH222:CK222"/>
    <mergeCell ref="CL222:CN222"/>
    <mergeCell ref="AG223:AH223"/>
    <mergeCell ref="AI223:AV223"/>
    <mergeCell ref="AW223:AY223"/>
    <mergeCell ref="BC223:BE223"/>
    <mergeCell ref="BF223:BH223"/>
    <mergeCell ref="BI223:BL223"/>
    <mergeCell ref="BM223:BP223"/>
    <mergeCell ref="BQ223:BS223"/>
    <mergeCell ref="BT223:BW223"/>
    <mergeCell ref="BX223:BZ223"/>
    <mergeCell ref="CA223:CD223"/>
    <mergeCell ref="CE223:CG223"/>
    <mergeCell ref="CH223:CK223"/>
    <mergeCell ref="CL223:CN223"/>
    <mergeCell ref="AG224:AH224"/>
    <mergeCell ref="AI224:AV224"/>
    <mergeCell ref="AW224:AY224"/>
    <mergeCell ref="BC224:BE224"/>
    <mergeCell ref="BF224:BH224"/>
    <mergeCell ref="BI224:BL224"/>
    <mergeCell ref="BM224:BP224"/>
    <mergeCell ref="BQ224:BS224"/>
    <mergeCell ref="BT224:BW224"/>
    <mergeCell ref="BX224:BZ224"/>
    <mergeCell ref="CA224:CD224"/>
    <mergeCell ref="CE224:CG224"/>
    <mergeCell ref="CH224:CK224"/>
    <mergeCell ref="CL224:CN224"/>
    <mergeCell ref="AG225:AH225"/>
    <mergeCell ref="AI225:AV225"/>
    <mergeCell ref="AW225:AY225"/>
    <mergeCell ref="BC225:BE225"/>
    <mergeCell ref="BF225:BH225"/>
    <mergeCell ref="BI225:BL225"/>
    <mergeCell ref="BM225:BP225"/>
    <mergeCell ref="BQ225:BS225"/>
    <mergeCell ref="BT225:BW225"/>
    <mergeCell ref="BX225:BZ225"/>
    <mergeCell ref="CA225:CD225"/>
    <mergeCell ref="CE225:CG225"/>
    <mergeCell ref="CH225:CK225"/>
    <mergeCell ref="CL225:CN225"/>
    <mergeCell ref="AG226:AH226"/>
    <mergeCell ref="AI226:AV226"/>
    <mergeCell ref="AW226:AY226"/>
    <mergeCell ref="BC226:BE226"/>
    <mergeCell ref="BF226:BH226"/>
    <mergeCell ref="BI226:BL226"/>
    <mergeCell ref="BM226:BP226"/>
    <mergeCell ref="BQ226:BS226"/>
    <mergeCell ref="BT226:BW226"/>
    <mergeCell ref="BX226:BZ226"/>
    <mergeCell ref="CA226:CD226"/>
    <mergeCell ref="CE226:CG226"/>
    <mergeCell ref="CH226:CK226"/>
    <mergeCell ref="CL226:CN226"/>
    <mergeCell ref="AG227:AH227"/>
    <mergeCell ref="AI227:AV227"/>
    <mergeCell ref="AW227:AY227"/>
    <mergeCell ref="BC227:BE227"/>
    <mergeCell ref="BF227:BH227"/>
    <mergeCell ref="BI227:BL227"/>
    <mergeCell ref="BM227:BP227"/>
    <mergeCell ref="BQ227:BS227"/>
    <mergeCell ref="BT227:BW227"/>
    <mergeCell ref="BX227:BZ227"/>
    <mergeCell ref="CA227:CD227"/>
    <mergeCell ref="CE227:CG227"/>
    <mergeCell ref="CH227:CK227"/>
    <mergeCell ref="CL227:CN227"/>
    <mergeCell ref="AG228:AH228"/>
    <mergeCell ref="AI228:AV228"/>
    <mergeCell ref="AW228:AY228"/>
    <mergeCell ref="BC228:BE228"/>
    <mergeCell ref="BF228:BH228"/>
    <mergeCell ref="BI228:BL228"/>
    <mergeCell ref="BM228:BP228"/>
    <mergeCell ref="BQ228:BS228"/>
    <mergeCell ref="BT228:BW228"/>
    <mergeCell ref="BX228:BZ228"/>
    <mergeCell ref="CA228:CD228"/>
    <mergeCell ref="CE228:CG228"/>
    <mergeCell ref="CH228:CK228"/>
    <mergeCell ref="CL228:CN228"/>
    <mergeCell ref="AG229:AH229"/>
    <mergeCell ref="AI229:AV229"/>
    <mergeCell ref="AW229:AY229"/>
    <mergeCell ref="BC229:BE229"/>
    <mergeCell ref="BF229:BH229"/>
    <mergeCell ref="BI229:BL229"/>
    <mergeCell ref="BM229:BP229"/>
    <mergeCell ref="BQ229:BS229"/>
    <mergeCell ref="BT229:BW229"/>
    <mergeCell ref="BX229:BZ229"/>
    <mergeCell ref="CA229:CD229"/>
    <mergeCell ref="CE229:CG229"/>
    <mergeCell ref="CH229:CK229"/>
    <mergeCell ref="CL229:CN229"/>
    <mergeCell ref="AG230:AH230"/>
    <mergeCell ref="AI230:AV230"/>
    <mergeCell ref="AW230:AY230"/>
    <mergeCell ref="BC230:BE230"/>
    <mergeCell ref="BF230:BH230"/>
    <mergeCell ref="BI230:BL230"/>
    <mergeCell ref="BM230:BP230"/>
    <mergeCell ref="BQ230:BS230"/>
    <mergeCell ref="BT230:BW230"/>
    <mergeCell ref="BX230:BZ230"/>
    <mergeCell ref="CA230:CD230"/>
    <mergeCell ref="CE230:CG230"/>
    <mergeCell ref="CH230:CK230"/>
    <mergeCell ref="CL230:CN230"/>
    <mergeCell ref="AG231:AH231"/>
    <mergeCell ref="AI231:AV231"/>
    <mergeCell ref="AW231:AY231"/>
    <mergeCell ref="BC231:BE231"/>
    <mergeCell ref="BF231:BH231"/>
    <mergeCell ref="BI231:BL231"/>
    <mergeCell ref="BM231:BP231"/>
    <mergeCell ref="BQ231:BS231"/>
    <mergeCell ref="BT231:BW231"/>
    <mergeCell ref="BX231:BZ231"/>
    <mergeCell ref="CA231:CD231"/>
    <mergeCell ref="CE231:CG231"/>
    <mergeCell ref="CH231:CK231"/>
    <mergeCell ref="CL231:CN231"/>
    <mergeCell ref="AG232:AH232"/>
    <mergeCell ref="AI232:AV232"/>
    <mergeCell ref="AW232:AY232"/>
    <mergeCell ref="BC232:BE232"/>
    <mergeCell ref="BF232:BH232"/>
    <mergeCell ref="BI232:BL232"/>
    <mergeCell ref="BM232:BP232"/>
    <mergeCell ref="BQ232:BS232"/>
    <mergeCell ref="BT232:BW232"/>
    <mergeCell ref="BX232:BZ232"/>
    <mergeCell ref="CA232:CD232"/>
    <mergeCell ref="CE232:CG232"/>
    <mergeCell ref="CH232:CK232"/>
    <mergeCell ref="CL232:CN232"/>
    <mergeCell ref="AG233:AH233"/>
    <mergeCell ref="AI233:AV233"/>
    <mergeCell ref="AW233:AY233"/>
    <mergeCell ref="BC233:BE233"/>
    <mergeCell ref="BF233:BH233"/>
    <mergeCell ref="BI233:BL233"/>
    <mergeCell ref="BM233:BP233"/>
    <mergeCell ref="BQ233:BS233"/>
    <mergeCell ref="BT233:BW233"/>
    <mergeCell ref="BX233:BZ233"/>
    <mergeCell ref="CA233:CD233"/>
    <mergeCell ref="CE233:CG233"/>
    <mergeCell ref="CH233:CK233"/>
    <mergeCell ref="CL233:CN233"/>
    <mergeCell ref="AG234:AH234"/>
    <mergeCell ref="AI234:AV234"/>
    <mergeCell ref="AW234:AY234"/>
    <mergeCell ref="BC234:BE234"/>
    <mergeCell ref="BF234:BH234"/>
    <mergeCell ref="BI234:BL234"/>
    <mergeCell ref="BM234:BP234"/>
    <mergeCell ref="BQ234:BS234"/>
    <mergeCell ref="BT234:BW234"/>
    <mergeCell ref="BX234:BZ234"/>
    <mergeCell ref="CA234:CD234"/>
    <mergeCell ref="CE234:CG234"/>
    <mergeCell ref="CH234:CK234"/>
    <mergeCell ref="CL234:CN234"/>
    <mergeCell ref="AG235:AH235"/>
    <mergeCell ref="AI235:AV235"/>
    <mergeCell ref="AW235:AY235"/>
    <mergeCell ref="BC235:BE235"/>
    <mergeCell ref="BF235:BH235"/>
    <mergeCell ref="BI235:BL235"/>
    <mergeCell ref="BM235:BP235"/>
    <mergeCell ref="BQ235:BS235"/>
    <mergeCell ref="BT235:BW235"/>
    <mergeCell ref="BX235:BZ235"/>
    <mergeCell ref="CA235:CD235"/>
    <mergeCell ref="CE235:CG235"/>
    <mergeCell ref="CH235:CK235"/>
    <mergeCell ref="CL235:CN235"/>
    <mergeCell ref="AG236:AH236"/>
    <mergeCell ref="AI236:AV236"/>
    <mergeCell ref="AW236:AY236"/>
    <mergeCell ref="BC236:BE236"/>
    <mergeCell ref="BF236:BH236"/>
    <mergeCell ref="BI236:BL236"/>
    <mergeCell ref="BM236:BP236"/>
    <mergeCell ref="BQ236:BS236"/>
    <mergeCell ref="BT236:BW236"/>
    <mergeCell ref="BX236:BZ236"/>
    <mergeCell ref="CA236:CD236"/>
    <mergeCell ref="CE236:CG236"/>
    <mergeCell ref="CH236:CK236"/>
    <mergeCell ref="CL236:CN236"/>
    <mergeCell ref="AG237:AH237"/>
    <mergeCell ref="AI237:AV237"/>
    <mergeCell ref="AW237:AY237"/>
    <mergeCell ref="BC237:BE237"/>
    <mergeCell ref="BF237:BH237"/>
    <mergeCell ref="BI237:BL237"/>
    <mergeCell ref="BM237:BP237"/>
    <mergeCell ref="BQ237:BS237"/>
    <mergeCell ref="BT237:BW237"/>
    <mergeCell ref="BX237:BZ237"/>
    <mergeCell ref="CA237:CD237"/>
    <mergeCell ref="CE237:CG237"/>
    <mergeCell ref="CH237:CK237"/>
    <mergeCell ref="CL237:CN237"/>
    <mergeCell ref="AG238:AH238"/>
    <mergeCell ref="AI238:AV238"/>
    <mergeCell ref="AW238:AY238"/>
    <mergeCell ref="BC238:BE238"/>
    <mergeCell ref="BF238:BH238"/>
    <mergeCell ref="BI238:BL238"/>
    <mergeCell ref="BM238:BP238"/>
    <mergeCell ref="BQ238:BS238"/>
    <mergeCell ref="BT238:BW238"/>
    <mergeCell ref="BX238:BZ238"/>
    <mergeCell ref="CA238:CD238"/>
    <mergeCell ref="CE238:CG238"/>
    <mergeCell ref="CH238:CK238"/>
    <mergeCell ref="CL238:CN238"/>
    <mergeCell ref="AG239:AH239"/>
    <mergeCell ref="AI239:AV239"/>
    <mergeCell ref="AW239:AY239"/>
    <mergeCell ref="BC239:BE239"/>
    <mergeCell ref="BF239:BH239"/>
    <mergeCell ref="BI239:BL239"/>
    <mergeCell ref="BM239:BP239"/>
    <mergeCell ref="BQ239:BS239"/>
    <mergeCell ref="BT239:BW239"/>
    <mergeCell ref="BX239:BZ239"/>
    <mergeCell ref="CA239:CD239"/>
    <mergeCell ref="CE239:CG239"/>
    <mergeCell ref="CH239:CK239"/>
    <mergeCell ref="CL239:CN239"/>
    <mergeCell ref="AG240:AH240"/>
    <mergeCell ref="AI240:AV240"/>
    <mergeCell ref="AW240:AY240"/>
    <mergeCell ref="BC240:BE240"/>
    <mergeCell ref="BF240:BH240"/>
    <mergeCell ref="BI240:BL240"/>
    <mergeCell ref="BM240:BP240"/>
    <mergeCell ref="BQ240:BS240"/>
    <mergeCell ref="BT240:BW240"/>
    <mergeCell ref="BX240:BZ240"/>
    <mergeCell ref="CA240:CD240"/>
    <mergeCell ref="CE240:CG240"/>
    <mergeCell ref="CH240:CK240"/>
    <mergeCell ref="CL240:CN240"/>
    <mergeCell ref="AG241:AH241"/>
    <mergeCell ref="AI241:AV241"/>
    <mergeCell ref="AW241:AY241"/>
    <mergeCell ref="BC241:BE241"/>
    <mergeCell ref="BF241:BH241"/>
    <mergeCell ref="BI241:BL241"/>
    <mergeCell ref="BM241:BP241"/>
    <mergeCell ref="BQ241:BS241"/>
    <mergeCell ref="BT241:BW241"/>
    <mergeCell ref="BX241:BZ241"/>
    <mergeCell ref="CA241:CD241"/>
    <mergeCell ref="CE241:CG241"/>
    <mergeCell ref="CH241:CK241"/>
    <mergeCell ref="CL241:CN241"/>
    <mergeCell ref="AG242:AH242"/>
    <mergeCell ref="AI242:AV242"/>
    <mergeCell ref="AW242:AY242"/>
    <mergeCell ref="BC242:BE242"/>
    <mergeCell ref="BF242:BH242"/>
    <mergeCell ref="BI242:BL242"/>
    <mergeCell ref="BM242:BP242"/>
    <mergeCell ref="BQ242:BS242"/>
    <mergeCell ref="BT242:BW242"/>
    <mergeCell ref="BX242:BZ242"/>
    <mergeCell ref="CA242:CD242"/>
    <mergeCell ref="CE242:CG242"/>
    <mergeCell ref="CH242:CK242"/>
    <mergeCell ref="CL242:CN242"/>
    <mergeCell ref="AG243:AH243"/>
    <mergeCell ref="AI243:AV243"/>
    <mergeCell ref="AW243:AY243"/>
    <mergeCell ref="BC243:BE243"/>
    <mergeCell ref="BF243:BH243"/>
    <mergeCell ref="BI243:BL243"/>
    <mergeCell ref="BM243:BP243"/>
    <mergeCell ref="BQ243:BS243"/>
    <mergeCell ref="BT243:BW243"/>
    <mergeCell ref="BX243:BZ243"/>
    <mergeCell ref="CA243:CD243"/>
    <mergeCell ref="CE243:CG243"/>
    <mergeCell ref="CH243:CK243"/>
    <mergeCell ref="CL243:CN243"/>
    <mergeCell ref="AG244:AH244"/>
    <mergeCell ref="AI244:AV244"/>
    <mergeCell ref="AW244:AY244"/>
    <mergeCell ref="BC244:BE244"/>
    <mergeCell ref="BF244:BH244"/>
    <mergeCell ref="BI244:BL244"/>
    <mergeCell ref="BM244:BP244"/>
    <mergeCell ref="BQ244:BS244"/>
    <mergeCell ref="BT244:BW244"/>
    <mergeCell ref="BX244:BZ244"/>
    <mergeCell ref="CA244:CD244"/>
    <mergeCell ref="CE244:CG244"/>
    <mergeCell ref="CH244:CK244"/>
    <mergeCell ref="CL244:CN244"/>
    <mergeCell ref="AG245:AH245"/>
    <mergeCell ref="AI245:AV245"/>
    <mergeCell ref="AW245:AY245"/>
    <mergeCell ref="BC245:BE245"/>
    <mergeCell ref="BF245:BH245"/>
    <mergeCell ref="BI245:BL245"/>
    <mergeCell ref="BM245:BP245"/>
    <mergeCell ref="BQ245:BS245"/>
    <mergeCell ref="BT245:BW245"/>
    <mergeCell ref="BX245:BZ245"/>
    <mergeCell ref="CA245:CD245"/>
    <mergeCell ref="CE245:CG245"/>
    <mergeCell ref="CH245:CK245"/>
    <mergeCell ref="CL245:CN245"/>
    <mergeCell ref="AG246:AH246"/>
    <mergeCell ref="AI246:AV246"/>
    <mergeCell ref="AW246:AY246"/>
    <mergeCell ref="BC246:BE246"/>
    <mergeCell ref="BF246:BH246"/>
    <mergeCell ref="BI246:BL246"/>
    <mergeCell ref="BM246:BP246"/>
    <mergeCell ref="BQ246:BS246"/>
    <mergeCell ref="BT246:BW246"/>
    <mergeCell ref="BX246:BZ246"/>
    <mergeCell ref="CA246:CD246"/>
    <mergeCell ref="CE246:CG246"/>
    <mergeCell ref="CH246:CK246"/>
    <mergeCell ref="CL246:CN246"/>
    <mergeCell ref="AG247:AH247"/>
    <mergeCell ref="AI247:AV247"/>
    <mergeCell ref="AW247:AY247"/>
    <mergeCell ref="BC247:BE247"/>
    <mergeCell ref="BF247:BH247"/>
    <mergeCell ref="BI247:BL247"/>
    <mergeCell ref="BM247:BP247"/>
    <mergeCell ref="BQ247:BS247"/>
    <mergeCell ref="BT247:BW247"/>
    <mergeCell ref="BX247:BZ247"/>
    <mergeCell ref="CA247:CD247"/>
    <mergeCell ref="CE247:CG247"/>
    <mergeCell ref="CH247:CK247"/>
    <mergeCell ref="CL247:CN247"/>
    <mergeCell ref="AG248:AH248"/>
    <mergeCell ref="AI248:AV248"/>
    <mergeCell ref="AW248:AY248"/>
    <mergeCell ref="BC248:BE248"/>
    <mergeCell ref="BF248:BH248"/>
    <mergeCell ref="BI248:BL248"/>
    <mergeCell ref="BM248:BP248"/>
    <mergeCell ref="BQ248:BS248"/>
    <mergeCell ref="BT248:BW248"/>
    <mergeCell ref="BX248:BZ248"/>
    <mergeCell ref="CA248:CD248"/>
    <mergeCell ref="CE248:CG248"/>
    <mergeCell ref="CH248:CK248"/>
    <mergeCell ref="CL248:CN248"/>
    <mergeCell ref="AG249:AH249"/>
    <mergeCell ref="AI249:AV249"/>
    <mergeCell ref="AW249:AY249"/>
    <mergeCell ref="BC249:BE249"/>
    <mergeCell ref="BF249:BH249"/>
    <mergeCell ref="BI249:BL249"/>
    <mergeCell ref="BM249:BP249"/>
    <mergeCell ref="BQ249:BS249"/>
    <mergeCell ref="BT249:BW249"/>
    <mergeCell ref="BX249:BZ249"/>
    <mergeCell ref="CA249:CD249"/>
    <mergeCell ref="CE249:CG249"/>
    <mergeCell ref="CH249:CK249"/>
    <mergeCell ref="CL249:CN249"/>
    <mergeCell ref="AG250:AH250"/>
    <mergeCell ref="AI250:AV250"/>
    <mergeCell ref="AW250:AY250"/>
    <mergeCell ref="BC250:BE250"/>
    <mergeCell ref="BF250:BH250"/>
    <mergeCell ref="BI250:BL250"/>
    <mergeCell ref="BM250:BP250"/>
    <mergeCell ref="BQ250:BS250"/>
    <mergeCell ref="BT250:BW250"/>
    <mergeCell ref="BX250:BZ250"/>
    <mergeCell ref="CA250:CD250"/>
    <mergeCell ref="CE250:CG250"/>
    <mergeCell ref="CH250:CK250"/>
    <mergeCell ref="CL250:CN250"/>
    <mergeCell ref="AG251:AH251"/>
    <mergeCell ref="AI251:AV251"/>
    <mergeCell ref="AW251:AY251"/>
    <mergeCell ref="BC251:BE251"/>
    <mergeCell ref="BF251:BH251"/>
    <mergeCell ref="BI251:BL251"/>
    <mergeCell ref="BM251:BP251"/>
    <mergeCell ref="BQ251:BS251"/>
    <mergeCell ref="BT251:BW251"/>
    <mergeCell ref="BX251:BZ251"/>
    <mergeCell ref="CA251:CD251"/>
    <mergeCell ref="CE251:CG251"/>
    <mergeCell ref="CH251:CK251"/>
    <mergeCell ref="CL251:CN251"/>
    <mergeCell ref="AG252:AH252"/>
    <mergeCell ref="AI252:AV252"/>
    <mergeCell ref="AW252:AY252"/>
    <mergeCell ref="BC252:BE252"/>
    <mergeCell ref="BF252:BH252"/>
    <mergeCell ref="BI252:BL252"/>
    <mergeCell ref="BM252:BP252"/>
    <mergeCell ref="BQ252:BS252"/>
    <mergeCell ref="BT252:BW252"/>
    <mergeCell ref="BX252:BZ252"/>
    <mergeCell ref="CA252:CD252"/>
    <mergeCell ref="CE252:CG252"/>
    <mergeCell ref="CH252:CK252"/>
    <mergeCell ref="CL252:CN252"/>
    <mergeCell ref="AG253:AH253"/>
    <mergeCell ref="AI253:AV253"/>
    <mergeCell ref="AW253:AY253"/>
    <mergeCell ref="BC253:BE253"/>
    <mergeCell ref="BF253:BH253"/>
    <mergeCell ref="BI253:BL253"/>
    <mergeCell ref="BM253:BP253"/>
    <mergeCell ref="BQ253:BS253"/>
    <mergeCell ref="BT253:BW253"/>
    <mergeCell ref="BX253:BZ253"/>
    <mergeCell ref="CA253:CD253"/>
    <mergeCell ref="CE253:CG253"/>
    <mergeCell ref="CH253:CK253"/>
    <mergeCell ref="CL253:CN253"/>
    <mergeCell ref="AG254:AH254"/>
    <mergeCell ref="AI254:AV254"/>
    <mergeCell ref="AW254:AY254"/>
    <mergeCell ref="BC254:BE254"/>
    <mergeCell ref="BF254:BH254"/>
    <mergeCell ref="BI254:BL254"/>
    <mergeCell ref="BM254:BP254"/>
    <mergeCell ref="BQ254:BS254"/>
    <mergeCell ref="BT254:BW254"/>
    <mergeCell ref="BX254:BZ254"/>
    <mergeCell ref="CA254:CD254"/>
    <mergeCell ref="CE254:CG254"/>
    <mergeCell ref="CH254:CK254"/>
    <mergeCell ref="CL254:CN254"/>
    <mergeCell ref="AG255:AH255"/>
    <mergeCell ref="AI255:AV255"/>
    <mergeCell ref="AW255:AY255"/>
    <mergeCell ref="BC255:BE255"/>
    <mergeCell ref="BF255:BH255"/>
    <mergeCell ref="BI255:BL255"/>
    <mergeCell ref="BM255:BP255"/>
    <mergeCell ref="BQ255:BS255"/>
    <mergeCell ref="BT255:BW255"/>
    <mergeCell ref="BX255:BZ255"/>
    <mergeCell ref="CA255:CD255"/>
    <mergeCell ref="CE255:CG255"/>
    <mergeCell ref="CH255:CK255"/>
    <mergeCell ref="CL255:CN255"/>
    <mergeCell ref="AG256:AH256"/>
    <mergeCell ref="AI256:AV256"/>
    <mergeCell ref="AW256:AY256"/>
    <mergeCell ref="BC256:BE256"/>
    <mergeCell ref="BF256:BH256"/>
    <mergeCell ref="BI256:BL256"/>
    <mergeCell ref="BM256:BP256"/>
    <mergeCell ref="BQ256:BS256"/>
    <mergeCell ref="BT256:BW256"/>
    <mergeCell ref="BX256:BZ256"/>
    <mergeCell ref="CA256:CD256"/>
    <mergeCell ref="CE256:CG256"/>
    <mergeCell ref="CH256:CK256"/>
    <mergeCell ref="CL256:CN256"/>
    <mergeCell ref="AG257:AH257"/>
    <mergeCell ref="AI257:AV257"/>
    <mergeCell ref="AW257:AY257"/>
    <mergeCell ref="BC257:BE257"/>
    <mergeCell ref="BF257:BH257"/>
    <mergeCell ref="BI257:BL257"/>
    <mergeCell ref="BM257:BP257"/>
    <mergeCell ref="BQ257:BS257"/>
    <mergeCell ref="BT257:BW257"/>
    <mergeCell ref="BX257:BZ257"/>
    <mergeCell ref="CA257:CD257"/>
    <mergeCell ref="CE257:CG257"/>
    <mergeCell ref="CH257:CK257"/>
    <mergeCell ref="CL257:CN257"/>
    <mergeCell ref="AG258:AH258"/>
    <mergeCell ref="AI258:AV258"/>
    <mergeCell ref="AW258:AY258"/>
    <mergeCell ref="BC258:BE258"/>
    <mergeCell ref="BF258:BH258"/>
    <mergeCell ref="BI258:BL258"/>
    <mergeCell ref="BM258:BP258"/>
    <mergeCell ref="BQ258:BS258"/>
    <mergeCell ref="BT258:BW258"/>
    <mergeCell ref="BX258:BZ258"/>
    <mergeCell ref="CA258:CD258"/>
    <mergeCell ref="CE258:CG258"/>
    <mergeCell ref="CH258:CK258"/>
    <mergeCell ref="CL258:CN258"/>
    <mergeCell ref="AG259:AH259"/>
    <mergeCell ref="AI259:AV259"/>
    <mergeCell ref="AW259:AY259"/>
    <mergeCell ref="BC259:BE259"/>
    <mergeCell ref="BF259:BH259"/>
    <mergeCell ref="BI259:BL259"/>
    <mergeCell ref="BM259:BP259"/>
    <mergeCell ref="BQ259:BS259"/>
    <mergeCell ref="BT259:BW259"/>
    <mergeCell ref="BX259:BZ259"/>
    <mergeCell ref="CA259:CD259"/>
    <mergeCell ref="CE259:CG259"/>
    <mergeCell ref="CH259:CK259"/>
    <mergeCell ref="CL259:CN259"/>
    <mergeCell ref="AG260:AH260"/>
    <mergeCell ref="AI260:AV260"/>
    <mergeCell ref="AW260:AY260"/>
    <mergeCell ref="BC260:BE260"/>
    <mergeCell ref="BF260:BH260"/>
    <mergeCell ref="BI260:BL260"/>
    <mergeCell ref="BM260:BP260"/>
    <mergeCell ref="BQ260:BS260"/>
    <mergeCell ref="BT260:BW260"/>
    <mergeCell ref="BX260:BZ260"/>
    <mergeCell ref="CA260:CD260"/>
    <mergeCell ref="CE260:CG260"/>
    <mergeCell ref="CH260:CK260"/>
    <mergeCell ref="CL260:CN260"/>
    <mergeCell ref="AG261:AH261"/>
    <mergeCell ref="AI261:AV261"/>
    <mergeCell ref="AW261:AY261"/>
    <mergeCell ref="BC261:BE261"/>
    <mergeCell ref="BF261:BH261"/>
    <mergeCell ref="BI261:BL261"/>
    <mergeCell ref="BM261:BP261"/>
    <mergeCell ref="BQ261:BS261"/>
    <mergeCell ref="BT261:BW261"/>
    <mergeCell ref="BX261:BZ261"/>
    <mergeCell ref="CA261:CD261"/>
    <mergeCell ref="CE261:CG261"/>
    <mergeCell ref="CH261:CK261"/>
    <mergeCell ref="CL261:CN261"/>
    <mergeCell ref="AG262:AH262"/>
    <mergeCell ref="AI262:AV262"/>
    <mergeCell ref="AW262:AY262"/>
    <mergeCell ref="BC262:BE262"/>
    <mergeCell ref="BF262:BH262"/>
    <mergeCell ref="BI262:BL262"/>
    <mergeCell ref="BM262:BP262"/>
    <mergeCell ref="BQ262:BS262"/>
    <mergeCell ref="BT262:BW262"/>
    <mergeCell ref="BX262:BZ262"/>
    <mergeCell ref="CA262:CD262"/>
    <mergeCell ref="CE262:CG262"/>
    <mergeCell ref="CH262:CK262"/>
    <mergeCell ref="CL262:CN262"/>
    <mergeCell ref="AG263:AH263"/>
    <mergeCell ref="AI263:AV263"/>
    <mergeCell ref="AW263:AY263"/>
    <mergeCell ref="BC263:BE263"/>
    <mergeCell ref="BF263:BH263"/>
    <mergeCell ref="BI263:BL263"/>
    <mergeCell ref="BM263:BP263"/>
    <mergeCell ref="BQ263:BS263"/>
    <mergeCell ref="BT263:BW263"/>
    <mergeCell ref="BX263:BZ263"/>
    <mergeCell ref="CA263:CD263"/>
    <mergeCell ref="CE263:CG263"/>
    <mergeCell ref="CH263:CK263"/>
    <mergeCell ref="CL263:CN263"/>
    <mergeCell ref="AG264:AH264"/>
    <mergeCell ref="AI264:AV264"/>
    <mergeCell ref="AW264:AY264"/>
    <mergeCell ref="BC264:BE264"/>
    <mergeCell ref="BF264:BH264"/>
    <mergeCell ref="BI264:BL264"/>
    <mergeCell ref="BM264:BP264"/>
    <mergeCell ref="BQ264:BS264"/>
    <mergeCell ref="BT264:BW264"/>
    <mergeCell ref="BX264:BZ264"/>
    <mergeCell ref="CA264:CD264"/>
    <mergeCell ref="CE264:CG264"/>
    <mergeCell ref="CH264:CK264"/>
    <mergeCell ref="CL264:CN264"/>
    <mergeCell ref="AG265:AH265"/>
    <mergeCell ref="AI265:AV265"/>
    <mergeCell ref="AW265:AY265"/>
    <mergeCell ref="BC265:BE265"/>
    <mergeCell ref="BF265:BH265"/>
    <mergeCell ref="BI265:BL265"/>
    <mergeCell ref="BM265:BP265"/>
    <mergeCell ref="BQ265:BS265"/>
    <mergeCell ref="BT265:BW265"/>
    <mergeCell ref="BX265:BZ265"/>
    <mergeCell ref="CA265:CD265"/>
    <mergeCell ref="CE265:CG265"/>
    <mergeCell ref="CH265:CK265"/>
    <mergeCell ref="CL265:CN265"/>
    <mergeCell ref="AG266:AH266"/>
    <mergeCell ref="AI266:AV266"/>
    <mergeCell ref="AW266:AY266"/>
    <mergeCell ref="BC266:BE266"/>
    <mergeCell ref="BF266:BH266"/>
    <mergeCell ref="BI266:BL266"/>
    <mergeCell ref="BM266:BP266"/>
    <mergeCell ref="BQ266:BS266"/>
    <mergeCell ref="BT266:BW266"/>
    <mergeCell ref="BX266:BZ266"/>
    <mergeCell ref="CA266:CD266"/>
    <mergeCell ref="CE266:CG266"/>
    <mergeCell ref="CH266:CK266"/>
    <mergeCell ref="CL266:CN266"/>
    <mergeCell ref="AG267:AH267"/>
    <mergeCell ref="AI267:AV267"/>
    <mergeCell ref="AW267:AY267"/>
    <mergeCell ref="BC267:BE267"/>
    <mergeCell ref="BF267:BH267"/>
    <mergeCell ref="BI267:BL267"/>
    <mergeCell ref="BM267:BP267"/>
    <mergeCell ref="BQ267:BS267"/>
    <mergeCell ref="BT267:BW267"/>
    <mergeCell ref="BX267:BZ267"/>
    <mergeCell ref="CA267:CD267"/>
    <mergeCell ref="CE267:CG267"/>
    <mergeCell ref="CH267:CK267"/>
    <mergeCell ref="CL267:CN267"/>
    <mergeCell ref="AG268:AH268"/>
    <mergeCell ref="AI268:AV268"/>
    <mergeCell ref="AW268:AY268"/>
    <mergeCell ref="BC268:BE268"/>
    <mergeCell ref="BF268:BH268"/>
    <mergeCell ref="BI268:BL268"/>
    <mergeCell ref="BM268:BP268"/>
    <mergeCell ref="BQ268:BS268"/>
    <mergeCell ref="BT268:BW268"/>
    <mergeCell ref="BX268:BZ268"/>
    <mergeCell ref="CA268:CD268"/>
    <mergeCell ref="CE268:CG268"/>
    <mergeCell ref="CH268:CK268"/>
    <mergeCell ref="CL268:CN268"/>
    <mergeCell ref="AG269:AH269"/>
    <mergeCell ref="AI269:AV269"/>
    <mergeCell ref="AW269:AY269"/>
    <mergeCell ref="BC269:BE269"/>
    <mergeCell ref="BF269:BH269"/>
    <mergeCell ref="BI269:BL269"/>
    <mergeCell ref="BM269:BP269"/>
    <mergeCell ref="BQ269:BS269"/>
    <mergeCell ref="BT269:BW269"/>
    <mergeCell ref="BX269:BZ269"/>
    <mergeCell ref="CA269:CD269"/>
    <mergeCell ref="CE269:CG269"/>
    <mergeCell ref="CH269:CK269"/>
    <mergeCell ref="CL269:CN269"/>
    <mergeCell ref="AG270:AH270"/>
    <mergeCell ref="AI270:AV270"/>
    <mergeCell ref="AW270:AY270"/>
    <mergeCell ref="BC270:BE270"/>
    <mergeCell ref="BF270:BH270"/>
    <mergeCell ref="BI270:BL270"/>
    <mergeCell ref="BM270:BP270"/>
    <mergeCell ref="BQ270:BS270"/>
    <mergeCell ref="BT270:BW270"/>
    <mergeCell ref="BX270:BZ270"/>
    <mergeCell ref="CA270:CD270"/>
    <mergeCell ref="CE270:CG270"/>
    <mergeCell ref="CH270:CK270"/>
    <mergeCell ref="CL270:CN270"/>
    <mergeCell ref="AG271:AH271"/>
    <mergeCell ref="AI271:AV271"/>
    <mergeCell ref="AW271:AY271"/>
    <mergeCell ref="BC271:BE271"/>
    <mergeCell ref="BF271:BH271"/>
    <mergeCell ref="BI271:BL271"/>
    <mergeCell ref="BM271:BP271"/>
    <mergeCell ref="BQ271:BS271"/>
    <mergeCell ref="BT271:BW271"/>
    <mergeCell ref="BX271:BZ271"/>
    <mergeCell ref="CA271:CD271"/>
    <mergeCell ref="CE271:CG271"/>
    <mergeCell ref="CH271:CK271"/>
    <mergeCell ref="CL271:CN271"/>
    <mergeCell ref="AG272:AH272"/>
    <mergeCell ref="AI272:AV272"/>
    <mergeCell ref="AW272:AY272"/>
    <mergeCell ref="BC272:BE272"/>
    <mergeCell ref="BF272:BH272"/>
    <mergeCell ref="BI272:BL272"/>
    <mergeCell ref="BM272:BP272"/>
    <mergeCell ref="BQ272:BS272"/>
    <mergeCell ref="BT272:BW272"/>
    <mergeCell ref="BX272:BZ272"/>
    <mergeCell ref="CA272:CD272"/>
    <mergeCell ref="CE272:CG272"/>
    <mergeCell ref="CH272:CK272"/>
    <mergeCell ref="CL272:CN272"/>
    <mergeCell ref="AG273:AH273"/>
    <mergeCell ref="AI273:AV273"/>
    <mergeCell ref="AW273:AY273"/>
    <mergeCell ref="BC273:BE273"/>
    <mergeCell ref="BF273:BH273"/>
    <mergeCell ref="BI273:BL273"/>
    <mergeCell ref="BM273:BP273"/>
    <mergeCell ref="BQ273:BS273"/>
    <mergeCell ref="BT273:BW273"/>
    <mergeCell ref="BX273:BZ273"/>
    <mergeCell ref="CA273:CD273"/>
    <mergeCell ref="CE273:CG273"/>
    <mergeCell ref="CH273:CK273"/>
    <mergeCell ref="CL273:CN273"/>
    <mergeCell ref="AG274:AH274"/>
    <mergeCell ref="AI274:AV274"/>
    <mergeCell ref="AW274:AY274"/>
    <mergeCell ref="BC274:BE274"/>
    <mergeCell ref="BF274:BH274"/>
    <mergeCell ref="BI274:BL274"/>
    <mergeCell ref="BM274:BP274"/>
    <mergeCell ref="BQ274:BS274"/>
    <mergeCell ref="BT274:BW274"/>
    <mergeCell ref="BX274:BZ274"/>
    <mergeCell ref="CA274:CD274"/>
    <mergeCell ref="CE274:CG274"/>
    <mergeCell ref="CH274:CK274"/>
    <mergeCell ref="CL274:CN274"/>
    <mergeCell ref="AG275:AH275"/>
    <mergeCell ref="AI275:AV275"/>
    <mergeCell ref="AW275:AY275"/>
    <mergeCell ref="BC275:BE275"/>
    <mergeCell ref="BF275:BH275"/>
    <mergeCell ref="BI275:BL275"/>
    <mergeCell ref="BM275:BP275"/>
    <mergeCell ref="BQ275:BS275"/>
    <mergeCell ref="BT275:BW275"/>
    <mergeCell ref="BX275:BZ275"/>
    <mergeCell ref="CA275:CD275"/>
    <mergeCell ref="CE275:CG275"/>
    <mergeCell ref="CH275:CK275"/>
    <mergeCell ref="CL275:CN275"/>
    <mergeCell ref="AG276:AH276"/>
    <mergeCell ref="AI276:AV276"/>
    <mergeCell ref="AW276:AY276"/>
    <mergeCell ref="BC276:BE276"/>
    <mergeCell ref="BF276:BH276"/>
    <mergeCell ref="BI276:BL276"/>
    <mergeCell ref="BM276:BP276"/>
    <mergeCell ref="BQ276:BS276"/>
    <mergeCell ref="BT276:BW276"/>
    <mergeCell ref="BX276:BZ276"/>
    <mergeCell ref="CA276:CD276"/>
    <mergeCell ref="CE276:CG276"/>
    <mergeCell ref="CH276:CK276"/>
    <mergeCell ref="CL276:CN276"/>
    <mergeCell ref="AG277:AH277"/>
    <mergeCell ref="AI277:AV277"/>
    <mergeCell ref="AW277:AY277"/>
    <mergeCell ref="BC277:BE277"/>
    <mergeCell ref="BF277:BH277"/>
    <mergeCell ref="BI277:BL277"/>
    <mergeCell ref="BM277:BP277"/>
    <mergeCell ref="BQ277:BS277"/>
    <mergeCell ref="BT277:BW277"/>
    <mergeCell ref="BX277:BZ277"/>
    <mergeCell ref="CA277:CD277"/>
    <mergeCell ref="CE277:CG277"/>
    <mergeCell ref="CH277:CK277"/>
    <mergeCell ref="CL277:CN277"/>
    <mergeCell ref="AG278:AH278"/>
    <mergeCell ref="AI278:AV278"/>
    <mergeCell ref="AW278:AY278"/>
    <mergeCell ref="BC278:BE278"/>
    <mergeCell ref="BF278:BH278"/>
    <mergeCell ref="BI278:BL278"/>
    <mergeCell ref="BM278:BP278"/>
    <mergeCell ref="BQ278:BS278"/>
    <mergeCell ref="BT278:BW278"/>
    <mergeCell ref="BX278:BZ278"/>
    <mergeCell ref="CA278:CD278"/>
    <mergeCell ref="CE278:CG278"/>
    <mergeCell ref="CH278:CK278"/>
    <mergeCell ref="CL278:CN278"/>
    <mergeCell ref="AG279:AH279"/>
    <mergeCell ref="AI279:AV279"/>
    <mergeCell ref="AW279:AY279"/>
    <mergeCell ref="BC279:BE279"/>
    <mergeCell ref="BF279:BH279"/>
    <mergeCell ref="BI279:BL279"/>
    <mergeCell ref="BM279:BP279"/>
    <mergeCell ref="BQ279:BS279"/>
    <mergeCell ref="BT279:BW279"/>
    <mergeCell ref="BX279:BZ279"/>
    <mergeCell ref="CA279:CD279"/>
    <mergeCell ref="CE279:CG279"/>
    <mergeCell ref="CH279:CK279"/>
    <mergeCell ref="CL279:CN279"/>
    <mergeCell ref="AG280:AH280"/>
    <mergeCell ref="AI280:AV280"/>
    <mergeCell ref="AW280:AY280"/>
    <mergeCell ref="BC280:BE280"/>
    <mergeCell ref="BF280:BH280"/>
    <mergeCell ref="BI280:BL280"/>
    <mergeCell ref="BM280:BP280"/>
    <mergeCell ref="BQ280:BS280"/>
    <mergeCell ref="BT280:BW280"/>
    <mergeCell ref="BX280:BZ280"/>
    <mergeCell ref="CA280:CD280"/>
    <mergeCell ref="CE280:CG280"/>
    <mergeCell ref="CH280:CK280"/>
    <mergeCell ref="CL280:CN280"/>
    <mergeCell ref="AG281:AH281"/>
    <mergeCell ref="AI281:AV281"/>
    <mergeCell ref="AW281:AY281"/>
    <mergeCell ref="BC281:BE281"/>
    <mergeCell ref="BF281:BH281"/>
    <mergeCell ref="BI281:BL281"/>
    <mergeCell ref="BM281:BP281"/>
    <mergeCell ref="BQ281:BS281"/>
    <mergeCell ref="BT281:BW281"/>
    <mergeCell ref="BX281:BZ281"/>
    <mergeCell ref="CA281:CD281"/>
    <mergeCell ref="CE281:CG281"/>
    <mergeCell ref="CH281:CK281"/>
    <mergeCell ref="CL281:CN281"/>
    <mergeCell ref="AG282:AH282"/>
    <mergeCell ref="AI282:AV282"/>
    <mergeCell ref="AW282:AY282"/>
    <mergeCell ref="BC282:BE282"/>
    <mergeCell ref="BF282:BH282"/>
    <mergeCell ref="BI282:BL282"/>
    <mergeCell ref="BM282:BP282"/>
    <mergeCell ref="BQ282:BS282"/>
    <mergeCell ref="BT282:BW282"/>
    <mergeCell ref="BX282:BZ282"/>
    <mergeCell ref="CA282:CD282"/>
    <mergeCell ref="CE282:CG282"/>
    <mergeCell ref="CH282:CK282"/>
    <mergeCell ref="CL282:CN282"/>
    <mergeCell ref="AG283:AH283"/>
    <mergeCell ref="AI283:AV283"/>
    <mergeCell ref="AW283:AY283"/>
    <mergeCell ref="BC283:BE283"/>
    <mergeCell ref="BF283:BH283"/>
    <mergeCell ref="BI283:BL283"/>
    <mergeCell ref="BM283:BP283"/>
    <mergeCell ref="BQ283:BS283"/>
    <mergeCell ref="BT283:BW283"/>
    <mergeCell ref="BX283:BZ283"/>
    <mergeCell ref="CA283:CD283"/>
    <mergeCell ref="CE283:CG283"/>
    <mergeCell ref="CH283:CK283"/>
    <mergeCell ref="CL283:CN283"/>
    <mergeCell ref="AG284:AH284"/>
    <mergeCell ref="AI284:AV284"/>
    <mergeCell ref="AW284:AY284"/>
    <mergeCell ref="BC284:BE284"/>
    <mergeCell ref="BF284:BH284"/>
    <mergeCell ref="BI284:BL284"/>
    <mergeCell ref="BM284:BP284"/>
    <mergeCell ref="BQ284:BS284"/>
    <mergeCell ref="BT284:BW284"/>
    <mergeCell ref="BX284:BZ284"/>
    <mergeCell ref="CA284:CD284"/>
    <mergeCell ref="CE284:CG284"/>
    <mergeCell ref="CH284:CK284"/>
    <mergeCell ref="CL284:CN284"/>
    <mergeCell ref="AG285:AH285"/>
    <mergeCell ref="AI285:AV285"/>
    <mergeCell ref="AW285:AY285"/>
    <mergeCell ref="BC285:BE285"/>
    <mergeCell ref="BF285:BH285"/>
    <mergeCell ref="BI285:BL285"/>
    <mergeCell ref="BM285:BP285"/>
    <mergeCell ref="BQ285:BS285"/>
    <mergeCell ref="BT285:BW285"/>
    <mergeCell ref="BX285:BZ285"/>
    <mergeCell ref="CA285:CD285"/>
    <mergeCell ref="CE285:CG285"/>
    <mergeCell ref="CH285:CK285"/>
    <mergeCell ref="CL285:CN285"/>
    <mergeCell ref="AG286:AH286"/>
    <mergeCell ref="AI286:AV286"/>
    <mergeCell ref="AW286:AY286"/>
    <mergeCell ref="BC286:BE286"/>
    <mergeCell ref="BF286:BH286"/>
    <mergeCell ref="BI286:BL286"/>
    <mergeCell ref="BM286:BP286"/>
    <mergeCell ref="BQ286:BS286"/>
    <mergeCell ref="BT286:BW286"/>
    <mergeCell ref="BX286:BZ286"/>
    <mergeCell ref="CA286:CD286"/>
    <mergeCell ref="CE286:CG286"/>
    <mergeCell ref="CH286:CK286"/>
    <mergeCell ref="CL286:CN286"/>
    <mergeCell ref="AG287:AH287"/>
    <mergeCell ref="AI287:AV287"/>
    <mergeCell ref="AW287:AY287"/>
    <mergeCell ref="BC287:BE287"/>
    <mergeCell ref="BF287:BH287"/>
    <mergeCell ref="BI287:BL287"/>
    <mergeCell ref="BM287:BP287"/>
    <mergeCell ref="BQ287:BS287"/>
    <mergeCell ref="BT287:BW287"/>
    <mergeCell ref="BX287:BZ287"/>
    <mergeCell ref="CA287:CD287"/>
    <mergeCell ref="CE287:CG287"/>
    <mergeCell ref="CH287:CK287"/>
    <mergeCell ref="CL287:CN287"/>
    <mergeCell ref="AG288:AH288"/>
    <mergeCell ref="AI288:AV288"/>
    <mergeCell ref="AW288:AY288"/>
    <mergeCell ref="BC288:BE288"/>
    <mergeCell ref="BF288:BH288"/>
    <mergeCell ref="BI288:BL288"/>
    <mergeCell ref="BM288:BP288"/>
    <mergeCell ref="BQ288:BS288"/>
    <mergeCell ref="BT288:BW288"/>
    <mergeCell ref="BX288:BZ288"/>
    <mergeCell ref="CA288:CD288"/>
    <mergeCell ref="CE288:CG288"/>
    <mergeCell ref="CH288:CK288"/>
    <mergeCell ref="CL288:CN288"/>
    <mergeCell ref="AG289:AH289"/>
    <mergeCell ref="AI289:AV289"/>
    <mergeCell ref="AW289:AY289"/>
    <mergeCell ref="BC289:BE289"/>
    <mergeCell ref="BF289:BH289"/>
    <mergeCell ref="BI289:BL289"/>
    <mergeCell ref="BM289:BP289"/>
    <mergeCell ref="BQ289:BS289"/>
    <mergeCell ref="BT289:BW289"/>
    <mergeCell ref="BX289:BZ289"/>
    <mergeCell ref="CA289:CD289"/>
    <mergeCell ref="CE289:CG289"/>
    <mergeCell ref="CH289:CK289"/>
    <mergeCell ref="CL289:CN289"/>
    <mergeCell ref="AG290:AH290"/>
    <mergeCell ref="AI290:AV290"/>
    <mergeCell ref="AW290:AY290"/>
    <mergeCell ref="BC290:BE290"/>
    <mergeCell ref="BF290:BH290"/>
    <mergeCell ref="BI290:BL290"/>
    <mergeCell ref="BM290:BP290"/>
    <mergeCell ref="BQ290:BS290"/>
    <mergeCell ref="BT290:BW290"/>
    <mergeCell ref="BX290:BZ290"/>
    <mergeCell ref="CA290:CD290"/>
    <mergeCell ref="CE290:CG290"/>
    <mergeCell ref="CH290:CK290"/>
    <mergeCell ref="CL290:CN290"/>
    <mergeCell ref="AG291:AH291"/>
    <mergeCell ref="AI291:AV291"/>
    <mergeCell ref="AW291:AY291"/>
    <mergeCell ref="BC291:BE291"/>
    <mergeCell ref="BF291:BH291"/>
    <mergeCell ref="BI291:BL291"/>
    <mergeCell ref="BM291:BP291"/>
    <mergeCell ref="BQ291:BS291"/>
    <mergeCell ref="BT291:BW291"/>
    <mergeCell ref="BX291:BZ291"/>
    <mergeCell ref="CA291:CD291"/>
    <mergeCell ref="CE291:CG291"/>
    <mergeCell ref="CH291:CK291"/>
    <mergeCell ref="CL291:CN291"/>
    <mergeCell ref="AG292:AH292"/>
    <mergeCell ref="AI292:AV292"/>
    <mergeCell ref="AW292:AY292"/>
    <mergeCell ref="BC292:BE292"/>
    <mergeCell ref="BF292:BH292"/>
    <mergeCell ref="BI292:BL292"/>
    <mergeCell ref="BM292:BP292"/>
    <mergeCell ref="BQ292:BS292"/>
    <mergeCell ref="BT292:BW292"/>
    <mergeCell ref="BX292:BZ292"/>
    <mergeCell ref="CA292:CD292"/>
    <mergeCell ref="CE292:CG292"/>
    <mergeCell ref="CH292:CK292"/>
    <mergeCell ref="CL292:CN292"/>
    <mergeCell ref="AG293:AH293"/>
    <mergeCell ref="AI293:AV293"/>
    <mergeCell ref="AW293:AY293"/>
    <mergeCell ref="BC293:BE293"/>
    <mergeCell ref="BF293:BH293"/>
    <mergeCell ref="BI293:BL293"/>
    <mergeCell ref="BM293:BP293"/>
    <mergeCell ref="BQ293:BS293"/>
    <mergeCell ref="BT293:BW293"/>
    <mergeCell ref="BX293:BZ293"/>
    <mergeCell ref="CA293:CD293"/>
    <mergeCell ref="CE293:CG293"/>
    <mergeCell ref="CH293:CK293"/>
    <mergeCell ref="CL293:CN293"/>
    <mergeCell ref="AG294:AH294"/>
    <mergeCell ref="AI294:AV294"/>
    <mergeCell ref="AW294:AY294"/>
    <mergeCell ref="BC294:BE294"/>
    <mergeCell ref="BF294:BH294"/>
    <mergeCell ref="BI294:BL294"/>
    <mergeCell ref="BM294:BP294"/>
    <mergeCell ref="BQ294:BS294"/>
    <mergeCell ref="BT294:BW294"/>
    <mergeCell ref="BX294:BZ294"/>
    <mergeCell ref="CA294:CD294"/>
    <mergeCell ref="CE294:CG294"/>
    <mergeCell ref="CH294:CK294"/>
    <mergeCell ref="CL294:CN294"/>
    <mergeCell ref="AG295:AH295"/>
    <mergeCell ref="AI295:AV295"/>
    <mergeCell ref="AW295:AY295"/>
    <mergeCell ref="BC295:BE295"/>
    <mergeCell ref="BF295:BH295"/>
    <mergeCell ref="BI295:BL295"/>
    <mergeCell ref="BM295:BP295"/>
    <mergeCell ref="BQ295:BS295"/>
    <mergeCell ref="BT295:BW295"/>
    <mergeCell ref="BX295:BZ295"/>
    <mergeCell ref="CA295:CD295"/>
    <mergeCell ref="CE295:CG295"/>
    <mergeCell ref="CH295:CK295"/>
    <mergeCell ref="CL295:CN295"/>
    <mergeCell ref="AG296:AH296"/>
    <mergeCell ref="AI296:AV296"/>
    <mergeCell ref="AW296:AY296"/>
    <mergeCell ref="BC296:BE296"/>
    <mergeCell ref="BF296:BH296"/>
    <mergeCell ref="BI296:BL296"/>
    <mergeCell ref="BM296:BP296"/>
    <mergeCell ref="BQ296:BS296"/>
    <mergeCell ref="BT296:BW296"/>
    <mergeCell ref="BX296:BZ296"/>
    <mergeCell ref="CA296:CD296"/>
    <mergeCell ref="CE296:CG296"/>
    <mergeCell ref="CH296:CK296"/>
    <mergeCell ref="CL296:CN296"/>
    <mergeCell ref="AG297:AH297"/>
    <mergeCell ref="AI297:AV297"/>
    <mergeCell ref="AW297:AY297"/>
    <mergeCell ref="BC297:BE297"/>
    <mergeCell ref="BF297:BH297"/>
    <mergeCell ref="BI297:BL297"/>
    <mergeCell ref="BM297:BP297"/>
    <mergeCell ref="BQ297:BS297"/>
    <mergeCell ref="BT297:BW297"/>
    <mergeCell ref="BX297:BZ297"/>
    <mergeCell ref="CA297:CD297"/>
    <mergeCell ref="CE297:CG297"/>
    <mergeCell ref="CH297:CK297"/>
    <mergeCell ref="CL297:CN297"/>
    <mergeCell ref="AG298:AH298"/>
    <mergeCell ref="AI298:AV298"/>
    <mergeCell ref="AW298:AY298"/>
    <mergeCell ref="BC298:BE298"/>
    <mergeCell ref="BF298:BH298"/>
    <mergeCell ref="BI298:BL298"/>
    <mergeCell ref="BM298:BP298"/>
    <mergeCell ref="BQ298:BS298"/>
    <mergeCell ref="BT298:BW298"/>
    <mergeCell ref="BX298:BZ298"/>
    <mergeCell ref="CA298:CD298"/>
    <mergeCell ref="CE298:CG298"/>
    <mergeCell ref="CH298:CK298"/>
    <mergeCell ref="CL298:CN298"/>
    <mergeCell ref="AG299:AH299"/>
    <mergeCell ref="AI299:AV299"/>
    <mergeCell ref="AW299:AY299"/>
    <mergeCell ref="BC299:BE299"/>
    <mergeCell ref="BF299:BH299"/>
    <mergeCell ref="BI299:BL299"/>
    <mergeCell ref="BM299:BP299"/>
    <mergeCell ref="BQ299:BS299"/>
    <mergeCell ref="BT299:BW299"/>
    <mergeCell ref="BX299:BZ299"/>
    <mergeCell ref="CA299:CD299"/>
    <mergeCell ref="CE299:CG299"/>
    <mergeCell ref="CH299:CK299"/>
    <mergeCell ref="CL299:CN299"/>
    <mergeCell ref="AG300:AH300"/>
    <mergeCell ref="AI300:AV300"/>
    <mergeCell ref="AW300:AY300"/>
    <mergeCell ref="BC300:BE300"/>
    <mergeCell ref="BF300:BH300"/>
    <mergeCell ref="BI300:BL300"/>
    <mergeCell ref="BM300:BP300"/>
    <mergeCell ref="BQ300:BS300"/>
    <mergeCell ref="BT300:BW300"/>
    <mergeCell ref="BX300:BZ300"/>
    <mergeCell ref="CA300:CD300"/>
    <mergeCell ref="CE300:CG300"/>
    <mergeCell ref="CH300:CK300"/>
    <mergeCell ref="CL300:CN300"/>
    <mergeCell ref="AG301:AH301"/>
    <mergeCell ref="AI301:AV301"/>
    <mergeCell ref="AW301:AY301"/>
    <mergeCell ref="BC301:BE301"/>
    <mergeCell ref="BF301:BH301"/>
    <mergeCell ref="BI301:BL301"/>
    <mergeCell ref="BM301:BP301"/>
    <mergeCell ref="BQ301:BS301"/>
    <mergeCell ref="BT301:BW301"/>
    <mergeCell ref="BX301:BZ301"/>
    <mergeCell ref="CA301:CD301"/>
    <mergeCell ref="CE301:CG301"/>
    <mergeCell ref="CH301:CK301"/>
    <mergeCell ref="CL301:CN301"/>
    <mergeCell ref="AG302:AH302"/>
    <mergeCell ref="AI302:AV302"/>
    <mergeCell ref="AW302:AY302"/>
    <mergeCell ref="BC302:BE302"/>
    <mergeCell ref="BF302:BH302"/>
    <mergeCell ref="BI302:BL302"/>
    <mergeCell ref="BM302:BP302"/>
    <mergeCell ref="BQ302:BS302"/>
    <mergeCell ref="BT302:BW302"/>
    <mergeCell ref="BX302:BZ302"/>
    <mergeCell ref="CA302:CD302"/>
    <mergeCell ref="CE302:CG302"/>
    <mergeCell ref="CH302:CK302"/>
    <mergeCell ref="CL302:CN302"/>
    <mergeCell ref="AG303:AH303"/>
    <mergeCell ref="AI303:AV303"/>
    <mergeCell ref="AW303:AY303"/>
    <mergeCell ref="BC303:BE303"/>
    <mergeCell ref="BF303:BH303"/>
    <mergeCell ref="BI303:BL303"/>
    <mergeCell ref="BM303:BP303"/>
    <mergeCell ref="BQ303:BS303"/>
    <mergeCell ref="BT303:BW303"/>
    <mergeCell ref="BX303:BZ303"/>
    <mergeCell ref="CA303:CD303"/>
    <mergeCell ref="CE303:CG303"/>
    <mergeCell ref="CH303:CK303"/>
    <mergeCell ref="CL303:CN303"/>
    <mergeCell ref="AG304:AH304"/>
    <mergeCell ref="AI304:AV304"/>
    <mergeCell ref="AW304:AY304"/>
    <mergeCell ref="BC304:BE304"/>
    <mergeCell ref="BF304:BH304"/>
    <mergeCell ref="BI304:BL304"/>
    <mergeCell ref="BM304:BP304"/>
    <mergeCell ref="BQ304:BS304"/>
    <mergeCell ref="BT304:BW304"/>
    <mergeCell ref="BX304:BZ304"/>
    <mergeCell ref="CA304:CD304"/>
    <mergeCell ref="CE304:CG304"/>
    <mergeCell ref="CH304:CK304"/>
    <mergeCell ref="CL304:CN304"/>
    <mergeCell ref="AG305:AH305"/>
    <mergeCell ref="AI305:AV305"/>
    <mergeCell ref="AW305:AY305"/>
    <mergeCell ref="BC305:BE305"/>
    <mergeCell ref="BF305:BH305"/>
    <mergeCell ref="BI305:BL305"/>
    <mergeCell ref="BM305:BP305"/>
    <mergeCell ref="BQ305:BS305"/>
    <mergeCell ref="BT305:BW305"/>
    <mergeCell ref="BX305:BZ305"/>
    <mergeCell ref="CA305:CD305"/>
    <mergeCell ref="CE305:CG305"/>
    <mergeCell ref="CH305:CK305"/>
    <mergeCell ref="CL305:CN305"/>
    <mergeCell ref="AG306:AH306"/>
    <mergeCell ref="AI306:AV306"/>
    <mergeCell ref="AW306:AY306"/>
    <mergeCell ref="BC306:BE306"/>
    <mergeCell ref="BF306:BH306"/>
    <mergeCell ref="BI306:BL306"/>
    <mergeCell ref="BM306:BP306"/>
    <mergeCell ref="BQ306:BS306"/>
    <mergeCell ref="BT306:BW306"/>
    <mergeCell ref="BX306:BZ306"/>
    <mergeCell ref="CA306:CD306"/>
    <mergeCell ref="CE306:CG306"/>
    <mergeCell ref="CH306:CK306"/>
    <mergeCell ref="CL306:CN306"/>
    <mergeCell ref="AG307:AH307"/>
    <mergeCell ref="AI307:AV307"/>
    <mergeCell ref="AW307:AY307"/>
    <mergeCell ref="BC307:BE307"/>
    <mergeCell ref="BF307:BH307"/>
    <mergeCell ref="BI307:BL307"/>
    <mergeCell ref="BM307:BP307"/>
    <mergeCell ref="BQ307:BS307"/>
    <mergeCell ref="BT307:BW307"/>
    <mergeCell ref="BX307:BZ307"/>
    <mergeCell ref="CA307:CD307"/>
    <mergeCell ref="CE307:CG307"/>
    <mergeCell ref="CH307:CK307"/>
    <mergeCell ref="CL307:CN307"/>
    <mergeCell ref="AG308:AH308"/>
    <mergeCell ref="AI308:AV308"/>
    <mergeCell ref="AW308:AY308"/>
    <mergeCell ref="BC308:BE308"/>
    <mergeCell ref="BF308:BH308"/>
    <mergeCell ref="BI308:BL308"/>
    <mergeCell ref="BM308:BP308"/>
    <mergeCell ref="BQ308:BS308"/>
    <mergeCell ref="BT308:BW308"/>
    <mergeCell ref="BX308:BZ308"/>
    <mergeCell ref="CA308:CD308"/>
    <mergeCell ref="CE308:CG308"/>
    <mergeCell ref="CH308:CK308"/>
    <mergeCell ref="CL308:CN308"/>
    <mergeCell ref="AG309:AH309"/>
    <mergeCell ref="AI309:AV309"/>
    <mergeCell ref="AW309:AY309"/>
    <mergeCell ref="BC309:BE309"/>
    <mergeCell ref="BF309:BH309"/>
    <mergeCell ref="BI309:BL309"/>
    <mergeCell ref="BM309:BP309"/>
    <mergeCell ref="BQ309:BS309"/>
    <mergeCell ref="BT309:BW309"/>
    <mergeCell ref="BX309:BZ309"/>
    <mergeCell ref="CA309:CD309"/>
    <mergeCell ref="CE309:CG309"/>
    <mergeCell ref="CH309:CK309"/>
    <mergeCell ref="CL309:CN309"/>
    <mergeCell ref="AG310:AH310"/>
    <mergeCell ref="AI310:AV310"/>
    <mergeCell ref="AW310:AY310"/>
    <mergeCell ref="BC310:BE310"/>
    <mergeCell ref="BF310:BH310"/>
    <mergeCell ref="BI310:BL310"/>
    <mergeCell ref="BM310:BP310"/>
    <mergeCell ref="BQ310:BS310"/>
    <mergeCell ref="BT310:BW310"/>
    <mergeCell ref="BX310:BZ310"/>
    <mergeCell ref="CA310:CD310"/>
    <mergeCell ref="CE310:CG310"/>
    <mergeCell ref="CH310:CK310"/>
    <mergeCell ref="CL310:CN310"/>
    <mergeCell ref="AG311:AH311"/>
    <mergeCell ref="AI311:AV311"/>
    <mergeCell ref="AW311:AY311"/>
    <mergeCell ref="BC311:BE311"/>
    <mergeCell ref="BF311:BH311"/>
    <mergeCell ref="BI311:BL311"/>
    <mergeCell ref="BM311:BP311"/>
    <mergeCell ref="BQ311:BS311"/>
    <mergeCell ref="BT311:BW311"/>
    <mergeCell ref="BX311:BZ311"/>
    <mergeCell ref="CA311:CD311"/>
    <mergeCell ref="CE311:CG311"/>
    <mergeCell ref="CH311:CK311"/>
    <mergeCell ref="CL311:CN311"/>
    <mergeCell ref="AG312:AH312"/>
    <mergeCell ref="AI312:AV312"/>
    <mergeCell ref="AW312:AY312"/>
    <mergeCell ref="BC312:BE312"/>
    <mergeCell ref="BF312:BH312"/>
    <mergeCell ref="BI312:BL312"/>
    <mergeCell ref="BM312:BP312"/>
    <mergeCell ref="BQ312:BS312"/>
    <mergeCell ref="BT312:BW312"/>
    <mergeCell ref="BX312:BZ312"/>
    <mergeCell ref="CA312:CD312"/>
    <mergeCell ref="CE312:CG312"/>
    <mergeCell ref="CH312:CK312"/>
    <mergeCell ref="CL312:CN312"/>
    <mergeCell ref="AG313:AH313"/>
    <mergeCell ref="AI313:AV313"/>
    <mergeCell ref="AW313:AY313"/>
    <mergeCell ref="BC313:BE313"/>
    <mergeCell ref="BF313:BH313"/>
    <mergeCell ref="BI313:BL313"/>
    <mergeCell ref="BM313:BP313"/>
    <mergeCell ref="BQ313:BS313"/>
    <mergeCell ref="BT313:BW313"/>
    <mergeCell ref="BX313:BZ313"/>
    <mergeCell ref="CA313:CD313"/>
    <mergeCell ref="CE313:CG313"/>
    <mergeCell ref="CH313:CK313"/>
    <mergeCell ref="CL313:CN313"/>
    <mergeCell ref="AG314:AH314"/>
    <mergeCell ref="AI314:AV314"/>
    <mergeCell ref="AW314:AY314"/>
    <mergeCell ref="BC314:BE314"/>
    <mergeCell ref="BF314:BH314"/>
    <mergeCell ref="BI314:BL314"/>
    <mergeCell ref="BM314:BP314"/>
    <mergeCell ref="BQ314:BS314"/>
    <mergeCell ref="BT314:BW314"/>
    <mergeCell ref="BX314:BZ314"/>
    <mergeCell ref="CA314:CD314"/>
    <mergeCell ref="CE314:CG314"/>
    <mergeCell ref="CH314:CK314"/>
    <mergeCell ref="CL314:CN314"/>
    <mergeCell ref="AG315:AH315"/>
    <mergeCell ref="AI315:AV315"/>
    <mergeCell ref="AW315:AY315"/>
    <mergeCell ref="BC315:BE315"/>
    <mergeCell ref="BF315:BH315"/>
    <mergeCell ref="BI315:BL315"/>
    <mergeCell ref="BM315:BP315"/>
    <mergeCell ref="BQ315:BS315"/>
    <mergeCell ref="BT315:BW315"/>
    <mergeCell ref="BX315:BZ315"/>
    <mergeCell ref="CA315:CD315"/>
    <mergeCell ref="CE315:CG315"/>
    <mergeCell ref="CH315:CK315"/>
    <mergeCell ref="CL315:CN315"/>
    <mergeCell ref="AG316:AH316"/>
    <mergeCell ref="AI316:AV316"/>
    <mergeCell ref="AW316:AY316"/>
    <mergeCell ref="BC316:BE316"/>
    <mergeCell ref="BF316:BH316"/>
    <mergeCell ref="BI316:BL316"/>
    <mergeCell ref="BM316:BP316"/>
    <mergeCell ref="BQ316:BS316"/>
    <mergeCell ref="BT316:BW316"/>
    <mergeCell ref="BX316:BZ316"/>
    <mergeCell ref="CA316:CD316"/>
    <mergeCell ref="CE316:CG316"/>
    <mergeCell ref="CH316:CK316"/>
    <mergeCell ref="CL316:CN316"/>
    <mergeCell ref="AG317:AH317"/>
    <mergeCell ref="AI317:AV317"/>
    <mergeCell ref="AW317:AY317"/>
    <mergeCell ref="BC317:BE317"/>
    <mergeCell ref="BF317:BH317"/>
    <mergeCell ref="BI317:BL317"/>
    <mergeCell ref="BM317:BP317"/>
    <mergeCell ref="BQ317:BS317"/>
    <mergeCell ref="BT317:BW317"/>
    <mergeCell ref="BX317:BZ317"/>
    <mergeCell ref="CA317:CD317"/>
    <mergeCell ref="CE317:CG317"/>
    <mergeCell ref="CH317:CK317"/>
    <mergeCell ref="CL317:CN317"/>
    <mergeCell ref="AG318:AH318"/>
    <mergeCell ref="AI318:AV318"/>
    <mergeCell ref="AW318:AY318"/>
    <mergeCell ref="BC318:BE318"/>
    <mergeCell ref="BF318:BH318"/>
    <mergeCell ref="BI318:BL318"/>
    <mergeCell ref="BM318:BP318"/>
    <mergeCell ref="BQ318:BS318"/>
    <mergeCell ref="BT318:BW318"/>
    <mergeCell ref="BX318:BZ318"/>
    <mergeCell ref="CA318:CD318"/>
    <mergeCell ref="CE318:CG318"/>
    <mergeCell ref="CH318:CK318"/>
    <mergeCell ref="CL318:CN318"/>
    <mergeCell ref="AG319:AH319"/>
    <mergeCell ref="AI319:AV319"/>
    <mergeCell ref="AW319:AY319"/>
    <mergeCell ref="BC319:BE319"/>
    <mergeCell ref="BF319:BH319"/>
    <mergeCell ref="BI319:BL319"/>
    <mergeCell ref="BM319:BP319"/>
    <mergeCell ref="BQ319:BS319"/>
    <mergeCell ref="BT319:BW319"/>
    <mergeCell ref="BX319:BZ319"/>
    <mergeCell ref="CA319:CD319"/>
    <mergeCell ref="CE319:CG319"/>
    <mergeCell ref="CH319:CK319"/>
    <mergeCell ref="CL319:CN319"/>
    <mergeCell ref="AG320:AH320"/>
    <mergeCell ref="AI320:AV320"/>
    <mergeCell ref="AW320:AY320"/>
    <mergeCell ref="BC320:BE320"/>
    <mergeCell ref="BF320:BH320"/>
    <mergeCell ref="BI320:BL320"/>
    <mergeCell ref="BM320:BP320"/>
    <mergeCell ref="BQ320:BS320"/>
    <mergeCell ref="BT320:BW320"/>
    <mergeCell ref="BX320:BZ320"/>
    <mergeCell ref="CA320:CD320"/>
    <mergeCell ref="CE320:CG320"/>
    <mergeCell ref="CH320:CK320"/>
    <mergeCell ref="CL320:CN320"/>
    <mergeCell ref="AG321:AH321"/>
    <mergeCell ref="AI321:AV321"/>
    <mergeCell ref="AW321:AY321"/>
    <mergeCell ref="BC321:BE321"/>
    <mergeCell ref="BF321:BH321"/>
    <mergeCell ref="BI321:BL321"/>
    <mergeCell ref="BM321:BP321"/>
    <mergeCell ref="BQ321:BS321"/>
    <mergeCell ref="BT321:BW321"/>
    <mergeCell ref="BX321:BZ321"/>
    <mergeCell ref="CA321:CD321"/>
    <mergeCell ref="CE321:CG321"/>
    <mergeCell ref="CH321:CK321"/>
    <mergeCell ref="CL321:CN321"/>
    <mergeCell ref="AG322:AH322"/>
    <mergeCell ref="AI322:AV322"/>
    <mergeCell ref="AW322:AY322"/>
    <mergeCell ref="BC322:BE322"/>
    <mergeCell ref="BF322:BH322"/>
    <mergeCell ref="BI322:BL322"/>
    <mergeCell ref="BM322:BP322"/>
    <mergeCell ref="BQ322:BS322"/>
    <mergeCell ref="BT322:BW322"/>
    <mergeCell ref="BX322:BZ322"/>
    <mergeCell ref="CA322:CD322"/>
    <mergeCell ref="CE322:CG322"/>
    <mergeCell ref="CH322:CK322"/>
    <mergeCell ref="CL322:CN322"/>
    <mergeCell ref="AG323:AH323"/>
    <mergeCell ref="AI323:AV323"/>
    <mergeCell ref="AW323:AY323"/>
    <mergeCell ref="BC323:BE323"/>
    <mergeCell ref="BF323:BH323"/>
    <mergeCell ref="BI323:BL323"/>
    <mergeCell ref="BM323:BP323"/>
    <mergeCell ref="BQ323:BS323"/>
    <mergeCell ref="BT323:BW323"/>
    <mergeCell ref="BX323:BZ323"/>
    <mergeCell ref="CA323:CD323"/>
    <mergeCell ref="CE323:CG323"/>
    <mergeCell ref="CH323:CK323"/>
    <mergeCell ref="CL323:CN323"/>
    <mergeCell ref="AG324:AH324"/>
    <mergeCell ref="AI324:AV324"/>
    <mergeCell ref="AW324:AY324"/>
    <mergeCell ref="BC324:BE324"/>
    <mergeCell ref="BF324:BH324"/>
    <mergeCell ref="BI324:BL324"/>
    <mergeCell ref="BM324:BP324"/>
    <mergeCell ref="BQ324:BS324"/>
    <mergeCell ref="BT324:BW324"/>
    <mergeCell ref="BX324:BZ324"/>
    <mergeCell ref="CA324:CD324"/>
    <mergeCell ref="CE324:CG324"/>
    <mergeCell ref="CH324:CK324"/>
    <mergeCell ref="CL324:CN324"/>
    <mergeCell ref="AG325:AH325"/>
    <mergeCell ref="AI325:AV325"/>
    <mergeCell ref="AW325:AY325"/>
    <mergeCell ref="BC325:BE325"/>
    <mergeCell ref="BF325:BH325"/>
    <mergeCell ref="BI325:BL325"/>
    <mergeCell ref="BM325:BP325"/>
    <mergeCell ref="BQ325:BS325"/>
    <mergeCell ref="BT325:BW325"/>
    <mergeCell ref="BX325:BZ325"/>
    <mergeCell ref="CA325:CD325"/>
    <mergeCell ref="CE325:CG325"/>
    <mergeCell ref="CH325:CK325"/>
    <mergeCell ref="CL325:CN325"/>
    <mergeCell ref="AG326:AH326"/>
    <mergeCell ref="AI326:AV326"/>
    <mergeCell ref="AW326:AY326"/>
    <mergeCell ref="BC326:BE326"/>
    <mergeCell ref="BF326:BH326"/>
    <mergeCell ref="BI326:BL326"/>
    <mergeCell ref="BM326:BP326"/>
    <mergeCell ref="BQ326:BS326"/>
    <mergeCell ref="BT326:BW326"/>
    <mergeCell ref="BX326:BZ326"/>
    <mergeCell ref="CA326:CD326"/>
    <mergeCell ref="CE326:CG326"/>
    <mergeCell ref="CH326:CK326"/>
    <mergeCell ref="CL326:CN326"/>
    <mergeCell ref="AG327:AH327"/>
    <mergeCell ref="AI327:AV327"/>
    <mergeCell ref="AW327:AY327"/>
    <mergeCell ref="BC327:BE327"/>
    <mergeCell ref="BF327:BH327"/>
    <mergeCell ref="BI327:BL327"/>
    <mergeCell ref="BM327:BP327"/>
    <mergeCell ref="BQ327:BS327"/>
    <mergeCell ref="BT327:BW327"/>
    <mergeCell ref="BX327:BZ327"/>
    <mergeCell ref="CA327:CD327"/>
    <mergeCell ref="CE327:CG327"/>
    <mergeCell ref="CH327:CK327"/>
    <mergeCell ref="CL327:CN327"/>
    <mergeCell ref="AG328:AH328"/>
    <mergeCell ref="AI328:AV328"/>
    <mergeCell ref="AW328:AY328"/>
    <mergeCell ref="BC328:BE328"/>
    <mergeCell ref="BF328:BH328"/>
    <mergeCell ref="BI328:BL328"/>
    <mergeCell ref="BM328:BP328"/>
    <mergeCell ref="BQ328:BS328"/>
    <mergeCell ref="BT328:BW328"/>
    <mergeCell ref="BX328:BZ328"/>
    <mergeCell ref="CA328:CD328"/>
    <mergeCell ref="CE328:CG328"/>
    <mergeCell ref="CH328:CK328"/>
    <mergeCell ref="CL328:CN328"/>
    <mergeCell ref="AG329:AH329"/>
    <mergeCell ref="AI329:AV329"/>
    <mergeCell ref="AW329:AY329"/>
    <mergeCell ref="BC329:BE329"/>
    <mergeCell ref="BF329:BH329"/>
    <mergeCell ref="BI329:BL329"/>
    <mergeCell ref="BM329:BP329"/>
    <mergeCell ref="BQ329:BS329"/>
    <mergeCell ref="BT329:BW329"/>
    <mergeCell ref="BX329:BZ329"/>
    <mergeCell ref="CA329:CD329"/>
    <mergeCell ref="CE329:CG329"/>
    <mergeCell ref="CH329:CK329"/>
    <mergeCell ref="CL329:CN329"/>
    <mergeCell ref="AG330:AH330"/>
    <mergeCell ref="AI330:AV330"/>
    <mergeCell ref="AW330:AY330"/>
    <mergeCell ref="BC330:BE330"/>
    <mergeCell ref="BF330:BH330"/>
    <mergeCell ref="BI330:BL330"/>
    <mergeCell ref="BM330:BP330"/>
    <mergeCell ref="BQ330:BS330"/>
    <mergeCell ref="BT330:BW330"/>
    <mergeCell ref="BX330:BZ330"/>
    <mergeCell ref="CA330:CD330"/>
    <mergeCell ref="CE330:CG330"/>
    <mergeCell ref="CH330:CK330"/>
    <mergeCell ref="CL330:CN330"/>
    <mergeCell ref="AG331:AH331"/>
    <mergeCell ref="AI331:AV331"/>
    <mergeCell ref="AW331:AY331"/>
    <mergeCell ref="BC331:BE331"/>
    <mergeCell ref="BF331:BH331"/>
    <mergeCell ref="BI331:BL331"/>
    <mergeCell ref="BM331:BP331"/>
    <mergeCell ref="BQ331:BS331"/>
    <mergeCell ref="BT331:BW331"/>
    <mergeCell ref="BX331:BZ331"/>
    <mergeCell ref="CA331:CD331"/>
    <mergeCell ref="CE331:CG331"/>
    <mergeCell ref="CH331:CK331"/>
    <mergeCell ref="CL331:CN331"/>
    <mergeCell ref="AG332:AH332"/>
    <mergeCell ref="AI332:AV332"/>
    <mergeCell ref="AW332:AY332"/>
    <mergeCell ref="BC332:BE332"/>
    <mergeCell ref="BF332:BH332"/>
    <mergeCell ref="BI332:BL332"/>
    <mergeCell ref="BM332:BP332"/>
    <mergeCell ref="BQ332:BS332"/>
    <mergeCell ref="BT332:BW332"/>
    <mergeCell ref="BX332:BZ332"/>
    <mergeCell ref="CA332:CD332"/>
    <mergeCell ref="CE332:CG332"/>
    <mergeCell ref="CH332:CK332"/>
    <mergeCell ref="CL332:CN332"/>
    <mergeCell ref="AG333:AH333"/>
    <mergeCell ref="AI333:AV333"/>
    <mergeCell ref="AW333:AY333"/>
    <mergeCell ref="BC333:BE333"/>
    <mergeCell ref="BF333:BH333"/>
    <mergeCell ref="BI333:BL333"/>
    <mergeCell ref="BM333:BP333"/>
    <mergeCell ref="BQ333:BS333"/>
    <mergeCell ref="BT333:BW333"/>
    <mergeCell ref="BX333:BZ333"/>
    <mergeCell ref="CA333:CD333"/>
    <mergeCell ref="CE333:CG333"/>
    <mergeCell ref="CH333:CK333"/>
    <mergeCell ref="CL333:CN333"/>
    <mergeCell ref="AG334:AH334"/>
    <mergeCell ref="AI334:AV334"/>
    <mergeCell ref="AW334:AY334"/>
    <mergeCell ref="BC334:BE334"/>
    <mergeCell ref="BF334:BH334"/>
    <mergeCell ref="BI334:BL334"/>
    <mergeCell ref="BM334:BP334"/>
    <mergeCell ref="BQ334:BS334"/>
    <mergeCell ref="BT334:BW334"/>
    <mergeCell ref="BX334:BZ334"/>
    <mergeCell ref="CA334:CD334"/>
    <mergeCell ref="CE334:CG334"/>
    <mergeCell ref="CH334:CK334"/>
    <mergeCell ref="CL334:CN334"/>
    <mergeCell ref="AG335:AH335"/>
    <mergeCell ref="AI335:AV335"/>
    <mergeCell ref="AW335:AY335"/>
    <mergeCell ref="BC335:BE335"/>
    <mergeCell ref="BF335:BH335"/>
    <mergeCell ref="BI335:BL335"/>
    <mergeCell ref="BM335:BP335"/>
    <mergeCell ref="BQ335:BS335"/>
    <mergeCell ref="BT335:BW335"/>
    <mergeCell ref="BX335:BZ335"/>
    <mergeCell ref="CA335:CD335"/>
    <mergeCell ref="CE335:CG335"/>
    <mergeCell ref="CH335:CK335"/>
    <mergeCell ref="CL335:CN335"/>
    <mergeCell ref="AG336:AH336"/>
    <mergeCell ref="AI336:AV336"/>
    <mergeCell ref="AW336:AY336"/>
    <mergeCell ref="BC336:BE336"/>
    <mergeCell ref="BF336:BH336"/>
    <mergeCell ref="BI336:BL336"/>
    <mergeCell ref="BM336:BP336"/>
    <mergeCell ref="BQ336:BS336"/>
    <mergeCell ref="BT336:BW336"/>
    <mergeCell ref="BX336:BZ336"/>
    <mergeCell ref="CA336:CD336"/>
    <mergeCell ref="CE336:CG336"/>
    <mergeCell ref="CH336:CK336"/>
    <mergeCell ref="CL336:CN336"/>
    <mergeCell ref="AG337:AH337"/>
    <mergeCell ref="AI337:AV337"/>
    <mergeCell ref="AW337:AY337"/>
    <mergeCell ref="BC337:BE337"/>
    <mergeCell ref="BF337:BH337"/>
    <mergeCell ref="BI337:BL337"/>
    <mergeCell ref="BM337:BP337"/>
    <mergeCell ref="BQ337:BS337"/>
    <mergeCell ref="BT337:BW337"/>
    <mergeCell ref="BX337:BZ337"/>
    <mergeCell ref="CA337:CD337"/>
    <mergeCell ref="CE337:CG337"/>
    <mergeCell ref="CH337:CK337"/>
    <mergeCell ref="CL337:CN337"/>
    <mergeCell ref="AG338:AH338"/>
    <mergeCell ref="AI338:AV338"/>
    <mergeCell ref="AW338:AY338"/>
    <mergeCell ref="BC338:BE338"/>
    <mergeCell ref="BF338:BH338"/>
    <mergeCell ref="BI338:BL338"/>
    <mergeCell ref="BM338:BP338"/>
    <mergeCell ref="BQ338:BS338"/>
    <mergeCell ref="BT338:BW338"/>
    <mergeCell ref="BX338:BZ338"/>
    <mergeCell ref="CA338:CD338"/>
    <mergeCell ref="CE338:CG338"/>
    <mergeCell ref="CH338:CK338"/>
    <mergeCell ref="CL338:CN338"/>
    <mergeCell ref="AG339:AH339"/>
    <mergeCell ref="AI339:AV339"/>
    <mergeCell ref="AW339:AY339"/>
    <mergeCell ref="BC339:BE339"/>
    <mergeCell ref="BF339:BH339"/>
    <mergeCell ref="BI339:BL339"/>
    <mergeCell ref="BM339:BP339"/>
    <mergeCell ref="BQ339:BS339"/>
    <mergeCell ref="BT339:BW339"/>
    <mergeCell ref="BX339:BZ339"/>
    <mergeCell ref="CA339:CD339"/>
    <mergeCell ref="CE339:CG339"/>
    <mergeCell ref="CH339:CK339"/>
    <mergeCell ref="CL339:CN339"/>
    <mergeCell ref="AG340:AH340"/>
    <mergeCell ref="AI340:AV340"/>
    <mergeCell ref="AW340:AY340"/>
    <mergeCell ref="BC340:BE340"/>
    <mergeCell ref="BF340:BH340"/>
    <mergeCell ref="BI340:BL340"/>
    <mergeCell ref="BM340:BP340"/>
    <mergeCell ref="BQ340:BS340"/>
    <mergeCell ref="BT340:BW340"/>
    <mergeCell ref="BX340:BZ340"/>
    <mergeCell ref="CA340:CD340"/>
    <mergeCell ref="CE340:CG340"/>
    <mergeCell ref="CH340:CK340"/>
    <mergeCell ref="CL340:CN340"/>
    <mergeCell ref="AG341:AH341"/>
    <mergeCell ref="AI341:AV341"/>
    <mergeCell ref="AW341:AY341"/>
    <mergeCell ref="BC341:BE341"/>
    <mergeCell ref="BF341:BH341"/>
    <mergeCell ref="BI341:BL341"/>
    <mergeCell ref="BM341:BP341"/>
    <mergeCell ref="BQ341:BS341"/>
    <mergeCell ref="BT341:BW341"/>
    <mergeCell ref="BX341:BZ341"/>
    <mergeCell ref="CA341:CD341"/>
    <mergeCell ref="CE341:CG341"/>
    <mergeCell ref="CH341:CK341"/>
    <mergeCell ref="CL341:CN341"/>
    <mergeCell ref="AG342:AH342"/>
    <mergeCell ref="AI342:AV342"/>
    <mergeCell ref="AW342:AY342"/>
    <mergeCell ref="BC342:BE342"/>
    <mergeCell ref="BF342:BH342"/>
    <mergeCell ref="BI342:BL342"/>
    <mergeCell ref="BM342:BP342"/>
    <mergeCell ref="BQ342:BS342"/>
    <mergeCell ref="BT342:BW342"/>
    <mergeCell ref="BX342:BZ342"/>
    <mergeCell ref="CA342:CD342"/>
    <mergeCell ref="CE342:CG342"/>
    <mergeCell ref="CH342:CK342"/>
    <mergeCell ref="CL342:CN342"/>
    <mergeCell ref="AG343:AH343"/>
    <mergeCell ref="AI343:AV343"/>
    <mergeCell ref="AW343:AY343"/>
    <mergeCell ref="BC343:BE343"/>
    <mergeCell ref="BF343:BH343"/>
    <mergeCell ref="BI343:BL343"/>
    <mergeCell ref="BM343:BP343"/>
    <mergeCell ref="BQ343:BS343"/>
    <mergeCell ref="BT343:BW343"/>
    <mergeCell ref="BX343:BZ343"/>
    <mergeCell ref="CA343:CD343"/>
    <mergeCell ref="CE343:CG343"/>
    <mergeCell ref="CH343:CK343"/>
    <mergeCell ref="CL343:CN343"/>
    <mergeCell ref="AG344:AH344"/>
    <mergeCell ref="AI344:AV344"/>
    <mergeCell ref="AW344:AY344"/>
    <mergeCell ref="BC344:BE344"/>
    <mergeCell ref="BF344:BH344"/>
    <mergeCell ref="BI344:BL344"/>
    <mergeCell ref="BM344:BP344"/>
    <mergeCell ref="BQ344:BS344"/>
    <mergeCell ref="BT344:BW344"/>
    <mergeCell ref="BX344:BZ344"/>
    <mergeCell ref="CA344:CD344"/>
    <mergeCell ref="CE344:CG344"/>
    <mergeCell ref="CH344:CK344"/>
    <mergeCell ref="CL344:CN344"/>
    <mergeCell ref="AG345:AH345"/>
    <mergeCell ref="AI345:AV345"/>
    <mergeCell ref="AW345:AY345"/>
    <mergeCell ref="BC345:BE345"/>
    <mergeCell ref="BF345:BH345"/>
    <mergeCell ref="BI345:BL345"/>
    <mergeCell ref="BM345:BP345"/>
    <mergeCell ref="BQ345:BS345"/>
    <mergeCell ref="BT345:BW345"/>
    <mergeCell ref="BX345:BZ345"/>
    <mergeCell ref="CA345:CD345"/>
    <mergeCell ref="CE345:CG345"/>
    <mergeCell ref="CH345:CK345"/>
    <mergeCell ref="CL345:CN345"/>
    <mergeCell ref="AG346:AH346"/>
    <mergeCell ref="AI346:AV346"/>
    <mergeCell ref="AW346:AY346"/>
    <mergeCell ref="BC346:BE346"/>
    <mergeCell ref="BF346:BH346"/>
    <mergeCell ref="BI346:BL346"/>
    <mergeCell ref="BM346:BP346"/>
    <mergeCell ref="BQ346:BS346"/>
    <mergeCell ref="BT346:BW346"/>
    <mergeCell ref="BX346:BZ346"/>
    <mergeCell ref="CA346:CD346"/>
    <mergeCell ref="CE346:CG346"/>
    <mergeCell ref="CH346:CK346"/>
    <mergeCell ref="CL346:CN346"/>
    <mergeCell ref="AG347:AH347"/>
    <mergeCell ref="AI347:AV347"/>
    <mergeCell ref="AW347:AY347"/>
    <mergeCell ref="BC347:BE347"/>
    <mergeCell ref="BF347:BH347"/>
    <mergeCell ref="BI347:BL347"/>
    <mergeCell ref="BM347:BP347"/>
    <mergeCell ref="BQ347:BS347"/>
    <mergeCell ref="BT347:BW347"/>
    <mergeCell ref="BX347:BZ347"/>
    <mergeCell ref="CA347:CD347"/>
    <mergeCell ref="CE347:CG347"/>
    <mergeCell ref="CH347:CK347"/>
    <mergeCell ref="CL347:CN347"/>
    <mergeCell ref="AG348:AH348"/>
    <mergeCell ref="AI348:AV348"/>
    <mergeCell ref="AW348:AY348"/>
    <mergeCell ref="BC348:BE348"/>
    <mergeCell ref="BF348:BH348"/>
    <mergeCell ref="BI348:BL348"/>
    <mergeCell ref="BM348:BP348"/>
    <mergeCell ref="BQ348:BS348"/>
    <mergeCell ref="BT348:BW348"/>
    <mergeCell ref="BX348:BZ348"/>
    <mergeCell ref="CA348:CD348"/>
    <mergeCell ref="CE348:CG348"/>
    <mergeCell ref="CH348:CK348"/>
    <mergeCell ref="CL348:CN348"/>
    <mergeCell ref="AG349:AH349"/>
    <mergeCell ref="AI349:AV349"/>
    <mergeCell ref="AW349:AY349"/>
    <mergeCell ref="BC349:BE349"/>
    <mergeCell ref="BF349:BH349"/>
    <mergeCell ref="BI349:BL349"/>
    <mergeCell ref="BM349:BP349"/>
    <mergeCell ref="BQ349:BS349"/>
    <mergeCell ref="BT349:BW349"/>
    <mergeCell ref="BX349:BZ349"/>
    <mergeCell ref="CA349:CD349"/>
    <mergeCell ref="CE349:CG349"/>
    <mergeCell ref="CH349:CK349"/>
    <mergeCell ref="CL349:CN349"/>
    <mergeCell ref="AG350:AH350"/>
    <mergeCell ref="AI350:AV350"/>
    <mergeCell ref="AW350:AY350"/>
    <mergeCell ref="BC350:BE350"/>
    <mergeCell ref="BF350:BH350"/>
    <mergeCell ref="BI350:BL350"/>
    <mergeCell ref="BM350:BP350"/>
    <mergeCell ref="BQ350:BS350"/>
    <mergeCell ref="BT350:BW350"/>
    <mergeCell ref="BX350:BZ350"/>
    <mergeCell ref="CA350:CD350"/>
    <mergeCell ref="CE350:CG350"/>
    <mergeCell ref="CH350:CK350"/>
    <mergeCell ref="CL350:CN350"/>
    <mergeCell ref="AG351:AH351"/>
    <mergeCell ref="AI351:AV351"/>
    <mergeCell ref="AW351:AY351"/>
    <mergeCell ref="BC351:BE351"/>
    <mergeCell ref="BF351:BH351"/>
    <mergeCell ref="BI351:BL351"/>
    <mergeCell ref="BM351:BP351"/>
    <mergeCell ref="BQ351:BS351"/>
    <mergeCell ref="BT351:BW351"/>
    <mergeCell ref="BX351:BZ351"/>
    <mergeCell ref="CA351:CD351"/>
    <mergeCell ref="CE351:CG351"/>
    <mergeCell ref="CH351:CK351"/>
    <mergeCell ref="CL351:CN351"/>
    <mergeCell ref="AG352:AH352"/>
    <mergeCell ref="AI352:AV352"/>
    <mergeCell ref="AW352:AY352"/>
    <mergeCell ref="BC352:BE352"/>
    <mergeCell ref="BF352:BH352"/>
    <mergeCell ref="BI352:BL352"/>
    <mergeCell ref="BM352:BP352"/>
    <mergeCell ref="BQ352:BS352"/>
    <mergeCell ref="BT352:BW352"/>
    <mergeCell ref="BX352:BZ352"/>
    <mergeCell ref="CA352:CD352"/>
    <mergeCell ref="CE352:CG352"/>
    <mergeCell ref="CH352:CK352"/>
    <mergeCell ref="CL352:CN352"/>
    <mergeCell ref="AG353:AH353"/>
    <mergeCell ref="AI353:AV353"/>
    <mergeCell ref="AW353:AY353"/>
    <mergeCell ref="BC353:BE353"/>
    <mergeCell ref="BF353:BH353"/>
    <mergeCell ref="BI353:BL353"/>
    <mergeCell ref="BM353:BP353"/>
    <mergeCell ref="BQ353:BS353"/>
    <mergeCell ref="BT353:BW353"/>
    <mergeCell ref="BX353:BZ353"/>
    <mergeCell ref="CA353:CD353"/>
    <mergeCell ref="CE353:CG353"/>
    <mergeCell ref="CH353:CK353"/>
    <mergeCell ref="CL353:CN353"/>
    <mergeCell ref="AG354:AH354"/>
    <mergeCell ref="AI354:AV354"/>
    <mergeCell ref="AW354:AY354"/>
    <mergeCell ref="BC354:BE354"/>
    <mergeCell ref="BF354:BH354"/>
    <mergeCell ref="BI354:BL354"/>
    <mergeCell ref="BM354:BP354"/>
    <mergeCell ref="BQ354:BS354"/>
    <mergeCell ref="BT354:BW354"/>
    <mergeCell ref="BX354:BZ354"/>
    <mergeCell ref="CA354:CD354"/>
    <mergeCell ref="CE354:CG354"/>
    <mergeCell ref="CH354:CK354"/>
    <mergeCell ref="CL354:CN354"/>
    <mergeCell ref="AG355:AH355"/>
    <mergeCell ref="AI355:AV355"/>
    <mergeCell ref="AW355:AY355"/>
    <mergeCell ref="BC355:BE355"/>
    <mergeCell ref="BF355:BH355"/>
    <mergeCell ref="BI355:BL355"/>
    <mergeCell ref="BM355:BP355"/>
    <mergeCell ref="BQ355:BS355"/>
    <mergeCell ref="BT355:BW355"/>
    <mergeCell ref="BX355:BZ355"/>
    <mergeCell ref="CA355:CD355"/>
    <mergeCell ref="CE355:CG355"/>
    <mergeCell ref="CH355:CK355"/>
    <mergeCell ref="CL355:CN355"/>
    <mergeCell ref="AG356:AH356"/>
    <mergeCell ref="AI356:AV356"/>
    <mergeCell ref="AW356:AY356"/>
    <mergeCell ref="BC356:BE356"/>
    <mergeCell ref="BF356:BH356"/>
    <mergeCell ref="BI356:BL356"/>
    <mergeCell ref="BM356:BP356"/>
    <mergeCell ref="BQ356:BS356"/>
    <mergeCell ref="BT356:BW356"/>
    <mergeCell ref="BX356:BZ356"/>
    <mergeCell ref="CA356:CD356"/>
    <mergeCell ref="CE356:CG356"/>
    <mergeCell ref="CH356:CK356"/>
    <mergeCell ref="CL356:CN356"/>
    <mergeCell ref="AG357:AH357"/>
    <mergeCell ref="AI357:AV357"/>
    <mergeCell ref="AW357:AY357"/>
    <mergeCell ref="BC357:BE357"/>
    <mergeCell ref="BF357:BH357"/>
    <mergeCell ref="BI357:BL357"/>
    <mergeCell ref="BM357:BP357"/>
    <mergeCell ref="BQ357:BS357"/>
    <mergeCell ref="BT357:BW357"/>
    <mergeCell ref="BX357:BZ357"/>
    <mergeCell ref="CA357:CD357"/>
    <mergeCell ref="CE357:CG357"/>
    <mergeCell ref="CH357:CK357"/>
    <mergeCell ref="CL357:CN357"/>
    <mergeCell ref="AG358:AH358"/>
    <mergeCell ref="AI358:AV358"/>
    <mergeCell ref="AW358:AY358"/>
    <mergeCell ref="BC358:BE358"/>
    <mergeCell ref="BF358:BH358"/>
    <mergeCell ref="BI358:BL358"/>
    <mergeCell ref="BM358:BP358"/>
    <mergeCell ref="BQ358:BS358"/>
    <mergeCell ref="BT358:BW358"/>
    <mergeCell ref="BX358:BZ358"/>
    <mergeCell ref="CA358:CD358"/>
    <mergeCell ref="CE358:CG358"/>
    <mergeCell ref="CH358:CK358"/>
    <mergeCell ref="CL358:CN358"/>
    <mergeCell ref="AG359:AH359"/>
    <mergeCell ref="AI359:AV359"/>
    <mergeCell ref="AW359:AY359"/>
    <mergeCell ref="BC359:BE359"/>
    <mergeCell ref="BF359:BH359"/>
    <mergeCell ref="BI359:BL359"/>
    <mergeCell ref="BM359:BP359"/>
    <mergeCell ref="BQ359:BS359"/>
    <mergeCell ref="BT359:BW359"/>
    <mergeCell ref="BX359:BZ359"/>
    <mergeCell ref="CA359:CD359"/>
    <mergeCell ref="CE359:CG359"/>
    <mergeCell ref="CH359:CK359"/>
    <mergeCell ref="CL359:CN359"/>
    <mergeCell ref="AG360:AH360"/>
    <mergeCell ref="AI360:AV360"/>
    <mergeCell ref="AW360:AY360"/>
    <mergeCell ref="BC360:BE360"/>
    <mergeCell ref="BF360:BH360"/>
    <mergeCell ref="BI360:BL360"/>
    <mergeCell ref="BM360:BP360"/>
    <mergeCell ref="BQ360:BS360"/>
    <mergeCell ref="BT360:BW360"/>
    <mergeCell ref="BX360:BZ360"/>
    <mergeCell ref="CA360:CD360"/>
    <mergeCell ref="CE360:CG360"/>
    <mergeCell ref="CH360:CK360"/>
    <mergeCell ref="CL360:CN360"/>
    <mergeCell ref="AG361:AH361"/>
    <mergeCell ref="AI361:AV361"/>
    <mergeCell ref="AW361:AY361"/>
    <mergeCell ref="BC361:BE361"/>
    <mergeCell ref="BF361:BH361"/>
    <mergeCell ref="BI361:BL361"/>
    <mergeCell ref="BM361:BP361"/>
    <mergeCell ref="BQ361:BS361"/>
    <mergeCell ref="BT361:BW361"/>
    <mergeCell ref="BX361:BZ361"/>
    <mergeCell ref="CA361:CD361"/>
    <mergeCell ref="CE361:CG361"/>
    <mergeCell ref="CH361:CK361"/>
    <mergeCell ref="CL361:CN361"/>
    <mergeCell ref="AG362:AH362"/>
    <mergeCell ref="AI362:AV362"/>
    <mergeCell ref="AW362:AY362"/>
    <mergeCell ref="BC362:BE362"/>
    <mergeCell ref="BF362:BH362"/>
    <mergeCell ref="BI362:BL362"/>
    <mergeCell ref="BM362:BP362"/>
    <mergeCell ref="BQ362:BS362"/>
    <mergeCell ref="BT362:BW362"/>
    <mergeCell ref="BX362:BZ362"/>
    <mergeCell ref="CA362:CD362"/>
    <mergeCell ref="CE362:CG362"/>
    <mergeCell ref="CH362:CK362"/>
    <mergeCell ref="CL362:CN362"/>
    <mergeCell ref="AG363:AH363"/>
    <mergeCell ref="AI363:AV363"/>
    <mergeCell ref="AW363:AY363"/>
    <mergeCell ref="BC363:BE363"/>
    <mergeCell ref="BF363:BH363"/>
    <mergeCell ref="BI363:BL363"/>
    <mergeCell ref="BM363:BP363"/>
    <mergeCell ref="BQ363:BS363"/>
    <mergeCell ref="BT363:BW363"/>
    <mergeCell ref="BX363:BZ363"/>
    <mergeCell ref="CA363:CD363"/>
    <mergeCell ref="CE363:CG363"/>
    <mergeCell ref="CH363:CK363"/>
    <mergeCell ref="CL363:CN363"/>
    <mergeCell ref="AG364:AH364"/>
    <mergeCell ref="AI364:AV364"/>
    <mergeCell ref="AW364:AY364"/>
    <mergeCell ref="BC364:BE364"/>
    <mergeCell ref="BF364:BH364"/>
    <mergeCell ref="BI364:BL364"/>
    <mergeCell ref="BM364:BP364"/>
    <mergeCell ref="BQ364:BS364"/>
    <mergeCell ref="BT364:BW364"/>
    <mergeCell ref="BX364:BZ364"/>
    <mergeCell ref="CA364:CD364"/>
    <mergeCell ref="CE364:CG364"/>
    <mergeCell ref="CH364:CK364"/>
    <mergeCell ref="CL364:CN364"/>
    <mergeCell ref="AG365:AH365"/>
    <mergeCell ref="AI365:AV365"/>
    <mergeCell ref="AW365:AY365"/>
    <mergeCell ref="BC365:BE365"/>
    <mergeCell ref="BF365:BH365"/>
    <mergeCell ref="BI365:BL365"/>
    <mergeCell ref="BM365:BP365"/>
    <mergeCell ref="BQ365:BS365"/>
    <mergeCell ref="BT365:BW365"/>
    <mergeCell ref="BX365:BZ365"/>
    <mergeCell ref="CA365:CD365"/>
    <mergeCell ref="CE365:CG365"/>
    <mergeCell ref="CH365:CK365"/>
    <mergeCell ref="CL365:CN365"/>
    <mergeCell ref="AG366:AH366"/>
    <mergeCell ref="AI366:AV366"/>
    <mergeCell ref="AW366:AY366"/>
    <mergeCell ref="BC366:BE366"/>
    <mergeCell ref="BF366:BH366"/>
    <mergeCell ref="BI366:BL366"/>
    <mergeCell ref="BM366:BP366"/>
    <mergeCell ref="BQ366:BS366"/>
    <mergeCell ref="BT366:BW366"/>
    <mergeCell ref="BX366:BZ366"/>
    <mergeCell ref="CA366:CD366"/>
    <mergeCell ref="CE366:CG366"/>
    <mergeCell ref="CH366:CK366"/>
    <mergeCell ref="CL366:CN366"/>
    <mergeCell ref="AG367:AH367"/>
    <mergeCell ref="AI367:AV367"/>
    <mergeCell ref="AW367:AY367"/>
    <mergeCell ref="BC367:BE367"/>
    <mergeCell ref="BF367:BH367"/>
    <mergeCell ref="BI367:BL367"/>
    <mergeCell ref="BM367:BP367"/>
    <mergeCell ref="BQ367:BS367"/>
    <mergeCell ref="BT367:BW367"/>
    <mergeCell ref="BX367:BZ367"/>
    <mergeCell ref="CA367:CD367"/>
    <mergeCell ref="CE367:CG367"/>
    <mergeCell ref="CH367:CK367"/>
    <mergeCell ref="CL367:CN367"/>
    <mergeCell ref="AG368:AH368"/>
    <mergeCell ref="AI368:AV368"/>
    <mergeCell ref="AW368:AY368"/>
    <mergeCell ref="BC368:BE368"/>
    <mergeCell ref="BF368:BH368"/>
    <mergeCell ref="BI368:BL368"/>
    <mergeCell ref="BM368:BP368"/>
    <mergeCell ref="BQ368:BS368"/>
    <mergeCell ref="BT368:BW368"/>
    <mergeCell ref="BX368:BZ368"/>
    <mergeCell ref="CA368:CD368"/>
    <mergeCell ref="CE368:CG368"/>
    <mergeCell ref="CH368:CK368"/>
    <mergeCell ref="CL368:CN368"/>
    <mergeCell ref="AG369:AH369"/>
    <mergeCell ref="AI369:AV369"/>
    <mergeCell ref="AW369:AY369"/>
    <mergeCell ref="BC369:BE369"/>
    <mergeCell ref="BF369:BH369"/>
    <mergeCell ref="BI369:BL369"/>
    <mergeCell ref="BM369:BP369"/>
    <mergeCell ref="BQ369:BS369"/>
    <mergeCell ref="BT369:BW369"/>
    <mergeCell ref="BX369:BZ369"/>
    <mergeCell ref="CA369:CD369"/>
    <mergeCell ref="CE369:CG369"/>
    <mergeCell ref="CH369:CK369"/>
    <mergeCell ref="CL369:CN369"/>
    <mergeCell ref="AG370:AH370"/>
    <mergeCell ref="AI370:AV370"/>
    <mergeCell ref="AW370:AY370"/>
    <mergeCell ref="BC370:BE370"/>
    <mergeCell ref="BF370:BH370"/>
    <mergeCell ref="BI370:BL370"/>
    <mergeCell ref="BM370:BP370"/>
    <mergeCell ref="BQ370:BS370"/>
    <mergeCell ref="BT370:BW370"/>
    <mergeCell ref="BX370:BZ370"/>
    <mergeCell ref="CA370:CD370"/>
    <mergeCell ref="CE370:CG370"/>
    <mergeCell ref="CH370:CK370"/>
    <mergeCell ref="CL370:CN370"/>
    <mergeCell ref="AG371:AH371"/>
    <mergeCell ref="AI371:AV371"/>
    <mergeCell ref="AW371:AY371"/>
    <mergeCell ref="BC371:BE371"/>
    <mergeCell ref="BF371:BH371"/>
    <mergeCell ref="BI371:BL371"/>
    <mergeCell ref="BM371:BP371"/>
    <mergeCell ref="BQ371:BS371"/>
    <mergeCell ref="BT371:BW371"/>
    <mergeCell ref="BX371:BZ371"/>
    <mergeCell ref="CA371:CD371"/>
    <mergeCell ref="CE371:CG371"/>
    <mergeCell ref="CH371:CK371"/>
    <mergeCell ref="CL371:CN371"/>
    <mergeCell ref="AG372:AH372"/>
    <mergeCell ref="AI372:AV372"/>
    <mergeCell ref="AW372:AY372"/>
    <mergeCell ref="BC372:BE372"/>
    <mergeCell ref="BF372:BH372"/>
    <mergeCell ref="BI372:BL372"/>
    <mergeCell ref="BM372:BP372"/>
    <mergeCell ref="BQ372:BS372"/>
    <mergeCell ref="BT372:BW372"/>
    <mergeCell ref="BX372:BZ372"/>
    <mergeCell ref="CA372:CD372"/>
    <mergeCell ref="CE372:CG372"/>
    <mergeCell ref="CH372:CK372"/>
    <mergeCell ref="CL372:CN372"/>
    <mergeCell ref="AG373:AH373"/>
    <mergeCell ref="AI373:AV373"/>
    <mergeCell ref="AW373:AY373"/>
    <mergeCell ref="BC373:BE373"/>
    <mergeCell ref="BF373:BH373"/>
    <mergeCell ref="BI373:BL373"/>
    <mergeCell ref="BM373:BP373"/>
    <mergeCell ref="BQ373:BS373"/>
    <mergeCell ref="BT373:BW373"/>
    <mergeCell ref="BX373:BZ373"/>
    <mergeCell ref="CA373:CD373"/>
    <mergeCell ref="CE373:CG373"/>
    <mergeCell ref="CH373:CK373"/>
    <mergeCell ref="CL373:CN373"/>
    <mergeCell ref="AG374:AH374"/>
    <mergeCell ref="AI374:AV374"/>
    <mergeCell ref="AW374:AY374"/>
    <mergeCell ref="BC374:BE374"/>
    <mergeCell ref="BF374:BH374"/>
    <mergeCell ref="BI374:BL374"/>
    <mergeCell ref="BM374:BP374"/>
    <mergeCell ref="BQ374:BS374"/>
    <mergeCell ref="BT374:BW374"/>
    <mergeCell ref="BX374:BZ374"/>
    <mergeCell ref="CA374:CD374"/>
    <mergeCell ref="CE374:CG374"/>
    <mergeCell ref="CH374:CK374"/>
    <mergeCell ref="CL374:CN374"/>
    <mergeCell ref="AG375:AH375"/>
    <mergeCell ref="AI375:AV375"/>
    <mergeCell ref="AW375:AY375"/>
    <mergeCell ref="BC375:BE375"/>
    <mergeCell ref="BF375:BH375"/>
    <mergeCell ref="BI375:BL375"/>
    <mergeCell ref="BM375:BP375"/>
    <mergeCell ref="BQ375:BS375"/>
    <mergeCell ref="BT375:BW375"/>
    <mergeCell ref="BX375:BZ375"/>
    <mergeCell ref="CA375:CD375"/>
    <mergeCell ref="CE375:CG375"/>
    <mergeCell ref="CH375:CK375"/>
    <mergeCell ref="CL375:CN375"/>
    <mergeCell ref="AG376:AH376"/>
    <mergeCell ref="AI376:AV376"/>
    <mergeCell ref="AW376:AY376"/>
    <mergeCell ref="BC376:BE376"/>
    <mergeCell ref="BF376:BH376"/>
    <mergeCell ref="BI376:BL376"/>
    <mergeCell ref="BM376:BP376"/>
    <mergeCell ref="BQ376:BS376"/>
    <mergeCell ref="BT376:BW376"/>
    <mergeCell ref="BX376:BZ376"/>
    <mergeCell ref="CA376:CD376"/>
    <mergeCell ref="CE376:CG376"/>
    <mergeCell ref="CH376:CK376"/>
    <mergeCell ref="CL376:CN376"/>
    <mergeCell ref="AG377:AH377"/>
    <mergeCell ref="AI377:AV377"/>
    <mergeCell ref="AW377:AY377"/>
    <mergeCell ref="BC377:BE377"/>
    <mergeCell ref="BF377:BH377"/>
    <mergeCell ref="BI377:BL377"/>
    <mergeCell ref="BM377:BP377"/>
    <mergeCell ref="BQ377:BS377"/>
    <mergeCell ref="BT377:BW377"/>
    <mergeCell ref="BX377:BZ377"/>
    <mergeCell ref="CA377:CD377"/>
    <mergeCell ref="CE377:CG377"/>
    <mergeCell ref="CH377:CK377"/>
    <mergeCell ref="CL377:CN377"/>
    <mergeCell ref="AG378:AH378"/>
    <mergeCell ref="AI378:AV378"/>
    <mergeCell ref="AW378:AY378"/>
    <mergeCell ref="BC378:BE378"/>
    <mergeCell ref="BF378:BH378"/>
    <mergeCell ref="BI378:BL378"/>
    <mergeCell ref="BM378:BP378"/>
    <mergeCell ref="BQ378:BS378"/>
    <mergeCell ref="BT378:BW378"/>
    <mergeCell ref="BX378:BZ378"/>
    <mergeCell ref="CA378:CD378"/>
    <mergeCell ref="CE378:CG378"/>
    <mergeCell ref="CH378:CK378"/>
    <mergeCell ref="CL378:CN378"/>
    <mergeCell ref="AG379:AH379"/>
    <mergeCell ref="AI379:AV379"/>
    <mergeCell ref="AW379:AY379"/>
    <mergeCell ref="BC379:BE379"/>
    <mergeCell ref="BF379:BH379"/>
    <mergeCell ref="BI379:BL379"/>
    <mergeCell ref="BM379:BP379"/>
    <mergeCell ref="BQ379:BS379"/>
    <mergeCell ref="BT379:BW379"/>
    <mergeCell ref="BX379:BZ379"/>
    <mergeCell ref="CA379:CD379"/>
    <mergeCell ref="CE379:CG379"/>
    <mergeCell ref="CH379:CK379"/>
    <mergeCell ref="CL379:CN379"/>
    <mergeCell ref="AG380:AH380"/>
    <mergeCell ref="AI380:AV380"/>
    <mergeCell ref="AW380:AY380"/>
    <mergeCell ref="BC380:BE380"/>
    <mergeCell ref="BF380:BH380"/>
    <mergeCell ref="BI380:BL380"/>
    <mergeCell ref="BM380:BP380"/>
    <mergeCell ref="BQ380:BS380"/>
    <mergeCell ref="BT380:BW380"/>
    <mergeCell ref="BX380:BZ380"/>
    <mergeCell ref="CA380:CD380"/>
    <mergeCell ref="CE380:CG380"/>
    <mergeCell ref="CH380:CK380"/>
    <mergeCell ref="CL380:CN380"/>
    <mergeCell ref="AG381:AH381"/>
    <mergeCell ref="AI381:AV381"/>
    <mergeCell ref="AW381:AY381"/>
    <mergeCell ref="BC381:BE381"/>
    <mergeCell ref="BF381:BH381"/>
    <mergeCell ref="BI381:BL381"/>
    <mergeCell ref="BM381:BP381"/>
    <mergeCell ref="BQ381:BS381"/>
    <mergeCell ref="BT381:BW381"/>
    <mergeCell ref="BX381:BZ381"/>
    <mergeCell ref="CA381:CD381"/>
    <mergeCell ref="CE381:CG381"/>
    <mergeCell ref="CH381:CK381"/>
    <mergeCell ref="CL381:CN381"/>
    <mergeCell ref="AG382:AH382"/>
    <mergeCell ref="AI382:AV382"/>
    <mergeCell ref="AW382:AY382"/>
    <mergeCell ref="BC382:BE382"/>
    <mergeCell ref="BF382:BH382"/>
    <mergeCell ref="BI382:BL382"/>
    <mergeCell ref="BM382:BP382"/>
    <mergeCell ref="BQ382:BS382"/>
    <mergeCell ref="BT382:BW382"/>
    <mergeCell ref="BX382:BZ382"/>
    <mergeCell ref="CA382:CD382"/>
    <mergeCell ref="CE382:CG382"/>
    <mergeCell ref="CH382:CK382"/>
    <mergeCell ref="CL382:CN382"/>
    <mergeCell ref="AG383:AH383"/>
    <mergeCell ref="AI383:AV383"/>
    <mergeCell ref="AW383:AY383"/>
    <mergeCell ref="BC383:BE383"/>
    <mergeCell ref="BF383:BH383"/>
    <mergeCell ref="BI383:BL383"/>
    <mergeCell ref="BM383:BP383"/>
    <mergeCell ref="BQ383:BS383"/>
    <mergeCell ref="BT383:BW383"/>
    <mergeCell ref="BX383:BZ383"/>
    <mergeCell ref="CA383:CD383"/>
    <mergeCell ref="CE383:CG383"/>
    <mergeCell ref="CH383:CK383"/>
    <mergeCell ref="CL383:CN383"/>
    <mergeCell ref="AG384:AH384"/>
    <mergeCell ref="AI384:AV384"/>
    <mergeCell ref="AW384:AY384"/>
    <mergeCell ref="BC384:BE384"/>
    <mergeCell ref="BF384:BH384"/>
    <mergeCell ref="BI384:BL384"/>
    <mergeCell ref="BM384:BP384"/>
    <mergeCell ref="BQ384:BS384"/>
    <mergeCell ref="BT384:BW384"/>
    <mergeCell ref="BX384:BZ384"/>
    <mergeCell ref="CA384:CD384"/>
    <mergeCell ref="CE384:CG384"/>
    <mergeCell ref="CH384:CK384"/>
    <mergeCell ref="CL384:CN384"/>
    <mergeCell ref="AG385:AH385"/>
    <mergeCell ref="AI385:AV385"/>
    <mergeCell ref="AW385:AY385"/>
    <mergeCell ref="BC385:BE385"/>
    <mergeCell ref="BF385:BH385"/>
    <mergeCell ref="BI385:BL385"/>
    <mergeCell ref="BM385:BP385"/>
    <mergeCell ref="BQ385:BS385"/>
    <mergeCell ref="BT385:BW385"/>
    <mergeCell ref="BX385:BZ385"/>
    <mergeCell ref="CA385:CD385"/>
    <mergeCell ref="CE385:CG385"/>
    <mergeCell ref="CH385:CK385"/>
    <mergeCell ref="CL385:CN385"/>
    <mergeCell ref="AG386:AH386"/>
    <mergeCell ref="AI386:AV386"/>
    <mergeCell ref="AW386:AY386"/>
    <mergeCell ref="BC386:BE386"/>
    <mergeCell ref="BF386:BH386"/>
    <mergeCell ref="BI386:BL386"/>
    <mergeCell ref="BM386:BP386"/>
    <mergeCell ref="BQ386:BS386"/>
    <mergeCell ref="BT386:BW386"/>
    <mergeCell ref="BX386:BZ386"/>
    <mergeCell ref="CA386:CD386"/>
    <mergeCell ref="CE386:CG386"/>
    <mergeCell ref="CH386:CK386"/>
    <mergeCell ref="CL386:CN386"/>
    <mergeCell ref="AG387:AH387"/>
    <mergeCell ref="AI387:AV387"/>
    <mergeCell ref="AW387:AY387"/>
    <mergeCell ref="BC387:BE387"/>
    <mergeCell ref="BF387:BH387"/>
    <mergeCell ref="BI387:BL387"/>
    <mergeCell ref="BM387:BP387"/>
    <mergeCell ref="BQ387:BS387"/>
    <mergeCell ref="BT387:BW387"/>
    <mergeCell ref="BX387:BZ387"/>
    <mergeCell ref="CA387:CD387"/>
    <mergeCell ref="CE387:CG387"/>
    <mergeCell ref="CH387:CK387"/>
    <mergeCell ref="CL387:CN387"/>
    <mergeCell ref="AG388:AH388"/>
    <mergeCell ref="AI388:AV388"/>
    <mergeCell ref="AW388:AY388"/>
    <mergeCell ref="BC388:BE388"/>
    <mergeCell ref="BF388:BH388"/>
    <mergeCell ref="BI388:BL388"/>
    <mergeCell ref="BM388:BP388"/>
    <mergeCell ref="BQ388:BS388"/>
    <mergeCell ref="BT388:BW388"/>
    <mergeCell ref="BX388:BZ388"/>
    <mergeCell ref="CA388:CD388"/>
    <mergeCell ref="CE388:CG388"/>
    <mergeCell ref="CH388:CK388"/>
    <mergeCell ref="CL388:CN388"/>
    <mergeCell ref="AG389:AH389"/>
    <mergeCell ref="AI389:AV389"/>
    <mergeCell ref="AW389:AY389"/>
    <mergeCell ref="BC389:BE389"/>
    <mergeCell ref="BF389:BH389"/>
    <mergeCell ref="BI389:BL389"/>
    <mergeCell ref="BM389:BP389"/>
    <mergeCell ref="BQ389:BS389"/>
    <mergeCell ref="BT389:BW389"/>
    <mergeCell ref="BX389:BZ389"/>
    <mergeCell ref="CA389:CD389"/>
    <mergeCell ref="CE389:CG389"/>
    <mergeCell ref="CH389:CK389"/>
    <mergeCell ref="CL389:CN389"/>
    <mergeCell ref="AG390:AH390"/>
    <mergeCell ref="AI390:AV390"/>
    <mergeCell ref="AW390:AY390"/>
    <mergeCell ref="BC390:BE390"/>
    <mergeCell ref="BF390:BH390"/>
    <mergeCell ref="BI390:BL390"/>
    <mergeCell ref="BM390:BP390"/>
    <mergeCell ref="BQ390:BS390"/>
    <mergeCell ref="BT390:BW390"/>
    <mergeCell ref="BX390:BZ390"/>
    <mergeCell ref="CA390:CD390"/>
    <mergeCell ref="CE390:CG390"/>
    <mergeCell ref="CH390:CK390"/>
    <mergeCell ref="CL390:CN390"/>
    <mergeCell ref="AG391:AH391"/>
    <mergeCell ref="AI391:AV391"/>
    <mergeCell ref="AW391:AY391"/>
    <mergeCell ref="BC391:BE391"/>
    <mergeCell ref="BF391:BH391"/>
    <mergeCell ref="BI391:BL391"/>
    <mergeCell ref="BM391:BP391"/>
    <mergeCell ref="BQ391:BS391"/>
    <mergeCell ref="BT391:BW391"/>
    <mergeCell ref="BX391:BZ391"/>
    <mergeCell ref="CA391:CD391"/>
    <mergeCell ref="CE391:CG391"/>
    <mergeCell ref="CH391:CK391"/>
    <mergeCell ref="CL391:CN391"/>
    <mergeCell ref="AG392:AH392"/>
    <mergeCell ref="AI392:AV392"/>
    <mergeCell ref="AW392:AY392"/>
    <mergeCell ref="BC392:BE392"/>
    <mergeCell ref="BF392:BH392"/>
    <mergeCell ref="BI392:BL392"/>
    <mergeCell ref="BM392:BP392"/>
    <mergeCell ref="BQ392:BS392"/>
    <mergeCell ref="BT392:BW392"/>
    <mergeCell ref="BX392:BZ392"/>
    <mergeCell ref="CA392:CD392"/>
    <mergeCell ref="CE392:CG392"/>
    <mergeCell ref="CH392:CK392"/>
    <mergeCell ref="CL392:CN392"/>
    <mergeCell ref="AG393:AH393"/>
    <mergeCell ref="AI393:AV393"/>
    <mergeCell ref="AW393:AY393"/>
    <mergeCell ref="BC393:BE393"/>
    <mergeCell ref="BF393:BH393"/>
    <mergeCell ref="BI393:BL393"/>
    <mergeCell ref="BM393:BP393"/>
    <mergeCell ref="BQ393:BS393"/>
    <mergeCell ref="BT393:BW393"/>
    <mergeCell ref="BX393:BZ393"/>
    <mergeCell ref="CA393:CD393"/>
    <mergeCell ref="CE393:CG393"/>
    <mergeCell ref="CH393:CK393"/>
    <mergeCell ref="CL393:CN393"/>
    <mergeCell ref="AG394:AH394"/>
    <mergeCell ref="AI394:AV394"/>
    <mergeCell ref="AW394:AY394"/>
    <mergeCell ref="BC394:BE394"/>
    <mergeCell ref="BF394:BH394"/>
    <mergeCell ref="BI394:BL394"/>
    <mergeCell ref="BM394:BP394"/>
    <mergeCell ref="BQ394:BS394"/>
    <mergeCell ref="BT394:BW394"/>
    <mergeCell ref="BX394:BZ394"/>
    <mergeCell ref="CA394:CD394"/>
    <mergeCell ref="CE394:CG394"/>
    <mergeCell ref="CH394:CK394"/>
    <mergeCell ref="CL394:CN394"/>
    <mergeCell ref="AG395:AH395"/>
    <mergeCell ref="AI395:AV395"/>
    <mergeCell ref="AW395:AY395"/>
    <mergeCell ref="BC395:BE395"/>
    <mergeCell ref="BF395:BH395"/>
    <mergeCell ref="BI395:BL395"/>
    <mergeCell ref="BM395:BP395"/>
    <mergeCell ref="BQ395:BS395"/>
    <mergeCell ref="BT395:BW395"/>
    <mergeCell ref="BX395:BZ395"/>
    <mergeCell ref="CA395:CD395"/>
    <mergeCell ref="CE395:CG395"/>
    <mergeCell ref="CH395:CK395"/>
    <mergeCell ref="CL395:CN395"/>
    <mergeCell ref="AG396:AH396"/>
    <mergeCell ref="AI396:AV396"/>
    <mergeCell ref="AW396:AY396"/>
    <mergeCell ref="BC396:BE396"/>
    <mergeCell ref="BF396:BH396"/>
    <mergeCell ref="BI396:BL396"/>
    <mergeCell ref="BM396:BP396"/>
    <mergeCell ref="BQ396:BS396"/>
    <mergeCell ref="BT396:BW396"/>
    <mergeCell ref="BX396:BZ396"/>
    <mergeCell ref="CA396:CD396"/>
    <mergeCell ref="CE396:CG396"/>
    <mergeCell ref="CH396:CK396"/>
    <mergeCell ref="CL396:CN396"/>
    <mergeCell ref="AG397:AH397"/>
    <mergeCell ref="AI397:AV397"/>
    <mergeCell ref="AW397:AY397"/>
    <mergeCell ref="BC397:BE397"/>
    <mergeCell ref="BF397:BH397"/>
    <mergeCell ref="BI397:BL397"/>
    <mergeCell ref="BM397:BP397"/>
    <mergeCell ref="BQ397:BS397"/>
    <mergeCell ref="BT397:BW397"/>
    <mergeCell ref="BX397:BZ397"/>
    <mergeCell ref="CA397:CD397"/>
    <mergeCell ref="CE397:CG397"/>
    <mergeCell ref="CH397:CK397"/>
    <mergeCell ref="CL397:CN397"/>
    <mergeCell ref="AG398:AH398"/>
    <mergeCell ref="AI398:AV398"/>
    <mergeCell ref="AW398:AY398"/>
    <mergeCell ref="BC398:BE398"/>
    <mergeCell ref="BF398:BH398"/>
    <mergeCell ref="BI398:BL398"/>
    <mergeCell ref="BM398:BP398"/>
    <mergeCell ref="BQ398:BS398"/>
    <mergeCell ref="BT398:BW398"/>
    <mergeCell ref="BX398:BZ398"/>
    <mergeCell ref="CA398:CD398"/>
    <mergeCell ref="CE398:CG398"/>
    <mergeCell ref="CH398:CK398"/>
    <mergeCell ref="CL398:CN398"/>
    <mergeCell ref="AG399:AH399"/>
    <mergeCell ref="AI399:AV399"/>
    <mergeCell ref="AW399:AY399"/>
    <mergeCell ref="BC399:BE399"/>
    <mergeCell ref="BF399:BH399"/>
    <mergeCell ref="BI399:BL399"/>
    <mergeCell ref="BM399:BP399"/>
    <mergeCell ref="BQ399:BS399"/>
    <mergeCell ref="BT399:BW399"/>
    <mergeCell ref="BX399:BZ399"/>
    <mergeCell ref="CA399:CD399"/>
    <mergeCell ref="CE399:CG399"/>
    <mergeCell ref="CH399:CK399"/>
    <mergeCell ref="CL399:CN399"/>
    <mergeCell ref="AG400:AH400"/>
    <mergeCell ref="AI400:AV400"/>
    <mergeCell ref="AW400:AY400"/>
    <mergeCell ref="BC400:BE400"/>
    <mergeCell ref="BF400:BH400"/>
    <mergeCell ref="BI400:BL400"/>
    <mergeCell ref="BM400:BP400"/>
    <mergeCell ref="BQ400:BS400"/>
    <mergeCell ref="BT400:BW400"/>
    <mergeCell ref="BX400:BZ400"/>
    <mergeCell ref="CA400:CD400"/>
    <mergeCell ref="CE400:CG400"/>
    <mergeCell ref="CH400:CK400"/>
    <mergeCell ref="CL400:CN400"/>
    <mergeCell ref="AG401:AH401"/>
    <mergeCell ref="AI401:AV401"/>
    <mergeCell ref="AW401:AY401"/>
    <mergeCell ref="BC401:BE401"/>
    <mergeCell ref="BF401:BH401"/>
    <mergeCell ref="BI401:BL401"/>
    <mergeCell ref="BM401:BP401"/>
    <mergeCell ref="BQ401:BS401"/>
    <mergeCell ref="BT401:BW401"/>
    <mergeCell ref="BX401:BZ401"/>
    <mergeCell ref="CA401:CD401"/>
    <mergeCell ref="CE401:CG401"/>
    <mergeCell ref="CH401:CK401"/>
    <mergeCell ref="CL401:CN401"/>
    <mergeCell ref="AG402:AH402"/>
    <mergeCell ref="AI402:AV402"/>
    <mergeCell ref="AW402:AY402"/>
    <mergeCell ref="BC402:BE402"/>
    <mergeCell ref="BF402:BH402"/>
    <mergeCell ref="BI402:BL402"/>
    <mergeCell ref="BM402:BP402"/>
    <mergeCell ref="BQ402:BS402"/>
    <mergeCell ref="BT402:BW402"/>
    <mergeCell ref="BX402:BZ402"/>
    <mergeCell ref="CA402:CD402"/>
    <mergeCell ref="CE402:CG402"/>
    <mergeCell ref="CH402:CK402"/>
    <mergeCell ref="CL402:CN402"/>
    <mergeCell ref="AG403:AH403"/>
    <mergeCell ref="AI403:AV403"/>
    <mergeCell ref="AW403:AY403"/>
    <mergeCell ref="BC403:BE403"/>
    <mergeCell ref="BF403:BH403"/>
    <mergeCell ref="BI403:BL403"/>
    <mergeCell ref="BM403:BP403"/>
    <mergeCell ref="BQ403:BS403"/>
    <mergeCell ref="BT403:BW403"/>
    <mergeCell ref="BX403:BZ403"/>
    <mergeCell ref="CA403:CD403"/>
    <mergeCell ref="CE403:CG403"/>
    <mergeCell ref="CH403:CK403"/>
    <mergeCell ref="CL403:CN403"/>
    <mergeCell ref="AG404:AH404"/>
    <mergeCell ref="AI404:AV404"/>
    <mergeCell ref="AW404:AY404"/>
    <mergeCell ref="BC404:BE404"/>
    <mergeCell ref="BF404:BH404"/>
    <mergeCell ref="BI404:BL404"/>
    <mergeCell ref="BM404:BP404"/>
    <mergeCell ref="BQ404:BS404"/>
    <mergeCell ref="BT404:BW404"/>
    <mergeCell ref="BX404:BZ404"/>
    <mergeCell ref="CA404:CD404"/>
    <mergeCell ref="CE404:CG404"/>
    <mergeCell ref="CH404:CK404"/>
    <mergeCell ref="CL404:CN404"/>
    <mergeCell ref="AG405:AH405"/>
    <mergeCell ref="AI405:AV405"/>
    <mergeCell ref="AW405:AY405"/>
    <mergeCell ref="BC405:BE405"/>
    <mergeCell ref="BF405:BH405"/>
    <mergeCell ref="BI405:BL405"/>
    <mergeCell ref="BM405:BP405"/>
    <mergeCell ref="BQ405:BS405"/>
    <mergeCell ref="BT405:BW405"/>
    <mergeCell ref="BX405:BZ405"/>
    <mergeCell ref="CA405:CD405"/>
    <mergeCell ref="CE405:CG405"/>
    <mergeCell ref="CH405:CK405"/>
    <mergeCell ref="CL405:CN405"/>
    <mergeCell ref="AG406:AH406"/>
    <mergeCell ref="AI406:AV406"/>
    <mergeCell ref="AW406:AY406"/>
    <mergeCell ref="BC406:BE406"/>
    <mergeCell ref="BF406:BH406"/>
    <mergeCell ref="BI406:BL406"/>
    <mergeCell ref="BM406:BP406"/>
    <mergeCell ref="BQ406:BS406"/>
    <mergeCell ref="BT406:BW406"/>
    <mergeCell ref="BX406:BZ406"/>
    <mergeCell ref="CA406:CD406"/>
    <mergeCell ref="CE406:CG406"/>
    <mergeCell ref="CH406:CK406"/>
    <mergeCell ref="CL406:CN406"/>
    <mergeCell ref="AG407:AH407"/>
    <mergeCell ref="AI407:AV407"/>
    <mergeCell ref="AW407:AY407"/>
    <mergeCell ref="BC407:BE407"/>
    <mergeCell ref="BF407:BH407"/>
    <mergeCell ref="BI407:BL407"/>
    <mergeCell ref="BM407:BP407"/>
    <mergeCell ref="BQ407:BS407"/>
    <mergeCell ref="BT407:BW407"/>
    <mergeCell ref="BX407:BZ407"/>
    <mergeCell ref="CA407:CD407"/>
    <mergeCell ref="CE407:CG407"/>
    <mergeCell ref="CH407:CK407"/>
    <mergeCell ref="CL407:CN407"/>
    <mergeCell ref="AG408:AH408"/>
    <mergeCell ref="AI408:AV408"/>
    <mergeCell ref="AW408:AY408"/>
    <mergeCell ref="BC408:BE408"/>
    <mergeCell ref="BF408:BH408"/>
    <mergeCell ref="BI408:BL408"/>
    <mergeCell ref="BM408:BP408"/>
    <mergeCell ref="BQ408:BS408"/>
    <mergeCell ref="BT408:BW408"/>
    <mergeCell ref="BX408:BZ408"/>
    <mergeCell ref="CA408:CD408"/>
    <mergeCell ref="CE408:CG408"/>
    <mergeCell ref="CH408:CK408"/>
    <mergeCell ref="CL408:CN408"/>
    <mergeCell ref="AG409:AH409"/>
    <mergeCell ref="AI409:AV409"/>
    <mergeCell ref="AW409:AY409"/>
    <mergeCell ref="BC409:BE409"/>
    <mergeCell ref="BF409:BH409"/>
    <mergeCell ref="BI409:BL409"/>
    <mergeCell ref="BM409:BP409"/>
    <mergeCell ref="BQ409:BS409"/>
    <mergeCell ref="BT409:BW409"/>
    <mergeCell ref="BX409:BZ409"/>
    <mergeCell ref="CA409:CD409"/>
    <mergeCell ref="CE409:CG409"/>
    <mergeCell ref="CH409:CK409"/>
    <mergeCell ref="CL409:CN409"/>
    <mergeCell ref="AG410:AH410"/>
    <mergeCell ref="AI410:AV410"/>
    <mergeCell ref="AW410:AY410"/>
    <mergeCell ref="BC410:BE410"/>
    <mergeCell ref="BF410:BH410"/>
    <mergeCell ref="BI410:BL410"/>
    <mergeCell ref="BM410:BP410"/>
    <mergeCell ref="BQ410:BS410"/>
    <mergeCell ref="BT410:BW410"/>
    <mergeCell ref="BX410:BZ410"/>
    <mergeCell ref="CA410:CD410"/>
    <mergeCell ref="CE410:CG410"/>
    <mergeCell ref="CH410:CK410"/>
    <mergeCell ref="CL410:CN410"/>
    <mergeCell ref="AG411:AH411"/>
    <mergeCell ref="AI411:AV411"/>
    <mergeCell ref="AW411:AY411"/>
    <mergeCell ref="BC411:BE411"/>
    <mergeCell ref="BF411:BH411"/>
    <mergeCell ref="BI411:BL411"/>
    <mergeCell ref="BM411:BP411"/>
    <mergeCell ref="BQ411:BS411"/>
    <mergeCell ref="BT411:BW411"/>
    <mergeCell ref="BX411:BZ411"/>
    <mergeCell ref="CA411:CD411"/>
    <mergeCell ref="CE411:CG411"/>
    <mergeCell ref="CH411:CK411"/>
    <mergeCell ref="CL411:CN411"/>
    <mergeCell ref="AG412:AH412"/>
    <mergeCell ref="AI412:AV412"/>
    <mergeCell ref="AW412:AY412"/>
    <mergeCell ref="BC412:BE412"/>
    <mergeCell ref="BF412:BH412"/>
    <mergeCell ref="BI412:BL412"/>
    <mergeCell ref="BM412:BP412"/>
    <mergeCell ref="BQ412:BS412"/>
    <mergeCell ref="BT412:BW412"/>
    <mergeCell ref="BX412:BZ412"/>
    <mergeCell ref="CA412:CD412"/>
    <mergeCell ref="CE412:CG412"/>
    <mergeCell ref="CH412:CK412"/>
    <mergeCell ref="CL412:CN412"/>
    <mergeCell ref="AG413:AH413"/>
    <mergeCell ref="AI413:AV413"/>
    <mergeCell ref="AW413:AY413"/>
    <mergeCell ref="BC413:BE413"/>
    <mergeCell ref="BF413:BH413"/>
    <mergeCell ref="BI413:BL413"/>
    <mergeCell ref="BM413:BP413"/>
    <mergeCell ref="BQ413:BS413"/>
    <mergeCell ref="BT413:BW413"/>
    <mergeCell ref="BX413:BZ413"/>
    <mergeCell ref="CA413:CD413"/>
    <mergeCell ref="CE413:CG413"/>
    <mergeCell ref="CH413:CK413"/>
    <mergeCell ref="CL413:CN413"/>
    <mergeCell ref="AG414:AH414"/>
    <mergeCell ref="AI414:AV414"/>
    <mergeCell ref="AW414:AY414"/>
    <mergeCell ref="BC414:BE414"/>
    <mergeCell ref="BF414:BH414"/>
    <mergeCell ref="BI414:BL414"/>
    <mergeCell ref="BM414:BP414"/>
    <mergeCell ref="BQ414:BS414"/>
    <mergeCell ref="BT414:BW414"/>
    <mergeCell ref="BX414:BZ414"/>
    <mergeCell ref="CA414:CD414"/>
    <mergeCell ref="CE414:CG414"/>
    <mergeCell ref="CH414:CK414"/>
    <mergeCell ref="CL414:CN414"/>
    <mergeCell ref="AG415:AH415"/>
    <mergeCell ref="AI415:AV415"/>
    <mergeCell ref="AW415:AY415"/>
    <mergeCell ref="BC415:BE415"/>
    <mergeCell ref="BF415:BH415"/>
    <mergeCell ref="BI415:BL415"/>
    <mergeCell ref="BM415:BP415"/>
    <mergeCell ref="BQ415:BS415"/>
    <mergeCell ref="BT415:BW415"/>
    <mergeCell ref="BX415:BZ415"/>
    <mergeCell ref="CA415:CD415"/>
    <mergeCell ref="CE415:CG415"/>
    <mergeCell ref="CH415:CK415"/>
    <mergeCell ref="CL415:CN415"/>
    <mergeCell ref="AG416:AH416"/>
    <mergeCell ref="AI416:AV416"/>
    <mergeCell ref="AW416:AY416"/>
    <mergeCell ref="BC416:BE416"/>
    <mergeCell ref="BF416:BH416"/>
    <mergeCell ref="BI416:BL416"/>
    <mergeCell ref="BM416:BP416"/>
    <mergeCell ref="BQ416:BS416"/>
    <mergeCell ref="BT416:BW416"/>
    <mergeCell ref="BX416:BZ416"/>
    <mergeCell ref="CA416:CD416"/>
    <mergeCell ref="CE416:CG416"/>
    <mergeCell ref="CH416:CK416"/>
    <mergeCell ref="CL416:CN416"/>
    <mergeCell ref="AG417:AH417"/>
    <mergeCell ref="AI417:AV417"/>
    <mergeCell ref="AW417:AY417"/>
    <mergeCell ref="BC417:BE417"/>
    <mergeCell ref="BF417:BH417"/>
    <mergeCell ref="BI417:BL417"/>
    <mergeCell ref="BM417:BP417"/>
    <mergeCell ref="BQ417:BS417"/>
    <mergeCell ref="BT417:BW417"/>
    <mergeCell ref="BX417:BZ417"/>
    <mergeCell ref="CA417:CD417"/>
    <mergeCell ref="CE417:CG417"/>
    <mergeCell ref="CH417:CK417"/>
    <mergeCell ref="CL417:CN417"/>
    <mergeCell ref="AG418:AH418"/>
    <mergeCell ref="AI418:AV418"/>
    <mergeCell ref="AW418:AY418"/>
    <mergeCell ref="BC418:BE418"/>
    <mergeCell ref="BF418:BH418"/>
    <mergeCell ref="BI418:BL418"/>
    <mergeCell ref="BM418:BP418"/>
    <mergeCell ref="BQ418:BS418"/>
    <mergeCell ref="BT418:BW418"/>
    <mergeCell ref="BX418:BZ418"/>
    <mergeCell ref="CA418:CD418"/>
    <mergeCell ref="CE418:CG418"/>
    <mergeCell ref="CH418:CK418"/>
    <mergeCell ref="CL418:CN418"/>
    <mergeCell ref="AG419:AH419"/>
    <mergeCell ref="AI419:AV419"/>
    <mergeCell ref="AW419:AY419"/>
    <mergeCell ref="BC419:BE419"/>
    <mergeCell ref="BF419:BH419"/>
    <mergeCell ref="BI419:BL419"/>
    <mergeCell ref="BM419:BP419"/>
    <mergeCell ref="BQ419:BS419"/>
    <mergeCell ref="BT419:BW419"/>
    <mergeCell ref="BX419:BZ419"/>
    <mergeCell ref="CA419:CD419"/>
    <mergeCell ref="CE419:CG419"/>
    <mergeCell ref="CH419:CK419"/>
    <mergeCell ref="CL419:CN419"/>
    <mergeCell ref="AG420:AH420"/>
    <mergeCell ref="AI420:AV420"/>
    <mergeCell ref="AW420:AY420"/>
    <mergeCell ref="BC420:BE420"/>
    <mergeCell ref="BF420:BH420"/>
    <mergeCell ref="BI420:BL420"/>
    <mergeCell ref="BM420:BP420"/>
    <mergeCell ref="BQ420:BS420"/>
    <mergeCell ref="BT420:BW420"/>
    <mergeCell ref="BX420:BZ420"/>
    <mergeCell ref="CA420:CD420"/>
    <mergeCell ref="CE420:CG420"/>
    <mergeCell ref="CH420:CK420"/>
    <mergeCell ref="CL420:CN420"/>
    <mergeCell ref="AG421:AH421"/>
    <mergeCell ref="AI421:AV421"/>
    <mergeCell ref="AW421:AY421"/>
    <mergeCell ref="BC421:BE421"/>
    <mergeCell ref="BF421:BH421"/>
    <mergeCell ref="BI421:BL421"/>
    <mergeCell ref="BM421:BP421"/>
    <mergeCell ref="BQ421:BS421"/>
    <mergeCell ref="BT421:BW421"/>
    <mergeCell ref="BX421:BZ421"/>
    <mergeCell ref="CA421:CD421"/>
    <mergeCell ref="CE421:CG421"/>
    <mergeCell ref="CH421:CK421"/>
    <mergeCell ref="CL421:CN421"/>
    <mergeCell ref="AG422:AH422"/>
    <mergeCell ref="AI422:AV422"/>
    <mergeCell ref="AW422:AY422"/>
    <mergeCell ref="BC422:BE422"/>
    <mergeCell ref="BF422:BH422"/>
    <mergeCell ref="BI422:BL422"/>
    <mergeCell ref="BM422:BP422"/>
    <mergeCell ref="BQ422:BS422"/>
    <mergeCell ref="BT422:BW422"/>
    <mergeCell ref="BX422:BZ422"/>
    <mergeCell ref="CA422:CD422"/>
    <mergeCell ref="CE422:CG422"/>
    <mergeCell ref="CH422:CK422"/>
    <mergeCell ref="CL422:CN422"/>
    <mergeCell ref="AG423:AH423"/>
    <mergeCell ref="AI423:AV423"/>
    <mergeCell ref="AW423:AY423"/>
    <mergeCell ref="BC423:BE423"/>
    <mergeCell ref="BF423:BH423"/>
    <mergeCell ref="BI423:BL423"/>
    <mergeCell ref="BM423:BP423"/>
    <mergeCell ref="BQ423:BS423"/>
    <mergeCell ref="BT423:BW423"/>
    <mergeCell ref="BX423:BZ423"/>
    <mergeCell ref="CA423:CD423"/>
    <mergeCell ref="CE423:CG423"/>
    <mergeCell ref="CH423:CK423"/>
    <mergeCell ref="CL423:CN423"/>
    <mergeCell ref="AG424:AH424"/>
    <mergeCell ref="AI424:AV424"/>
    <mergeCell ref="AW424:AY424"/>
    <mergeCell ref="BC424:BE424"/>
    <mergeCell ref="BF424:BH424"/>
    <mergeCell ref="BI424:BL424"/>
    <mergeCell ref="BM424:BP424"/>
    <mergeCell ref="BQ424:BS424"/>
    <mergeCell ref="BT424:BW424"/>
    <mergeCell ref="BX424:BZ424"/>
    <mergeCell ref="CA424:CD424"/>
    <mergeCell ref="CE424:CG424"/>
    <mergeCell ref="CH424:CK424"/>
    <mergeCell ref="CL424:CN424"/>
    <mergeCell ref="AG425:AH425"/>
    <mergeCell ref="AI425:AV425"/>
    <mergeCell ref="AW425:AY425"/>
    <mergeCell ref="BC425:BE425"/>
    <mergeCell ref="BF425:BH425"/>
    <mergeCell ref="BI425:BL425"/>
    <mergeCell ref="BM425:BP425"/>
    <mergeCell ref="BQ425:BS425"/>
    <mergeCell ref="BT425:BW425"/>
    <mergeCell ref="BX425:BZ425"/>
    <mergeCell ref="CA425:CD425"/>
    <mergeCell ref="CE425:CG425"/>
    <mergeCell ref="CH425:CK425"/>
    <mergeCell ref="CL425:CN425"/>
    <mergeCell ref="AG426:AH426"/>
    <mergeCell ref="AI426:AV426"/>
    <mergeCell ref="AW426:AY426"/>
    <mergeCell ref="BC426:BE426"/>
    <mergeCell ref="BF426:BH426"/>
    <mergeCell ref="BI426:BL426"/>
    <mergeCell ref="BM426:BP426"/>
    <mergeCell ref="BQ426:BS426"/>
    <mergeCell ref="BT426:BW426"/>
    <mergeCell ref="BX426:BZ426"/>
    <mergeCell ref="CA426:CD426"/>
    <mergeCell ref="CE426:CG426"/>
    <mergeCell ref="CH426:CK426"/>
    <mergeCell ref="CL426:CN426"/>
    <mergeCell ref="AG427:AH427"/>
    <mergeCell ref="AI427:AV427"/>
    <mergeCell ref="AW427:AY427"/>
    <mergeCell ref="BC427:BE427"/>
    <mergeCell ref="BF427:BH427"/>
    <mergeCell ref="BI427:BL427"/>
    <mergeCell ref="BM427:BP427"/>
    <mergeCell ref="BQ427:BS427"/>
    <mergeCell ref="BT427:BW427"/>
    <mergeCell ref="BX427:BZ427"/>
    <mergeCell ref="CA427:CD427"/>
    <mergeCell ref="CE427:CG427"/>
    <mergeCell ref="CH427:CK427"/>
    <mergeCell ref="CL427:CN427"/>
    <mergeCell ref="AG428:AH428"/>
    <mergeCell ref="AI428:AV428"/>
    <mergeCell ref="AW428:AY428"/>
    <mergeCell ref="BC428:BE428"/>
    <mergeCell ref="BF428:BH428"/>
    <mergeCell ref="BI428:BL428"/>
    <mergeCell ref="BM428:BP428"/>
    <mergeCell ref="BQ428:BS428"/>
    <mergeCell ref="BT428:BW428"/>
    <mergeCell ref="BX428:BZ428"/>
    <mergeCell ref="CA428:CD428"/>
    <mergeCell ref="CE428:CG428"/>
    <mergeCell ref="CH428:CK428"/>
    <mergeCell ref="CL428:CN428"/>
    <mergeCell ref="AG429:AH429"/>
    <mergeCell ref="AI429:AV429"/>
    <mergeCell ref="AW429:AY429"/>
    <mergeCell ref="BC429:BE429"/>
    <mergeCell ref="BF429:BH429"/>
    <mergeCell ref="BI429:BL429"/>
    <mergeCell ref="BM429:BP429"/>
    <mergeCell ref="BQ429:BS429"/>
    <mergeCell ref="BT429:BW429"/>
    <mergeCell ref="BX429:BZ429"/>
    <mergeCell ref="CA429:CD429"/>
    <mergeCell ref="CE429:CG429"/>
    <mergeCell ref="CH429:CK429"/>
    <mergeCell ref="CL429:CN429"/>
    <mergeCell ref="AG430:AH430"/>
    <mergeCell ref="AI430:AV430"/>
    <mergeCell ref="AW430:AY430"/>
    <mergeCell ref="BC430:BE430"/>
    <mergeCell ref="BF430:BH430"/>
    <mergeCell ref="BI430:BL430"/>
    <mergeCell ref="BM430:BP430"/>
    <mergeCell ref="BQ430:BS430"/>
    <mergeCell ref="BT430:BW430"/>
    <mergeCell ref="BX430:BZ430"/>
    <mergeCell ref="CA430:CD430"/>
    <mergeCell ref="CE430:CG430"/>
    <mergeCell ref="CH430:CK430"/>
    <mergeCell ref="CL430:CN430"/>
    <mergeCell ref="AG431:AH431"/>
    <mergeCell ref="AI431:AV431"/>
    <mergeCell ref="AW431:AY431"/>
    <mergeCell ref="BC431:BE431"/>
    <mergeCell ref="BF431:BH431"/>
    <mergeCell ref="BI431:BL431"/>
    <mergeCell ref="BM431:BP431"/>
    <mergeCell ref="BQ431:BS431"/>
    <mergeCell ref="BT431:BW431"/>
    <mergeCell ref="BX431:BZ431"/>
    <mergeCell ref="CA431:CD431"/>
    <mergeCell ref="CE431:CG431"/>
    <mergeCell ref="CH431:CK431"/>
    <mergeCell ref="CL431:CN431"/>
    <mergeCell ref="AG432:AH432"/>
    <mergeCell ref="AI432:AV432"/>
    <mergeCell ref="AW432:AY432"/>
    <mergeCell ref="BC432:BE432"/>
    <mergeCell ref="BF432:BH432"/>
    <mergeCell ref="BI432:BL432"/>
    <mergeCell ref="BM432:BP432"/>
    <mergeCell ref="BQ432:BS432"/>
    <mergeCell ref="BT432:BW432"/>
    <mergeCell ref="BX432:BZ432"/>
    <mergeCell ref="CA432:CD432"/>
    <mergeCell ref="CE432:CG432"/>
    <mergeCell ref="CH432:CK432"/>
    <mergeCell ref="CL432:CN432"/>
    <mergeCell ref="AG433:AH433"/>
    <mergeCell ref="AI433:AV433"/>
    <mergeCell ref="AW433:AY433"/>
    <mergeCell ref="BC433:BE433"/>
    <mergeCell ref="BF433:BH433"/>
    <mergeCell ref="BI433:BL433"/>
    <mergeCell ref="BM433:BP433"/>
    <mergeCell ref="BQ433:BS433"/>
    <mergeCell ref="BT433:BW433"/>
    <mergeCell ref="BX433:BZ433"/>
    <mergeCell ref="CA433:CD433"/>
    <mergeCell ref="CE433:CG433"/>
    <mergeCell ref="CH433:CK433"/>
    <mergeCell ref="CL433:CN433"/>
    <mergeCell ref="AG434:AH434"/>
    <mergeCell ref="AI434:AV434"/>
    <mergeCell ref="AW434:AY434"/>
    <mergeCell ref="BC434:BE434"/>
    <mergeCell ref="BF434:BH434"/>
    <mergeCell ref="BI434:BL434"/>
    <mergeCell ref="BM434:BP434"/>
    <mergeCell ref="BQ434:BS434"/>
    <mergeCell ref="BT434:BW434"/>
    <mergeCell ref="BX434:BZ434"/>
    <mergeCell ref="CA434:CD434"/>
    <mergeCell ref="CE434:CG434"/>
    <mergeCell ref="CH434:CK434"/>
    <mergeCell ref="CL434:CN434"/>
    <mergeCell ref="AG435:AH435"/>
    <mergeCell ref="AI435:AV435"/>
    <mergeCell ref="AW435:AY435"/>
    <mergeCell ref="BC435:BE435"/>
    <mergeCell ref="BF435:BH435"/>
    <mergeCell ref="BI435:BL435"/>
    <mergeCell ref="BM435:BP435"/>
    <mergeCell ref="BQ435:BS435"/>
    <mergeCell ref="BT435:BW435"/>
    <mergeCell ref="BX435:BZ435"/>
    <mergeCell ref="CA435:CD435"/>
    <mergeCell ref="CE435:CG435"/>
    <mergeCell ref="CH435:CK435"/>
    <mergeCell ref="CL435:CN435"/>
    <mergeCell ref="AG436:AH436"/>
    <mergeCell ref="AI436:AV436"/>
    <mergeCell ref="AW436:AY436"/>
    <mergeCell ref="BC436:BE436"/>
    <mergeCell ref="BF436:BH436"/>
    <mergeCell ref="BI436:BL436"/>
    <mergeCell ref="BM436:BP436"/>
    <mergeCell ref="BQ436:BS436"/>
    <mergeCell ref="BT436:BW436"/>
    <mergeCell ref="BX436:BZ436"/>
    <mergeCell ref="CA436:CD436"/>
    <mergeCell ref="CE436:CG436"/>
    <mergeCell ref="CH436:CK436"/>
    <mergeCell ref="CL436:CN436"/>
    <mergeCell ref="AG437:AH437"/>
    <mergeCell ref="AI437:AV437"/>
    <mergeCell ref="AW437:AY437"/>
    <mergeCell ref="BC437:BE437"/>
    <mergeCell ref="BF437:BH437"/>
    <mergeCell ref="BI437:BL437"/>
    <mergeCell ref="BM437:BP437"/>
    <mergeCell ref="BQ437:BS437"/>
    <mergeCell ref="BT437:BW437"/>
    <mergeCell ref="BX437:BZ437"/>
    <mergeCell ref="CA437:CD437"/>
    <mergeCell ref="CE437:CG437"/>
    <mergeCell ref="CH437:CK437"/>
    <mergeCell ref="CL437:CN437"/>
    <mergeCell ref="AG438:AH438"/>
    <mergeCell ref="AI438:AV438"/>
    <mergeCell ref="AW438:AY438"/>
    <mergeCell ref="BC438:BE438"/>
    <mergeCell ref="BF438:BH438"/>
    <mergeCell ref="BI438:BL438"/>
    <mergeCell ref="BM438:BP438"/>
    <mergeCell ref="BQ438:BS438"/>
    <mergeCell ref="BT438:BW438"/>
    <mergeCell ref="BX438:BZ438"/>
    <mergeCell ref="CA438:CD438"/>
    <mergeCell ref="CE438:CG438"/>
    <mergeCell ref="CH438:CK438"/>
    <mergeCell ref="CL438:CN438"/>
    <mergeCell ref="AG439:AH439"/>
    <mergeCell ref="AI439:AV439"/>
    <mergeCell ref="AW439:AY439"/>
    <mergeCell ref="BC439:BE439"/>
    <mergeCell ref="BF439:BH439"/>
    <mergeCell ref="BI439:BL439"/>
    <mergeCell ref="BM439:BP439"/>
    <mergeCell ref="BQ439:BS439"/>
    <mergeCell ref="BT439:BW439"/>
    <mergeCell ref="BX439:BZ439"/>
    <mergeCell ref="CA439:CD439"/>
    <mergeCell ref="CE439:CG439"/>
    <mergeCell ref="CH439:CK439"/>
    <mergeCell ref="CL439:CN439"/>
    <mergeCell ref="AG440:AH440"/>
    <mergeCell ref="AI440:AV440"/>
    <mergeCell ref="AW440:AY440"/>
    <mergeCell ref="BC440:BE440"/>
    <mergeCell ref="BF440:BH440"/>
    <mergeCell ref="BI440:BL440"/>
    <mergeCell ref="BM440:BP440"/>
    <mergeCell ref="BQ440:BS440"/>
    <mergeCell ref="BT440:BW440"/>
    <mergeCell ref="BX440:BZ440"/>
    <mergeCell ref="CA440:CD440"/>
    <mergeCell ref="CE440:CG440"/>
    <mergeCell ref="CH440:CK440"/>
    <mergeCell ref="CL440:CN440"/>
    <mergeCell ref="AG441:AH441"/>
    <mergeCell ref="AI441:AV441"/>
    <mergeCell ref="AW441:AY441"/>
    <mergeCell ref="BC441:BE441"/>
    <mergeCell ref="BF441:BH441"/>
    <mergeCell ref="BI441:BL441"/>
    <mergeCell ref="BM441:BP441"/>
    <mergeCell ref="BQ441:BS441"/>
    <mergeCell ref="BT441:BW441"/>
    <mergeCell ref="BX441:BZ441"/>
    <mergeCell ref="CA441:CD441"/>
    <mergeCell ref="CE441:CG441"/>
    <mergeCell ref="CH441:CK441"/>
    <mergeCell ref="CL441:CN441"/>
    <mergeCell ref="AG442:AH442"/>
    <mergeCell ref="AI442:AV442"/>
    <mergeCell ref="AW442:AY442"/>
    <mergeCell ref="BC442:BE442"/>
    <mergeCell ref="BF442:BH442"/>
    <mergeCell ref="BI442:BL442"/>
    <mergeCell ref="BM442:BP442"/>
    <mergeCell ref="BQ442:BS442"/>
    <mergeCell ref="BT442:BW442"/>
    <mergeCell ref="BX442:BZ442"/>
    <mergeCell ref="CA442:CD442"/>
    <mergeCell ref="CE442:CG442"/>
    <mergeCell ref="CH442:CK442"/>
    <mergeCell ref="CL442:CN442"/>
    <mergeCell ref="AG443:AH443"/>
    <mergeCell ref="AI443:AV443"/>
    <mergeCell ref="AW443:AY443"/>
    <mergeCell ref="BC443:BE443"/>
    <mergeCell ref="BF443:BH443"/>
    <mergeCell ref="BI443:BL443"/>
    <mergeCell ref="BM443:BP443"/>
    <mergeCell ref="BQ443:BS443"/>
    <mergeCell ref="BT443:BW443"/>
    <mergeCell ref="BX443:BZ443"/>
    <mergeCell ref="CA443:CD443"/>
    <mergeCell ref="CE443:CG443"/>
    <mergeCell ref="CH443:CK443"/>
    <mergeCell ref="CL443:CN443"/>
    <mergeCell ref="AG444:AH444"/>
    <mergeCell ref="AI444:AV444"/>
    <mergeCell ref="AW444:AY444"/>
    <mergeCell ref="BC444:BE444"/>
    <mergeCell ref="BF444:BH444"/>
    <mergeCell ref="BI444:BL444"/>
    <mergeCell ref="BM444:BP444"/>
    <mergeCell ref="BQ444:BS444"/>
    <mergeCell ref="BT444:BW444"/>
    <mergeCell ref="BX444:BZ444"/>
    <mergeCell ref="CA444:CD444"/>
    <mergeCell ref="CE444:CG444"/>
    <mergeCell ref="CH444:CK444"/>
    <mergeCell ref="CL444:CN444"/>
    <mergeCell ref="AG445:AH445"/>
    <mergeCell ref="AI445:AV445"/>
    <mergeCell ref="AW445:AY445"/>
    <mergeCell ref="BC445:BE445"/>
    <mergeCell ref="BF445:BH445"/>
    <mergeCell ref="BI445:BL445"/>
    <mergeCell ref="BM445:BP445"/>
    <mergeCell ref="BQ445:BS445"/>
    <mergeCell ref="BT445:BW445"/>
    <mergeCell ref="BX445:BZ445"/>
    <mergeCell ref="CA445:CD445"/>
    <mergeCell ref="CE445:CG445"/>
    <mergeCell ref="CH445:CK445"/>
    <mergeCell ref="CL445:CN445"/>
    <mergeCell ref="AG446:AH446"/>
    <mergeCell ref="AI446:AV446"/>
    <mergeCell ref="AW446:AY446"/>
    <mergeCell ref="BC446:BE446"/>
    <mergeCell ref="BF446:BH446"/>
    <mergeCell ref="BI446:BL446"/>
    <mergeCell ref="BM446:BP446"/>
    <mergeCell ref="BQ446:BS446"/>
    <mergeCell ref="BT446:BW446"/>
    <mergeCell ref="BX446:BZ446"/>
    <mergeCell ref="CA446:CD446"/>
    <mergeCell ref="CE446:CG446"/>
    <mergeCell ref="CH446:CK446"/>
    <mergeCell ref="CL446:CN446"/>
    <mergeCell ref="AG447:AH447"/>
    <mergeCell ref="AI447:AV447"/>
    <mergeCell ref="AW447:AY447"/>
    <mergeCell ref="BC447:BE447"/>
    <mergeCell ref="BF447:BH447"/>
    <mergeCell ref="BI447:BL447"/>
    <mergeCell ref="BM447:BP447"/>
    <mergeCell ref="BQ447:BS447"/>
    <mergeCell ref="BT447:BW447"/>
    <mergeCell ref="BX447:BZ447"/>
    <mergeCell ref="CA447:CD447"/>
    <mergeCell ref="CE447:CG447"/>
    <mergeCell ref="CH447:CK447"/>
    <mergeCell ref="CL447:CN447"/>
    <mergeCell ref="AG448:AH448"/>
    <mergeCell ref="AI448:AV448"/>
    <mergeCell ref="AW448:AY448"/>
    <mergeCell ref="BC448:BE448"/>
    <mergeCell ref="BF448:BH448"/>
    <mergeCell ref="BI448:BL448"/>
    <mergeCell ref="BM448:BP448"/>
    <mergeCell ref="BQ448:BS448"/>
    <mergeCell ref="BT448:BW448"/>
    <mergeCell ref="BX448:BZ448"/>
    <mergeCell ref="CA448:CD448"/>
    <mergeCell ref="CE448:CG448"/>
    <mergeCell ref="CH448:CK448"/>
    <mergeCell ref="CL448:CN448"/>
    <mergeCell ref="AG449:AH449"/>
    <mergeCell ref="AI449:AV449"/>
    <mergeCell ref="AW449:AY449"/>
    <mergeCell ref="BC449:BE449"/>
    <mergeCell ref="BF449:BH449"/>
    <mergeCell ref="BI449:BL449"/>
    <mergeCell ref="BM449:BP449"/>
    <mergeCell ref="BQ449:BS449"/>
    <mergeCell ref="BT449:BW449"/>
    <mergeCell ref="BX449:BZ449"/>
    <mergeCell ref="CA449:CD449"/>
    <mergeCell ref="CE449:CG449"/>
    <mergeCell ref="CH449:CK449"/>
    <mergeCell ref="CL449:CN449"/>
    <mergeCell ref="AG450:AH450"/>
    <mergeCell ref="AI450:AV450"/>
    <mergeCell ref="AW450:AY450"/>
    <mergeCell ref="BC450:BE450"/>
    <mergeCell ref="BF450:BH450"/>
    <mergeCell ref="BI450:BL450"/>
    <mergeCell ref="BM450:BP450"/>
    <mergeCell ref="BQ450:BS450"/>
    <mergeCell ref="BT450:BW450"/>
    <mergeCell ref="BX450:BZ450"/>
    <mergeCell ref="CA450:CD450"/>
    <mergeCell ref="CE450:CG450"/>
    <mergeCell ref="CH450:CK450"/>
    <mergeCell ref="CL450:CN450"/>
    <mergeCell ref="AG451:AH451"/>
    <mergeCell ref="AI451:AV451"/>
    <mergeCell ref="AW451:AY451"/>
    <mergeCell ref="BC451:BE451"/>
    <mergeCell ref="BF451:BH451"/>
    <mergeCell ref="BI451:BL451"/>
    <mergeCell ref="BM451:BP451"/>
    <mergeCell ref="BQ451:BS451"/>
    <mergeCell ref="BT451:BW451"/>
    <mergeCell ref="BX451:BZ451"/>
    <mergeCell ref="CA451:CD451"/>
    <mergeCell ref="CE451:CG451"/>
    <mergeCell ref="CH451:CK451"/>
    <mergeCell ref="CL451:CN451"/>
    <mergeCell ref="AG452:AH452"/>
    <mergeCell ref="AI452:AV452"/>
    <mergeCell ref="AW452:AY452"/>
    <mergeCell ref="BC452:BE452"/>
    <mergeCell ref="BF452:BH452"/>
    <mergeCell ref="BI452:BL452"/>
    <mergeCell ref="BM452:BP452"/>
    <mergeCell ref="BQ452:BS452"/>
    <mergeCell ref="BT452:BW452"/>
    <mergeCell ref="BX452:BZ452"/>
    <mergeCell ref="CA452:CD452"/>
    <mergeCell ref="CE452:CG452"/>
    <mergeCell ref="CH452:CK452"/>
    <mergeCell ref="CL452:CN452"/>
    <mergeCell ref="AG453:AH453"/>
    <mergeCell ref="AI453:AV453"/>
    <mergeCell ref="AW453:AY453"/>
    <mergeCell ref="BC453:BE453"/>
    <mergeCell ref="BF453:BH453"/>
    <mergeCell ref="BI453:BL453"/>
    <mergeCell ref="BM453:BP453"/>
    <mergeCell ref="BQ453:BS453"/>
    <mergeCell ref="BT453:BW453"/>
    <mergeCell ref="BX453:BZ453"/>
    <mergeCell ref="CA453:CD453"/>
    <mergeCell ref="CE453:CG453"/>
    <mergeCell ref="CH453:CK453"/>
    <mergeCell ref="CL453:CN453"/>
    <mergeCell ref="AG454:AH454"/>
    <mergeCell ref="AI454:AV454"/>
    <mergeCell ref="AW454:AY454"/>
    <mergeCell ref="BC454:BE454"/>
    <mergeCell ref="BF454:BH454"/>
    <mergeCell ref="BI454:BL454"/>
    <mergeCell ref="BM454:BP454"/>
    <mergeCell ref="BQ454:BS454"/>
    <mergeCell ref="BT454:BW454"/>
    <mergeCell ref="BX454:BZ454"/>
    <mergeCell ref="CA454:CD454"/>
    <mergeCell ref="CE454:CG454"/>
    <mergeCell ref="CH454:CK454"/>
    <mergeCell ref="CL454:CN454"/>
    <mergeCell ref="AG455:AH455"/>
    <mergeCell ref="AI455:AV455"/>
    <mergeCell ref="AW455:AY455"/>
    <mergeCell ref="BC455:BE455"/>
    <mergeCell ref="BF455:BH455"/>
    <mergeCell ref="BI455:BL455"/>
    <mergeCell ref="BM455:BP455"/>
    <mergeCell ref="BQ455:BS455"/>
    <mergeCell ref="BT455:BW455"/>
    <mergeCell ref="BX455:BZ455"/>
    <mergeCell ref="CA455:CD455"/>
    <mergeCell ref="CE455:CG455"/>
    <mergeCell ref="CH455:CK455"/>
    <mergeCell ref="CL455:CN455"/>
    <mergeCell ref="AG456:AH456"/>
    <mergeCell ref="AI456:AV456"/>
    <mergeCell ref="AW456:AY456"/>
    <mergeCell ref="BC456:BE456"/>
    <mergeCell ref="BF456:BH456"/>
    <mergeCell ref="BI456:BL456"/>
    <mergeCell ref="BM456:BP456"/>
    <mergeCell ref="BQ456:BS456"/>
    <mergeCell ref="BT456:BW456"/>
    <mergeCell ref="BX456:BZ456"/>
    <mergeCell ref="CA456:CD456"/>
    <mergeCell ref="CE456:CG456"/>
    <mergeCell ref="CH456:CK456"/>
    <mergeCell ref="CL456:CN456"/>
    <mergeCell ref="AG457:AH457"/>
    <mergeCell ref="AI457:AV457"/>
    <mergeCell ref="AW457:AY457"/>
    <mergeCell ref="BC457:BE457"/>
    <mergeCell ref="BF457:BH457"/>
    <mergeCell ref="BI457:BL457"/>
    <mergeCell ref="BM457:BP457"/>
    <mergeCell ref="BQ457:BS457"/>
    <mergeCell ref="BT457:BW457"/>
    <mergeCell ref="BX457:BZ457"/>
    <mergeCell ref="CA457:CD457"/>
    <mergeCell ref="CE457:CG457"/>
    <mergeCell ref="CH457:CK457"/>
    <mergeCell ref="CL457:CN457"/>
    <mergeCell ref="AG458:AH458"/>
    <mergeCell ref="AI458:AV458"/>
    <mergeCell ref="AW458:AY458"/>
    <mergeCell ref="BC458:BE458"/>
    <mergeCell ref="BF458:BH458"/>
    <mergeCell ref="BI458:BL458"/>
    <mergeCell ref="BM458:BP458"/>
    <mergeCell ref="BQ458:BS458"/>
    <mergeCell ref="BT458:BW458"/>
    <mergeCell ref="BX458:BZ458"/>
    <mergeCell ref="CA458:CD458"/>
    <mergeCell ref="CE458:CG458"/>
    <mergeCell ref="CH458:CK458"/>
    <mergeCell ref="CL458:CN458"/>
    <mergeCell ref="AG459:AH459"/>
    <mergeCell ref="AI459:AV459"/>
    <mergeCell ref="AW459:AY459"/>
    <mergeCell ref="BC459:BE459"/>
    <mergeCell ref="BF459:BH459"/>
    <mergeCell ref="BI459:BL459"/>
    <mergeCell ref="BM459:BP459"/>
    <mergeCell ref="BQ459:BS459"/>
    <mergeCell ref="BT459:BW459"/>
    <mergeCell ref="BX459:BZ459"/>
    <mergeCell ref="CA459:CD459"/>
    <mergeCell ref="CE459:CG459"/>
    <mergeCell ref="CH459:CK459"/>
    <mergeCell ref="CL459:CN459"/>
    <mergeCell ref="AG460:AH460"/>
    <mergeCell ref="AI460:AV460"/>
    <mergeCell ref="AW460:AY460"/>
    <mergeCell ref="BC460:BE460"/>
    <mergeCell ref="BF460:BH460"/>
    <mergeCell ref="BI460:BL460"/>
    <mergeCell ref="BM460:BP460"/>
    <mergeCell ref="BQ460:BS460"/>
    <mergeCell ref="BT460:BW460"/>
    <mergeCell ref="BX460:BZ460"/>
    <mergeCell ref="CA460:CD460"/>
    <mergeCell ref="CE460:CG460"/>
    <mergeCell ref="CH460:CK460"/>
    <mergeCell ref="CL460:CN460"/>
    <mergeCell ref="AG461:AH461"/>
    <mergeCell ref="AI461:AV461"/>
    <mergeCell ref="AW461:AY461"/>
    <mergeCell ref="BC461:BE461"/>
    <mergeCell ref="BF461:BH461"/>
    <mergeCell ref="BI461:BL461"/>
    <mergeCell ref="BM461:BP461"/>
    <mergeCell ref="BQ461:BS461"/>
    <mergeCell ref="BT461:BW461"/>
    <mergeCell ref="BX461:BZ461"/>
    <mergeCell ref="CA461:CD461"/>
    <mergeCell ref="CE461:CG461"/>
    <mergeCell ref="CH461:CK461"/>
    <mergeCell ref="CL461:CN461"/>
    <mergeCell ref="AG462:AH462"/>
    <mergeCell ref="AI462:AV462"/>
    <mergeCell ref="AW462:AY462"/>
    <mergeCell ref="BC462:BE462"/>
    <mergeCell ref="BF462:BH462"/>
    <mergeCell ref="BI462:BL462"/>
    <mergeCell ref="BM462:BP462"/>
    <mergeCell ref="BQ462:BS462"/>
    <mergeCell ref="BT462:BW462"/>
    <mergeCell ref="BX462:BZ462"/>
    <mergeCell ref="CA462:CD462"/>
    <mergeCell ref="CE462:CG462"/>
    <mergeCell ref="CH462:CK462"/>
    <mergeCell ref="CL462:CN462"/>
    <mergeCell ref="AG463:AH463"/>
    <mergeCell ref="AI463:AV463"/>
    <mergeCell ref="AW463:AY463"/>
    <mergeCell ref="BC463:BE463"/>
    <mergeCell ref="BF463:BH463"/>
    <mergeCell ref="BI463:BL463"/>
    <mergeCell ref="BM463:BP463"/>
    <mergeCell ref="BQ463:BS463"/>
    <mergeCell ref="BT463:BW463"/>
    <mergeCell ref="BX463:BZ463"/>
    <mergeCell ref="CA463:CD463"/>
    <mergeCell ref="CE463:CG463"/>
    <mergeCell ref="CH463:CK463"/>
    <mergeCell ref="CL463:CN463"/>
    <mergeCell ref="AG464:AH464"/>
    <mergeCell ref="AI464:AV464"/>
    <mergeCell ref="AW464:AY464"/>
    <mergeCell ref="BC464:BE464"/>
    <mergeCell ref="BF464:BH464"/>
    <mergeCell ref="BI464:BL464"/>
    <mergeCell ref="BM464:BP464"/>
    <mergeCell ref="BQ464:BS464"/>
    <mergeCell ref="BT464:BW464"/>
    <mergeCell ref="BX464:BZ464"/>
    <mergeCell ref="CA464:CD464"/>
    <mergeCell ref="CE464:CG464"/>
    <mergeCell ref="CH464:CK464"/>
    <mergeCell ref="CL464:CN464"/>
    <mergeCell ref="AG465:AH465"/>
    <mergeCell ref="AI465:AV465"/>
    <mergeCell ref="AW465:AY465"/>
    <mergeCell ref="BC465:BE465"/>
    <mergeCell ref="BF465:BH465"/>
    <mergeCell ref="BI465:BL465"/>
    <mergeCell ref="BM465:BP465"/>
    <mergeCell ref="BQ465:BS465"/>
    <mergeCell ref="BT465:BW465"/>
    <mergeCell ref="BX465:BZ465"/>
    <mergeCell ref="CA465:CD465"/>
    <mergeCell ref="CE465:CG465"/>
    <mergeCell ref="CH465:CK465"/>
    <mergeCell ref="CL465:CN465"/>
    <mergeCell ref="AG466:AH466"/>
    <mergeCell ref="AI466:AV466"/>
    <mergeCell ref="AW466:AY466"/>
    <mergeCell ref="BC466:BE466"/>
    <mergeCell ref="BF466:BH466"/>
    <mergeCell ref="BI466:BL466"/>
    <mergeCell ref="BM466:BP466"/>
    <mergeCell ref="BQ466:BS466"/>
    <mergeCell ref="BT466:BW466"/>
    <mergeCell ref="BX466:BZ466"/>
    <mergeCell ref="CA466:CD466"/>
    <mergeCell ref="CE466:CG466"/>
    <mergeCell ref="CH466:CK466"/>
    <mergeCell ref="CL466:CN466"/>
    <mergeCell ref="AG467:AH467"/>
    <mergeCell ref="AI467:AV467"/>
    <mergeCell ref="AW467:AY467"/>
    <mergeCell ref="BC467:BE467"/>
    <mergeCell ref="BF467:BH467"/>
    <mergeCell ref="BI467:BL467"/>
    <mergeCell ref="BM467:BP467"/>
    <mergeCell ref="BQ467:BS467"/>
    <mergeCell ref="BT467:BW467"/>
    <mergeCell ref="BX467:BZ467"/>
    <mergeCell ref="CA467:CD467"/>
    <mergeCell ref="CE467:CG467"/>
    <mergeCell ref="CH467:CK467"/>
    <mergeCell ref="CL467:CN467"/>
    <mergeCell ref="AG468:AH468"/>
    <mergeCell ref="AI468:AV468"/>
    <mergeCell ref="AW468:AY468"/>
    <mergeCell ref="BC468:BE468"/>
    <mergeCell ref="BF468:BH468"/>
    <mergeCell ref="BI468:BL468"/>
    <mergeCell ref="BM468:BP468"/>
    <mergeCell ref="BQ468:BS468"/>
    <mergeCell ref="BT468:BW468"/>
    <mergeCell ref="BX468:BZ468"/>
    <mergeCell ref="CA468:CD468"/>
    <mergeCell ref="CE468:CG468"/>
    <mergeCell ref="CH468:CK468"/>
    <mergeCell ref="CL468:CN468"/>
    <mergeCell ref="AG469:AH469"/>
    <mergeCell ref="AI469:AV469"/>
    <mergeCell ref="AW469:AY469"/>
    <mergeCell ref="BC469:BE469"/>
    <mergeCell ref="BF469:BH469"/>
    <mergeCell ref="BI469:BL469"/>
    <mergeCell ref="BM469:BP469"/>
    <mergeCell ref="BQ469:BS469"/>
    <mergeCell ref="BT469:BW469"/>
    <mergeCell ref="BX469:BZ469"/>
    <mergeCell ref="CA469:CD469"/>
    <mergeCell ref="CE469:CG469"/>
    <mergeCell ref="CH469:CK469"/>
    <mergeCell ref="CL469:CN469"/>
    <mergeCell ref="AG470:AH470"/>
    <mergeCell ref="AI470:AV470"/>
    <mergeCell ref="AW470:AY470"/>
    <mergeCell ref="BC470:BE470"/>
    <mergeCell ref="BF470:BH470"/>
    <mergeCell ref="BI470:BL470"/>
    <mergeCell ref="BM470:BP470"/>
    <mergeCell ref="BQ470:BS470"/>
    <mergeCell ref="BT470:BW470"/>
    <mergeCell ref="BX470:BZ470"/>
    <mergeCell ref="CA470:CD470"/>
    <mergeCell ref="CE470:CG470"/>
    <mergeCell ref="CH470:CK470"/>
    <mergeCell ref="CL470:CN470"/>
    <mergeCell ref="AG471:AH471"/>
    <mergeCell ref="AI471:AV471"/>
    <mergeCell ref="AW471:AY471"/>
    <mergeCell ref="BC471:BE471"/>
    <mergeCell ref="BF471:BH471"/>
    <mergeCell ref="BI471:BL471"/>
    <mergeCell ref="BM471:BP471"/>
    <mergeCell ref="BQ471:BS471"/>
    <mergeCell ref="BT471:BW471"/>
    <mergeCell ref="BX471:BZ471"/>
    <mergeCell ref="CA471:CD471"/>
    <mergeCell ref="CE471:CG471"/>
    <mergeCell ref="CH471:CK471"/>
    <mergeCell ref="CL471:CN471"/>
    <mergeCell ref="AG472:AH472"/>
    <mergeCell ref="AI472:AV472"/>
    <mergeCell ref="AW472:AY472"/>
    <mergeCell ref="BC472:BE472"/>
    <mergeCell ref="BF472:BH472"/>
    <mergeCell ref="BI472:BL472"/>
    <mergeCell ref="BM472:BP472"/>
    <mergeCell ref="BQ472:BS472"/>
    <mergeCell ref="BT472:BW472"/>
    <mergeCell ref="BX472:BZ472"/>
    <mergeCell ref="CA472:CD472"/>
    <mergeCell ref="CE472:CG472"/>
    <mergeCell ref="CH472:CK472"/>
    <mergeCell ref="CL472:CN472"/>
    <mergeCell ref="AG473:AH473"/>
    <mergeCell ref="AI473:AV473"/>
    <mergeCell ref="AW473:AY473"/>
    <mergeCell ref="BC473:BE473"/>
    <mergeCell ref="BF473:BH473"/>
    <mergeCell ref="BI473:BL473"/>
    <mergeCell ref="BM473:BP473"/>
    <mergeCell ref="BQ473:BS473"/>
    <mergeCell ref="BT473:BW473"/>
    <mergeCell ref="BX473:BZ473"/>
    <mergeCell ref="CA473:CD473"/>
    <mergeCell ref="CE473:CG473"/>
    <mergeCell ref="CH473:CK473"/>
    <mergeCell ref="CL473:CN473"/>
    <mergeCell ref="AG474:AH474"/>
    <mergeCell ref="AI474:AV474"/>
    <mergeCell ref="AW474:AY474"/>
    <mergeCell ref="BC474:BE474"/>
    <mergeCell ref="BF474:BH474"/>
    <mergeCell ref="BI474:BL474"/>
    <mergeCell ref="BM474:BP474"/>
    <mergeCell ref="BQ474:BS474"/>
    <mergeCell ref="BT474:BW474"/>
    <mergeCell ref="BX474:BZ474"/>
    <mergeCell ref="CA474:CD474"/>
    <mergeCell ref="CE474:CG474"/>
    <mergeCell ref="CH474:CK474"/>
    <mergeCell ref="CL474:CN474"/>
    <mergeCell ref="AG475:AH475"/>
    <mergeCell ref="AI475:AV475"/>
    <mergeCell ref="AW475:AY475"/>
    <mergeCell ref="BC475:BE475"/>
    <mergeCell ref="BF475:BH475"/>
    <mergeCell ref="BI475:BL475"/>
    <mergeCell ref="BM475:BP475"/>
    <mergeCell ref="BQ475:BS475"/>
    <mergeCell ref="BT475:BW475"/>
    <mergeCell ref="BX475:BZ475"/>
    <mergeCell ref="CA475:CD475"/>
    <mergeCell ref="CE475:CG475"/>
    <mergeCell ref="CH475:CK475"/>
    <mergeCell ref="CL475:CN475"/>
    <mergeCell ref="AG476:AH476"/>
    <mergeCell ref="AI476:AV476"/>
    <mergeCell ref="AW476:AY476"/>
    <mergeCell ref="BC476:BE476"/>
    <mergeCell ref="BF476:BH476"/>
    <mergeCell ref="BI476:BL476"/>
    <mergeCell ref="BM476:BP476"/>
    <mergeCell ref="BQ476:BS476"/>
    <mergeCell ref="BT476:BW476"/>
    <mergeCell ref="BX476:BZ476"/>
    <mergeCell ref="CA476:CD476"/>
    <mergeCell ref="CE476:CG476"/>
    <mergeCell ref="CH476:CK476"/>
    <mergeCell ref="CL476:CN476"/>
    <mergeCell ref="AG477:AH477"/>
    <mergeCell ref="AI477:AV477"/>
    <mergeCell ref="AW477:AY477"/>
    <mergeCell ref="BC477:BE477"/>
    <mergeCell ref="BF477:BH477"/>
    <mergeCell ref="BI477:BL477"/>
    <mergeCell ref="BM477:BP477"/>
    <mergeCell ref="BQ477:BS477"/>
    <mergeCell ref="BT477:BW477"/>
    <mergeCell ref="BX477:BZ477"/>
    <mergeCell ref="CA477:CD477"/>
    <mergeCell ref="CE477:CG477"/>
    <mergeCell ref="CH477:CK477"/>
    <mergeCell ref="CL477:CN477"/>
    <mergeCell ref="AG478:AH478"/>
    <mergeCell ref="AI478:AV478"/>
    <mergeCell ref="AW478:AY478"/>
    <mergeCell ref="BC478:BE478"/>
    <mergeCell ref="BF478:BH478"/>
    <mergeCell ref="BI478:BL478"/>
    <mergeCell ref="BM478:BP478"/>
    <mergeCell ref="BQ478:BS478"/>
    <mergeCell ref="BT478:BW478"/>
    <mergeCell ref="BX478:BZ478"/>
    <mergeCell ref="CA478:CD478"/>
    <mergeCell ref="CE478:CG478"/>
    <mergeCell ref="CH478:CK478"/>
    <mergeCell ref="CL478:CN478"/>
    <mergeCell ref="AG479:AH479"/>
    <mergeCell ref="AI479:AV479"/>
    <mergeCell ref="AW479:AY479"/>
    <mergeCell ref="BC479:BE479"/>
    <mergeCell ref="BF479:BH479"/>
    <mergeCell ref="BI479:BL479"/>
    <mergeCell ref="BM479:BP479"/>
    <mergeCell ref="BQ479:BS479"/>
    <mergeCell ref="BT479:BW479"/>
    <mergeCell ref="BX479:BZ479"/>
    <mergeCell ref="CA479:CD479"/>
    <mergeCell ref="CE479:CG479"/>
    <mergeCell ref="CH479:CK479"/>
    <mergeCell ref="CL479:CN479"/>
    <mergeCell ref="AG480:AH480"/>
    <mergeCell ref="AI480:AV480"/>
    <mergeCell ref="AW480:AY480"/>
    <mergeCell ref="BC480:BE480"/>
    <mergeCell ref="BF480:BH480"/>
    <mergeCell ref="BI480:BL480"/>
    <mergeCell ref="BM480:BP480"/>
    <mergeCell ref="BQ480:BS480"/>
    <mergeCell ref="BT480:BW480"/>
    <mergeCell ref="BX480:BZ480"/>
    <mergeCell ref="CA480:CD480"/>
    <mergeCell ref="CE480:CG480"/>
    <mergeCell ref="CH480:CK480"/>
    <mergeCell ref="CL480:CN480"/>
    <mergeCell ref="AG481:AH481"/>
    <mergeCell ref="AI481:AV481"/>
    <mergeCell ref="AW481:AY481"/>
    <mergeCell ref="BC481:BE481"/>
    <mergeCell ref="BF481:BH481"/>
    <mergeCell ref="BI481:BL481"/>
    <mergeCell ref="BM481:BP481"/>
    <mergeCell ref="BQ481:BS481"/>
    <mergeCell ref="BT481:BW481"/>
    <mergeCell ref="BX481:BZ481"/>
    <mergeCell ref="CA481:CD481"/>
    <mergeCell ref="CE481:CG481"/>
    <mergeCell ref="CH481:CK481"/>
    <mergeCell ref="CL481:CN481"/>
    <mergeCell ref="AG482:AH482"/>
    <mergeCell ref="AI482:AV482"/>
    <mergeCell ref="AW482:AY482"/>
    <mergeCell ref="BC482:BE482"/>
    <mergeCell ref="BF482:BH482"/>
    <mergeCell ref="BI482:BL482"/>
    <mergeCell ref="BM482:BP482"/>
    <mergeCell ref="BQ482:BS482"/>
    <mergeCell ref="BT482:BW482"/>
    <mergeCell ref="BX482:BZ482"/>
    <mergeCell ref="CA482:CD482"/>
    <mergeCell ref="CE482:CG482"/>
    <mergeCell ref="CH482:CK482"/>
    <mergeCell ref="CL482:CN482"/>
    <mergeCell ref="AG483:AH483"/>
    <mergeCell ref="AI483:AV483"/>
    <mergeCell ref="AW483:AY483"/>
    <mergeCell ref="BC483:BE483"/>
    <mergeCell ref="BF483:BH483"/>
    <mergeCell ref="BI483:BL483"/>
    <mergeCell ref="BM483:BP483"/>
    <mergeCell ref="BQ483:BS483"/>
    <mergeCell ref="BT483:BW483"/>
    <mergeCell ref="BX483:BZ483"/>
    <mergeCell ref="CA483:CD483"/>
    <mergeCell ref="CE483:CG483"/>
    <mergeCell ref="CH483:CK483"/>
    <mergeCell ref="CL483:CN483"/>
    <mergeCell ref="AG484:AH484"/>
    <mergeCell ref="AI484:AV484"/>
    <mergeCell ref="AW484:AY484"/>
    <mergeCell ref="BC484:BE484"/>
    <mergeCell ref="BF484:BH484"/>
    <mergeCell ref="BI484:BL484"/>
    <mergeCell ref="BM484:BP484"/>
    <mergeCell ref="BQ484:BS484"/>
    <mergeCell ref="BT484:BW484"/>
    <mergeCell ref="BX484:BZ484"/>
    <mergeCell ref="CA484:CD484"/>
    <mergeCell ref="CE484:CG484"/>
    <mergeCell ref="CH484:CK484"/>
    <mergeCell ref="CL484:CN484"/>
    <mergeCell ref="AG485:AH485"/>
    <mergeCell ref="AI485:AV485"/>
    <mergeCell ref="AW485:AY485"/>
    <mergeCell ref="BC485:BE485"/>
    <mergeCell ref="BF485:BH485"/>
    <mergeCell ref="BI485:BL485"/>
    <mergeCell ref="BM485:BP485"/>
    <mergeCell ref="BQ485:BS485"/>
    <mergeCell ref="BT485:BW485"/>
    <mergeCell ref="BX485:BZ485"/>
    <mergeCell ref="CA485:CD485"/>
    <mergeCell ref="CE485:CG485"/>
    <mergeCell ref="CH485:CK485"/>
    <mergeCell ref="CL485:CN485"/>
    <mergeCell ref="AG486:AH486"/>
    <mergeCell ref="AI486:AV486"/>
    <mergeCell ref="AW486:AY486"/>
    <mergeCell ref="BC486:BE486"/>
    <mergeCell ref="BF486:BH486"/>
    <mergeCell ref="BI486:BL486"/>
    <mergeCell ref="BM486:BP486"/>
    <mergeCell ref="BQ486:BS486"/>
    <mergeCell ref="BT486:BW486"/>
    <mergeCell ref="BX486:BZ486"/>
    <mergeCell ref="CA486:CD486"/>
    <mergeCell ref="CE486:CG486"/>
    <mergeCell ref="CH486:CK486"/>
    <mergeCell ref="CL486:CN486"/>
    <mergeCell ref="AG487:AH487"/>
    <mergeCell ref="AI487:AV487"/>
    <mergeCell ref="AW487:AY487"/>
    <mergeCell ref="BC487:BE487"/>
    <mergeCell ref="BF487:BH487"/>
    <mergeCell ref="BI487:BL487"/>
    <mergeCell ref="BM487:BP487"/>
    <mergeCell ref="BQ487:BS487"/>
    <mergeCell ref="BT487:BW487"/>
    <mergeCell ref="BX487:BZ487"/>
    <mergeCell ref="CA487:CD487"/>
    <mergeCell ref="CE487:CG487"/>
    <mergeCell ref="CH487:CK487"/>
    <mergeCell ref="CL487:CN487"/>
    <mergeCell ref="AG488:AH488"/>
    <mergeCell ref="AI488:AV488"/>
    <mergeCell ref="AW488:AY488"/>
    <mergeCell ref="BC488:BE488"/>
    <mergeCell ref="BF488:BH488"/>
    <mergeCell ref="BI488:BL488"/>
    <mergeCell ref="BM488:BP488"/>
    <mergeCell ref="BQ488:BS488"/>
    <mergeCell ref="BT488:BW488"/>
    <mergeCell ref="BX488:BZ488"/>
    <mergeCell ref="CA488:CD488"/>
    <mergeCell ref="CE488:CG488"/>
    <mergeCell ref="CH488:CK488"/>
    <mergeCell ref="CL488:CN488"/>
    <mergeCell ref="AG489:AH489"/>
    <mergeCell ref="AI489:AV489"/>
    <mergeCell ref="AW489:AY489"/>
    <mergeCell ref="BC489:BE489"/>
    <mergeCell ref="BF489:BH489"/>
    <mergeCell ref="BI489:BL489"/>
    <mergeCell ref="BM489:BP489"/>
    <mergeCell ref="BQ489:BS489"/>
    <mergeCell ref="BT489:BW489"/>
    <mergeCell ref="BX489:BZ489"/>
    <mergeCell ref="CA489:CD489"/>
    <mergeCell ref="CE489:CG489"/>
    <mergeCell ref="CH489:CK489"/>
    <mergeCell ref="CL489:CN489"/>
    <mergeCell ref="AG490:AH490"/>
    <mergeCell ref="AI490:AV490"/>
    <mergeCell ref="AW490:AY490"/>
    <mergeCell ref="BC490:BE490"/>
    <mergeCell ref="BF490:BH490"/>
    <mergeCell ref="BI490:BL490"/>
    <mergeCell ref="BM490:BP490"/>
    <mergeCell ref="BQ490:BS490"/>
    <mergeCell ref="BT490:BW490"/>
    <mergeCell ref="BX490:BZ490"/>
    <mergeCell ref="CA490:CD490"/>
    <mergeCell ref="CE490:CG490"/>
    <mergeCell ref="CH490:CK490"/>
    <mergeCell ref="CL490:CN490"/>
    <mergeCell ref="AG491:AH491"/>
    <mergeCell ref="AI491:AV491"/>
    <mergeCell ref="AW491:AY491"/>
    <mergeCell ref="BC491:BE491"/>
    <mergeCell ref="BF491:BH491"/>
    <mergeCell ref="BI491:BL491"/>
    <mergeCell ref="BM491:BP491"/>
    <mergeCell ref="BQ491:BS491"/>
    <mergeCell ref="BT491:BW491"/>
    <mergeCell ref="BX491:BZ491"/>
    <mergeCell ref="CA491:CD491"/>
    <mergeCell ref="CE491:CG491"/>
    <mergeCell ref="CH491:CK491"/>
    <mergeCell ref="CL491:CN491"/>
    <mergeCell ref="AG492:AH492"/>
    <mergeCell ref="AI492:AV492"/>
    <mergeCell ref="AW492:AY492"/>
    <mergeCell ref="BC492:BE492"/>
    <mergeCell ref="BF492:BH492"/>
    <mergeCell ref="BI492:BL492"/>
    <mergeCell ref="BM492:BP492"/>
    <mergeCell ref="BQ492:BS492"/>
    <mergeCell ref="BT492:BW492"/>
    <mergeCell ref="BX492:BZ492"/>
    <mergeCell ref="CA492:CD492"/>
    <mergeCell ref="CE492:CG492"/>
    <mergeCell ref="CH492:CK492"/>
    <mergeCell ref="CL492:CN492"/>
    <mergeCell ref="AG493:AH493"/>
    <mergeCell ref="AI493:AV493"/>
    <mergeCell ref="AW493:AY493"/>
    <mergeCell ref="BC493:BE493"/>
    <mergeCell ref="BF493:BH493"/>
    <mergeCell ref="BI493:BL493"/>
    <mergeCell ref="BM493:BP493"/>
    <mergeCell ref="BQ493:BS493"/>
    <mergeCell ref="BT493:BW493"/>
    <mergeCell ref="BX493:BZ493"/>
    <mergeCell ref="CA493:CD493"/>
    <mergeCell ref="CE493:CG493"/>
    <mergeCell ref="CH493:CK493"/>
    <mergeCell ref="CL493:CN493"/>
    <mergeCell ref="AG494:AH494"/>
    <mergeCell ref="AI494:AV494"/>
    <mergeCell ref="AW494:AY494"/>
    <mergeCell ref="BC494:BE494"/>
    <mergeCell ref="BF494:BH494"/>
    <mergeCell ref="BI494:BL494"/>
    <mergeCell ref="BM494:BP494"/>
    <mergeCell ref="BQ494:BS494"/>
    <mergeCell ref="BT494:BW494"/>
    <mergeCell ref="BX494:BZ494"/>
    <mergeCell ref="CA494:CD494"/>
    <mergeCell ref="CE494:CG494"/>
    <mergeCell ref="CH494:CK494"/>
    <mergeCell ref="CL494:CN494"/>
    <mergeCell ref="AG495:AH495"/>
    <mergeCell ref="AI495:AV495"/>
    <mergeCell ref="AW495:AY495"/>
    <mergeCell ref="BC495:BE495"/>
    <mergeCell ref="BF495:BH495"/>
    <mergeCell ref="BI495:BL495"/>
    <mergeCell ref="BM495:BP495"/>
    <mergeCell ref="BQ495:BS495"/>
    <mergeCell ref="BT495:BW495"/>
    <mergeCell ref="BX495:BZ495"/>
    <mergeCell ref="CA495:CD495"/>
    <mergeCell ref="CE495:CG495"/>
    <mergeCell ref="CH495:CK495"/>
    <mergeCell ref="CL495:CN495"/>
    <mergeCell ref="AG496:AH496"/>
    <mergeCell ref="AI496:AV496"/>
    <mergeCell ref="AW496:AY496"/>
    <mergeCell ref="BC496:BE496"/>
    <mergeCell ref="BF496:BH496"/>
    <mergeCell ref="BI496:BL496"/>
    <mergeCell ref="BM496:BP496"/>
    <mergeCell ref="BQ496:BS496"/>
    <mergeCell ref="BT496:BW496"/>
    <mergeCell ref="BX496:BZ496"/>
    <mergeCell ref="CA496:CD496"/>
    <mergeCell ref="CE496:CG496"/>
    <mergeCell ref="CH496:CK496"/>
    <mergeCell ref="CL496:CN496"/>
    <mergeCell ref="AG497:AH497"/>
    <mergeCell ref="AI497:AV497"/>
    <mergeCell ref="AW497:AY497"/>
    <mergeCell ref="BC497:BE497"/>
    <mergeCell ref="BF497:BH497"/>
    <mergeCell ref="BI497:BL497"/>
    <mergeCell ref="BM497:BP497"/>
    <mergeCell ref="BQ497:BS497"/>
    <mergeCell ref="BT497:BW497"/>
    <mergeCell ref="BX497:BZ497"/>
    <mergeCell ref="CA497:CD497"/>
    <mergeCell ref="CE497:CG497"/>
    <mergeCell ref="CH497:CK497"/>
    <mergeCell ref="CL497:CN497"/>
    <mergeCell ref="AG498:AH498"/>
    <mergeCell ref="AI498:AV498"/>
    <mergeCell ref="AW498:AY498"/>
    <mergeCell ref="BC498:BE498"/>
    <mergeCell ref="BF498:BH498"/>
    <mergeCell ref="BI498:BL498"/>
    <mergeCell ref="BM498:BP498"/>
    <mergeCell ref="BQ498:BS498"/>
    <mergeCell ref="BT498:BW498"/>
    <mergeCell ref="BX498:BZ498"/>
    <mergeCell ref="CA498:CD498"/>
    <mergeCell ref="CE498:CG498"/>
    <mergeCell ref="CH498:CK498"/>
    <mergeCell ref="CL498:CN498"/>
    <mergeCell ref="AG499:AH499"/>
    <mergeCell ref="AI499:AV499"/>
    <mergeCell ref="AW499:AY499"/>
    <mergeCell ref="BC499:BE499"/>
    <mergeCell ref="BF499:BH499"/>
    <mergeCell ref="BI499:BL499"/>
    <mergeCell ref="BM499:BP499"/>
    <mergeCell ref="BQ499:BS499"/>
    <mergeCell ref="BT499:BW499"/>
    <mergeCell ref="BX499:BZ499"/>
    <mergeCell ref="CA499:CD499"/>
    <mergeCell ref="CE499:CG499"/>
    <mergeCell ref="CH499:CK499"/>
    <mergeCell ref="CL499:CN499"/>
    <mergeCell ref="AG500:AH500"/>
    <mergeCell ref="AI500:AV500"/>
    <mergeCell ref="AW500:AY500"/>
    <mergeCell ref="BC500:BE500"/>
    <mergeCell ref="BF500:BH500"/>
    <mergeCell ref="BI500:BL500"/>
    <mergeCell ref="BM500:BP500"/>
    <mergeCell ref="BQ500:BS500"/>
    <mergeCell ref="BT500:BW500"/>
    <mergeCell ref="BX500:BZ500"/>
    <mergeCell ref="CA500:CD500"/>
    <mergeCell ref="CE500:CG500"/>
    <mergeCell ref="CH500:CK500"/>
    <mergeCell ref="CL500:CN500"/>
    <mergeCell ref="AG501:AH501"/>
    <mergeCell ref="AI501:AV501"/>
    <mergeCell ref="AW501:AY501"/>
    <mergeCell ref="BC501:BE501"/>
    <mergeCell ref="BF501:BH501"/>
    <mergeCell ref="BI501:BL501"/>
    <mergeCell ref="BM501:BP501"/>
    <mergeCell ref="BQ501:BS501"/>
    <mergeCell ref="BT501:BW501"/>
    <mergeCell ref="BX501:BZ501"/>
    <mergeCell ref="CA501:CD501"/>
    <mergeCell ref="CE501:CG501"/>
    <mergeCell ref="CH501:CK501"/>
    <mergeCell ref="CL501:CN501"/>
    <mergeCell ref="AG502:AH502"/>
    <mergeCell ref="AI502:AV502"/>
    <mergeCell ref="AW502:AY502"/>
    <mergeCell ref="BC502:BE502"/>
    <mergeCell ref="BF502:BH502"/>
    <mergeCell ref="BI502:BL502"/>
    <mergeCell ref="BM502:BP502"/>
    <mergeCell ref="BQ502:BS502"/>
    <mergeCell ref="BT502:BW502"/>
    <mergeCell ref="BX502:BZ502"/>
    <mergeCell ref="CA502:CD502"/>
    <mergeCell ref="CE502:CG502"/>
    <mergeCell ref="CH502:CK502"/>
    <mergeCell ref="CL502:CN502"/>
    <mergeCell ref="AG503:AH503"/>
    <mergeCell ref="AI503:AV503"/>
    <mergeCell ref="AW503:AY503"/>
    <mergeCell ref="BC503:BE503"/>
    <mergeCell ref="BF503:BH503"/>
    <mergeCell ref="BI503:BL503"/>
    <mergeCell ref="BM503:BP503"/>
    <mergeCell ref="BQ503:BS503"/>
    <mergeCell ref="BT503:BW503"/>
    <mergeCell ref="BX503:BZ503"/>
    <mergeCell ref="CA503:CD503"/>
    <mergeCell ref="CE503:CG503"/>
    <mergeCell ref="CH503:CK503"/>
    <mergeCell ref="CL503:CN503"/>
    <mergeCell ref="AG504:AH504"/>
    <mergeCell ref="AI504:AV504"/>
    <mergeCell ref="AW504:AY504"/>
    <mergeCell ref="BC504:BE504"/>
    <mergeCell ref="BF504:BH504"/>
    <mergeCell ref="BI504:BL504"/>
    <mergeCell ref="BM504:BP504"/>
    <mergeCell ref="BQ504:BS504"/>
    <mergeCell ref="BT504:BW504"/>
    <mergeCell ref="BX504:BZ504"/>
    <mergeCell ref="CA504:CD504"/>
    <mergeCell ref="CE504:CG504"/>
    <mergeCell ref="CH504:CK504"/>
    <mergeCell ref="CL504:CN504"/>
    <mergeCell ref="AG505:AH505"/>
    <mergeCell ref="AI505:AV505"/>
    <mergeCell ref="AW505:AY505"/>
    <mergeCell ref="BC505:BE505"/>
    <mergeCell ref="BF505:BH505"/>
    <mergeCell ref="BI505:BL505"/>
    <mergeCell ref="BM505:BP505"/>
    <mergeCell ref="BQ505:BS505"/>
    <mergeCell ref="BT505:BW505"/>
    <mergeCell ref="BX505:BZ505"/>
    <mergeCell ref="CA505:CD505"/>
    <mergeCell ref="CE505:CG505"/>
    <mergeCell ref="CH505:CK505"/>
    <mergeCell ref="CL505:CN505"/>
    <mergeCell ref="AG506:AH506"/>
    <mergeCell ref="AI506:AV506"/>
    <mergeCell ref="AW506:AY506"/>
    <mergeCell ref="BC506:BE506"/>
    <mergeCell ref="BF506:BH506"/>
    <mergeCell ref="BI506:BL506"/>
    <mergeCell ref="BM506:BP506"/>
    <mergeCell ref="BQ506:BS506"/>
    <mergeCell ref="BT506:BW506"/>
    <mergeCell ref="BX506:BZ506"/>
    <mergeCell ref="CA506:CD506"/>
    <mergeCell ref="CE506:CG506"/>
    <mergeCell ref="CH506:CK506"/>
    <mergeCell ref="CL506:CN506"/>
    <mergeCell ref="AG507:AH507"/>
    <mergeCell ref="AI507:AV507"/>
    <mergeCell ref="AW507:AY507"/>
    <mergeCell ref="BC507:BE507"/>
    <mergeCell ref="BF507:BH507"/>
    <mergeCell ref="BI507:BL507"/>
    <mergeCell ref="BM507:BP507"/>
    <mergeCell ref="BQ507:BS507"/>
    <mergeCell ref="BT507:BW507"/>
    <mergeCell ref="BX507:BZ507"/>
    <mergeCell ref="CA507:CD507"/>
    <mergeCell ref="CE507:CG507"/>
    <mergeCell ref="CH507:CK507"/>
    <mergeCell ref="CL507:CN507"/>
    <mergeCell ref="AG508:AH508"/>
    <mergeCell ref="AI508:AV508"/>
    <mergeCell ref="AW508:AY508"/>
    <mergeCell ref="BC508:BE508"/>
    <mergeCell ref="BF508:BH508"/>
    <mergeCell ref="BI508:BL508"/>
    <mergeCell ref="BM508:BP508"/>
    <mergeCell ref="BQ508:BS508"/>
    <mergeCell ref="BT508:BW508"/>
    <mergeCell ref="BX508:BZ508"/>
    <mergeCell ref="CA508:CD508"/>
    <mergeCell ref="CE508:CG508"/>
    <mergeCell ref="CH508:CK508"/>
    <mergeCell ref="CL508:CN508"/>
    <mergeCell ref="AG509:AH509"/>
    <mergeCell ref="AI509:AV509"/>
    <mergeCell ref="AW509:AY509"/>
    <mergeCell ref="BC509:BE509"/>
    <mergeCell ref="BF509:BH509"/>
    <mergeCell ref="BI509:BL509"/>
    <mergeCell ref="BM509:BP509"/>
    <mergeCell ref="BQ509:BS509"/>
    <mergeCell ref="BT509:BW509"/>
    <mergeCell ref="BX509:BZ509"/>
    <mergeCell ref="CA509:CD509"/>
    <mergeCell ref="CE509:CG509"/>
    <mergeCell ref="CH509:CK509"/>
    <mergeCell ref="CL509:CN509"/>
    <mergeCell ref="AG510:AH510"/>
    <mergeCell ref="AI510:AV510"/>
    <mergeCell ref="AW510:AY510"/>
    <mergeCell ref="BC510:BE510"/>
    <mergeCell ref="BF510:BH510"/>
    <mergeCell ref="BI510:BL510"/>
    <mergeCell ref="BM510:BP510"/>
    <mergeCell ref="BQ510:BS510"/>
    <mergeCell ref="BT510:BW510"/>
    <mergeCell ref="BX510:BZ510"/>
    <mergeCell ref="CA510:CD510"/>
    <mergeCell ref="CE510:CG510"/>
    <mergeCell ref="CH510:CK510"/>
    <mergeCell ref="CL510:CN510"/>
    <mergeCell ref="AG511:AH511"/>
    <mergeCell ref="AI511:AV511"/>
    <mergeCell ref="AW511:AY511"/>
    <mergeCell ref="BC511:BE511"/>
    <mergeCell ref="BF511:BH511"/>
    <mergeCell ref="BI511:BL511"/>
    <mergeCell ref="BM511:BP511"/>
    <mergeCell ref="BQ511:BS511"/>
    <mergeCell ref="BT511:BW511"/>
    <mergeCell ref="BX511:BZ511"/>
    <mergeCell ref="CA511:CD511"/>
    <mergeCell ref="CE511:CG511"/>
    <mergeCell ref="CH511:CK511"/>
    <mergeCell ref="CL511:CN511"/>
    <mergeCell ref="AG512:AH512"/>
    <mergeCell ref="AI512:AV512"/>
    <mergeCell ref="AW512:AY512"/>
    <mergeCell ref="BC512:BE512"/>
    <mergeCell ref="BF512:BH512"/>
    <mergeCell ref="BI512:BL512"/>
    <mergeCell ref="BM512:BP512"/>
    <mergeCell ref="BQ512:BS512"/>
    <mergeCell ref="BT512:BW512"/>
    <mergeCell ref="BX512:BZ512"/>
    <mergeCell ref="CA512:CD512"/>
    <mergeCell ref="CE512:CG512"/>
    <mergeCell ref="CH512:CK512"/>
    <mergeCell ref="CL512:CN512"/>
    <mergeCell ref="AG513:AH513"/>
    <mergeCell ref="AI513:AV513"/>
    <mergeCell ref="AW513:AY513"/>
    <mergeCell ref="BC513:BE513"/>
    <mergeCell ref="BF513:BH513"/>
    <mergeCell ref="BI513:BL513"/>
    <mergeCell ref="BM513:BP513"/>
    <mergeCell ref="BQ513:BS513"/>
    <mergeCell ref="BT513:BW513"/>
    <mergeCell ref="BX513:BZ513"/>
    <mergeCell ref="CA513:CD513"/>
    <mergeCell ref="CE513:CG513"/>
    <mergeCell ref="CH513:CK513"/>
    <mergeCell ref="CL513:CN513"/>
    <mergeCell ref="AG514:AH514"/>
    <mergeCell ref="AI514:AV514"/>
    <mergeCell ref="AW514:AY514"/>
    <mergeCell ref="BC514:BE514"/>
    <mergeCell ref="BF514:BH514"/>
    <mergeCell ref="BI514:BL514"/>
    <mergeCell ref="BM514:BP514"/>
    <mergeCell ref="BQ514:BS514"/>
    <mergeCell ref="BT514:BW514"/>
    <mergeCell ref="BX514:BZ514"/>
    <mergeCell ref="CA514:CD514"/>
    <mergeCell ref="CE514:CG514"/>
    <mergeCell ref="CH514:CK514"/>
    <mergeCell ref="CL514:CN514"/>
    <mergeCell ref="AG515:AH515"/>
    <mergeCell ref="AI515:AV515"/>
    <mergeCell ref="AW515:AY515"/>
    <mergeCell ref="BC515:BE515"/>
    <mergeCell ref="BF515:BH515"/>
    <mergeCell ref="BI515:BL515"/>
    <mergeCell ref="BM515:BP515"/>
    <mergeCell ref="BQ515:BS515"/>
    <mergeCell ref="BT515:BW515"/>
    <mergeCell ref="BX515:BZ515"/>
    <mergeCell ref="CA515:CD515"/>
    <mergeCell ref="CE515:CG515"/>
    <mergeCell ref="CH515:CK515"/>
    <mergeCell ref="CL515:CN515"/>
    <mergeCell ref="AG516:AH516"/>
    <mergeCell ref="AI516:AV516"/>
    <mergeCell ref="AW516:AY516"/>
    <mergeCell ref="BC516:BE516"/>
    <mergeCell ref="BF516:BH516"/>
    <mergeCell ref="BI516:BL516"/>
    <mergeCell ref="BM516:BP516"/>
    <mergeCell ref="BQ516:BS516"/>
    <mergeCell ref="BT516:BW516"/>
    <mergeCell ref="BX516:BZ516"/>
    <mergeCell ref="CA516:CD516"/>
    <mergeCell ref="CE516:CG516"/>
    <mergeCell ref="CH516:CK516"/>
    <mergeCell ref="CL516:CN516"/>
    <mergeCell ref="AG517:AH517"/>
    <mergeCell ref="AI517:AV517"/>
    <mergeCell ref="AW517:AY517"/>
    <mergeCell ref="BC517:BE517"/>
    <mergeCell ref="BF517:BH517"/>
    <mergeCell ref="BI517:BL517"/>
    <mergeCell ref="BM517:BP517"/>
    <mergeCell ref="BQ517:BS517"/>
    <mergeCell ref="BT517:BW517"/>
    <mergeCell ref="BX517:BZ517"/>
    <mergeCell ref="CA517:CD517"/>
    <mergeCell ref="CE517:CG517"/>
    <mergeCell ref="CH517:CK517"/>
    <mergeCell ref="CL517:CN517"/>
    <mergeCell ref="AG518:AH518"/>
    <mergeCell ref="AI518:AV518"/>
    <mergeCell ref="AW518:AY518"/>
    <mergeCell ref="BC518:BE518"/>
    <mergeCell ref="BF518:BH518"/>
    <mergeCell ref="BI518:BL518"/>
    <mergeCell ref="BM518:BP518"/>
    <mergeCell ref="BQ518:BS518"/>
    <mergeCell ref="BT518:BW518"/>
    <mergeCell ref="BX518:BZ518"/>
    <mergeCell ref="CA518:CD518"/>
    <mergeCell ref="CE518:CG518"/>
    <mergeCell ref="CH518:CK518"/>
    <mergeCell ref="CL518:CN518"/>
    <mergeCell ref="AG519:AH519"/>
    <mergeCell ref="AI519:AV519"/>
    <mergeCell ref="AW519:AY519"/>
    <mergeCell ref="BC519:BE519"/>
    <mergeCell ref="BF519:BH519"/>
    <mergeCell ref="BI519:BL519"/>
    <mergeCell ref="BM519:BP519"/>
    <mergeCell ref="BQ519:BS519"/>
    <mergeCell ref="BT519:BW519"/>
    <mergeCell ref="BX519:BZ519"/>
    <mergeCell ref="CA519:CD519"/>
    <mergeCell ref="CE519:CG519"/>
    <mergeCell ref="CH519:CK519"/>
    <mergeCell ref="CL519:CN519"/>
    <mergeCell ref="AG520:AH520"/>
    <mergeCell ref="AI520:AV520"/>
    <mergeCell ref="AW520:AY520"/>
    <mergeCell ref="BC520:BE520"/>
    <mergeCell ref="BF520:BH520"/>
    <mergeCell ref="BI520:BL520"/>
    <mergeCell ref="BM520:BP520"/>
    <mergeCell ref="BQ520:BS520"/>
    <mergeCell ref="BT520:BW520"/>
    <mergeCell ref="BX520:BZ520"/>
    <mergeCell ref="CA520:CD520"/>
    <mergeCell ref="CE520:CG520"/>
    <mergeCell ref="CH520:CK520"/>
    <mergeCell ref="CL520:CN520"/>
    <mergeCell ref="AG521:AH521"/>
    <mergeCell ref="AI521:AV521"/>
    <mergeCell ref="AW521:AY521"/>
    <mergeCell ref="BC521:BE521"/>
    <mergeCell ref="BF521:BH521"/>
    <mergeCell ref="BI521:BL521"/>
    <mergeCell ref="BM521:BP521"/>
    <mergeCell ref="BQ521:BS521"/>
    <mergeCell ref="BT521:BW521"/>
    <mergeCell ref="BX521:BZ521"/>
    <mergeCell ref="CA521:CD521"/>
    <mergeCell ref="CE521:CG521"/>
    <mergeCell ref="CH521:CK521"/>
    <mergeCell ref="CL521:CN521"/>
    <mergeCell ref="AG522:AH522"/>
    <mergeCell ref="AI522:AV522"/>
    <mergeCell ref="AW522:AY522"/>
    <mergeCell ref="BC522:BE522"/>
    <mergeCell ref="BF522:BH522"/>
    <mergeCell ref="BI522:BL522"/>
    <mergeCell ref="BM522:BP522"/>
    <mergeCell ref="BQ522:BS522"/>
    <mergeCell ref="BT522:BW522"/>
    <mergeCell ref="BX522:BZ522"/>
    <mergeCell ref="CA522:CD522"/>
    <mergeCell ref="CE522:CG522"/>
    <mergeCell ref="CH522:CK522"/>
    <mergeCell ref="CL522:CN522"/>
    <mergeCell ref="AG523:AH523"/>
    <mergeCell ref="AI523:AV523"/>
    <mergeCell ref="AW523:AY523"/>
    <mergeCell ref="BC523:BE523"/>
    <mergeCell ref="BF523:BH523"/>
    <mergeCell ref="BI523:BL523"/>
    <mergeCell ref="BM523:BP523"/>
    <mergeCell ref="BQ523:BS523"/>
    <mergeCell ref="BT523:BW523"/>
    <mergeCell ref="BX523:BZ523"/>
    <mergeCell ref="CA523:CD523"/>
    <mergeCell ref="CE523:CG523"/>
    <mergeCell ref="CH523:CK523"/>
    <mergeCell ref="CL523:CN523"/>
    <mergeCell ref="AG524:AH524"/>
    <mergeCell ref="AI524:AV524"/>
    <mergeCell ref="AW524:AY524"/>
    <mergeCell ref="BC524:BE524"/>
    <mergeCell ref="BF524:BH524"/>
    <mergeCell ref="BI524:BL524"/>
    <mergeCell ref="BM524:BP524"/>
    <mergeCell ref="BQ524:BS524"/>
    <mergeCell ref="BT524:BW524"/>
    <mergeCell ref="BX524:BZ524"/>
    <mergeCell ref="CA524:CD524"/>
    <mergeCell ref="CE524:CG524"/>
    <mergeCell ref="CH524:CK524"/>
    <mergeCell ref="CL524:CN524"/>
    <mergeCell ref="AG525:AH525"/>
    <mergeCell ref="AI525:AV525"/>
    <mergeCell ref="AW525:AY525"/>
    <mergeCell ref="BC525:BE525"/>
    <mergeCell ref="BF525:BH525"/>
    <mergeCell ref="BI525:BL525"/>
    <mergeCell ref="BM525:BP525"/>
    <mergeCell ref="BQ525:BS525"/>
    <mergeCell ref="BT525:BW525"/>
    <mergeCell ref="BX525:BZ525"/>
    <mergeCell ref="CA525:CD525"/>
    <mergeCell ref="CE525:CG525"/>
    <mergeCell ref="CH525:CK525"/>
    <mergeCell ref="CL525:CN525"/>
    <mergeCell ref="AG526:AH526"/>
    <mergeCell ref="AI526:AV526"/>
    <mergeCell ref="AW526:AY526"/>
    <mergeCell ref="BC526:BE526"/>
    <mergeCell ref="BF526:BH526"/>
    <mergeCell ref="BI526:BL526"/>
    <mergeCell ref="BM526:BP526"/>
    <mergeCell ref="BQ526:BS526"/>
    <mergeCell ref="BT526:BW526"/>
    <mergeCell ref="BX526:BZ526"/>
    <mergeCell ref="CA526:CD526"/>
    <mergeCell ref="CE526:CG526"/>
    <mergeCell ref="CH526:CK526"/>
    <mergeCell ref="CL526:CN526"/>
    <mergeCell ref="AG527:AH527"/>
    <mergeCell ref="AI527:AV527"/>
    <mergeCell ref="AW527:AY527"/>
    <mergeCell ref="BC527:BE527"/>
    <mergeCell ref="BF527:BH527"/>
    <mergeCell ref="BI527:BL527"/>
    <mergeCell ref="BM527:BP527"/>
    <mergeCell ref="BQ527:BS527"/>
    <mergeCell ref="BT527:BW527"/>
    <mergeCell ref="BX527:BZ527"/>
    <mergeCell ref="CA527:CD527"/>
    <mergeCell ref="CE527:CG527"/>
    <mergeCell ref="CH527:CK527"/>
    <mergeCell ref="CL527:CN527"/>
    <mergeCell ref="AG528:AH528"/>
    <mergeCell ref="AI528:AV528"/>
    <mergeCell ref="AW528:AY528"/>
    <mergeCell ref="BC528:BE528"/>
    <mergeCell ref="BF528:BH528"/>
    <mergeCell ref="BI528:BL528"/>
    <mergeCell ref="BM528:BP528"/>
    <mergeCell ref="BQ528:BS528"/>
    <mergeCell ref="BT528:BW528"/>
    <mergeCell ref="BX528:BZ528"/>
    <mergeCell ref="CA528:CD528"/>
    <mergeCell ref="CE528:CG528"/>
    <mergeCell ref="CH528:CK528"/>
    <mergeCell ref="CL528:CN528"/>
    <mergeCell ref="AG529:AH529"/>
    <mergeCell ref="AI529:AV529"/>
    <mergeCell ref="AW529:AY529"/>
    <mergeCell ref="BC529:BE529"/>
    <mergeCell ref="BF529:BH529"/>
    <mergeCell ref="BI529:BL529"/>
    <mergeCell ref="BM529:BP529"/>
    <mergeCell ref="BQ529:BS529"/>
    <mergeCell ref="BT529:BW529"/>
    <mergeCell ref="BX529:BZ529"/>
    <mergeCell ref="CA529:CD529"/>
    <mergeCell ref="CE529:CG529"/>
    <mergeCell ref="CH529:CK529"/>
    <mergeCell ref="CL529:CN529"/>
    <mergeCell ref="AG530:AH530"/>
    <mergeCell ref="AI530:AV530"/>
    <mergeCell ref="AW530:AY530"/>
    <mergeCell ref="BC530:BE530"/>
    <mergeCell ref="BF530:BH530"/>
    <mergeCell ref="BI530:BL530"/>
    <mergeCell ref="BM530:BP530"/>
    <mergeCell ref="BQ530:BS530"/>
    <mergeCell ref="BT530:BW530"/>
    <mergeCell ref="BX530:BZ530"/>
    <mergeCell ref="CA530:CD530"/>
    <mergeCell ref="CE530:CG530"/>
    <mergeCell ref="CH530:CK530"/>
    <mergeCell ref="CL530:CN530"/>
    <mergeCell ref="AG531:AH531"/>
    <mergeCell ref="AI531:AV531"/>
    <mergeCell ref="AW531:AY531"/>
    <mergeCell ref="BC531:BE531"/>
    <mergeCell ref="BF531:BH531"/>
    <mergeCell ref="BI531:BL531"/>
    <mergeCell ref="BM531:BP531"/>
    <mergeCell ref="BQ531:BS531"/>
    <mergeCell ref="BT531:BW531"/>
    <mergeCell ref="BX531:BZ531"/>
    <mergeCell ref="CA531:CD531"/>
    <mergeCell ref="CE531:CG531"/>
    <mergeCell ref="CH531:CK531"/>
    <mergeCell ref="CL531:CN531"/>
    <mergeCell ref="AG532:AH532"/>
    <mergeCell ref="AI532:AV532"/>
    <mergeCell ref="AW532:AY532"/>
    <mergeCell ref="BC532:BE532"/>
    <mergeCell ref="BF532:BH532"/>
    <mergeCell ref="BI532:BL532"/>
    <mergeCell ref="BM532:BP532"/>
    <mergeCell ref="BQ532:BS532"/>
    <mergeCell ref="BT532:BW532"/>
    <mergeCell ref="BX532:BZ532"/>
    <mergeCell ref="CA532:CD532"/>
    <mergeCell ref="CE532:CG532"/>
    <mergeCell ref="CH532:CK532"/>
    <mergeCell ref="CL532:CN532"/>
    <mergeCell ref="AG533:AH533"/>
    <mergeCell ref="AI533:AV533"/>
    <mergeCell ref="AW533:AY533"/>
    <mergeCell ref="BC533:BE533"/>
    <mergeCell ref="BF533:BH533"/>
    <mergeCell ref="BI533:BL533"/>
    <mergeCell ref="BM533:BP533"/>
    <mergeCell ref="BQ533:BS533"/>
    <mergeCell ref="BT533:BW533"/>
    <mergeCell ref="BX533:BZ533"/>
    <mergeCell ref="CA533:CD533"/>
    <mergeCell ref="CE533:CG533"/>
    <mergeCell ref="CH533:CK533"/>
    <mergeCell ref="CL533:CN533"/>
    <mergeCell ref="AG534:AH534"/>
    <mergeCell ref="AI534:AV534"/>
    <mergeCell ref="AW534:AY534"/>
    <mergeCell ref="BC534:BE534"/>
    <mergeCell ref="BF534:BH534"/>
    <mergeCell ref="BI534:BL534"/>
    <mergeCell ref="BM534:BP534"/>
    <mergeCell ref="BQ534:BS534"/>
    <mergeCell ref="BT534:BW534"/>
    <mergeCell ref="BX534:BZ534"/>
    <mergeCell ref="CA534:CD534"/>
    <mergeCell ref="CE534:CG534"/>
    <mergeCell ref="CH534:CK534"/>
    <mergeCell ref="CL534:CN534"/>
    <mergeCell ref="AG535:AH535"/>
    <mergeCell ref="AI535:AV535"/>
    <mergeCell ref="AW535:AY535"/>
    <mergeCell ref="BC535:BE535"/>
    <mergeCell ref="BF535:BH535"/>
    <mergeCell ref="BI535:BL535"/>
    <mergeCell ref="BM535:BP535"/>
    <mergeCell ref="BQ535:BS535"/>
    <mergeCell ref="BT535:BW535"/>
    <mergeCell ref="BX535:BZ535"/>
    <mergeCell ref="CA535:CD535"/>
    <mergeCell ref="CE535:CG535"/>
    <mergeCell ref="CH535:CK535"/>
    <mergeCell ref="CL535:CN535"/>
    <mergeCell ref="AG536:AH536"/>
    <mergeCell ref="AI536:AV536"/>
    <mergeCell ref="AW536:AY536"/>
    <mergeCell ref="BC536:BE536"/>
    <mergeCell ref="BF536:BH536"/>
    <mergeCell ref="BI536:BL536"/>
    <mergeCell ref="BM536:BP536"/>
    <mergeCell ref="BQ536:BS536"/>
    <mergeCell ref="BT536:BW536"/>
    <mergeCell ref="BX536:BZ536"/>
    <mergeCell ref="CA536:CD536"/>
    <mergeCell ref="CE536:CG536"/>
    <mergeCell ref="CH536:CK536"/>
    <mergeCell ref="CL536:CN536"/>
    <mergeCell ref="AG537:AH537"/>
    <mergeCell ref="AI537:AV537"/>
    <mergeCell ref="AW537:AY537"/>
    <mergeCell ref="BC537:BE537"/>
    <mergeCell ref="BF537:BH537"/>
    <mergeCell ref="BI537:BL537"/>
    <mergeCell ref="BM537:BP537"/>
    <mergeCell ref="BQ537:BS537"/>
    <mergeCell ref="BT537:BW537"/>
    <mergeCell ref="BX537:BZ537"/>
    <mergeCell ref="CA537:CD537"/>
    <mergeCell ref="CE537:CG537"/>
    <mergeCell ref="CH537:CK537"/>
    <mergeCell ref="CL537:CN537"/>
    <mergeCell ref="AG538:AH538"/>
    <mergeCell ref="AI538:AV538"/>
    <mergeCell ref="AW538:AY538"/>
    <mergeCell ref="BC538:BE538"/>
    <mergeCell ref="BF538:BH538"/>
    <mergeCell ref="BI538:BL538"/>
    <mergeCell ref="BM538:BP538"/>
    <mergeCell ref="BQ538:BS538"/>
    <mergeCell ref="BT538:BW538"/>
    <mergeCell ref="BX538:BZ538"/>
    <mergeCell ref="CA538:CD538"/>
    <mergeCell ref="CE538:CG538"/>
    <mergeCell ref="CH538:CK538"/>
    <mergeCell ref="CL538:CN538"/>
    <mergeCell ref="AG539:AH539"/>
    <mergeCell ref="AI539:AV539"/>
    <mergeCell ref="AW539:AY539"/>
    <mergeCell ref="BC539:BE539"/>
    <mergeCell ref="BF539:BH539"/>
    <mergeCell ref="BI539:BL539"/>
    <mergeCell ref="BM539:BP539"/>
    <mergeCell ref="BQ539:BS539"/>
    <mergeCell ref="BT539:BW539"/>
    <mergeCell ref="BX539:BZ539"/>
    <mergeCell ref="CA539:CD539"/>
    <mergeCell ref="CE539:CG539"/>
    <mergeCell ref="CH539:CK539"/>
    <mergeCell ref="CL539:CN539"/>
    <mergeCell ref="AG540:AH540"/>
    <mergeCell ref="AI540:AV540"/>
    <mergeCell ref="AW540:AY540"/>
    <mergeCell ref="BC540:BE540"/>
    <mergeCell ref="BF540:BH540"/>
    <mergeCell ref="BI540:BL540"/>
    <mergeCell ref="BM540:BP540"/>
    <mergeCell ref="BQ540:BS540"/>
    <mergeCell ref="BT540:BW540"/>
    <mergeCell ref="BX540:BZ540"/>
    <mergeCell ref="CA540:CD540"/>
    <mergeCell ref="CE540:CG540"/>
    <mergeCell ref="CH540:CK540"/>
    <mergeCell ref="CL540:CN540"/>
    <mergeCell ref="AG541:AH541"/>
    <mergeCell ref="AI541:AV541"/>
    <mergeCell ref="AW541:AY541"/>
    <mergeCell ref="BC541:BE541"/>
    <mergeCell ref="BF541:BH541"/>
    <mergeCell ref="BI541:BL541"/>
    <mergeCell ref="BM541:BP541"/>
    <mergeCell ref="BQ541:BS541"/>
    <mergeCell ref="BT541:BW541"/>
    <mergeCell ref="BX541:BZ541"/>
    <mergeCell ref="CA541:CD541"/>
    <mergeCell ref="CE541:CG541"/>
    <mergeCell ref="CH541:CK541"/>
    <mergeCell ref="CL541:CN541"/>
    <mergeCell ref="AG542:AH542"/>
    <mergeCell ref="AI542:AV542"/>
    <mergeCell ref="AW542:AY542"/>
    <mergeCell ref="BC542:BE542"/>
    <mergeCell ref="BF542:BH542"/>
    <mergeCell ref="BI542:BL542"/>
    <mergeCell ref="BM542:BP542"/>
    <mergeCell ref="BQ542:BS542"/>
    <mergeCell ref="BT542:BW542"/>
    <mergeCell ref="BX542:BZ542"/>
    <mergeCell ref="CA542:CD542"/>
    <mergeCell ref="CE542:CG542"/>
    <mergeCell ref="CH542:CK542"/>
    <mergeCell ref="CL542:CN542"/>
    <mergeCell ref="AG543:AH543"/>
    <mergeCell ref="AI543:AV543"/>
    <mergeCell ref="AW543:AY543"/>
    <mergeCell ref="BC543:BE543"/>
    <mergeCell ref="BF543:BH543"/>
    <mergeCell ref="BI543:BL543"/>
    <mergeCell ref="BM543:BP543"/>
    <mergeCell ref="BQ543:BS543"/>
    <mergeCell ref="BT543:BW543"/>
    <mergeCell ref="BX543:BZ543"/>
    <mergeCell ref="CA543:CD543"/>
    <mergeCell ref="CE543:CG543"/>
    <mergeCell ref="CH543:CK543"/>
    <mergeCell ref="CL543:CN543"/>
    <mergeCell ref="AG544:AH544"/>
    <mergeCell ref="AI544:AV544"/>
    <mergeCell ref="AW544:AY544"/>
    <mergeCell ref="BC544:BE544"/>
    <mergeCell ref="BF544:BH544"/>
    <mergeCell ref="BI544:BL544"/>
    <mergeCell ref="BM544:BP544"/>
    <mergeCell ref="BQ544:BS544"/>
    <mergeCell ref="BT544:BW544"/>
    <mergeCell ref="BX544:BZ544"/>
    <mergeCell ref="CA544:CD544"/>
    <mergeCell ref="CE544:CG544"/>
    <mergeCell ref="CH544:CK544"/>
    <mergeCell ref="CL544:CN544"/>
    <mergeCell ref="AG545:AH545"/>
    <mergeCell ref="AI545:AV545"/>
    <mergeCell ref="AW545:AY545"/>
    <mergeCell ref="BC545:BE545"/>
    <mergeCell ref="BF545:BH545"/>
    <mergeCell ref="BI545:BL545"/>
    <mergeCell ref="BM545:BP545"/>
    <mergeCell ref="BQ545:BS545"/>
    <mergeCell ref="BT545:BW545"/>
    <mergeCell ref="BX545:BZ545"/>
    <mergeCell ref="CA545:CD545"/>
    <mergeCell ref="CE545:CG545"/>
    <mergeCell ref="CH545:CK545"/>
    <mergeCell ref="CL545:CN545"/>
    <mergeCell ref="AG546:AH546"/>
    <mergeCell ref="AI546:AV546"/>
    <mergeCell ref="AW546:AY546"/>
    <mergeCell ref="BC546:BE546"/>
    <mergeCell ref="BF546:BH546"/>
    <mergeCell ref="BI546:BL546"/>
    <mergeCell ref="BM546:BP546"/>
    <mergeCell ref="BQ546:BS546"/>
    <mergeCell ref="BT546:BW546"/>
    <mergeCell ref="BX546:BZ546"/>
    <mergeCell ref="CA546:CD546"/>
    <mergeCell ref="CE546:CG546"/>
    <mergeCell ref="CH546:CK546"/>
    <mergeCell ref="CL546:CN546"/>
    <mergeCell ref="AG547:AH547"/>
    <mergeCell ref="AI547:AV547"/>
    <mergeCell ref="AW547:AY547"/>
    <mergeCell ref="BC547:BE547"/>
    <mergeCell ref="BF547:BH547"/>
    <mergeCell ref="BI547:BL547"/>
    <mergeCell ref="BM547:BP547"/>
    <mergeCell ref="BQ547:BS547"/>
    <mergeCell ref="BT547:BW547"/>
    <mergeCell ref="BX547:BZ547"/>
    <mergeCell ref="CA547:CD547"/>
    <mergeCell ref="CE547:CG547"/>
    <mergeCell ref="CH547:CK547"/>
    <mergeCell ref="CL547:CN547"/>
    <mergeCell ref="AG548:AH548"/>
    <mergeCell ref="AI548:AV548"/>
    <mergeCell ref="AW548:AY548"/>
    <mergeCell ref="BC548:BE548"/>
    <mergeCell ref="BF548:BH548"/>
    <mergeCell ref="BI548:BL548"/>
    <mergeCell ref="BM548:BP548"/>
    <mergeCell ref="BQ548:BS548"/>
    <mergeCell ref="BT548:BW548"/>
    <mergeCell ref="BX548:BZ548"/>
    <mergeCell ref="CA548:CD548"/>
    <mergeCell ref="CE548:CG548"/>
    <mergeCell ref="CH548:CK548"/>
    <mergeCell ref="CL548:CN548"/>
    <mergeCell ref="AG549:AH549"/>
    <mergeCell ref="AI549:AV549"/>
    <mergeCell ref="AW549:AY549"/>
    <mergeCell ref="BC549:BE549"/>
    <mergeCell ref="BF549:BH549"/>
    <mergeCell ref="BI549:BL549"/>
    <mergeCell ref="BM549:BP549"/>
    <mergeCell ref="BQ549:BS549"/>
    <mergeCell ref="BT549:BW549"/>
    <mergeCell ref="BX549:BZ549"/>
    <mergeCell ref="CA549:CD549"/>
    <mergeCell ref="CE549:CG549"/>
    <mergeCell ref="CH549:CK549"/>
    <mergeCell ref="CL549:CN549"/>
    <mergeCell ref="AG550:AH550"/>
    <mergeCell ref="AI550:AV550"/>
    <mergeCell ref="AW550:AY550"/>
    <mergeCell ref="BC550:BE550"/>
    <mergeCell ref="BF550:BH550"/>
    <mergeCell ref="BI550:BL550"/>
    <mergeCell ref="BM550:BP550"/>
    <mergeCell ref="BQ550:BS550"/>
    <mergeCell ref="BT550:BW550"/>
    <mergeCell ref="BX550:BZ550"/>
    <mergeCell ref="CA550:CD550"/>
    <mergeCell ref="CE550:CG550"/>
    <mergeCell ref="CH550:CK550"/>
    <mergeCell ref="CL550:CN550"/>
    <mergeCell ref="AG551:AH551"/>
    <mergeCell ref="AI551:AV551"/>
    <mergeCell ref="AW551:AY551"/>
    <mergeCell ref="BC551:BE551"/>
    <mergeCell ref="BF551:BH551"/>
    <mergeCell ref="BI551:BL551"/>
    <mergeCell ref="BM551:BP551"/>
    <mergeCell ref="BQ551:BS551"/>
    <mergeCell ref="BT551:BW551"/>
    <mergeCell ref="BX551:BZ551"/>
    <mergeCell ref="CA551:CD551"/>
    <mergeCell ref="CE551:CG551"/>
    <mergeCell ref="CH551:CK551"/>
    <mergeCell ref="CL551:CN551"/>
    <mergeCell ref="AG552:AH552"/>
    <mergeCell ref="AI552:AV552"/>
    <mergeCell ref="AW552:AY552"/>
    <mergeCell ref="BC552:BE552"/>
    <mergeCell ref="BF552:BH552"/>
    <mergeCell ref="BI552:BL552"/>
    <mergeCell ref="BM552:BP552"/>
    <mergeCell ref="BQ552:BS552"/>
    <mergeCell ref="BT552:BW552"/>
    <mergeCell ref="BX552:BZ552"/>
    <mergeCell ref="CA552:CD552"/>
    <mergeCell ref="CE552:CG552"/>
    <mergeCell ref="CH552:CK552"/>
    <mergeCell ref="CL552:CN552"/>
    <mergeCell ref="AG553:AH553"/>
    <mergeCell ref="AI553:AV553"/>
    <mergeCell ref="AW553:AY553"/>
    <mergeCell ref="BC553:BE553"/>
    <mergeCell ref="BF553:BH553"/>
    <mergeCell ref="BI553:BL553"/>
    <mergeCell ref="BM553:BP553"/>
    <mergeCell ref="BQ553:BS553"/>
    <mergeCell ref="BT553:BW553"/>
    <mergeCell ref="BX553:BZ553"/>
    <mergeCell ref="CA553:CD553"/>
    <mergeCell ref="CE553:CG553"/>
    <mergeCell ref="CH553:CK553"/>
    <mergeCell ref="CL553:CN553"/>
    <mergeCell ref="AG554:AH554"/>
    <mergeCell ref="AI554:AV554"/>
    <mergeCell ref="AW554:AY554"/>
    <mergeCell ref="BC554:BE554"/>
    <mergeCell ref="BF554:BH554"/>
    <mergeCell ref="BI554:BL554"/>
    <mergeCell ref="BM554:BP554"/>
    <mergeCell ref="BQ554:BS554"/>
    <mergeCell ref="BT554:BW554"/>
    <mergeCell ref="BX554:BZ554"/>
    <mergeCell ref="CA554:CD554"/>
    <mergeCell ref="CE554:CG554"/>
    <mergeCell ref="CH554:CK554"/>
    <mergeCell ref="CL554:CN554"/>
    <mergeCell ref="AG555:AH555"/>
    <mergeCell ref="AI555:AV555"/>
    <mergeCell ref="AW555:AY555"/>
    <mergeCell ref="BC555:BE555"/>
    <mergeCell ref="BF555:BH555"/>
    <mergeCell ref="BI555:BL555"/>
    <mergeCell ref="BM555:BP555"/>
    <mergeCell ref="BQ555:BS555"/>
    <mergeCell ref="BT555:BW555"/>
    <mergeCell ref="BX555:BZ555"/>
    <mergeCell ref="CA555:CD555"/>
    <mergeCell ref="CE555:CG555"/>
    <mergeCell ref="CH555:CK555"/>
    <mergeCell ref="CL555:CN555"/>
    <mergeCell ref="AG556:AH556"/>
    <mergeCell ref="AI556:AV556"/>
    <mergeCell ref="AW556:AY556"/>
    <mergeCell ref="BC556:BE556"/>
    <mergeCell ref="BF556:BH556"/>
    <mergeCell ref="BI556:BL556"/>
    <mergeCell ref="BM556:BP556"/>
    <mergeCell ref="BQ556:BS556"/>
    <mergeCell ref="BT556:BW556"/>
    <mergeCell ref="BX556:BZ556"/>
    <mergeCell ref="CA556:CD556"/>
    <mergeCell ref="CE556:CG556"/>
    <mergeCell ref="CH556:CK556"/>
    <mergeCell ref="CL556:CN556"/>
    <mergeCell ref="AG557:AH557"/>
    <mergeCell ref="AI557:AV557"/>
    <mergeCell ref="AW557:AY557"/>
    <mergeCell ref="BC557:BE557"/>
    <mergeCell ref="BF557:BH557"/>
    <mergeCell ref="BI557:BL557"/>
    <mergeCell ref="BM557:BP557"/>
    <mergeCell ref="BQ557:BS557"/>
    <mergeCell ref="BT557:BW557"/>
    <mergeCell ref="BX557:BZ557"/>
    <mergeCell ref="CA557:CD557"/>
    <mergeCell ref="CE557:CG557"/>
    <mergeCell ref="CH557:CK557"/>
    <mergeCell ref="CL557:CN557"/>
    <mergeCell ref="AG558:AH558"/>
    <mergeCell ref="AI558:AV558"/>
    <mergeCell ref="AW558:AY558"/>
    <mergeCell ref="BC558:BE558"/>
    <mergeCell ref="BF558:BH558"/>
    <mergeCell ref="BI558:BL558"/>
    <mergeCell ref="BM558:BP558"/>
    <mergeCell ref="BQ558:BS558"/>
    <mergeCell ref="BT558:BW558"/>
    <mergeCell ref="BX558:BZ558"/>
    <mergeCell ref="CA558:CD558"/>
    <mergeCell ref="CE558:CG558"/>
    <mergeCell ref="CH558:CK558"/>
    <mergeCell ref="CL558:CN558"/>
    <mergeCell ref="AG559:AH559"/>
    <mergeCell ref="AI559:AV559"/>
    <mergeCell ref="AW559:AY559"/>
    <mergeCell ref="BC559:BE559"/>
    <mergeCell ref="BF559:BH559"/>
    <mergeCell ref="BI559:BL559"/>
    <mergeCell ref="BM559:BP559"/>
    <mergeCell ref="BQ559:BS559"/>
    <mergeCell ref="BT559:BW559"/>
    <mergeCell ref="BX559:BZ559"/>
    <mergeCell ref="CA559:CD559"/>
    <mergeCell ref="CE559:CG559"/>
    <mergeCell ref="CH559:CK559"/>
    <mergeCell ref="CL559:CN559"/>
    <mergeCell ref="AG560:AH560"/>
    <mergeCell ref="AI560:AV560"/>
    <mergeCell ref="AW560:AY560"/>
    <mergeCell ref="BC560:BE560"/>
    <mergeCell ref="BF560:BH560"/>
    <mergeCell ref="BI560:BL560"/>
    <mergeCell ref="BM560:BP560"/>
    <mergeCell ref="BQ560:BS560"/>
    <mergeCell ref="BT560:BW560"/>
    <mergeCell ref="BX560:BZ560"/>
    <mergeCell ref="CA560:CD560"/>
    <mergeCell ref="CE560:CG560"/>
    <mergeCell ref="CH560:CK560"/>
    <mergeCell ref="CL560:CN560"/>
    <mergeCell ref="AG561:AH561"/>
    <mergeCell ref="AI561:AV561"/>
    <mergeCell ref="AW561:AY561"/>
    <mergeCell ref="BC561:BE561"/>
    <mergeCell ref="BF561:BH561"/>
    <mergeCell ref="BI561:BL561"/>
    <mergeCell ref="BM561:BP561"/>
    <mergeCell ref="BQ561:BS561"/>
    <mergeCell ref="BT561:BW561"/>
    <mergeCell ref="BX561:BZ561"/>
    <mergeCell ref="CA561:CD561"/>
    <mergeCell ref="CE561:CG561"/>
    <mergeCell ref="CH561:CK561"/>
    <mergeCell ref="CL561:CN561"/>
    <mergeCell ref="AG562:AH562"/>
    <mergeCell ref="AI562:AV562"/>
    <mergeCell ref="AW562:AY562"/>
    <mergeCell ref="BC562:BE562"/>
    <mergeCell ref="BF562:BH562"/>
    <mergeCell ref="BI562:BL562"/>
    <mergeCell ref="BM562:BP562"/>
    <mergeCell ref="BQ562:BS562"/>
    <mergeCell ref="BT562:BW562"/>
    <mergeCell ref="BX562:BZ562"/>
    <mergeCell ref="CA562:CD562"/>
    <mergeCell ref="CE562:CG562"/>
    <mergeCell ref="CH562:CK562"/>
    <mergeCell ref="CL562:CN562"/>
    <mergeCell ref="AG563:AH563"/>
    <mergeCell ref="AI563:AV563"/>
    <mergeCell ref="AW563:AY563"/>
    <mergeCell ref="BC563:BE563"/>
    <mergeCell ref="BF563:BH563"/>
    <mergeCell ref="BI563:BL563"/>
    <mergeCell ref="BM563:BP563"/>
    <mergeCell ref="BQ563:BS563"/>
    <mergeCell ref="BT563:BW563"/>
    <mergeCell ref="BX563:BZ563"/>
    <mergeCell ref="CA563:CD563"/>
    <mergeCell ref="CE563:CG563"/>
    <mergeCell ref="CH563:CK563"/>
    <mergeCell ref="CL563:CN563"/>
    <mergeCell ref="AG564:AH564"/>
    <mergeCell ref="AI564:AV564"/>
    <mergeCell ref="AW564:AY564"/>
    <mergeCell ref="BC564:BE564"/>
    <mergeCell ref="BF564:BH564"/>
    <mergeCell ref="BI564:BL564"/>
    <mergeCell ref="BM564:BP564"/>
    <mergeCell ref="BQ564:BS564"/>
    <mergeCell ref="BT564:BW564"/>
    <mergeCell ref="BX564:BZ564"/>
    <mergeCell ref="CA564:CD564"/>
    <mergeCell ref="CE564:CG564"/>
    <mergeCell ref="CH564:CK564"/>
    <mergeCell ref="CL564:CN564"/>
    <mergeCell ref="AG565:AH565"/>
    <mergeCell ref="AI565:AV565"/>
    <mergeCell ref="AW565:AY565"/>
    <mergeCell ref="BC565:BE565"/>
    <mergeCell ref="BF565:BH565"/>
    <mergeCell ref="BI565:BL565"/>
    <mergeCell ref="BM565:BP565"/>
    <mergeCell ref="BQ565:BS565"/>
    <mergeCell ref="BT565:BW565"/>
    <mergeCell ref="BX565:BZ565"/>
    <mergeCell ref="CA565:CD565"/>
    <mergeCell ref="CE565:CG565"/>
    <mergeCell ref="CH565:CK565"/>
    <mergeCell ref="CL565:CN565"/>
    <mergeCell ref="AG566:AH566"/>
    <mergeCell ref="AI566:AV566"/>
    <mergeCell ref="AW566:AY566"/>
    <mergeCell ref="BC566:BE566"/>
    <mergeCell ref="BF566:BH566"/>
    <mergeCell ref="BI566:BL566"/>
    <mergeCell ref="BM566:BP566"/>
    <mergeCell ref="BQ566:BS566"/>
    <mergeCell ref="BT566:BW566"/>
    <mergeCell ref="BX566:BZ566"/>
    <mergeCell ref="CA566:CD566"/>
    <mergeCell ref="CE566:CG566"/>
    <mergeCell ref="CH566:CK566"/>
    <mergeCell ref="CL566:CN566"/>
    <mergeCell ref="AG567:AH567"/>
    <mergeCell ref="AI567:AV567"/>
    <mergeCell ref="AW567:AY567"/>
    <mergeCell ref="BC567:BE567"/>
    <mergeCell ref="BF567:BH567"/>
    <mergeCell ref="BI567:BL567"/>
    <mergeCell ref="BM567:BP567"/>
    <mergeCell ref="BQ567:BS567"/>
    <mergeCell ref="BT567:BW567"/>
    <mergeCell ref="BX567:BZ567"/>
    <mergeCell ref="CA567:CD567"/>
    <mergeCell ref="CE567:CG567"/>
    <mergeCell ref="CH567:CK567"/>
    <mergeCell ref="CL567:CN567"/>
    <mergeCell ref="AG568:AH568"/>
    <mergeCell ref="AI568:AV568"/>
    <mergeCell ref="AW568:AY568"/>
    <mergeCell ref="BC568:BE568"/>
    <mergeCell ref="BF568:BH568"/>
    <mergeCell ref="BI568:BL568"/>
    <mergeCell ref="BM568:BP568"/>
    <mergeCell ref="BQ568:BS568"/>
    <mergeCell ref="BT568:BW568"/>
    <mergeCell ref="BX568:BZ568"/>
    <mergeCell ref="CA568:CD568"/>
    <mergeCell ref="CE568:CG568"/>
    <mergeCell ref="CH568:CK568"/>
    <mergeCell ref="CL568:CN568"/>
    <mergeCell ref="AG569:AH569"/>
    <mergeCell ref="AI569:AV569"/>
    <mergeCell ref="AW569:AY569"/>
    <mergeCell ref="BC569:BE569"/>
    <mergeCell ref="BF569:BH569"/>
    <mergeCell ref="BI569:BL569"/>
    <mergeCell ref="BM569:BP569"/>
    <mergeCell ref="BQ569:BS569"/>
    <mergeCell ref="BT569:BW569"/>
    <mergeCell ref="BX569:BZ569"/>
    <mergeCell ref="CA569:CD569"/>
    <mergeCell ref="CE569:CG569"/>
    <mergeCell ref="CH569:CK569"/>
    <mergeCell ref="CL569:CN569"/>
    <mergeCell ref="AG570:AH570"/>
    <mergeCell ref="AI570:AV570"/>
    <mergeCell ref="AW570:AY570"/>
    <mergeCell ref="BC570:BE570"/>
    <mergeCell ref="BF570:BH570"/>
    <mergeCell ref="BI570:BL570"/>
    <mergeCell ref="BM570:BP570"/>
    <mergeCell ref="BQ570:BS570"/>
    <mergeCell ref="BT570:BW570"/>
    <mergeCell ref="BX570:BZ570"/>
    <mergeCell ref="CA570:CD570"/>
    <mergeCell ref="CE570:CG570"/>
    <mergeCell ref="CH570:CK570"/>
    <mergeCell ref="CL570:CN570"/>
    <mergeCell ref="AG571:AH571"/>
    <mergeCell ref="AI571:AV571"/>
    <mergeCell ref="AW571:AY571"/>
    <mergeCell ref="BC571:BE571"/>
    <mergeCell ref="BF571:BH571"/>
    <mergeCell ref="BI571:BL571"/>
    <mergeCell ref="BM571:BP571"/>
    <mergeCell ref="BQ571:BS571"/>
    <mergeCell ref="BT571:BW571"/>
    <mergeCell ref="BX571:BZ571"/>
    <mergeCell ref="CA571:CD571"/>
    <mergeCell ref="CE571:CG571"/>
    <mergeCell ref="CH571:CK571"/>
    <mergeCell ref="CL571:CN571"/>
    <mergeCell ref="AG572:AH572"/>
    <mergeCell ref="AI572:AV572"/>
    <mergeCell ref="AW572:AY572"/>
    <mergeCell ref="BC572:BE572"/>
    <mergeCell ref="BF572:BH572"/>
    <mergeCell ref="BI572:BL572"/>
    <mergeCell ref="BM572:BP572"/>
    <mergeCell ref="BQ572:BS572"/>
    <mergeCell ref="BT572:BW572"/>
    <mergeCell ref="BX572:BZ572"/>
    <mergeCell ref="CA572:CD572"/>
    <mergeCell ref="CE572:CG572"/>
    <mergeCell ref="CH572:CK572"/>
    <mergeCell ref="CL572:CN572"/>
    <mergeCell ref="AG573:AH573"/>
    <mergeCell ref="AI573:AV573"/>
    <mergeCell ref="AW573:AY573"/>
    <mergeCell ref="BC573:BE573"/>
    <mergeCell ref="BF573:BH573"/>
    <mergeCell ref="BI573:BL573"/>
    <mergeCell ref="BM573:BP573"/>
    <mergeCell ref="BQ573:BS573"/>
    <mergeCell ref="BT573:BW573"/>
    <mergeCell ref="BX573:BZ573"/>
    <mergeCell ref="CA573:CD573"/>
    <mergeCell ref="CE573:CG573"/>
    <mergeCell ref="CH573:CK573"/>
    <mergeCell ref="CL573:CN573"/>
    <mergeCell ref="AG574:AH574"/>
    <mergeCell ref="AI574:AV574"/>
    <mergeCell ref="AW574:AY574"/>
    <mergeCell ref="BC574:BE574"/>
    <mergeCell ref="BF574:BH574"/>
    <mergeCell ref="BI574:BL574"/>
    <mergeCell ref="BM574:BP574"/>
    <mergeCell ref="BQ574:BS574"/>
    <mergeCell ref="BT574:BW574"/>
    <mergeCell ref="BX574:BZ574"/>
    <mergeCell ref="CA574:CD574"/>
    <mergeCell ref="CE574:CG574"/>
    <mergeCell ref="CH574:CK574"/>
    <mergeCell ref="CL574:CN574"/>
    <mergeCell ref="AG575:AH575"/>
    <mergeCell ref="AI575:AV575"/>
    <mergeCell ref="AW575:AY575"/>
    <mergeCell ref="BC575:BE575"/>
    <mergeCell ref="BF575:BH575"/>
    <mergeCell ref="BI575:BL575"/>
    <mergeCell ref="BM575:BP575"/>
    <mergeCell ref="BQ575:BS575"/>
    <mergeCell ref="BT575:BW575"/>
    <mergeCell ref="BX575:BZ575"/>
    <mergeCell ref="CA575:CD575"/>
    <mergeCell ref="CE575:CG575"/>
    <mergeCell ref="CH575:CK575"/>
    <mergeCell ref="CL575:CN575"/>
    <mergeCell ref="AG576:AH576"/>
    <mergeCell ref="AI576:AV576"/>
    <mergeCell ref="AW576:AY576"/>
    <mergeCell ref="BC576:BE576"/>
    <mergeCell ref="BF576:BH576"/>
    <mergeCell ref="BI576:BL576"/>
    <mergeCell ref="BM576:BP576"/>
    <mergeCell ref="BQ576:BS576"/>
    <mergeCell ref="BT576:BW576"/>
    <mergeCell ref="BX576:BZ576"/>
    <mergeCell ref="CA576:CD576"/>
    <mergeCell ref="CE576:CG576"/>
    <mergeCell ref="CH576:CK576"/>
    <mergeCell ref="CL576:CN576"/>
    <mergeCell ref="AG577:AH577"/>
    <mergeCell ref="AI577:AV577"/>
    <mergeCell ref="AW577:AY577"/>
    <mergeCell ref="BC577:BE577"/>
    <mergeCell ref="BF577:BH577"/>
    <mergeCell ref="BI577:BL577"/>
    <mergeCell ref="BM577:BP577"/>
    <mergeCell ref="BQ577:BS577"/>
    <mergeCell ref="BT577:BW577"/>
    <mergeCell ref="BX577:BZ577"/>
    <mergeCell ref="CA577:CD577"/>
    <mergeCell ref="CE577:CG577"/>
    <mergeCell ref="CH577:CK577"/>
    <mergeCell ref="CL577:CN577"/>
    <mergeCell ref="AG578:AH578"/>
    <mergeCell ref="AI578:AV578"/>
    <mergeCell ref="AW578:AY578"/>
    <mergeCell ref="BC578:BE578"/>
    <mergeCell ref="BF578:BH578"/>
    <mergeCell ref="BI578:BL578"/>
    <mergeCell ref="BM578:BP578"/>
    <mergeCell ref="BQ578:BS578"/>
    <mergeCell ref="BT578:BW578"/>
    <mergeCell ref="BX578:BZ578"/>
    <mergeCell ref="CA578:CD578"/>
    <mergeCell ref="CE578:CG578"/>
    <mergeCell ref="CH578:CK578"/>
    <mergeCell ref="CL578:CN578"/>
    <mergeCell ref="AG579:AH579"/>
    <mergeCell ref="AI579:AV579"/>
    <mergeCell ref="AW579:AY579"/>
    <mergeCell ref="BC579:BE579"/>
    <mergeCell ref="BF579:BH579"/>
    <mergeCell ref="BI579:BL579"/>
    <mergeCell ref="BM579:BP579"/>
    <mergeCell ref="BQ579:BS579"/>
    <mergeCell ref="BT579:BW579"/>
    <mergeCell ref="BX579:BZ579"/>
    <mergeCell ref="CA579:CD579"/>
    <mergeCell ref="CE579:CG579"/>
    <mergeCell ref="CH579:CK579"/>
    <mergeCell ref="CL579:CN579"/>
    <mergeCell ref="AG580:AH580"/>
    <mergeCell ref="AI580:AV580"/>
    <mergeCell ref="AW580:AY580"/>
    <mergeCell ref="BC580:BE580"/>
    <mergeCell ref="BF580:BH580"/>
    <mergeCell ref="BI580:BL580"/>
    <mergeCell ref="BM580:BP580"/>
    <mergeCell ref="BQ580:BS580"/>
    <mergeCell ref="BT580:BW580"/>
    <mergeCell ref="BX580:BZ580"/>
    <mergeCell ref="CA580:CD580"/>
    <mergeCell ref="CE580:CG580"/>
    <mergeCell ref="CH580:CK580"/>
    <mergeCell ref="CL580:CN580"/>
    <mergeCell ref="AG581:AH581"/>
    <mergeCell ref="AI581:AV581"/>
    <mergeCell ref="AW581:AY581"/>
    <mergeCell ref="BC581:BE581"/>
    <mergeCell ref="BF581:BH581"/>
    <mergeCell ref="BI581:BL581"/>
    <mergeCell ref="BM581:BP581"/>
    <mergeCell ref="BQ581:BS581"/>
    <mergeCell ref="BT581:BW581"/>
    <mergeCell ref="BX581:BZ581"/>
    <mergeCell ref="CA581:CD581"/>
    <mergeCell ref="CE581:CG581"/>
    <mergeCell ref="CH581:CK581"/>
    <mergeCell ref="CL581:CN581"/>
    <mergeCell ref="AG582:AH582"/>
    <mergeCell ref="AI582:AV582"/>
    <mergeCell ref="AW582:AY582"/>
    <mergeCell ref="BC582:BE582"/>
    <mergeCell ref="BF582:BH582"/>
    <mergeCell ref="BI582:BL582"/>
    <mergeCell ref="BM582:BP582"/>
    <mergeCell ref="BQ582:BS582"/>
    <mergeCell ref="BT582:BW582"/>
    <mergeCell ref="BX582:BZ582"/>
    <mergeCell ref="CA582:CD582"/>
    <mergeCell ref="CE582:CG582"/>
    <mergeCell ref="CH582:CK582"/>
    <mergeCell ref="CL582:CN582"/>
    <mergeCell ref="AG583:AH583"/>
    <mergeCell ref="AI583:AV583"/>
    <mergeCell ref="AW583:AY583"/>
    <mergeCell ref="BC583:BE583"/>
    <mergeCell ref="BF583:BH583"/>
    <mergeCell ref="BI583:BL583"/>
    <mergeCell ref="BM583:BP583"/>
    <mergeCell ref="BQ583:BS583"/>
    <mergeCell ref="BT583:BW583"/>
    <mergeCell ref="BX583:BZ583"/>
    <mergeCell ref="CA583:CD583"/>
    <mergeCell ref="CE583:CG583"/>
    <mergeCell ref="CH583:CK583"/>
    <mergeCell ref="CL583:CN583"/>
    <mergeCell ref="AG584:AH584"/>
    <mergeCell ref="AI584:AV584"/>
    <mergeCell ref="AW584:AY584"/>
    <mergeCell ref="BC584:BE584"/>
    <mergeCell ref="BF584:BH584"/>
    <mergeCell ref="BI584:BL584"/>
    <mergeCell ref="BM584:BP584"/>
    <mergeCell ref="BQ584:BS584"/>
    <mergeCell ref="BT584:BW584"/>
    <mergeCell ref="BX584:BZ584"/>
    <mergeCell ref="CA584:CD584"/>
    <mergeCell ref="CE584:CG584"/>
    <mergeCell ref="CH584:CK584"/>
    <mergeCell ref="CL584:CN584"/>
    <mergeCell ref="AG585:AH585"/>
    <mergeCell ref="AI585:AV585"/>
    <mergeCell ref="AW585:AY585"/>
    <mergeCell ref="BC585:BE585"/>
    <mergeCell ref="BF585:BH585"/>
    <mergeCell ref="BI585:BL585"/>
    <mergeCell ref="BM585:BP585"/>
    <mergeCell ref="BQ585:BS585"/>
    <mergeCell ref="BT585:BW585"/>
    <mergeCell ref="BX585:BZ585"/>
    <mergeCell ref="CA585:CD585"/>
    <mergeCell ref="CE585:CG585"/>
    <mergeCell ref="CH585:CK585"/>
    <mergeCell ref="CL585:CN585"/>
    <mergeCell ref="AG586:AH586"/>
    <mergeCell ref="AI586:AV586"/>
    <mergeCell ref="AW586:AY586"/>
    <mergeCell ref="BC586:BE586"/>
    <mergeCell ref="BF586:BH586"/>
    <mergeCell ref="BI586:BL586"/>
    <mergeCell ref="BM586:BP586"/>
    <mergeCell ref="BQ586:BS586"/>
    <mergeCell ref="BT586:BW586"/>
    <mergeCell ref="BX586:BZ586"/>
    <mergeCell ref="CA586:CD586"/>
    <mergeCell ref="CE586:CG586"/>
    <mergeCell ref="CH586:CK586"/>
    <mergeCell ref="CL586:CN586"/>
    <mergeCell ref="AG587:AH587"/>
    <mergeCell ref="AI587:AV587"/>
    <mergeCell ref="AW587:AY587"/>
    <mergeCell ref="BC587:BE587"/>
    <mergeCell ref="BF587:BH587"/>
    <mergeCell ref="BI587:BL587"/>
    <mergeCell ref="BM587:BP587"/>
    <mergeCell ref="BQ587:BS587"/>
    <mergeCell ref="BT587:BW587"/>
    <mergeCell ref="BX587:BZ587"/>
    <mergeCell ref="CA587:CD587"/>
    <mergeCell ref="CE587:CG587"/>
    <mergeCell ref="CH587:CK587"/>
    <mergeCell ref="CL587:CN587"/>
    <mergeCell ref="AG588:AH588"/>
    <mergeCell ref="AI588:AV588"/>
    <mergeCell ref="AW588:AY588"/>
    <mergeCell ref="BC588:BE588"/>
    <mergeCell ref="BF588:BH588"/>
    <mergeCell ref="BI588:BL588"/>
    <mergeCell ref="BM588:BP588"/>
    <mergeCell ref="BQ588:BS588"/>
    <mergeCell ref="BT588:BW588"/>
    <mergeCell ref="BX588:BZ588"/>
    <mergeCell ref="CA588:CD588"/>
    <mergeCell ref="CE588:CG588"/>
    <mergeCell ref="CH588:CK588"/>
    <mergeCell ref="CL588:CN588"/>
    <mergeCell ref="AG589:AH589"/>
    <mergeCell ref="AI589:AV589"/>
    <mergeCell ref="AW589:AY589"/>
    <mergeCell ref="BC589:BE589"/>
    <mergeCell ref="BF589:BH589"/>
    <mergeCell ref="BI589:BL589"/>
    <mergeCell ref="BM589:BP589"/>
    <mergeCell ref="BQ589:BS589"/>
    <mergeCell ref="BT589:BW589"/>
    <mergeCell ref="BX589:BZ589"/>
    <mergeCell ref="CA589:CD589"/>
    <mergeCell ref="CE589:CG589"/>
    <mergeCell ref="CH589:CK589"/>
    <mergeCell ref="CL589:CN589"/>
    <mergeCell ref="AG590:AH590"/>
    <mergeCell ref="AI590:AV590"/>
    <mergeCell ref="AW590:AY590"/>
    <mergeCell ref="BC590:BE590"/>
    <mergeCell ref="BF590:BH590"/>
    <mergeCell ref="BI590:BL590"/>
    <mergeCell ref="BM590:BP590"/>
    <mergeCell ref="BQ590:BS590"/>
    <mergeCell ref="BT590:BW590"/>
    <mergeCell ref="BX590:BZ590"/>
    <mergeCell ref="CA590:CD590"/>
    <mergeCell ref="CE590:CG590"/>
    <mergeCell ref="CH590:CK590"/>
    <mergeCell ref="CL590:CN590"/>
    <mergeCell ref="AG591:AH591"/>
    <mergeCell ref="AI591:AV591"/>
    <mergeCell ref="AW591:AY591"/>
    <mergeCell ref="BC591:BE591"/>
    <mergeCell ref="BF591:BH591"/>
    <mergeCell ref="BI591:BL591"/>
    <mergeCell ref="BM591:BP591"/>
    <mergeCell ref="BQ591:BS591"/>
    <mergeCell ref="BT591:BW591"/>
    <mergeCell ref="BX591:BZ591"/>
    <mergeCell ref="CA591:CD591"/>
    <mergeCell ref="CE591:CG591"/>
    <mergeCell ref="CH591:CK591"/>
    <mergeCell ref="CL591:CN591"/>
    <mergeCell ref="AG592:AH592"/>
    <mergeCell ref="AI592:AV592"/>
    <mergeCell ref="AW592:AY592"/>
    <mergeCell ref="BC592:BE592"/>
    <mergeCell ref="BF592:BH592"/>
    <mergeCell ref="BI592:BL592"/>
    <mergeCell ref="BM592:BP592"/>
    <mergeCell ref="BQ592:BS592"/>
    <mergeCell ref="BT592:BW592"/>
    <mergeCell ref="BX592:BZ592"/>
    <mergeCell ref="CA592:CD592"/>
    <mergeCell ref="CE592:CG592"/>
    <mergeCell ref="CH592:CK592"/>
    <mergeCell ref="CL592:CN592"/>
    <mergeCell ref="AG593:AH593"/>
    <mergeCell ref="AI593:AV593"/>
    <mergeCell ref="AW593:AY593"/>
    <mergeCell ref="BC593:BE593"/>
    <mergeCell ref="BF593:BH593"/>
    <mergeCell ref="BI593:BL593"/>
    <mergeCell ref="BM593:BP593"/>
    <mergeCell ref="BQ593:BS593"/>
    <mergeCell ref="BT593:BW593"/>
    <mergeCell ref="BX593:BZ593"/>
    <mergeCell ref="CA593:CD593"/>
    <mergeCell ref="CE593:CG593"/>
    <mergeCell ref="CH593:CK593"/>
    <mergeCell ref="CL593:CN593"/>
    <mergeCell ref="AG594:AH594"/>
    <mergeCell ref="AI594:AV594"/>
    <mergeCell ref="AW594:AY594"/>
    <mergeCell ref="BC594:BE594"/>
    <mergeCell ref="BF594:BH594"/>
    <mergeCell ref="BI594:BL594"/>
    <mergeCell ref="BM594:BP594"/>
    <mergeCell ref="BQ594:BS594"/>
    <mergeCell ref="BT594:BW594"/>
    <mergeCell ref="BX594:BZ594"/>
    <mergeCell ref="CA594:CD594"/>
    <mergeCell ref="CE594:CG594"/>
    <mergeCell ref="CH594:CK594"/>
    <mergeCell ref="CL594:CN594"/>
    <mergeCell ref="AG595:AH595"/>
    <mergeCell ref="AI595:AV595"/>
    <mergeCell ref="AW595:AY595"/>
    <mergeCell ref="BC595:BE595"/>
    <mergeCell ref="BF595:BH595"/>
    <mergeCell ref="BI595:BL595"/>
    <mergeCell ref="BM595:BP595"/>
    <mergeCell ref="BQ595:BS595"/>
    <mergeCell ref="BT595:BW595"/>
    <mergeCell ref="BX595:BZ595"/>
    <mergeCell ref="CA595:CD595"/>
    <mergeCell ref="CE595:CG595"/>
    <mergeCell ref="CH595:CK595"/>
    <mergeCell ref="CL595:CN595"/>
    <mergeCell ref="AG596:AH596"/>
    <mergeCell ref="AI596:AV596"/>
    <mergeCell ref="AW596:AY596"/>
    <mergeCell ref="BC596:BE596"/>
    <mergeCell ref="BF596:BH596"/>
    <mergeCell ref="BI596:BL596"/>
    <mergeCell ref="BM596:BP596"/>
    <mergeCell ref="BQ596:BS596"/>
    <mergeCell ref="BT596:BW596"/>
    <mergeCell ref="BX596:BZ596"/>
    <mergeCell ref="CA596:CD596"/>
    <mergeCell ref="CE596:CG596"/>
    <mergeCell ref="CH596:CK596"/>
    <mergeCell ref="CL596:CN596"/>
    <mergeCell ref="AG597:AH597"/>
    <mergeCell ref="AI597:AV597"/>
    <mergeCell ref="AW597:AY597"/>
    <mergeCell ref="BC597:BE597"/>
    <mergeCell ref="BF597:BH597"/>
    <mergeCell ref="BI597:BL597"/>
    <mergeCell ref="BM597:BP597"/>
    <mergeCell ref="BQ597:BS597"/>
    <mergeCell ref="BT597:BW597"/>
    <mergeCell ref="BX597:BZ597"/>
    <mergeCell ref="CA597:CD597"/>
    <mergeCell ref="CE597:CG597"/>
    <mergeCell ref="CH597:CK597"/>
    <mergeCell ref="CL597:CN597"/>
    <mergeCell ref="AG598:AH598"/>
    <mergeCell ref="AI598:AV598"/>
    <mergeCell ref="AW598:AY598"/>
    <mergeCell ref="BC598:BE598"/>
    <mergeCell ref="BF598:BH598"/>
    <mergeCell ref="BI598:BL598"/>
    <mergeCell ref="BM598:BP598"/>
    <mergeCell ref="BQ598:BS598"/>
    <mergeCell ref="BT598:BW598"/>
    <mergeCell ref="BX598:BZ598"/>
    <mergeCell ref="CA598:CD598"/>
    <mergeCell ref="CE598:CG598"/>
    <mergeCell ref="CH598:CK598"/>
    <mergeCell ref="CL598:CN598"/>
    <mergeCell ref="AG599:AH599"/>
    <mergeCell ref="AI599:AV599"/>
    <mergeCell ref="AW599:AY599"/>
    <mergeCell ref="BC599:BE599"/>
    <mergeCell ref="BF599:BH599"/>
    <mergeCell ref="BI599:BL599"/>
    <mergeCell ref="BM599:BP599"/>
    <mergeCell ref="BQ599:BS599"/>
    <mergeCell ref="BT599:BW599"/>
    <mergeCell ref="BX599:BZ599"/>
    <mergeCell ref="CA599:CD599"/>
    <mergeCell ref="CE599:CG599"/>
    <mergeCell ref="CH599:CK599"/>
    <mergeCell ref="CL599:CN599"/>
    <mergeCell ref="AG600:AH600"/>
    <mergeCell ref="AI600:AV600"/>
    <mergeCell ref="AW600:AY600"/>
    <mergeCell ref="BC600:BE600"/>
    <mergeCell ref="BF600:BH600"/>
    <mergeCell ref="BI600:BL600"/>
    <mergeCell ref="BM600:BP600"/>
    <mergeCell ref="BQ600:BS600"/>
    <mergeCell ref="BT600:BW600"/>
    <mergeCell ref="BX600:BZ600"/>
    <mergeCell ref="CA600:CD600"/>
    <mergeCell ref="CE600:CG600"/>
    <mergeCell ref="CH600:CK600"/>
    <mergeCell ref="CL600:CN600"/>
    <mergeCell ref="AG601:AH601"/>
    <mergeCell ref="AI601:AV601"/>
    <mergeCell ref="AW601:AY601"/>
    <mergeCell ref="BC601:BE601"/>
    <mergeCell ref="BF601:BH601"/>
    <mergeCell ref="BI601:BL601"/>
    <mergeCell ref="BM601:BP601"/>
    <mergeCell ref="BQ601:BS601"/>
    <mergeCell ref="BT601:BW601"/>
    <mergeCell ref="BX601:BZ601"/>
    <mergeCell ref="CA601:CD601"/>
    <mergeCell ref="CE601:CG601"/>
    <mergeCell ref="CH601:CK601"/>
    <mergeCell ref="CL601:CN601"/>
    <mergeCell ref="AG602:AH602"/>
    <mergeCell ref="AI602:AV602"/>
    <mergeCell ref="AW602:AY602"/>
    <mergeCell ref="BC602:BE602"/>
    <mergeCell ref="BF602:BH602"/>
    <mergeCell ref="BI602:BL602"/>
    <mergeCell ref="BM602:BP602"/>
    <mergeCell ref="BQ602:BS602"/>
    <mergeCell ref="BT602:BW602"/>
    <mergeCell ref="BX602:BZ602"/>
    <mergeCell ref="CA602:CD602"/>
    <mergeCell ref="CE602:CG602"/>
    <mergeCell ref="CH602:CK602"/>
    <mergeCell ref="CL602:CN602"/>
    <mergeCell ref="AG603:AH603"/>
    <mergeCell ref="AI603:AV603"/>
    <mergeCell ref="AW603:AY603"/>
    <mergeCell ref="BC603:BE603"/>
    <mergeCell ref="BF603:BH603"/>
    <mergeCell ref="BI603:BL603"/>
    <mergeCell ref="BM603:BP603"/>
    <mergeCell ref="BQ603:BS603"/>
    <mergeCell ref="BT603:BW603"/>
    <mergeCell ref="BX603:BZ603"/>
    <mergeCell ref="CA603:CD603"/>
    <mergeCell ref="CE603:CG603"/>
    <mergeCell ref="CH603:CK603"/>
    <mergeCell ref="CL603:CN603"/>
    <mergeCell ref="AG604:AH604"/>
    <mergeCell ref="AI604:AV604"/>
    <mergeCell ref="AW604:AY604"/>
    <mergeCell ref="BC604:BE604"/>
    <mergeCell ref="BF604:BH604"/>
    <mergeCell ref="BI604:BL604"/>
    <mergeCell ref="BM604:BP604"/>
    <mergeCell ref="BQ604:BS604"/>
    <mergeCell ref="BT604:BW604"/>
    <mergeCell ref="BX604:BZ604"/>
    <mergeCell ref="CA604:CD604"/>
    <mergeCell ref="CE604:CG604"/>
    <mergeCell ref="CH604:CK604"/>
    <mergeCell ref="CL604:CN604"/>
    <mergeCell ref="AG605:AH605"/>
    <mergeCell ref="AI605:AV605"/>
    <mergeCell ref="AW605:AY605"/>
    <mergeCell ref="BC605:BE605"/>
    <mergeCell ref="BF605:BH605"/>
    <mergeCell ref="BI605:BL605"/>
    <mergeCell ref="BM605:BP605"/>
    <mergeCell ref="BQ605:BS605"/>
    <mergeCell ref="BT605:BW605"/>
    <mergeCell ref="BX605:BZ605"/>
    <mergeCell ref="CA605:CD605"/>
    <mergeCell ref="CE605:CG605"/>
    <mergeCell ref="CH605:CK605"/>
    <mergeCell ref="CL605:CN605"/>
    <mergeCell ref="AG606:AH606"/>
    <mergeCell ref="AI606:AV606"/>
    <mergeCell ref="AW606:AY606"/>
    <mergeCell ref="BC606:BE606"/>
    <mergeCell ref="BF606:BH606"/>
    <mergeCell ref="BI606:BL606"/>
    <mergeCell ref="BM606:BP606"/>
    <mergeCell ref="BQ606:BS606"/>
    <mergeCell ref="BT606:BW606"/>
    <mergeCell ref="BX606:BZ606"/>
    <mergeCell ref="CA606:CD606"/>
    <mergeCell ref="CE606:CG606"/>
    <mergeCell ref="CH606:CK606"/>
    <mergeCell ref="CL606:CN606"/>
    <mergeCell ref="AG607:AH607"/>
    <mergeCell ref="AI607:AV607"/>
    <mergeCell ref="AW607:AY607"/>
    <mergeCell ref="BC607:BE607"/>
    <mergeCell ref="BF607:BH607"/>
    <mergeCell ref="BI607:BL607"/>
    <mergeCell ref="BM607:BP607"/>
    <mergeCell ref="BQ607:BS607"/>
    <mergeCell ref="BT607:BW607"/>
    <mergeCell ref="BX607:BZ607"/>
    <mergeCell ref="CA607:CD607"/>
    <mergeCell ref="CE607:CG607"/>
    <mergeCell ref="CH607:CK607"/>
    <mergeCell ref="CL607:CN607"/>
    <mergeCell ref="AG608:AH608"/>
    <mergeCell ref="AI608:AV608"/>
    <mergeCell ref="AW608:AY608"/>
    <mergeCell ref="BC608:BE608"/>
    <mergeCell ref="BF608:BH608"/>
    <mergeCell ref="BI608:BL608"/>
    <mergeCell ref="BM608:BP608"/>
    <mergeCell ref="BQ608:BS608"/>
    <mergeCell ref="BT608:BW608"/>
    <mergeCell ref="BX608:BZ608"/>
    <mergeCell ref="CA608:CD608"/>
    <mergeCell ref="CE608:CG608"/>
    <mergeCell ref="CH608:CK608"/>
    <mergeCell ref="CL608:CN608"/>
    <mergeCell ref="AG609:AH609"/>
    <mergeCell ref="AI609:AV609"/>
    <mergeCell ref="AW609:AY609"/>
    <mergeCell ref="BC609:BE609"/>
    <mergeCell ref="BF609:BH609"/>
    <mergeCell ref="BI609:BL609"/>
    <mergeCell ref="BM609:BP609"/>
    <mergeCell ref="BQ609:BS609"/>
    <mergeCell ref="BT609:BW609"/>
    <mergeCell ref="BX609:BZ609"/>
    <mergeCell ref="CA609:CD609"/>
    <mergeCell ref="CE609:CG609"/>
    <mergeCell ref="CH609:CK609"/>
    <mergeCell ref="CL609:CN609"/>
    <mergeCell ref="AG610:AH610"/>
    <mergeCell ref="AI610:AV610"/>
    <mergeCell ref="AW610:AY610"/>
    <mergeCell ref="BC610:BE610"/>
    <mergeCell ref="BF610:BH610"/>
    <mergeCell ref="BI610:BL610"/>
    <mergeCell ref="BM610:BP610"/>
    <mergeCell ref="BQ610:BS610"/>
    <mergeCell ref="BT610:BW610"/>
    <mergeCell ref="BX610:BZ610"/>
    <mergeCell ref="CA610:CD610"/>
    <mergeCell ref="CE610:CG610"/>
    <mergeCell ref="CH610:CK610"/>
    <mergeCell ref="CL610:CN610"/>
    <mergeCell ref="AG611:AH611"/>
    <mergeCell ref="AI611:AV611"/>
    <mergeCell ref="AW611:AY611"/>
    <mergeCell ref="BC611:BE611"/>
    <mergeCell ref="BF611:BH611"/>
    <mergeCell ref="BI611:BL611"/>
    <mergeCell ref="BM611:BP611"/>
    <mergeCell ref="BQ611:BS611"/>
    <mergeCell ref="BT611:BW611"/>
    <mergeCell ref="BX611:BZ611"/>
    <mergeCell ref="CA611:CD611"/>
    <mergeCell ref="CE611:CG611"/>
    <mergeCell ref="CH611:CK611"/>
    <mergeCell ref="CL611:CN611"/>
    <mergeCell ref="AG612:AH612"/>
    <mergeCell ref="AI612:AV612"/>
    <mergeCell ref="AW612:AY612"/>
    <mergeCell ref="BC612:BE612"/>
    <mergeCell ref="BF612:BH612"/>
    <mergeCell ref="BI612:BL612"/>
    <mergeCell ref="BM612:BP612"/>
    <mergeCell ref="BQ612:BS612"/>
    <mergeCell ref="BT612:BW612"/>
    <mergeCell ref="BX612:BZ612"/>
    <mergeCell ref="CA612:CD612"/>
    <mergeCell ref="CE612:CG612"/>
    <mergeCell ref="CH612:CK612"/>
    <mergeCell ref="CL612:CN612"/>
    <mergeCell ref="AG613:AH613"/>
    <mergeCell ref="AI613:AV613"/>
    <mergeCell ref="AW613:AY613"/>
    <mergeCell ref="BC613:BE613"/>
    <mergeCell ref="BF613:BH613"/>
    <mergeCell ref="BI613:BL613"/>
    <mergeCell ref="BM613:BP613"/>
    <mergeCell ref="BQ613:BS613"/>
    <mergeCell ref="BT613:BW613"/>
    <mergeCell ref="BX613:BZ613"/>
    <mergeCell ref="CA613:CD613"/>
    <mergeCell ref="CE613:CG613"/>
    <mergeCell ref="CH613:CK613"/>
    <mergeCell ref="CL613:CN613"/>
    <mergeCell ref="AG614:AH614"/>
    <mergeCell ref="AI614:AV614"/>
    <mergeCell ref="AW614:AY614"/>
    <mergeCell ref="BC614:BE614"/>
    <mergeCell ref="BF614:BH614"/>
    <mergeCell ref="BI614:BL614"/>
    <mergeCell ref="BM614:BP614"/>
    <mergeCell ref="BQ614:BS614"/>
    <mergeCell ref="BT614:BW614"/>
    <mergeCell ref="BX614:BZ614"/>
    <mergeCell ref="CA614:CD614"/>
    <mergeCell ref="CE614:CG614"/>
    <mergeCell ref="CH614:CK614"/>
    <mergeCell ref="CL614:CN614"/>
    <mergeCell ref="AG615:AH615"/>
    <mergeCell ref="AI615:AV615"/>
    <mergeCell ref="AW615:AY615"/>
    <mergeCell ref="BC615:BE615"/>
    <mergeCell ref="BF615:BH615"/>
    <mergeCell ref="BI615:BL615"/>
    <mergeCell ref="BM615:BP615"/>
    <mergeCell ref="BQ615:BS615"/>
    <mergeCell ref="BT615:BW615"/>
    <mergeCell ref="BX615:BZ615"/>
    <mergeCell ref="CA615:CD615"/>
    <mergeCell ref="CE615:CG615"/>
    <mergeCell ref="CH615:CK615"/>
    <mergeCell ref="CL615:CN615"/>
    <mergeCell ref="AG616:AH616"/>
    <mergeCell ref="AI616:AV616"/>
    <mergeCell ref="AW616:AY616"/>
    <mergeCell ref="BC616:BE616"/>
    <mergeCell ref="BF616:BH616"/>
    <mergeCell ref="BI616:BL616"/>
    <mergeCell ref="BM616:BP616"/>
    <mergeCell ref="BQ616:BS616"/>
    <mergeCell ref="BT616:BW616"/>
    <mergeCell ref="BX616:BZ616"/>
    <mergeCell ref="CA616:CD616"/>
    <mergeCell ref="CE616:CG616"/>
    <mergeCell ref="CH616:CK616"/>
    <mergeCell ref="CL616:CN616"/>
    <mergeCell ref="AG617:AH617"/>
    <mergeCell ref="AI617:AV617"/>
    <mergeCell ref="AW617:AY617"/>
    <mergeCell ref="BC617:BE617"/>
    <mergeCell ref="BF617:BH617"/>
    <mergeCell ref="BI617:BL617"/>
    <mergeCell ref="BM617:BP617"/>
    <mergeCell ref="BQ617:BS617"/>
    <mergeCell ref="BT617:BW617"/>
    <mergeCell ref="BX617:BZ617"/>
    <mergeCell ref="CA617:CD617"/>
    <mergeCell ref="CE617:CG617"/>
    <mergeCell ref="CH617:CK617"/>
    <mergeCell ref="CL617:CN617"/>
    <mergeCell ref="AG618:AH618"/>
    <mergeCell ref="AI618:AV618"/>
    <mergeCell ref="AW618:AY618"/>
    <mergeCell ref="BC618:BE618"/>
    <mergeCell ref="BF618:BH618"/>
    <mergeCell ref="BI618:BL618"/>
    <mergeCell ref="BM618:BP618"/>
    <mergeCell ref="BQ618:BS618"/>
    <mergeCell ref="BT618:BW618"/>
    <mergeCell ref="BX618:BZ618"/>
    <mergeCell ref="CA618:CD618"/>
    <mergeCell ref="CE618:CG618"/>
    <mergeCell ref="CH618:CK618"/>
    <mergeCell ref="CL618:CN618"/>
    <mergeCell ref="AG619:AH619"/>
    <mergeCell ref="AI619:AV619"/>
    <mergeCell ref="AW619:AY619"/>
    <mergeCell ref="BC619:BE619"/>
    <mergeCell ref="BF619:BH619"/>
    <mergeCell ref="BI619:BL619"/>
    <mergeCell ref="BM619:BP619"/>
    <mergeCell ref="BQ619:BS619"/>
    <mergeCell ref="BT619:BW619"/>
    <mergeCell ref="BX619:BZ619"/>
    <mergeCell ref="CA619:CD619"/>
    <mergeCell ref="CE619:CG619"/>
    <mergeCell ref="CH619:CK619"/>
    <mergeCell ref="CL619:CN619"/>
    <mergeCell ref="AG620:AH620"/>
    <mergeCell ref="AI620:AV620"/>
    <mergeCell ref="AW620:AY620"/>
    <mergeCell ref="BC620:BE620"/>
    <mergeCell ref="BF620:BH620"/>
    <mergeCell ref="BI620:BL620"/>
    <mergeCell ref="BM620:BP620"/>
    <mergeCell ref="BQ620:BS620"/>
    <mergeCell ref="BT620:BW620"/>
    <mergeCell ref="BX620:BZ620"/>
    <mergeCell ref="CA620:CD620"/>
    <mergeCell ref="CE620:CG620"/>
    <mergeCell ref="CH620:CK620"/>
    <mergeCell ref="CL620:CN620"/>
    <mergeCell ref="AG621:AH621"/>
    <mergeCell ref="AI621:AV621"/>
    <mergeCell ref="AW621:AY621"/>
    <mergeCell ref="BC621:BE621"/>
    <mergeCell ref="BF621:BH621"/>
    <mergeCell ref="BI621:BL621"/>
    <mergeCell ref="BM621:BP621"/>
    <mergeCell ref="BQ621:BS621"/>
    <mergeCell ref="BT621:BW621"/>
    <mergeCell ref="BX621:BZ621"/>
    <mergeCell ref="CA621:CD621"/>
    <mergeCell ref="CE621:CG621"/>
    <mergeCell ref="CH621:CK621"/>
    <mergeCell ref="CL621:CN621"/>
    <mergeCell ref="AG622:AH622"/>
    <mergeCell ref="AI622:AV622"/>
    <mergeCell ref="AW622:AY622"/>
    <mergeCell ref="BC622:BE622"/>
    <mergeCell ref="BF622:BH622"/>
    <mergeCell ref="BI622:BL622"/>
    <mergeCell ref="BM622:BP622"/>
    <mergeCell ref="BQ622:BS622"/>
    <mergeCell ref="BT622:BW622"/>
    <mergeCell ref="BX622:BZ622"/>
    <mergeCell ref="CA622:CD622"/>
    <mergeCell ref="CE622:CG622"/>
    <mergeCell ref="CH622:CK622"/>
    <mergeCell ref="CL622:CN622"/>
    <mergeCell ref="AG623:AH623"/>
    <mergeCell ref="AI623:AV623"/>
    <mergeCell ref="AW623:AY623"/>
    <mergeCell ref="BC623:BE623"/>
    <mergeCell ref="BF623:BH623"/>
    <mergeCell ref="BI623:BL623"/>
    <mergeCell ref="BM623:BP623"/>
    <mergeCell ref="BQ623:BS623"/>
    <mergeCell ref="BT623:BW623"/>
    <mergeCell ref="BX623:BZ623"/>
    <mergeCell ref="CA623:CD623"/>
    <mergeCell ref="CE623:CG623"/>
    <mergeCell ref="CH623:CK623"/>
    <mergeCell ref="CL623:CN623"/>
    <mergeCell ref="AG624:AH624"/>
    <mergeCell ref="AI624:AV624"/>
    <mergeCell ref="AW624:AY624"/>
    <mergeCell ref="BC624:BE624"/>
    <mergeCell ref="BF624:BH624"/>
    <mergeCell ref="BI624:BL624"/>
    <mergeCell ref="BM624:BP624"/>
    <mergeCell ref="BQ624:BS624"/>
    <mergeCell ref="BT624:BW624"/>
    <mergeCell ref="BX624:BZ624"/>
    <mergeCell ref="CA624:CD624"/>
    <mergeCell ref="CE624:CG624"/>
    <mergeCell ref="CH624:CK624"/>
    <mergeCell ref="CL624:CN624"/>
    <mergeCell ref="AG625:AH625"/>
    <mergeCell ref="AI625:AV625"/>
    <mergeCell ref="AW625:AY625"/>
    <mergeCell ref="BC625:BE625"/>
    <mergeCell ref="BF625:BH625"/>
    <mergeCell ref="BI625:BL625"/>
    <mergeCell ref="BM625:BP625"/>
    <mergeCell ref="BQ625:BS625"/>
    <mergeCell ref="BT625:BW625"/>
    <mergeCell ref="BX625:BZ625"/>
    <mergeCell ref="CA625:CD625"/>
    <mergeCell ref="CE625:CG625"/>
    <mergeCell ref="CH625:CK625"/>
    <mergeCell ref="CL625:CN625"/>
    <mergeCell ref="AG626:AH626"/>
    <mergeCell ref="AI626:AV626"/>
    <mergeCell ref="AW626:AY626"/>
    <mergeCell ref="BC626:BE626"/>
    <mergeCell ref="BF626:BH626"/>
    <mergeCell ref="BI626:BL626"/>
    <mergeCell ref="BM626:BP626"/>
    <mergeCell ref="BQ626:BS626"/>
    <mergeCell ref="BT626:BW626"/>
    <mergeCell ref="BX626:BZ626"/>
    <mergeCell ref="CA626:CD626"/>
    <mergeCell ref="CE626:CG626"/>
    <mergeCell ref="CH626:CK626"/>
    <mergeCell ref="CL626:CN626"/>
    <mergeCell ref="AG627:AH627"/>
    <mergeCell ref="AI627:AV627"/>
    <mergeCell ref="AW627:AY627"/>
    <mergeCell ref="BC627:BE627"/>
    <mergeCell ref="BF627:BH627"/>
    <mergeCell ref="BI627:BL627"/>
    <mergeCell ref="BM627:BP627"/>
    <mergeCell ref="BQ627:BS627"/>
    <mergeCell ref="BT627:BW627"/>
    <mergeCell ref="BX627:BZ627"/>
    <mergeCell ref="CA627:CD627"/>
    <mergeCell ref="CE627:CG627"/>
    <mergeCell ref="CH627:CK627"/>
    <mergeCell ref="CL627:CN627"/>
    <mergeCell ref="AG628:AH628"/>
    <mergeCell ref="AI628:AV628"/>
    <mergeCell ref="AW628:AY628"/>
    <mergeCell ref="BC628:BE628"/>
    <mergeCell ref="BF628:BH628"/>
    <mergeCell ref="BI628:BL628"/>
    <mergeCell ref="BM628:BP628"/>
    <mergeCell ref="BQ628:BS628"/>
    <mergeCell ref="BT628:BW628"/>
    <mergeCell ref="BX628:BZ628"/>
    <mergeCell ref="CA628:CD628"/>
    <mergeCell ref="CE628:CG628"/>
    <mergeCell ref="CH628:CK628"/>
    <mergeCell ref="CL628:CN628"/>
    <mergeCell ref="AG629:AH629"/>
    <mergeCell ref="AI629:AV629"/>
    <mergeCell ref="AW629:AY629"/>
    <mergeCell ref="BC629:BE629"/>
    <mergeCell ref="BF629:BH629"/>
    <mergeCell ref="BI629:BL629"/>
    <mergeCell ref="BM629:BP629"/>
    <mergeCell ref="BQ629:BS629"/>
    <mergeCell ref="BT629:BW629"/>
    <mergeCell ref="BX629:BZ629"/>
    <mergeCell ref="CA629:CD629"/>
    <mergeCell ref="CE629:CG629"/>
    <mergeCell ref="CH629:CK629"/>
    <mergeCell ref="CL629:CN629"/>
    <mergeCell ref="AG630:AH630"/>
    <mergeCell ref="AI630:AV630"/>
    <mergeCell ref="AW630:AY630"/>
    <mergeCell ref="BC630:BE630"/>
    <mergeCell ref="BF630:BH630"/>
    <mergeCell ref="BI630:BL630"/>
    <mergeCell ref="BM630:BP630"/>
    <mergeCell ref="BQ630:BS630"/>
    <mergeCell ref="BT630:BW630"/>
    <mergeCell ref="BX630:BZ630"/>
    <mergeCell ref="CA630:CD630"/>
    <mergeCell ref="CE630:CG630"/>
    <mergeCell ref="CH630:CK630"/>
    <mergeCell ref="CL630:CN630"/>
    <mergeCell ref="AG631:AH631"/>
    <mergeCell ref="AI631:AV631"/>
    <mergeCell ref="AW631:AY631"/>
    <mergeCell ref="BC631:BE631"/>
    <mergeCell ref="BF631:BH631"/>
    <mergeCell ref="BI631:BL631"/>
    <mergeCell ref="BM631:BP631"/>
    <mergeCell ref="BQ631:BS631"/>
    <mergeCell ref="BT631:BW631"/>
    <mergeCell ref="BX631:BZ631"/>
    <mergeCell ref="CA631:CD631"/>
    <mergeCell ref="CE631:CG631"/>
    <mergeCell ref="CH631:CK631"/>
    <mergeCell ref="CL631:CN631"/>
    <mergeCell ref="BM632:BP632"/>
    <mergeCell ref="BT632:BW632"/>
    <mergeCell ref="CA632:CD632"/>
    <mergeCell ref="CH632:CK632"/>
    <mergeCell ref="F633:H633"/>
    <mergeCell ref="I633:AA633"/>
    <mergeCell ref="AB633:AE633"/>
    <mergeCell ref="AF633:AI633"/>
    <mergeCell ref="AJ633:AL633"/>
    <mergeCell ref="AM633:AP633"/>
    <mergeCell ref="AQ633:AS633"/>
    <mergeCell ref="AT633:AW633"/>
    <mergeCell ref="AX633:AZ633"/>
    <mergeCell ref="BA633:BD633"/>
    <mergeCell ref="BE633:BG633"/>
    <mergeCell ref="F634:H634"/>
    <mergeCell ref="I634:AA634"/>
    <mergeCell ref="AB634:AE634"/>
    <mergeCell ref="AF634:AI634"/>
    <mergeCell ref="AJ634:AL634"/>
    <mergeCell ref="AM634:AP634"/>
    <mergeCell ref="AQ634:AS634"/>
    <mergeCell ref="AT634:AW634"/>
    <mergeCell ref="AX634:AZ634"/>
    <mergeCell ref="BA634:BD634"/>
    <mergeCell ref="BE634:BG634"/>
    <mergeCell ref="F635:H635"/>
    <mergeCell ref="I635:AA635"/>
    <mergeCell ref="AB635:AE635"/>
    <mergeCell ref="AF635:AI635"/>
    <mergeCell ref="AJ635:AL635"/>
    <mergeCell ref="AM635:AP635"/>
    <mergeCell ref="AQ635:AS635"/>
    <mergeCell ref="AT635:AW635"/>
    <mergeCell ref="AX635:AZ635"/>
    <mergeCell ref="BA635:BD635"/>
    <mergeCell ref="BE635:BG635"/>
    <mergeCell ref="F636:H636"/>
    <mergeCell ref="I636:AA636"/>
    <mergeCell ref="AB636:AE636"/>
    <mergeCell ref="AF636:AI636"/>
    <mergeCell ref="AJ636:AL636"/>
    <mergeCell ref="AM636:AP636"/>
    <mergeCell ref="AQ636:AS636"/>
    <mergeCell ref="AT636:AW636"/>
    <mergeCell ref="AX636:AZ636"/>
    <mergeCell ref="BA636:BD636"/>
    <mergeCell ref="BE636:BG636"/>
    <mergeCell ref="F637:H637"/>
    <mergeCell ref="I637:AA637"/>
    <mergeCell ref="AB637:AE637"/>
    <mergeCell ref="AF637:AI637"/>
    <mergeCell ref="AJ637:AL637"/>
    <mergeCell ref="AM637:AP637"/>
    <mergeCell ref="AQ637:AS637"/>
    <mergeCell ref="AT637:AW637"/>
    <mergeCell ref="AX637:AZ637"/>
    <mergeCell ref="BA637:BD637"/>
    <mergeCell ref="BE637:BG637"/>
    <mergeCell ref="F638:H638"/>
    <mergeCell ref="I638:AA638"/>
    <mergeCell ref="AB638:AE638"/>
    <mergeCell ref="AF638:AI638"/>
    <mergeCell ref="AJ638:AL638"/>
    <mergeCell ref="AM638:AP638"/>
    <mergeCell ref="AQ638:AS638"/>
    <mergeCell ref="AT638:AW638"/>
    <mergeCell ref="AX638:AZ638"/>
    <mergeCell ref="BA638:BD638"/>
    <mergeCell ref="BE638:BG638"/>
    <mergeCell ref="F639:H639"/>
    <mergeCell ref="I639:AA639"/>
    <mergeCell ref="AB639:AE639"/>
    <mergeCell ref="AF639:AI639"/>
    <mergeCell ref="AJ639:AL639"/>
    <mergeCell ref="AM639:AP639"/>
    <mergeCell ref="AQ639:AS639"/>
    <mergeCell ref="AT639:AW639"/>
    <mergeCell ref="AX639:AZ639"/>
    <mergeCell ref="BA639:BD639"/>
    <mergeCell ref="BE639:BG639"/>
    <mergeCell ref="F640:H640"/>
    <mergeCell ref="I640:AA640"/>
    <mergeCell ref="AB640:AE640"/>
    <mergeCell ref="AF640:AI640"/>
    <mergeCell ref="AJ640:AL640"/>
    <mergeCell ref="AM640:AP640"/>
    <mergeCell ref="AQ640:AS640"/>
    <mergeCell ref="AT640:AW640"/>
    <mergeCell ref="AX640:AZ640"/>
    <mergeCell ref="BA640:BD640"/>
    <mergeCell ref="BE640:BG640"/>
    <mergeCell ref="F641:H641"/>
    <mergeCell ref="I641:AA641"/>
    <mergeCell ref="AB641:AE641"/>
    <mergeCell ref="AF641:AI641"/>
    <mergeCell ref="AJ641:AL641"/>
    <mergeCell ref="AM641:AP641"/>
    <mergeCell ref="AQ641:AS641"/>
    <mergeCell ref="AT641:AW641"/>
    <mergeCell ref="AX641:AZ641"/>
    <mergeCell ref="BA641:BD641"/>
    <mergeCell ref="BE641:BG641"/>
    <mergeCell ref="F642:H642"/>
    <mergeCell ref="I642:AA642"/>
    <mergeCell ref="AB642:AE642"/>
    <mergeCell ref="AF642:AI642"/>
    <mergeCell ref="AJ642:AL642"/>
    <mergeCell ref="AM642:AP642"/>
    <mergeCell ref="AQ642:AS642"/>
    <mergeCell ref="AT642:AW642"/>
    <mergeCell ref="AX642:AZ642"/>
    <mergeCell ref="BA642:BD642"/>
    <mergeCell ref="BE642:BG642"/>
    <mergeCell ref="F643:H643"/>
    <mergeCell ref="I643:AA643"/>
    <mergeCell ref="AB643:AE643"/>
    <mergeCell ref="AF643:AI643"/>
    <mergeCell ref="AJ643:AL643"/>
    <mergeCell ref="AM643:AP643"/>
    <mergeCell ref="AQ643:AS643"/>
    <mergeCell ref="AT643:AW643"/>
    <mergeCell ref="AX643:AZ643"/>
    <mergeCell ref="BA643:BD643"/>
    <mergeCell ref="BE643:BG643"/>
    <mergeCell ref="F644:H644"/>
    <mergeCell ref="I644:AA644"/>
    <mergeCell ref="AB644:AE644"/>
    <mergeCell ref="AF644:AI644"/>
    <mergeCell ref="AJ644:AL644"/>
    <mergeCell ref="AM644:AP644"/>
    <mergeCell ref="AQ644:AS644"/>
    <mergeCell ref="AT644:AW644"/>
    <mergeCell ref="AX644:AZ644"/>
    <mergeCell ref="BA644:BD644"/>
    <mergeCell ref="BE644:BG644"/>
    <mergeCell ref="F645:H645"/>
    <mergeCell ref="I645:AA645"/>
    <mergeCell ref="AB645:AE645"/>
    <mergeCell ref="AF645:AI645"/>
    <mergeCell ref="AJ645:AL645"/>
    <mergeCell ref="AM645:AP645"/>
    <mergeCell ref="AQ645:AS645"/>
    <mergeCell ref="AT645:AW645"/>
    <mergeCell ref="AX645:AZ645"/>
    <mergeCell ref="BA645:BD645"/>
    <mergeCell ref="BE645:BG645"/>
    <mergeCell ref="AF646:AI646"/>
    <mergeCell ref="AJ646:AL646"/>
    <mergeCell ref="AM646:AP646"/>
    <mergeCell ref="AQ646:AS646"/>
    <mergeCell ref="AT646:AW646"/>
    <mergeCell ref="AX646:AZ646"/>
    <mergeCell ref="BA646:BD646"/>
    <mergeCell ref="BE646:BG646"/>
    <mergeCell ref="AF647:AI647"/>
    <mergeCell ref="AM647:AP647"/>
    <mergeCell ref="AT647:AW647"/>
    <mergeCell ref="BA647:BD647"/>
    <mergeCell ref="AF648:AI648"/>
    <mergeCell ref="AM648:AP648"/>
    <mergeCell ref="AT648:AW648"/>
    <mergeCell ref="BA648:BD648"/>
    <mergeCell ref="A560:B567"/>
    <mergeCell ref="C560:E567"/>
    <mergeCell ref="F560:H567"/>
    <mergeCell ref="AD560:AF567"/>
    <mergeCell ref="I560:AA567"/>
    <mergeCell ref="AB560:AC567"/>
    <mergeCell ref="AZ560:BB567"/>
    <mergeCell ref="A552:B559"/>
    <mergeCell ref="C552:E559"/>
    <mergeCell ref="F552:H559"/>
    <mergeCell ref="AD552:AF559"/>
    <mergeCell ref="I552:AA559"/>
    <mergeCell ref="AB552:AC559"/>
    <mergeCell ref="AZ552:BB559"/>
    <mergeCell ref="A488:B495"/>
    <mergeCell ref="C488:E495"/>
    <mergeCell ref="F488:H495"/>
    <mergeCell ref="AD488:AF495"/>
    <mergeCell ref="I488:AA495"/>
    <mergeCell ref="AB488:AC495"/>
    <mergeCell ref="AZ488:BB495"/>
    <mergeCell ref="A480:B487"/>
    <mergeCell ref="C480:E487"/>
    <mergeCell ref="F480:H487"/>
    <mergeCell ref="AD480:AF487"/>
    <mergeCell ref="I480:AA487"/>
    <mergeCell ref="AB480:AC487"/>
    <mergeCell ref="AZ480:BB487"/>
    <mergeCell ref="A472:B479"/>
    <mergeCell ref="C472:E479"/>
    <mergeCell ref="F472:H479"/>
    <mergeCell ref="AD472:AF479"/>
    <mergeCell ref="I472:AA479"/>
    <mergeCell ref="AB472:AC479"/>
    <mergeCell ref="AZ472:BB479"/>
    <mergeCell ref="A464:B471"/>
    <mergeCell ref="C464:E471"/>
    <mergeCell ref="F464:H471"/>
    <mergeCell ref="AD464:AF471"/>
    <mergeCell ref="I464:AA471"/>
    <mergeCell ref="AB464:AC471"/>
    <mergeCell ref="AZ464:BB471"/>
    <mergeCell ref="A504:B511"/>
    <mergeCell ref="C504:E511"/>
    <mergeCell ref="F504:H511"/>
    <mergeCell ref="AD504:AF511"/>
    <mergeCell ref="I504:AA511"/>
    <mergeCell ref="AB504:AC511"/>
    <mergeCell ref="AZ504:BB511"/>
    <mergeCell ref="A136:B143"/>
    <mergeCell ref="C136:E143"/>
    <mergeCell ref="F136:H143"/>
    <mergeCell ref="AD136:AF143"/>
    <mergeCell ref="I136:AA143"/>
    <mergeCell ref="AB136:AC143"/>
    <mergeCell ref="AZ136:BB143"/>
    <mergeCell ref="A576:B583"/>
    <mergeCell ref="C576:E583"/>
    <mergeCell ref="F576:H583"/>
    <mergeCell ref="AD576:AF583"/>
    <mergeCell ref="I576:AA583"/>
    <mergeCell ref="AB576:AC583"/>
    <mergeCell ref="AZ576:BB583"/>
    <mergeCell ref="A568:B575"/>
    <mergeCell ref="C568:E575"/>
    <mergeCell ref="F568:H575"/>
    <mergeCell ref="AD568:AF575"/>
    <mergeCell ref="I568:AA575"/>
    <mergeCell ref="AB568:AC575"/>
    <mergeCell ref="AZ568:BB575"/>
    <mergeCell ref="A496:B503"/>
    <mergeCell ref="C496:E503"/>
    <mergeCell ref="F496:H503"/>
    <mergeCell ref="AD496:AF503"/>
    <mergeCell ref="I496:AA503"/>
    <mergeCell ref="AB496:AC503"/>
    <mergeCell ref="AZ496:BB503"/>
    <mergeCell ref="C456:E463"/>
    <mergeCell ref="F456:H463"/>
    <mergeCell ref="AD456:AF463"/>
    <mergeCell ref="I456:AA463"/>
    <mergeCell ref="AB456:AC463"/>
    <mergeCell ref="AZ456:BB463"/>
    <mergeCell ref="A584:B591"/>
    <mergeCell ref="C584:E591"/>
    <mergeCell ref="F584:H591"/>
    <mergeCell ref="AD584:AF591"/>
    <mergeCell ref="AZ584:BB591"/>
    <mergeCell ref="AZ376:BB383"/>
    <mergeCell ref="A88:B95"/>
    <mergeCell ref="C88:E95"/>
    <mergeCell ref="F88:H95"/>
    <mergeCell ref="AD88:AF95"/>
    <mergeCell ref="I88:AA95"/>
    <mergeCell ref="AB88:AC95"/>
    <mergeCell ref="A128:B135"/>
    <mergeCell ref="C128:E135"/>
    <mergeCell ref="F128:H135"/>
    <mergeCell ref="AD128:AF135"/>
    <mergeCell ref="I128:AA135"/>
    <mergeCell ref="AB128:AC135"/>
    <mergeCell ref="AZ128:BB135"/>
    <mergeCell ref="A544:B551"/>
    <mergeCell ref="C544:E551"/>
    <mergeCell ref="F544:H551"/>
    <mergeCell ref="AD544:AF551"/>
    <mergeCell ref="I544:AA551"/>
    <mergeCell ref="AB544:AC551"/>
    <mergeCell ref="AZ544:BB551"/>
    <mergeCell ref="A456:B463"/>
    <mergeCell ref="A384:B391"/>
    <mergeCell ref="C384:E391"/>
    <mergeCell ref="F384:H391"/>
    <mergeCell ref="AD384:AF391"/>
    <mergeCell ref="I384:AA391"/>
    <mergeCell ref="AB384:AC391"/>
    <mergeCell ref="AZ384:BB391"/>
    <mergeCell ref="A352:B359"/>
    <mergeCell ref="C352:E359"/>
    <mergeCell ref="F352:H359"/>
    <mergeCell ref="AD352:AF359"/>
    <mergeCell ref="I352:AA359"/>
    <mergeCell ref="AB352:AC359"/>
    <mergeCell ref="C440:E447"/>
    <mergeCell ref="F440:H447"/>
    <mergeCell ref="AD440:AF447"/>
    <mergeCell ref="A336:B343"/>
    <mergeCell ref="C336:E343"/>
    <mergeCell ref="F336:H343"/>
    <mergeCell ref="AD336:AF343"/>
    <mergeCell ref="I336:AA343"/>
    <mergeCell ref="AB336:AC343"/>
    <mergeCell ref="AZ352:BB359"/>
    <mergeCell ref="A16:B23"/>
    <mergeCell ref="C16:E23"/>
    <mergeCell ref="F16:H23"/>
    <mergeCell ref="AD16:AF23"/>
    <mergeCell ref="I16:AA23"/>
    <mergeCell ref="AB16:AC23"/>
    <mergeCell ref="I32:AA39"/>
    <mergeCell ref="AB32:AC39"/>
    <mergeCell ref="C32:E39"/>
    <mergeCell ref="F32:H39"/>
    <mergeCell ref="AD32:AF39"/>
    <mergeCell ref="C48:E55"/>
    <mergeCell ref="F48:H55"/>
    <mergeCell ref="AD48:AF55"/>
    <mergeCell ref="I48:AA55"/>
    <mergeCell ref="AB48:AC55"/>
    <mergeCell ref="AZ32:BB39"/>
    <mergeCell ref="AZ16:BB23"/>
    <mergeCell ref="A40:B47"/>
    <mergeCell ref="C40:E47"/>
    <mergeCell ref="F40:H47"/>
    <mergeCell ref="AD40:AF47"/>
    <mergeCell ref="C512:E519"/>
    <mergeCell ref="F512:H519"/>
    <mergeCell ref="AD512:AF519"/>
    <mergeCell ref="I424:AA431"/>
    <mergeCell ref="AB424:AC431"/>
    <mergeCell ref="C424:E431"/>
    <mergeCell ref="F424:H431"/>
    <mergeCell ref="AD424:AF431"/>
    <mergeCell ref="C360:E367"/>
    <mergeCell ref="F360:H367"/>
    <mergeCell ref="AD360:AF367"/>
    <mergeCell ref="I360:AA367"/>
    <mergeCell ref="AB360:AC367"/>
    <mergeCell ref="I592:AA599"/>
    <mergeCell ref="AB592:AC599"/>
    <mergeCell ref="C592:E599"/>
    <mergeCell ref="F592:H599"/>
    <mergeCell ref="AD592:AF599"/>
    <mergeCell ref="AB344:AC351"/>
    <mergeCell ref="C344:E351"/>
    <mergeCell ref="F344:H351"/>
    <mergeCell ref="AD344:AF351"/>
    <mergeCell ref="I40:AA47"/>
    <mergeCell ref="AB40:AC47"/>
    <mergeCell ref="AZ40:BB47"/>
    <mergeCell ref="A48:B55"/>
    <mergeCell ref="AZ328:BB335"/>
    <mergeCell ref="A328:B335"/>
    <mergeCell ref="C328:E335"/>
    <mergeCell ref="F328:H335"/>
    <mergeCell ref="AD328:AF335"/>
    <mergeCell ref="I328:AA335"/>
    <mergeCell ref="AB328:AC335"/>
    <mergeCell ref="AZ336:BB343"/>
    <mergeCell ref="AZ360:BB367"/>
    <mergeCell ref="A344:B351"/>
    <mergeCell ref="I344:AA351"/>
    <mergeCell ref="AZ344:BB351"/>
    <mergeCell ref="A360:B367"/>
    <mergeCell ref="AZ368:BB375"/>
    <mergeCell ref="AZ392:BB399"/>
    <mergeCell ref="AZ448:BB455"/>
    <mergeCell ref="AZ400:BB407"/>
    <mergeCell ref="AZ512:BB519"/>
    <mergeCell ref="A528:B535"/>
    <mergeCell ref="C528:E535"/>
    <mergeCell ref="F528:H535"/>
    <mergeCell ref="AD528:AF535"/>
    <mergeCell ref="I528:AA535"/>
    <mergeCell ref="A536:B543"/>
    <mergeCell ref="C536:E543"/>
    <mergeCell ref="F536:H543"/>
    <mergeCell ref="AD536:AF543"/>
    <mergeCell ref="I536:AA543"/>
    <mergeCell ref="AB536:AC543"/>
    <mergeCell ref="A520:B527"/>
    <mergeCell ref="C520:E527"/>
    <mergeCell ref="F520:H527"/>
    <mergeCell ref="AD520:AF527"/>
    <mergeCell ref="I520:AA527"/>
    <mergeCell ref="AB520:AC527"/>
    <mergeCell ref="AZ520:BB527"/>
    <mergeCell ref="I512:AA519"/>
    <mergeCell ref="AB512:AC519"/>
    <mergeCell ref="A512:B519"/>
    <mergeCell ref="AZ528:BB535"/>
    <mergeCell ref="AB528:AC535"/>
    <mergeCell ref="AZ536:BB543"/>
    <mergeCell ref="A624:B631"/>
    <mergeCell ref="C624:E631"/>
    <mergeCell ref="F624:H631"/>
    <mergeCell ref="AD624:AF631"/>
    <mergeCell ref="I624:AA631"/>
    <mergeCell ref="AB624:AC631"/>
    <mergeCell ref="A592:B599"/>
    <mergeCell ref="AZ624:BB631"/>
    <mergeCell ref="A424:B431"/>
    <mergeCell ref="I584:AA591"/>
    <mergeCell ref="AB584:AC591"/>
    <mergeCell ref="A448:B455"/>
    <mergeCell ref="C448:E455"/>
    <mergeCell ref="F448:H455"/>
    <mergeCell ref="AD448:AF455"/>
    <mergeCell ref="A392:B399"/>
    <mergeCell ref="C392:E399"/>
    <mergeCell ref="F392:H399"/>
    <mergeCell ref="AD392:AF399"/>
    <mergeCell ref="I392:AA399"/>
    <mergeCell ref="AB392:AC399"/>
    <mergeCell ref="A408:B415"/>
    <mergeCell ref="C408:E415"/>
    <mergeCell ref="F408:H415"/>
    <mergeCell ref="AD408:AF415"/>
    <mergeCell ref="A376:B383"/>
    <mergeCell ref="AB376:AC383"/>
    <mergeCell ref="C376:E383"/>
    <mergeCell ref="F376:H383"/>
    <mergeCell ref="AD376:AF383"/>
    <mergeCell ref="AZ408:BB415"/>
    <mergeCell ref="AZ424:BB431"/>
    <mergeCell ref="A368:B375"/>
    <mergeCell ref="C368:E375"/>
    <mergeCell ref="F368:H375"/>
    <mergeCell ref="AD368:AF375"/>
    <mergeCell ref="I368:AA375"/>
    <mergeCell ref="AB368:AC375"/>
    <mergeCell ref="A400:B407"/>
    <mergeCell ref="C400:E407"/>
    <mergeCell ref="F400:H407"/>
    <mergeCell ref="AD400:AF407"/>
    <mergeCell ref="I400:AA407"/>
    <mergeCell ref="AB400:AC407"/>
    <mergeCell ref="I376:AA383"/>
    <mergeCell ref="AZ48:BB55"/>
    <mergeCell ref="A32:B39"/>
    <mergeCell ref="AZ88:BB95"/>
    <mergeCell ref="A144:B151"/>
    <mergeCell ref="C144:E151"/>
    <mergeCell ref="F144:H151"/>
    <mergeCell ref="AD144:AF151"/>
    <mergeCell ref="I144:AA151"/>
    <mergeCell ref="AB144:AC151"/>
    <mergeCell ref="AZ144:BB151"/>
    <mergeCell ref="A104:B111"/>
    <mergeCell ref="C104:E111"/>
    <mergeCell ref="F104:H111"/>
    <mergeCell ref="AD104:AF111"/>
    <mergeCell ref="I104:AA111"/>
    <mergeCell ref="AB104:AC111"/>
    <mergeCell ref="AZ104:BB111"/>
    <mergeCell ref="AZ112:BB119"/>
    <mergeCell ref="A112:B119"/>
    <mergeCell ref="A120:B127"/>
    <mergeCell ref="C120:E127"/>
    <mergeCell ref="F120:H127"/>
    <mergeCell ref="AD120:AF127"/>
    <mergeCell ref="I120:AA127"/>
    <mergeCell ref="AB120:AC127"/>
    <mergeCell ref="AZ120:BB127"/>
    <mergeCell ref="C112:E119"/>
    <mergeCell ref="F112:H119"/>
    <mergeCell ref="AD112:AF119"/>
    <mergeCell ref="I112:AA119"/>
    <mergeCell ref="AB112:AC119"/>
    <mergeCell ref="AZ216:BB223"/>
    <mergeCell ref="A216:B223"/>
    <mergeCell ref="C216:E223"/>
    <mergeCell ref="F216:H223"/>
    <mergeCell ref="AD216:AF223"/>
    <mergeCell ref="I216:AA223"/>
    <mergeCell ref="AB216:AC223"/>
    <mergeCell ref="AZ256:BB263"/>
    <mergeCell ref="AZ224:BB231"/>
    <mergeCell ref="A256:B263"/>
    <mergeCell ref="A224:B231"/>
    <mergeCell ref="C224:E231"/>
    <mergeCell ref="F224:H231"/>
    <mergeCell ref="AD224:AF231"/>
    <mergeCell ref="I224:AA231"/>
    <mergeCell ref="AB224:AC231"/>
    <mergeCell ref="C256:E263"/>
    <mergeCell ref="F256:H263"/>
    <mergeCell ref="AD256:AF263"/>
    <mergeCell ref="I256:AA263"/>
    <mergeCell ref="AB256:AC263"/>
    <mergeCell ref="AZ232:BB239"/>
    <mergeCell ref="I240:AA247"/>
    <mergeCell ref="AB240:AC247"/>
    <mergeCell ref="C240:E247"/>
    <mergeCell ref="F240:H247"/>
    <mergeCell ref="AD240:AF247"/>
    <mergeCell ref="AZ240:BB247"/>
    <mergeCell ref="A232:B239"/>
    <mergeCell ref="C232:E239"/>
    <mergeCell ref="F232:H239"/>
    <mergeCell ref="AD232:AF239"/>
    <mergeCell ref="I232:AA239"/>
    <mergeCell ref="AB232:AC239"/>
    <mergeCell ref="A240:B247"/>
    <mergeCell ref="AZ312:BB319"/>
    <mergeCell ref="A312:B319"/>
    <mergeCell ref="C312:E319"/>
    <mergeCell ref="F312:H319"/>
    <mergeCell ref="AD312:AF319"/>
    <mergeCell ref="I312:AA319"/>
    <mergeCell ref="AB312:AC319"/>
    <mergeCell ref="AZ432:BB439"/>
    <mergeCell ref="A432:B439"/>
    <mergeCell ref="C432:E439"/>
    <mergeCell ref="F432:H439"/>
    <mergeCell ref="AD432:AF439"/>
    <mergeCell ref="I432:AA439"/>
    <mergeCell ref="AB432:AC439"/>
    <mergeCell ref="I408:AA415"/>
    <mergeCell ref="AB408:AC415"/>
    <mergeCell ref="AZ440:BB447"/>
    <mergeCell ref="A440:B447"/>
    <mergeCell ref="I440:AA447"/>
    <mergeCell ref="AB440:AC447"/>
    <mergeCell ref="I448:AA455"/>
    <mergeCell ref="AB448:AC455"/>
    <mergeCell ref="A416:B423"/>
    <mergeCell ref="C416:E423"/>
    <mergeCell ref="F416:H423"/>
    <mergeCell ref="AD416:AF423"/>
    <mergeCell ref="I416:AA423"/>
    <mergeCell ref="AB416:AC423"/>
    <mergeCell ref="AZ416:BB423"/>
    <mergeCell ref="A608:B615"/>
    <mergeCell ref="C608:E615"/>
    <mergeCell ref="F608:H615"/>
    <mergeCell ref="AD608:AF615"/>
    <mergeCell ref="I608:AA615"/>
    <mergeCell ref="AB608:AC615"/>
    <mergeCell ref="AZ608:BB615"/>
    <mergeCell ref="A96:B103"/>
    <mergeCell ref="C96:E103"/>
    <mergeCell ref="F96:H103"/>
    <mergeCell ref="AD96:AF103"/>
    <mergeCell ref="I96:AA103"/>
    <mergeCell ref="AB96:AC103"/>
    <mergeCell ref="AZ96:BB103"/>
    <mergeCell ref="A24:B31"/>
    <mergeCell ref="C24:E31"/>
    <mergeCell ref="F24:H31"/>
    <mergeCell ref="AD24:AF31"/>
    <mergeCell ref="I24:AA31"/>
    <mergeCell ref="AB24:AC31"/>
    <mergeCell ref="AZ24:BB31"/>
    <mergeCell ref="A248:B255"/>
    <mergeCell ref="C248:E255"/>
    <mergeCell ref="F248:H255"/>
    <mergeCell ref="AD248:AF255"/>
    <mergeCell ref="I248:AA255"/>
    <mergeCell ref="AB248:AC255"/>
    <mergeCell ref="AZ248:BB255"/>
    <mergeCell ref="AZ592:BB599"/>
    <mergeCell ref="A600:B607"/>
    <mergeCell ref="C600:E607"/>
    <mergeCell ref="F600:H607"/>
    <mergeCell ref="AD600:AF607"/>
    <mergeCell ref="I600:AA607"/>
    <mergeCell ref="AB600:AC607"/>
    <mergeCell ref="AZ600:BB607"/>
    <mergeCell ref="A56:B63"/>
    <mergeCell ref="C56:E63"/>
    <mergeCell ref="F56:H63"/>
    <mergeCell ref="AD56:AF63"/>
    <mergeCell ref="I56:AA63"/>
    <mergeCell ref="AB56:AC63"/>
    <mergeCell ref="AZ56:BB63"/>
    <mergeCell ref="AZ64:BB71"/>
    <mergeCell ref="A72:B79"/>
    <mergeCell ref="C72:E79"/>
    <mergeCell ref="F72:H79"/>
    <mergeCell ref="AD72:AF79"/>
    <mergeCell ref="I72:AA79"/>
    <mergeCell ref="AB72:AC79"/>
    <mergeCell ref="AZ72:BB79"/>
    <mergeCell ref="A64:B71"/>
    <mergeCell ref="C64:E71"/>
    <mergeCell ref="F64:H71"/>
    <mergeCell ref="AD64:AF71"/>
    <mergeCell ref="I64:AA71"/>
    <mergeCell ref="AB64:AC71"/>
    <mergeCell ref="A80:B87"/>
    <mergeCell ref="C80:E87"/>
    <mergeCell ref="F80:H87"/>
    <mergeCell ref="AD80:AF87"/>
    <mergeCell ref="I80:AA87"/>
    <mergeCell ref="AB80:AC87"/>
    <mergeCell ref="AZ80:BB87"/>
    <mergeCell ref="AZ152:BB159"/>
    <mergeCell ref="A160:B167"/>
    <mergeCell ref="C160:E167"/>
    <mergeCell ref="F160:H167"/>
    <mergeCell ref="AD160:AF167"/>
    <mergeCell ref="I160:AA167"/>
    <mergeCell ref="AB160:AC167"/>
    <mergeCell ref="AZ160:BB167"/>
    <mergeCell ref="A152:B159"/>
    <mergeCell ref="C152:E159"/>
    <mergeCell ref="F152:H159"/>
    <mergeCell ref="AD152:AF159"/>
    <mergeCell ref="I152:AA159"/>
    <mergeCell ref="AB152:AC159"/>
    <mergeCell ref="A168:B175"/>
    <mergeCell ref="C168:E175"/>
    <mergeCell ref="F168:H175"/>
    <mergeCell ref="AD168:AF175"/>
    <mergeCell ref="I168:AA175"/>
    <mergeCell ref="AB168:AC175"/>
    <mergeCell ref="AZ168:BB175"/>
    <mergeCell ref="A176:B183"/>
    <mergeCell ref="C176:E183"/>
    <mergeCell ref="F176:H183"/>
    <mergeCell ref="AD176:AF183"/>
    <mergeCell ref="I176:AA183"/>
    <mergeCell ref="AB176:AC183"/>
    <mergeCell ref="AZ176:BB183"/>
    <mergeCell ref="A184:B191"/>
    <mergeCell ref="C184:E191"/>
    <mergeCell ref="F184:H191"/>
    <mergeCell ref="AD184:AF191"/>
    <mergeCell ref="I184:AA191"/>
    <mergeCell ref="AB184:AC191"/>
    <mergeCell ref="AZ184:BB191"/>
    <mergeCell ref="A192:B199"/>
    <mergeCell ref="C192:E199"/>
    <mergeCell ref="F192:H199"/>
    <mergeCell ref="AD192:AF199"/>
    <mergeCell ref="I192:AA199"/>
    <mergeCell ref="AB192:AC199"/>
    <mergeCell ref="AZ192:BB199"/>
    <mergeCell ref="A200:B207"/>
    <mergeCell ref="C200:E207"/>
    <mergeCell ref="F200:H207"/>
    <mergeCell ref="AD200:AF207"/>
    <mergeCell ref="I200:AA207"/>
    <mergeCell ref="AB200:AC207"/>
    <mergeCell ref="AZ200:BB207"/>
    <mergeCell ref="A208:B215"/>
    <mergeCell ref="C208:E215"/>
    <mergeCell ref="F208:H215"/>
    <mergeCell ref="AD208:AF215"/>
    <mergeCell ref="I208:AA215"/>
    <mergeCell ref="AB208:AC215"/>
    <mergeCell ref="AZ208:BB215"/>
    <mergeCell ref="A264:B271"/>
    <mergeCell ref="C264:E271"/>
    <mergeCell ref="F264:H271"/>
    <mergeCell ref="AD264:AF271"/>
    <mergeCell ref="I264:AA271"/>
    <mergeCell ref="AB264:AC271"/>
    <mergeCell ref="AZ264:BB271"/>
    <mergeCell ref="A272:B279"/>
    <mergeCell ref="C272:E279"/>
    <mergeCell ref="F272:H279"/>
    <mergeCell ref="AD272:AF279"/>
    <mergeCell ref="I272:AA279"/>
    <mergeCell ref="AB272:AC279"/>
    <mergeCell ref="AZ272:BB279"/>
    <mergeCell ref="A280:B287"/>
    <mergeCell ref="C280:E287"/>
    <mergeCell ref="F280:H287"/>
    <mergeCell ref="AD280:AF287"/>
    <mergeCell ref="I280:AA287"/>
    <mergeCell ref="AB280:AC287"/>
    <mergeCell ref="AZ280:BB287"/>
    <mergeCell ref="A288:B295"/>
    <mergeCell ref="C288:E295"/>
    <mergeCell ref="F288:H295"/>
    <mergeCell ref="AD288:AF295"/>
    <mergeCell ref="I288:AA295"/>
    <mergeCell ref="AB288:AC295"/>
    <mergeCell ref="AZ288:BB295"/>
    <mergeCell ref="A296:B303"/>
    <mergeCell ref="C296:E303"/>
    <mergeCell ref="F296:H303"/>
    <mergeCell ref="AD296:AF303"/>
    <mergeCell ref="I296:AA303"/>
    <mergeCell ref="AB296:AC303"/>
    <mergeCell ref="AZ296:BB303"/>
    <mergeCell ref="A304:B311"/>
    <mergeCell ref="C304:E311"/>
    <mergeCell ref="F304:H311"/>
    <mergeCell ref="AD304:AF311"/>
    <mergeCell ref="I304:AA311"/>
    <mergeCell ref="AB304:AC311"/>
    <mergeCell ref="AZ304:BB311"/>
    <mergeCell ref="A320:B327"/>
    <mergeCell ref="C320:E327"/>
    <mergeCell ref="F320:H327"/>
    <mergeCell ref="AD320:AF327"/>
    <mergeCell ref="I320:AA327"/>
    <mergeCell ref="AB320:AC327"/>
    <mergeCell ref="AZ320:BB327"/>
    <mergeCell ref="A616:B623"/>
    <mergeCell ref="C616:E623"/>
    <mergeCell ref="F616:H623"/>
    <mergeCell ref="AD616:AF623"/>
    <mergeCell ref="I616:AA623"/>
    <mergeCell ref="AB616:AC623"/>
    <mergeCell ref="AZ616:BB623"/>
  </mergeCells>
  <printOptions horizontalCentered="1"/>
  <pageMargins left="0.393700787401575" right="0.393700787401575" top="0.393700787401575" bottom="0.590551181102362" header="0" footer="0.196850393700787"/>
  <pageSetup paperSize="9" scale="72" fitToHeight="19" orientation="landscape"/>
  <headerFooter>
    <oddFooter>&amp;L&amp;G&amp;R&amp;9Projeto Executivo de Engenharia, Estudos e
Orçamentos para a Construção de Ponte Rodoviária
em Concreto Armado - Rodovia Vicinal</oddFooter>
  </headerFooter>
  <rowBreaks count="2" manualBreakCount="2">
    <brk id="144" max="91" man="1"/>
    <brk id="431" max="91" man="1"/>
  </rowBreaks>
  <drawing r:id="rId1"/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A3:BB20"/>
  <sheetViews>
    <sheetView showGridLines="0" view="pageBreakPreview" zoomScale="130" zoomScaleNormal="160" workbookViewId="0">
      <selection activeCell="A1" sqref="A1"/>
    </sheetView>
  </sheetViews>
  <sheetFormatPr defaultColWidth="9.1047619047619" defaultRowHeight="17.4" customHeight="1"/>
  <cols>
    <col min="1" max="93" width="2.1047619047619" style="29" customWidth="1"/>
    <col min="94" max="94" width="9.1047619047619" style="29"/>
    <col min="95" max="127" width="2.1047619047619" style="29" customWidth="1"/>
    <col min="128" max="128" width="9.1047619047619" style="29" customWidth="1"/>
    <col min="129" max="16384" width="9.1047619047619" style="29"/>
  </cols>
  <sheetData>
    <row r="3" ht="17.7" customHeight="1" spans="1:54">
      <c r="A3" s="69" t="s">
        <v>31</v>
      </c>
      <c r="B3" s="69"/>
      <c r="C3" s="69" t="s">
        <v>633</v>
      </c>
      <c r="D3" s="69"/>
      <c r="E3" s="69"/>
      <c r="F3" s="69" t="s">
        <v>634</v>
      </c>
      <c r="G3" s="69"/>
      <c r="H3" s="69"/>
      <c r="I3" s="70" t="s">
        <v>635</v>
      </c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1" t="s">
        <v>1027</v>
      </c>
      <c r="AI3" s="71"/>
      <c r="AJ3" s="71"/>
      <c r="AK3" s="71"/>
      <c r="AL3" s="71"/>
      <c r="AM3" s="71"/>
      <c r="AN3" s="71"/>
      <c r="AO3" s="71"/>
      <c r="AP3" s="71"/>
      <c r="AQ3" s="619" t="s">
        <v>1028</v>
      </c>
      <c r="AR3" s="619"/>
      <c r="AS3" s="619"/>
      <c r="AT3" s="619" t="s">
        <v>1029</v>
      </c>
      <c r="AU3" s="619"/>
      <c r="AV3" s="619"/>
      <c r="AW3" s="619" t="s">
        <v>667</v>
      </c>
      <c r="AX3" s="619"/>
      <c r="AY3" s="619"/>
      <c r="AZ3" s="619"/>
      <c r="BA3" s="619"/>
      <c r="BB3" s="619"/>
    </row>
    <row r="4" ht="17.7" customHeight="1" spans="1:54">
      <c r="A4" s="69"/>
      <c r="B4" s="69"/>
      <c r="C4" s="69"/>
      <c r="D4" s="69"/>
      <c r="E4" s="69"/>
      <c r="F4" s="69"/>
      <c r="G4" s="69"/>
      <c r="H4" s="69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1" t="s">
        <v>824</v>
      </c>
      <c r="AI4" s="71"/>
      <c r="AJ4" s="71"/>
      <c r="AK4" s="71" t="s">
        <v>1030</v>
      </c>
      <c r="AL4" s="71"/>
      <c r="AM4" s="71"/>
      <c r="AN4" s="620" t="s">
        <v>824</v>
      </c>
      <c r="AO4" s="620"/>
      <c r="AP4" s="620"/>
      <c r="AQ4" s="619"/>
      <c r="AR4" s="619"/>
      <c r="AS4" s="619"/>
      <c r="AT4" s="619" t="s">
        <v>1031</v>
      </c>
      <c r="AU4" s="619"/>
      <c r="AV4" s="619"/>
      <c r="AW4" s="619" t="s">
        <v>1032</v>
      </c>
      <c r="AX4" s="619"/>
      <c r="AY4" s="619"/>
      <c r="AZ4" s="619" t="s">
        <v>1033</v>
      </c>
      <c r="BA4" s="619"/>
      <c r="BB4" s="619"/>
    </row>
    <row r="5" customHeight="1" spans="1:54">
      <c r="A5" s="69" t="s">
        <v>835</v>
      </c>
      <c r="B5" s="69"/>
      <c r="C5" s="518"/>
      <c r="D5" s="518"/>
      <c r="E5" s="518"/>
      <c r="F5" s="518"/>
      <c r="G5" s="518"/>
      <c r="H5" s="518"/>
      <c r="I5" s="92" t="s">
        <v>869</v>
      </c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621"/>
      <c r="AI5" s="621"/>
      <c r="AJ5" s="621"/>
      <c r="AK5" s="622"/>
      <c r="AL5" s="622"/>
      <c r="AM5" s="622"/>
      <c r="AN5" s="621"/>
      <c r="AO5" s="621"/>
      <c r="AP5" s="621"/>
      <c r="AQ5" s="509"/>
      <c r="AR5" s="510"/>
      <c r="AS5" s="511"/>
      <c r="AT5" s="105"/>
      <c r="AU5" s="106"/>
      <c r="AV5" s="107"/>
      <c r="AW5" s="105"/>
      <c r="AX5" s="106"/>
      <c r="AY5" s="107"/>
      <c r="AZ5" s="512"/>
      <c r="BA5" s="513"/>
      <c r="BB5" s="514"/>
    </row>
    <row r="6" customHeight="1" spans="1:54">
      <c r="A6" s="518" t="s">
        <v>1034</v>
      </c>
      <c r="B6" s="518"/>
      <c r="C6" s="518"/>
      <c r="D6" s="518"/>
      <c r="E6" s="518"/>
      <c r="F6" s="518"/>
      <c r="G6" s="518"/>
      <c r="H6" s="518"/>
      <c r="I6" s="206" t="s">
        <v>1035</v>
      </c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623">
        <f>'Adm Local'!Y19</f>
        <v>1</v>
      </c>
      <c r="AI6" s="623"/>
      <c r="AJ6" s="623"/>
      <c r="AK6" s="622">
        <v>1</v>
      </c>
      <c r="AL6" s="622"/>
      <c r="AM6" s="622"/>
      <c r="AN6" s="622">
        <f>ROUND(AH6*AK6,0)</f>
        <v>1</v>
      </c>
      <c r="AO6" s="622"/>
      <c r="AP6" s="622"/>
      <c r="AQ6" s="624">
        <f>'Adm Local'!AG$103*'Adm Local'!AG19</f>
        <v>0.25</v>
      </c>
      <c r="AR6" s="625"/>
      <c r="AS6" s="626"/>
      <c r="AT6" s="512">
        <f>AQ6*AN6-AN6</f>
        <v>-0.75</v>
      </c>
      <c r="AU6" s="513"/>
      <c r="AV6" s="514"/>
      <c r="AW6" s="512">
        <f>$AN6</f>
        <v>1</v>
      </c>
      <c r="AX6" s="513"/>
      <c r="AY6" s="514"/>
      <c r="AZ6" s="512">
        <f>$AN6</f>
        <v>1</v>
      </c>
      <c r="BA6" s="513"/>
      <c r="BB6" s="514"/>
    </row>
    <row r="7" customHeight="1" spans="1:54">
      <c r="A7" s="518" t="s">
        <v>1036</v>
      </c>
      <c r="B7" s="518"/>
      <c r="C7" s="518"/>
      <c r="D7" s="518"/>
      <c r="E7" s="518"/>
      <c r="F7" s="518"/>
      <c r="G7" s="518"/>
      <c r="H7" s="518"/>
      <c r="I7" s="206" t="s">
        <v>1037</v>
      </c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  <c r="X7" s="206"/>
      <c r="Y7" s="206"/>
      <c r="Z7" s="206"/>
      <c r="AA7" s="206"/>
      <c r="AB7" s="206"/>
      <c r="AC7" s="206"/>
      <c r="AD7" s="206"/>
      <c r="AE7" s="206"/>
      <c r="AF7" s="206"/>
      <c r="AG7" s="206"/>
      <c r="AH7" s="623">
        <v>0</v>
      </c>
      <c r="AI7" s="623"/>
      <c r="AJ7" s="623"/>
      <c r="AK7" s="622">
        <v>1</v>
      </c>
      <c r="AL7" s="622"/>
      <c r="AM7" s="622"/>
      <c r="AN7" s="622">
        <f>ROUND(AH7*AK7,0)</f>
        <v>0</v>
      </c>
      <c r="AO7" s="622"/>
      <c r="AP7" s="622"/>
      <c r="AQ7" s="624">
        <v>0</v>
      </c>
      <c r="AR7" s="625"/>
      <c r="AS7" s="626"/>
      <c r="AT7" s="512">
        <f>AQ7*AN7-AN7</f>
        <v>0</v>
      </c>
      <c r="AU7" s="513"/>
      <c r="AV7" s="514"/>
      <c r="AW7" s="512">
        <f t="shared" ref="AW7:AW17" si="0">$AN7</f>
        <v>0</v>
      </c>
      <c r="AX7" s="513"/>
      <c r="AY7" s="514"/>
      <c r="AZ7" s="512">
        <f t="shared" ref="AZ7:AZ17" si="1">$AN7</f>
        <v>0</v>
      </c>
      <c r="BA7" s="513"/>
      <c r="BB7" s="514"/>
    </row>
    <row r="8" customHeight="1" spans="1:54">
      <c r="A8" s="518" t="s">
        <v>1038</v>
      </c>
      <c r="B8" s="518"/>
      <c r="C8" s="518"/>
      <c r="D8" s="518"/>
      <c r="E8" s="518"/>
      <c r="F8" s="518"/>
      <c r="G8" s="518"/>
      <c r="H8" s="518"/>
      <c r="I8" s="206" t="s">
        <v>1039</v>
      </c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623">
        <f>SUM('Adm Local'!Y30:Z30)</f>
        <v>2</v>
      </c>
      <c r="AI8" s="623"/>
      <c r="AJ8" s="623"/>
      <c r="AK8" s="622">
        <v>1</v>
      </c>
      <c r="AL8" s="622"/>
      <c r="AM8" s="622"/>
      <c r="AN8" s="622">
        <f>ROUND(AH8*AK8,0)</f>
        <v>2</v>
      </c>
      <c r="AO8" s="622"/>
      <c r="AP8" s="622"/>
      <c r="AQ8" s="624">
        <f>'Adm Local'!AG104</f>
        <v>2</v>
      </c>
      <c r="AR8" s="625"/>
      <c r="AS8" s="626"/>
      <c r="AT8" s="512">
        <f>AQ8*AN8-AN8</f>
        <v>2</v>
      </c>
      <c r="AU8" s="513"/>
      <c r="AV8" s="514"/>
      <c r="AW8" s="512">
        <f t="shared" si="0"/>
        <v>2</v>
      </c>
      <c r="AX8" s="513"/>
      <c r="AY8" s="514"/>
      <c r="AZ8" s="512">
        <f t="shared" si="1"/>
        <v>2</v>
      </c>
      <c r="BA8" s="513"/>
      <c r="BB8" s="514"/>
    </row>
    <row r="9" customHeight="1" spans="1:54">
      <c r="A9" s="69" t="s">
        <v>838</v>
      </c>
      <c r="B9" s="69"/>
      <c r="C9" s="518"/>
      <c r="D9" s="518"/>
      <c r="E9" s="518"/>
      <c r="F9" s="518"/>
      <c r="G9" s="518"/>
      <c r="H9" s="518"/>
      <c r="I9" s="92" t="s">
        <v>887</v>
      </c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627"/>
      <c r="AI9" s="627"/>
      <c r="AJ9" s="627"/>
      <c r="AK9" s="622"/>
      <c r="AL9" s="622"/>
      <c r="AM9" s="622"/>
      <c r="AN9" s="621"/>
      <c r="AO9" s="621"/>
      <c r="AP9" s="621"/>
      <c r="AQ9" s="628"/>
      <c r="AR9" s="629"/>
      <c r="AS9" s="630"/>
      <c r="AT9" s="105"/>
      <c r="AU9" s="106"/>
      <c r="AV9" s="107"/>
      <c r="AW9" s="105"/>
      <c r="AX9" s="106"/>
      <c r="AY9" s="107"/>
      <c r="AZ9" s="512"/>
      <c r="BA9" s="513"/>
      <c r="BB9" s="514"/>
    </row>
    <row r="10" customHeight="1" spans="1:54">
      <c r="A10" s="518" t="s">
        <v>1040</v>
      </c>
      <c r="B10" s="518"/>
      <c r="C10" s="518"/>
      <c r="D10" s="518"/>
      <c r="E10" s="518"/>
      <c r="F10" s="518"/>
      <c r="G10" s="518"/>
      <c r="H10" s="518"/>
      <c r="I10" s="206" t="s">
        <v>1041</v>
      </c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06"/>
      <c r="AF10" s="206"/>
      <c r="AG10" s="206"/>
      <c r="AH10" s="623">
        <v>0</v>
      </c>
      <c r="AI10" s="623"/>
      <c r="AJ10" s="623"/>
      <c r="AK10" s="622">
        <v>0</v>
      </c>
      <c r="AL10" s="622"/>
      <c r="AM10" s="622"/>
      <c r="AN10" s="622">
        <f>ROUND(AH10*AK10,0)</f>
        <v>0</v>
      </c>
      <c r="AO10" s="622"/>
      <c r="AP10" s="622"/>
      <c r="AQ10" s="624">
        <v>0</v>
      </c>
      <c r="AR10" s="625"/>
      <c r="AS10" s="626"/>
      <c r="AT10" s="512">
        <f>AQ10*AN10-AN10</f>
        <v>0</v>
      </c>
      <c r="AU10" s="513"/>
      <c r="AV10" s="514"/>
      <c r="AW10" s="512">
        <f>$AN10</f>
        <v>0</v>
      </c>
      <c r="AX10" s="513"/>
      <c r="AY10" s="514"/>
      <c r="AZ10" s="512">
        <f>$AN10</f>
        <v>0</v>
      </c>
      <c r="BA10" s="513"/>
      <c r="BB10" s="514"/>
    </row>
    <row r="11" customHeight="1" spans="1:54">
      <c r="A11" s="518" t="s">
        <v>1042</v>
      </c>
      <c r="B11" s="518"/>
      <c r="C11" s="518"/>
      <c r="D11" s="518"/>
      <c r="E11" s="518"/>
      <c r="F11" s="518"/>
      <c r="G11" s="518"/>
      <c r="H11" s="518"/>
      <c r="I11" s="206" t="s">
        <v>1043</v>
      </c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623">
        <f>SUM('Adm Local'!Y45:Z46)</f>
        <v>3</v>
      </c>
      <c r="AI11" s="623"/>
      <c r="AJ11" s="623"/>
      <c r="AK11" s="622">
        <v>0</v>
      </c>
      <c r="AL11" s="622"/>
      <c r="AM11" s="622"/>
      <c r="AN11" s="622">
        <f>ROUND(AH11*AK11,0)</f>
        <v>0</v>
      </c>
      <c r="AO11" s="622"/>
      <c r="AP11" s="622"/>
      <c r="AQ11" s="624">
        <f>'Adm Local'!AG107</f>
        <v>0.2</v>
      </c>
      <c r="AR11" s="625"/>
      <c r="AS11" s="626"/>
      <c r="AT11" s="512">
        <f>AQ11*AN11-AN11</f>
        <v>0</v>
      </c>
      <c r="AU11" s="513"/>
      <c r="AV11" s="514"/>
      <c r="AW11" s="512">
        <f t="shared" si="0"/>
        <v>0</v>
      </c>
      <c r="AX11" s="513"/>
      <c r="AY11" s="514"/>
      <c r="AZ11" s="512">
        <f t="shared" si="1"/>
        <v>0</v>
      </c>
      <c r="BA11" s="513"/>
      <c r="BB11" s="514"/>
    </row>
    <row r="12" customHeight="1" spans="1:54">
      <c r="A12" s="518" t="s">
        <v>1044</v>
      </c>
      <c r="B12" s="518"/>
      <c r="C12" s="518"/>
      <c r="D12" s="518"/>
      <c r="E12" s="518"/>
      <c r="F12" s="518"/>
      <c r="G12" s="518"/>
      <c r="H12" s="518"/>
      <c r="I12" s="206" t="s">
        <v>1045</v>
      </c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  <c r="X12" s="206"/>
      <c r="Y12" s="206"/>
      <c r="Z12" s="206"/>
      <c r="AA12" s="206"/>
      <c r="AB12" s="206"/>
      <c r="AC12" s="206"/>
      <c r="AD12" s="206"/>
      <c r="AE12" s="206"/>
      <c r="AF12" s="206"/>
      <c r="AG12" s="206"/>
      <c r="AH12" s="623">
        <f>SUM('Adm Local'!Y55:Z55)</f>
        <v>1</v>
      </c>
      <c r="AI12" s="623"/>
      <c r="AJ12" s="623"/>
      <c r="AK12" s="622">
        <v>1</v>
      </c>
      <c r="AL12" s="622"/>
      <c r="AM12" s="622"/>
      <c r="AN12" s="622">
        <f>ROUND(AH12*AK12,0)</f>
        <v>1</v>
      </c>
      <c r="AO12" s="622"/>
      <c r="AP12" s="622"/>
      <c r="AQ12" s="624">
        <f>'Adm Local'!AG108</f>
        <v>2</v>
      </c>
      <c r="AR12" s="625"/>
      <c r="AS12" s="626"/>
      <c r="AT12" s="512">
        <f>AQ12*AN12-AN12</f>
        <v>1</v>
      </c>
      <c r="AU12" s="513"/>
      <c r="AV12" s="514"/>
      <c r="AW12" s="512">
        <f t="shared" si="0"/>
        <v>1</v>
      </c>
      <c r="AX12" s="513"/>
      <c r="AY12" s="514"/>
      <c r="AZ12" s="512">
        <f t="shared" si="1"/>
        <v>1</v>
      </c>
      <c r="BA12" s="513"/>
      <c r="BB12" s="514"/>
    </row>
    <row r="13" customHeight="1" spans="1:54">
      <c r="A13" s="69" t="s">
        <v>840</v>
      </c>
      <c r="B13" s="69"/>
      <c r="C13" s="518"/>
      <c r="D13" s="518"/>
      <c r="E13" s="518"/>
      <c r="F13" s="518"/>
      <c r="G13" s="518"/>
      <c r="H13" s="518"/>
      <c r="I13" s="92" t="s">
        <v>157</v>
      </c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627"/>
      <c r="AI13" s="627"/>
      <c r="AJ13" s="627"/>
      <c r="AK13" s="622"/>
      <c r="AL13" s="622"/>
      <c r="AM13" s="622"/>
      <c r="AN13" s="621"/>
      <c r="AO13" s="621"/>
      <c r="AP13" s="621"/>
      <c r="AQ13" s="628"/>
      <c r="AR13" s="629"/>
      <c r="AS13" s="630"/>
      <c r="AT13" s="105"/>
      <c r="AU13" s="106"/>
      <c r="AV13" s="107"/>
      <c r="AW13" s="105"/>
      <c r="AX13" s="106"/>
      <c r="AY13" s="107"/>
      <c r="AZ13" s="512"/>
      <c r="BA13" s="513"/>
      <c r="BB13" s="514"/>
    </row>
    <row r="14" customHeight="1" spans="1:54">
      <c r="A14" s="518" t="s">
        <v>1046</v>
      </c>
      <c r="B14" s="518"/>
      <c r="C14" s="518"/>
      <c r="D14" s="518"/>
      <c r="E14" s="518"/>
      <c r="F14" s="518"/>
      <c r="G14" s="518"/>
      <c r="H14" s="518"/>
      <c r="I14" s="206" t="s">
        <v>1047</v>
      </c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6"/>
      <c r="Y14" s="206"/>
      <c r="Z14" s="206"/>
      <c r="AA14" s="206"/>
      <c r="AB14" s="206"/>
      <c r="AC14" s="206"/>
      <c r="AD14" s="206"/>
      <c r="AE14" s="206"/>
      <c r="AF14" s="206"/>
      <c r="AG14" s="206"/>
      <c r="AH14" s="623">
        <f>SUM('Adm Local'!Y64:Z64)</f>
        <v>0.5</v>
      </c>
      <c r="AI14" s="623"/>
      <c r="AJ14" s="623"/>
      <c r="AK14" s="622">
        <v>1</v>
      </c>
      <c r="AL14" s="622"/>
      <c r="AM14" s="622"/>
      <c r="AN14" s="622">
        <f>ROUND(AH14*AK14,0)</f>
        <v>1</v>
      </c>
      <c r="AO14" s="622"/>
      <c r="AP14" s="622"/>
      <c r="AQ14" s="624">
        <f>AQ12</f>
        <v>2</v>
      </c>
      <c r="AR14" s="625"/>
      <c r="AS14" s="626"/>
      <c r="AT14" s="512">
        <f>AQ14*AN14-AN14</f>
        <v>1</v>
      </c>
      <c r="AU14" s="513"/>
      <c r="AV14" s="514"/>
      <c r="AW14" s="512">
        <f t="shared" si="0"/>
        <v>1</v>
      </c>
      <c r="AX14" s="513"/>
      <c r="AY14" s="514"/>
      <c r="AZ14" s="512">
        <f t="shared" si="1"/>
        <v>1</v>
      </c>
      <c r="BA14" s="513"/>
      <c r="BB14" s="514"/>
    </row>
    <row r="15" customHeight="1" spans="1:54">
      <c r="A15" s="518" t="s">
        <v>1048</v>
      </c>
      <c r="B15" s="518"/>
      <c r="C15" s="518"/>
      <c r="D15" s="518"/>
      <c r="E15" s="518"/>
      <c r="F15" s="518"/>
      <c r="G15" s="518"/>
      <c r="H15" s="518"/>
      <c r="I15" s="206" t="s">
        <v>1049</v>
      </c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06"/>
      <c r="AF15" s="206"/>
      <c r="AG15" s="206"/>
      <c r="AH15" s="623">
        <f>SUM('Adm Local'!Y68:Z69)</f>
        <v>3</v>
      </c>
      <c r="AI15" s="623"/>
      <c r="AJ15" s="623"/>
      <c r="AK15" s="622">
        <v>0</v>
      </c>
      <c r="AL15" s="622"/>
      <c r="AM15" s="622"/>
      <c r="AN15" s="622">
        <f>ROUND(AH15*AK15,0)</f>
        <v>0</v>
      </c>
      <c r="AO15" s="622"/>
      <c r="AP15" s="622"/>
      <c r="AQ15" s="624">
        <f>AQ14</f>
        <v>2</v>
      </c>
      <c r="AR15" s="625"/>
      <c r="AS15" s="626"/>
      <c r="AT15" s="512">
        <f>AQ15*AN15-AN15</f>
        <v>0</v>
      </c>
      <c r="AU15" s="513"/>
      <c r="AV15" s="514"/>
      <c r="AW15" s="512">
        <f t="shared" si="0"/>
        <v>0</v>
      </c>
      <c r="AX15" s="513"/>
      <c r="AY15" s="514"/>
      <c r="AZ15" s="512">
        <f t="shared" si="1"/>
        <v>0</v>
      </c>
      <c r="BA15" s="513"/>
      <c r="BB15" s="514"/>
    </row>
    <row r="16" s="618" customFormat="1" customHeight="1" spans="1:54">
      <c r="A16" s="69" t="s">
        <v>842</v>
      </c>
      <c r="B16" s="69"/>
      <c r="C16" s="69"/>
      <c r="D16" s="69"/>
      <c r="E16" s="69"/>
      <c r="F16" s="69"/>
      <c r="G16" s="69"/>
      <c r="H16" s="69"/>
      <c r="I16" s="92" t="s">
        <v>1050</v>
      </c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631"/>
      <c r="AI16" s="631"/>
      <c r="AJ16" s="631"/>
      <c r="AK16" s="619"/>
      <c r="AL16" s="619"/>
      <c r="AM16" s="619"/>
      <c r="AN16" s="620"/>
      <c r="AO16" s="620"/>
      <c r="AP16" s="620"/>
      <c r="AQ16" s="624"/>
      <c r="AR16" s="625"/>
      <c r="AS16" s="626"/>
      <c r="AT16" s="105"/>
      <c r="AU16" s="106"/>
      <c r="AV16" s="107"/>
      <c r="AW16" s="105"/>
      <c r="AX16" s="106"/>
      <c r="AY16" s="107"/>
      <c r="AZ16" s="512"/>
      <c r="BA16" s="513"/>
      <c r="BB16" s="514"/>
    </row>
    <row r="17" customHeight="1" spans="1:54">
      <c r="A17" s="518" t="s">
        <v>1051</v>
      </c>
      <c r="B17" s="518"/>
      <c r="C17" s="518"/>
      <c r="D17" s="518"/>
      <c r="E17" s="518"/>
      <c r="F17" s="518"/>
      <c r="G17" s="518"/>
      <c r="H17" s="518"/>
      <c r="I17" s="206" t="s">
        <v>1052</v>
      </c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6"/>
      <c r="AG17" s="206"/>
      <c r="AH17" s="623">
        <f>'Canteiro Id'!AK17</f>
        <v>15</v>
      </c>
      <c r="AI17" s="623"/>
      <c r="AJ17" s="623"/>
      <c r="AK17" s="622">
        <v>0.5</v>
      </c>
      <c r="AL17" s="622"/>
      <c r="AM17" s="622"/>
      <c r="AN17" s="622">
        <f>ROUND(AH17*AK17,0)</f>
        <v>8</v>
      </c>
      <c r="AO17" s="622"/>
      <c r="AP17" s="622"/>
      <c r="AQ17" s="624">
        <f>AQ15</f>
        <v>2</v>
      </c>
      <c r="AR17" s="625"/>
      <c r="AS17" s="626"/>
      <c r="AT17" s="512">
        <f>AQ17*AN17-AN17</f>
        <v>8</v>
      </c>
      <c r="AU17" s="513"/>
      <c r="AV17" s="514"/>
      <c r="AW17" s="512">
        <f t="shared" si="0"/>
        <v>8</v>
      </c>
      <c r="AX17" s="513"/>
      <c r="AY17" s="514"/>
      <c r="AZ17" s="512">
        <f t="shared" si="1"/>
        <v>8</v>
      </c>
      <c r="BA17" s="513"/>
      <c r="BB17" s="514"/>
    </row>
    <row r="18" customHeight="1" spans="1:54">
      <c r="A18" s="632"/>
      <c r="B18" s="633"/>
      <c r="C18" s="632"/>
      <c r="D18" s="634"/>
      <c r="E18" s="633"/>
      <c r="F18" s="635"/>
      <c r="G18" s="635"/>
      <c r="H18" s="635"/>
      <c r="I18" s="636" t="s">
        <v>1053</v>
      </c>
      <c r="J18" s="636"/>
      <c r="K18" s="636"/>
      <c r="L18" s="636"/>
      <c r="M18" s="636"/>
      <c r="N18" s="636"/>
      <c r="O18" s="636"/>
      <c r="P18" s="636"/>
      <c r="Q18" s="636"/>
      <c r="R18" s="636"/>
      <c r="S18" s="636"/>
      <c r="T18" s="636"/>
      <c r="U18" s="636"/>
      <c r="V18" s="636"/>
      <c r="W18" s="636"/>
      <c r="X18" s="636"/>
      <c r="Y18" s="636"/>
      <c r="Z18" s="636"/>
      <c r="AA18" s="636"/>
      <c r="AB18" s="636"/>
      <c r="AC18" s="636"/>
      <c r="AD18" s="636"/>
      <c r="AE18" s="636"/>
      <c r="AF18" s="636"/>
      <c r="AG18" s="636"/>
      <c r="AH18" s="637"/>
      <c r="AI18" s="638"/>
      <c r="AJ18" s="639"/>
      <c r="AK18" s="640"/>
      <c r="AL18" s="641"/>
      <c r="AM18" s="642"/>
      <c r="AN18" s="637"/>
      <c r="AO18" s="638"/>
      <c r="AP18" s="639"/>
      <c r="AQ18" s="640"/>
      <c r="AR18" s="641"/>
      <c r="AS18" s="642"/>
      <c r="AT18" s="643">
        <f>SUM(AT6:AV17)</f>
        <v>11.25</v>
      </c>
      <c r="AU18" s="644"/>
      <c r="AV18" s="645"/>
      <c r="AW18" s="643">
        <f>SUM(AW6:AY17)</f>
        <v>13</v>
      </c>
      <c r="AX18" s="644"/>
      <c r="AY18" s="645"/>
      <c r="AZ18" s="643">
        <f>SUM(AZ6:BB17)</f>
        <v>13</v>
      </c>
      <c r="BA18" s="644"/>
      <c r="BB18" s="645"/>
    </row>
    <row r="19" customHeight="1" spans="1:54">
      <c r="A19" s="646"/>
      <c r="B19" s="646"/>
      <c r="C19" s="646"/>
      <c r="D19" s="646"/>
      <c r="E19" s="646"/>
      <c r="F19" s="646"/>
      <c r="G19" s="646"/>
      <c r="H19" s="646"/>
      <c r="I19" s="647" t="s">
        <v>1054</v>
      </c>
      <c r="J19" s="647"/>
      <c r="K19" s="647"/>
      <c r="L19" s="647"/>
      <c r="M19" s="647"/>
      <c r="N19" s="647"/>
      <c r="O19" s="647"/>
      <c r="P19" s="647"/>
      <c r="Q19" s="647"/>
      <c r="R19" s="647"/>
      <c r="S19" s="647"/>
      <c r="T19" s="647"/>
      <c r="U19" s="647"/>
      <c r="V19" s="647"/>
      <c r="W19" s="647"/>
      <c r="X19" s="647"/>
      <c r="Y19" s="647"/>
      <c r="Z19" s="647"/>
      <c r="AA19" s="647"/>
      <c r="AB19" s="647"/>
      <c r="AC19" s="647"/>
      <c r="AD19" s="647"/>
      <c r="AE19" s="647"/>
      <c r="AF19" s="647"/>
      <c r="AG19" s="647"/>
      <c r="AH19" s="648"/>
      <c r="AI19" s="648"/>
      <c r="AJ19" s="648"/>
      <c r="AK19" s="648"/>
      <c r="AL19" s="648"/>
      <c r="AM19" s="648"/>
      <c r="AN19" s="649"/>
      <c r="AO19" s="649"/>
      <c r="AP19" s="649"/>
      <c r="AQ19" s="648"/>
      <c r="AR19" s="648"/>
      <c r="AS19" s="648"/>
      <c r="AT19" s="648">
        <f>AQ6</f>
        <v>0.25</v>
      </c>
      <c r="AU19" s="648"/>
      <c r="AV19" s="648"/>
      <c r="AW19" s="650"/>
      <c r="AX19" s="650"/>
      <c r="AY19" s="650"/>
      <c r="AZ19" s="648"/>
      <c r="BA19" s="648"/>
      <c r="BB19" s="648"/>
    </row>
    <row r="20" customHeight="1" spans="1:54">
      <c r="A20" s="651"/>
      <c r="B20" s="651"/>
      <c r="C20" s="651"/>
      <c r="D20" s="651"/>
      <c r="E20" s="651"/>
      <c r="F20" s="651"/>
      <c r="G20" s="651"/>
      <c r="H20" s="651"/>
      <c r="I20" s="652" t="s">
        <v>1055</v>
      </c>
      <c r="J20" s="652"/>
      <c r="K20" s="652"/>
      <c r="L20" s="652"/>
      <c r="M20" s="652"/>
      <c r="N20" s="652"/>
      <c r="O20" s="652"/>
      <c r="P20" s="652"/>
      <c r="Q20" s="652"/>
      <c r="R20" s="652"/>
      <c r="S20" s="652"/>
      <c r="T20" s="652"/>
      <c r="U20" s="652"/>
      <c r="V20" s="652"/>
      <c r="W20" s="652"/>
      <c r="X20" s="652"/>
      <c r="Y20" s="652"/>
      <c r="Z20" s="652"/>
      <c r="AA20" s="652"/>
      <c r="AB20" s="652"/>
      <c r="AC20" s="652"/>
      <c r="AD20" s="652"/>
      <c r="AE20" s="652"/>
      <c r="AF20" s="652"/>
      <c r="AG20" s="652"/>
      <c r="AH20" s="653"/>
      <c r="AI20" s="653"/>
      <c r="AJ20" s="653"/>
      <c r="AK20" s="653"/>
      <c r="AL20" s="653"/>
      <c r="AM20" s="653"/>
      <c r="AN20" s="654"/>
      <c r="AO20" s="654"/>
      <c r="AP20" s="654"/>
      <c r="AQ20" s="654"/>
      <c r="AR20" s="654"/>
      <c r="AS20" s="654"/>
      <c r="AT20" s="655">
        <f>AW18</f>
        <v>13</v>
      </c>
      <c r="AU20" s="655"/>
      <c r="AV20" s="655"/>
      <c r="AW20" s="656"/>
      <c r="AX20" s="656"/>
      <c r="AY20" s="656"/>
      <c r="AZ20" s="653"/>
      <c r="BA20" s="653"/>
      <c r="BB20" s="653"/>
    </row>
  </sheetData>
  <mergeCells count="190">
    <mergeCell ref="AH3:AP3"/>
    <mergeCell ref="AT3:AV3"/>
    <mergeCell ref="AW3:BB3"/>
    <mergeCell ref="AH4:AJ4"/>
    <mergeCell ref="AK4:AM4"/>
    <mergeCell ref="AN4:AP4"/>
    <mergeCell ref="AT4:AV4"/>
    <mergeCell ref="AW4:AY4"/>
    <mergeCell ref="AZ4:BB4"/>
    <mergeCell ref="A5:B5"/>
    <mergeCell ref="C5:E5"/>
    <mergeCell ref="F5:H5"/>
    <mergeCell ref="I5:AG5"/>
    <mergeCell ref="AH5:AJ5"/>
    <mergeCell ref="AK5:AM5"/>
    <mergeCell ref="AN5:AP5"/>
    <mergeCell ref="AQ5:AS5"/>
    <mergeCell ref="AT5:AV5"/>
    <mergeCell ref="AW5:AY5"/>
    <mergeCell ref="AZ5:BB5"/>
    <mergeCell ref="A6:B6"/>
    <mergeCell ref="C6:E6"/>
    <mergeCell ref="F6:H6"/>
    <mergeCell ref="I6:AG6"/>
    <mergeCell ref="AH6:AJ6"/>
    <mergeCell ref="AK6:AM6"/>
    <mergeCell ref="AN6:AP6"/>
    <mergeCell ref="AQ6:AS6"/>
    <mergeCell ref="AT6:AV6"/>
    <mergeCell ref="AW6:AY6"/>
    <mergeCell ref="AZ6:BB6"/>
    <mergeCell ref="A7:B7"/>
    <mergeCell ref="C7:E7"/>
    <mergeCell ref="F7:H7"/>
    <mergeCell ref="I7:AG7"/>
    <mergeCell ref="AH7:AJ7"/>
    <mergeCell ref="AK7:AM7"/>
    <mergeCell ref="AN7:AP7"/>
    <mergeCell ref="AQ7:AS7"/>
    <mergeCell ref="AT7:AV7"/>
    <mergeCell ref="AW7:AY7"/>
    <mergeCell ref="AZ7:BB7"/>
    <mergeCell ref="A8:B8"/>
    <mergeCell ref="C8:E8"/>
    <mergeCell ref="F8:H8"/>
    <mergeCell ref="I8:AG8"/>
    <mergeCell ref="AH8:AJ8"/>
    <mergeCell ref="AK8:AM8"/>
    <mergeCell ref="AN8:AP8"/>
    <mergeCell ref="AQ8:AS8"/>
    <mergeCell ref="AT8:AV8"/>
    <mergeCell ref="AW8:AY8"/>
    <mergeCell ref="AZ8:BB8"/>
    <mergeCell ref="A9:B9"/>
    <mergeCell ref="C9:E9"/>
    <mergeCell ref="F9:H9"/>
    <mergeCell ref="I9:AG9"/>
    <mergeCell ref="AH9:AJ9"/>
    <mergeCell ref="AK9:AM9"/>
    <mergeCell ref="AN9:AP9"/>
    <mergeCell ref="AQ9:AS9"/>
    <mergeCell ref="AT9:AV9"/>
    <mergeCell ref="AW9:AY9"/>
    <mergeCell ref="AZ9:BB9"/>
    <mergeCell ref="A10:B10"/>
    <mergeCell ref="C10:E10"/>
    <mergeCell ref="F10:H10"/>
    <mergeCell ref="I10:AG10"/>
    <mergeCell ref="AH10:AJ10"/>
    <mergeCell ref="AK10:AM10"/>
    <mergeCell ref="AN10:AP10"/>
    <mergeCell ref="AQ10:AS10"/>
    <mergeCell ref="AT10:AV10"/>
    <mergeCell ref="AW10:AY10"/>
    <mergeCell ref="AZ10:BB10"/>
    <mergeCell ref="A11:B11"/>
    <mergeCell ref="C11:E11"/>
    <mergeCell ref="F11:H11"/>
    <mergeCell ref="I11:AG11"/>
    <mergeCell ref="AH11:AJ11"/>
    <mergeCell ref="AK11:AM11"/>
    <mergeCell ref="AN11:AP11"/>
    <mergeCell ref="AQ11:AS11"/>
    <mergeCell ref="AT11:AV11"/>
    <mergeCell ref="AW11:AY11"/>
    <mergeCell ref="AZ11:BB11"/>
    <mergeCell ref="A12:B12"/>
    <mergeCell ref="C12:E12"/>
    <mergeCell ref="F12:H12"/>
    <mergeCell ref="I12:AG12"/>
    <mergeCell ref="AH12:AJ12"/>
    <mergeCell ref="AK12:AM12"/>
    <mergeCell ref="AN12:AP12"/>
    <mergeCell ref="AQ12:AS12"/>
    <mergeCell ref="AT12:AV12"/>
    <mergeCell ref="AW12:AY12"/>
    <mergeCell ref="AZ12:BB12"/>
    <mergeCell ref="A13:B13"/>
    <mergeCell ref="C13:E13"/>
    <mergeCell ref="F13:H13"/>
    <mergeCell ref="I13:AG13"/>
    <mergeCell ref="AH13:AJ13"/>
    <mergeCell ref="AK13:AM13"/>
    <mergeCell ref="AN13:AP13"/>
    <mergeCell ref="AQ13:AS13"/>
    <mergeCell ref="AT13:AV13"/>
    <mergeCell ref="AW13:AY13"/>
    <mergeCell ref="AZ13:BB13"/>
    <mergeCell ref="A14:B14"/>
    <mergeCell ref="C14:E14"/>
    <mergeCell ref="F14:H14"/>
    <mergeCell ref="I14:AG14"/>
    <mergeCell ref="AH14:AJ14"/>
    <mergeCell ref="AK14:AM14"/>
    <mergeCell ref="AN14:AP14"/>
    <mergeCell ref="AQ14:AS14"/>
    <mergeCell ref="AT14:AV14"/>
    <mergeCell ref="AW14:AY14"/>
    <mergeCell ref="AZ14:BB14"/>
    <mergeCell ref="A15:B15"/>
    <mergeCell ref="C15:E15"/>
    <mergeCell ref="F15:H15"/>
    <mergeCell ref="I15:AG15"/>
    <mergeCell ref="AH15:AJ15"/>
    <mergeCell ref="AK15:AM15"/>
    <mergeCell ref="AN15:AP15"/>
    <mergeCell ref="AQ15:AS15"/>
    <mergeCell ref="AT15:AV15"/>
    <mergeCell ref="AW15:AY15"/>
    <mergeCell ref="AZ15:BB15"/>
    <mergeCell ref="A16:B16"/>
    <mergeCell ref="C16:E16"/>
    <mergeCell ref="F16:H16"/>
    <mergeCell ref="I16:AG16"/>
    <mergeCell ref="AH16:AJ16"/>
    <mergeCell ref="AK16:AM16"/>
    <mergeCell ref="AN16:AP16"/>
    <mergeCell ref="AQ16:AS16"/>
    <mergeCell ref="AT16:AV16"/>
    <mergeCell ref="AW16:AY16"/>
    <mergeCell ref="AZ16:BB16"/>
    <mergeCell ref="A17:B17"/>
    <mergeCell ref="C17:E17"/>
    <mergeCell ref="F17:H17"/>
    <mergeCell ref="I17:AG17"/>
    <mergeCell ref="AH17:AJ17"/>
    <mergeCell ref="AK17:AM17"/>
    <mergeCell ref="AN17:AP17"/>
    <mergeCell ref="AQ17:AS17"/>
    <mergeCell ref="AT17:AV17"/>
    <mergeCell ref="AW17:AY17"/>
    <mergeCell ref="AZ17:BB17"/>
    <mergeCell ref="A18:B18"/>
    <mergeCell ref="C18:E18"/>
    <mergeCell ref="F18:H18"/>
    <mergeCell ref="I18:AG18"/>
    <mergeCell ref="AH18:AJ18"/>
    <mergeCell ref="AK18:AM18"/>
    <mergeCell ref="AN18:AP18"/>
    <mergeCell ref="AQ18:AS18"/>
    <mergeCell ref="AT18:AV18"/>
    <mergeCell ref="AW18:AY18"/>
    <mergeCell ref="AZ18:BB18"/>
    <mergeCell ref="A19:B19"/>
    <mergeCell ref="C19:E19"/>
    <mergeCell ref="F19:H19"/>
    <mergeCell ref="I19:AG19"/>
    <mergeCell ref="AH19:AJ19"/>
    <mergeCell ref="AK19:AM19"/>
    <mergeCell ref="AN19:AP19"/>
    <mergeCell ref="AQ19:AS19"/>
    <mergeCell ref="AT19:AV19"/>
    <mergeCell ref="AW19:AY19"/>
    <mergeCell ref="AZ19:BB19"/>
    <mergeCell ref="A20:B20"/>
    <mergeCell ref="C20:E20"/>
    <mergeCell ref="F20:H20"/>
    <mergeCell ref="I20:AG20"/>
    <mergeCell ref="AH20:AJ20"/>
    <mergeCell ref="AK20:AM20"/>
    <mergeCell ref="AN20:AP20"/>
    <mergeCell ref="AQ20:AS20"/>
    <mergeCell ref="AT20:AV20"/>
    <mergeCell ref="AW20:AY20"/>
    <mergeCell ref="AZ20:BB20"/>
    <mergeCell ref="A3:B4"/>
    <mergeCell ref="C3:E4"/>
    <mergeCell ref="F3:H4"/>
    <mergeCell ref="I3:AG4"/>
    <mergeCell ref="AQ3:AS4"/>
  </mergeCells>
  <printOptions horizontalCentered="1"/>
  <pageMargins left="0.393700787401575" right="0.393700787401575" top="0.393700787401575" bottom="0.590551181102362" header="0" footer="0.196850393700787"/>
  <pageSetup paperSize="9" scale="119" fitToHeight="3" orientation="landscape"/>
  <headerFooter>
    <oddFooter>&amp;L&amp;G&amp;R&amp;8Projeto Executivo de Engenharia, Estudos e
Orçamentos para a Construção de Ponte Rodoviária
em Concreto Armado - Rodovia Vicinal</oddFooter>
  </headerFooter>
  <drawing r:id="rId1"/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A1:CN653"/>
  <sheetViews>
    <sheetView showGridLines="0" view="pageBreakPreview" zoomScale="145" zoomScaleNormal="160" workbookViewId="0">
      <selection activeCell="A1" sqref="A1"/>
    </sheetView>
  </sheetViews>
  <sheetFormatPr defaultColWidth="9.1047619047619" defaultRowHeight="17.4" customHeight="1"/>
  <cols>
    <col min="1" max="92" width="2.1047619047619" style="29" customWidth="1"/>
    <col min="93" max="93" width="9.1047619047619" style="29"/>
    <col min="94" max="126" width="2.1047619047619" style="29" customWidth="1"/>
    <col min="127" max="127" width="9.1047619047619" style="29" customWidth="1"/>
    <col min="128" max="16384" width="9.1047619047619" style="29"/>
  </cols>
  <sheetData>
    <row r="1" ht="12.6" customHeight="1"/>
    <row r="2" ht="12.6" customHeight="1"/>
    <row r="3" ht="12.6" customHeight="1"/>
    <row r="4" ht="12.75" customHeight="1" spans="1:92">
      <c r="A4" s="40" t="s">
        <v>17</v>
      </c>
      <c r="B4" s="41"/>
      <c r="C4" s="41"/>
      <c r="D4" s="41"/>
      <c r="E4" s="41"/>
      <c r="F4" s="41"/>
      <c r="G4" s="41"/>
      <c r="H4" s="41"/>
      <c r="I4" s="42" t="s">
        <v>18</v>
      </c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3"/>
    </row>
    <row r="5" ht="12.75" customHeight="1" spans="1:92">
      <c r="A5" s="44" t="s">
        <v>2</v>
      </c>
      <c r="B5" s="45"/>
      <c r="C5" s="45"/>
      <c r="D5" s="45"/>
      <c r="E5" s="45"/>
      <c r="F5" s="45"/>
      <c r="G5" s="45"/>
      <c r="H5" s="45"/>
      <c r="I5" s="46" t="s">
        <v>19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7"/>
    </row>
    <row r="6" ht="12.75" customHeight="1" spans="1:92">
      <c r="A6" s="44" t="s">
        <v>3</v>
      </c>
      <c r="B6" s="45"/>
      <c r="C6" s="45"/>
      <c r="D6" s="45"/>
      <c r="E6" s="45"/>
      <c r="F6" s="45"/>
      <c r="G6" s="45"/>
      <c r="H6" s="45"/>
      <c r="I6" s="46" t="s">
        <v>20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7"/>
    </row>
    <row r="7" ht="12.75" customHeight="1" spans="1:92">
      <c r="A7" s="44" t="s">
        <v>4</v>
      </c>
      <c r="B7" s="45"/>
      <c r="C7" s="45"/>
      <c r="D7" s="45"/>
      <c r="E7" s="45"/>
      <c r="F7" s="45"/>
      <c r="G7" s="45"/>
      <c r="H7" s="45"/>
      <c r="I7" s="46" t="s">
        <v>21</v>
      </c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7"/>
    </row>
    <row r="8" ht="12.75" customHeight="1" spans="1:92">
      <c r="A8" s="44" t="s">
        <v>22</v>
      </c>
      <c r="B8" s="45"/>
      <c r="C8" s="45"/>
      <c r="D8" s="45"/>
      <c r="E8" s="45"/>
      <c r="F8" s="45"/>
      <c r="G8" s="45"/>
      <c r="H8" s="45"/>
      <c r="I8" s="46" t="s">
        <v>23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5" t="s">
        <v>6</v>
      </c>
      <c r="CE8" s="45"/>
      <c r="CF8" s="45"/>
      <c r="CG8" s="45"/>
      <c r="CH8" s="45"/>
      <c r="CI8" s="45"/>
      <c r="CJ8" s="45"/>
      <c r="CK8" s="51">
        <v>90</v>
      </c>
      <c r="CL8" s="51"/>
      <c r="CM8" s="52" t="s">
        <v>7</v>
      </c>
      <c r="CN8" s="53"/>
    </row>
    <row r="9" ht="12.75" customHeight="1" spans="1:92">
      <c r="A9" s="44" t="s">
        <v>8</v>
      </c>
      <c r="B9" s="45"/>
      <c r="C9" s="45"/>
      <c r="D9" s="45"/>
      <c r="E9" s="45"/>
      <c r="F9" s="45"/>
      <c r="G9" s="45"/>
      <c r="H9" s="45"/>
      <c r="I9" s="54">
        <v>15</v>
      </c>
      <c r="J9" s="54"/>
      <c r="K9" s="52" t="s">
        <v>9</v>
      </c>
      <c r="L9" s="52"/>
      <c r="M9" s="55"/>
      <c r="N9" s="55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 s="56"/>
    </row>
    <row r="10" ht="12.75" customHeight="1" spans="1:92">
      <c r="A10" s="44" t="s">
        <v>10</v>
      </c>
      <c r="B10" s="45"/>
      <c r="C10" s="45"/>
      <c r="D10" s="45"/>
      <c r="E10" s="45"/>
      <c r="F10" s="45"/>
      <c r="G10" s="45"/>
      <c r="H10" s="45"/>
      <c r="I10" s="54">
        <v>6</v>
      </c>
      <c r="J10" s="54"/>
      <c r="K10" s="52" t="s">
        <v>9</v>
      </c>
      <c r="L10" s="52"/>
      <c r="M10" s="55"/>
      <c r="N10" s="55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 s="56"/>
    </row>
    <row r="11" ht="12.75" customHeight="1" spans="1:92">
      <c r="A11" s="44" t="s">
        <v>11</v>
      </c>
      <c r="B11" s="45"/>
      <c r="C11" s="45"/>
      <c r="D11" s="45"/>
      <c r="E11" s="45"/>
      <c r="F11" s="45"/>
      <c r="G11" s="45"/>
      <c r="H11" s="45"/>
      <c r="I11" s="45" t="s">
        <v>24</v>
      </c>
      <c r="J11" s="45"/>
      <c r="K11" s="45"/>
      <c r="L11" s="57">
        <v>0.1527</v>
      </c>
      <c r="M11" s="57"/>
      <c r="N11" s="57"/>
      <c r="O11" s="45" t="s">
        <v>13</v>
      </c>
      <c r="P11" s="45"/>
      <c r="Q11" s="45"/>
      <c r="R11" s="57">
        <v>0.2391</v>
      </c>
      <c r="S11" s="57"/>
      <c r="T11" s="57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 s="45" t="s">
        <v>14</v>
      </c>
      <c r="CE11" s="45"/>
      <c r="CF11" s="45"/>
      <c r="CG11" s="45"/>
      <c r="CH11" s="45"/>
      <c r="CI11" s="45"/>
      <c r="CJ11" s="45"/>
      <c r="CK11" s="58">
        <v>120</v>
      </c>
      <c r="CL11" s="58"/>
      <c r="CM11" s="52" t="s">
        <v>15</v>
      </c>
      <c r="CN11" s="53"/>
    </row>
    <row r="12" ht="12.75" customHeight="1" spans="1:92">
      <c r="A12" s="59" t="s">
        <v>16</v>
      </c>
      <c r="B12" s="60"/>
      <c r="C12" s="60"/>
      <c r="D12" s="60"/>
      <c r="E12" s="60"/>
      <c r="F12" s="60"/>
      <c r="G12" s="60"/>
      <c r="H12" s="60"/>
      <c r="I12" s="61" t="s">
        <v>25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">
        <v>26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4"/>
    </row>
    <row r="13" ht="6" customHeight="1" spans="1:92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</row>
    <row r="14" ht="12.75" customHeight="1" spans="1:92">
      <c r="A14" s="533" t="s">
        <v>921</v>
      </c>
      <c r="B14" s="534"/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/>
      <c r="Z14" s="534"/>
      <c r="AA14" s="534"/>
      <c r="AB14" s="534"/>
      <c r="AC14" s="534"/>
      <c r="AD14" s="534"/>
      <c r="AE14" s="534"/>
      <c r="AF14" s="534"/>
      <c r="AG14" s="534"/>
      <c r="AH14" s="534"/>
      <c r="AI14" s="534"/>
      <c r="AJ14" s="534"/>
      <c r="AK14" s="534"/>
      <c r="AL14" s="534"/>
      <c r="AM14" s="534"/>
      <c r="AN14" s="534"/>
      <c r="AO14" s="534"/>
      <c r="AP14" s="534"/>
      <c r="AQ14" s="534"/>
      <c r="AR14" s="534"/>
      <c r="AS14" s="534"/>
      <c r="AT14" s="534"/>
      <c r="AU14" s="534"/>
      <c r="AV14" s="534"/>
      <c r="AW14" s="534"/>
      <c r="AX14" s="534"/>
      <c r="AY14" s="534"/>
      <c r="AZ14" s="534"/>
      <c r="BA14" s="534"/>
      <c r="BB14" s="534"/>
      <c r="BC14" s="534"/>
      <c r="BD14" s="534"/>
      <c r="BE14" s="534"/>
      <c r="BF14" s="534"/>
      <c r="BG14" s="534"/>
      <c r="BH14" s="534"/>
      <c r="BI14" s="534"/>
      <c r="BJ14" s="534"/>
      <c r="BK14" s="534"/>
      <c r="BL14" s="534"/>
      <c r="BM14" s="534"/>
      <c r="BN14" s="534"/>
      <c r="BO14" s="534"/>
      <c r="BP14" s="534"/>
      <c r="BQ14" s="534"/>
      <c r="BR14" s="534"/>
      <c r="BS14" s="534"/>
      <c r="BT14" s="534"/>
      <c r="BU14" s="534"/>
      <c r="BV14" s="534"/>
      <c r="BW14" s="534"/>
      <c r="BX14" s="534"/>
      <c r="BY14" s="534"/>
      <c r="BZ14" s="534"/>
      <c r="CA14" s="534"/>
      <c r="CB14" s="534"/>
      <c r="CC14" s="534"/>
      <c r="CD14" s="534"/>
      <c r="CE14" s="534"/>
      <c r="CF14" s="534"/>
      <c r="CG14" s="534"/>
      <c r="CH14" s="534"/>
      <c r="CI14" s="534"/>
      <c r="CJ14" s="534"/>
      <c r="CK14" s="534"/>
      <c r="CL14" s="534"/>
      <c r="CM14" s="534"/>
      <c r="CN14" s="535"/>
    </row>
    <row r="15" customHeight="1" spans="1:92">
      <c r="A15" s="487" t="s">
        <v>31</v>
      </c>
      <c r="B15" s="489"/>
      <c r="C15" s="487" t="s">
        <v>633</v>
      </c>
      <c r="D15" s="488"/>
      <c r="E15" s="489"/>
      <c r="F15" s="487" t="s">
        <v>634</v>
      </c>
      <c r="G15" s="488"/>
      <c r="H15" s="489"/>
      <c r="I15" s="536" t="s">
        <v>635</v>
      </c>
      <c r="J15" s="536"/>
      <c r="K15" s="536"/>
      <c r="L15" s="536"/>
      <c r="M15" s="536"/>
      <c r="N15" s="536"/>
      <c r="O15" s="536"/>
      <c r="P15" s="536"/>
      <c r="Q15" s="536"/>
      <c r="R15" s="536"/>
      <c r="S15" s="536"/>
      <c r="T15" s="536"/>
      <c r="U15" s="536"/>
      <c r="V15" s="536"/>
      <c r="W15" s="536"/>
      <c r="X15" s="536"/>
      <c r="Y15" s="536"/>
      <c r="Z15" s="536"/>
      <c r="AA15" s="536"/>
      <c r="AB15" s="490" t="s">
        <v>879</v>
      </c>
      <c r="AC15" s="492"/>
      <c r="AD15" s="490" t="s">
        <v>824</v>
      </c>
      <c r="AE15" s="491"/>
      <c r="AF15" s="492"/>
      <c r="AG15" s="296" t="s">
        <v>763</v>
      </c>
      <c r="AH15" s="298"/>
      <c r="AI15" s="296" t="s">
        <v>635</v>
      </c>
      <c r="AJ15" s="297"/>
      <c r="AK15" s="297"/>
      <c r="AL15" s="297"/>
      <c r="AM15" s="297"/>
      <c r="AN15" s="297"/>
      <c r="AO15" s="297"/>
      <c r="AP15" s="297"/>
      <c r="AQ15" s="297"/>
      <c r="AR15" s="297"/>
      <c r="AS15" s="297"/>
      <c r="AT15" s="297"/>
      <c r="AU15" s="297"/>
      <c r="AV15" s="298"/>
      <c r="AW15" s="490" t="s">
        <v>924</v>
      </c>
      <c r="AX15" s="491"/>
      <c r="AY15" s="492"/>
      <c r="AZ15" s="490" t="s">
        <v>925</v>
      </c>
      <c r="BA15" s="491"/>
      <c r="BB15" s="492"/>
      <c r="BC15" s="537" t="s">
        <v>926</v>
      </c>
      <c r="BD15" s="538"/>
      <c r="BE15" s="539"/>
      <c r="BF15" s="537" t="s">
        <v>927</v>
      </c>
      <c r="BG15" s="538"/>
      <c r="BH15" s="539"/>
      <c r="BI15" s="71" t="s">
        <v>928</v>
      </c>
      <c r="BJ15" s="71"/>
      <c r="BK15" s="71"/>
      <c r="BL15" s="71"/>
      <c r="BM15" s="71" t="s">
        <v>638</v>
      </c>
      <c r="BN15" s="71"/>
      <c r="BO15" s="71"/>
      <c r="BP15" s="71"/>
      <c r="BQ15" s="70" t="s">
        <v>637</v>
      </c>
      <c r="BR15" s="70"/>
      <c r="BS15" s="70"/>
      <c r="BT15" s="71" t="s">
        <v>639</v>
      </c>
      <c r="BU15" s="71"/>
      <c r="BV15" s="71"/>
      <c r="BW15" s="71"/>
      <c r="BX15" s="70" t="s">
        <v>637</v>
      </c>
      <c r="BY15" s="70"/>
      <c r="BZ15" s="70"/>
      <c r="CA15" s="71" t="s">
        <v>640</v>
      </c>
      <c r="CB15" s="71"/>
      <c r="CC15" s="71"/>
      <c r="CD15" s="71"/>
      <c r="CE15" s="70" t="s">
        <v>637</v>
      </c>
      <c r="CF15" s="70"/>
      <c r="CG15" s="70"/>
      <c r="CH15" s="71" t="s">
        <v>641</v>
      </c>
      <c r="CI15" s="71"/>
      <c r="CJ15" s="71"/>
      <c r="CK15" s="71"/>
      <c r="CL15" s="70" t="s">
        <v>637</v>
      </c>
      <c r="CM15" s="70"/>
      <c r="CN15" s="70"/>
    </row>
    <row r="16" hidden="1" customHeight="1" spans="1:92">
      <c r="A16" s="540" t="s">
        <v>929</v>
      </c>
      <c r="B16" s="541"/>
      <c r="C16" s="89"/>
      <c r="D16" s="91"/>
      <c r="E16" s="90"/>
      <c r="F16" s="542">
        <v>103689</v>
      </c>
      <c r="G16" s="543"/>
      <c r="H16" s="544"/>
      <c r="I16" s="545" t="s">
        <v>86</v>
      </c>
      <c r="J16" s="546"/>
      <c r="K16" s="546"/>
      <c r="L16" s="546"/>
      <c r="M16" s="546"/>
      <c r="N16" s="546"/>
      <c r="O16" s="546"/>
      <c r="P16" s="546"/>
      <c r="Q16" s="546"/>
      <c r="R16" s="546"/>
      <c r="S16" s="546"/>
      <c r="T16" s="546"/>
      <c r="U16" s="546"/>
      <c r="V16" s="546"/>
      <c r="W16" s="546"/>
      <c r="X16" s="546"/>
      <c r="Y16" s="546"/>
      <c r="Z16" s="546"/>
      <c r="AA16" s="547"/>
      <c r="AB16" s="548" t="s">
        <v>7</v>
      </c>
      <c r="AC16" s="549"/>
      <c r="AD16" s="550">
        <v>1</v>
      </c>
      <c r="AE16" s="551"/>
      <c r="AF16" s="552"/>
      <c r="AG16" s="553">
        <v>0</v>
      </c>
      <c r="AH16" s="554"/>
      <c r="AI16" s="555" t="e">
        <v>#N/A</v>
      </c>
      <c r="AJ16" s="556"/>
      <c r="AK16" s="556"/>
      <c r="AL16" s="556"/>
      <c r="AM16" s="556"/>
      <c r="AN16" s="556"/>
      <c r="AO16" s="556"/>
      <c r="AP16" s="556"/>
      <c r="AQ16" s="556"/>
      <c r="AR16" s="556"/>
      <c r="AS16" s="556"/>
      <c r="AT16" s="556"/>
      <c r="AU16" s="556"/>
      <c r="AV16" s="557"/>
      <c r="AW16" s="558">
        <v>0</v>
      </c>
      <c r="AX16" s="559"/>
      <c r="AY16" s="560"/>
      <c r="AZ16" s="561">
        <v>1</v>
      </c>
      <c r="BA16" s="562"/>
      <c r="BB16" s="563"/>
      <c r="BC16" s="558">
        <v>0</v>
      </c>
      <c r="BD16" s="559"/>
      <c r="BE16" s="560"/>
      <c r="BF16" s="558">
        <v>182.49</v>
      </c>
      <c r="BG16" s="559"/>
      <c r="BH16" s="560"/>
      <c r="BI16" s="564">
        <v>0</v>
      </c>
      <c r="BJ16" s="565"/>
      <c r="BK16" s="565"/>
      <c r="BL16" s="566"/>
      <c r="BM16" s="567" t="s">
        <v>932</v>
      </c>
      <c r="BN16" s="567"/>
      <c r="BO16" s="567"/>
      <c r="BP16" s="567"/>
      <c r="BQ16" s="568">
        <v>1</v>
      </c>
      <c r="BR16" s="568"/>
      <c r="BS16" s="568"/>
      <c r="BT16" s="567" t="s">
        <v>932</v>
      </c>
      <c r="BU16" s="567"/>
      <c r="BV16" s="567"/>
      <c r="BW16" s="567"/>
      <c r="BX16" s="568" t="s">
        <v>932</v>
      </c>
      <c r="BY16" s="568"/>
      <c r="BZ16" s="568"/>
      <c r="CA16" s="567" t="s">
        <v>932</v>
      </c>
      <c r="CB16" s="567"/>
      <c r="CC16" s="567"/>
      <c r="CD16" s="567"/>
      <c r="CE16" s="568" t="s">
        <v>932</v>
      </c>
      <c r="CF16" s="568"/>
      <c r="CG16" s="568"/>
      <c r="CH16" s="567" t="s">
        <v>932</v>
      </c>
      <c r="CI16" s="567"/>
      <c r="CJ16" s="567"/>
      <c r="CK16" s="567"/>
      <c r="CL16" s="568" t="s">
        <v>932</v>
      </c>
      <c r="CM16" s="568"/>
      <c r="CN16" s="568"/>
    </row>
    <row r="17" hidden="1" customHeight="1" spans="1:92">
      <c r="A17" s="569"/>
      <c r="B17" s="570"/>
      <c r="C17" s="571"/>
      <c r="D17" s="572"/>
      <c r="E17" s="573"/>
      <c r="F17" s="574"/>
      <c r="G17" s="575"/>
      <c r="H17" s="576"/>
      <c r="I17" s="577"/>
      <c r="J17" s="578"/>
      <c r="K17" s="578"/>
      <c r="L17" s="578"/>
      <c r="M17" s="578"/>
      <c r="N17" s="578"/>
      <c r="O17" s="578"/>
      <c r="P17" s="578"/>
      <c r="Q17" s="578"/>
      <c r="R17" s="578"/>
      <c r="S17" s="578"/>
      <c r="T17" s="578"/>
      <c r="U17" s="578"/>
      <c r="V17" s="578"/>
      <c r="W17" s="578"/>
      <c r="X17" s="578"/>
      <c r="Y17" s="578"/>
      <c r="Z17" s="578"/>
      <c r="AA17" s="579"/>
      <c r="AB17" s="580"/>
      <c r="AC17" s="581"/>
      <c r="AD17" s="582"/>
      <c r="AE17" s="583"/>
      <c r="AF17" s="584"/>
      <c r="AG17" s="553">
        <v>0</v>
      </c>
      <c r="AH17" s="554"/>
      <c r="AI17" s="555" t="e">
        <v>#N/A</v>
      </c>
      <c r="AJ17" s="556"/>
      <c r="AK17" s="556"/>
      <c r="AL17" s="556"/>
      <c r="AM17" s="556"/>
      <c r="AN17" s="556"/>
      <c r="AO17" s="556"/>
      <c r="AP17" s="556"/>
      <c r="AQ17" s="556"/>
      <c r="AR17" s="556"/>
      <c r="AS17" s="556"/>
      <c r="AT17" s="556"/>
      <c r="AU17" s="556"/>
      <c r="AV17" s="557"/>
      <c r="AW17" s="558">
        <v>0</v>
      </c>
      <c r="AX17" s="559"/>
      <c r="AY17" s="560"/>
      <c r="AZ17" s="585"/>
      <c r="BA17" s="586"/>
      <c r="BB17" s="587"/>
      <c r="BC17" s="558">
        <v>0</v>
      </c>
      <c r="BD17" s="559"/>
      <c r="BE17" s="560"/>
      <c r="BF17" s="558">
        <v>182.49</v>
      </c>
      <c r="BG17" s="559"/>
      <c r="BH17" s="560"/>
      <c r="BI17" s="564">
        <v>0</v>
      </c>
      <c r="BJ17" s="565"/>
      <c r="BK17" s="565"/>
      <c r="BL17" s="566"/>
      <c r="BM17" s="567" t="s">
        <v>932</v>
      </c>
      <c r="BN17" s="567"/>
      <c r="BO17" s="567"/>
      <c r="BP17" s="567"/>
      <c r="BQ17" s="568">
        <v>1</v>
      </c>
      <c r="BR17" s="568"/>
      <c r="BS17" s="568"/>
      <c r="BT17" s="567" t="s">
        <v>932</v>
      </c>
      <c r="BU17" s="567"/>
      <c r="BV17" s="567"/>
      <c r="BW17" s="567"/>
      <c r="BX17" s="568" t="s">
        <v>932</v>
      </c>
      <c r="BY17" s="568"/>
      <c r="BZ17" s="568"/>
      <c r="CA17" s="567" t="s">
        <v>932</v>
      </c>
      <c r="CB17" s="567"/>
      <c r="CC17" s="567"/>
      <c r="CD17" s="567"/>
      <c r="CE17" s="568" t="s">
        <v>932</v>
      </c>
      <c r="CF17" s="568"/>
      <c r="CG17" s="568"/>
      <c r="CH17" s="567" t="s">
        <v>932</v>
      </c>
      <c r="CI17" s="567"/>
      <c r="CJ17" s="567"/>
      <c r="CK17" s="567"/>
      <c r="CL17" s="568" t="s">
        <v>932</v>
      </c>
      <c r="CM17" s="568"/>
      <c r="CN17" s="568"/>
    </row>
    <row r="18" hidden="1" customHeight="1" spans="1:92">
      <c r="A18" s="569"/>
      <c r="B18" s="570"/>
      <c r="C18" s="571"/>
      <c r="D18" s="572"/>
      <c r="E18" s="573"/>
      <c r="F18" s="574"/>
      <c r="G18" s="575"/>
      <c r="H18" s="576"/>
      <c r="I18" s="577"/>
      <c r="J18" s="578"/>
      <c r="K18" s="578"/>
      <c r="L18" s="578"/>
      <c r="M18" s="578"/>
      <c r="N18" s="578"/>
      <c r="O18" s="578"/>
      <c r="P18" s="578"/>
      <c r="Q18" s="578"/>
      <c r="R18" s="578"/>
      <c r="S18" s="578"/>
      <c r="T18" s="578"/>
      <c r="U18" s="578"/>
      <c r="V18" s="578"/>
      <c r="W18" s="578"/>
      <c r="X18" s="578"/>
      <c r="Y18" s="578"/>
      <c r="Z18" s="578"/>
      <c r="AA18" s="579"/>
      <c r="AB18" s="580"/>
      <c r="AC18" s="581"/>
      <c r="AD18" s="582"/>
      <c r="AE18" s="583"/>
      <c r="AF18" s="584"/>
      <c r="AG18" s="553">
        <v>0</v>
      </c>
      <c r="AH18" s="554"/>
      <c r="AI18" s="555" t="e">
        <v>#N/A</v>
      </c>
      <c r="AJ18" s="556"/>
      <c r="AK18" s="556"/>
      <c r="AL18" s="556"/>
      <c r="AM18" s="556"/>
      <c r="AN18" s="556"/>
      <c r="AO18" s="556"/>
      <c r="AP18" s="556"/>
      <c r="AQ18" s="556"/>
      <c r="AR18" s="556"/>
      <c r="AS18" s="556"/>
      <c r="AT18" s="556"/>
      <c r="AU18" s="556"/>
      <c r="AV18" s="557"/>
      <c r="AW18" s="558">
        <v>0</v>
      </c>
      <c r="AX18" s="559"/>
      <c r="AY18" s="560"/>
      <c r="AZ18" s="585"/>
      <c r="BA18" s="586"/>
      <c r="BB18" s="587"/>
      <c r="BC18" s="558">
        <v>0</v>
      </c>
      <c r="BD18" s="559"/>
      <c r="BE18" s="560"/>
      <c r="BF18" s="558">
        <v>182.49</v>
      </c>
      <c r="BG18" s="559"/>
      <c r="BH18" s="560"/>
      <c r="BI18" s="564">
        <v>0</v>
      </c>
      <c r="BJ18" s="565"/>
      <c r="BK18" s="565"/>
      <c r="BL18" s="566"/>
      <c r="BM18" s="567" t="s">
        <v>932</v>
      </c>
      <c r="BN18" s="567"/>
      <c r="BO18" s="567"/>
      <c r="BP18" s="567"/>
      <c r="BQ18" s="568">
        <v>1</v>
      </c>
      <c r="BR18" s="568"/>
      <c r="BS18" s="568"/>
      <c r="BT18" s="567" t="s">
        <v>932</v>
      </c>
      <c r="BU18" s="567"/>
      <c r="BV18" s="567"/>
      <c r="BW18" s="567"/>
      <c r="BX18" s="568" t="s">
        <v>932</v>
      </c>
      <c r="BY18" s="568"/>
      <c r="BZ18" s="568"/>
      <c r="CA18" s="567" t="s">
        <v>932</v>
      </c>
      <c r="CB18" s="567"/>
      <c r="CC18" s="567"/>
      <c r="CD18" s="567"/>
      <c r="CE18" s="568" t="s">
        <v>932</v>
      </c>
      <c r="CF18" s="568"/>
      <c r="CG18" s="568"/>
      <c r="CH18" s="567" t="s">
        <v>932</v>
      </c>
      <c r="CI18" s="567"/>
      <c r="CJ18" s="567"/>
      <c r="CK18" s="567"/>
      <c r="CL18" s="568" t="s">
        <v>932</v>
      </c>
      <c r="CM18" s="568"/>
      <c r="CN18" s="568"/>
    </row>
    <row r="19" hidden="1" customHeight="1" spans="1:92">
      <c r="A19" s="569"/>
      <c r="B19" s="570"/>
      <c r="C19" s="571"/>
      <c r="D19" s="572"/>
      <c r="E19" s="573"/>
      <c r="F19" s="574"/>
      <c r="G19" s="575"/>
      <c r="H19" s="576"/>
      <c r="I19" s="577"/>
      <c r="J19" s="578"/>
      <c r="K19" s="578"/>
      <c r="L19" s="578"/>
      <c r="M19" s="578"/>
      <c r="N19" s="578"/>
      <c r="O19" s="578"/>
      <c r="P19" s="578"/>
      <c r="Q19" s="578"/>
      <c r="R19" s="578"/>
      <c r="S19" s="578"/>
      <c r="T19" s="578"/>
      <c r="U19" s="578"/>
      <c r="V19" s="578"/>
      <c r="W19" s="578"/>
      <c r="X19" s="578"/>
      <c r="Y19" s="578"/>
      <c r="Z19" s="578"/>
      <c r="AA19" s="579"/>
      <c r="AB19" s="580"/>
      <c r="AC19" s="581"/>
      <c r="AD19" s="582"/>
      <c r="AE19" s="583"/>
      <c r="AF19" s="584"/>
      <c r="AG19" s="553">
        <v>0</v>
      </c>
      <c r="AH19" s="554"/>
      <c r="AI19" s="555" t="e">
        <v>#N/A</v>
      </c>
      <c r="AJ19" s="556"/>
      <c r="AK19" s="556"/>
      <c r="AL19" s="556"/>
      <c r="AM19" s="556"/>
      <c r="AN19" s="556"/>
      <c r="AO19" s="556"/>
      <c r="AP19" s="556"/>
      <c r="AQ19" s="556"/>
      <c r="AR19" s="556"/>
      <c r="AS19" s="556"/>
      <c r="AT19" s="556"/>
      <c r="AU19" s="556"/>
      <c r="AV19" s="557"/>
      <c r="AW19" s="558">
        <v>0</v>
      </c>
      <c r="AX19" s="559"/>
      <c r="AY19" s="560"/>
      <c r="AZ19" s="585"/>
      <c r="BA19" s="586"/>
      <c r="BB19" s="587"/>
      <c r="BC19" s="558">
        <v>0</v>
      </c>
      <c r="BD19" s="559"/>
      <c r="BE19" s="560"/>
      <c r="BF19" s="558">
        <v>182.49</v>
      </c>
      <c r="BG19" s="559"/>
      <c r="BH19" s="560"/>
      <c r="BI19" s="564">
        <v>0</v>
      </c>
      <c r="BJ19" s="565"/>
      <c r="BK19" s="565"/>
      <c r="BL19" s="566"/>
      <c r="BM19" s="567" t="s">
        <v>932</v>
      </c>
      <c r="BN19" s="567"/>
      <c r="BO19" s="567"/>
      <c r="BP19" s="567"/>
      <c r="BQ19" s="568">
        <v>1</v>
      </c>
      <c r="BR19" s="568"/>
      <c r="BS19" s="568"/>
      <c r="BT19" s="567" t="s">
        <v>932</v>
      </c>
      <c r="BU19" s="567"/>
      <c r="BV19" s="567"/>
      <c r="BW19" s="567"/>
      <c r="BX19" s="568" t="s">
        <v>932</v>
      </c>
      <c r="BY19" s="568"/>
      <c r="BZ19" s="568"/>
      <c r="CA19" s="567" t="s">
        <v>932</v>
      </c>
      <c r="CB19" s="567"/>
      <c r="CC19" s="567"/>
      <c r="CD19" s="567"/>
      <c r="CE19" s="568" t="s">
        <v>932</v>
      </c>
      <c r="CF19" s="568"/>
      <c r="CG19" s="568"/>
      <c r="CH19" s="567" t="s">
        <v>932</v>
      </c>
      <c r="CI19" s="567"/>
      <c r="CJ19" s="567"/>
      <c r="CK19" s="567"/>
      <c r="CL19" s="568" t="s">
        <v>932</v>
      </c>
      <c r="CM19" s="568"/>
      <c r="CN19" s="568"/>
    </row>
    <row r="20" hidden="1" customHeight="1" spans="1:92">
      <c r="A20" s="569"/>
      <c r="B20" s="570"/>
      <c r="C20" s="571"/>
      <c r="D20" s="572"/>
      <c r="E20" s="573"/>
      <c r="F20" s="574"/>
      <c r="G20" s="575"/>
      <c r="H20" s="576"/>
      <c r="I20" s="577"/>
      <c r="J20" s="578"/>
      <c r="K20" s="578"/>
      <c r="L20" s="578"/>
      <c r="M20" s="578"/>
      <c r="N20" s="578"/>
      <c r="O20" s="578"/>
      <c r="P20" s="578"/>
      <c r="Q20" s="578"/>
      <c r="R20" s="578"/>
      <c r="S20" s="578"/>
      <c r="T20" s="578"/>
      <c r="U20" s="578"/>
      <c r="V20" s="578"/>
      <c r="W20" s="578"/>
      <c r="X20" s="578"/>
      <c r="Y20" s="578"/>
      <c r="Z20" s="578"/>
      <c r="AA20" s="579"/>
      <c r="AB20" s="580"/>
      <c r="AC20" s="581"/>
      <c r="AD20" s="582"/>
      <c r="AE20" s="583"/>
      <c r="AF20" s="584"/>
      <c r="AG20" s="553">
        <v>0</v>
      </c>
      <c r="AH20" s="554"/>
      <c r="AI20" s="555" t="e">
        <v>#N/A</v>
      </c>
      <c r="AJ20" s="556"/>
      <c r="AK20" s="556"/>
      <c r="AL20" s="556"/>
      <c r="AM20" s="556"/>
      <c r="AN20" s="556"/>
      <c r="AO20" s="556"/>
      <c r="AP20" s="556"/>
      <c r="AQ20" s="556"/>
      <c r="AR20" s="556"/>
      <c r="AS20" s="556"/>
      <c r="AT20" s="556"/>
      <c r="AU20" s="556"/>
      <c r="AV20" s="557"/>
      <c r="AW20" s="558">
        <v>0</v>
      </c>
      <c r="AX20" s="559"/>
      <c r="AY20" s="560"/>
      <c r="AZ20" s="585"/>
      <c r="BA20" s="586"/>
      <c r="BB20" s="587"/>
      <c r="BC20" s="558">
        <v>0</v>
      </c>
      <c r="BD20" s="559"/>
      <c r="BE20" s="560"/>
      <c r="BF20" s="558">
        <v>182.49</v>
      </c>
      <c r="BG20" s="559"/>
      <c r="BH20" s="560"/>
      <c r="BI20" s="564">
        <v>0</v>
      </c>
      <c r="BJ20" s="565"/>
      <c r="BK20" s="565"/>
      <c r="BL20" s="566"/>
      <c r="BM20" s="567" t="s">
        <v>932</v>
      </c>
      <c r="BN20" s="567"/>
      <c r="BO20" s="567"/>
      <c r="BP20" s="567"/>
      <c r="BQ20" s="568">
        <v>1</v>
      </c>
      <c r="BR20" s="568"/>
      <c r="BS20" s="568"/>
      <c r="BT20" s="567" t="s">
        <v>932</v>
      </c>
      <c r="BU20" s="567"/>
      <c r="BV20" s="567"/>
      <c r="BW20" s="567"/>
      <c r="BX20" s="568" t="s">
        <v>932</v>
      </c>
      <c r="BY20" s="568"/>
      <c r="BZ20" s="568"/>
      <c r="CA20" s="567" t="s">
        <v>932</v>
      </c>
      <c r="CB20" s="567"/>
      <c r="CC20" s="567"/>
      <c r="CD20" s="567"/>
      <c r="CE20" s="568" t="s">
        <v>932</v>
      </c>
      <c r="CF20" s="568"/>
      <c r="CG20" s="568"/>
      <c r="CH20" s="567" t="s">
        <v>932</v>
      </c>
      <c r="CI20" s="567"/>
      <c r="CJ20" s="567"/>
      <c r="CK20" s="567"/>
      <c r="CL20" s="568" t="s">
        <v>932</v>
      </c>
      <c r="CM20" s="568"/>
      <c r="CN20" s="568"/>
    </row>
    <row r="21" hidden="1" customHeight="1" spans="1:92">
      <c r="A21" s="569"/>
      <c r="B21" s="570"/>
      <c r="C21" s="571"/>
      <c r="D21" s="572"/>
      <c r="E21" s="573"/>
      <c r="F21" s="574"/>
      <c r="G21" s="575"/>
      <c r="H21" s="576"/>
      <c r="I21" s="577"/>
      <c r="J21" s="578"/>
      <c r="K21" s="578"/>
      <c r="L21" s="578"/>
      <c r="M21" s="578"/>
      <c r="N21" s="578"/>
      <c r="O21" s="578"/>
      <c r="P21" s="578"/>
      <c r="Q21" s="578"/>
      <c r="R21" s="578"/>
      <c r="S21" s="578"/>
      <c r="T21" s="578"/>
      <c r="U21" s="578"/>
      <c r="V21" s="578"/>
      <c r="W21" s="578"/>
      <c r="X21" s="578"/>
      <c r="Y21" s="578"/>
      <c r="Z21" s="578"/>
      <c r="AA21" s="579"/>
      <c r="AB21" s="580"/>
      <c r="AC21" s="581"/>
      <c r="AD21" s="582"/>
      <c r="AE21" s="583"/>
      <c r="AF21" s="584"/>
      <c r="AG21" s="553">
        <v>0</v>
      </c>
      <c r="AH21" s="554"/>
      <c r="AI21" s="555" t="e">
        <v>#N/A</v>
      </c>
      <c r="AJ21" s="556"/>
      <c r="AK21" s="556"/>
      <c r="AL21" s="556"/>
      <c r="AM21" s="556"/>
      <c r="AN21" s="556"/>
      <c r="AO21" s="556"/>
      <c r="AP21" s="556"/>
      <c r="AQ21" s="556"/>
      <c r="AR21" s="556"/>
      <c r="AS21" s="556"/>
      <c r="AT21" s="556"/>
      <c r="AU21" s="556"/>
      <c r="AV21" s="557"/>
      <c r="AW21" s="558">
        <v>0</v>
      </c>
      <c r="AX21" s="559"/>
      <c r="AY21" s="560"/>
      <c r="AZ21" s="585"/>
      <c r="BA21" s="586"/>
      <c r="BB21" s="587"/>
      <c r="BC21" s="558">
        <v>0</v>
      </c>
      <c r="BD21" s="559"/>
      <c r="BE21" s="560"/>
      <c r="BF21" s="558">
        <v>182.49</v>
      </c>
      <c r="BG21" s="559"/>
      <c r="BH21" s="560"/>
      <c r="BI21" s="564">
        <v>0</v>
      </c>
      <c r="BJ21" s="565"/>
      <c r="BK21" s="565"/>
      <c r="BL21" s="566"/>
      <c r="BM21" s="567" t="s">
        <v>932</v>
      </c>
      <c r="BN21" s="567"/>
      <c r="BO21" s="567"/>
      <c r="BP21" s="567"/>
      <c r="BQ21" s="568">
        <v>1</v>
      </c>
      <c r="BR21" s="568"/>
      <c r="BS21" s="568"/>
      <c r="BT21" s="567" t="s">
        <v>932</v>
      </c>
      <c r="BU21" s="567"/>
      <c r="BV21" s="567"/>
      <c r="BW21" s="567"/>
      <c r="BX21" s="568" t="s">
        <v>932</v>
      </c>
      <c r="BY21" s="568"/>
      <c r="BZ21" s="568"/>
      <c r="CA21" s="567" t="s">
        <v>932</v>
      </c>
      <c r="CB21" s="567"/>
      <c r="CC21" s="567"/>
      <c r="CD21" s="567"/>
      <c r="CE21" s="568" t="s">
        <v>932</v>
      </c>
      <c r="CF21" s="568"/>
      <c r="CG21" s="568"/>
      <c r="CH21" s="567" t="s">
        <v>932</v>
      </c>
      <c r="CI21" s="567"/>
      <c r="CJ21" s="567"/>
      <c r="CK21" s="567"/>
      <c r="CL21" s="568" t="s">
        <v>932</v>
      </c>
      <c r="CM21" s="568"/>
      <c r="CN21" s="568"/>
    </row>
    <row r="22" hidden="1" customHeight="1" spans="1:92">
      <c r="A22" s="569"/>
      <c r="B22" s="570"/>
      <c r="C22" s="571"/>
      <c r="D22" s="572"/>
      <c r="E22" s="573"/>
      <c r="F22" s="574"/>
      <c r="G22" s="575"/>
      <c r="H22" s="576"/>
      <c r="I22" s="577"/>
      <c r="J22" s="578"/>
      <c r="K22" s="578"/>
      <c r="L22" s="578"/>
      <c r="M22" s="578"/>
      <c r="N22" s="578"/>
      <c r="O22" s="578"/>
      <c r="P22" s="578"/>
      <c r="Q22" s="578"/>
      <c r="R22" s="578"/>
      <c r="S22" s="578"/>
      <c r="T22" s="578"/>
      <c r="U22" s="578"/>
      <c r="V22" s="578"/>
      <c r="W22" s="578"/>
      <c r="X22" s="578"/>
      <c r="Y22" s="578"/>
      <c r="Z22" s="578"/>
      <c r="AA22" s="579"/>
      <c r="AB22" s="580"/>
      <c r="AC22" s="581"/>
      <c r="AD22" s="582"/>
      <c r="AE22" s="583"/>
      <c r="AF22" s="584"/>
      <c r="AG22" s="553">
        <v>0</v>
      </c>
      <c r="AH22" s="554"/>
      <c r="AI22" s="555" t="e">
        <v>#N/A</v>
      </c>
      <c r="AJ22" s="556"/>
      <c r="AK22" s="556"/>
      <c r="AL22" s="556"/>
      <c r="AM22" s="556"/>
      <c r="AN22" s="556"/>
      <c r="AO22" s="556"/>
      <c r="AP22" s="556"/>
      <c r="AQ22" s="556"/>
      <c r="AR22" s="556"/>
      <c r="AS22" s="556"/>
      <c r="AT22" s="556"/>
      <c r="AU22" s="556"/>
      <c r="AV22" s="557"/>
      <c r="AW22" s="558">
        <v>0</v>
      </c>
      <c r="AX22" s="559"/>
      <c r="AY22" s="560"/>
      <c r="AZ22" s="585"/>
      <c r="BA22" s="586"/>
      <c r="BB22" s="587"/>
      <c r="BC22" s="558">
        <v>0</v>
      </c>
      <c r="BD22" s="559"/>
      <c r="BE22" s="560"/>
      <c r="BF22" s="558">
        <v>182.49</v>
      </c>
      <c r="BG22" s="559"/>
      <c r="BH22" s="560"/>
      <c r="BI22" s="564">
        <v>0</v>
      </c>
      <c r="BJ22" s="565"/>
      <c r="BK22" s="565"/>
      <c r="BL22" s="566"/>
      <c r="BM22" s="567" t="s">
        <v>932</v>
      </c>
      <c r="BN22" s="567"/>
      <c r="BO22" s="567"/>
      <c r="BP22" s="567"/>
      <c r="BQ22" s="568">
        <v>1</v>
      </c>
      <c r="BR22" s="568"/>
      <c r="BS22" s="568"/>
      <c r="BT22" s="567" t="s">
        <v>932</v>
      </c>
      <c r="BU22" s="567"/>
      <c r="BV22" s="567"/>
      <c r="BW22" s="567"/>
      <c r="BX22" s="568" t="s">
        <v>932</v>
      </c>
      <c r="BY22" s="568"/>
      <c r="BZ22" s="568"/>
      <c r="CA22" s="567" t="s">
        <v>932</v>
      </c>
      <c r="CB22" s="567"/>
      <c r="CC22" s="567"/>
      <c r="CD22" s="567"/>
      <c r="CE22" s="568" t="s">
        <v>932</v>
      </c>
      <c r="CF22" s="568"/>
      <c r="CG22" s="568"/>
      <c r="CH22" s="567" t="s">
        <v>932</v>
      </c>
      <c r="CI22" s="567"/>
      <c r="CJ22" s="567"/>
      <c r="CK22" s="567"/>
      <c r="CL22" s="568" t="s">
        <v>932</v>
      </c>
      <c r="CM22" s="568"/>
      <c r="CN22" s="568"/>
    </row>
    <row r="23" hidden="1" customHeight="1" spans="1:92">
      <c r="A23" s="588"/>
      <c r="B23" s="589"/>
      <c r="C23" s="590"/>
      <c r="D23" s="591"/>
      <c r="E23" s="592"/>
      <c r="F23" s="593"/>
      <c r="G23" s="594"/>
      <c r="H23" s="595"/>
      <c r="I23" s="596"/>
      <c r="J23" s="597"/>
      <c r="K23" s="597"/>
      <c r="L23" s="597"/>
      <c r="M23" s="597"/>
      <c r="N23" s="597"/>
      <c r="O23" s="597"/>
      <c r="P23" s="597"/>
      <c r="Q23" s="597"/>
      <c r="R23" s="597"/>
      <c r="S23" s="597"/>
      <c r="T23" s="597"/>
      <c r="U23" s="597"/>
      <c r="V23" s="597"/>
      <c r="W23" s="597"/>
      <c r="X23" s="597"/>
      <c r="Y23" s="597"/>
      <c r="Z23" s="597"/>
      <c r="AA23" s="598"/>
      <c r="AB23" s="599"/>
      <c r="AC23" s="600"/>
      <c r="AD23" s="601"/>
      <c r="AE23" s="602"/>
      <c r="AF23" s="603"/>
      <c r="AG23" s="553">
        <v>0</v>
      </c>
      <c r="AH23" s="554"/>
      <c r="AI23" s="555" t="e">
        <v>#N/A</v>
      </c>
      <c r="AJ23" s="556"/>
      <c r="AK23" s="556"/>
      <c r="AL23" s="556"/>
      <c r="AM23" s="556"/>
      <c r="AN23" s="556"/>
      <c r="AO23" s="556"/>
      <c r="AP23" s="556"/>
      <c r="AQ23" s="556"/>
      <c r="AR23" s="556"/>
      <c r="AS23" s="556"/>
      <c r="AT23" s="556"/>
      <c r="AU23" s="556"/>
      <c r="AV23" s="557"/>
      <c r="AW23" s="558">
        <v>0</v>
      </c>
      <c r="AX23" s="559"/>
      <c r="AY23" s="560"/>
      <c r="AZ23" s="604"/>
      <c r="BA23" s="605"/>
      <c r="BB23" s="606"/>
      <c r="BC23" s="558">
        <v>0</v>
      </c>
      <c r="BD23" s="559"/>
      <c r="BE23" s="560"/>
      <c r="BF23" s="558">
        <v>182.49</v>
      </c>
      <c r="BG23" s="559"/>
      <c r="BH23" s="560"/>
      <c r="BI23" s="564">
        <v>0</v>
      </c>
      <c r="BJ23" s="565"/>
      <c r="BK23" s="565"/>
      <c r="BL23" s="566"/>
      <c r="BM23" s="567" t="s">
        <v>932</v>
      </c>
      <c r="BN23" s="567"/>
      <c r="BO23" s="567"/>
      <c r="BP23" s="567"/>
      <c r="BQ23" s="568">
        <v>1</v>
      </c>
      <c r="BR23" s="568"/>
      <c r="BS23" s="568"/>
      <c r="BT23" s="567" t="s">
        <v>932</v>
      </c>
      <c r="BU23" s="567"/>
      <c r="BV23" s="567"/>
      <c r="BW23" s="567"/>
      <c r="BX23" s="568" t="s">
        <v>932</v>
      </c>
      <c r="BY23" s="568"/>
      <c r="BZ23" s="568"/>
      <c r="CA23" s="567" t="s">
        <v>932</v>
      </c>
      <c r="CB23" s="567"/>
      <c r="CC23" s="567"/>
      <c r="CD23" s="567"/>
      <c r="CE23" s="568" t="s">
        <v>932</v>
      </c>
      <c r="CF23" s="568"/>
      <c r="CG23" s="568"/>
      <c r="CH23" s="567" t="s">
        <v>932</v>
      </c>
      <c r="CI23" s="567"/>
      <c r="CJ23" s="567"/>
      <c r="CK23" s="567"/>
      <c r="CL23" s="568" t="s">
        <v>932</v>
      </c>
      <c r="CM23" s="568"/>
      <c r="CN23" s="568"/>
    </row>
    <row r="24" customHeight="1" spans="1:92">
      <c r="A24" s="540" t="s">
        <v>835</v>
      </c>
      <c r="B24" s="541"/>
      <c r="C24" s="89"/>
      <c r="D24" s="91"/>
      <c r="E24" s="90"/>
      <c r="F24" s="542">
        <v>5502109</v>
      </c>
      <c r="G24" s="543"/>
      <c r="H24" s="544"/>
      <c r="I24" s="545" t="s">
        <v>98</v>
      </c>
      <c r="J24" s="546"/>
      <c r="K24" s="546"/>
      <c r="L24" s="546"/>
      <c r="M24" s="546"/>
      <c r="N24" s="546"/>
      <c r="O24" s="546"/>
      <c r="P24" s="546"/>
      <c r="Q24" s="546"/>
      <c r="R24" s="546"/>
      <c r="S24" s="546"/>
      <c r="T24" s="546"/>
      <c r="U24" s="546"/>
      <c r="V24" s="546"/>
      <c r="W24" s="546"/>
      <c r="X24" s="546"/>
      <c r="Y24" s="546"/>
      <c r="Z24" s="546"/>
      <c r="AA24" s="547"/>
      <c r="AB24" s="548" t="s">
        <v>99</v>
      </c>
      <c r="AC24" s="549"/>
      <c r="AD24" s="550">
        <v>57.6</v>
      </c>
      <c r="AE24" s="551"/>
      <c r="AF24" s="552"/>
      <c r="AG24" s="553" t="s">
        <v>1056</v>
      </c>
      <c r="AH24" s="554"/>
      <c r="AI24" s="555" t="s">
        <v>1057</v>
      </c>
      <c r="AJ24" s="556"/>
      <c r="AK24" s="556"/>
      <c r="AL24" s="556"/>
      <c r="AM24" s="556"/>
      <c r="AN24" s="556"/>
      <c r="AO24" s="556"/>
      <c r="AP24" s="556"/>
      <c r="AQ24" s="556"/>
      <c r="AR24" s="556"/>
      <c r="AS24" s="556"/>
      <c r="AT24" s="556"/>
      <c r="AU24" s="556"/>
      <c r="AV24" s="557"/>
      <c r="AW24" s="558">
        <v>4</v>
      </c>
      <c r="AX24" s="559"/>
      <c r="AY24" s="560"/>
      <c r="AZ24" s="561">
        <v>230.19</v>
      </c>
      <c r="BA24" s="562"/>
      <c r="BB24" s="563"/>
      <c r="BC24" s="558">
        <v>1.00091228984752</v>
      </c>
      <c r="BD24" s="559"/>
      <c r="BE24" s="560"/>
      <c r="BF24" s="558">
        <v>182.49</v>
      </c>
      <c r="BG24" s="559"/>
      <c r="BH24" s="560"/>
      <c r="BI24" s="564">
        <v>0.00548475143759942</v>
      </c>
      <c r="BJ24" s="565"/>
      <c r="BK24" s="565"/>
      <c r="BL24" s="566"/>
      <c r="BM24" s="567">
        <v>0.00548475143759942</v>
      </c>
      <c r="BN24" s="567"/>
      <c r="BO24" s="567"/>
      <c r="BP24" s="567"/>
      <c r="BQ24" s="568">
        <v>1</v>
      </c>
      <c r="BR24" s="568"/>
      <c r="BS24" s="568"/>
      <c r="BT24" s="567" t="s">
        <v>932</v>
      </c>
      <c r="BU24" s="567"/>
      <c r="BV24" s="567"/>
      <c r="BW24" s="567"/>
      <c r="BX24" s="568" t="s">
        <v>932</v>
      </c>
      <c r="BY24" s="568"/>
      <c r="BZ24" s="568"/>
      <c r="CA24" s="567" t="s">
        <v>932</v>
      </c>
      <c r="CB24" s="567"/>
      <c r="CC24" s="567"/>
      <c r="CD24" s="567"/>
      <c r="CE24" s="568" t="s">
        <v>932</v>
      </c>
      <c r="CF24" s="568"/>
      <c r="CG24" s="568"/>
      <c r="CH24" s="567" t="s">
        <v>932</v>
      </c>
      <c r="CI24" s="567"/>
      <c r="CJ24" s="567"/>
      <c r="CK24" s="567"/>
      <c r="CL24" s="568" t="s">
        <v>932</v>
      </c>
      <c r="CM24" s="568"/>
      <c r="CN24" s="568"/>
    </row>
    <row r="25" customHeight="1" spans="1:92">
      <c r="A25" s="569"/>
      <c r="B25" s="570"/>
      <c r="C25" s="571"/>
      <c r="D25" s="572"/>
      <c r="E25" s="573"/>
      <c r="F25" s="574"/>
      <c r="G25" s="575"/>
      <c r="H25" s="576"/>
      <c r="I25" s="577"/>
      <c r="J25" s="578"/>
      <c r="K25" s="578"/>
      <c r="L25" s="578"/>
      <c r="M25" s="578"/>
      <c r="N25" s="578"/>
      <c r="O25" s="578"/>
      <c r="P25" s="578"/>
      <c r="Q25" s="578"/>
      <c r="R25" s="578"/>
      <c r="S25" s="578"/>
      <c r="T25" s="578"/>
      <c r="U25" s="578"/>
      <c r="V25" s="578"/>
      <c r="W25" s="578"/>
      <c r="X25" s="578"/>
      <c r="Y25" s="578"/>
      <c r="Z25" s="578"/>
      <c r="AA25" s="579"/>
      <c r="AB25" s="580"/>
      <c r="AC25" s="581"/>
      <c r="AD25" s="582"/>
      <c r="AE25" s="583"/>
      <c r="AF25" s="584"/>
      <c r="AG25" s="553" t="s">
        <v>1058</v>
      </c>
      <c r="AH25" s="554"/>
      <c r="AI25" s="555" t="s">
        <v>1059</v>
      </c>
      <c r="AJ25" s="556"/>
      <c r="AK25" s="556"/>
      <c r="AL25" s="556"/>
      <c r="AM25" s="556"/>
      <c r="AN25" s="556"/>
      <c r="AO25" s="556"/>
      <c r="AP25" s="556"/>
      <c r="AQ25" s="556"/>
      <c r="AR25" s="556"/>
      <c r="AS25" s="556"/>
      <c r="AT25" s="556"/>
      <c r="AU25" s="556"/>
      <c r="AV25" s="557"/>
      <c r="AW25" s="558">
        <v>1</v>
      </c>
      <c r="AX25" s="559"/>
      <c r="AY25" s="560"/>
      <c r="AZ25" s="585"/>
      <c r="BA25" s="586"/>
      <c r="BB25" s="587"/>
      <c r="BC25" s="558">
        <v>0.250228072461879</v>
      </c>
      <c r="BD25" s="559"/>
      <c r="BE25" s="560"/>
      <c r="BF25" s="558">
        <v>182.49</v>
      </c>
      <c r="BG25" s="559"/>
      <c r="BH25" s="560"/>
      <c r="BI25" s="564">
        <v>0.00137118785939985</v>
      </c>
      <c r="BJ25" s="565"/>
      <c r="BK25" s="565"/>
      <c r="BL25" s="566"/>
      <c r="BM25" s="567">
        <v>0.00137118785939985</v>
      </c>
      <c r="BN25" s="567"/>
      <c r="BO25" s="567"/>
      <c r="BP25" s="567"/>
      <c r="BQ25" s="568">
        <v>1</v>
      </c>
      <c r="BR25" s="568"/>
      <c r="BS25" s="568"/>
      <c r="BT25" s="567" t="s">
        <v>932</v>
      </c>
      <c r="BU25" s="567"/>
      <c r="BV25" s="567"/>
      <c r="BW25" s="567"/>
      <c r="BX25" s="568" t="s">
        <v>932</v>
      </c>
      <c r="BY25" s="568"/>
      <c r="BZ25" s="568"/>
      <c r="CA25" s="567" t="s">
        <v>932</v>
      </c>
      <c r="CB25" s="567"/>
      <c r="CC25" s="567"/>
      <c r="CD25" s="567"/>
      <c r="CE25" s="568" t="s">
        <v>932</v>
      </c>
      <c r="CF25" s="568"/>
      <c r="CG25" s="568"/>
      <c r="CH25" s="567" t="s">
        <v>932</v>
      </c>
      <c r="CI25" s="567"/>
      <c r="CJ25" s="567"/>
      <c r="CK25" s="567"/>
      <c r="CL25" s="568" t="s">
        <v>932</v>
      </c>
      <c r="CM25" s="568"/>
      <c r="CN25" s="568"/>
    </row>
    <row r="26" hidden="1" customHeight="1" spans="1:92">
      <c r="A26" s="569"/>
      <c r="B26" s="570"/>
      <c r="C26" s="571"/>
      <c r="D26" s="572"/>
      <c r="E26" s="573"/>
      <c r="F26" s="574"/>
      <c r="G26" s="575"/>
      <c r="H26" s="576"/>
      <c r="I26" s="577"/>
      <c r="J26" s="578"/>
      <c r="K26" s="578"/>
      <c r="L26" s="578"/>
      <c r="M26" s="578"/>
      <c r="N26" s="578"/>
      <c r="O26" s="578"/>
      <c r="P26" s="578"/>
      <c r="Q26" s="578"/>
      <c r="R26" s="578"/>
      <c r="S26" s="578"/>
      <c r="T26" s="578"/>
      <c r="U26" s="578"/>
      <c r="V26" s="578"/>
      <c r="W26" s="578"/>
      <c r="X26" s="578"/>
      <c r="Y26" s="578"/>
      <c r="Z26" s="578"/>
      <c r="AA26" s="579"/>
      <c r="AB26" s="580"/>
      <c r="AC26" s="581"/>
      <c r="AD26" s="582"/>
      <c r="AE26" s="583"/>
      <c r="AF26" s="584"/>
      <c r="AG26" s="553">
        <v>0</v>
      </c>
      <c r="AH26" s="554"/>
      <c r="AI26" s="555" t="e">
        <v>#N/A</v>
      </c>
      <c r="AJ26" s="556"/>
      <c r="AK26" s="556"/>
      <c r="AL26" s="556"/>
      <c r="AM26" s="556"/>
      <c r="AN26" s="556"/>
      <c r="AO26" s="556"/>
      <c r="AP26" s="556"/>
      <c r="AQ26" s="556"/>
      <c r="AR26" s="556"/>
      <c r="AS26" s="556"/>
      <c r="AT26" s="556"/>
      <c r="AU26" s="556"/>
      <c r="AV26" s="557"/>
      <c r="AW26" s="558">
        <v>0</v>
      </c>
      <c r="AX26" s="559"/>
      <c r="AY26" s="560"/>
      <c r="AZ26" s="585"/>
      <c r="BA26" s="586"/>
      <c r="BB26" s="587"/>
      <c r="BC26" s="558">
        <v>0</v>
      </c>
      <c r="BD26" s="559"/>
      <c r="BE26" s="560"/>
      <c r="BF26" s="558">
        <v>182.49</v>
      </c>
      <c r="BG26" s="559"/>
      <c r="BH26" s="560"/>
      <c r="BI26" s="564">
        <v>0</v>
      </c>
      <c r="BJ26" s="565"/>
      <c r="BK26" s="565"/>
      <c r="BL26" s="566"/>
      <c r="BM26" s="567" t="s">
        <v>932</v>
      </c>
      <c r="BN26" s="567"/>
      <c r="BO26" s="567"/>
      <c r="BP26" s="567"/>
      <c r="BQ26" s="568">
        <v>1</v>
      </c>
      <c r="BR26" s="568"/>
      <c r="BS26" s="568"/>
      <c r="BT26" s="567" t="s">
        <v>932</v>
      </c>
      <c r="BU26" s="567"/>
      <c r="BV26" s="567"/>
      <c r="BW26" s="567"/>
      <c r="BX26" s="568" t="s">
        <v>932</v>
      </c>
      <c r="BY26" s="568"/>
      <c r="BZ26" s="568"/>
      <c r="CA26" s="567" t="s">
        <v>932</v>
      </c>
      <c r="CB26" s="567"/>
      <c r="CC26" s="567"/>
      <c r="CD26" s="567"/>
      <c r="CE26" s="568" t="s">
        <v>932</v>
      </c>
      <c r="CF26" s="568"/>
      <c r="CG26" s="568"/>
      <c r="CH26" s="567" t="s">
        <v>932</v>
      </c>
      <c r="CI26" s="567"/>
      <c r="CJ26" s="567"/>
      <c r="CK26" s="567"/>
      <c r="CL26" s="568" t="s">
        <v>932</v>
      </c>
      <c r="CM26" s="568"/>
      <c r="CN26" s="568"/>
    </row>
    <row r="27" hidden="1" customHeight="1" spans="1:92">
      <c r="A27" s="569"/>
      <c r="B27" s="570"/>
      <c r="C27" s="571"/>
      <c r="D27" s="572"/>
      <c r="E27" s="573"/>
      <c r="F27" s="574"/>
      <c r="G27" s="575"/>
      <c r="H27" s="576"/>
      <c r="I27" s="577"/>
      <c r="J27" s="578"/>
      <c r="K27" s="578"/>
      <c r="L27" s="578"/>
      <c r="M27" s="578"/>
      <c r="N27" s="578"/>
      <c r="O27" s="578"/>
      <c r="P27" s="578"/>
      <c r="Q27" s="578"/>
      <c r="R27" s="578"/>
      <c r="S27" s="578"/>
      <c r="T27" s="578"/>
      <c r="U27" s="578"/>
      <c r="V27" s="578"/>
      <c r="W27" s="578"/>
      <c r="X27" s="578"/>
      <c r="Y27" s="578"/>
      <c r="Z27" s="578"/>
      <c r="AA27" s="579"/>
      <c r="AB27" s="580"/>
      <c r="AC27" s="581"/>
      <c r="AD27" s="582"/>
      <c r="AE27" s="583"/>
      <c r="AF27" s="584"/>
      <c r="AG27" s="553">
        <v>0</v>
      </c>
      <c r="AH27" s="554"/>
      <c r="AI27" s="555" t="e">
        <v>#N/A</v>
      </c>
      <c r="AJ27" s="556"/>
      <c r="AK27" s="556"/>
      <c r="AL27" s="556"/>
      <c r="AM27" s="556"/>
      <c r="AN27" s="556"/>
      <c r="AO27" s="556"/>
      <c r="AP27" s="556"/>
      <c r="AQ27" s="556"/>
      <c r="AR27" s="556"/>
      <c r="AS27" s="556"/>
      <c r="AT27" s="556"/>
      <c r="AU27" s="556"/>
      <c r="AV27" s="557"/>
      <c r="AW27" s="558">
        <v>0</v>
      </c>
      <c r="AX27" s="559"/>
      <c r="AY27" s="560"/>
      <c r="AZ27" s="585"/>
      <c r="BA27" s="586"/>
      <c r="BB27" s="587"/>
      <c r="BC27" s="558">
        <v>0</v>
      </c>
      <c r="BD27" s="559"/>
      <c r="BE27" s="560"/>
      <c r="BF27" s="558">
        <v>182.49</v>
      </c>
      <c r="BG27" s="559"/>
      <c r="BH27" s="560"/>
      <c r="BI27" s="564">
        <v>0</v>
      </c>
      <c r="BJ27" s="565"/>
      <c r="BK27" s="565"/>
      <c r="BL27" s="566"/>
      <c r="BM27" s="567" t="s">
        <v>932</v>
      </c>
      <c r="BN27" s="567"/>
      <c r="BO27" s="567"/>
      <c r="BP27" s="567"/>
      <c r="BQ27" s="568">
        <v>1</v>
      </c>
      <c r="BR27" s="568"/>
      <c r="BS27" s="568"/>
      <c r="BT27" s="567" t="s">
        <v>932</v>
      </c>
      <c r="BU27" s="567"/>
      <c r="BV27" s="567"/>
      <c r="BW27" s="567"/>
      <c r="BX27" s="568" t="s">
        <v>932</v>
      </c>
      <c r="BY27" s="568"/>
      <c r="BZ27" s="568"/>
      <c r="CA27" s="567" t="s">
        <v>932</v>
      </c>
      <c r="CB27" s="567"/>
      <c r="CC27" s="567"/>
      <c r="CD27" s="567"/>
      <c r="CE27" s="568" t="s">
        <v>932</v>
      </c>
      <c r="CF27" s="568"/>
      <c r="CG27" s="568"/>
      <c r="CH27" s="567" t="s">
        <v>932</v>
      </c>
      <c r="CI27" s="567"/>
      <c r="CJ27" s="567"/>
      <c r="CK27" s="567"/>
      <c r="CL27" s="568" t="s">
        <v>932</v>
      </c>
      <c r="CM27" s="568"/>
      <c r="CN27" s="568"/>
    </row>
    <row r="28" hidden="1" customHeight="1" spans="1:92">
      <c r="A28" s="569"/>
      <c r="B28" s="570"/>
      <c r="C28" s="571"/>
      <c r="D28" s="572"/>
      <c r="E28" s="573"/>
      <c r="F28" s="574"/>
      <c r="G28" s="575"/>
      <c r="H28" s="576"/>
      <c r="I28" s="577"/>
      <c r="J28" s="578"/>
      <c r="K28" s="578"/>
      <c r="L28" s="578"/>
      <c r="M28" s="578"/>
      <c r="N28" s="578"/>
      <c r="O28" s="578"/>
      <c r="P28" s="578"/>
      <c r="Q28" s="578"/>
      <c r="R28" s="578"/>
      <c r="S28" s="578"/>
      <c r="T28" s="578"/>
      <c r="U28" s="578"/>
      <c r="V28" s="578"/>
      <c r="W28" s="578"/>
      <c r="X28" s="578"/>
      <c r="Y28" s="578"/>
      <c r="Z28" s="578"/>
      <c r="AA28" s="579"/>
      <c r="AB28" s="580"/>
      <c r="AC28" s="581"/>
      <c r="AD28" s="582"/>
      <c r="AE28" s="583"/>
      <c r="AF28" s="584"/>
      <c r="AG28" s="553">
        <v>0</v>
      </c>
      <c r="AH28" s="554"/>
      <c r="AI28" s="555" t="e">
        <v>#N/A</v>
      </c>
      <c r="AJ28" s="556"/>
      <c r="AK28" s="556"/>
      <c r="AL28" s="556"/>
      <c r="AM28" s="556"/>
      <c r="AN28" s="556"/>
      <c r="AO28" s="556"/>
      <c r="AP28" s="556"/>
      <c r="AQ28" s="556"/>
      <c r="AR28" s="556"/>
      <c r="AS28" s="556"/>
      <c r="AT28" s="556"/>
      <c r="AU28" s="556"/>
      <c r="AV28" s="557"/>
      <c r="AW28" s="558">
        <v>0</v>
      </c>
      <c r="AX28" s="559"/>
      <c r="AY28" s="560"/>
      <c r="AZ28" s="585"/>
      <c r="BA28" s="586"/>
      <c r="BB28" s="587"/>
      <c r="BC28" s="558">
        <v>0</v>
      </c>
      <c r="BD28" s="559"/>
      <c r="BE28" s="560"/>
      <c r="BF28" s="558">
        <v>182.49</v>
      </c>
      <c r="BG28" s="559"/>
      <c r="BH28" s="560"/>
      <c r="BI28" s="564">
        <v>0</v>
      </c>
      <c r="BJ28" s="565"/>
      <c r="BK28" s="565"/>
      <c r="BL28" s="566"/>
      <c r="BM28" s="567" t="s">
        <v>932</v>
      </c>
      <c r="BN28" s="567"/>
      <c r="BO28" s="567"/>
      <c r="BP28" s="567"/>
      <c r="BQ28" s="568">
        <v>1</v>
      </c>
      <c r="BR28" s="568"/>
      <c r="BS28" s="568"/>
      <c r="BT28" s="567" t="s">
        <v>932</v>
      </c>
      <c r="BU28" s="567"/>
      <c r="BV28" s="567"/>
      <c r="BW28" s="567"/>
      <c r="BX28" s="568" t="s">
        <v>932</v>
      </c>
      <c r="BY28" s="568"/>
      <c r="BZ28" s="568"/>
      <c r="CA28" s="567" t="s">
        <v>932</v>
      </c>
      <c r="CB28" s="567"/>
      <c r="CC28" s="567"/>
      <c r="CD28" s="567"/>
      <c r="CE28" s="568" t="s">
        <v>932</v>
      </c>
      <c r="CF28" s="568"/>
      <c r="CG28" s="568"/>
      <c r="CH28" s="567" t="s">
        <v>932</v>
      </c>
      <c r="CI28" s="567"/>
      <c r="CJ28" s="567"/>
      <c r="CK28" s="567"/>
      <c r="CL28" s="568" t="s">
        <v>932</v>
      </c>
      <c r="CM28" s="568"/>
      <c r="CN28" s="568"/>
    </row>
    <row r="29" hidden="1" customHeight="1" spans="1:92">
      <c r="A29" s="569"/>
      <c r="B29" s="570"/>
      <c r="C29" s="571"/>
      <c r="D29" s="572"/>
      <c r="E29" s="573"/>
      <c r="F29" s="574"/>
      <c r="G29" s="575"/>
      <c r="H29" s="576"/>
      <c r="I29" s="577"/>
      <c r="J29" s="578"/>
      <c r="K29" s="578"/>
      <c r="L29" s="578"/>
      <c r="M29" s="578"/>
      <c r="N29" s="578"/>
      <c r="O29" s="578"/>
      <c r="P29" s="578"/>
      <c r="Q29" s="578"/>
      <c r="R29" s="578"/>
      <c r="S29" s="578"/>
      <c r="T29" s="578"/>
      <c r="U29" s="578"/>
      <c r="V29" s="578"/>
      <c r="W29" s="578"/>
      <c r="X29" s="578"/>
      <c r="Y29" s="578"/>
      <c r="Z29" s="578"/>
      <c r="AA29" s="579"/>
      <c r="AB29" s="580"/>
      <c r="AC29" s="581"/>
      <c r="AD29" s="582"/>
      <c r="AE29" s="583"/>
      <c r="AF29" s="584"/>
      <c r="AG29" s="553">
        <v>0</v>
      </c>
      <c r="AH29" s="554"/>
      <c r="AI29" s="555" t="e">
        <v>#N/A</v>
      </c>
      <c r="AJ29" s="556"/>
      <c r="AK29" s="556"/>
      <c r="AL29" s="556"/>
      <c r="AM29" s="556"/>
      <c r="AN29" s="556"/>
      <c r="AO29" s="556"/>
      <c r="AP29" s="556"/>
      <c r="AQ29" s="556"/>
      <c r="AR29" s="556"/>
      <c r="AS29" s="556"/>
      <c r="AT29" s="556"/>
      <c r="AU29" s="556"/>
      <c r="AV29" s="557"/>
      <c r="AW29" s="558">
        <v>0</v>
      </c>
      <c r="AX29" s="559"/>
      <c r="AY29" s="560"/>
      <c r="AZ29" s="585"/>
      <c r="BA29" s="586"/>
      <c r="BB29" s="587"/>
      <c r="BC29" s="558">
        <v>0</v>
      </c>
      <c r="BD29" s="559"/>
      <c r="BE29" s="560"/>
      <c r="BF29" s="558">
        <v>182.49</v>
      </c>
      <c r="BG29" s="559"/>
      <c r="BH29" s="560"/>
      <c r="BI29" s="564">
        <v>0</v>
      </c>
      <c r="BJ29" s="565"/>
      <c r="BK29" s="565"/>
      <c r="BL29" s="566"/>
      <c r="BM29" s="567" t="s">
        <v>932</v>
      </c>
      <c r="BN29" s="567"/>
      <c r="BO29" s="567"/>
      <c r="BP29" s="567"/>
      <c r="BQ29" s="568">
        <v>1</v>
      </c>
      <c r="BR29" s="568"/>
      <c r="BS29" s="568"/>
      <c r="BT29" s="567" t="s">
        <v>932</v>
      </c>
      <c r="BU29" s="567"/>
      <c r="BV29" s="567"/>
      <c r="BW29" s="567"/>
      <c r="BX29" s="568" t="s">
        <v>932</v>
      </c>
      <c r="BY29" s="568"/>
      <c r="BZ29" s="568"/>
      <c r="CA29" s="567" t="s">
        <v>932</v>
      </c>
      <c r="CB29" s="567"/>
      <c r="CC29" s="567"/>
      <c r="CD29" s="567"/>
      <c r="CE29" s="568" t="s">
        <v>932</v>
      </c>
      <c r="CF29" s="568"/>
      <c r="CG29" s="568"/>
      <c r="CH29" s="567" t="s">
        <v>932</v>
      </c>
      <c r="CI29" s="567"/>
      <c r="CJ29" s="567"/>
      <c r="CK29" s="567"/>
      <c r="CL29" s="568" t="s">
        <v>932</v>
      </c>
      <c r="CM29" s="568"/>
      <c r="CN29" s="568"/>
    </row>
    <row r="30" hidden="1" customHeight="1" spans="1:92">
      <c r="A30" s="569"/>
      <c r="B30" s="570"/>
      <c r="C30" s="571"/>
      <c r="D30" s="572"/>
      <c r="E30" s="573"/>
      <c r="F30" s="574"/>
      <c r="G30" s="575"/>
      <c r="H30" s="576"/>
      <c r="I30" s="577"/>
      <c r="J30" s="578"/>
      <c r="K30" s="578"/>
      <c r="L30" s="578"/>
      <c r="M30" s="578"/>
      <c r="N30" s="578"/>
      <c r="O30" s="578"/>
      <c r="P30" s="578"/>
      <c r="Q30" s="578"/>
      <c r="R30" s="578"/>
      <c r="S30" s="578"/>
      <c r="T30" s="578"/>
      <c r="U30" s="578"/>
      <c r="V30" s="578"/>
      <c r="W30" s="578"/>
      <c r="X30" s="578"/>
      <c r="Y30" s="578"/>
      <c r="Z30" s="578"/>
      <c r="AA30" s="579"/>
      <c r="AB30" s="580"/>
      <c r="AC30" s="581"/>
      <c r="AD30" s="582"/>
      <c r="AE30" s="583"/>
      <c r="AF30" s="584"/>
      <c r="AG30" s="553">
        <v>0</v>
      </c>
      <c r="AH30" s="554"/>
      <c r="AI30" s="555" t="e">
        <v>#N/A</v>
      </c>
      <c r="AJ30" s="556"/>
      <c r="AK30" s="556"/>
      <c r="AL30" s="556"/>
      <c r="AM30" s="556"/>
      <c r="AN30" s="556"/>
      <c r="AO30" s="556"/>
      <c r="AP30" s="556"/>
      <c r="AQ30" s="556"/>
      <c r="AR30" s="556"/>
      <c r="AS30" s="556"/>
      <c r="AT30" s="556"/>
      <c r="AU30" s="556"/>
      <c r="AV30" s="557"/>
      <c r="AW30" s="558">
        <v>0</v>
      </c>
      <c r="AX30" s="559"/>
      <c r="AY30" s="560"/>
      <c r="AZ30" s="585"/>
      <c r="BA30" s="586"/>
      <c r="BB30" s="587"/>
      <c r="BC30" s="558">
        <v>0</v>
      </c>
      <c r="BD30" s="559"/>
      <c r="BE30" s="560"/>
      <c r="BF30" s="558">
        <v>182.49</v>
      </c>
      <c r="BG30" s="559"/>
      <c r="BH30" s="560"/>
      <c r="BI30" s="564">
        <v>0</v>
      </c>
      <c r="BJ30" s="565"/>
      <c r="BK30" s="565"/>
      <c r="BL30" s="566"/>
      <c r="BM30" s="567" t="s">
        <v>932</v>
      </c>
      <c r="BN30" s="567"/>
      <c r="BO30" s="567"/>
      <c r="BP30" s="567"/>
      <c r="BQ30" s="568">
        <v>1</v>
      </c>
      <c r="BR30" s="568"/>
      <c r="BS30" s="568"/>
      <c r="BT30" s="567" t="s">
        <v>932</v>
      </c>
      <c r="BU30" s="567"/>
      <c r="BV30" s="567"/>
      <c r="BW30" s="567"/>
      <c r="BX30" s="568" t="s">
        <v>932</v>
      </c>
      <c r="BY30" s="568"/>
      <c r="BZ30" s="568"/>
      <c r="CA30" s="567" t="s">
        <v>932</v>
      </c>
      <c r="CB30" s="567"/>
      <c r="CC30" s="567"/>
      <c r="CD30" s="567"/>
      <c r="CE30" s="568" t="s">
        <v>932</v>
      </c>
      <c r="CF30" s="568"/>
      <c r="CG30" s="568"/>
      <c r="CH30" s="567" t="s">
        <v>932</v>
      </c>
      <c r="CI30" s="567"/>
      <c r="CJ30" s="567"/>
      <c r="CK30" s="567"/>
      <c r="CL30" s="568" t="s">
        <v>932</v>
      </c>
      <c r="CM30" s="568"/>
      <c r="CN30" s="568"/>
    </row>
    <row r="31" hidden="1" customHeight="1" spans="1:92">
      <c r="A31" s="588"/>
      <c r="B31" s="589"/>
      <c r="C31" s="590"/>
      <c r="D31" s="591"/>
      <c r="E31" s="592"/>
      <c r="F31" s="593"/>
      <c r="G31" s="594"/>
      <c r="H31" s="595"/>
      <c r="I31" s="596"/>
      <c r="J31" s="597"/>
      <c r="K31" s="597"/>
      <c r="L31" s="597"/>
      <c r="M31" s="597"/>
      <c r="N31" s="597"/>
      <c r="O31" s="597"/>
      <c r="P31" s="597"/>
      <c r="Q31" s="597"/>
      <c r="R31" s="597"/>
      <c r="S31" s="597"/>
      <c r="T31" s="597"/>
      <c r="U31" s="597"/>
      <c r="V31" s="597"/>
      <c r="W31" s="597"/>
      <c r="X31" s="597"/>
      <c r="Y31" s="597"/>
      <c r="Z31" s="597"/>
      <c r="AA31" s="598"/>
      <c r="AB31" s="599"/>
      <c r="AC31" s="600"/>
      <c r="AD31" s="601"/>
      <c r="AE31" s="602"/>
      <c r="AF31" s="603"/>
      <c r="AG31" s="553">
        <v>0</v>
      </c>
      <c r="AH31" s="554"/>
      <c r="AI31" s="555" t="e">
        <v>#N/A</v>
      </c>
      <c r="AJ31" s="556"/>
      <c r="AK31" s="556"/>
      <c r="AL31" s="556"/>
      <c r="AM31" s="556"/>
      <c r="AN31" s="556"/>
      <c r="AO31" s="556"/>
      <c r="AP31" s="556"/>
      <c r="AQ31" s="556"/>
      <c r="AR31" s="556"/>
      <c r="AS31" s="556"/>
      <c r="AT31" s="556"/>
      <c r="AU31" s="556"/>
      <c r="AV31" s="557"/>
      <c r="AW31" s="558">
        <v>0</v>
      </c>
      <c r="AX31" s="559"/>
      <c r="AY31" s="560"/>
      <c r="AZ31" s="604"/>
      <c r="BA31" s="605"/>
      <c r="BB31" s="606"/>
      <c r="BC31" s="558">
        <v>0</v>
      </c>
      <c r="BD31" s="559"/>
      <c r="BE31" s="560"/>
      <c r="BF31" s="558">
        <v>182.49</v>
      </c>
      <c r="BG31" s="559"/>
      <c r="BH31" s="560"/>
      <c r="BI31" s="564">
        <v>0</v>
      </c>
      <c r="BJ31" s="565"/>
      <c r="BK31" s="565"/>
      <c r="BL31" s="566"/>
      <c r="BM31" s="567" t="s">
        <v>932</v>
      </c>
      <c r="BN31" s="567"/>
      <c r="BO31" s="567"/>
      <c r="BP31" s="567"/>
      <c r="BQ31" s="568">
        <v>1</v>
      </c>
      <c r="BR31" s="568"/>
      <c r="BS31" s="568"/>
      <c r="BT31" s="567" t="s">
        <v>932</v>
      </c>
      <c r="BU31" s="567"/>
      <c r="BV31" s="567"/>
      <c r="BW31" s="567"/>
      <c r="BX31" s="568" t="s">
        <v>932</v>
      </c>
      <c r="BY31" s="568"/>
      <c r="BZ31" s="568"/>
      <c r="CA31" s="567" t="s">
        <v>932</v>
      </c>
      <c r="CB31" s="567"/>
      <c r="CC31" s="567"/>
      <c r="CD31" s="567"/>
      <c r="CE31" s="568" t="s">
        <v>932</v>
      </c>
      <c r="CF31" s="568"/>
      <c r="CG31" s="568"/>
      <c r="CH31" s="567" t="s">
        <v>932</v>
      </c>
      <c r="CI31" s="567"/>
      <c r="CJ31" s="567"/>
      <c r="CK31" s="567"/>
      <c r="CL31" s="568" t="s">
        <v>932</v>
      </c>
      <c r="CM31" s="568"/>
      <c r="CN31" s="568"/>
    </row>
    <row r="32" hidden="1" customHeight="1" spans="1:92">
      <c r="A32" s="540" t="s">
        <v>840</v>
      </c>
      <c r="B32" s="541"/>
      <c r="C32" s="89"/>
      <c r="D32" s="91"/>
      <c r="E32" s="90"/>
      <c r="F32" s="542">
        <v>407819</v>
      </c>
      <c r="G32" s="543"/>
      <c r="H32" s="544"/>
      <c r="I32" s="545" t="s">
        <v>100</v>
      </c>
      <c r="J32" s="546"/>
      <c r="K32" s="546"/>
      <c r="L32" s="546"/>
      <c r="M32" s="546"/>
      <c r="N32" s="546"/>
      <c r="O32" s="546"/>
      <c r="P32" s="546"/>
      <c r="Q32" s="546"/>
      <c r="R32" s="546"/>
      <c r="S32" s="546"/>
      <c r="T32" s="546"/>
      <c r="U32" s="546"/>
      <c r="V32" s="546"/>
      <c r="W32" s="546"/>
      <c r="X32" s="546"/>
      <c r="Y32" s="546"/>
      <c r="Z32" s="546"/>
      <c r="AA32" s="547"/>
      <c r="AB32" s="548" t="s">
        <v>101</v>
      </c>
      <c r="AC32" s="549"/>
      <c r="AD32" s="550">
        <v>81.4</v>
      </c>
      <c r="AE32" s="551"/>
      <c r="AF32" s="552"/>
      <c r="AG32" s="553">
        <v>0</v>
      </c>
      <c r="AH32" s="554"/>
      <c r="AI32" s="555" t="e">
        <v>#N/A</v>
      </c>
      <c r="AJ32" s="556"/>
      <c r="AK32" s="556"/>
      <c r="AL32" s="556"/>
      <c r="AM32" s="556"/>
      <c r="AN32" s="556"/>
      <c r="AO32" s="556"/>
      <c r="AP32" s="556"/>
      <c r="AQ32" s="556"/>
      <c r="AR32" s="556"/>
      <c r="AS32" s="556"/>
      <c r="AT32" s="556"/>
      <c r="AU32" s="556"/>
      <c r="AV32" s="557"/>
      <c r="AW32" s="558">
        <v>0</v>
      </c>
      <c r="AX32" s="559"/>
      <c r="AY32" s="560"/>
      <c r="AZ32" s="561">
        <v>1</v>
      </c>
      <c r="BA32" s="562"/>
      <c r="BB32" s="563"/>
      <c r="BC32" s="558">
        <v>0</v>
      </c>
      <c r="BD32" s="559"/>
      <c r="BE32" s="560"/>
      <c r="BF32" s="558">
        <v>182.49</v>
      </c>
      <c r="BG32" s="559"/>
      <c r="BH32" s="560"/>
      <c r="BI32" s="564">
        <v>0</v>
      </c>
      <c r="BJ32" s="565"/>
      <c r="BK32" s="565"/>
      <c r="BL32" s="566"/>
      <c r="BM32" s="567" t="s">
        <v>932</v>
      </c>
      <c r="BN32" s="567"/>
      <c r="BO32" s="567"/>
      <c r="BP32" s="567"/>
      <c r="BQ32" s="568">
        <v>1</v>
      </c>
      <c r="BR32" s="568"/>
      <c r="BS32" s="568"/>
      <c r="BT32" s="567" t="s">
        <v>932</v>
      </c>
      <c r="BU32" s="567"/>
      <c r="BV32" s="567"/>
      <c r="BW32" s="567"/>
      <c r="BX32" s="568" t="s">
        <v>932</v>
      </c>
      <c r="BY32" s="568"/>
      <c r="BZ32" s="568"/>
      <c r="CA32" s="567" t="s">
        <v>932</v>
      </c>
      <c r="CB32" s="567"/>
      <c r="CC32" s="567"/>
      <c r="CD32" s="567"/>
      <c r="CE32" s="568" t="s">
        <v>932</v>
      </c>
      <c r="CF32" s="568"/>
      <c r="CG32" s="568"/>
      <c r="CH32" s="567" t="s">
        <v>932</v>
      </c>
      <c r="CI32" s="567"/>
      <c r="CJ32" s="567"/>
      <c r="CK32" s="567"/>
      <c r="CL32" s="568" t="s">
        <v>932</v>
      </c>
      <c r="CM32" s="568"/>
      <c r="CN32" s="568"/>
    </row>
    <row r="33" hidden="1" customHeight="1" spans="1:92">
      <c r="A33" s="569"/>
      <c r="B33" s="570"/>
      <c r="C33" s="571"/>
      <c r="D33" s="572"/>
      <c r="E33" s="573"/>
      <c r="F33" s="574"/>
      <c r="G33" s="575"/>
      <c r="H33" s="576"/>
      <c r="I33" s="577"/>
      <c r="J33" s="578"/>
      <c r="K33" s="578"/>
      <c r="L33" s="578"/>
      <c r="M33" s="578"/>
      <c r="N33" s="578"/>
      <c r="O33" s="578"/>
      <c r="P33" s="578"/>
      <c r="Q33" s="578"/>
      <c r="R33" s="578"/>
      <c r="S33" s="578"/>
      <c r="T33" s="578"/>
      <c r="U33" s="578"/>
      <c r="V33" s="578"/>
      <c r="W33" s="578"/>
      <c r="X33" s="578"/>
      <c r="Y33" s="578"/>
      <c r="Z33" s="578"/>
      <c r="AA33" s="579"/>
      <c r="AB33" s="580"/>
      <c r="AC33" s="581"/>
      <c r="AD33" s="582"/>
      <c r="AE33" s="583"/>
      <c r="AF33" s="584"/>
      <c r="AG33" s="553">
        <v>0</v>
      </c>
      <c r="AH33" s="554"/>
      <c r="AI33" s="555" t="e">
        <v>#N/A</v>
      </c>
      <c r="AJ33" s="556"/>
      <c r="AK33" s="556"/>
      <c r="AL33" s="556"/>
      <c r="AM33" s="556"/>
      <c r="AN33" s="556"/>
      <c r="AO33" s="556"/>
      <c r="AP33" s="556"/>
      <c r="AQ33" s="556"/>
      <c r="AR33" s="556"/>
      <c r="AS33" s="556"/>
      <c r="AT33" s="556"/>
      <c r="AU33" s="556"/>
      <c r="AV33" s="557"/>
      <c r="AW33" s="558">
        <v>0</v>
      </c>
      <c r="AX33" s="559"/>
      <c r="AY33" s="560"/>
      <c r="AZ33" s="585"/>
      <c r="BA33" s="586"/>
      <c r="BB33" s="587"/>
      <c r="BC33" s="558">
        <v>0</v>
      </c>
      <c r="BD33" s="559"/>
      <c r="BE33" s="560"/>
      <c r="BF33" s="558">
        <v>182.49</v>
      </c>
      <c r="BG33" s="559"/>
      <c r="BH33" s="560"/>
      <c r="BI33" s="564">
        <v>0</v>
      </c>
      <c r="BJ33" s="565"/>
      <c r="BK33" s="565"/>
      <c r="BL33" s="566"/>
      <c r="BM33" s="567" t="s">
        <v>932</v>
      </c>
      <c r="BN33" s="567"/>
      <c r="BO33" s="567"/>
      <c r="BP33" s="567"/>
      <c r="BQ33" s="568">
        <v>1</v>
      </c>
      <c r="BR33" s="568"/>
      <c r="BS33" s="568"/>
      <c r="BT33" s="567" t="s">
        <v>932</v>
      </c>
      <c r="BU33" s="567"/>
      <c r="BV33" s="567"/>
      <c r="BW33" s="567"/>
      <c r="BX33" s="568" t="s">
        <v>932</v>
      </c>
      <c r="BY33" s="568"/>
      <c r="BZ33" s="568"/>
      <c r="CA33" s="567" t="s">
        <v>932</v>
      </c>
      <c r="CB33" s="567"/>
      <c r="CC33" s="567"/>
      <c r="CD33" s="567"/>
      <c r="CE33" s="568" t="s">
        <v>932</v>
      </c>
      <c r="CF33" s="568"/>
      <c r="CG33" s="568"/>
      <c r="CH33" s="567" t="s">
        <v>932</v>
      </c>
      <c r="CI33" s="567"/>
      <c r="CJ33" s="567"/>
      <c r="CK33" s="567"/>
      <c r="CL33" s="568" t="s">
        <v>932</v>
      </c>
      <c r="CM33" s="568"/>
      <c r="CN33" s="568"/>
    </row>
    <row r="34" hidden="1" customHeight="1" spans="1:92">
      <c r="A34" s="569"/>
      <c r="B34" s="570"/>
      <c r="C34" s="571"/>
      <c r="D34" s="572"/>
      <c r="E34" s="573"/>
      <c r="F34" s="574"/>
      <c r="G34" s="575"/>
      <c r="H34" s="576"/>
      <c r="I34" s="577"/>
      <c r="J34" s="578"/>
      <c r="K34" s="578"/>
      <c r="L34" s="578"/>
      <c r="M34" s="578"/>
      <c r="N34" s="578"/>
      <c r="O34" s="578"/>
      <c r="P34" s="578"/>
      <c r="Q34" s="578"/>
      <c r="R34" s="578"/>
      <c r="S34" s="578"/>
      <c r="T34" s="578"/>
      <c r="U34" s="578"/>
      <c r="V34" s="578"/>
      <c r="W34" s="578"/>
      <c r="X34" s="578"/>
      <c r="Y34" s="578"/>
      <c r="Z34" s="578"/>
      <c r="AA34" s="579"/>
      <c r="AB34" s="580"/>
      <c r="AC34" s="581"/>
      <c r="AD34" s="582"/>
      <c r="AE34" s="583"/>
      <c r="AF34" s="584"/>
      <c r="AG34" s="553">
        <v>0</v>
      </c>
      <c r="AH34" s="554"/>
      <c r="AI34" s="555" t="e">
        <v>#N/A</v>
      </c>
      <c r="AJ34" s="556"/>
      <c r="AK34" s="556"/>
      <c r="AL34" s="556"/>
      <c r="AM34" s="556"/>
      <c r="AN34" s="556"/>
      <c r="AO34" s="556"/>
      <c r="AP34" s="556"/>
      <c r="AQ34" s="556"/>
      <c r="AR34" s="556"/>
      <c r="AS34" s="556"/>
      <c r="AT34" s="556"/>
      <c r="AU34" s="556"/>
      <c r="AV34" s="557"/>
      <c r="AW34" s="558">
        <v>0</v>
      </c>
      <c r="AX34" s="559"/>
      <c r="AY34" s="560"/>
      <c r="AZ34" s="585"/>
      <c r="BA34" s="586"/>
      <c r="BB34" s="587"/>
      <c r="BC34" s="558">
        <v>0</v>
      </c>
      <c r="BD34" s="559"/>
      <c r="BE34" s="560"/>
      <c r="BF34" s="558">
        <v>182.49</v>
      </c>
      <c r="BG34" s="559"/>
      <c r="BH34" s="560"/>
      <c r="BI34" s="564">
        <v>0</v>
      </c>
      <c r="BJ34" s="565"/>
      <c r="BK34" s="565"/>
      <c r="BL34" s="566"/>
      <c r="BM34" s="567" t="s">
        <v>932</v>
      </c>
      <c r="BN34" s="567"/>
      <c r="BO34" s="567"/>
      <c r="BP34" s="567"/>
      <c r="BQ34" s="568">
        <v>1</v>
      </c>
      <c r="BR34" s="568"/>
      <c r="BS34" s="568"/>
      <c r="BT34" s="567" t="s">
        <v>932</v>
      </c>
      <c r="BU34" s="567"/>
      <c r="BV34" s="567"/>
      <c r="BW34" s="567"/>
      <c r="BX34" s="568" t="s">
        <v>932</v>
      </c>
      <c r="BY34" s="568"/>
      <c r="BZ34" s="568"/>
      <c r="CA34" s="567" t="s">
        <v>932</v>
      </c>
      <c r="CB34" s="567"/>
      <c r="CC34" s="567"/>
      <c r="CD34" s="567"/>
      <c r="CE34" s="568" t="s">
        <v>932</v>
      </c>
      <c r="CF34" s="568"/>
      <c r="CG34" s="568"/>
      <c r="CH34" s="567" t="s">
        <v>932</v>
      </c>
      <c r="CI34" s="567"/>
      <c r="CJ34" s="567"/>
      <c r="CK34" s="567"/>
      <c r="CL34" s="568" t="s">
        <v>932</v>
      </c>
      <c r="CM34" s="568"/>
      <c r="CN34" s="568"/>
    </row>
    <row r="35" hidden="1" customHeight="1" spans="1:92">
      <c r="A35" s="569"/>
      <c r="B35" s="570"/>
      <c r="C35" s="571"/>
      <c r="D35" s="572"/>
      <c r="E35" s="573"/>
      <c r="F35" s="574"/>
      <c r="G35" s="575"/>
      <c r="H35" s="576"/>
      <c r="I35" s="577"/>
      <c r="J35" s="578"/>
      <c r="K35" s="578"/>
      <c r="L35" s="578"/>
      <c r="M35" s="578"/>
      <c r="N35" s="578"/>
      <c r="O35" s="578"/>
      <c r="P35" s="578"/>
      <c r="Q35" s="578"/>
      <c r="R35" s="578"/>
      <c r="S35" s="578"/>
      <c r="T35" s="578"/>
      <c r="U35" s="578"/>
      <c r="V35" s="578"/>
      <c r="W35" s="578"/>
      <c r="X35" s="578"/>
      <c r="Y35" s="578"/>
      <c r="Z35" s="578"/>
      <c r="AA35" s="579"/>
      <c r="AB35" s="580"/>
      <c r="AC35" s="581"/>
      <c r="AD35" s="582"/>
      <c r="AE35" s="583"/>
      <c r="AF35" s="584"/>
      <c r="AG35" s="553">
        <v>0</v>
      </c>
      <c r="AH35" s="554"/>
      <c r="AI35" s="555" t="e">
        <v>#N/A</v>
      </c>
      <c r="AJ35" s="556"/>
      <c r="AK35" s="556"/>
      <c r="AL35" s="556"/>
      <c r="AM35" s="556"/>
      <c r="AN35" s="556"/>
      <c r="AO35" s="556"/>
      <c r="AP35" s="556"/>
      <c r="AQ35" s="556"/>
      <c r="AR35" s="556"/>
      <c r="AS35" s="556"/>
      <c r="AT35" s="556"/>
      <c r="AU35" s="556"/>
      <c r="AV35" s="557"/>
      <c r="AW35" s="558">
        <v>0</v>
      </c>
      <c r="AX35" s="559"/>
      <c r="AY35" s="560"/>
      <c r="AZ35" s="585"/>
      <c r="BA35" s="586"/>
      <c r="BB35" s="587"/>
      <c r="BC35" s="558">
        <v>0</v>
      </c>
      <c r="BD35" s="559"/>
      <c r="BE35" s="560"/>
      <c r="BF35" s="558">
        <v>182.49</v>
      </c>
      <c r="BG35" s="559"/>
      <c r="BH35" s="560"/>
      <c r="BI35" s="564">
        <v>0</v>
      </c>
      <c r="BJ35" s="565"/>
      <c r="BK35" s="565"/>
      <c r="BL35" s="566"/>
      <c r="BM35" s="567" t="s">
        <v>932</v>
      </c>
      <c r="BN35" s="567"/>
      <c r="BO35" s="567"/>
      <c r="BP35" s="567"/>
      <c r="BQ35" s="568">
        <v>1</v>
      </c>
      <c r="BR35" s="568"/>
      <c r="BS35" s="568"/>
      <c r="BT35" s="567" t="s">
        <v>932</v>
      </c>
      <c r="BU35" s="567"/>
      <c r="BV35" s="567"/>
      <c r="BW35" s="567"/>
      <c r="BX35" s="568" t="s">
        <v>932</v>
      </c>
      <c r="BY35" s="568"/>
      <c r="BZ35" s="568"/>
      <c r="CA35" s="567" t="s">
        <v>932</v>
      </c>
      <c r="CB35" s="567"/>
      <c r="CC35" s="567"/>
      <c r="CD35" s="567"/>
      <c r="CE35" s="568" t="s">
        <v>932</v>
      </c>
      <c r="CF35" s="568"/>
      <c r="CG35" s="568"/>
      <c r="CH35" s="567" t="s">
        <v>932</v>
      </c>
      <c r="CI35" s="567"/>
      <c r="CJ35" s="567"/>
      <c r="CK35" s="567"/>
      <c r="CL35" s="568" t="s">
        <v>932</v>
      </c>
      <c r="CM35" s="568"/>
      <c r="CN35" s="568"/>
    </row>
    <row r="36" hidden="1" customHeight="1" spans="1:92">
      <c r="A36" s="569"/>
      <c r="B36" s="570"/>
      <c r="C36" s="571"/>
      <c r="D36" s="572"/>
      <c r="E36" s="573"/>
      <c r="F36" s="574"/>
      <c r="G36" s="575"/>
      <c r="H36" s="576"/>
      <c r="I36" s="577"/>
      <c r="J36" s="578"/>
      <c r="K36" s="578"/>
      <c r="L36" s="578"/>
      <c r="M36" s="578"/>
      <c r="N36" s="578"/>
      <c r="O36" s="578"/>
      <c r="P36" s="578"/>
      <c r="Q36" s="578"/>
      <c r="R36" s="578"/>
      <c r="S36" s="578"/>
      <c r="T36" s="578"/>
      <c r="U36" s="578"/>
      <c r="V36" s="578"/>
      <c r="W36" s="578"/>
      <c r="X36" s="578"/>
      <c r="Y36" s="578"/>
      <c r="Z36" s="578"/>
      <c r="AA36" s="579"/>
      <c r="AB36" s="580"/>
      <c r="AC36" s="581"/>
      <c r="AD36" s="582"/>
      <c r="AE36" s="583"/>
      <c r="AF36" s="584"/>
      <c r="AG36" s="553">
        <v>0</v>
      </c>
      <c r="AH36" s="554"/>
      <c r="AI36" s="555" t="e">
        <v>#N/A</v>
      </c>
      <c r="AJ36" s="556"/>
      <c r="AK36" s="556"/>
      <c r="AL36" s="556"/>
      <c r="AM36" s="556"/>
      <c r="AN36" s="556"/>
      <c r="AO36" s="556"/>
      <c r="AP36" s="556"/>
      <c r="AQ36" s="556"/>
      <c r="AR36" s="556"/>
      <c r="AS36" s="556"/>
      <c r="AT36" s="556"/>
      <c r="AU36" s="556"/>
      <c r="AV36" s="557"/>
      <c r="AW36" s="558">
        <v>0</v>
      </c>
      <c r="AX36" s="559"/>
      <c r="AY36" s="560"/>
      <c r="AZ36" s="585"/>
      <c r="BA36" s="586"/>
      <c r="BB36" s="587"/>
      <c r="BC36" s="558">
        <v>0</v>
      </c>
      <c r="BD36" s="559"/>
      <c r="BE36" s="560"/>
      <c r="BF36" s="558">
        <v>182.49</v>
      </c>
      <c r="BG36" s="559"/>
      <c r="BH36" s="560"/>
      <c r="BI36" s="564">
        <v>0</v>
      </c>
      <c r="BJ36" s="565"/>
      <c r="BK36" s="565"/>
      <c r="BL36" s="566"/>
      <c r="BM36" s="567" t="s">
        <v>932</v>
      </c>
      <c r="BN36" s="567"/>
      <c r="BO36" s="567"/>
      <c r="BP36" s="567"/>
      <c r="BQ36" s="568">
        <v>1</v>
      </c>
      <c r="BR36" s="568"/>
      <c r="BS36" s="568"/>
      <c r="BT36" s="567" t="s">
        <v>932</v>
      </c>
      <c r="BU36" s="567"/>
      <c r="BV36" s="567"/>
      <c r="BW36" s="567"/>
      <c r="BX36" s="568" t="s">
        <v>932</v>
      </c>
      <c r="BY36" s="568"/>
      <c r="BZ36" s="568"/>
      <c r="CA36" s="567" t="s">
        <v>932</v>
      </c>
      <c r="CB36" s="567"/>
      <c r="CC36" s="567"/>
      <c r="CD36" s="567"/>
      <c r="CE36" s="568" t="s">
        <v>932</v>
      </c>
      <c r="CF36" s="568"/>
      <c r="CG36" s="568"/>
      <c r="CH36" s="567" t="s">
        <v>932</v>
      </c>
      <c r="CI36" s="567"/>
      <c r="CJ36" s="567"/>
      <c r="CK36" s="567"/>
      <c r="CL36" s="568" t="s">
        <v>932</v>
      </c>
      <c r="CM36" s="568"/>
      <c r="CN36" s="568"/>
    </row>
    <row r="37" hidden="1" customHeight="1" spans="1:92">
      <c r="A37" s="569"/>
      <c r="B37" s="570"/>
      <c r="C37" s="571"/>
      <c r="D37" s="572"/>
      <c r="E37" s="573"/>
      <c r="F37" s="574"/>
      <c r="G37" s="575"/>
      <c r="H37" s="576"/>
      <c r="I37" s="577"/>
      <c r="J37" s="578"/>
      <c r="K37" s="578"/>
      <c r="L37" s="578"/>
      <c r="M37" s="578"/>
      <c r="N37" s="578"/>
      <c r="O37" s="578"/>
      <c r="P37" s="578"/>
      <c r="Q37" s="578"/>
      <c r="R37" s="578"/>
      <c r="S37" s="578"/>
      <c r="T37" s="578"/>
      <c r="U37" s="578"/>
      <c r="V37" s="578"/>
      <c r="W37" s="578"/>
      <c r="X37" s="578"/>
      <c r="Y37" s="578"/>
      <c r="Z37" s="578"/>
      <c r="AA37" s="579"/>
      <c r="AB37" s="580"/>
      <c r="AC37" s="581"/>
      <c r="AD37" s="582"/>
      <c r="AE37" s="583"/>
      <c r="AF37" s="584"/>
      <c r="AG37" s="553">
        <v>0</v>
      </c>
      <c r="AH37" s="554"/>
      <c r="AI37" s="555" t="e">
        <v>#N/A</v>
      </c>
      <c r="AJ37" s="556"/>
      <c r="AK37" s="556"/>
      <c r="AL37" s="556"/>
      <c r="AM37" s="556"/>
      <c r="AN37" s="556"/>
      <c r="AO37" s="556"/>
      <c r="AP37" s="556"/>
      <c r="AQ37" s="556"/>
      <c r="AR37" s="556"/>
      <c r="AS37" s="556"/>
      <c r="AT37" s="556"/>
      <c r="AU37" s="556"/>
      <c r="AV37" s="557"/>
      <c r="AW37" s="558">
        <v>0</v>
      </c>
      <c r="AX37" s="559"/>
      <c r="AY37" s="560"/>
      <c r="AZ37" s="585"/>
      <c r="BA37" s="586"/>
      <c r="BB37" s="587"/>
      <c r="BC37" s="558">
        <v>0</v>
      </c>
      <c r="BD37" s="559"/>
      <c r="BE37" s="560"/>
      <c r="BF37" s="558">
        <v>182.49</v>
      </c>
      <c r="BG37" s="559"/>
      <c r="BH37" s="560"/>
      <c r="BI37" s="564">
        <v>0</v>
      </c>
      <c r="BJ37" s="565"/>
      <c r="BK37" s="565"/>
      <c r="BL37" s="566"/>
      <c r="BM37" s="567" t="s">
        <v>932</v>
      </c>
      <c r="BN37" s="567"/>
      <c r="BO37" s="567"/>
      <c r="BP37" s="567"/>
      <c r="BQ37" s="568">
        <v>1</v>
      </c>
      <c r="BR37" s="568"/>
      <c r="BS37" s="568"/>
      <c r="BT37" s="567" t="s">
        <v>932</v>
      </c>
      <c r="BU37" s="567"/>
      <c r="BV37" s="567"/>
      <c r="BW37" s="567"/>
      <c r="BX37" s="568" t="s">
        <v>932</v>
      </c>
      <c r="BY37" s="568"/>
      <c r="BZ37" s="568"/>
      <c r="CA37" s="567" t="s">
        <v>932</v>
      </c>
      <c r="CB37" s="567"/>
      <c r="CC37" s="567"/>
      <c r="CD37" s="567"/>
      <c r="CE37" s="568" t="s">
        <v>932</v>
      </c>
      <c r="CF37" s="568"/>
      <c r="CG37" s="568"/>
      <c r="CH37" s="567" t="s">
        <v>932</v>
      </c>
      <c r="CI37" s="567"/>
      <c r="CJ37" s="567"/>
      <c r="CK37" s="567"/>
      <c r="CL37" s="568" t="s">
        <v>932</v>
      </c>
      <c r="CM37" s="568"/>
      <c r="CN37" s="568"/>
    </row>
    <row r="38" hidden="1" customHeight="1" spans="1:92">
      <c r="A38" s="569"/>
      <c r="B38" s="570"/>
      <c r="C38" s="571"/>
      <c r="D38" s="572"/>
      <c r="E38" s="573"/>
      <c r="F38" s="574"/>
      <c r="G38" s="575"/>
      <c r="H38" s="576"/>
      <c r="I38" s="577"/>
      <c r="J38" s="578"/>
      <c r="K38" s="578"/>
      <c r="L38" s="578"/>
      <c r="M38" s="578"/>
      <c r="N38" s="578"/>
      <c r="O38" s="578"/>
      <c r="P38" s="578"/>
      <c r="Q38" s="578"/>
      <c r="R38" s="578"/>
      <c r="S38" s="578"/>
      <c r="T38" s="578"/>
      <c r="U38" s="578"/>
      <c r="V38" s="578"/>
      <c r="W38" s="578"/>
      <c r="X38" s="578"/>
      <c r="Y38" s="578"/>
      <c r="Z38" s="578"/>
      <c r="AA38" s="579"/>
      <c r="AB38" s="580"/>
      <c r="AC38" s="581"/>
      <c r="AD38" s="582"/>
      <c r="AE38" s="583"/>
      <c r="AF38" s="584"/>
      <c r="AG38" s="553">
        <v>0</v>
      </c>
      <c r="AH38" s="554"/>
      <c r="AI38" s="555" t="e">
        <v>#N/A</v>
      </c>
      <c r="AJ38" s="556"/>
      <c r="AK38" s="556"/>
      <c r="AL38" s="556"/>
      <c r="AM38" s="556"/>
      <c r="AN38" s="556"/>
      <c r="AO38" s="556"/>
      <c r="AP38" s="556"/>
      <c r="AQ38" s="556"/>
      <c r="AR38" s="556"/>
      <c r="AS38" s="556"/>
      <c r="AT38" s="556"/>
      <c r="AU38" s="556"/>
      <c r="AV38" s="557"/>
      <c r="AW38" s="558">
        <v>0</v>
      </c>
      <c r="AX38" s="559"/>
      <c r="AY38" s="560"/>
      <c r="AZ38" s="585"/>
      <c r="BA38" s="586"/>
      <c r="BB38" s="587"/>
      <c r="BC38" s="558">
        <v>0</v>
      </c>
      <c r="BD38" s="559"/>
      <c r="BE38" s="560"/>
      <c r="BF38" s="558">
        <v>182.49</v>
      </c>
      <c r="BG38" s="559"/>
      <c r="BH38" s="560"/>
      <c r="BI38" s="564">
        <v>0</v>
      </c>
      <c r="BJ38" s="565"/>
      <c r="BK38" s="565"/>
      <c r="BL38" s="566"/>
      <c r="BM38" s="567" t="s">
        <v>932</v>
      </c>
      <c r="BN38" s="567"/>
      <c r="BO38" s="567"/>
      <c r="BP38" s="567"/>
      <c r="BQ38" s="568">
        <v>1</v>
      </c>
      <c r="BR38" s="568"/>
      <c r="BS38" s="568"/>
      <c r="BT38" s="567" t="s">
        <v>932</v>
      </c>
      <c r="BU38" s="567"/>
      <c r="BV38" s="567"/>
      <c r="BW38" s="567"/>
      <c r="BX38" s="568" t="s">
        <v>932</v>
      </c>
      <c r="BY38" s="568"/>
      <c r="BZ38" s="568"/>
      <c r="CA38" s="567" t="s">
        <v>932</v>
      </c>
      <c r="CB38" s="567"/>
      <c r="CC38" s="567"/>
      <c r="CD38" s="567"/>
      <c r="CE38" s="568" t="s">
        <v>932</v>
      </c>
      <c r="CF38" s="568"/>
      <c r="CG38" s="568"/>
      <c r="CH38" s="567" t="s">
        <v>932</v>
      </c>
      <c r="CI38" s="567"/>
      <c r="CJ38" s="567"/>
      <c r="CK38" s="567"/>
      <c r="CL38" s="568" t="s">
        <v>932</v>
      </c>
      <c r="CM38" s="568"/>
      <c r="CN38" s="568"/>
    </row>
    <row r="39" hidden="1" customHeight="1" spans="1:92">
      <c r="A39" s="588"/>
      <c r="B39" s="589"/>
      <c r="C39" s="590"/>
      <c r="D39" s="591"/>
      <c r="E39" s="592"/>
      <c r="F39" s="593"/>
      <c r="G39" s="594"/>
      <c r="H39" s="595"/>
      <c r="I39" s="596"/>
      <c r="J39" s="597"/>
      <c r="K39" s="597"/>
      <c r="L39" s="597"/>
      <c r="M39" s="597"/>
      <c r="N39" s="597"/>
      <c r="O39" s="597"/>
      <c r="P39" s="597"/>
      <c r="Q39" s="597"/>
      <c r="R39" s="597"/>
      <c r="S39" s="597"/>
      <c r="T39" s="597"/>
      <c r="U39" s="597"/>
      <c r="V39" s="597"/>
      <c r="W39" s="597"/>
      <c r="X39" s="597"/>
      <c r="Y39" s="597"/>
      <c r="Z39" s="597"/>
      <c r="AA39" s="598"/>
      <c r="AB39" s="599"/>
      <c r="AC39" s="600"/>
      <c r="AD39" s="601"/>
      <c r="AE39" s="602"/>
      <c r="AF39" s="603"/>
      <c r="AG39" s="553">
        <v>0</v>
      </c>
      <c r="AH39" s="554"/>
      <c r="AI39" s="555" t="e">
        <v>#N/A</v>
      </c>
      <c r="AJ39" s="556"/>
      <c r="AK39" s="556"/>
      <c r="AL39" s="556"/>
      <c r="AM39" s="556"/>
      <c r="AN39" s="556"/>
      <c r="AO39" s="556"/>
      <c r="AP39" s="556"/>
      <c r="AQ39" s="556"/>
      <c r="AR39" s="556"/>
      <c r="AS39" s="556"/>
      <c r="AT39" s="556"/>
      <c r="AU39" s="556"/>
      <c r="AV39" s="557"/>
      <c r="AW39" s="558">
        <v>0</v>
      </c>
      <c r="AX39" s="559"/>
      <c r="AY39" s="560"/>
      <c r="AZ39" s="604"/>
      <c r="BA39" s="605"/>
      <c r="BB39" s="606"/>
      <c r="BC39" s="558">
        <v>0</v>
      </c>
      <c r="BD39" s="559"/>
      <c r="BE39" s="560"/>
      <c r="BF39" s="558">
        <v>182.49</v>
      </c>
      <c r="BG39" s="559"/>
      <c r="BH39" s="560"/>
      <c r="BI39" s="564">
        <v>0</v>
      </c>
      <c r="BJ39" s="565"/>
      <c r="BK39" s="565"/>
      <c r="BL39" s="566"/>
      <c r="BM39" s="567" t="s">
        <v>932</v>
      </c>
      <c r="BN39" s="567"/>
      <c r="BO39" s="567"/>
      <c r="BP39" s="567"/>
      <c r="BQ39" s="568">
        <v>1</v>
      </c>
      <c r="BR39" s="568"/>
      <c r="BS39" s="568"/>
      <c r="BT39" s="567" t="s">
        <v>932</v>
      </c>
      <c r="BU39" s="567"/>
      <c r="BV39" s="567"/>
      <c r="BW39" s="567"/>
      <c r="BX39" s="568" t="s">
        <v>932</v>
      </c>
      <c r="BY39" s="568"/>
      <c r="BZ39" s="568"/>
      <c r="CA39" s="567" t="s">
        <v>932</v>
      </c>
      <c r="CB39" s="567"/>
      <c r="CC39" s="567"/>
      <c r="CD39" s="567"/>
      <c r="CE39" s="568" t="s">
        <v>932</v>
      </c>
      <c r="CF39" s="568"/>
      <c r="CG39" s="568"/>
      <c r="CH39" s="567" t="s">
        <v>932</v>
      </c>
      <c r="CI39" s="567"/>
      <c r="CJ39" s="567"/>
      <c r="CK39" s="567"/>
      <c r="CL39" s="568" t="s">
        <v>932</v>
      </c>
      <c r="CM39" s="568"/>
      <c r="CN39" s="568"/>
    </row>
    <row r="40" customHeight="1" spans="1:92">
      <c r="A40" s="540" t="s">
        <v>842</v>
      </c>
      <c r="B40" s="541"/>
      <c r="C40" s="89"/>
      <c r="D40" s="91"/>
      <c r="E40" s="90"/>
      <c r="F40" s="542">
        <v>2306113</v>
      </c>
      <c r="G40" s="543"/>
      <c r="H40" s="544"/>
      <c r="I40" s="545" t="s">
        <v>102</v>
      </c>
      <c r="J40" s="546"/>
      <c r="K40" s="546"/>
      <c r="L40" s="546"/>
      <c r="M40" s="546"/>
      <c r="N40" s="546"/>
      <c r="O40" s="546"/>
      <c r="P40" s="546"/>
      <c r="Q40" s="546"/>
      <c r="R40" s="546"/>
      <c r="S40" s="546"/>
      <c r="T40" s="546"/>
      <c r="U40" s="546"/>
      <c r="V40" s="546"/>
      <c r="W40" s="546"/>
      <c r="X40" s="546"/>
      <c r="Y40" s="546"/>
      <c r="Z40" s="546"/>
      <c r="AA40" s="547"/>
      <c r="AB40" s="548" t="s">
        <v>9</v>
      </c>
      <c r="AC40" s="549"/>
      <c r="AD40" s="550">
        <v>120</v>
      </c>
      <c r="AE40" s="551"/>
      <c r="AF40" s="552"/>
      <c r="AG40" s="553" t="s">
        <v>1060</v>
      </c>
      <c r="AH40" s="554"/>
      <c r="AI40" s="555" t="s">
        <v>1061</v>
      </c>
      <c r="AJ40" s="556"/>
      <c r="AK40" s="556"/>
      <c r="AL40" s="556"/>
      <c r="AM40" s="556"/>
      <c r="AN40" s="556"/>
      <c r="AO40" s="556"/>
      <c r="AP40" s="556"/>
      <c r="AQ40" s="556"/>
      <c r="AR40" s="556"/>
      <c r="AS40" s="556"/>
      <c r="AT40" s="556"/>
      <c r="AU40" s="556"/>
      <c r="AV40" s="557"/>
      <c r="AW40" s="558">
        <v>1</v>
      </c>
      <c r="AX40" s="559"/>
      <c r="AY40" s="560"/>
      <c r="AZ40" s="561">
        <v>8.3</v>
      </c>
      <c r="BA40" s="562"/>
      <c r="BB40" s="563"/>
      <c r="BC40" s="558">
        <v>14.4578313253012</v>
      </c>
      <c r="BD40" s="559"/>
      <c r="BE40" s="560"/>
      <c r="BF40" s="558">
        <v>182.49</v>
      </c>
      <c r="BG40" s="559"/>
      <c r="BH40" s="560"/>
      <c r="BI40" s="564">
        <v>0.0792253346775232</v>
      </c>
      <c r="BJ40" s="565"/>
      <c r="BK40" s="565"/>
      <c r="BL40" s="566"/>
      <c r="BM40" s="567">
        <v>0.0792253346775232</v>
      </c>
      <c r="BN40" s="567"/>
      <c r="BO40" s="567"/>
      <c r="BP40" s="567"/>
      <c r="BQ40" s="568">
        <v>1</v>
      </c>
      <c r="BR40" s="568"/>
      <c r="BS40" s="568"/>
      <c r="BT40" s="567" t="s">
        <v>932</v>
      </c>
      <c r="BU40" s="567"/>
      <c r="BV40" s="567"/>
      <c r="BW40" s="567"/>
      <c r="BX40" s="568" t="s">
        <v>932</v>
      </c>
      <c r="BY40" s="568"/>
      <c r="BZ40" s="568"/>
      <c r="CA40" s="567" t="s">
        <v>932</v>
      </c>
      <c r="CB40" s="567"/>
      <c r="CC40" s="567"/>
      <c r="CD40" s="567"/>
      <c r="CE40" s="568" t="s">
        <v>932</v>
      </c>
      <c r="CF40" s="568"/>
      <c r="CG40" s="568"/>
      <c r="CH40" s="567" t="s">
        <v>932</v>
      </c>
      <c r="CI40" s="567"/>
      <c r="CJ40" s="567"/>
      <c r="CK40" s="567"/>
      <c r="CL40" s="568" t="s">
        <v>932</v>
      </c>
      <c r="CM40" s="568"/>
      <c r="CN40" s="568"/>
    </row>
    <row r="41" hidden="1" customHeight="1" spans="1:92">
      <c r="A41" s="569"/>
      <c r="B41" s="570"/>
      <c r="C41" s="571"/>
      <c r="D41" s="572"/>
      <c r="E41" s="573"/>
      <c r="F41" s="574"/>
      <c r="G41" s="575"/>
      <c r="H41" s="576"/>
      <c r="I41" s="577"/>
      <c r="J41" s="578"/>
      <c r="K41" s="578"/>
      <c r="L41" s="578"/>
      <c r="M41" s="578"/>
      <c r="N41" s="578"/>
      <c r="O41" s="578"/>
      <c r="P41" s="578"/>
      <c r="Q41" s="578"/>
      <c r="R41" s="578"/>
      <c r="S41" s="578"/>
      <c r="T41" s="578"/>
      <c r="U41" s="578"/>
      <c r="V41" s="578"/>
      <c r="W41" s="578"/>
      <c r="X41" s="578"/>
      <c r="Y41" s="578"/>
      <c r="Z41" s="578"/>
      <c r="AA41" s="579"/>
      <c r="AB41" s="580"/>
      <c r="AC41" s="581"/>
      <c r="AD41" s="582"/>
      <c r="AE41" s="583"/>
      <c r="AF41" s="584"/>
      <c r="AG41" s="553">
        <v>0</v>
      </c>
      <c r="AH41" s="554"/>
      <c r="AI41" s="555" t="e">
        <v>#N/A</v>
      </c>
      <c r="AJ41" s="556"/>
      <c r="AK41" s="556"/>
      <c r="AL41" s="556"/>
      <c r="AM41" s="556"/>
      <c r="AN41" s="556"/>
      <c r="AO41" s="556"/>
      <c r="AP41" s="556"/>
      <c r="AQ41" s="556"/>
      <c r="AR41" s="556"/>
      <c r="AS41" s="556"/>
      <c r="AT41" s="556"/>
      <c r="AU41" s="556"/>
      <c r="AV41" s="557"/>
      <c r="AW41" s="558">
        <v>0</v>
      </c>
      <c r="AX41" s="559"/>
      <c r="AY41" s="560"/>
      <c r="AZ41" s="585"/>
      <c r="BA41" s="586"/>
      <c r="BB41" s="587"/>
      <c r="BC41" s="558">
        <v>0</v>
      </c>
      <c r="BD41" s="559"/>
      <c r="BE41" s="560"/>
      <c r="BF41" s="558">
        <v>182.49</v>
      </c>
      <c r="BG41" s="559"/>
      <c r="BH41" s="560"/>
      <c r="BI41" s="564">
        <v>0</v>
      </c>
      <c r="BJ41" s="565"/>
      <c r="BK41" s="565"/>
      <c r="BL41" s="566"/>
      <c r="BM41" s="567" t="s">
        <v>932</v>
      </c>
      <c r="BN41" s="567"/>
      <c r="BO41" s="567"/>
      <c r="BP41" s="567"/>
      <c r="BQ41" s="568">
        <v>1</v>
      </c>
      <c r="BR41" s="568"/>
      <c r="BS41" s="568"/>
      <c r="BT41" s="567" t="s">
        <v>932</v>
      </c>
      <c r="BU41" s="567"/>
      <c r="BV41" s="567"/>
      <c r="BW41" s="567"/>
      <c r="BX41" s="568" t="s">
        <v>932</v>
      </c>
      <c r="BY41" s="568"/>
      <c r="BZ41" s="568"/>
      <c r="CA41" s="567" t="s">
        <v>932</v>
      </c>
      <c r="CB41" s="567"/>
      <c r="CC41" s="567"/>
      <c r="CD41" s="567"/>
      <c r="CE41" s="568" t="s">
        <v>932</v>
      </c>
      <c r="CF41" s="568"/>
      <c r="CG41" s="568"/>
      <c r="CH41" s="567" t="s">
        <v>932</v>
      </c>
      <c r="CI41" s="567"/>
      <c r="CJ41" s="567"/>
      <c r="CK41" s="567"/>
      <c r="CL41" s="568" t="s">
        <v>932</v>
      </c>
      <c r="CM41" s="568"/>
      <c r="CN41" s="568"/>
    </row>
    <row r="42" hidden="1" customHeight="1" spans="1:92">
      <c r="A42" s="569"/>
      <c r="B42" s="570"/>
      <c r="C42" s="571"/>
      <c r="D42" s="572"/>
      <c r="E42" s="573"/>
      <c r="F42" s="574"/>
      <c r="G42" s="575"/>
      <c r="H42" s="576"/>
      <c r="I42" s="577"/>
      <c r="J42" s="578"/>
      <c r="K42" s="578"/>
      <c r="L42" s="578"/>
      <c r="M42" s="578"/>
      <c r="N42" s="578"/>
      <c r="O42" s="578"/>
      <c r="P42" s="578"/>
      <c r="Q42" s="578"/>
      <c r="R42" s="578"/>
      <c r="S42" s="578"/>
      <c r="T42" s="578"/>
      <c r="U42" s="578"/>
      <c r="V42" s="578"/>
      <c r="W42" s="578"/>
      <c r="X42" s="578"/>
      <c r="Y42" s="578"/>
      <c r="Z42" s="578"/>
      <c r="AA42" s="579"/>
      <c r="AB42" s="580"/>
      <c r="AC42" s="581"/>
      <c r="AD42" s="582"/>
      <c r="AE42" s="583"/>
      <c r="AF42" s="584"/>
      <c r="AG42" s="553">
        <v>0</v>
      </c>
      <c r="AH42" s="554"/>
      <c r="AI42" s="555" t="e">
        <v>#N/A</v>
      </c>
      <c r="AJ42" s="556"/>
      <c r="AK42" s="556"/>
      <c r="AL42" s="556"/>
      <c r="AM42" s="556"/>
      <c r="AN42" s="556"/>
      <c r="AO42" s="556"/>
      <c r="AP42" s="556"/>
      <c r="AQ42" s="556"/>
      <c r="AR42" s="556"/>
      <c r="AS42" s="556"/>
      <c r="AT42" s="556"/>
      <c r="AU42" s="556"/>
      <c r="AV42" s="557"/>
      <c r="AW42" s="558">
        <v>0</v>
      </c>
      <c r="AX42" s="559"/>
      <c r="AY42" s="560"/>
      <c r="AZ42" s="585"/>
      <c r="BA42" s="586"/>
      <c r="BB42" s="587"/>
      <c r="BC42" s="558">
        <v>0</v>
      </c>
      <c r="BD42" s="559"/>
      <c r="BE42" s="560"/>
      <c r="BF42" s="558">
        <v>182.49</v>
      </c>
      <c r="BG42" s="559"/>
      <c r="BH42" s="560"/>
      <c r="BI42" s="564">
        <v>0</v>
      </c>
      <c r="BJ42" s="565"/>
      <c r="BK42" s="565"/>
      <c r="BL42" s="566"/>
      <c r="BM42" s="567" t="s">
        <v>932</v>
      </c>
      <c r="BN42" s="567"/>
      <c r="BO42" s="567"/>
      <c r="BP42" s="567"/>
      <c r="BQ42" s="568">
        <v>1</v>
      </c>
      <c r="BR42" s="568"/>
      <c r="BS42" s="568"/>
      <c r="BT42" s="567" t="s">
        <v>932</v>
      </c>
      <c r="BU42" s="567"/>
      <c r="BV42" s="567"/>
      <c r="BW42" s="567"/>
      <c r="BX42" s="568" t="s">
        <v>932</v>
      </c>
      <c r="BY42" s="568"/>
      <c r="BZ42" s="568"/>
      <c r="CA42" s="567" t="s">
        <v>932</v>
      </c>
      <c r="CB42" s="567"/>
      <c r="CC42" s="567"/>
      <c r="CD42" s="567"/>
      <c r="CE42" s="568" t="s">
        <v>932</v>
      </c>
      <c r="CF42" s="568"/>
      <c r="CG42" s="568"/>
      <c r="CH42" s="567" t="s">
        <v>932</v>
      </c>
      <c r="CI42" s="567"/>
      <c r="CJ42" s="567"/>
      <c r="CK42" s="567"/>
      <c r="CL42" s="568" t="s">
        <v>932</v>
      </c>
      <c r="CM42" s="568"/>
      <c r="CN42" s="568"/>
    </row>
    <row r="43" hidden="1" customHeight="1" spans="1:92">
      <c r="A43" s="569"/>
      <c r="B43" s="570"/>
      <c r="C43" s="571"/>
      <c r="D43" s="572"/>
      <c r="E43" s="573"/>
      <c r="F43" s="574"/>
      <c r="G43" s="575"/>
      <c r="H43" s="576"/>
      <c r="I43" s="577"/>
      <c r="J43" s="578"/>
      <c r="K43" s="578"/>
      <c r="L43" s="578"/>
      <c r="M43" s="578"/>
      <c r="N43" s="578"/>
      <c r="O43" s="578"/>
      <c r="P43" s="578"/>
      <c r="Q43" s="578"/>
      <c r="R43" s="578"/>
      <c r="S43" s="578"/>
      <c r="T43" s="578"/>
      <c r="U43" s="578"/>
      <c r="V43" s="578"/>
      <c r="W43" s="578"/>
      <c r="X43" s="578"/>
      <c r="Y43" s="578"/>
      <c r="Z43" s="578"/>
      <c r="AA43" s="579"/>
      <c r="AB43" s="580"/>
      <c r="AC43" s="581"/>
      <c r="AD43" s="582"/>
      <c r="AE43" s="583"/>
      <c r="AF43" s="584"/>
      <c r="AG43" s="553">
        <v>0</v>
      </c>
      <c r="AH43" s="554"/>
      <c r="AI43" s="555" t="e">
        <v>#N/A</v>
      </c>
      <c r="AJ43" s="556"/>
      <c r="AK43" s="556"/>
      <c r="AL43" s="556"/>
      <c r="AM43" s="556"/>
      <c r="AN43" s="556"/>
      <c r="AO43" s="556"/>
      <c r="AP43" s="556"/>
      <c r="AQ43" s="556"/>
      <c r="AR43" s="556"/>
      <c r="AS43" s="556"/>
      <c r="AT43" s="556"/>
      <c r="AU43" s="556"/>
      <c r="AV43" s="557"/>
      <c r="AW43" s="558">
        <v>0</v>
      </c>
      <c r="AX43" s="559"/>
      <c r="AY43" s="560"/>
      <c r="AZ43" s="585"/>
      <c r="BA43" s="586"/>
      <c r="BB43" s="587"/>
      <c r="BC43" s="558">
        <v>0</v>
      </c>
      <c r="BD43" s="559"/>
      <c r="BE43" s="560"/>
      <c r="BF43" s="558">
        <v>182.49</v>
      </c>
      <c r="BG43" s="559"/>
      <c r="BH43" s="560"/>
      <c r="BI43" s="564">
        <v>0</v>
      </c>
      <c r="BJ43" s="565"/>
      <c r="BK43" s="565"/>
      <c r="BL43" s="566"/>
      <c r="BM43" s="567" t="s">
        <v>932</v>
      </c>
      <c r="BN43" s="567"/>
      <c r="BO43" s="567"/>
      <c r="BP43" s="567"/>
      <c r="BQ43" s="568">
        <v>1</v>
      </c>
      <c r="BR43" s="568"/>
      <c r="BS43" s="568"/>
      <c r="BT43" s="567" t="s">
        <v>932</v>
      </c>
      <c r="BU43" s="567"/>
      <c r="BV43" s="567"/>
      <c r="BW43" s="567"/>
      <c r="BX43" s="568" t="s">
        <v>932</v>
      </c>
      <c r="BY43" s="568"/>
      <c r="BZ43" s="568"/>
      <c r="CA43" s="567" t="s">
        <v>932</v>
      </c>
      <c r="CB43" s="567"/>
      <c r="CC43" s="567"/>
      <c r="CD43" s="567"/>
      <c r="CE43" s="568" t="s">
        <v>932</v>
      </c>
      <c r="CF43" s="568"/>
      <c r="CG43" s="568"/>
      <c r="CH43" s="567" t="s">
        <v>932</v>
      </c>
      <c r="CI43" s="567"/>
      <c r="CJ43" s="567"/>
      <c r="CK43" s="567"/>
      <c r="CL43" s="568" t="s">
        <v>932</v>
      </c>
      <c r="CM43" s="568"/>
      <c r="CN43" s="568"/>
    </row>
    <row r="44" hidden="1" customHeight="1" spans="1:92">
      <c r="A44" s="569"/>
      <c r="B44" s="570"/>
      <c r="C44" s="571"/>
      <c r="D44" s="572"/>
      <c r="E44" s="573"/>
      <c r="F44" s="574"/>
      <c r="G44" s="575"/>
      <c r="H44" s="576"/>
      <c r="I44" s="577"/>
      <c r="J44" s="578"/>
      <c r="K44" s="578"/>
      <c r="L44" s="578"/>
      <c r="M44" s="578"/>
      <c r="N44" s="578"/>
      <c r="O44" s="578"/>
      <c r="P44" s="578"/>
      <c r="Q44" s="578"/>
      <c r="R44" s="578"/>
      <c r="S44" s="578"/>
      <c r="T44" s="578"/>
      <c r="U44" s="578"/>
      <c r="V44" s="578"/>
      <c r="W44" s="578"/>
      <c r="X44" s="578"/>
      <c r="Y44" s="578"/>
      <c r="Z44" s="578"/>
      <c r="AA44" s="579"/>
      <c r="AB44" s="580"/>
      <c r="AC44" s="581"/>
      <c r="AD44" s="582"/>
      <c r="AE44" s="583"/>
      <c r="AF44" s="584"/>
      <c r="AG44" s="553">
        <v>0</v>
      </c>
      <c r="AH44" s="554"/>
      <c r="AI44" s="555" t="e">
        <v>#N/A</v>
      </c>
      <c r="AJ44" s="556"/>
      <c r="AK44" s="556"/>
      <c r="AL44" s="556"/>
      <c r="AM44" s="556"/>
      <c r="AN44" s="556"/>
      <c r="AO44" s="556"/>
      <c r="AP44" s="556"/>
      <c r="AQ44" s="556"/>
      <c r="AR44" s="556"/>
      <c r="AS44" s="556"/>
      <c r="AT44" s="556"/>
      <c r="AU44" s="556"/>
      <c r="AV44" s="557"/>
      <c r="AW44" s="558">
        <v>0</v>
      </c>
      <c r="AX44" s="559"/>
      <c r="AY44" s="560"/>
      <c r="AZ44" s="585"/>
      <c r="BA44" s="586"/>
      <c r="BB44" s="587"/>
      <c r="BC44" s="558">
        <v>0</v>
      </c>
      <c r="BD44" s="559"/>
      <c r="BE44" s="560"/>
      <c r="BF44" s="558">
        <v>182.49</v>
      </c>
      <c r="BG44" s="559"/>
      <c r="BH44" s="560"/>
      <c r="BI44" s="564">
        <v>0</v>
      </c>
      <c r="BJ44" s="565"/>
      <c r="BK44" s="565"/>
      <c r="BL44" s="566"/>
      <c r="BM44" s="567" t="s">
        <v>932</v>
      </c>
      <c r="BN44" s="567"/>
      <c r="BO44" s="567"/>
      <c r="BP44" s="567"/>
      <c r="BQ44" s="568">
        <v>1</v>
      </c>
      <c r="BR44" s="568"/>
      <c r="BS44" s="568"/>
      <c r="BT44" s="567" t="s">
        <v>932</v>
      </c>
      <c r="BU44" s="567"/>
      <c r="BV44" s="567"/>
      <c r="BW44" s="567"/>
      <c r="BX44" s="568" t="s">
        <v>932</v>
      </c>
      <c r="BY44" s="568"/>
      <c r="BZ44" s="568"/>
      <c r="CA44" s="567" t="s">
        <v>932</v>
      </c>
      <c r="CB44" s="567"/>
      <c r="CC44" s="567"/>
      <c r="CD44" s="567"/>
      <c r="CE44" s="568" t="s">
        <v>932</v>
      </c>
      <c r="CF44" s="568"/>
      <c r="CG44" s="568"/>
      <c r="CH44" s="567" t="s">
        <v>932</v>
      </c>
      <c r="CI44" s="567"/>
      <c r="CJ44" s="567"/>
      <c r="CK44" s="567"/>
      <c r="CL44" s="568" t="s">
        <v>932</v>
      </c>
      <c r="CM44" s="568"/>
      <c r="CN44" s="568"/>
    </row>
    <row r="45" hidden="1" customHeight="1" spans="1:92">
      <c r="A45" s="569"/>
      <c r="B45" s="570"/>
      <c r="C45" s="571"/>
      <c r="D45" s="572"/>
      <c r="E45" s="573"/>
      <c r="F45" s="574"/>
      <c r="G45" s="575"/>
      <c r="H45" s="576"/>
      <c r="I45" s="577"/>
      <c r="J45" s="578"/>
      <c r="K45" s="578"/>
      <c r="L45" s="578"/>
      <c r="M45" s="578"/>
      <c r="N45" s="578"/>
      <c r="O45" s="578"/>
      <c r="P45" s="578"/>
      <c r="Q45" s="578"/>
      <c r="R45" s="578"/>
      <c r="S45" s="578"/>
      <c r="T45" s="578"/>
      <c r="U45" s="578"/>
      <c r="V45" s="578"/>
      <c r="W45" s="578"/>
      <c r="X45" s="578"/>
      <c r="Y45" s="578"/>
      <c r="Z45" s="578"/>
      <c r="AA45" s="579"/>
      <c r="AB45" s="580"/>
      <c r="AC45" s="581"/>
      <c r="AD45" s="582"/>
      <c r="AE45" s="583"/>
      <c r="AF45" s="584"/>
      <c r="AG45" s="553">
        <v>0</v>
      </c>
      <c r="AH45" s="554"/>
      <c r="AI45" s="555" t="e">
        <v>#N/A</v>
      </c>
      <c r="AJ45" s="556"/>
      <c r="AK45" s="556"/>
      <c r="AL45" s="556"/>
      <c r="AM45" s="556"/>
      <c r="AN45" s="556"/>
      <c r="AO45" s="556"/>
      <c r="AP45" s="556"/>
      <c r="AQ45" s="556"/>
      <c r="AR45" s="556"/>
      <c r="AS45" s="556"/>
      <c r="AT45" s="556"/>
      <c r="AU45" s="556"/>
      <c r="AV45" s="557"/>
      <c r="AW45" s="558">
        <v>0</v>
      </c>
      <c r="AX45" s="559"/>
      <c r="AY45" s="560"/>
      <c r="AZ45" s="585"/>
      <c r="BA45" s="586"/>
      <c r="BB45" s="587"/>
      <c r="BC45" s="558">
        <v>0</v>
      </c>
      <c r="BD45" s="559"/>
      <c r="BE45" s="560"/>
      <c r="BF45" s="558">
        <v>182.49</v>
      </c>
      <c r="BG45" s="559"/>
      <c r="BH45" s="560"/>
      <c r="BI45" s="564">
        <v>0</v>
      </c>
      <c r="BJ45" s="565"/>
      <c r="BK45" s="565"/>
      <c r="BL45" s="566"/>
      <c r="BM45" s="567" t="s">
        <v>932</v>
      </c>
      <c r="BN45" s="567"/>
      <c r="BO45" s="567"/>
      <c r="BP45" s="567"/>
      <c r="BQ45" s="568">
        <v>1</v>
      </c>
      <c r="BR45" s="568"/>
      <c r="BS45" s="568"/>
      <c r="BT45" s="567" t="s">
        <v>932</v>
      </c>
      <c r="BU45" s="567"/>
      <c r="BV45" s="567"/>
      <c r="BW45" s="567"/>
      <c r="BX45" s="568" t="s">
        <v>932</v>
      </c>
      <c r="BY45" s="568"/>
      <c r="BZ45" s="568"/>
      <c r="CA45" s="567" t="s">
        <v>932</v>
      </c>
      <c r="CB45" s="567"/>
      <c r="CC45" s="567"/>
      <c r="CD45" s="567"/>
      <c r="CE45" s="568" t="s">
        <v>932</v>
      </c>
      <c r="CF45" s="568"/>
      <c r="CG45" s="568"/>
      <c r="CH45" s="567" t="s">
        <v>932</v>
      </c>
      <c r="CI45" s="567"/>
      <c r="CJ45" s="567"/>
      <c r="CK45" s="567"/>
      <c r="CL45" s="568" t="s">
        <v>932</v>
      </c>
      <c r="CM45" s="568"/>
      <c r="CN45" s="568"/>
    </row>
    <row r="46" hidden="1" customHeight="1" spans="1:92">
      <c r="A46" s="569"/>
      <c r="B46" s="570"/>
      <c r="C46" s="571"/>
      <c r="D46" s="572"/>
      <c r="E46" s="573"/>
      <c r="F46" s="574"/>
      <c r="G46" s="575"/>
      <c r="H46" s="576"/>
      <c r="I46" s="577"/>
      <c r="J46" s="578"/>
      <c r="K46" s="578"/>
      <c r="L46" s="578"/>
      <c r="M46" s="578"/>
      <c r="N46" s="578"/>
      <c r="O46" s="578"/>
      <c r="P46" s="578"/>
      <c r="Q46" s="578"/>
      <c r="R46" s="578"/>
      <c r="S46" s="578"/>
      <c r="T46" s="578"/>
      <c r="U46" s="578"/>
      <c r="V46" s="578"/>
      <c r="W46" s="578"/>
      <c r="X46" s="578"/>
      <c r="Y46" s="578"/>
      <c r="Z46" s="578"/>
      <c r="AA46" s="579"/>
      <c r="AB46" s="580"/>
      <c r="AC46" s="581"/>
      <c r="AD46" s="582"/>
      <c r="AE46" s="583"/>
      <c r="AF46" s="584"/>
      <c r="AG46" s="553">
        <v>0</v>
      </c>
      <c r="AH46" s="554"/>
      <c r="AI46" s="555" t="e">
        <v>#N/A</v>
      </c>
      <c r="AJ46" s="556"/>
      <c r="AK46" s="556"/>
      <c r="AL46" s="556"/>
      <c r="AM46" s="556"/>
      <c r="AN46" s="556"/>
      <c r="AO46" s="556"/>
      <c r="AP46" s="556"/>
      <c r="AQ46" s="556"/>
      <c r="AR46" s="556"/>
      <c r="AS46" s="556"/>
      <c r="AT46" s="556"/>
      <c r="AU46" s="556"/>
      <c r="AV46" s="557"/>
      <c r="AW46" s="558">
        <v>0</v>
      </c>
      <c r="AX46" s="559"/>
      <c r="AY46" s="560"/>
      <c r="AZ46" s="585"/>
      <c r="BA46" s="586"/>
      <c r="BB46" s="587"/>
      <c r="BC46" s="558">
        <v>0</v>
      </c>
      <c r="BD46" s="559"/>
      <c r="BE46" s="560"/>
      <c r="BF46" s="558">
        <v>182.49</v>
      </c>
      <c r="BG46" s="559"/>
      <c r="BH46" s="560"/>
      <c r="BI46" s="564">
        <v>0</v>
      </c>
      <c r="BJ46" s="565"/>
      <c r="BK46" s="565"/>
      <c r="BL46" s="566"/>
      <c r="BM46" s="567" t="s">
        <v>932</v>
      </c>
      <c r="BN46" s="567"/>
      <c r="BO46" s="567"/>
      <c r="BP46" s="567"/>
      <c r="BQ46" s="568">
        <v>1</v>
      </c>
      <c r="BR46" s="568"/>
      <c r="BS46" s="568"/>
      <c r="BT46" s="567" t="s">
        <v>932</v>
      </c>
      <c r="BU46" s="567"/>
      <c r="BV46" s="567"/>
      <c r="BW46" s="567"/>
      <c r="BX46" s="568" t="s">
        <v>932</v>
      </c>
      <c r="BY46" s="568"/>
      <c r="BZ46" s="568"/>
      <c r="CA46" s="567" t="s">
        <v>932</v>
      </c>
      <c r="CB46" s="567"/>
      <c r="CC46" s="567"/>
      <c r="CD46" s="567"/>
      <c r="CE46" s="568" t="s">
        <v>932</v>
      </c>
      <c r="CF46" s="568"/>
      <c r="CG46" s="568"/>
      <c r="CH46" s="567" t="s">
        <v>932</v>
      </c>
      <c r="CI46" s="567"/>
      <c r="CJ46" s="567"/>
      <c r="CK46" s="567"/>
      <c r="CL46" s="568" t="s">
        <v>932</v>
      </c>
      <c r="CM46" s="568"/>
      <c r="CN46" s="568"/>
    </row>
    <row r="47" hidden="1" customHeight="1" spans="1:92">
      <c r="A47" s="588"/>
      <c r="B47" s="589"/>
      <c r="C47" s="590"/>
      <c r="D47" s="591"/>
      <c r="E47" s="592"/>
      <c r="F47" s="593"/>
      <c r="G47" s="594"/>
      <c r="H47" s="595"/>
      <c r="I47" s="596"/>
      <c r="J47" s="597"/>
      <c r="K47" s="597"/>
      <c r="L47" s="597"/>
      <c r="M47" s="597"/>
      <c r="N47" s="597"/>
      <c r="O47" s="597"/>
      <c r="P47" s="597"/>
      <c r="Q47" s="597"/>
      <c r="R47" s="597"/>
      <c r="S47" s="597"/>
      <c r="T47" s="597"/>
      <c r="U47" s="597"/>
      <c r="V47" s="597"/>
      <c r="W47" s="597"/>
      <c r="X47" s="597"/>
      <c r="Y47" s="597"/>
      <c r="Z47" s="597"/>
      <c r="AA47" s="598"/>
      <c r="AB47" s="599"/>
      <c r="AC47" s="600"/>
      <c r="AD47" s="601"/>
      <c r="AE47" s="602"/>
      <c r="AF47" s="603"/>
      <c r="AG47" s="553">
        <v>0</v>
      </c>
      <c r="AH47" s="554"/>
      <c r="AI47" s="555" t="e">
        <v>#N/A</v>
      </c>
      <c r="AJ47" s="556"/>
      <c r="AK47" s="556"/>
      <c r="AL47" s="556"/>
      <c r="AM47" s="556"/>
      <c r="AN47" s="556"/>
      <c r="AO47" s="556"/>
      <c r="AP47" s="556"/>
      <c r="AQ47" s="556"/>
      <c r="AR47" s="556"/>
      <c r="AS47" s="556"/>
      <c r="AT47" s="556"/>
      <c r="AU47" s="556"/>
      <c r="AV47" s="557"/>
      <c r="AW47" s="558">
        <v>0</v>
      </c>
      <c r="AX47" s="559"/>
      <c r="AY47" s="560"/>
      <c r="AZ47" s="604"/>
      <c r="BA47" s="605"/>
      <c r="BB47" s="606"/>
      <c r="BC47" s="558">
        <v>0</v>
      </c>
      <c r="BD47" s="559"/>
      <c r="BE47" s="560"/>
      <c r="BF47" s="558">
        <v>182.49</v>
      </c>
      <c r="BG47" s="559"/>
      <c r="BH47" s="560"/>
      <c r="BI47" s="564">
        <v>0</v>
      </c>
      <c r="BJ47" s="565"/>
      <c r="BK47" s="565"/>
      <c r="BL47" s="566"/>
      <c r="BM47" s="567" t="s">
        <v>932</v>
      </c>
      <c r="BN47" s="567"/>
      <c r="BO47" s="567"/>
      <c r="BP47" s="567"/>
      <c r="BQ47" s="568">
        <v>1</v>
      </c>
      <c r="BR47" s="568"/>
      <c r="BS47" s="568"/>
      <c r="BT47" s="567" t="s">
        <v>932</v>
      </c>
      <c r="BU47" s="567"/>
      <c r="BV47" s="567"/>
      <c r="BW47" s="567"/>
      <c r="BX47" s="568" t="s">
        <v>932</v>
      </c>
      <c r="BY47" s="568"/>
      <c r="BZ47" s="568"/>
      <c r="CA47" s="567" t="s">
        <v>932</v>
      </c>
      <c r="CB47" s="567"/>
      <c r="CC47" s="567"/>
      <c r="CD47" s="567"/>
      <c r="CE47" s="568" t="s">
        <v>932</v>
      </c>
      <c r="CF47" s="568"/>
      <c r="CG47" s="568"/>
      <c r="CH47" s="567" t="s">
        <v>932</v>
      </c>
      <c r="CI47" s="567"/>
      <c r="CJ47" s="567"/>
      <c r="CK47" s="567"/>
      <c r="CL47" s="568" t="s">
        <v>932</v>
      </c>
      <c r="CM47" s="568"/>
      <c r="CN47" s="568"/>
    </row>
    <row r="48" customHeight="1" spans="1:92">
      <c r="A48" s="540" t="s">
        <v>845</v>
      </c>
      <c r="B48" s="541"/>
      <c r="C48" s="89"/>
      <c r="D48" s="91"/>
      <c r="E48" s="90"/>
      <c r="F48" s="542">
        <v>2003864</v>
      </c>
      <c r="G48" s="543"/>
      <c r="H48" s="544"/>
      <c r="I48" s="545" t="s">
        <v>103</v>
      </c>
      <c r="J48" s="546"/>
      <c r="K48" s="546"/>
      <c r="L48" s="546"/>
      <c r="M48" s="546"/>
      <c r="N48" s="546"/>
      <c r="O48" s="546"/>
      <c r="P48" s="546"/>
      <c r="Q48" s="546"/>
      <c r="R48" s="546"/>
      <c r="S48" s="546"/>
      <c r="T48" s="546"/>
      <c r="U48" s="546"/>
      <c r="V48" s="546"/>
      <c r="W48" s="546"/>
      <c r="X48" s="546"/>
      <c r="Y48" s="546"/>
      <c r="Z48" s="546"/>
      <c r="AA48" s="547"/>
      <c r="AB48" s="548" t="s">
        <v>104</v>
      </c>
      <c r="AC48" s="549"/>
      <c r="AD48" s="550">
        <v>60</v>
      </c>
      <c r="AE48" s="551"/>
      <c r="AF48" s="552"/>
      <c r="AG48" s="553" t="s">
        <v>1062</v>
      </c>
      <c r="AH48" s="554"/>
      <c r="AI48" s="555" t="s">
        <v>1063</v>
      </c>
      <c r="AJ48" s="556"/>
      <c r="AK48" s="556"/>
      <c r="AL48" s="556"/>
      <c r="AM48" s="556"/>
      <c r="AN48" s="556"/>
      <c r="AO48" s="556"/>
      <c r="AP48" s="556"/>
      <c r="AQ48" s="556"/>
      <c r="AR48" s="556"/>
      <c r="AS48" s="556"/>
      <c r="AT48" s="556"/>
      <c r="AU48" s="556"/>
      <c r="AV48" s="557"/>
      <c r="AW48" s="558">
        <v>1</v>
      </c>
      <c r="AX48" s="559"/>
      <c r="AY48" s="560"/>
      <c r="AZ48" s="561">
        <v>1</v>
      </c>
      <c r="BA48" s="562"/>
      <c r="BB48" s="563"/>
      <c r="BC48" s="558">
        <v>60</v>
      </c>
      <c r="BD48" s="559"/>
      <c r="BE48" s="560"/>
      <c r="BF48" s="558">
        <v>182.49</v>
      </c>
      <c r="BG48" s="559"/>
      <c r="BH48" s="560"/>
      <c r="BI48" s="564">
        <v>0.328785138911721</v>
      </c>
      <c r="BJ48" s="565"/>
      <c r="BK48" s="565"/>
      <c r="BL48" s="566"/>
      <c r="BM48" s="567">
        <v>0.328785138911721</v>
      </c>
      <c r="BN48" s="567"/>
      <c r="BO48" s="567"/>
      <c r="BP48" s="567"/>
      <c r="BQ48" s="568">
        <v>1</v>
      </c>
      <c r="BR48" s="568"/>
      <c r="BS48" s="568"/>
      <c r="BT48" s="567" t="s">
        <v>932</v>
      </c>
      <c r="BU48" s="567"/>
      <c r="BV48" s="567"/>
      <c r="BW48" s="567"/>
      <c r="BX48" s="568" t="s">
        <v>932</v>
      </c>
      <c r="BY48" s="568"/>
      <c r="BZ48" s="568"/>
      <c r="CA48" s="567" t="s">
        <v>932</v>
      </c>
      <c r="CB48" s="567"/>
      <c r="CC48" s="567"/>
      <c r="CD48" s="567"/>
      <c r="CE48" s="568" t="s">
        <v>932</v>
      </c>
      <c r="CF48" s="568"/>
      <c r="CG48" s="568"/>
      <c r="CH48" s="567" t="s">
        <v>932</v>
      </c>
      <c r="CI48" s="567"/>
      <c r="CJ48" s="567"/>
      <c r="CK48" s="567"/>
      <c r="CL48" s="568" t="s">
        <v>932</v>
      </c>
      <c r="CM48" s="568"/>
      <c r="CN48" s="568"/>
    </row>
    <row r="49" customHeight="1" spans="1:92">
      <c r="A49" s="569"/>
      <c r="B49" s="570"/>
      <c r="C49" s="571"/>
      <c r="D49" s="572"/>
      <c r="E49" s="573"/>
      <c r="F49" s="574"/>
      <c r="G49" s="575"/>
      <c r="H49" s="576"/>
      <c r="I49" s="577"/>
      <c r="J49" s="578"/>
      <c r="K49" s="578"/>
      <c r="L49" s="578"/>
      <c r="M49" s="578"/>
      <c r="N49" s="578"/>
      <c r="O49" s="578"/>
      <c r="P49" s="578"/>
      <c r="Q49" s="578"/>
      <c r="R49" s="578"/>
      <c r="S49" s="578"/>
      <c r="T49" s="578"/>
      <c r="U49" s="578"/>
      <c r="V49" s="578"/>
      <c r="W49" s="578"/>
      <c r="X49" s="578"/>
      <c r="Y49" s="578"/>
      <c r="Z49" s="578"/>
      <c r="AA49" s="579"/>
      <c r="AB49" s="580"/>
      <c r="AC49" s="581"/>
      <c r="AD49" s="582"/>
      <c r="AE49" s="583"/>
      <c r="AF49" s="584"/>
      <c r="AG49" s="553" t="s">
        <v>1064</v>
      </c>
      <c r="AH49" s="554"/>
      <c r="AI49" s="555" t="s">
        <v>1065</v>
      </c>
      <c r="AJ49" s="556"/>
      <c r="AK49" s="556"/>
      <c r="AL49" s="556"/>
      <c r="AM49" s="556"/>
      <c r="AN49" s="556"/>
      <c r="AO49" s="556"/>
      <c r="AP49" s="556"/>
      <c r="AQ49" s="556"/>
      <c r="AR49" s="556"/>
      <c r="AS49" s="556"/>
      <c r="AT49" s="556"/>
      <c r="AU49" s="556"/>
      <c r="AV49" s="557"/>
      <c r="AW49" s="558">
        <v>1</v>
      </c>
      <c r="AX49" s="559"/>
      <c r="AY49" s="560"/>
      <c r="AZ49" s="585"/>
      <c r="BA49" s="586"/>
      <c r="BB49" s="587"/>
      <c r="BC49" s="558">
        <v>60</v>
      </c>
      <c r="BD49" s="559"/>
      <c r="BE49" s="560"/>
      <c r="BF49" s="558">
        <v>182.49</v>
      </c>
      <c r="BG49" s="559"/>
      <c r="BH49" s="560"/>
      <c r="BI49" s="564">
        <v>0.328785138911721</v>
      </c>
      <c r="BJ49" s="565"/>
      <c r="BK49" s="565"/>
      <c r="BL49" s="566"/>
      <c r="BM49" s="567">
        <v>0.328785138911721</v>
      </c>
      <c r="BN49" s="567"/>
      <c r="BO49" s="567"/>
      <c r="BP49" s="567"/>
      <c r="BQ49" s="568">
        <v>1</v>
      </c>
      <c r="BR49" s="568"/>
      <c r="BS49" s="568"/>
      <c r="BT49" s="567" t="s">
        <v>932</v>
      </c>
      <c r="BU49" s="567"/>
      <c r="BV49" s="567"/>
      <c r="BW49" s="567"/>
      <c r="BX49" s="568" t="s">
        <v>932</v>
      </c>
      <c r="BY49" s="568"/>
      <c r="BZ49" s="568"/>
      <c r="CA49" s="567" t="s">
        <v>932</v>
      </c>
      <c r="CB49" s="567"/>
      <c r="CC49" s="567"/>
      <c r="CD49" s="567"/>
      <c r="CE49" s="568" t="s">
        <v>932</v>
      </c>
      <c r="CF49" s="568"/>
      <c r="CG49" s="568"/>
      <c r="CH49" s="567" t="s">
        <v>932</v>
      </c>
      <c r="CI49" s="567"/>
      <c r="CJ49" s="567"/>
      <c r="CK49" s="567"/>
      <c r="CL49" s="568" t="s">
        <v>932</v>
      </c>
      <c r="CM49" s="568"/>
      <c r="CN49" s="568"/>
    </row>
    <row r="50" hidden="1" customHeight="1" spans="1:92">
      <c r="A50" s="569"/>
      <c r="B50" s="570"/>
      <c r="C50" s="571"/>
      <c r="D50" s="572"/>
      <c r="E50" s="573"/>
      <c r="F50" s="574"/>
      <c r="G50" s="575"/>
      <c r="H50" s="576"/>
      <c r="I50" s="577"/>
      <c r="J50" s="578"/>
      <c r="K50" s="578"/>
      <c r="L50" s="578"/>
      <c r="M50" s="578"/>
      <c r="N50" s="578"/>
      <c r="O50" s="578"/>
      <c r="P50" s="578"/>
      <c r="Q50" s="578"/>
      <c r="R50" s="578"/>
      <c r="S50" s="578"/>
      <c r="T50" s="578"/>
      <c r="U50" s="578"/>
      <c r="V50" s="578"/>
      <c r="W50" s="578"/>
      <c r="X50" s="578"/>
      <c r="Y50" s="578"/>
      <c r="Z50" s="578"/>
      <c r="AA50" s="579"/>
      <c r="AB50" s="580"/>
      <c r="AC50" s="581"/>
      <c r="AD50" s="582"/>
      <c r="AE50" s="583"/>
      <c r="AF50" s="584"/>
      <c r="AG50" s="553">
        <v>0</v>
      </c>
      <c r="AH50" s="554"/>
      <c r="AI50" s="555" t="e">
        <v>#N/A</v>
      </c>
      <c r="AJ50" s="556"/>
      <c r="AK50" s="556"/>
      <c r="AL50" s="556"/>
      <c r="AM50" s="556"/>
      <c r="AN50" s="556"/>
      <c r="AO50" s="556"/>
      <c r="AP50" s="556"/>
      <c r="AQ50" s="556"/>
      <c r="AR50" s="556"/>
      <c r="AS50" s="556"/>
      <c r="AT50" s="556"/>
      <c r="AU50" s="556"/>
      <c r="AV50" s="557"/>
      <c r="AW50" s="558">
        <v>0</v>
      </c>
      <c r="AX50" s="559"/>
      <c r="AY50" s="560"/>
      <c r="AZ50" s="585"/>
      <c r="BA50" s="586"/>
      <c r="BB50" s="587"/>
      <c r="BC50" s="558">
        <v>0</v>
      </c>
      <c r="BD50" s="559"/>
      <c r="BE50" s="560"/>
      <c r="BF50" s="558">
        <v>182.49</v>
      </c>
      <c r="BG50" s="559"/>
      <c r="BH50" s="560"/>
      <c r="BI50" s="564">
        <v>0</v>
      </c>
      <c r="BJ50" s="565"/>
      <c r="BK50" s="565"/>
      <c r="BL50" s="566"/>
      <c r="BM50" s="567" t="s">
        <v>932</v>
      </c>
      <c r="BN50" s="567"/>
      <c r="BO50" s="567"/>
      <c r="BP50" s="567"/>
      <c r="BQ50" s="568">
        <v>1</v>
      </c>
      <c r="BR50" s="568"/>
      <c r="BS50" s="568"/>
      <c r="BT50" s="567" t="s">
        <v>932</v>
      </c>
      <c r="BU50" s="567"/>
      <c r="BV50" s="567"/>
      <c r="BW50" s="567"/>
      <c r="BX50" s="568" t="s">
        <v>932</v>
      </c>
      <c r="BY50" s="568"/>
      <c r="BZ50" s="568"/>
      <c r="CA50" s="567" t="s">
        <v>932</v>
      </c>
      <c r="CB50" s="567"/>
      <c r="CC50" s="567"/>
      <c r="CD50" s="567"/>
      <c r="CE50" s="568" t="s">
        <v>932</v>
      </c>
      <c r="CF50" s="568"/>
      <c r="CG50" s="568"/>
      <c r="CH50" s="567" t="s">
        <v>932</v>
      </c>
      <c r="CI50" s="567"/>
      <c r="CJ50" s="567"/>
      <c r="CK50" s="567"/>
      <c r="CL50" s="568" t="s">
        <v>932</v>
      </c>
      <c r="CM50" s="568"/>
      <c r="CN50" s="568"/>
    </row>
    <row r="51" hidden="1" customHeight="1" spans="1:92">
      <c r="A51" s="569"/>
      <c r="B51" s="570"/>
      <c r="C51" s="571"/>
      <c r="D51" s="572"/>
      <c r="E51" s="573"/>
      <c r="F51" s="574"/>
      <c r="G51" s="575"/>
      <c r="H51" s="576"/>
      <c r="I51" s="577"/>
      <c r="J51" s="578"/>
      <c r="K51" s="578"/>
      <c r="L51" s="578"/>
      <c r="M51" s="578"/>
      <c r="N51" s="578"/>
      <c r="O51" s="578"/>
      <c r="P51" s="578"/>
      <c r="Q51" s="578"/>
      <c r="R51" s="578"/>
      <c r="S51" s="578"/>
      <c r="T51" s="578"/>
      <c r="U51" s="578"/>
      <c r="V51" s="578"/>
      <c r="W51" s="578"/>
      <c r="X51" s="578"/>
      <c r="Y51" s="578"/>
      <c r="Z51" s="578"/>
      <c r="AA51" s="579"/>
      <c r="AB51" s="580"/>
      <c r="AC51" s="581"/>
      <c r="AD51" s="582"/>
      <c r="AE51" s="583"/>
      <c r="AF51" s="584"/>
      <c r="AG51" s="553">
        <v>0</v>
      </c>
      <c r="AH51" s="554"/>
      <c r="AI51" s="555" t="e">
        <v>#N/A</v>
      </c>
      <c r="AJ51" s="556"/>
      <c r="AK51" s="556"/>
      <c r="AL51" s="556"/>
      <c r="AM51" s="556"/>
      <c r="AN51" s="556"/>
      <c r="AO51" s="556"/>
      <c r="AP51" s="556"/>
      <c r="AQ51" s="556"/>
      <c r="AR51" s="556"/>
      <c r="AS51" s="556"/>
      <c r="AT51" s="556"/>
      <c r="AU51" s="556"/>
      <c r="AV51" s="557"/>
      <c r="AW51" s="558">
        <v>0</v>
      </c>
      <c r="AX51" s="559"/>
      <c r="AY51" s="560"/>
      <c r="AZ51" s="585"/>
      <c r="BA51" s="586"/>
      <c r="BB51" s="587"/>
      <c r="BC51" s="558">
        <v>0</v>
      </c>
      <c r="BD51" s="559"/>
      <c r="BE51" s="560"/>
      <c r="BF51" s="558">
        <v>182.49</v>
      </c>
      <c r="BG51" s="559"/>
      <c r="BH51" s="560"/>
      <c r="BI51" s="564">
        <v>0</v>
      </c>
      <c r="BJ51" s="565"/>
      <c r="BK51" s="565"/>
      <c r="BL51" s="566"/>
      <c r="BM51" s="567" t="s">
        <v>932</v>
      </c>
      <c r="BN51" s="567"/>
      <c r="BO51" s="567"/>
      <c r="BP51" s="567"/>
      <c r="BQ51" s="568">
        <v>1</v>
      </c>
      <c r="BR51" s="568"/>
      <c r="BS51" s="568"/>
      <c r="BT51" s="567" t="s">
        <v>932</v>
      </c>
      <c r="BU51" s="567"/>
      <c r="BV51" s="567"/>
      <c r="BW51" s="567"/>
      <c r="BX51" s="568" t="s">
        <v>932</v>
      </c>
      <c r="BY51" s="568"/>
      <c r="BZ51" s="568"/>
      <c r="CA51" s="567" t="s">
        <v>932</v>
      </c>
      <c r="CB51" s="567"/>
      <c r="CC51" s="567"/>
      <c r="CD51" s="567"/>
      <c r="CE51" s="568" t="s">
        <v>932</v>
      </c>
      <c r="CF51" s="568"/>
      <c r="CG51" s="568"/>
      <c r="CH51" s="567" t="s">
        <v>932</v>
      </c>
      <c r="CI51" s="567"/>
      <c r="CJ51" s="567"/>
      <c r="CK51" s="567"/>
      <c r="CL51" s="568" t="s">
        <v>932</v>
      </c>
      <c r="CM51" s="568"/>
      <c r="CN51" s="568"/>
    </row>
    <row r="52" hidden="1" customHeight="1" spans="1:92">
      <c r="A52" s="569"/>
      <c r="B52" s="570"/>
      <c r="C52" s="571"/>
      <c r="D52" s="572"/>
      <c r="E52" s="573"/>
      <c r="F52" s="574"/>
      <c r="G52" s="575"/>
      <c r="H52" s="576"/>
      <c r="I52" s="577"/>
      <c r="J52" s="578"/>
      <c r="K52" s="578"/>
      <c r="L52" s="578"/>
      <c r="M52" s="578"/>
      <c r="N52" s="578"/>
      <c r="O52" s="578"/>
      <c r="P52" s="578"/>
      <c r="Q52" s="578"/>
      <c r="R52" s="578"/>
      <c r="S52" s="578"/>
      <c r="T52" s="578"/>
      <c r="U52" s="578"/>
      <c r="V52" s="578"/>
      <c r="W52" s="578"/>
      <c r="X52" s="578"/>
      <c r="Y52" s="578"/>
      <c r="Z52" s="578"/>
      <c r="AA52" s="579"/>
      <c r="AB52" s="580"/>
      <c r="AC52" s="581"/>
      <c r="AD52" s="582"/>
      <c r="AE52" s="583"/>
      <c r="AF52" s="584"/>
      <c r="AG52" s="553">
        <v>0</v>
      </c>
      <c r="AH52" s="554"/>
      <c r="AI52" s="555" t="e">
        <v>#N/A</v>
      </c>
      <c r="AJ52" s="556"/>
      <c r="AK52" s="556"/>
      <c r="AL52" s="556"/>
      <c r="AM52" s="556"/>
      <c r="AN52" s="556"/>
      <c r="AO52" s="556"/>
      <c r="AP52" s="556"/>
      <c r="AQ52" s="556"/>
      <c r="AR52" s="556"/>
      <c r="AS52" s="556"/>
      <c r="AT52" s="556"/>
      <c r="AU52" s="556"/>
      <c r="AV52" s="557"/>
      <c r="AW52" s="558">
        <v>0</v>
      </c>
      <c r="AX52" s="559"/>
      <c r="AY52" s="560"/>
      <c r="AZ52" s="585"/>
      <c r="BA52" s="586"/>
      <c r="BB52" s="587"/>
      <c r="BC52" s="558">
        <v>0</v>
      </c>
      <c r="BD52" s="559"/>
      <c r="BE52" s="560"/>
      <c r="BF52" s="558">
        <v>182.49</v>
      </c>
      <c r="BG52" s="559"/>
      <c r="BH52" s="560"/>
      <c r="BI52" s="564">
        <v>0</v>
      </c>
      <c r="BJ52" s="565"/>
      <c r="BK52" s="565"/>
      <c r="BL52" s="566"/>
      <c r="BM52" s="567" t="s">
        <v>932</v>
      </c>
      <c r="BN52" s="567"/>
      <c r="BO52" s="567"/>
      <c r="BP52" s="567"/>
      <c r="BQ52" s="568">
        <v>1</v>
      </c>
      <c r="BR52" s="568"/>
      <c r="BS52" s="568"/>
      <c r="BT52" s="567" t="s">
        <v>932</v>
      </c>
      <c r="BU52" s="567"/>
      <c r="BV52" s="567"/>
      <c r="BW52" s="567"/>
      <c r="BX52" s="568" t="s">
        <v>932</v>
      </c>
      <c r="BY52" s="568"/>
      <c r="BZ52" s="568"/>
      <c r="CA52" s="567" t="s">
        <v>932</v>
      </c>
      <c r="CB52" s="567"/>
      <c r="CC52" s="567"/>
      <c r="CD52" s="567"/>
      <c r="CE52" s="568" t="s">
        <v>932</v>
      </c>
      <c r="CF52" s="568"/>
      <c r="CG52" s="568"/>
      <c r="CH52" s="567" t="s">
        <v>932</v>
      </c>
      <c r="CI52" s="567"/>
      <c r="CJ52" s="567"/>
      <c r="CK52" s="567"/>
      <c r="CL52" s="568" t="s">
        <v>932</v>
      </c>
      <c r="CM52" s="568"/>
      <c r="CN52" s="568"/>
    </row>
    <row r="53" hidden="1" customHeight="1" spans="1:92">
      <c r="A53" s="569"/>
      <c r="B53" s="570"/>
      <c r="C53" s="571"/>
      <c r="D53" s="572"/>
      <c r="E53" s="573"/>
      <c r="F53" s="574"/>
      <c r="G53" s="575"/>
      <c r="H53" s="576"/>
      <c r="I53" s="577"/>
      <c r="J53" s="578"/>
      <c r="K53" s="578"/>
      <c r="L53" s="578"/>
      <c r="M53" s="578"/>
      <c r="N53" s="578"/>
      <c r="O53" s="578"/>
      <c r="P53" s="578"/>
      <c r="Q53" s="578"/>
      <c r="R53" s="578"/>
      <c r="S53" s="578"/>
      <c r="T53" s="578"/>
      <c r="U53" s="578"/>
      <c r="V53" s="578"/>
      <c r="W53" s="578"/>
      <c r="X53" s="578"/>
      <c r="Y53" s="578"/>
      <c r="Z53" s="578"/>
      <c r="AA53" s="579"/>
      <c r="AB53" s="580"/>
      <c r="AC53" s="581"/>
      <c r="AD53" s="582"/>
      <c r="AE53" s="583"/>
      <c r="AF53" s="584"/>
      <c r="AG53" s="553">
        <v>0</v>
      </c>
      <c r="AH53" s="554"/>
      <c r="AI53" s="555" t="e">
        <v>#N/A</v>
      </c>
      <c r="AJ53" s="556"/>
      <c r="AK53" s="556"/>
      <c r="AL53" s="556"/>
      <c r="AM53" s="556"/>
      <c r="AN53" s="556"/>
      <c r="AO53" s="556"/>
      <c r="AP53" s="556"/>
      <c r="AQ53" s="556"/>
      <c r="AR53" s="556"/>
      <c r="AS53" s="556"/>
      <c r="AT53" s="556"/>
      <c r="AU53" s="556"/>
      <c r="AV53" s="557"/>
      <c r="AW53" s="558">
        <v>0</v>
      </c>
      <c r="AX53" s="559"/>
      <c r="AY53" s="560"/>
      <c r="AZ53" s="585"/>
      <c r="BA53" s="586"/>
      <c r="BB53" s="587"/>
      <c r="BC53" s="558">
        <v>0</v>
      </c>
      <c r="BD53" s="559"/>
      <c r="BE53" s="560"/>
      <c r="BF53" s="558">
        <v>182.49</v>
      </c>
      <c r="BG53" s="559"/>
      <c r="BH53" s="560"/>
      <c r="BI53" s="564">
        <v>0</v>
      </c>
      <c r="BJ53" s="565"/>
      <c r="BK53" s="565"/>
      <c r="BL53" s="566"/>
      <c r="BM53" s="567" t="s">
        <v>932</v>
      </c>
      <c r="BN53" s="567"/>
      <c r="BO53" s="567"/>
      <c r="BP53" s="567"/>
      <c r="BQ53" s="568">
        <v>1</v>
      </c>
      <c r="BR53" s="568"/>
      <c r="BS53" s="568"/>
      <c r="BT53" s="567" t="s">
        <v>932</v>
      </c>
      <c r="BU53" s="567"/>
      <c r="BV53" s="567"/>
      <c r="BW53" s="567"/>
      <c r="BX53" s="568" t="s">
        <v>932</v>
      </c>
      <c r="BY53" s="568"/>
      <c r="BZ53" s="568"/>
      <c r="CA53" s="567" t="s">
        <v>932</v>
      </c>
      <c r="CB53" s="567"/>
      <c r="CC53" s="567"/>
      <c r="CD53" s="567"/>
      <c r="CE53" s="568" t="s">
        <v>932</v>
      </c>
      <c r="CF53" s="568"/>
      <c r="CG53" s="568"/>
      <c r="CH53" s="567" t="s">
        <v>932</v>
      </c>
      <c r="CI53" s="567"/>
      <c r="CJ53" s="567"/>
      <c r="CK53" s="567"/>
      <c r="CL53" s="568" t="s">
        <v>932</v>
      </c>
      <c r="CM53" s="568"/>
      <c r="CN53" s="568"/>
    </row>
    <row r="54" hidden="1" customHeight="1" spans="1:92">
      <c r="A54" s="569"/>
      <c r="B54" s="570"/>
      <c r="C54" s="571"/>
      <c r="D54" s="572"/>
      <c r="E54" s="573"/>
      <c r="F54" s="574"/>
      <c r="G54" s="575"/>
      <c r="H54" s="576"/>
      <c r="I54" s="577"/>
      <c r="J54" s="578"/>
      <c r="K54" s="578"/>
      <c r="L54" s="578"/>
      <c r="M54" s="578"/>
      <c r="N54" s="578"/>
      <c r="O54" s="578"/>
      <c r="P54" s="578"/>
      <c r="Q54" s="578"/>
      <c r="R54" s="578"/>
      <c r="S54" s="578"/>
      <c r="T54" s="578"/>
      <c r="U54" s="578"/>
      <c r="V54" s="578"/>
      <c r="W54" s="578"/>
      <c r="X54" s="578"/>
      <c r="Y54" s="578"/>
      <c r="Z54" s="578"/>
      <c r="AA54" s="579"/>
      <c r="AB54" s="580"/>
      <c r="AC54" s="581"/>
      <c r="AD54" s="582"/>
      <c r="AE54" s="583"/>
      <c r="AF54" s="584"/>
      <c r="AG54" s="553">
        <v>0</v>
      </c>
      <c r="AH54" s="554"/>
      <c r="AI54" s="555" t="e">
        <v>#N/A</v>
      </c>
      <c r="AJ54" s="556"/>
      <c r="AK54" s="556"/>
      <c r="AL54" s="556"/>
      <c r="AM54" s="556"/>
      <c r="AN54" s="556"/>
      <c r="AO54" s="556"/>
      <c r="AP54" s="556"/>
      <c r="AQ54" s="556"/>
      <c r="AR54" s="556"/>
      <c r="AS54" s="556"/>
      <c r="AT54" s="556"/>
      <c r="AU54" s="556"/>
      <c r="AV54" s="557"/>
      <c r="AW54" s="558">
        <v>0</v>
      </c>
      <c r="AX54" s="559"/>
      <c r="AY54" s="560"/>
      <c r="AZ54" s="585"/>
      <c r="BA54" s="586"/>
      <c r="BB54" s="587"/>
      <c r="BC54" s="558">
        <v>0</v>
      </c>
      <c r="BD54" s="559"/>
      <c r="BE54" s="560"/>
      <c r="BF54" s="558">
        <v>182.49</v>
      </c>
      <c r="BG54" s="559"/>
      <c r="BH54" s="560"/>
      <c r="BI54" s="564">
        <v>0</v>
      </c>
      <c r="BJ54" s="565"/>
      <c r="BK54" s="565"/>
      <c r="BL54" s="566"/>
      <c r="BM54" s="567" t="s">
        <v>932</v>
      </c>
      <c r="BN54" s="567"/>
      <c r="BO54" s="567"/>
      <c r="BP54" s="567"/>
      <c r="BQ54" s="568">
        <v>1</v>
      </c>
      <c r="BR54" s="568"/>
      <c r="BS54" s="568"/>
      <c r="BT54" s="567" t="s">
        <v>932</v>
      </c>
      <c r="BU54" s="567"/>
      <c r="BV54" s="567"/>
      <c r="BW54" s="567"/>
      <c r="BX54" s="568" t="s">
        <v>932</v>
      </c>
      <c r="BY54" s="568"/>
      <c r="BZ54" s="568"/>
      <c r="CA54" s="567" t="s">
        <v>932</v>
      </c>
      <c r="CB54" s="567"/>
      <c r="CC54" s="567"/>
      <c r="CD54" s="567"/>
      <c r="CE54" s="568" t="s">
        <v>932</v>
      </c>
      <c r="CF54" s="568"/>
      <c r="CG54" s="568"/>
      <c r="CH54" s="567" t="s">
        <v>932</v>
      </c>
      <c r="CI54" s="567"/>
      <c r="CJ54" s="567"/>
      <c r="CK54" s="567"/>
      <c r="CL54" s="568" t="s">
        <v>932</v>
      </c>
      <c r="CM54" s="568"/>
      <c r="CN54" s="568"/>
    </row>
    <row r="55" hidden="1" customHeight="1" spans="1:92">
      <c r="A55" s="588"/>
      <c r="B55" s="589"/>
      <c r="C55" s="590"/>
      <c r="D55" s="591"/>
      <c r="E55" s="592"/>
      <c r="F55" s="593"/>
      <c r="G55" s="594"/>
      <c r="H55" s="595"/>
      <c r="I55" s="596"/>
      <c r="J55" s="597"/>
      <c r="K55" s="597"/>
      <c r="L55" s="597"/>
      <c r="M55" s="597"/>
      <c r="N55" s="597"/>
      <c r="O55" s="597"/>
      <c r="P55" s="597"/>
      <c r="Q55" s="597"/>
      <c r="R55" s="597"/>
      <c r="S55" s="597"/>
      <c r="T55" s="597"/>
      <c r="U55" s="597"/>
      <c r="V55" s="597"/>
      <c r="W55" s="597"/>
      <c r="X55" s="597"/>
      <c r="Y55" s="597"/>
      <c r="Z55" s="597"/>
      <c r="AA55" s="598"/>
      <c r="AB55" s="599"/>
      <c r="AC55" s="600"/>
      <c r="AD55" s="601"/>
      <c r="AE55" s="602"/>
      <c r="AF55" s="603"/>
      <c r="AG55" s="553">
        <v>0</v>
      </c>
      <c r="AH55" s="554"/>
      <c r="AI55" s="555" t="e">
        <v>#N/A</v>
      </c>
      <c r="AJ55" s="556"/>
      <c r="AK55" s="556"/>
      <c r="AL55" s="556"/>
      <c r="AM55" s="556"/>
      <c r="AN55" s="556"/>
      <c r="AO55" s="556"/>
      <c r="AP55" s="556"/>
      <c r="AQ55" s="556"/>
      <c r="AR55" s="556"/>
      <c r="AS55" s="556"/>
      <c r="AT55" s="556"/>
      <c r="AU55" s="556"/>
      <c r="AV55" s="557"/>
      <c r="AW55" s="558">
        <v>0</v>
      </c>
      <c r="AX55" s="559"/>
      <c r="AY55" s="560"/>
      <c r="AZ55" s="604"/>
      <c r="BA55" s="605"/>
      <c r="BB55" s="606"/>
      <c r="BC55" s="558">
        <v>0</v>
      </c>
      <c r="BD55" s="559"/>
      <c r="BE55" s="560"/>
      <c r="BF55" s="558">
        <v>182.49</v>
      </c>
      <c r="BG55" s="559"/>
      <c r="BH55" s="560"/>
      <c r="BI55" s="564">
        <v>0</v>
      </c>
      <c r="BJ55" s="565"/>
      <c r="BK55" s="565"/>
      <c r="BL55" s="566"/>
      <c r="BM55" s="567" t="s">
        <v>932</v>
      </c>
      <c r="BN55" s="567"/>
      <c r="BO55" s="567"/>
      <c r="BP55" s="567"/>
      <c r="BQ55" s="568">
        <v>1</v>
      </c>
      <c r="BR55" s="568"/>
      <c r="BS55" s="568"/>
      <c r="BT55" s="567" t="s">
        <v>932</v>
      </c>
      <c r="BU55" s="567"/>
      <c r="BV55" s="567"/>
      <c r="BW55" s="567"/>
      <c r="BX55" s="568" t="s">
        <v>932</v>
      </c>
      <c r="BY55" s="568"/>
      <c r="BZ55" s="568"/>
      <c r="CA55" s="567" t="s">
        <v>932</v>
      </c>
      <c r="CB55" s="567"/>
      <c r="CC55" s="567"/>
      <c r="CD55" s="567"/>
      <c r="CE55" s="568" t="s">
        <v>932</v>
      </c>
      <c r="CF55" s="568"/>
      <c r="CG55" s="568"/>
      <c r="CH55" s="567" t="s">
        <v>932</v>
      </c>
      <c r="CI55" s="567"/>
      <c r="CJ55" s="567"/>
      <c r="CK55" s="567"/>
      <c r="CL55" s="568" t="s">
        <v>932</v>
      </c>
      <c r="CM55" s="568"/>
      <c r="CN55" s="568"/>
    </row>
    <row r="56" customHeight="1" spans="1:92">
      <c r="A56" s="540" t="s">
        <v>850</v>
      </c>
      <c r="B56" s="541"/>
      <c r="C56" s="89"/>
      <c r="D56" s="91"/>
      <c r="E56" s="90"/>
      <c r="F56" s="542">
        <v>5502109</v>
      </c>
      <c r="G56" s="543"/>
      <c r="H56" s="544"/>
      <c r="I56" s="545" t="s">
        <v>98</v>
      </c>
      <c r="J56" s="546"/>
      <c r="K56" s="546"/>
      <c r="L56" s="546"/>
      <c r="M56" s="546"/>
      <c r="N56" s="546"/>
      <c r="O56" s="546"/>
      <c r="P56" s="546"/>
      <c r="Q56" s="546"/>
      <c r="R56" s="546"/>
      <c r="S56" s="546"/>
      <c r="T56" s="546"/>
      <c r="U56" s="546"/>
      <c r="V56" s="546"/>
      <c r="W56" s="546"/>
      <c r="X56" s="546"/>
      <c r="Y56" s="546"/>
      <c r="Z56" s="546"/>
      <c r="AA56" s="547"/>
      <c r="AB56" s="548" t="s">
        <v>99</v>
      </c>
      <c r="AC56" s="549"/>
      <c r="AD56" s="550">
        <v>57.6</v>
      </c>
      <c r="AE56" s="551"/>
      <c r="AF56" s="552"/>
      <c r="AG56" s="553" t="s">
        <v>1056</v>
      </c>
      <c r="AH56" s="554"/>
      <c r="AI56" s="555" t="s">
        <v>1057</v>
      </c>
      <c r="AJ56" s="556"/>
      <c r="AK56" s="556"/>
      <c r="AL56" s="556"/>
      <c r="AM56" s="556"/>
      <c r="AN56" s="556"/>
      <c r="AO56" s="556"/>
      <c r="AP56" s="556"/>
      <c r="AQ56" s="556"/>
      <c r="AR56" s="556"/>
      <c r="AS56" s="556"/>
      <c r="AT56" s="556"/>
      <c r="AU56" s="556"/>
      <c r="AV56" s="557"/>
      <c r="AW56" s="558">
        <v>4</v>
      </c>
      <c r="AX56" s="559"/>
      <c r="AY56" s="560"/>
      <c r="AZ56" s="561">
        <v>230.19</v>
      </c>
      <c r="BA56" s="562"/>
      <c r="BB56" s="563"/>
      <c r="BC56" s="558">
        <v>1.00091228984752</v>
      </c>
      <c r="BD56" s="559"/>
      <c r="BE56" s="560"/>
      <c r="BF56" s="558">
        <v>182.49</v>
      </c>
      <c r="BG56" s="559"/>
      <c r="BH56" s="560"/>
      <c r="BI56" s="564">
        <v>0.00548475143759942</v>
      </c>
      <c r="BJ56" s="565"/>
      <c r="BK56" s="565"/>
      <c r="BL56" s="566"/>
      <c r="BM56" s="567">
        <v>0.00137118785939985</v>
      </c>
      <c r="BN56" s="567"/>
      <c r="BO56" s="567"/>
      <c r="BP56" s="567"/>
      <c r="BQ56" s="568">
        <v>0.25</v>
      </c>
      <c r="BR56" s="568"/>
      <c r="BS56" s="568"/>
      <c r="BT56" s="567">
        <v>0.00411356357819956</v>
      </c>
      <c r="BU56" s="567"/>
      <c r="BV56" s="567"/>
      <c r="BW56" s="567"/>
      <c r="BX56" s="568">
        <v>0.75</v>
      </c>
      <c r="BY56" s="568"/>
      <c r="BZ56" s="568"/>
      <c r="CA56" s="567" t="s">
        <v>932</v>
      </c>
      <c r="CB56" s="567"/>
      <c r="CC56" s="567"/>
      <c r="CD56" s="567"/>
      <c r="CE56" s="568" t="s">
        <v>932</v>
      </c>
      <c r="CF56" s="568"/>
      <c r="CG56" s="568"/>
      <c r="CH56" s="567" t="s">
        <v>932</v>
      </c>
      <c r="CI56" s="567"/>
      <c r="CJ56" s="567"/>
      <c r="CK56" s="567"/>
      <c r="CL56" s="568" t="s">
        <v>932</v>
      </c>
      <c r="CM56" s="568"/>
      <c r="CN56" s="568"/>
    </row>
    <row r="57" customHeight="1" spans="1:92">
      <c r="A57" s="569"/>
      <c r="B57" s="570"/>
      <c r="C57" s="571"/>
      <c r="D57" s="572"/>
      <c r="E57" s="573"/>
      <c r="F57" s="574"/>
      <c r="G57" s="575"/>
      <c r="H57" s="576"/>
      <c r="I57" s="577"/>
      <c r="J57" s="578"/>
      <c r="K57" s="578"/>
      <c r="L57" s="578"/>
      <c r="M57" s="578"/>
      <c r="N57" s="578"/>
      <c r="O57" s="578"/>
      <c r="P57" s="578"/>
      <c r="Q57" s="578"/>
      <c r="R57" s="578"/>
      <c r="S57" s="578"/>
      <c r="T57" s="578"/>
      <c r="U57" s="578"/>
      <c r="V57" s="578"/>
      <c r="W57" s="578"/>
      <c r="X57" s="578"/>
      <c r="Y57" s="578"/>
      <c r="Z57" s="578"/>
      <c r="AA57" s="579"/>
      <c r="AB57" s="580"/>
      <c r="AC57" s="581"/>
      <c r="AD57" s="582"/>
      <c r="AE57" s="583"/>
      <c r="AF57" s="584"/>
      <c r="AG57" s="553" t="s">
        <v>1058</v>
      </c>
      <c r="AH57" s="554"/>
      <c r="AI57" s="555" t="s">
        <v>1059</v>
      </c>
      <c r="AJ57" s="556"/>
      <c r="AK57" s="556"/>
      <c r="AL57" s="556"/>
      <c r="AM57" s="556"/>
      <c r="AN57" s="556"/>
      <c r="AO57" s="556"/>
      <c r="AP57" s="556"/>
      <c r="AQ57" s="556"/>
      <c r="AR57" s="556"/>
      <c r="AS57" s="556"/>
      <c r="AT57" s="556"/>
      <c r="AU57" s="556"/>
      <c r="AV57" s="557"/>
      <c r="AW57" s="558">
        <v>1</v>
      </c>
      <c r="AX57" s="559"/>
      <c r="AY57" s="560"/>
      <c r="AZ57" s="585"/>
      <c r="BA57" s="586"/>
      <c r="BB57" s="587"/>
      <c r="BC57" s="558">
        <v>0.250228072461879</v>
      </c>
      <c r="BD57" s="559"/>
      <c r="BE57" s="560"/>
      <c r="BF57" s="558">
        <v>182.49</v>
      </c>
      <c r="BG57" s="559"/>
      <c r="BH57" s="560"/>
      <c r="BI57" s="564">
        <v>0.00137118785939985</v>
      </c>
      <c r="BJ57" s="565"/>
      <c r="BK57" s="565"/>
      <c r="BL57" s="566"/>
      <c r="BM57" s="567">
        <v>0.000342796964849963</v>
      </c>
      <c r="BN57" s="567"/>
      <c r="BO57" s="567"/>
      <c r="BP57" s="567"/>
      <c r="BQ57" s="568">
        <v>0.25</v>
      </c>
      <c r="BR57" s="568"/>
      <c r="BS57" s="568"/>
      <c r="BT57" s="567">
        <v>0.00102839089454989</v>
      </c>
      <c r="BU57" s="567"/>
      <c r="BV57" s="567"/>
      <c r="BW57" s="567"/>
      <c r="BX57" s="568">
        <v>0.75</v>
      </c>
      <c r="BY57" s="568"/>
      <c r="BZ57" s="568"/>
      <c r="CA57" s="567" t="s">
        <v>932</v>
      </c>
      <c r="CB57" s="567"/>
      <c r="CC57" s="567"/>
      <c r="CD57" s="567"/>
      <c r="CE57" s="568" t="s">
        <v>932</v>
      </c>
      <c r="CF57" s="568"/>
      <c r="CG57" s="568"/>
      <c r="CH57" s="567" t="s">
        <v>932</v>
      </c>
      <c r="CI57" s="567"/>
      <c r="CJ57" s="567"/>
      <c r="CK57" s="567"/>
      <c r="CL57" s="568" t="s">
        <v>932</v>
      </c>
      <c r="CM57" s="568"/>
      <c r="CN57" s="568"/>
    </row>
    <row r="58" hidden="1" customHeight="1" spans="1:92">
      <c r="A58" s="569"/>
      <c r="B58" s="570"/>
      <c r="C58" s="571"/>
      <c r="D58" s="572"/>
      <c r="E58" s="573"/>
      <c r="F58" s="574"/>
      <c r="G58" s="575"/>
      <c r="H58" s="576"/>
      <c r="I58" s="577"/>
      <c r="J58" s="578"/>
      <c r="K58" s="578"/>
      <c r="L58" s="578"/>
      <c r="M58" s="578"/>
      <c r="N58" s="578"/>
      <c r="O58" s="578"/>
      <c r="P58" s="578"/>
      <c r="Q58" s="578"/>
      <c r="R58" s="578"/>
      <c r="S58" s="578"/>
      <c r="T58" s="578"/>
      <c r="U58" s="578"/>
      <c r="V58" s="578"/>
      <c r="W58" s="578"/>
      <c r="X58" s="578"/>
      <c r="Y58" s="578"/>
      <c r="Z58" s="578"/>
      <c r="AA58" s="579"/>
      <c r="AB58" s="580"/>
      <c r="AC58" s="581"/>
      <c r="AD58" s="582"/>
      <c r="AE58" s="583"/>
      <c r="AF58" s="584"/>
      <c r="AG58" s="553">
        <v>0</v>
      </c>
      <c r="AH58" s="554"/>
      <c r="AI58" s="555" t="e">
        <v>#N/A</v>
      </c>
      <c r="AJ58" s="556"/>
      <c r="AK58" s="556"/>
      <c r="AL58" s="556"/>
      <c r="AM58" s="556"/>
      <c r="AN58" s="556"/>
      <c r="AO58" s="556"/>
      <c r="AP58" s="556"/>
      <c r="AQ58" s="556"/>
      <c r="AR58" s="556"/>
      <c r="AS58" s="556"/>
      <c r="AT58" s="556"/>
      <c r="AU58" s="556"/>
      <c r="AV58" s="557"/>
      <c r="AW58" s="558">
        <v>0</v>
      </c>
      <c r="AX58" s="559"/>
      <c r="AY58" s="560"/>
      <c r="AZ58" s="585"/>
      <c r="BA58" s="586"/>
      <c r="BB58" s="587"/>
      <c r="BC58" s="558">
        <v>0</v>
      </c>
      <c r="BD58" s="559"/>
      <c r="BE58" s="560"/>
      <c r="BF58" s="558">
        <v>182.49</v>
      </c>
      <c r="BG58" s="559"/>
      <c r="BH58" s="560"/>
      <c r="BI58" s="564">
        <v>0</v>
      </c>
      <c r="BJ58" s="565"/>
      <c r="BK58" s="565"/>
      <c r="BL58" s="566"/>
      <c r="BM58" s="567" t="s">
        <v>932</v>
      </c>
      <c r="BN58" s="567"/>
      <c r="BO58" s="567"/>
      <c r="BP58" s="567"/>
      <c r="BQ58" s="568">
        <v>0.25</v>
      </c>
      <c r="BR58" s="568"/>
      <c r="BS58" s="568"/>
      <c r="BT58" s="567" t="s">
        <v>932</v>
      </c>
      <c r="BU58" s="567"/>
      <c r="BV58" s="567"/>
      <c r="BW58" s="567"/>
      <c r="BX58" s="568">
        <v>0.75</v>
      </c>
      <c r="BY58" s="568"/>
      <c r="BZ58" s="568"/>
      <c r="CA58" s="567" t="s">
        <v>932</v>
      </c>
      <c r="CB58" s="567"/>
      <c r="CC58" s="567"/>
      <c r="CD58" s="567"/>
      <c r="CE58" s="568" t="s">
        <v>932</v>
      </c>
      <c r="CF58" s="568"/>
      <c r="CG58" s="568"/>
      <c r="CH58" s="567" t="s">
        <v>932</v>
      </c>
      <c r="CI58" s="567"/>
      <c r="CJ58" s="567"/>
      <c r="CK58" s="567"/>
      <c r="CL58" s="568" t="s">
        <v>932</v>
      </c>
      <c r="CM58" s="568"/>
      <c r="CN58" s="568"/>
    </row>
    <row r="59" hidden="1" customHeight="1" spans="1:92">
      <c r="A59" s="569"/>
      <c r="B59" s="570"/>
      <c r="C59" s="571"/>
      <c r="D59" s="572"/>
      <c r="E59" s="573"/>
      <c r="F59" s="574"/>
      <c r="G59" s="575"/>
      <c r="H59" s="576"/>
      <c r="I59" s="577"/>
      <c r="J59" s="578"/>
      <c r="K59" s="578"/>
      <c r="L59" s="578"/>
      <c r="M59" s="578"/>
      <c r="N59" s="578"/>
      <c r="O59" s="578"/>
      <c r="P59" s="578"/>
      <c r="Q59" s="578"/>
      <c r="R59" s="578"/>
      <c r="S59" s="578"/>
      <c r="T59" s="578"/>
      <c r="U59" s="578"/>
      <c r="V59" s="578"/>
      <c r="W59" s="578"/>
      <c r="X59" s="578"/>
      <c r="Y59" s="578"/>
      <c r="Z59" s="578"/>
      <c r="AA59" s="579"/>
      <c r="AB59" s="580"/>
      <c r="AC59" s="581"/>
      <c r="AD59" s="582"/>
      <c r="AE59" s="583"/>
      <c r="AF59" s="584"/>
      <c r="AG59" s="553">
        <v>0</v>
      </c>
      <c r="AH59" s="554"/>
      <c r="AI59" s="555" t="e">
        <v>#N/A</v>
      </c>
      <c r="AJ59" s="556"/>
      <c r="AK59" s="556"/>
      <c r="AL59" s="556"/>
      <c r="AM59" s="556"/>
      <c r="AN59" s="556"/>
      <c r="AO59" s="556"/>
      <c r="AP59" s="556"/>
      <c r="AQ59" s="556"/>
      <c r="AR59" s="556"/>
      <c r="AS59" s="556"/>
      <c r="AT59" s="556"/>
      <c r="AU59" s="556"/>
      <c r="AV59" s="557"/>
      <c r="AW59" s="558">
        <v>0</v>
      </c>
      <c r="AX59" s="559"/>
      <c r="AY59" s="560"/>
      <c r="AZ59" s="585"/>
      <c r="BA59" s="586"/>
      <c r="BB59" s="587"/>
      <c r="BC59" s="558">
        <v>0</v>
      </c>
      <c r="BD59" s="559"/>
      <c r="BE59" s="560"/>
      <c r="BF59" s="558">
        <v>182.49</v>
      </c>
      <c r="BG59" s="559"/>
      <c r="BH59" s="560"/>
      <c r="BI59" s="564">
        <v>0</v>
      </c>
      <c r="BJ59" s="565"/>
      <c r="BK59" s="565"/>
      <c r="BL59" s="566"/>
      <c r="BM59" s="567" t="s">
        <v>932</v>
      </c>
      <c r="BN59" s="567"/>
      <c r="BO59" s="567"/>
      <c r="BP59" s="567"/>
      <c r="BQ59" s="568">
        <v>0.25</v>
      </c>
      <c r="BR59" s="568"/>
      <c r="BS59" s="568"/>
      <c r="BT59" s="567" t="s">
        <v>932</v>
      </c>
      <c r="BU59" s="567"/>
      <c r="BV59" s="567"/>
      <c r="BW59" s="567"/>
      <c r="BX59" s="568">
        <v>0.75</v>
      </c>
      <c r="BY59" s="568"/>
      <c r="BZ59" s="568"/>
      <c r="CA59" s="567" t="s">
        <v>932</v>
      </c>
      <c r="CB59" s="567"/>
      <c r="CC59" s="567"/>
      <c r="CD59" s="567"/>
      <c r="CE59" s="568" t="s">
        <v>932</v>
      </c>
      <c r="CF59" s="568"/>
      <c r="CG59" s="568"/>
      <c r="CH59" s="567" t="s">
        <v>932</v>
      </c>
      <c r="CI59" s="567"/>
      <c r="CJ59" s="567"/>
      <c r="CK59" s="567"/>
      <c r="CL59" s="568" t="s">
        <v>932</v>
      </c>
      <c r="CM59" s="568"/>
      <c r="CN59" s="568"/>
    </row>
    <row r="60" hidden="1" customHeight="1" spans="1:92">
      <c r="A60" s="569"/>
      <c r="B60" s="570"/>
      <c r="C60" s="571"/>
      <c r="D60" s="572"/>
      <c r="E60" s="573"/>
      <c r="F60" s="574"/>
      <c r="G60" s="575"/>
      <c r="H60" s="576"/>
      <c r="I60" s="577"/>
      <c r="J60" s="578"/>
      <c r="K60" s="578"/>
      <c r="L60" s="578"/>
      <c r="M60" s="578"/>
      <c r="N60" s="578"/>
      <c r="O60" s="578"/>
      <c r="P60" s="578"/>
      <c r="Q60" s="578"/>
      <c r="R60" s="578"/>
      <c r="S60" s="578"/>
      <c r="T60" s="578"/>
      <c r="U60" s="578"/>
      <c r="V60" s="578"/>
      <c r="W60" s="578"/>
      <c r="X60" s="578"/>
      <c r="Y60" s="578"/>
      <c r="Z60" s="578"/>
      <c r="AA60" s="579"/>
      <c r="AB60" s="580"/>
      <c r="AC60" s="581"/>
      <c r="AD60" s="582"/>
      <c r="AE60" s="583"/>
      <c r="AF60" s="584"/>
      <c r="AG60" s="553">
        <v>0</v>
      </c>
      <c r="AH60" s="554"/>
      <c r="AI60" s="555" t="e">
        <v>#N/A</v>
      </c>
      <c r="AJ60" s="556"/>
      <c r="AK60" s="556"/>
      <c r="AL60" s="556"/>
      <c r="AM60" s="556"/>
      <c r="AN60" s="556"/>
      <c r="AO60" s="556"/>
      <c r="AP60" s="556"/>
      <c r="AQ60" s="556"/>
      <c r="AR60" s="556"/>
      <c r="AS60" s="556"/>
      <c r="AT60" s="556"/>
      <c r="AU60" s="556"/>
      <c r="AV60" s="557"/>
      <c r="AW60" s="558">
        <v>0</v>
      </c>
      <c r="AX60" s="559"/>
      <c r="AY60" s="560"/>
      <c r="AZ60" s="585"/>
      <c r="BA60" s="586"/>
      <c r="BB60" s="587"/>
      <c r="BC60" s="558">
        <v>0</v>
      </c>
      <c r="BD60" s="559"/>
      <c r="BE60" s="560"/>
      <c r="BF60" s="558">
        <v>182.49</v>
      </c>
      <c r="BG60" s="559"/>
      <c r="BH60" s="560"/>
      <c r="BI60" s="564">
        <v>0</v>
      </c>
      <c r="BJ60" s="565"/>
      <c r="BK60" s="565"/>
      <c r="BL60" s="566"/>
      <c r="BM60" s="567" t="s">
        <v>932</v>
      </c>
      <c r="BN60" s="567"/>
      <c r="BO60" s="567"/>
      <c r="BP60" s="567"/>
      <c r="BQ60" s="568">
        <v>0.25</v>
      </c>
      <c r="BR60" s="568"/>
      <c r="BS60" s="568"/>
      <c r="BT60" s="567" t="s">
        <v>932</v>
      </c>
      <c r="BU60" s="567"/>
      <c r="BV60" s="567"/>
      <c r="BW60" s="567"/>
      <c r="BX60" s="568">
        <v>0.75</v>
      </c>
      <c r="BY60" s="568"/>
      <c r="BZ60" s="568"/>
      <c r="CA60" s="567" t="s">
        <v>932</v>
      </c>
      <c r="CB60" s="567"/>
      <c r="CC60" s="567"/>
      <c r="CD60" s="567"/>
      <c r="CE60" s="568" t="s">
        <v>932</v>
      </c>
      <c r="CF60" s="568"/>
      <c r="CG60" s="568"/>
      <c r="CH60" s="567" t="s">
        <v>932</v>
      </c>
      <c r="CI60" s="567"/>
      <c r="CJ60" s="567"/>
      <c r="CK60" s="567"/>
      <c r="CL60" s="568" t="s">
        <v>932</v>
      </c>
      <c r="CM60" s="568"/>
      <c r="CN60" s="568"/>
    </row>
    <row r="61" hidden="1" customHeight="1" spans="1:92">
      <c r="A61" s="569"/>
      <c r="B61" s="570"/>
      <c r="C61" s="571"/>
      <c r="D61" s="572"/>
      <c r="E61" s="573"/>
      <c r="F61" s="574"/>
      <c r="G61" s="575"/>
      <c r="H61" s="576"/>
      <c r="I61" s="577"/>
      <c r="J61" s="578"/>
      <c r="K61" s="578"/>
      <c r="L61" s="578"/>
      <c r="M61" s="578"/>
      <c r="N61" s="578"/>
      <c r="O61" s="578"/>
      <c r="P61" s="578"/>
      <c r="Q61" s="578"/>
      <c r="R61" s="578"/>
      <c r="S61" s="578"/>
      <c r="T61" s="578"/>
      <c r="U61" s="578"/>
      <c r="V61" s="578"/>
      <c r="W61" s="578"/>
      <c r="X61" s="578"/>
      <c r="Y61" s="578"/>
      <c r="Z61" s="578"/>
      <c r="AA61" s="579"/>
      <c r="AB61" s="580"/>
      <c r="AC61" s="581"/>
      <c r="AD61" s="582"/>
      <c r="AE61" s="583"/>
      <c r="AF61" s="584"/>
      <c r="AG61" s="553">
        <v>0</v>
      </c>
      <c r="AH61" s="554"/>
      <c r="AI61" s="555" t="e">
        <v>#N/A</v>
      </c>
      <c r="AJ61" s="556"/>
      <c r="AK61" s="556"/>
      <c r="AL61" s="556"/>
      <c r="AM61" s="556"/>
      <c r="AN61" s="556"/>
      <c r="AO61" s="556"/>
      <c r="AP61" s="556"/>
      <c r="AQ61" s="556"/>
      <c r="AR61" s="556"/>
      <c r="AS61" s="556"/>
      <c r="AT61" s="556"/>
      <c r="AU61" s="556"/>
      <c r="AV61" s="557"/>
      <c r="AW61" s="558">
        <v>0</v>
      </c>
      <c r="AX61" s="559"/>
      <c r="AY61" s="560"/>
      <c r="AZ61" s="585"/>
      <c r="BA61" s="586"/>
      <c r="BB61" s="587"/>
      <c r="BC61" s="558">
        <v>0</v>
      </c>
      <c r="BD61" s="559"/>
      <c r="BE61" s="560"/>
      <c r="BF61" s="558">
        <v>182.49</v>
      </c>
      <c r="BG61" s="559"/>
      <c r="BH61" s="560"/>
      <c r="BI61" s="564">
        <v>0</v>
      </c>
      <c r="BJ61" s="565"/>
      <c r="BK61" s="565"/>
      <c r="BL61" s="566"/>
      <c r="BM61" s="567" t="s">
        <v>932</v>
      </c>
      <c r="BN61" s="567"/>
      <c r="BO61" s="567"/>
      <c r="BP61" s="567"/>
      <c r="BQ61" s="568">
        <v>0.25</v>
      </c>
      <c r="BR61" s="568"/>
      <c r="BS61" s="568"/>
      <c r="BT61" s="567" t="s">
        <v>932</v>
      </c>
      <c r="BU61" s="567"/>
      <c r="BV61" s="567"/>
      <c r="BW61" s="567"/>
      <c r="BX61" s="568">
        <v>0.75</v>
      </c>
      <c r="BY61" s="568"/>
      <c r="BZ61" s="568"/>
      <c r="CA61" s="567" t="s">
        <v>932</v>
      </c>
      <c r="CB61" s="567"/>
      <c r="CC61" s="567"/>
      <c r="CD61" s="567"/>
      <c r="CE61" s="568" t="s">
        <v>932</v>
      </c>
      <c r="CF61" s="568"/>
      <c r="CG61" s="568"/>
      <c r="CH61" s="567" t="s">
        <v>932</v>
      </c>
      <c r="CI61" s="567"/>
      <c r="CJ61" s="567"/>
      <c r="CK61" s="567"/>
      <c r="CL61" s="568" t="s">
        <v>932</v>
      </c>
      <c r="CM61" s="568"/>
      <c r="CN61" s="568"/>
    </row>
    <row r="62" hidden="1" customHeight="1" spans="1:92">
      <c r="A62" s="569"/>
      <c r="B62" s="570"/>
      <c r="C62" s="571"/>
      <c r="D62" s="572"/>
      <c r="E62" s="573"/>
      <c r="F62" s="574"/>
      <c r="G62" s="575"/>
      <c r="H62" s="576"/>
      <c r="I62" s="577"/>
      <c r="J62" s="578"/>
      <c r="K62" s="578"/>
      <c r="L62" s="578"/>
      <c r="M62" s="578"/>
      <c r="N62" s="578"/>
      <c r="O62" s="578"/>
      <c r="P62" s="578"/>
      <c r="Q62" s="578"/>
      <c r="R62" s="578"/>
      <c r="S62" s="578"/>
      <c r="T62" s="578"/>
      <c r="U62" s="578"/>
      <c r="V62" s="578"/>
      <c r="W62" s="578"/>
      <c r="X62" s="578"/>
      <c r="Y62" s="578"/>
      <c r="Z62" s="578"/>
      <c r="AA62" s="579"/>
      <c r="AB62" s="580"/>
      <c r="AC62" s="581"/>
      <c r="AD62" s="582"/>
      <c r="AE62" s="583"/>
      <c r="AF62" s="584"/>
      <c r="AG62" s="553">
        <v>0</v>
      </c>
      <c r="AH62" s="554"/>
      <c r="AI62" s="555" t="e">
        <v>#N/A</v>
      </c>
      <c r="AJ62" s="556"/>
      <c r="AK62" s="556"/>
      <c r="AL62" s="556"/>
      <c r="AM62" s="556"/>
      <c r="AN62" s="556"/>
      <c r="AO62" s="556"/>
      <c r="AP62" s="556"/>
      <c r="AQ62" s="556"/>
      <c r="AR62" s="556"/>
      <c r="AS62" s="556"/>
      <c r="AT62" s="556"/>
      <c r="AU62" s="556"/>
      <c r="AV62" s="557"/>
      <c r="AW62" s="558">
        <v>0</v>
      </c>
      <c r="AX62" s="559"/>
      <c r="AY62" s="560"/>
      <c r="AZ62" s="585"/>
      <c r="BA62" s="586"/>
      <c r="BB62" s="587"/>
      <c r="BC62" s="558">
        <v>0</v>
      </c>
      <c r="BD62" s="559"/>
      <c r="BE62" s="560"/>
      <c r="BF62" s="558">
        <v>182.49</v>
      </c>
      <c r="BG62" s="559"/>
      <c r="BH62" s="560"/>
      <c r="BI62" s="564">
        <v>0</v>
      </c>
      <c r="BJ62" s="565"/>
      <c r="BK62" s="565"/>
      <c r="BL62" s="566"/>
      <c r="BM62" s="567" t="s">
        <v>932</v>
      </c>
      <c r="BN62" s="567"/>
      <c r="BO62" s="567"/>
      <c r="BP62" s="567"/>
      <c r="BQ62" s="568">
        <v>0.25</v>
      </c>
      <c r="BR62" s="568"/>
      <c r="BS62" s="568"/>
      <c r="BT62" s="567" t="s">
        <v>932</v>
      </c>
      <c r="BU62" s="567"/>
      <c r="BV62" s="567"/>
      <c r="BW62" s="567"/>
      <c r="BX62" s="568">
        <v>0.75</v>
      </c>
      <c r="BY62" s="568"/>
      <c r="BZ62" s="568"/>
      <c r="CA62" s="567" t="s">
        <v>932</v>
      </c>
      <c r="CB62" s="567"/>
      <c r="CC62" s="567"/>
      <c r="CD62" s="567"/>
      <c r="CE62" s="568" t="s">
        <v>932</v>
      </c>
      <c r="CF62" s="568"/>
      <c r="CG62" s="568"/>
      <c r="CH62" s="567" t="s">
        <v>932</v>
      </c>
      <c r="CI62" s="567"/>
      <c r="CJ62" s="567"/>
      <c r="CK62" s="567"/>
      <c r="CL62" s="568" t="s">
        <v>932</v>
      </c>
      <c r="CM62" s="568"/>
      <c r="CN62" s="568"/>
    </row>
    <row r="63" hidden="1" customHeight="1" spans="1:92">
      <c r="A63" s="588"/>
      <c r="B63" s="589"/>
      <c r="C63" s="590"/>
      <c r="D63" s="591"/>
      <c r="E63" s="592"/>
      <c r="F63" s="593"/>
      <c r="G63" s="594"/>
      <c r="H63" s="595"/>
      <c r="I63" s="596"/>
      <c r="J63" s="597"/>
      <c r="K63" s="597"/>
      <c r="L63" s="597"/>
      <c r="M63" s="597"/>
      <c r="N63" s="597"/>
      <c r="O63" s="597"/>
      <c r="P63" s="597"/>
      <c r="Q63" s="597"/>
      <c r="R63" s="597"/>
      <c r="S63" s="597"/>
      <c r="T63" s="597"/>
      <c r="U63" s="597"/>
      <c r="V63" s="597"/>
      <c r="W63" s="597"/>
      <c r="X63" s="597"/>
      <c r="Y63" s="597"/>
      <c r="Z63" s="597"/>
      <c r="AA63" s="598"/>
      <c r="AB63" s="599"/>
      <c r="AC63" s="600"/>
      <c r="AD63" s="601"/>
      <c r="AE63" s="602"/>
      <c r="AF63" s="603"/>
      <c r="AG63" s="553">
        <v>0</v>
      </c>
      <c r="AH63" s="554"/>
      <c r="AI63" s="555" t="e">
        <v>#N/A</v>
      </c>
      <c r="AJ63" s="556"/>
      <c r="AK63" s="556"/>
      <c r="AL63" s="556"/>
      <c r="AM63" s="556"/>
      <c r="AN63" s="556"/>
      <c r="AO63" s="556"/>
      <c r="AP63" s="556"/>
      <c r="AQ63" s="556"/>
      <c r="AR63" s="556"/>
      <c r="AS63" s="556"/>
      <c r="AT63" s="556"/>
      <c r="AU63" s="556"/>
      <c r="AV63" s="557"/>
      <c r="AW63" s="558">
        <v>0</v>
      </c>
      <c r="AX63" s="559"/>
      <c r="AY63" s="560"/>
      <c r="AZ63" s="604"/>
      <c r="BA63" s="605"/>
      <c r="BB63" s="606"/>
      <c r="BC63" s="558">
        <v>0</v>
      </c>
      <c r="BD63" s="559"/>
      <c r="BE63" s="560"/>
      <c r="BF63" s="558">
        <v>182.49</v>
      </c>
      <c r="BG63" s="559"/>
      <c r="BH63" s="560"/>
      <c r="BI63" s="564">
        <v>0</v>
      </c>
      <c r="BJ63" s="565"/>
      <c r="BK63" s="565"/>
      <c r="BL63" s="566"/>
      <c r="BM63" s="567" t="s">
        <v>932</v>
      </c>
      <c r="BN63" s="567"/>
      <c r="BO63" s="567"/>
      <c r="BP63" s="567"/>
      <c r="BQ63" s="568">
        <v>0.25</v>
      </c>
      <c r="BR63" s="568"/>
      <c r="BS63" s="568"/>
      <c r="BT63" s="567" t="s">
        <v>932</v>
      </c>
      <c r="BU63" s="567"/>
      <c r="BV63" s="567"/>
      <c r="BW63" s="567"/>
      <c r="BX63" s="568">
        <v>0.75</v>
      </c>
      <c r="BY63" s="568"/>
      <c r="BZ63" s="568"/>
      <c r="CA63" s="567" t="s">
        <v>932</v>
      </c>
      <c r="CB63" s="567"/>
      <c r="CC63" s="567"/>
      <c r="CD63" s="567"/>
      <c r="CE63" s="568" t="s">
        <v>932</v>
      </c>
      <c r="CF63" s="568"/>
      <c r="CG63" s="568"/>
      <c r="CH63" s="567" t="s">
        <v>932</v>
      </c>
      <c r="CI63" s="567"/>
      <c r="CJ63" s="567"/>
      <c r="CK63" s="567"/>
      <c r="CL63" s="568" t="s">
        <v>932</v>
      </c>
      <c r="CM63" s="568"/>
      <c r="CN63" s="568"/>
    </row>
    <row r="64" hidden="1" customHeight="1" spans="1:92">
      <c r="A64" s="540" t="s">
        <v>856</v>
      </c>
      <c r="B64" s="541"/>
      <c r="C64" s="89"/>
      <c r="D64" s="91"/>
      <c r="E64" s="90"/>
      <c r="F64" s="542">
        <v>407819</v>
      </c>
      <c r="G64" s="543"/>
      <c r="H64" s="544"/>
      <c r="I64" s="545" t="s">
        <v>100</v>
      </c>
      <c r="J64" s="546"/>
      <c r="K64" s="546"/>
      <c r="L64" s="546"/>
      <c r="M64" s="546"/>
      <c r="N64" s="546"/>
      <c r="O64" s="546"/>
      <c r="P64" s="546"/>
      <c r="Q64" s="546"/>
      <c r="R64" s="546"/>
      <c r="S64" s="546"/>
      <c r="T64" s="546"/>
      <c r="U64" s="546"/>
      <c r="V64" s="546"/>
      <c r="W64" s="546"/>
      <c r="X64" s="546"/>
      <c r="Y64" s="546"/>
      <c r="Z64" s="546"/>
      <c r="AA64" s="547"/>
      <c r="AB64" s="548" t="s">
        <v>101</v>
      </c>
      <c r="AC64" s="549"/>
      <c r="AD64" s="550">
        <v>81.4</v>
      </c>
      <c r="AE64" s="551"/>
      <c r="AF64" s="552"/>
      <c r="AG64" s="553">
        <v>0</v>
      </c>
      <c r="AH64" s="554"/>
      <c r="AI64" s="555" t="e">
        <v>#N/A</v>
      </c>
      <c r="AJ64" s="556"/>
      <c r="AK64" s="556"/>
      <c r="AL64" s="556"/>
      <c r="AM64" s="556"/>
      <c r="AN64" s="556"/>
      <c r="AO64" s="556"/>
      <c r="AP64" s="556"/>
      <c r="AQ64" s="556"/>
      <c r="AR64" s="556"/>
      <c r="AS64" s="556"/>
      <c r="AT64" s="556"/>
      <c r="AU64" s="556"/>
      <c r="AV64" s="557"/>
      <c r="AW64" s="558">
        <v>0</v>
      </c>
      <c r="AX64" s="559"/>
      <c r="AY64" s="560"/>
      <c r="AZ64" s="561">
        <v>1</v>
      </c>
      <c r="BA64" s="562"/>
      <c r="BB64" s="563"/>
      <c r="BC64" s="558">
        <v>0</v>
      </c>
      <c r="BD64" s="559"/>
      <c r="BE64" s="560"/>
      <c r="BF64" s="558">
        <v>182.49</v>
      </c>
      <c r="BG64" s="559"/>
      <c r="BH64" s="560"/>
      <c r="BI64" s="564">
        <v>0</v>
      </c>
      <c r="BJ64" s="565"/>
      <c r="BK64" s="565"/>
      <c r="BL64" s="566"/>
      <c r="BM64" s="567" t="s">
        <v>932</v>
      </c>
      <c r="BN64" s="567"/>
      <c r="BO64" s="567"/>
      <c r="BP64" s="567"/>
      <c r="BQ64" s="568">
        <v>0.25</v>
      </c>
      <c r="BR64" s="568"/>
      <c r="BS64" s="568"/>
      <c r="BT64" s="567" t="s">
        <v>932</v>
      </c>
      <c r="BU64" s="567"/>
      <c r="BV64" s="567"/>
      <c r="BW64" s="567"/>
      <c r="BX64" s="568">
        <v>0.75</v>
      </c>
      <c r="BY64" s="568"/>
      <c r="BZ64" s="568"/>
      <c r="CA64" s="567" t="s">
        <v>932</v>
      </c>
      <c r="CB64" s="567"/>
      <c r="CC64" s="567"/>
      <c r="CD64" s="567"/>
      <c r="CE64" s="568" t="s">
        <v>932</v>
      </c>
      <c r="CF64" s="568"/>
      <c r="CG64" s="568"/>
      <c r="CH64" s="567" t="s">
        <v>932</v>
      </c>
      <c r="CI64" s="567"/>
      <c r="CJ64" s="567"/>
      <c r="CK64" s="567"/>
      <c r="CL64" s="568" t="s">
        <v>932</v>
      </c>
      <c r="CM64" s="568"/>
      <c r="CN64" s="568"/>
    </row>
    <row r="65" hidden="1" customHeight="1" spans="1:92">
      <c r="A65" s="569"/>
      <c r="B65" s="570"/>
      <c r="C65" s="571"/>
      <c r="D65" s="572"/>
      <c r="E65" s="573"/>
      <c r="F65" s="574"/>
      <c r="G65" s="575"/>
      <c r="H65" s="576"/>
      <c r="I65" s="577"/>
      <c r="J65" s="578"/>
      <c r="K65" s="578"/>
      <c r="L65" s="578"/>
      <c r="M65" s="578"/>
      <c r="N65" s="578"/>
      <c r="O65" s="578"/>
      <c r="P65" s="578"/>
      <c r="Q65" s="578"/>
      <c r="R65" s="578"/>
      <c r="S65" s="578"/>
      <c r="T65" s="578"/>
      <c r="U65" s="578"/>
      <c r="V65" s="578"/>
      <c r="W65" s="578"/>
      <c r="X65" s="578"/>
      <c r="Y65" s="578"/>
      <c r="Z65" s="578"/>
      <c r="AA65" s="579"/>
      <c r="AB65" s="580"/>
      <c r="AC65" s="581"/>
      <c r="AD65" s="582"/>
      <c r="AE65" s="583"/>
      <c r="AF65" s="584"/>
      <c r="AG65" s="553">
        <v>0</v>
      </c>
      <c r="AH65" s="554"/>
      <c r="AI65" s="555" t="e">
        <v>#N/A</v>
      </c>
      <c r="AJ65" s="556"/>
      <c r="AK65" s="556"/>
      <c r="AL65" s="556"/>
      <c r="AM65" s="556"/>
      <c r="AN65" s="556"/>
      <c r="AO65" s="556"/>
      <c r="AP65" s="556"/>
      <c r="AQ65" s="556"/>
      <c r="AR65" s="556"/>
      <c r="AS65" s="556"/>
      <c r="AT65" s="556"/>
      <c r="AU65" s="556"/>
      <c r="AV65" s="557"/>
      <c r="AW65" s="558">
        <v>0</v>
      </c>
      <c r="AX65" s="559"/>
      <c r="AY65" s="560"/>
      <c r="AZ65" s="585"/>
      <c r="BA65" s="586"/>
      <c r="BB65" s="587"/>
      <c r="BC65" s="558">
        <v>0</v>
      </c>
      <c r="BD65" s="559"/>
      <c r="BE65" s="560"/>
      <c r="BF65" s="558">
        <v>182.49</v>
      </c>
      <c r="BG65" s="559"/>
      <c r="BH65" s="560"/>
      <c r="BI65" s="564">
        <v>0</v>
      </c>
      <c r="BJ65" s="565"/>
      <c r="BK65" s="565"/>
      <c r="BL65" s="566"/>
      <c r="BM65" s="567" t="s">
        <v>932</v>
      </c>
      <c r="BN65" s="567"/>
      <c r="BO65" s="567"/>
      <c r="BP65" s="567"/>
      <c r="BQ65" s="568">
        <v>0.25</v>
      </c>
      <c r="BR65" s="568"/>
      <c r="BS65" s="568"/>
      <c r="BT65" s="567" t="s">
        <v>932</v>
      </c>
      <c r="BU65" s="567"/>
      <c r="BV65" s="567"/>
      <c r="BW65" s="567"/>
      <c r="BX65" s="568">
        <v>0.75</v>
      </c>
      <c r="BY65" s="568"/>
      <c r="BZ65" s="568"/>
      <c r="CA65" s="567" t="s">
        <v>932</v>
      </c>
      <c r="CB65" s="567"/>
      <c r="CC65" s="567"/>
      <c r="CD65" s="567"/>
      <c r="CE65" s="568" t="s">
        <v>932</v>
      </c>
      <c r="CF65" s="568"/>
      <c r="CG65" s="568"/>
      <c r="CH65" s="567" t="s">
        <v>932</v>
      </c>
      <c r="CI65" s="567"/>
      <c r="CJ65" s="567"/>
      <c r="CK65" s="567"/>
      <c r="CL65" s="568" t="s">
        <v>932</v>
      </c>
      <c r="CM65" s="568"/>
      <c r="CN65" s="568"/>
    </row>
    <row r="66" hidden="1" customHeight="1" spans="1:92">
      <c r="A66" s="569"/>
      <c r="B66" s="570"/>
      <c r="C66" s="571"/>
      <c r="D66" s="572"/>
      <c r="E66" s="573"/>
      <c r="F66" s="574"/>
      <c r="G66" s="575"/>
      <c r="H66" s="576"/>
      <c r="I66" s="577"/>
      <c r="J66" s="578"/>
      <c r="K66" s="578"/>
      <c r="L66" s="578"/>
      <c r="M66" s="578"/>
      <c r="N66" s="578"/>
      <c r="O66" s="578"/>
      <c r="P66" s="578"/>
      <c r="Q66" s="578"/>
      <c r="R66" s="578"/>
      <c r="S66" s="578"/>
      <c r="T66" s="578"/>
      <c r="U66" s="578"/>
      <c r="V66" s="578"/>
      <c r="W66" s="578"/>
      <c r="X66" s="578"/>
      <c r="Y66" s="578"/>
      <c r="Z66" s="578"/>
      <c r="AA66" s="579"/>
      <c r="AB66" s="580"/>
      <c r="AC66" s="581"/>
      <c r="AD66" s="582"/>
      <c r="AE66" s="583"/>
      <c r="AF66" s="584"/>
      <c r="AG66" s="553">
        <v>0</v>
      </c>
      <c r="AH66" s="554"/>
      <c r="AI66" s="555" t="e">
        <v>#N/A</v>
      </c>
      <c r="AJ66" s="556"/>
      <c r="AK66" s="556"/>
      <c r="AL66" s="556"/>
      <c r="AM66" s="556"/>
      <c r="AN66" s="556"/>
      <c r="AO66" s="556"/>
      <c r="AP66" s="556"/>
      <c r="AQ66" s="556"/>
      <c r="AR66" s="556"/>
      <c r="AS66" s="556"/>
      <c r="AT66" s="556"/>
      <c r="AU66" s="556"/>
      <c r="AV66" s="557"/>
      <c r="AW66" s="558">
        <v>0</v>
      </c>
      <c r="AX66" s="559"/>
      <c r="AY66" s="560"/>
      <c r="AZ66" s="585"/>
      <c r="BA66" s="586"/>
      <c r="BB66" s="587"/>
      <c r="BC66" s="558">
        <v>0</v>
      </c>
      <c r="BD66" s="559"/>
      <c r="BE66" s="560"/>
      <c r="BF66" s="558">
        <v>182.49</v>
      </c>
      <c r="BG66" s="559"/>
      <c r="BH66" s="560"/>
      <c r="BI66" s="564">
        <v>0</v>
      </c>
      <c r="BJ66" s="565"/>
      <c r="BK66" s="565"/>
      <c r="BL66" s="566"/>
      <c r="BM66" s="567" t="s">
        <v>932</v>
      </c>
      <c r="BN66" s="567"/>
      <c r="BO66" s="567"/>
      <c r="BP66" s="567"/>
      <c r="BQ66" s="568">
        <v>0.25</v>
      </c>
      <c r="BR66" s="568"/>
      <c r="BS66" s="568"/>
      <c r="BT66" s="567" t="s">
        <v>932</v>
      </c>
      <c r="BU66" s="567"/>
      <c r="BV66" s="567"/>
      <c r="BW66" s="567"/>
      <c r="BX66" s="568">
        <v>0.75</v>
      </c>
      <c r="BY66" s="568"/>
      <c r="BZ66" s="568"/>
      <c r="CA66" s="567" t="s">
        <v>932</v>
      </c>
      <c r="CB66" s="567"/>
      <c r="CC66" s="567"/>
      <c r="CD66" s="567"/>
      <c r="CE66" s="568" t="s">
        <v>932</v>
      </c>
      <c r="CF66" s="568"/>
      <c r="CG66" s="568"/>
      <c r="CH66" s="567" t="s">
        <v>932</v>
      </c>
      <c r="CI66" s="567"/>
      <c r="CJ66" s="567"/>
      <c r="CK66" s="567"/>
      <c r="CL66" s="568" t="s">
        <v>932</v>
      </c>
      <c r="CM66" s="568"/>
      <c r="CN66" s="568"/>
    </row>
    <row r="67" hidden="1" customHeight="1" spans="1:92">
      <c r="A67" s="569"/>
      <c r="B67" s="570"/>
      <c r="C67" s="571"/>
      <c r="D67" s="572"/>
      <c r="E67" s="573"/>
      <c r="F67" s="574"/>
      <c r="G67" s="575"/>
      <c r="H67" s="576"/>
      <c r="I67" s="577"/>
      <c r="J67" s="578"/>
      <c r="K67" s="578"/>
      <c r="L67" s="578"/>
      <c r="M67" s="578"/>
      <c r="N67" s="578"/>
      <c r="O67" s="578"/>
      <c r="P67" s="578"/>
      <c r="Q67" s="578"/>
      <c r="R67" s="578"/>
      <c r="S67" s="578"/>
      <c r="T67" s="578"/>
      <c r="U67" s="578"/>
      <c r="V67" s="578"/>
      <c r="W67" s="578"/>
      <c r="X67" s="578"/>
      <c r="Y67" s="578"/>
      <c r="Z67" s="578"/>
      <c r="AA67" s="579"/>
      <c r="AB67" s="580"/>
      <c r="AC67" s="581"/>
      <c r="AD67" s="582"/>
      <c r="AE67" s="583"/>
      <c r="AF67" s="584"/>
      <c r="AG67" s="553">
        <v>0</v>
      </c>
      <c r="AH67" s="554"/>
      <c r="AI67" s="555" t="e">
        <v>#N/A</v>
      </c>
      <c r="AJ67" s="556"/>
      <c r="AK67" s="556"/>
      <c r="AL67" s="556"/>
      <c r="AM67" s="556"/>
      <c r="AN67" s="556"/>
      <c r="AO67" s="556"/>
      <c r="AP67" s="556"/>
      <c r="AQ67" s="556"/>
      <c r="AR67" s="556"/>
      <c r="AS67" s="556"/>
      <c r="AT67" s="556"/>
      <c r="AU67" s="556"/>
      <c r="AV67" s="557"/>
      <c r="AW67" s="558">
        <v>0</v>
      </c>
      <c r="AX67" s="559"/>
      <c r="AY67" s="560"/>
      <c r="AZ67" s="585"/>
      <c r="BA67" s="586"/>
      <c r="BB67" s="587"/>
      <c r="BC67" s="558">
        <v>0</v>
      </c>
      <c r="BD67" s="559"/>
      <c r="BE67" s="560"/>
      <c r="BF67" s="558">
        <v>182.49</v>
      </c>
      <c r="BG67" s="559"/>
      <c r="BH67" s="560"/>
      <c r="BI67" s="564">
        <v>0</v>
      </c>
      <c r="BJ67" s="565"/>
      <c r="BK67" s="565"/>
      <c r="BL67" s="566"/>
      <c r="BM67" s="567" t="s">
        <v>932</v>
      </c>
      <c r="BN67" s="567"/>
      <c r="BO67" s="567"/>
      <c r="BP67" s="567"/>
      <c r="BQ67" s="568">
        <v>0.25</v>
      </c>
      <c r="BR67" s="568"/>
      <c r="BS67" s="568"/>
      <c r="BT67" s="567" t="s">
        <v>932</v>
      </c>
      <c r="BU67" s="567"/>
      <c r="BV67" s="567"/>
      <c r="BW67" s="567"/>
      <c r="BX67" s="568">
        <v>0.75</v>
      </c>
      <c r="BY67" s="568"/>
      <c r="BZ67" s="568"/>
      <c r="CA67" s="567" t="s">
        <v>932</v>
      </c>
      <c r="CB67" s="567"/>
      <c r="CC67" s="567"/>
      <c r="CD67" s="567"/>
      <c r="CE67" s="568" t="s">
        <v>932</v>
      </c>
      <c r="CF67" s="568"/>
      <c r="CG67" s="568"/>
      <c r="CH67" s="567" t="s">
        <v>932</v>
      </c>
      <c r="CI67" s="567"/>
      <c r="CJ67" s="567"/>
      <c r="CK67" s="567"/>
      <c r="CL67" s="568" t="s">
        <v>932</v>
      </c>
      <c r="CM67" s="568"/>
      <c r="CN67" s="568"/>
    </row>
    <row r="68" hidden="1" customHeight="1" spans="1:92">
      <c r="A68" s="569"/>
      <c r="B68" s="570"/>
      <c r="C68" s="571"/>
      <c r="D68" s="572"/>
      <c r="E68" s="573"/>
      <c r="F68" s="574"/>
      <c r="G68" s="575"/>
      <c r="H68" s="576"/>
      <c r="I68" s="577"/>
      <c r="J68" s="578"/>
      <c r="K68" s="578"/>
      <c r="L68" s="578"/>
      <c r="M68" s="578"/>
      <c r="N68" s="578"/>
      <c r="O68" s="578"/>
      <c r="P68" s="578"/>
      <c r="Q68" s="578"/>
      <c r="R68" s="578"/>
      <c r="S68" s="578"/>
      <c r="T68" s="578"/>
      <c r="U68" s="578"/>
      <c r="V68" s="578"/>
      <c r="W68" s="578"/>
      <c r="X68" s="578"/>
      <c r="Y68" s="578"/>
      <c r="Z68" s="578"/>
      <c r="AA68" s="579"/>
      <c r="AB68" s="580"/>
      <c r="AC68" s="581"/>
      <c r="AD68" s="582"/>
      <c r="AE68" s="583"/>
      <c r="AF68" s="584"/>
      <c r="AG68" s="553">
        <v>0</v>
      </c>
      <c r="AH68" s="554"/>
      <c r="AI68" s="555" t="e">
        <v>#N/A</v>
      </c>
      <c r="AJ68" s="556"/>
      <c r="AK68" s="556"/>
      <c r="AL68" s="556"/>
      <c r="AM68" s="556"/>
      <c r="AN68" s="556"/>
      <c r="AO68" s="556"/>
      <c r="AP68" s="556"/>
      <c r="AQ68" s="556"/>
      <c r="AR68" s="556"/>
      <c r="AS68" s="556"/>
      <c r="AT68" s="556"/>
      <c r="AU68" s="556"/>
      <c r="AV68" s="557"/>
      <c r="AW68" s="558">
        <v>0</v>
      </c>
      <c r="AX68" s="559"/>
      <c r="AY68" s="560"/>
      <c r="AZ68" s="585"/>
      <c r="BA68" s="586"/>
      <c r="BB68" s="587"/>
      <c r="BC68" s="558">
        <v>0</v>
      </c>
      <c r="BD68" s="559"/>
      <c r="BE68" s="560"/>
      <c r="BF68" s="558">
        <v>182.49</v>
      </c>
      <c r="BG68" s="559"/>
      <c r="BH68" s="560"/>
      <c r="BI68" s="564">
        <v>0</v>
      </c>
      <c r="BJ68" s="565"/>
      <c r="BK68" s="565"/>
      <c r="BL68" s="566"/>
      <c r="BM68" s="567" t="s">
        <v>932</v>
      </c>
      <c r="BN68" s="567"/>
      <c r="BO68" s="567"/>
      <c r="BP68" s="567"/>
      <c r="BQ68" s="568">
        <v>0.25</v>
      </c>
      <c r="BR68" s="568"/>
      <c r="BS68" s="568"/>
      <c r="BT68" s="567" t="s">
        <v>932</v>
      </c>
      <c r="BU68" s="567"/>
      <c r="BV68" s="567"/>
      <c r="BW68" s="567"/>
      <c r="BX68" s="568">
        <v>0.75</v>
      </c>
      <c r="BY68" s="568"/>
      <c r="BZ68" s="568"/>
      <c r="CA68" s="567" t="s">
        <v>932</v>
      </c>
      <c r="CB68" s="567"/>
      <c r="CC68" s="567"/>
      <c r="CD68" s="567"/>
      <c r="CE68" s="568" t="s">
        <v>932</v>
      </c>
      <c r="CF68" s="568"/>
      <c r="CG68" s="568"/>
      <c r="CH68" s="567" t="s">
        <v>932</v>
      </c>
      <c r="CI68" s="567"/>
      <c r="CJ68" s="567"/>
      <c r="CK68" s="567"/>
      <c r="CL68" s="568" t="s">
        <v>932</v>
      </c>
      <c r="CM68" s="568"/>
      <c r="CN68" s="568"/>
    </row>
    <row r="69" hidden="1" customHeight="1" spans="1:92">
      <c r="A69" s="569"/>
      <c r="B69" s="570"/>
      <c r="C69" s="571"/>
      <c r="D69" s="572"/>
      <c r="E69" s="573"/>
      <c r="F69" s="574"/>
      <c r="G69" s="575"/>
      <c r="H69" s="576"/>
      <c r="I69" s="577"/>
      <c r="J69" s="578"/>
      <c r="K69" s="578"/>
      <c r="L69" s="578"/>
      <c r="M69" s="578"/>
      <c r="N69" s="578"/>
      <c r="O69" s="578"/>
      <c r="P69" s="578"/>
      <c r="Q69" s="578"/>
      <c r="R69" s="578"/>
      <c r="S69" s="578"/>
      <c r="T69" s="578"/>
      <c r="U69" s="578"/>
      <c r="V69" s="578"/>
      <c r="W69" s="578"/>
      <c r="X69" s="578"/>
      <c r="Y69" s="578"/>
      <c r="Z69" s="578"/>
      <c r="AA69" s="579"/>
      <c r="AB69" s="580"/>
      <c r="AC69" s="581"/>
      <c r="AD69" s="582"/>
      <c r="AE69" s="583"/>
      <c r="AF69" s="584"/>
      <c r="AG69" s="553">
        <v>0</v>
      </c>
      <c r="AH69" s="554"/>
      <c r="AI69" s="555" t="e">
        <v>#N/A</v>
      </c>
      <c r="AJ69" s="556"/>
      <c r="AK69" s="556"/>
      <c r="AL69" s="556"/>
      <c r="AM69" s="556"/>
      <c r="AN69" s="556"/>
      <c r="AO69" s="556"/>
      <c r="AP69" s="556"/>
      <c r="AQ69" s="556"/>
      <c r="AR69" s="556"/>
      <c r="AS69" s="556"/>
      <c r="AT69" s="556"/>
      <c r="AU69" s="556"/>
      <c r="AV69" s="557"/>
      <c r="AW69" s="558">
        <v>0</v>
      </c>
      <c r="AX69" s="559"/>
      <c r="AY69" s="560"/>
      <c r="AZ69" s="585"/>
      <c r="BA69" s="586"/>
      <c r="BB69" s="587"/>
      <c r="BC69" s="558">
        <v>0</v>
      </c>
      <c r="BD69" s="559"/>
      <c r="BE69" s="560"/>
      <c r="BF69" s="558">
        <v>182.49</v>
      </c>
      <c r="BG69" s="559"/>
      <c r="BH69" s="560"/>
      <c r="BI69" s="564">
        <v>0</v>
      </c>
      <c r="BJ69" s="565"/>
      <c r="BK69" s="565"/>
      <c r="BL69" s="566"/>
      <c r="BM69" s="567" t="s">
        <v>932</v>
      </c>
      <c r="BN69" s="567"/>
      <c r="BO69" s="567"/>
      <c r="BP69" s="567"/>
      <c r="BQ69" s="568">
        <v>0.25</v>
      </c>
      <c r="BR69" s="568"/>
      <c r="BS69" s="568"/>
      <c r="BT69" s="567" t="s">
        <v>932</v>
      </c>
      <c r="BU69" s="567"/>
      <c r="BV69" s="567"/>
      <c r="BW69" s="567"/>
      <c r="BX69" s="568">
        <v>0.75</v>
      </c>
      <c r="BY69" s="568"/>
      <c r="BZ69" s="568"/>
      <c r="CA69" s="567" t="s">
        <v>932</v>
      </c>
      <c r="CB69" s="567"/>
      <c r="CC69" s="567"/>
      <c r="CD69" s="567"/>
      <c r="CE69" s="568" t="s">
        <v>932</v>
      </c>
      <c r="CF69" s="568"/>
      <c r="CG69" s="568"/>
      <c r="CH69" s="567" t="s">
        <v>932</v>
      </c>
      <c r="CI69" s="567"/>
      <c r="CJ69" s="567"/>
      <c r="CK69" s="567"/>
      <c r="CL69" s="568" t="s">
        <v>932</v>
      </c>
      <c r="CM69" s="568"/>
      <c r="CN69" s="568"/>
    </row>
    <row r="70" hidden="1" customHeight="1" spans="1:92">
      <c r="A70" s="569"/>
      <c r="B70" s="570"/>
      <c r="C70" s="571"/>
      <c r="D70" s="572"/>
      <c r="E70" s="573"/>
      <c r="F70" s="574"/>
      <c r="G70" s="575"/>
      <c r="H70" s="576"/>
      <c r="I70" s="577"/>
      <c r="J70" s="578"/>
      <c r="K70" s="578"/>
      <c r="L70" s="578"/>
      <c r="M70" s="578"/>
      <c r="N70" s="578"/>
      <c r="O70" s="578"/>
      <c r="P70" s="578"/>
      <c r="Q70" s="578"/>
      <c r="R70" s="578"/>
      <c r="S70" s="578"/>
      <c r="T70" s="578"/>
      <c r="U70" s="578"/>
      <c r="V70" s="578"/>
      <c r="W70" s="578"/>
      <c r="X70" s="578"/>
      <c r="Y70" s="578"/>
      <c r="Z70" s="578"/>
      <c r="AA70" s="579"/>
      <c r="AB70" s="580"/>
      <c r="AC70" s="581"/>
      <c r="AD70" s="582"/>
      <c r="AE70" s="583"/>
      <c r="AF70" s="584"/>
      <c r="AG70" s="553">
        <v>0</v>
      </c>
      <c r="AH70" s="554"/>
      <c r="AI70" s="555" t="e">
        <v>#N/A</v>
      </c>
      <c r="AJ70" s="556"/>
      <c r="AK70" s="556"/>
      <c r="AL70" s="556"/>
      <c r="AM70" s="556"/>
      <c r="AN70" s="556"/>
      <c r="AO70" s="556"/>
      <c r="AP70" s="556"/>
      <c r="AQ70" s="556"/>
      <c r="AR70" s="556"/>
      <c r="AS70" s="556"/>
      <c r="AT70" s="556"/>
      <c r="AU70" s="556"/>
      <c r="AV70" s="557"/>
      <c r="AW70" s="558">
        <v>0</v>
      </c>
      <c r="AX70" s="559"/>
      <c r="AY70" s="560"/>
      <c r="AZ70" s="585"/>
      <c r="BA70" s="586"/>
      <c r="BB70" s="587"/>
      <c r="BC70" s="558">
        <v>0</v>
      </c>
      <c r="BD70" s="559"/>
      <c r="BE70" s="560"/>
      <c r="BF70" s="558">
        <v>182.49</v>
      </c>
      <c r="BG70" s="559"/>
      <c r="BH70" s="560"/>
      <c r="BI70" s="564">
        <v>0</v>
      </c>
      <c r="BJ70" s="565"/>
      <c r="BK70" s="565"/>
      <c r="BL70" s="566"/>
      <c r="BM70" s="567" t="s">
        <v>932</v>
      </c>
      <c r="BN70" s="567"/>
      <c r="BO70" s="567"/>
      <c r="BP70" s="567"/>
      <c r="BQ70" s="568">
        <v>0.25</v>
      </c>
      <c r="BR70" s="568"/>
      <c r="BS70" s="568"/>
      <c r="BT70" s="567" t="s">
        <v>932</v>
      </c>
      <c r="BU70" s="567"/>
      <c r="BV70" s="567"/>
      <c r="BW70" s="567"/>
      <c r="BX70" s="568">
        <v>0.75</v>
      </c>
      <c r="BY70" s="568"/>
      <c r="BZ70" s="568"/>
      <c r="CA70" s="567" t="s">
        <v>932</v>
      </c>
      <c r="CB70" s="567"/>
      <c r="CC70" s="567"/>
      <c r="CD70" s="567"/>
      <c r="CE70" s="568" t="s">
        <v>932</v>
      </c>
      <c r="CF70" s="568"/>
      <c r="CG70" s="568"/>
      <c r="CH70" s="567" t="s">
        <v>932</v>
      </c>
      <c r="CI70" s="567"/>
      <c r="CJ70" s="567"/>
      <c r="CK70" s="567"/>
      <c r="CL70" s="568" t="s">
        <v>932</v>
      </c>
      <c r="CM70" s="568"/>
      <c r="CN70" s="568"/>
    </row>
    <row r="71" hidden="1" customHeight="1" spans="1:92">
      <c r="A71" s="588"/>
      <c r="B71" s="589"/>
      <c r="C71" s="590"/>
      <c r="D71" s="591"/>
      <c r="E71" s="592"/>
      <c r="F71" s="593"/>
      <c r="G71" s="594"/>
      <c r="H71" s="595"/>
      <c r="I71" s="596"/>
      <c r="J71" s="597"/>
      <c r="K71" s="597"/>
      <c r="L71" s="597"/>
      <c r="M71" s="597"/>
      <c r="N71" s="597"/>
      <c r="O71" s="597"/>
      <c r="P71" s="597"/>
      <c r="Q71" s="597"/>
      <c r="R71" s="597"/>
      <c r="S71" s="597"/>
      <c r="T71" s="597"/>
      <c r="U71" s="597"/>
      <c r="V71" s="597"/>
      <c r="W71" s="597"/>
      <c r="X71" s="597"/>
      <c r="Y71" s="597"/>
      <c r="Z71" s="597"/>
      <c r="AA71" s="598"/>
      <c r="AB71" s="599"/>
      <c r="AC71" s="600"/>
      <c r="AD71" s="601"/>
      <c r="AE71" s="602"/>
      <c r="AF71" s="603"/>
      <c r="AG71" s="553">
        <v>0</v>
      </c>
      <c r="AH71" s="554"/>
      <c r="AI71" s="555" t="e">
        <v>#N/A</v>
      </c>
      <c r="AJ71" s="556"/>
      <c r="AK71" s="556"/>
      <c r="AL71" s="556"/>
      <c r="AM71" s="556"/>
      <c r="AN71" s="556"/>
      <c r="AO71" s="556"/>
      <c r="AP71" s="556"/>
      <c r="AQ71" s="556"/>
      <c r="AR71" s="556"/>
      <c r="AS71" s="556"/>
      <c r="AT71" s="556"/>
      <c r="AU71" s="556"/>
      <c r="AV71" s="557"/>
      <c r="AW71" s="558">
        <v>0</v>
      </c>
      <c r="AX71" s="559"/>
      <c r="AY71" s="560"/>
      <c r="AZ71" s="604"/>
      <c r="BA71" s="605"/>
      <c r="BB71" s="606"/>
      <c r="BC71" s="558">
        <v>0</v>
      </c>
      <c r="BD71" s="559"/>
      <c r="BE71" s="560"/>
      <c r="BF71" s="558">
        <v>182.49</v>
      </c>
      <c r="BG71" s="559"/>
      <c r="BH71" s="560"/>
      <c r="BI71" s="564">
        <v>0</v>
      </c>
      <c r="BJ71" s="565"/>
      <c r="BK71" s="565"/>
      <c r="BL71" s="566"/>
      <c r="BM71" s="567" t="s">
        <v>932</v>
      </c>
      <c r="BN71" s="567"/>
      <c r="BO71" s="567"/>
      <c r="BP71" s="567"/>
      <c r="BQ71" s="568">
        <v>0.25</v>
      </c>
      <c r="BR71" s="568"/>
      <c r="BS71" s="568"/>
      <c r="BT71" s="567" t="s">
        <v>932</v>
      </c>
      <c r="BU71" s="567"/>
      <c r="BV71" s="567"/>
      <c r="BW71" s="567"/>
      <c r="BX71" s="568">
        <v>0.75</v>
      </c>
      <c r="BY71" s="568"/>
      <c r="BZ71" s="568"/>
      <c r="CA71" s="567" t="s">
        <v>932</v>
      </c>
      <c r="CB71" s="567"/>
      <c r="CC71" s="567"/>
      <c r="CD71" s="567"/>
      <c r="CE71" s="568" t="s">
        <v>932</v>
      </c>
      <c r="CF71" s="568"/>
      <c r="CG71" s="568"/>
      <c r="CH71" s="567" t="s">
        <v>932</v>
      </c>
      <c r="CI71" s="567"/>
      <c r="CJ71" s="567"/>
      <c r="CK71" s="567"/>
      <c r="CL71" s="568" t="s">
        <v>932</v>
      </c>
      <c r="CM71" s="568"/>
      <c r="CN71" s="568"/>
    </row>
    <row r="72" customHeight="1" spans="1:92">
      <c r="A72" s="540" t="s">
        <v>858</v>
      </c>
      <c r="B72" s="541"/>
      <c r="C72" s="89"/>
      <c r="D72" s="91"/>
      <c r="E72" s="90"/>
      <c r="F72" s="542">
        <v>2306113</v>
      </c>
      <c r="G72" s="543"/>
      <c r="H72" s="544"/>
      <c r="I72" s="545" t="s">
        <v>102</v>
      </c>
      <c r="J72" s="546"/>
      <c r="K72" s="546"/>
      <c r="L72" s="546"/>
      <c r="M72" s="546"/>
      <c r="N72" s="546"/>
      <c r="O72" s="546"/>
      <c r="P72" s="546"/>
      <c r="Q72" s="546"/>
      <c r="R72" s="546"/>
      <c r="S72" s="546"/>
      <c r="T72" s="546"/>
      <c r="U72" s="546"/>
      <c r="V72" s="546"/>
      <c r="W72" s="546"/>
      <c r="X72" s="546"/>
      <c r="Y72" s="546"/>
      <c r="Z72" s="546"/>
      <c r="AA72" s="547"/>
      <c r="AB72" s="548" t="s">
        <v>9</v>
      </c>
      <c r="AC72" s="549"/>
      <c r="AD72" s="550">
        <v>120</v>
      </c>
      <c r="AE72" s="551"/>
      <c r="AF72" s="552"/>
      <c r="AG72" s="553" t="s">
        <v>1060</v>
      </c>
      <c r="AH72" s="554"/>
      <c r="AI72" s="555" t="s">
        <v>1061</v>
      </c>
      <c r="AJ72" s="556"/>
      <c r="AK72" s="556"/>
      <c r="AL72" s="556"/>
      <c r="AM72" s="556"/>
      <c r="AN72" s="556"/>
      <c r="AO72" s="556"/>
      <c r="AP72" s="556"/>
      <c r="AQ72" s="556"/>
      <c r="AR72" s="556"/>
      <c r="AS72" s="556"/>
      <c r="AT72" s="556"/>
      <c r="AU72" s="556"/>
      <c r="AV72" s="557"/>
      <c r="AW72" s="558">
        <v>1</v>
      </c>
      <c r="AX72" s="559"/>
      <c r="AY72" s="560"/>
      <c r="AZ72" s="561">
        <v>8.3</v>
      </c>
      <c r="BA72" s="562"/>
      <c r="BB72" s="563"/>
      <c r="BC72" s="558">
        <v>14.4578313253012</v>
      </c>
      <c r="BD72" s="559"/>
      <c r="BE72" s="560"/>
      <c r="BF72" s="558">
        <v>182.49</v>
      </c>
      <c r="BG72" s="559"/>
      <c r="BH72" s="560"/>
      <c r="BI72" s="564">
        <v>0.0792253346775232</v>
      </c>
      <c r="BJ72" s="565"/>
      <c r="BK72" s="565"/>
      <c r="BL72" s="566"/>
      <c r="BM72" s="567">
        <v>0.0198063336693808</v>
      </c>
      <c r="BN72" s="567"/>
      <c r="BO72" s="567"/>
      <c r="BP72" s="567"/>
      <c r="BQ72" s="568">
        <v>0.25</v>
      </c>
      <c r="BR72" s="568"/>
      <c r="BS72" s="568"/>
      <c r="BT72" s="567">
        <v>0.0594190010081424</v>
      </c>
      <c r="BU72" s="567"/>
      <c r="BV72" s="567"/>
      <c r="BW72" s="567"/>
      <c r="BX72" s="568">
        <v>0.75</v>
      </c>
      <c r="BY72" s="568"/>
      <c r="BZ72" s="568"/>
      <c r="CA72" s="567" t="s">
        <v>932</v>
      </c>
      <c r="CB72" s="567"/>
      <c r="CC72" s="567"/>
      <c r="CD72" s="567"/>
      <c r="CE72" s="568" t="s">
        <v>932</v>
      </c>
      <c r="CF72" s="568"/>
      <c r="CG72" s="568"/>
      <c r="CH72" s="567" t="s">
        <v>932</v>
      </c>
      <c r="CI72" s="567"/>
      <c r="CJ72" s="567"/>
      <c r="CK72" s="567"/>
      <c r="CL72" s="568" t="s">
        <v>932</v>
      </c>
      <c r="CM72" s="568"/>
      <c r="CN72" s="568"/>
    </row>
    <row r="73" hidden="1" customHeight="1" spans="1:92">
      <c r="A73" s="569"/>
      <c r="B73" s="570"/>
      <c r="C73" s="571"/>
      <c r="D73" s="572"/>
      <c r="E73" s="573"/>
      <c r="F73" s="574"/>
      <c r="G73" s="575"/>
      <c r="H73" s="576"/>
      <c r="I73" s="577"/>
      <c r="J73" s="578"/>
      <c r="K73" s="578"/>
      <c r="L73" s="578"/>
      <c r="M73" s="578"/>
      <c r="N73" s="578"/>
      <c r="O73" s="578"/>
      <c r="P73" s="578"/>
      <c r="Q73" s="578"/>
      <c r="R73" s="578"/>
      <c r="S73" s="578"/>
      <c r="T73" s="578"/>
      <c r="U73" s="578"/>
      <c r="V73" s="578"/>
      <c r="W73" s="578"/>
      <c r="X73" s="578"/>
      <c r="Y73" s="578"/>
      <c r="Z73" s="578"/>
      <c r="AA73" s="579"/>
      <c r="AB73" s="580"/>
      <c r="AC73" s="581"/>
      <c r="AD73" s="582"/>
      <c r="AE73" s="583"/>
      <c r="AF73" s="584"/>
      <c r="AG73" s="553">
        <v>0</v>
      </c>
      <c r="AH73" s="554"/>
      <c r="AI73" s="555" t="e">
        <v>#N/A</v>
      </c>
      <c r="AJ73" s="556"/>
      <c r="AK73" s="556"/>
      <c r="AL73" s="556"/>
      <c r="AM73" s="556"/>
      <c r="AN73" s="556"/>
      <c r="AO73" s="556"/>
      <c r="AP73" s="556"/>
      <c r="AQ73" s="556"/>
      <c r="AR73" s="556"/>
      <c r="AS73" s="556"/>
      <c r="AT73" s="556"/>
      <c r="AU73" s="556"/>
      <c r="AV73" s="557"/>
      <c r="AW73" s="558">
        <v>0</v>
      </c>
      <c r="AX73" s="559"/>
      <c r="AY73" s="560"/>
      <c r="AZ73" s="585"/>
      <c r="BA73" s="586"/>
      <c r="BB73" s="587"/>
      <c r="BC73" s="558">
        <v>0</v>
      </c>
      <c r="BD73" s="559"/>
      <c r="BE73" s="560"/>
      <c r="BF73" s="558">
        <v>182.49</v>
      </c>
      <c r="BG73" s="559"/>
      <c r="BH73" s="560"/>
      <c r="BI73" s="564">
        <v>0</v>
      </c>
      <c r="BJ73" s="565"/>
      <c r="BK73" s="565"/>
      <c r="BL73" s="566"/>
      <c r="BM73" s="567" t="s">
        <v>932</v>
      </c>
      <c r="BN73" s="567"/>
      <c r="BO73" s="567"/>
      <c r="BP73" s="567"/>
      <c r="BQ73" s="568">
        <v>0.25</v>
      </c>
      <c r="BR73" s="568"/>
      <c r="BS73" s="568"/>
      <c r="BT73" s="567" t="s">
        <v>932</v>
      </c>
      <c r="BU73" s="567"/>
      <c r="BV73" s="567"/>
      <c r="BW73" s="567"/>
      <c r="BX73" s="568">
        <v>0.75</v>
      </c>
      <c r="BY73" s="568"/>
      <c r="BZ73" s="568"/>
      <c r="CA73" s="567" t="s">
        <v>932</v>
      </c>
      <c r="CB73" s="567"/>
      <c r="CC73" s="567"/>
      <c r="CD73" s="567"/>
      <c r="CE73" s="568" t="s">
        <v>932</v>
      </c>
      <c r="CF73" s="568"/>
      <c r="CG73" s="568"/>
      <c r="CH73" s="567" t="s">
        <v>932</v>
      </c>
      <c r="CI73" s="567"/>
      <c r="CJ73" s="567"/>
      <c r="CK73" s="567"/>
      <c r="CL73" s="568" t="s">
        <v>932</v>
      </c>
      <c r="CM73" s="568"/>
      <c r="CN73" s="568"/>
    </row>
    <row r="74" hidden="1" customHeight="1" spans="1:92">
      <c r="A74" s="569"/>
      <c r="B74" s="570"/>
      <c r="C74" s="571"/>
      <c r="D74" s="572"/>
      <c r="E74" s="573"/>
      <c r="F74" s="574"/>
      <c r="G74" s="575"/>
      <c r="H74" s="576"/>
      <c r="I74" s="577"/>
      <c r="J74" s="578"/>
      <c r="K74" s="578"/>
      <c r="L74" s="578"/>
      <c r="M74" s="578"/>
      <c r="N74" s="578"/>
      <c r="O74" s="578"/>
      <c r="P74" s="578"/>
      <c r="Q74" s="578"/>
      <c r="R74" s="578"/>
      <c r="S74" s="578"/>
      <c r="T74" s="578"/>
      <c r="U74" s="578"/>
      <c r="V74" s="578"/>
      <c r="W74" s="578"/>
      <c r="X74" s="578"/>
      <c r="Y74" s="578"/>
      <c r="Z74" s="578"/>
      <c r="AA74" s="579"/>
      <c r="AB74" s="580"/>
      <c r="AC74" s="581"/>
      <c r="AD74" s="582"/>
      <c r="AE74" s="583"/>
      <c r="AF74" s="584"/>
      <c r="AG74" s="553">
        <v>0</v>
      </c>
      <c r="AH74" s="554"/>
      <c r="AI74" s="555" t="e">
        <v>#N/A</v>
      </c>
      <c r="AJ74" s="556"/>
      <c r="AK74" s="556"/>
      <c r="AL74" s="556"/>
      <c r="AM74" s="556"/>
      <c r="AN74" s="556"/>
      <c r="AO74" s="556"/>
      <c r="AP74" s="556"/>
      <c r="AQ74" s="556"/>
      <c r="AR74" s="556"/>
      <c r="AS74" s="556"/>
      <c r="AT74" s="556"/>
      <c r="AU74" s="556"/>
      <c r="AV74" s="557"/>
      <c r="AW74" s="558">
        <v>0</v>
      </c>
      <c r="AX74" s="559"/>
      <c r="AY74" s="560"/>
      <c r="AZ74" s="585"/>
      <c r="BA74" s="586"/>
      <c r="BB74" s="587"/>
      <c r="BC74" s="558">
        <v>0</v>
      </c>
      <c r="BD74" s="559"/>
      <c r="BE74" s="560"/>
      <c r="BF74" s="558">
        <v>182.49</v>
      </c>
      <c r="BG74" s="559"/>
      <c r="BH74" s="560"/>
      <c r="BI74" s="564">
        <v>0</v>
      </c>
      <c r="BJ74" s="565"/>
      <c r="BK74" s="565"/>
      <c r="BL74" s="566"/>
      <c r="BM74" s="567" t="s">
        <v>932</v>
      </c>
      <c r="BN74" s="567"/>
      <c r="BO74" s="567"/>
      <c r="BP74" s="567"/>
      <c r="BQ74" s="568">
        <v>0.25</v>
      </c>
      <c r="BR74" s="568"/>
      <c r="BS74" s="568"/>
      <c r="BT74" s="567" t="s">
        <v>932</v>
      </c>
      <c r="BU74" s="567"/>
      <c r="BV74" s="567"/>
      <c r="BW74" s="567"/>
      <c r="BX74" s="568">
        <v>0.75</v>
      </c>
      <c r="BY74" s="568"/>
      <c r="BZ74" s="568"/>
      <c r="CA74" s="567" t="s">
        <v>932</v>
      </c>
      <c r="CB74" s="567"/>
      <c r="CC74" s="567"/>
      <c r="CD74" s="567"/>
      <c r="CE74" s="568" t="s">
        <v>932</v>
      </c>
      <c r="CF74" s="568"/>
      <c r="CG74" s="568"/>
      <c r="CH74" s="567" t="s">
        <v>932</v>
      </c>
      <c r="CI74" s="567"/>
      <c r="CJ74" s="567"/>
      <c r="CK74" s="567"/>
      <c r="CL74" s="568" t="s">
        <v>932</v>
      </c>
      <c r="CM74" s="568"/>
      <c r="CN74" s="568"/>
    </row>
    <row r="75" hidden="1" customHeight="1" spans="1:92">
      <c r="A75" s="569"/>
      <c r="B75" s="570"/>
      <c r="C75" s="571"/>
      <c r="D75" s="572"/>
      <c r="E75" s="573"/>
      <c r="F75" s="574"/>
      <c r="G75" s="575"/>
      <c r="H75" s="576"/>
      <c r="I75" s="577"/>
      <c r="J75" s="578"/>
      <c r="K75" s="578"/>
      <c r="L75" s="578"/>
      <c r="M75" s="578"/>
      <c r="N75" s="578"/>
      <c r="O75" s="578"/>
      <c r="P75" s="578"/>
      <c r="Q75" s="578"/>
      <c r="R75" s="578"/>
      <c r="S75" s="578"/>
      <c r="T75" s="578"/>
      <c r="U75" s="578"/>
      <c r="V75" s="578"/>
      <c r="W75" s="578"/>
      <c r="X75" s="578"/>
      <c r="Y75" s="578"/>
      <c r="Z75" s="578"/>
      <c r="AA75" s="579"/>
      <c r="AB75" s="580"/>
      <c r="AC75" s="581"/>
      <c r="AD75" s="582"/>
      <c r="AE75" s="583"/>
      <c r="AF75" s="584"/>
      <c r="AG75" s="553">
        <v>0</v>
      </c>
      <c r="AH75" s="554"/>
      <c r="AI75" s="555" t="e">
        <v>#N/A</v>
      </c>
      <c r="AJ75" s="556"/>
      <c r="AK75" s="556"/>
      <c r="AL75" s="556"/>
      <c r="AM75" s="556"/>
      <c r="AN75" s="556"/>
      <c r="AO75" s="556"/>
      <c r="AP75" s="556"/>
      <c r="AQ75" s="556"/>
      <c r="AR75" s="556"/>
      <c r="AS75" s="556"/>
      <c r="AT75" s="556"/>
      <c r="AU75" s="556"/>
      <c r="AV75" s="557"/>
      <c r="AW75" s="558">
        <v>0</v>
      </c>
      <c r="AX75" s="559"/>
      <c r="AY75" s="560"/>
      <c r="AZ75" s="585"/>
      <c r="BA75" s="586"/>
      <c r="BB75" s="587"/>
      <c r="BC75" s="558">
        <v>0</v>
      </c>
      <c r="BD75" s="559"/>
      <c r="BE75" s="560"/>
      <c r="BF75" s="558">
        <v>182.49</v>
      </c>
      <c r="BG75" s="559"/>
      <c r="BH75" s="560"/>
      <c r="BI75" s="564">
        <v>0</v>
      </c>
      <c r="BJ75" s="565"/>
      <c r="BK75" s="565"/>
      <c r="BL75" s="566"/>
      <c r="BM75" s="567" t="s">
        <v>932</v>
      </c>
      <c r="BN75" s="567"/>
      <c r="BO75" s="567"/>
      <c r="BP75" s="567"/>
      <c r="BQ75" s="568">
        <v>0.25</v>
      </c>
      <c r="BR75" s="568"/>
      <c r="BS75" s="568"/>
      <c r="BT75" s="567" t="s">
        <v>932</v>
      </c>
      <c r="BU75" s="567"/>
      <c r="BV75" s="567"/>
      <c r="BW75" s="567"/>
      <c r="BX75" s="568">
        <v>0.75</v>
      </c>
      <c r="BY75" s="568"/>
      <c r="BZ75" s="568"/>
      <c r="CA75" s="567" t="s">
        <v>932</v>
      </c>
      <c r="CB75" s="567"/>
      <c r="CC75" s="567"/>
      <c r="CD75" s="567"/>
      <c r="CE75" s="568" t="s">
        <v>932</v>
      </c>
      <c r="CF75" s="568"/>
      <c r="CG75" s="568"/>
      <c r="CH75" s="567" t="s">
        <v>932</v>
      </c>
      <c r="CI75" s="567"/>
      <c r="CJ75" s="567"/>
      <c r="CK75" s="567"/>
      <c r="CL75" s="568" t="s">
        <v>932</v>
      </c>
      <c r="CM75" s="568"/>
      <c r="CN75" s="568"/>
    </row>
    <row r="76" hidden="1" customHeight="1" spans="1:92">
      <c r="A76" s="569"/>
      <c r="B76" s="570"/>
      <c r="C76" s="571"/>
      <c r="D76" s="572"/>
      <c r="E76" s="573"/>
      <c r="F76" s="574"/>
      <c r="G76" s="575"/>
      <c r="H76" s="576"/>
      <c r="I76" s="577"/>
      <c r="J76" s="578"/>
      <c r="K76" s="578"/>
      <c r="L76" s="578"/>
      <c r="M76" s="578"/>
      <c r="N76" s="578"/>
      <c r="O76" s="578"/>
      <c r="P76" s="578"/>
      <c r="Q76" s="578"/>
      <c r="R76" s="578"/>
      <c r="S76" s="578"/>
      <c r="T76" s="578"/>
      <c r="U76" s="578"/>
      <c r="V76" s="578"/>
      <c r="W76" s="578"/>
      <c r="X76" s="578"/>
      <c r="Y76" s="578"/>
      <c r="Z76" s="578"/>
      <c r="AA76" s="579"/>
      <c r="AB76" s="580"/>
      <c r="AC76" s="581"/>
      <c r="AD76" s="582"/>
      <c r="AE76" s="583"/>
      <c r="AF76" s="584"/>
      <c r="AG76" s="553">
        <v>0</v>
      </c>
      <c r="AH76" s="554"/>
      <c r="AI76" s="555" t="e">
        <v>#N/A</v>
      </c>
      <c r="AJ76" s="556"/>
      <c r="AK76" s="556"/>
      <c r="AL76" s="556"/>
      <c r="AM76" s="556"/>
      <c r="AN76" s="556"/>
      <c r="AO76" s="556"/>
      <c r="AP76" s="556"/>
      <c r="AQ76" s="556"/>
      <c r="AR76" s="556"/>
      <c r="AS76" s="556"/>
      <c r="AT76" s="556"/>
      <c r="AU76" s="556"/>
      <c r="AV76" s="557"/>
      <c r="AW76" s="558">
        <v>0</v>
      </c>
      <c r="AX76" s="559"/>
      <c r="AY76" s="560"/>
      <c r="AZ76" s="585"/>
      <c r="BA76" s="586"/>
      <c r="BB76" s="587"/>
      <c r="BC76" s="558">
        <v>0</v>
      </c>
      <c r="BD76" s="559"/>
      <c r="BE76" s="560"/>
      <c r="BF76" s="558">
        <v>182.49</v>
      </c>
      <c r="BG76" s="559"/>
      <c r="BH76" s="560"/>
      <c r="BI76" s="564">
        <v>0</v>
      </c>
      <c r="BJ76" s="565"/>
      <c r="BK76" s="565"/>
      <c r="BL76" s="566"/>
      <c r="BM76" s="567" t="s">
        <v>932</v>
      </c>
      <c r="BN76" s="567"/>
      <c r="BO76" s="567"/>
      <c r="BP76" s="567"/>
      <c r="BQ76" s="568">
        <v>0.25</v>
      </c>
      <c r="BR76" s="568"/>
      <c r="BS76" s="568"/>
      <c r="BT76" s="567" t="s">
        <v>932</v>
      </c>
      <c r="BU76" s="567"/>
      <c r="BV76" s="567"/>
      <c r="BW76" s="567"/>
      <c r="BX76" s="568">
        <v>0.75</v>
      </c>
      <c r="BY76" s="568"/>
      <c r="BZ76" s="568"/>
      <c r="CA76" s="567" t="s">
        <v>932</v>
      </c>
      <c r="CB76" s="567"/>
      <c r="CC76" s="567"/>
      <c r="CD76" s="567"/>
      <c r="CE76" s="568" t="s">
        <v>932</v>
      </c>
      <c r="CF76" s="568"/>
      <c r="CG76" s="568"/>
      <c r="CH76" s="567" t="s">
        <v>932</v>
      </c>
      <c r="CI76" s="567"/>
      <c r="CJ76" s="567"/>
      <c r="CK76" s="567"/>
      <c r="CL76" s="568" t="s">
        <v>932</v>
      </c>
      <c r="CM76" s="568"/>
      <c r="CN76" s="568"/>
    </row>
    <row r="77" hidden="1" customHeight="1" spans="1:92">
      <c r="A77" s="569"/>
      <c r="B77" s="570"/>
      <c r="C77" s="571"/>
      <c r="D77" s="572"/>
      <c r="E77" s="573"/>
      <c r="F77" s="574"/>
      <c r="G77" s="575"/>
      <c r="H77" s="576"/>
      <c r="I77" s="577"/>
      <c r="J77" s="578"/>
      <c r="K77" s="578"/>
      <c r="L77" s="578"/>
      <c r="M77" s="578"/>
      <c r="N77" s="578"/>
      <c r="O77" s="578"/>
      <c r="P77" s="578"/>
      <c r="Q77" s="578"/>
      <c r="R77" s="578"/>
      <c r="S77" s="578"/>
      <c r="T77" s="578"/>
      <c r="U77" s="578"/>
      <c r="V77" s="578"/>
      <c r="W77" s="578"/>
      <c r="X77" s="578"/>
      <c r="Y77" s="578"/>
      <c r="Z77" s="578"/>
      <c r="AA77" s="579"/>
      <c r="AB77" s="580"/>
      <c r="AC77" s="581"/>
      <c r="AD77" s="582"/>
      <c r="AE77" s="583"/>
      <c r="AF77" s="584"/>
      <c r="AG77" s="553">
        <v>0</v>
      </c>
      <c r="AH77" s="554"/>
      <c r="AI77" s="555" t="e">
        <v>#N/A</v>
      </c>
      <c r="AJ77" s="556"/>
      <c r="AK77" s="556"/>
      <c r="AL77" s="556"/>
      <c r="AM77" s="556"/>
      <c r="AN77" s="556"/>
      <c r="AO77" s="556"/>
      <c r="AP77" s="556"/>
      <c r="AQ77" s="556"/>
      <c r="AR77" s="556"/>
      <c r="AS77" s="556"/>
      <c r="AT77" s="556"/>
      <c r="AU77" s="556"/>
      <c r="AV77" s="557"/>
      <c r="AW77" s="558">
        <v>0</v>
      </c>
      <c r="AX77" s="559"/>
      <c r="AY77" s="560"/>
      <c r="AZ77" s="585"/>
      <c r="BA77" s="586"/>
      <c r="BB77" s="587"/>
      <c r="BC77" s="558">
        <v>0</v>
      </c>
      <c r="BD77" s="559"/>
      <c r="BE77" s="560"/>
      <c r="BF77" s="558">
        <v>182.49</v>
      </c>
      <c r="BG77" s="559"/>
      <c r="BH77" s="560"/>
      <c r="BI77" s="564">
        <v>0</v>
      </c>
      <c r="BJ77" s="565"/>
      <c r="BK77" s="565"/>
      <c r="BL77" s="566"/>
      <c r="BM77" s="567" t="s">
        <v>932</v>
      </c>
      <c r="BN77" s="567"/>
      <c r="BO77" s="567"/>
      <c r="BP77" s="567"/>
      <c r="BQ77" s="568">
        <v>0.25</v>
      </c>
      <c r="BR77" s="568"/>
      <c r="BS77" s="568"/>
      <c r="BT77" s="567" t="s">
        <v>932</v>
      </c>
      <c r="BU77" s="567"/>
      <c r="BV77" s="567"/>
      <c r="BW77" s="567"/>
      <c r="BX77" s="568">
        <v>0.75</v>
      </c>
      <c r="BY77" s="568"/>
      <c r="BZ77" s="568"/>
      <c r="CA77" s="567" t="s">
        <v>932</v>
      </c>
      <c r="CB77" s="567"/>
      <c r="CC77" s="567"/>
      <c r="CD77" s="567"/>
      <c r="CE77" s="568" t="s">
        <v>932</v>
      </c>
      <c r="CF77" s="568"/>
      <c r="CG77" s="568"/>
      <c r="CH77" s="567" t="s">
        <v>932</v>
      </c>
      <c r="CI77" s="567"/>
      <c r="CJ77" s="567"/>
      <c r="CK77" s="567"/>
      <c r="CL77" s="568" t="s">
        <v>932</v>
      </c>
      <c r="CM77" s="568"/>
      <c r="CN77" s="568"/>
    </row>
    <row r="78" hidden="1" customHeight="1" spans="1:92">
      <c r="A78" s="569"/>
      <c r="B78" s="570"/>
      <c r="C78" s="571"/>
      <c r="D78" s="572"/>
      <c r="E78" s="573"/>
      <c r="F78" s="574"/>
      <c r="G78" s="575"/>
      <c r="H78" s="576"/>
      <c r="I78" s="577"/>
      <c r="J78" s="578"/>
      <c r="K78" s="578"/>
      <c r="L78" s="578"/>
      <c r="M78" s="578"/>
      <c r="N78" s="578"/>
      <c r="O78" s="578"/>
      <c r="P78" s="578"/>
      <c r="Q78" s="578"/>
      <c r="R78" s="578"/>
      <c r="S78" s="578"/>
      <c r="T78" s="578"/>
      <c r="U78" s="578"/>
      <c r="V78" s="578"/>
      <c r="W78" s="578"/>
      <c r="X78" s="578"/>
      <c r="Y78" s="578"/>
      <c r="Z78" s="578"/>
      <c r="AA78" s="579"/>
      <c r="AB78" s="580"/>
      <c r="AC78" s="581"/>
      <c r="AD78" s="582"/>
      <c r="AE78" s="583"/>
      <c r="AF78" s="584"/>
      <c r="AG78" s="553">
        <v>0</v>
      </c>
      <c r="AH78" s="554"/>
      <c r="AI78" s="555" t="e">
        <v>#N/A</v>
      </c>
      <c r="AJ78" s="556"/>
      <c r="AK78" s="556"/>
      <c r="AL78" s="556"/>
      <c r="AM78" s="556"/>
      <c r="AN78" s="556"/>
      <c r="AO78" s="556"/>
      <c r="AP78" s="556"/>
      <c r="AQ78" s="556"/>
      <c r="AR78" s="556"/>
      <c r="AS78" s="556"/>
      <c r="AT78" s="556"/>
      <c r="AU78" s="556"/>
      <c r="AV78" s="557"/>
      <c r="AW78" s="558">
        <v>0</v>
      </c>
      <c r="AX78" s="559"/>
      <c r="AY78" s="560"/>
      <c r="AZ78" s="585"/>
      <c r="BA78" s="586"/>
      <c r="BB78" s="587"/>
      <c r="BC78" s="558">
        <v>0</v>
      </c>
      <c r="BD78" s="559"/>
      <c r="BE78" s="560"/>
      <c r="BF78" s="558">
        <v>182.49</v>
      </c>
      <c r="BG78" s="559"/>
      <c r="BH78" s="560"/>
      <c r="BI78" s="564">
        <v>0</v>
      </c>
      <c r="BJ78" s="565"/>
      <c r="BK78" s="565"/>
      <c r="BL78" s="566"/>
      <c r="BM78" s="567" t="s">
        <v>932</v>
      </c>
      <c r="BN78" s="567"/>
      <c r="BO78" s="567"/>
      <c r="BP78" s="567"/>
      <c r="BQ78" s="568">
        <v>0.25</v>
      </c>
      <c r="BR78" s="568"/>
      <c r="BS78" s="568"/>
      <c r="BT78" s="567" t="s">
        <v>932</v>
      </c>
      <c r="BU78" s="567"/>
      <c r="BV78" s="567"/>
      <c r="BW78" s="567"/>
      <c r="BX78" s="568">
        <v>0.75</v>
      </c>
      <c r="BY78" s="568"/>
      <c r="BZ78" s="568"/>
      <c r="CA78" s="567" t="s">
        <v>932</v>
      </c>
      <c r="CB78" s="567"/>
      <c r="CC78" s="567"/>
      <c r="CD78" s="567"/>
      <c r="CE78" s="568" t="s">
        <v>932</v>
      </c>
      <c r="CF78" s="568"/>
      <c r="CG78" s="568"/>
      <c r="CH78" s="567" t="s">
        <v>932</v>
      </c>
      <c r="CI78" s="567"/>
      <c r="CJ78" s="567"/>
      <c r="CK78" s="567"/>
      <c r="CL78" s="568" t="s">
        <v>932</v>
      </c>
      <c r="CM78" s="568"/>
      <c r="CN78" s="568"/>
    </row>
    <row r="79" hidden="1" customHeight="1" spans="1:92">
      <c r="A79" s="588"/>
      <c r="B79" s="589"/>
      <c r="C79" s="590"/>
      <c r="D79" s="591"/>
      <c r="E79" s="592"/>
      <c r="F79" s="593"/>
      <c r="G79" s="594"/>
      <c r="H79" s="595"/>
      <c r="I79" s="596"/>
      <c r="J79" s="597"/>
      <c r="K79" s="597"/>
      <c r="L79" s="597"/>
      <c r="M79" s="597"/>
      <c r="N79" s="597"/>
      <c r="O79" s="597"/>
      <c r="P79" s="597"/>
      <c r="Q79" s="597"/>
      <c r="R79" s="597"/>
      <c r="S79" s="597"/>
      <c r="T79" s="597"/>
      <c r="U79" s="597"/>
      <c r="V79" s="597"/>
      <c r="W79" s="597"/>
      <c r="X79" s="597"/>
      <c r="Y79" s="597"/>
      <c r="Z79" s="597"/>
      <c r="AA79" s="598"/>
      <c r="AB79" s="599"/>
      <c r="AC79" s="600"/>
      <c r="AD79" s="601"/>
      <c r="AE79" s="602"/>
      <c r="AF79" s="603"/>
      <c r="AG79" s="553">
        <v>0</v>
      </c>
      <c r="AH79" s="554"/>
      <c r="AI79" s="555" t="e">
        <v>#N/A</v>
      </c>
      <c r="AJ79" s="556"/>
      <c r="AK79" s="556"/>
      <c r="AL79" s="556"/>
      <c r="AM79" s="556"/>
      <c r="AN79" s="556"/>
      <c r="AO79" s="556"/>
      <c r="AP79" s="556"/>
      <c r="AQ79" s="556"/>
      <c r="AR79" s="556"/>
      <c r="AS79" s="556"/>
      <c r="AT79" s="556"/>
      <c r="AU79" s="556"/>
      <c r="AV79" s="557"/>
      <c r="AW79" s="558">
        <v>0</v>
      </c>
      <c r="AX79" s="559"/>
      <c r="AY79" s="560"/>
      <c r="AZ79" s="604"/>
      <c r="BA79" s="605"/>
      <c r="BB79" s="606"/>
      <c r="BC79" s="558">
        <v>0</v>
      </c>
      <c r="BD79" s="559"/>
      <c r="BE79" s="560"/>
      <c r="BF79" s="558">
        <v>182.49</v>
      </c>
      <c r="BG79" s="559"/>
      <c r="BH79" s="560"/>
      <c r="BI79" s="564">
        <v>0</v>
      </c>
      <c r="BJ79" s="565"/>
      <c r="BK79" s="565"/>
      <c r="BL79" s="566"/>
      <c r="BM79" s="567" t="s">
        <v>932</v>
      </c>
      <c r="BN79" s="567"/>
      <c r="BO79" s="567"/>
      <c r="BP79" s="567"/>
      <c r="BQ79" s="568">
        <v>0.25</v>
      </c>
      <c r="BR79" s="568"/>
      <c r="BS79" s="568"/>
      <c r="BT79" s="567" t="s">
        <v>932</v>
      </c>
      <c r="BU79" s="567"/>
      <c r="BV79" s="567"/>
      <c r="BW79" s="567"/>
      <c r="BX79" s="568">
        <v>0.75</v>
      </c>
      <c r="BY79" s="568"/>
      <c r="BZ79" s="568"/>
      <c r="CA79" s="567" t="s">
        <v>932</v>
      </c>
      <c r="CB79" s="567"/>
      <c r="CC79" s="567"/>
      <c r="CD79" s="567"/>
      <c r="CE79" s="568" t="s">
        <v>932</v>
      </c>
      <c r="CF79" s="568"/>
      <c r="CG79" s="568"/>
      <c r="CH79" s="567" t="s">
        <v>932</v>
      </c>
      <c r="CI79" s="567"/>
      <c r="CJ79" s="567"/>
      <c r="CK79" s="567"/>
      <c r="CL79" s="568" t="s">
        <v>932</v>
      </c>
      <c r="CM79" s="568"/>
      <c r="CN79" s="568"/>
    </row>
    <row r="80" customHeight="1" spans="1:92">
      <c r="A80" s="540" t="s">
        <v>861</v>
      </c>
      <c r="B80" s="541"/>
      <c r="C80" s="89"/>
      <c r="D80" s="91"/>
      <c r="E80" s="90"/>
      <c r="F80" s="542">
        <v>2003864</v>
      </c>
      <c r="G80" s="543"/>
      <c r="H80" s="544"/>
      <c r="I80" s="545" t="s">
        <v>103</v>
      </c>
      <c r="J80" s="546"/>
      <c r="K80" s="546"/>
      <c r="L80" s="546"/>
      <c r="M80" s="546"/>
      <c r="N80" s="546"/>
      <c r="O80" s="546"/>
      <c r="P80" s="546"/>
      <c r="Q80" s="546"/>
      <c r="R80" s="546"/>
      <c r="S80" s="546"/>
      <c r="T80" s="546"/>
      <c r="U80" s="546"/>
      <c r="V80" s="546"/>
      <c r="W80" s="546"/>
      <c r="X80" s="546"/>
      <c r="Y80" s="546"/>
      <c r="Z80" s="546"/>
      <c r="AA80" s="547"/>
      <c r="AB80" s="548" t="s">
        <v>104</v>
      </c>
      <c r="AC80" s="549"/>
      <c r="AD80" s="550">
        <v>60</v>
      </c>
      <c r="AE80" s="551"/>
      <c r="AF80" s="552"/>
      <c r="AG80" s="553" t="s">
        <v>1062</v>
      </c>
      <c r="AH80" s="554"/>
      <c r="AI80" s="555" t="s">
        <v>1063</v>
      </c>
      <c r="AJ80" s="556"/>
      <c r="AK80" s="556"/>
      <c r="AL80" s="556"/>
      <c r="AM80" s="556"/>
      <c r="AN80" s="556"/>
      <c r="AO80" s="556"/>
      <c r="AP80" s="556"/>
      <c r="AQ80" s="556"/>
      <c r="AR80" s="556"/>
      <c r="AS80" s="556"/>
      <c r="AT80" s="556"/>
      <c r="AU80" s="556"/>
      <c r="AV80" s="557"/>
      <c r="AW80" s="558">
        <v>1</v>
      </c>
      <c r="AX80" s="559"/>
      <c r="AY80" s="560"/>
      <c r="AZ80" s="561">
        <v>1</v>
      </c>
      <c r="BA80" s="562"/>
      <c r="BB80" s="563"/>
      <c r="BC80" s="558">
        <v>60</v>
      </c>
      <c r="BD80" s="559"/>
      <c r="BE80" s="560"/>
      <c r="BF80" s="558">
        <v>182.49</v>
      </c>
      <c r="BG80" s="559"/>
      <c r="BH80" s="560"/>
      <c r="BI80" s="564">
        <v>0.328785138911721</v>
      </c>
      <c r="BJ80" s="565"/>
      <c r="BK80" s="565"/>
      <c r="BL80" s="566"/>
      <c r="BM80" s="567">
        <v>0.0821962847279303</v>
      </c>
      <c r="BN80" s="567"/>
      <c r="BO80" s="567"/>
      <c r="BP80" s="567"/>
      <c r="BQ80" s="568">
        <v>0.25</v>
      </c>
      <c r="BR80" s="568"/>
      <c r="BS80" s="568"/>
      <c r="BT80" s="567">
        <v>0.246588854183791</v>
      </c>
      <c r="BU80" s="567"/>
      <c r="BV80" s="567"/>
      <c r="BW80" s="567"/>
      <c r="BX80" s="568">
        <v>0.75</v>
      </c>
      <c r="BY80" s="568"/>
      <c r="BZ80" s="568"/>
      <c r="CA80" s="567" t="s">
        <v>932</v>
      </c>
      <c r="CB80" s="567"/>
      <c r="CC80" s="567"/>
      <c r="CD80" s="567"/>
      <c r="CE80" s="568" t="s">
        <v>932</v>
      </c>
      <c r="CF80" s="568"/>
      <c r="CG80" s="568"/>
      <c r="CH80" s="567" t="s">
        <v>932</v>
      </c>
      <c r="CI80" s="567"/>
      <c r="CJ80" s="567"/>
      <c r="CK80" s="567"/>
      <c r="CL80" s="568" t="s">
        <v>932</v>
      </c>
      <c r="CM80" s="568"/>
      <c r="CN80" s="568"/>
    </row>
    <row r="81" customHeight="1" spans="1:92">
      <c r="A81" s="569"/>
      <c r="B81" s="570"/>
      <c r="C81" s="571"/>
      <c r="D81" s="572"/>
      <c r="E81" s="573"/>
      <c r="F81" s="574"/>
      <c r="G81" s="575"/>
      <c r="H81" s="576"/>
      <c r="I81" s="577"/>
      <c r="J81" s="578"/>
      <c r="K81" s="578"/>
      <c r="L81" s="578"/>
      <c r="M81" s="578"/>
      <c r="N81" s="578"/>
      <c r="O81" s="578"/>
      <c r="P81" s="578"/>
      <c r="Q81" s="578"/>
      <c r="R81" s="578"/>
      <c r="S81" s="578"/>
      <c r="T81" s="578"/>
      <c r="U81" s="578"/>
      <c r="V81" s="578"/>
      <c r="W81" s="578"/>
      <c r="X81" s="578"/>
      <c r="Y81" s="578"/>
      <c r="Z81" s="578"/>
      <c r="AA81" s="579"/>
      <c r="AB81" s="580"/>
      <c r="AC81" s="581"/>
      <c r="AD81" s="582"/>
      <c r="AE81" s="583"/>
      <c r="AF81" s="584"/>
      <c r="AG81" s="553" t="s">
        <v>1064</v>
      </c>
      <c r="AH81" s="554"/>
      <c r="AI81" s="555" t="s">
        <v>1065</v>
      </c>
      <c r="AJ81" s="556"/>
      <c r="AK81" s="556"/>
      <c r="AL81" s="556"/>
      <c r="AM81" s="556"/>
      <c r="AN81" s="556"/>
      <c r="AO81" s="556"/>
      <c r="AP81" s="556"/>
      <c r="AQ81" s="556"/>
      <c r="AR81" s="556"/>
      <c r="AS81" s="556"/>
      <c r="AT81" s="556"/>
      <c r="AU81" s="556"/>
      <c r="AV81" s="557"/>
      <c r="AW81" s="558">
        <v>1</v>
      </c>
      <c r="AX81" s="559"/>
      <c r="AY81" s="560"/>
      <c r="AZ81" s="585"/>
      <c r="BA81" s="586"/>
      <c r="BB81" s="587"/>
      <c r="BC81" s="558">
        <v>60</v>
      </c>
      <c r="BD81" s="559"/>
      <c r="BE81" s="560"/>
      <c r="BF81" s="558">
        <v>182.49</v>
      </c>
      <c r="BG81" s="559"/>
      <c r="BH81" s="560"/>
      <c r="BI81" s="564">
        <v>0.328785138911721</v>
      </c>
      <c r="BJ81" s="565"/>
      <c r="BK81" s="565"/>
      <c r="BL81" s="566"/>
      <c r="BM81" s="567">
        <v>0.0821962847279303</v>
      </c>
      <c r="BN81" s="567"/>
      <c r="BO81" s="567"/>
      <c r="BP81" s="567"/>
      <c r="BQ81" s="568">
        <v>0.25</v>
      </c>
      <c r="BR81" s="568"/>
      <c r="BS81" s="568"/>
      <c r="BT81" s="567">
        <v>0.246588854183791</v>
      </c>
      <c r="BU81" s="567"/>
      <c r="BV81" s="567"/>
      <c r="BW81" s="567"/>
      <c r="BX81" s="568">
        <v>0.75</v>
      </c>
      <c r="BY81" s="568"/>
      <c r="BZ81" s="568"/>
      <c r="CA81" s="567" t="s">
        <v>932</v>
      </c>
      <c r="CB81" s="567"/>
      <c r="CC81" s="567"/>
      <c r="CD81" s="567"/>
      <c r="CE81" s="568" t="s">
        <v>932</v>
      </c>
      <c r="CF81" s="568"/>
      <c r="CG81" s="568"/>
      <c r="CH81" s="567" t="s">
        <v>932</v>
      </c>
      <c r="CI81" s="567"/>
      <c r="CJ81" s="567"/>
      <c r="CK81" s="567"/>
      <c r="CL81" s="568" t="s">
        <v>932</v>
      </c>
      <c r="CM81" s="568"/>
      <c r="CN81" s="568"/>
    </row>
    <row r="82" hidden="1" customHeight="1" spans="1:92">
      <c r="A82" s="569"/>
      <c r="B82" s="570"/>
      <c r="C82" s="571"/>
      <c r="D82" s="572"/>
      <c r="E82" s="573"/>
      <c r="F82" s="574"/>
      <c r="G82" s="575"/>
      <c r="H82" s="576"/>
      <c r="I82" s="577"/>
      <c r="J82" s="578"/>
      <c r="K82" s="578"/>
      <c r="L82" s="578"/>
      <c r="M82" s="578"/>
      <c r="N82" s="578"/>
      <c r="O82" s="578"/>
      <c r="P82" s="578"/>
      <c r="Q82" s="578"/>
      <c r="R82" s="578"/>
      <c r="S82" s="578"/>
      <c r="T82" s="578"/>
      <c r="U82" s="578"/>
      <c r="V82" s="578"/>
      <c r="W82" s="578"/>
      <c r="X82" s="578"/>
      <c r="Y82" s="578"/>
      <c r="Z82" s="578"/>
      <c r="AA82" s="579"/>
      <c r="AB82" s="580"/>
      <c r="AC82" s="581"/>
      <c r="AD82" s="582"/>
      <c r="AE82" s="583"/>
      <c r="AF82" s="584"/>
      <c r="AG82" s="553">
        <v>0</v>
      </c>
      <c r="AH82" s="554"/>
      <c r="AI82" s="555" t="e">
        <v>#N/A</v>
      </c>
      <c r="AJ82" s="556"/>
      <c r="AK82" s="556"/>
      <c r="AL82" s="556"/>
      <c r="AM82" s="556"/>
      <c r="AN82" s="556"/>
      <c r="AO82" s="556"/>
      <c r="AP82" s="556"/>
      <c r="AQ82" s="556"/>
      <c r="AR82" s="556"/>
      <c r="AS82" s="556"/>
      <c r="AT82" s="556"/>
      <c r="AU82" s="556"/>
      <c r="AV82" s="557"/>
      <c r="AW82" s="558">
        <v>0</v>
      </c>
      <c r="AX82" s="559"/>
      <c r="AY82" s="560"/>
      <c r="AZ82" s="585"/>
      <c r="BA82" s="586"/>
      <c r="BB82" s="587"/>
      <c r="BC82" s="558">
        <v>0</v>
      </c>
      <c r="BD82" s="559"/>
      <c r="BE82" s="560"/>
      <c r="BF82" s="558">
        <v>182.49</v>
      </c>
      <c r="BG82" s="559"/>
      <c r="BH82" s="560"/>
      <c r="BI82" s="564">
        <v>0</v>
      </c>
      <c r="BJ82" s="565"/>
      <c r="BK82" s="565"/>
      <c r="BL82" s="566"/>
      <c r="BM82" s="567" t="s">
        <v>932</v>
      </c>
      <c r="BN82" s="567"/>
      <c r="BO82" s="567"/>
      <c r="BP82" s="567"/>
      <c r="BQ82" s="568">
        <v>0.25</v>
      </c>
      <c r="BR82" s="568"/>
      <c r="BS82" s="568"/>
      <c r="BT82" s="567" t="s">
        <v>932</v>
      </c>
      <c r="BU82" s="567"/>
      <c r="BV82" s="567"/>
      <c r="BW82" s="567"/>
      <c r="BX82" s="568">
        <v>0.75</v>
      </c>
      <c r="BY82" s="568"/>
      <c r="BZ82" s="568"/>
      <c r="CA82" s="567" t="s">
        <v>932</v>
      </c>
      <c r="CB82" s="567"/>
      <c r="CC82" s="567"/>
      <c r="CD82" s="567"/>
      <c r="CE82" s="568" t="s">
        <v>932</v>
      </c>
      <c r="CF82" s="568"/>
      <c r="CG82" s="568"/>
      <c r="CH82" s="567" t="s">
        <v>932</v>
      </c>
      <c r="CI82" s="567"/>
      <c r="CJ82" s="567"/>
      <c r="CK82" s="567"/>
      <c r="CL82" s="568" t="s">
        <v>932</v>
      </c>
      <c r="CM82" s="568"/>
      <c r="CN82" s="568"/>
    </row>
    <row r="83" hidden="1" customHeight="1" spans="1:92">
      <c r="A83" s="569"/>
      <c r="B83" s="570"/>
      <c r="C83" s="571"/>
      <c r="D83" s="572"/>
      <c r="E83" s="573"/>
      <c r="F83" s="574"/>
      <c r="G83" s="575"/>
      <c r="H83" s="576"/>
      <c r="I83" s="577"/>
      <c r="J83" s="578"/>
      <c r="K83" s="578"/>
      <c r="L83" s="578"/>
      <c r="M83" s="578"/>
      <c r="N83" s="578"/>
      <c r="O83" s="578"/>
      <c r="P83" s="578"/>
      <c r="Q83" s="578"/>
      <c r="R83" s="578"/>
      <c r="S83" s="578"/>
      <c r="T83" s="578"/>
      <c r="U83" s="578"/>
      <c r="V83" s="578"/>
      <c r="W83" s="578"/>
      <c r="X83" s="578"/>
      <c r="Y83" s="578"/>
      <c r="Z83" s="578"/>
      <c r="AA83" s="579"/>
      <c r="AB83" s="580"/>
      <c r="AC83" s="581"/>
      <c r="AD83" s="582"/>
      <c r="AE83" s="583"/>
      <c r="AF83" s="584"/>
      <c r="AG83" s="553">
        <v>0</v>
      </c>
      <c r="AH83" s="554"/>
      <c r="AI83" s="555" t="e">
        <v>#N/A</v>
      </c>
      <c r="AJ83" s="556"/>
      <c r="AK83" s="556"/>
      <c r="AL83" s="556"/>
      <c r="AM83" s="556"/>
      <c r="AN83" s="556"/>
      <c r="AO83" s="556"/>
      <c r="AP83" s="556"/>
      <c r="AQ83" s="556"/>
      <c r="AR83" s="556"/>
      <c r="AS83" s="556"/>
      <c r="AT83" s="556"/>
      <c r="AU83" s="556"/>
      <c r="AV83" s="557"/>
      <c r="AW83" s="558">
        <v>0</v>
      </c>
      <c r="AX83" s="559"/>
      <c r="AY83" s="560"/>
      <c r="AZ83" s="585"/>
      <c r="BA83" s="586"/>
      <c r="BB83" s="587"/>
      <c r="BC83" s="558">
        <v>0</v>
      </c>
      <c r="BD83" s="559"/>
      <c r="BE83" s="560"/>
      <c r="BF83" s="558">
        <v>182.49</v>
      </c>
      <c r="BG83" s="559"/>
      <c r="BH83" s="560"/>
      <c r="BI83" s="564">
        <v>0</v>
      </c>
      <c r="BJ83" s="565"/>
      <c r="BK83" s="565"/>
      <c r="BL83" s="566"/>
      <c r="BM83" s="567" t="s">
        <v>932</v>
      </c>
      <c r="BN83" s="567"/>
      <c r="BO83" s="567"/>
      <c r="BP83" s="567"/>
      <c r="BQ83" s="568">
        <v>0.25</v>
      </c>
      <c r="BR83" s="568"/>
      <c r="BS83" s="568"/>
      <c r="BT83" s="567" t="s">
        <v>932</v>
      </c>
      <c r="BU83" s="567"/>
      <c r="BV83" s="567"/>
      <c r="BW83" s="567"/>
      <c r="BX83" s="568">
        <v>0.75</v>
      </c>
      <c r="BY83" s="568"/>
      <c r="BZ83" s="568"/>
      <c r="CA83" s="567" t="s">
        <v>932</v>
      </c>
      <c r="CB83" s="567"/>
      <c r="CC83" s="567"/>
      <c r="CD83" s="567"/>
      <c r="CE83" s="568" t="s">
        <v>932</v>
      </c>
      <c r="CF83" s="568"/>
      <c r="CG83" s="568"/>
      <c r="CH83" s="567" t="s">
        <v>932</v>
      </c>
      <c r="CI83" s="567"/>
      <c r="CJ83" s="567"/>
      <c r="CK83" s="567"/>
      <c r="CL83" s="568" t="s">
        <v>932</v>
      </c>
      <c r="CM83" s="568"/>
      <c r="CN83" s="568"/>
    </row>
    <row r="84" hidden="1" customHeight="1" spans="1:92">
      <c r="A84" s="569"/>
      <c r="B84" s="570"/>
      <c r="C84" s="571"/>
      <c r="D84" s="572"/>
      <c r="E84" s="573"/>
      <c r="F84" s="574"/>
      <c r="G84" s="575"/>
      <c r="H84" s="576"/>
      <c r="I84" s="577"/>
      <c r="J84" s="578"/>
      <c r="K84" s="578"/>
      <c r="L84" s="578"/>
      <c r="M84" s="578"/>
      <c r="N84" s="578"/>
      <c r="O84" s="578"/>
      <c r="P84" s="578"/>
      <c r="Q84" s="578"/>
      <c r="R84" s="578"/>
      <c r="S84" s="578"/>
      <c r="T84" s="578"/>
      <c r="U84" s="578"/>
      <c r="V84" s="578"/>
      <c r="W84" s="578"/>
      <c r="X84" s="578"/>
      <c r="Y84" s="578"/>
      <c r="Z84" s="578"/>
      <c r="AA84" s="579"/>
      <c r="AB84" s="580"/>
      <c r="AC84" s="581"/>
      <c r="AD84" s="582"/>
      <c r="AE84" s="583"/>
      <c r="AF84" s="584"/>
      <c r="AG84" s="553">
        <v>0</v>
      </c>
      <c r="AH84" s="554"/>
      <c r="AI84" s="555" t="e">
        <v>#N/A</v>
      </c>
      <c r="AJ84" s="556"/>
      <c r="AK84" s="556"/>
      <c r="AL84" s="556"/>
      <c r="AM84" s="556"/>
      <c r="AN84" s="556"/>
      <c r="AO84" s="556"/>
      <c r="AP84" s="556"/>
      <c r="AQ84" s="556"/>
      <c r="AR84" s="556"/>
      <c r="AS84" s="556"/>
      <c r="AT84" s="556"/>
      <c r="AU84" s="556"/>
      <c r="AV84" s="557"/>
      <c r="AW84" s="558">
        <v>0</v>
      </c>
      <c r="AX84" s="559"/>
      <c r="AY84" s="560"/>
      <c r="AZ84" s="585"/>
      <c r="BA84" s="586"/>
      <c r="BB84" s="587"/>
      <c r="BC84" s="558">
        <v>0</v>
      </c>
      <c r="BD84" s="559"/>
      <c r="BE84" s="560"/>
      <c r="BF84" s="558">
        <v>182.49</v>
      </c>
      <c r="BG84" s="559"/>
      <c r="BH84" s="560"/>
      <c r="BI84" s="564">
        <v>0</v>
      </c>
      <c r="BJ84" s="565"/>
      <c r="BK84" s="565"/>
      <c r="BL84" s="566"/>
      <c r="BM84" s="567" t="s">
        <v>932</v>
      </c>
      <c r="BN84" s="567"/>
      <c r="BO84" s="567"/>
      <c r="BP84" s="567"/>
      <c r="BQ84" s="568">
        <v>0.25</v>
      </c>
      <c r="BR84" s="568"/>
      <c r="BS84" s="568"/>
      <c r="BT84" s="567" t="s">
        <v>932</v>
      </c>
      <c r="BU84" s="567"/>
      <c r="BV84" s="567"/>
      <c r="BW84" s="567"/>
      <c r="BX84" s="568">
        <v>0.75</v>
      </c>
      <c r="BY84" s="568"/>
      <c r="BZ84" s="568"/>
      <c r="CA84" s="567" t="s">
        <v>932</v>
      </c>
      <c r="CB84" s="567"/>
      <c r="CC84" s="567"/>
      <c r="CD84" s="567"/>
      <c r="CE84" s="568" t="s">
        <v>932</v>
      </c>
      <c r="CF84" s="568"/>
      <c r="CG84" s="568"/>
      <c r="CH84" s="567" t="s">
        <v>932</v>
      </c>
      <c r="CI84" s="567"/>
      <c r="CJ84" s="567"/>
      <c r="CK84" s="567"/>
      <c r="CL84" s="568" t="s">
        <v>932</v>
      </c>
      <c r="CM84" s="568"/>
      <c r="CN84" s="568"/>
    </row>
    <row r="85" hidden="1" customHeight="1" spans="1:92">
      <c r="A85" s="569"/>
      <c r="B85" s="570"/>
      <c r="C85" s="571"/>
      <c r="D85" s="572"/>
      <c r="E85" s="573"/>
      <c r="F85" s="574"/>
      <c r="G85" s="575"/>
      <c r="H85" s="576"/>
      <c r="I85" s="577"/>
      <c r="J85" s="578"/>
      <c r="K85" s="578"/>
      <c r="L85" s="578"/>
      <c r="M85" s="578"/>
      <c r="N85" s="578"/>
      <c r="O85" s="578"/>
      <c r="P85" s="578"/>
      <c r="Q85" s="578"/>
      <c r="R85" s="578"/>
      <c r="S85" s="578"/>
      <c r="T85" s="578"/>
      <c r="U85" s="578"/>
      <c r="V85" s="578"/>
      <c r="W85" s="578"/>
      <c r="X85" s="578"/>
      <c r="Y85" s="578"/>
      <c r="Z85" s="578"/>
      <c r="AA85" s="579"/>
      <c r="AB85" s="580"/>
      <c r="AC85" s="581"/>
      <c r="AD85" s="582"/>
      <c r="AE85" s="583"/>
      <c r="AF85" s="584"/>
      <c r="AG85" s="553">
        <v>0</v>
      </c>
      <c r="AH85" s="554"/>
      <c r="AI85" s="555" t="e">
        <v>#N/A</v>
      </c>
      <c r="AJ85" s="556"/>
      <c r="AK85" s="556"/>
      <c r="AL85" s="556"/>
      <c r="AM85" s="556"/>
      <c r="AN85" s="556"/>
      <c r="AO85" s="556"/>
      <c r="AP85" s="556"/>
      <c r="AQ85" s="556"/>
      <c r="AR85" s="556"/>
      <c r="AS85" s="556"/>
      <c r="AT85" s="556"/>
      <c r="AU85" s="556"/>
      <c r="AV85" s="557"/>
      <c r="AW85" s="558">
        <v>0</v>
      </c>
      <c r="AX85" s="559"/>
      <c r="AY85" s="560"/>
      <c r="AZ85" s="585"/>
      <c r="BA85" s="586"/>
      <c r="BB85" s="587"/>
      <c r="BC85" s="558">
        <v>0</v>
      </c>
      <c r="BD85" s="559"/>
      <c r="BE85" s="560"/>
      <c r="BF85" s="558">
        <v>182.49</v>
      </c>
      <c r="BG85" s="559"/>
      <c r="BH85" s="560"/>
      <c r="BI85" s="564">
        <v>0</v>
      </c>
      <c r="BJ85" s="565"/>
      <c r="BK85" s="565"/>
      <c r="BL85" s="566"/>
      <c r="BM85" s="567" t="s">
        <v>932</v>
      </c>
      <c r="BN85" s="567"/>
      <c r="BO85" s="567"/>
      <c r="BP85" s="567"/>
      <c r="BQ85" s="568">
        <v>0.25</v>
      </c>
      <c r="BR85" s="568"/>
      <c r="BS85" s="568"/>
      <c r="BT85" s="567" t="s">
        <v>932</v>
      </c>
      <c r="BU85" s="567"/>
      <c r="BV85" s="567"/>
      <c r="BW85" s="567"/>
      <c r="BX85" s="568">
        <v>0.75</v>
      </c>
      <c r="BY85" s="568"/>
      <c r="BZ85" s="568"/>
      <c r="CA85" s="567" t="s">
        <v>932</v>
      </c>
      <c r="CB85" s="567"/>
      <c r="CC85" s="567"/>
      <c r="CD85" s="567"/>
      <c r="CE85" s="568" t="s">
        <v>932</v>
      </c>
      <c r="CF85" s="568"/>
      <c r="CG85" s="568"/>
      <c r="CH85" s="567" t="s">
        <v>932</v>
      </c>
      <c r="CI85" s="567"/>
      <c r="CJ85" s="567"/>
      <c r="CK85" s="567"/>
      <c r="CL85" s="568" t="s">
        <v>932</v>
      </c>
      <c r="CM85" s="568"/>
      <c r="CN85" s="568"/>
    </row>
    <row r="86" hidden="1" customHeight="1" spans="1:92">
      <c r="A86" s="569"/>
      <c r="B86" s="570"/>
      <c r="C86" s="571"/>
      <c r="D86" s="572"/>
      <c r="E86" s="573"/>
      <c r="F86" s="574"/>
      <c r="G86" s="575"/>
      <c r="H86" s="576"/>
      <c r="I86" s="577"/>
      <c r="J86" s="578"/>
      <c r="K86" s="578"/>
      <c r="L86" s="578"/>
      <c r="M86" s="578"/>
      <c r="N86" s="578"/>
      <c r="O86" s="578"/>
      <c r="P86" s="578"/>
      <c r="Q86" s="578"/>
      <c r="R86" s="578"/>
      <c r="S86" s="578"/>
      <c r="T86" s="578"/>
      <c r="U86" s="578"/>
      <c r="V86" s="578"/>
      <c r="W86" s="578"/>
      <c r="X86" s="578"/>
      <c r="Y86" s="578"/>
      <c r="Z86" s="578"/>
      <c r="AA86" s="579"/>
      <c r="AB86" s="580"/>
      <c r="AC86" s="581"/>
      <c r="AD86" s="582"/>
      <c r="AE86" s="583"/>
      <c r="AF86" s="584"/>
      <c r="AG86" s="553">
        <v>0</v>
      </c>
      <c r="AH86" s="554"/>
      <c r="AI86" s="555" t="e">
        <v>#N/A</v>
      </c>
      <c r="AJ86" s="556"/>
      <c r="AK86" s="556"/>
      <c r="AL86" s="556"/>
      <c r="AM86" s="556"/>
      <c r="AN86" s="556"/>
      <c r="AO86" s="556"/>
      <c r="AP86" s="556"/>
      <c r="AQ86" s="556"/>
      <c r="AR86" s="556"/>
      <c r="AS86" s="556"/>
      <c r="AT86" s="556"/>
      <c r="AU86" s="556"/>
      <c r="AV86" s="557"/>
      <c r="AW86" s="558">
        <v>0</v>
      </c>
      <c r="AX86" s="559"/>
      <c r="AY86" s="560"/>
      <c r="AZ86" s="585"/>
      <c r="BA86" s="586"/>
      <c r="BB86" s="587"/>
      <c r="BC86" s="558">
        <v>0</v>
      </c>
      <c r="BD86" s="559"/>
      <c r="BE86" s="560"/>
      <c r="BF86" s="558">
        <v>182.49</v>
      </c>
      <c r="BG86" s="559"/>
      <c r="BH86" s="560"/>
      <c r="BI86" s="564">
        <v>0</v>
      </c>
      <c r="BJ86" s="565"/>
      <c r="BK86" s="565"/>
      <c r="BL86" s="566"/>
      <c r="BM86" s="567" t="s">
        <v>932</v>
      </c>
      <c r="BN86" s="567"/>
      <c r="BO86" s="567"/>
      <c r="BP86" s="567"/>
      <c r="BQ86" s="568">
        <v>0.25</v>
      </c>
      <c r="BR86" s="568"/>
      <c r="BS86" s="568"/>
      <c r="BT86" s="567" t="s">
        <v>932</v>
      </c>
      <c r="BU86" s="567"/>
      <c r="BV86" s="567"/>
      <c r="BW86" s="567"/>
      <c r="BX86" s="568">
        <v>0.75</v>
      </c>
      <c r="BY86" s="568"/>
      <c r="BZ86" s="568"/>
      <c r="CA86" s="567" t="s">
        <v>932</v>
      </c>
      <c r="CB86" s="567"/>
      <c r="CC86" s="567"/>
      <c r="CD86" s="567"/>
      <c r="CE86" s="568" t="s">
        <v>932</v>
      </c>
      <c r="CF86" s="568"/>
      <c r="CG86" s="568"/>
      <c r="CH86" s="567" t="s">
        <v>932</v>
      </c>
      <c r="CI86" s="567"/>
      <c r="CJ86" s="567"/>
      <c r="CK86" s="567"/>
      <c r="CL86" s="568" t="s">
        <v>932</v>
      </c>
      <c r="CM86" s="568"/>
      <c r="CN86" s="568"/>
    </row>
    <row r="87" hidden="1" customHeight="1" spans="1:92">
      <c r="A87" s="588"/>
      <c r="B87" s="589"/>
      <c r="C87" s="590"/>
      <c r="D87" s="591"/>
      <c r="E87" s="592"/>
      <c r="F87" s="593"/>
      <c r="G87" s="594"/>
      <c r="H87" s="595"/>
      <c r="I87" s="596"/>
      <c r="J87" s="597"/>
      <c r="K87" s="597"/>
      <c r="L87" s="597"/>
      <c r="M87" s="597"/>
      <c r="N87" s="597"/>
      <c r="O87" s="597"/>
      <c r="P87" s="597"/>
      <c r="Q87" s="597"/>
      <c r="R87" s="597"/>
      <c r="S87" s="597"/>
      <c r="T87" s="597"/>
      <c r="U87" s="597"/>
      <c r="V87" s="597"/>
      <c r="W87" s="597"/>
      <c r="X87" s="597"/>
      <c r="Y87" s="597"/>
      <c r="Z87" s="597"/>
      <c r="AA87" s="598"/>
      <c r="AB87" s="599"/>
      <c r="AC87" s="600"/>
      <c r="AD87" s="601"/>
      <c r="AE87" s="602"/>
      <c r="AF87" s="603"/>
      <c r="AG87" s="553">
        <v>0</v>
      </c>
      <c r="AH87" s="554"/>
      <c r="AI87" s="555" t="e">
        <v>#N/A</v>
      </c>
      <c r="AJ87" s="556"/>
      <c r="AK87" s="556"/>
      <c r="AL87" s="556"/>
      <c r="AM87" s="556"/>
      <c r="AN87" s="556"/>
      <c r="AO87" s="556"/>
      <c r="AP87" s="556"/>
      <c r="AQ87" s="556"/>
      <c r="AR87" s="556"/>
      <c r="AS87" s="556"/>
      <c r="AT87" s="556"/>
      <c r="AU87" s="556"/>
      <c r="AV87" s="557"/>
      <c r="AW87" s="558">
        <v>0</v>
      </c>
      <c r="AX87" s="559"/>
      <c r="AY87" s="560"/>
      <c r="AZ87" s="604"/>
      <c r="BA87" s="605"/>
      <c r="BB87" s="606"/>
      <c r="BC87" s="558">
        <v>0</v>
      </c>
      <c r="BD87" s="559"/>
      <c r="BE87" s="560"/>
      <c r="BF87" s="558">
        <v>182.49</v>
      </c>
      <c r="BG87" s="559"/>
      <c r="BH87" s="560"/>
      <c r="BI87" s="564">
        <v>0</v>
      </c>
      <c r="BJ87" s="565"/>
      <c r="BK87" s="565"/>
      <c r="BL87" s="566"/>
      <c r="BM87" s="567" t="s">
        <v>932</v>
      </c>
      <c r="BN87" s="567"/>
      <c r="BO87" s="567"/>
      <c r="BP87" s="567"/>
      <c r="BQ87" s="568">
        <v>0.25</v>
      </c>
      <c r="BR87" s="568"/>
      <c r="BS87" s="568"/>
      <c r="BT87" s="567" t="s">
        <v>932</v>
      </c>
      <c r="BU87" s="567"/>
      <c r="BV87" s="567"/>
      <c r="BW87" s="567"/>
      <c r="BX87" s="568">
        <v>0.75</v>
      </c>
      <c r="BY87" s="568"/>
      <c r="BZ87" s="568"/>
      <c r="CA87" s="567" t="s">
        <v>932</v>
      </c>
      <c r="CB87" s="567"/>
      <c r="CC87" s="567"/>
      <c r="CD87" s="567"/>
      <c r="CE87" s="568" t="s">
        <v>932</v>
      </c>
      <c r="CF87" s="568"/>
      <c r="CG87" s="568"/>
      <c r="CH87" s="567" t="s">
        <v>932</v>
      </c>
      <c r="CI87" s="567"/>
      <c r="CJ87" s="567"/>
      <c r="CK87" s="567"/>
      <c r="CL87" s="568" t="s">
        <v>932</v>
      </c>
      <c r="CM87" s="568"/>
      <c r="CN87" s="568"/>
    </row>
    <row r="88" customHeight="1" spans="1:92">
      <c r="A88" s="540" t="s">
        <v>945</v>
      </c>
      <c r="B88" s="541"/>
      <c r="C88" s="89"/>
      <c r="D88" s="91"/>
      <c r="E88" s="90"/>
      <c r="F88" s="542">
        <v>1107900</v>
      </c>
      <c r="G88" s="543"/>
      <c r="H88" s="544"/>
      <c r="I88" s="545" t="s">
        <v>108</v>
      </c>
      <c r="J88" s="546"/>
      <c r="K88" s="546"/>
      <c r="L88" s="546"/>
      <c r="M88" s="546"/>
      <c r="N88" s="546"/>
      <c r="O88" s="546"/>
      <c r="P88" s="546"/>
      <c r="Q88" s="546"/>
      <c r="R88" s="546"/>
      <c r="S88" s="546"/>
      <c r="T88" s="546"/>
      <c r="U88" s="546"/>
      <c r="V88" s="546"/>
      <c r="W88" s="546"/>
      <c r="X88" s="546"/>
      <c r="Y88" s="546"/>
      <c r="Z88" s="546"/>
      <c r="AA88" s="547"/>
      <c r="AB88" s="548" t="s">
        <v>99</v>
      </c>
      <c r="AC88" s="549"/>
      <c r="AD88" s="550">
        <v>33.62</v>
      </c>
      <c r="AE88" s="551"/>
      <c r="AF88" s="552"/>
      <c r="AG88" s="553" t="s">
        <v>1066</v>
      </c>
      <c r="AH88" s="554"/>
      <c r="AI88" s="555" t="s">
        <v>1067</v>
      </c>
      <c r="AJ88" s="556"/>
      <c r="AK88" s="556"/>
      <c r="AL88" s="556"/>
      <c r="AM88" s="556"/>
      <c r="AN88" s="556"/>
      <c r="AO88" s="556"/>
      <c r="AP88" s="556"/>
      <c r="AQ88" s="556"/>
      <c r="AR88" s="556"/>
      <c r="AS88" s="556"/>
      <c r="AT88" s="556"/>
      <c r="AU88" s="556"/>
      <c r="AV88" s="557"/>
      <c r="AW88" s="558">
        <v>1</v>
      </c>
      <c r="AX88" s="559"/>
      <c r="AY88" s="560"/>
      <c r="AZ88" s="561">
        <v>3.853</v>
      </c>
      <c r="BA88" s="562"/>
      <c r="BB88" s="563"/>
      <c r="BC88" s="558">
        <v>8.72566831040747</v>
      </c>
      <c r="BD88" s="559"/>
      <c r="BE88" s="560"/>
      <c r="BF88" s="558">
        <v>182.49</v>
      </c>
      <c r="BG88" s="559"/>
      <c r="BH88" s="560"/>
      <c r="BI88" s="564">
        <v>0.0478145011255821</v>
      </c>
      <c r="BJ88" s="565"/>
      <c r="BK88" s="565"/>
      <c r="BL88" s="566"/>
      <c r="BM88" s="567" t="s">
        <v>932</v>
      </c>
      <c r="BN88" s="567"/>
      <c r="BO88" s="567"/>
      <c r="BP88" s="567"/>
      <c r="BQ88" s="568" t="s">
        <v>932</v>
      </c>
      <c r="BR88" s="568"/>
      <c r="BS88" s="568"/>
      <c r="BT88" s="567">
        <v>0.0478145011255821</v>
      </c>
      <c r="BU88" s="567"/>
      <c r="BV88" s="567"/>
      <c r="BW88" s="567"/>
      <c r="BX88" s="568">
        <v>1</v>
      </c>
      <c r="BY88" s="568"/>
      <c r="BZ88" s="568"/>
      <c r="CA88" s="567" t="s">
        <v>932</v>
      </c>
      <c r="CB88" s="567"/>
      <c r="CC88" s="567"/>
      <c r="CD88" s="567"/>
      <c r="CE88" s="568" t="s">
        <v>932</v>
      </c>
      <c r="CF88" s="568"/>
      <c r="CG88" s="568"/>
      <c r="CH88" s="567" t="s">
        <v>932</v>
      </c>
      <c r="CI88" s="567"/>
      <c r="CJ88" s="567"/>
      <c r="CK88" s="567"/>
      <c r="CL88" s="568" t="s">
        <v>932</v>
      </c>
      <c r="CM88" s="568"/>
      <c r="CN88" s="568"/>
    </row>
    <row r="89" customHeight="1" spans="1:92">
      <c r="A89" s="569"/>
      <c r="B89" s="570"/>
      <c r="C89" s="571"/>
      <c r="D89" s="572"/>
      <c r="E89" s="573"/>
      <c r="F89" s="574"/>
      <c r="G89" s="575"/>
      <c r="H89" s="576"/>
      <c r="I89" s="577"/>
      <c r="J89" s="578"/>
      <c r="K89" s="578"/>
      <c r="L89" s="578"/>
      <c r="M89" s="578"/>
      <c r="N89" s="578"/>
      <c r="O89" s="578"/>
      <c r="P89" s="578"/>
      <c r="Q89" s="578"/>
      <c r="R89" s="578"/>
      <c r="S89" s="578"/>
      <c r="T89" s="578"/>
      <c r="U89" s="578"/>
      <c r="V89" s="578"/>
      <c r="W89" s="578"/>
      <c r="X89" s="578"/>
      <c r="Y89" s="578"/>
      <c r="Z89" s="578"/>
      <c r="AA89" s="579"/>
      <c r="AB89" s="580"/>
      <c r="AC89" s="581"/>
      <c r="AD89" s="582"/>
      <c r="AE89" s="583"/>
      <c r="AF89" s="584"/>
      <c r="AG89" s="553" t="s">
        <v>1068</v>
      </c>
      <c r="AH89" s="554"/>
      <c r="AI89" s="555" t="s">
        <v>1069</v>
      </c>
      <c r="AJ89" s="556"/>
      <c r="AK89" s="556"/>
      <c r="AL89" s="556"/>
      <c r="AM89" s="556"/>
      <c r="AN89" s="556"/>
      <c r="AO89" s="556"/>
      <c r="AP89" s="556"/>
      <c r="AQ89" s="556"/>
      <c r="AR89" s="556"/>
      <c r="AS89" s="556"/>
      <c r="AT89" s="556"/>
      <c r="AU89" s="556"/>
      <c r="AV89" s="557"/>
      <c r="AW89" s="558">
        <v>1</v>
      </c>
      <c r="AX89" s="559"/>
      <c r="AY89" s="560"/>
      <c r="AZ89" s="585"/>
      <c r="BA89" s="586"/>
      <c r="BB89" s="587"/>
      <c r="BC89" s="558">
        <v>8.72566831040747</v>
      </c>
      <c r="BD89" s="559"/>
      <c r="BE89" s="560"/>
      <c r="BF89" s="558">
        <v>182.49</v>
      </c>
      <c r="BG89" s="559"/>
      <c r="BH89" s="560"/>
      <c r="BI89" s="564">
        <v>0.0478145011255821</v>
      </c>
      <c r="BJ89" s="565"/>
      <c r="BK89" s="565"/>
      <c r="BL89" s="566"/>
      <c r="BM89" s="567" t="s">
        <v>932</v>
      </c>
      <c r="BN89" s="567"/>
      <c r="BO89" s="567"/>
      <c r="BP89" s="567"/>
      <c r="BQ89" s="568" t="s">
        <v>932</v>
      </c>
      <c r="BR89" s="568"/>
      <c r="BS89" s="568"/>
      <c r="BT89" s="567">
        <v>0.0478145011255821</v>
      </c>
      <c r="BU89" s="567"/>
      <c r="BV89" s="567"/>
      <c r="BW89" s="567"/>
      <c r="BX89" s="568">
        <v>1</v>
      </c>
      <c r="BY89" s="568"/>
      <c r="BZ89" s="568"/>
      <c r="CA89" s="567" t="s">
        <v>932</v>
      </c>
      <c r="CB89" s="567"/>
      <c r="CC89" s="567"/>
      <c r="CD89" s="567"/>
      <c r="CE89" s="568" t="s">
        <v>932</v>
      </c>
      <c r="CF89" s="568"/>
      <c r="CG89" s="568"/>
      <c r="CH89" s="567" t="s">
        <v>932</v>
      </c>
      <c r="CI89" s="567"/>
      <c r="CJ89" s="567"/>
      <c r="CK89" s="567"/>
      <c r="CL89" s="568" t="s">
        <v>932</v>
      </c>
      <c r="CM89" s="568"/>
      <c r="CN89" s="568"/>
    </row>
    <row r="90" customHeight="1" spans="1:92">
      <c r="A90" s="569"/>
      <c r="B90" s="570"/>
      <c r="C90" s="571"/>
      <c r="D90" s="572"/>
      <c r="E90" s="573"/>
      <c r="F90" s="574"/>
      <c r="G90" s="575"/>
      <c r="H90" s="576"/>
      <c r="I90" s="577"/>
      <c r="J90" s="578"/>
      <c r="K90" s="578"/>
      <c r="L90" s="578"/>
      <c r="M90" s="578"/>
      <c r="N90" s="578"/>
      <c r="O90" s="578"/>
      <c r="P90" s="578"/>
      <c r="Q90" s="578"/>
      <c r="R90" s="578"/>
      <c r="S90" s="578"/>
      <c r="T90" s="578"/>
      <c r="U90" s="578"/>
      <c r="V90" s="578"/>
      <c r="W90" s="578"/>
      <c r="X90" s="578"/>
      <c r="Y90" s="578"/>
      <c r="Z90" s="578"/>
      <c r="AA90" s="579"/>
      <c r="AB90" s="580"/>
      <c r="AC90" s="581"/>
      <c r="AD90" s="582"/>
      <c r="AE90" s="583"/>
      <c r="AF90" s="584"/>
      <c r="AG90" s="553" t="s">
        <v>1070</v>
      </c>
      <c r="AH90" s="554"/>
      <c r="AI90" s="555" t="s">
        <v>1071</v>
      </c>
      <c r="AJ90" s="556"/>
      <c r="AK90" s="556"/>
      <c r="AL90" s="556"/>
      <c r="AM90" s="556"/>
      <c r="AN90" s="556"/>
      <c r="AO90" s="556"/>
      <c r="AP90" s="556"/>
      <c r="AQ90" s="556"/>
      <c r="AR90" s="556"/>
      <c r="AS90" s="556"/>
      <c r="AT90" s="556"/>
      <c r="AU90" s="556"/>
      <c r="AV90" s="557"/>
      <c r="AW90" s="558">
        <v>4</v>
      </c>
      <c r="AX90" s="559"/>
      <c r="AY90" s="560"/>
      <c r="AZ90" s="585"/>
      <c r="BA90" s="586"/>
      <c r="BB90" s="587"/>
      <c r="BC90" s="558">
        <v>34.9026732416299</v>
      </c>
      <c r="BD90" s="559"/>
      <c r="BE90" s="560"/>
      <c r="BF90" s="558">
        <v>182.49</v>
      </c>
      <c r="BG90" s="559"/>
      <c r="BH90" s="560"/>
      <c r="BI90" s="564">
        <v>0.191258004502328</v>
      </c>
      <c r="BJ90" s="565"/>
      <c r="BK90" s="565"/>
      <c r="BL90" s="566"/>
      <c r="BM90" s="567" t="s">
        <v>932</v>
      </c>
      <c r="BN90" s="567"/>
      <c r="BO90" s="567"/>
      <c r="BP90" s="567"/>
      <c r="BQ90" s="568" t="s">
        <v>932</v>
      </c>
      <c r="BR90" s="568"/>
      <c r="BS90" s="568"/>
      <c r="BT90" s="567">
        <v>0.191258004502328</v>
      </c>
      <c r="BU90" s="567"/>
      <c r="BV90" s="567"/>
      <c r="BW90" s="567"/>
      <c r="BX90" s="568">
        <v>1</v>
      </c>
      <c r="BY90" s="568"/>
      <c r="BZ90" s="568"/>
      <c r="CA90" s="567" t="s">
        <v>932</v>
      </c>
      <c r="CB90" s="567"/>
      <c r="CC90" s="567"/>
      <c r="CD90" s="567"/>
      <c r="CE90" s="568" t="s">
        <v>932</v>
      </c>
      <c r="CF90" s="568"/>
      <c r="CG90" s="568"/>
      <c r="CH90" s="567" t="s">
        <v>932</v>
      </c>
      <c r="CI90" s="567"/>
      <c r="CJ90" s="567"/>
      <c r="CK90" s="567"/>
      <c r="CL90" s="568" t="s">
        <v>932</v>
      </c>
      <c r="CM90" s="568"/>
      <c r="CN90" s="568"/>
    </row>
    <row r="91" customHeight="1" spans="1:92">
      <c r="A91" s="569"/>
      <c r="B91" s="570"/>
      <c r="C91" s="571"/>
      <c r="D91" s="572"/>
      <c r="E91" s="573"/>
      <c r="F91" s="574"/>
      <c r="G91" s="575"/>
      <c r="H91" s="576"/>
      <c r="I91" s="577"/>
      <c r="J91" s="578"/>
      <c r="K91" s="578"/>
      <c r="L91" s="578"/>
      <c r="M91" s="578"/>
      <c r="N91" s="578"/>
      <c r="O91" s="578"/>
      <c r="P91" s="578"/>
      <c r="Q91" s="578"/>
      <c r="R91" s="578"/>
      <c r="S91" s="578"/>
      <c r="T91" s="578"/>
      <c r="U91" s="578"/>
      <c r="V91" s="578"/>
      <c r="W91" s="578"/>
      <c r="X91" s="578"/>
      <c r="Y91" s="578"/>
      <c r="Z91" s="578"/>
      <c r="AA91" s="579"/>
      <c r="AB91" s="580"/>
      <c r="AC91" s="581"/>
      <c r="AD91" s="582"/>
      <c r="AE91" s="583"/>
      <c r="AF91" s="584"/>
      <c r="AG91" s="553" t="s">
        <v>1072</v>
      </c>
      <c r="AH91" s="554"/>
      <c r="AI91" s="555" t="s">
        <v>1073</v>
      </c>
      <c r="AJ91" s="556"/>
      <c r="AK91" s="556"/>
      <c r="AL91" s="556"/>
      <c r="AM91" s="556"/>
      <c r="AN91" s="556"/>
      <c r="AO91" s="556"/>
      <c r="AP91" s="556"/>
      <c r="AQ91" s="556"/>
      <c r="AR91" s="556"/>
      <c r="AS91" s="556"/>
      <c r="AT91" s="556"/>
      <c r="AU91" s="556"/>
      <c r="AV91" s="557"/>
      <c r="AW91" s="558">
        <v>3</v>
      </c>
      <c r="AX91" s="559"/>
      <c r="AY91" s="560"/>
      <c r="AZ91" s="585"/>
      <c r="BA91" s="586"/>
      <c r="BB91" s="587"/>
      <c r="BC91" s="558">
        <v>26.1770049312224</v>
      </c>
      <c r="BD91" s="559"/>
      <c r="BE91" s="560"/>
      <c r="BF91" s="558">
        <v>182.49</v>
      </c>
      <c r="BG91" s="559"/>
      <c r="BH91" s="560"/>
      <c r="BI91" s="564">
        <v>0.143443503376746</v>
      </c>
      <c r="BJ91" s="565"/>
      <c r="BK91" s="565"/>
      <c r="BL91" s="566"/>
      <c r="BM91" s="567" t="s">
        <v>932</v>
      </c>
      <c r="BN91" s="567"/>
      <c r="BO91" s="567"/>
      <c r="BP91" s="567"/>
      <c r="BQ91" s="568" t="s">
        <v>932</v>
      </c>
      <c r="BR91" s="568"/>
      <c r="BS91" s="568"/>
      <c r="BT91" s="567">
        <v>0.143443503376746</v>
      </c>
      <c r="BU91" s="567"/>
      <c r="BV91" s="567"/>
      <c r="BW91" s="567"/>
      <c r="BX91" s="568">
        <v>1</v>
      </c>
      <c r="BY91" s="568"/>
      <c r="BZ91" s="568"/>
      <c r="CA91" s="567" t="s">
        <v>932</v>
      </c>
      <c r="CB91" s="567"/>
      <c r="CC91" s="567"/>
      <c r="CD91" s="567"/>
      <c r="CE91" s="568" t="s">
        <v>932</v>
      </c>
      <c r="CF91" s="568"/>
      <c r="CG91" s="568"/>
      <c r="CH91" s="567" t="s">
        <v>932</v>
      </c>
      <c r="CI91" s="567"/>
      <c r="CJ91" s="567"/>
      <c r="CK91" s="567"/>
      <c r="CL91" s="568" t="s">
        <v>932</v>
      </c>
      <c r="CM91" s="568"/>
      <c r="CN91" s="568"/>
    </row>
    <row r="92" hidden="1" customHeight="1" spans="1:92">
      <c r="A92" s="569"/>
      <c r="B92" s="570"/>
      <c r="C92" s="571"/>
      <c r="D92" s="572"/>
      <c r="E92" s="573"/>
      <c r="F92" s="574"/>
      <c r="G92" s="575"/>
      <c r="H92" s="576"/>
      <c r="I92" s="577"/>
      <c r="J92" s="578"/>
      <c r="K92" s="578"/>
      <c r="L92" s="578"/>
      <c r="M92" s="578"/>
      <c r="N92" s="578"/>
      <c r="O92" s="578"/>
      <c r="P92" s="578"/>
      <c r="Q92" s="578"/>
      <c r="R92" s="578"/>
      <c r="S92" s="578"/>
      <c r="T92" s="578"/>
      <c r="U92" s="578"/>
      <c r="V92" s="578"/>
      <c r="W92" s="578"/>
      <c r="X92" s="578"/>
      <c r="Y92" s="578"/>
      <c r="Z92" s="578"/>
      <c r="AA92" s="579"/>
      <c r="AB92" s="580"/>
      <c r="AC92" s="581"/>
      <c r="AD92" s="582"/>
      <c r="AE92" s="583"/>
      <c r="AF92" s="584"/>
      <c r="AG92" s="553">
        <v>0</v>
      </c>
      <c r="AH92" s="554"/>
      <c r="AI92" s="555" t="e">
        <v>#N/A</v>
      </c>
      <c r="AJ92" s="556"/>
      <c r="AK92" s="556"/>
      <c r="AL92" s="556"/>
      <c r="AM92" s="556"/>
      <c r="AN92" s="556"/>
      <c r="AO92" s="556"/>
      <c r="AP92" s="556"/>
      <c r="AQ92" s="556"/>
      <c r="AR92" s="556"/>
      <c r="AS92" s="556"/>
      <c r="AT92" s="556"/>
      <c r="AU92" s="556"/>
      <c r="AV92" s="557"/>
      <c r="AW92" s="558">
        <v>0</v>
      </c>
      <c r="AX92" s="559"/>
      <c r="AY92" s="560"/>
      <c r="AZ92" s="585"/>
      <c r="BA92" s="586"/>
      <c r="BB92" s="587"/>
      <c r="BC92" s="558">
        <v>0</v>
      </c>
      <c r="BD92" s="559"/>
      <c r="BE92" s="560"/>
      <c r="BF92" s="558">
        <v>182.49</v>
      </c>
      <c r="BG92" s="559"/>
      <c r="BH92" s="560"/>
      <c r="BI92" s="564">
        <v>0</v>
      </c>
      <c r="BJ92" s="565"/>
      <c r="BK92" s="565"/>
      <c r="BL92" s="566"/>
      <c r="BM92" s="567" t="s">
        <v>932</v>
      </c>
      <c r="BN92" s="567"/>
      <c r="BO92" s="567"/>
      <c r="BP92" s="567"/>
      <c r="BQ92" s="568" t="s">
        <v>932</v>
      </c>
      <c r="BR92" s="568"/>
      <c r="BS92" s="568"/>
      <c r="BT92" s="567" t="s">
        <v>932</v>
      </c>
      <c r="BU92" s="567"/>
      <c r="BV92" s="567"/>
      <c r="BW92" s="567"/>
      <c r="BX92" s="568">
        <v>1</v>
      </c>
      <c r="BY92" s="568"/>
      <c r="BZ92" s="568"/>
      <c r="CA92" s="567" t="s">
        <v>932</v>
      </c>
      <c r="CB92" s="567"/>
      <c r="CC92" s="567"/>
      <c r="CD92" s="567"/>
      <c r="CE92" s="568" t="s">
        <v>932</v>
      </c>
      <c r="CF92" s="568"/>
      <c r="CG92" s="568"/>
      <c r="CH92" s="567" t="s">
        <v>932</v>
      </c>
      <c r="CI92" s="567"/>
      <c r="CJ92" s="567"/>
      <c r="CK92" s="567"/>
      <c r="CL92" s="568" t="s">
        <v>932</v>
      </c>
      <c r="CM92" s="568"/>
      <c r="CN92" s="568"/>
    </row>
    <row r="93" hidden="1" customHeight="1" spans="1:92">
      <c r="A93" s="569"/>
      <c r="B93" s="570"/>
      <c r="C93" s="571"/>
      <c r="D93" s="572"/>
      <c r="E93" s="573"/>
      <c r="F93" s="574"/>
      <c r="G93" s="575"/>
      <c r="H93" s="576"/>
      <c r="I93" s="577"/>
      <c r="J93" s="578"/>
      <c r="K93" s="578"/>
      <c r="L93" s="578"/>
      <c r="M93" s="578"/>
      <c r="N93" s="578"/>
      <c r="O93" s="578"/>
      <c r="P93" s="578"/>
      <c r="Q93" s="578"/>
      <c r="R93" s="578"/>
      <c r="S93" s="578"/>
      <c r="T93" s="578"/>
      <c r="U93" s="578"/>
      <c r="V93" s="578"/>
      <c r="W93" s="578"/>
      <c r="X93" s="578"/>
      <c r="Y93" s="578"/>
      <c r="Z93" s="578"/>
      <c r="AA93" s="579"/>
      <c r="AB93" s="580"/>
      <c r="AC93" s="581"/>
      <c r="AD93" s="582"/>
      <c r="AE93" s="583"/>
      <c r="AF93" s="584"/>
      <c r="AG93" s="553">
        <v>0</v>
      </c>
      <c r="AH93" s="554"/>
      <c r="AI93" s="555" t="e">
        <v>#N/A</v>
      </c>
      <c r="AJ93" s="556"/>
      <c r="AK93" s="556"/>
      <c r="AL93" s="556"/>
      <c r="AM93" s="556"/>
      <c r="AN93" s="556"/>
      <c r="AO93" s="556"/>
      <c r="AP93" s="556"/>
      <c r="AQ93" s="556"/>
      <c r="AR93" s="556"/>
      <c r="AS93" s="556"/>
      <c r="AT93" s="556"/>
      <c r="AU93" s="556"/>
      <c r="AV93" s="557"/>
      <c r="AW93" s="558">
        <v>0</v>
      </c>
      <c r="AX93" s="559"/>
      <c r="AY93" s="560"/>
      <c r="AZ93" s="585"/>
      <c r="BA93" s="586"/>
      <c r="BB93" s="587"/>
      <c r="BC93" s="558">
        <v>0</v>
      </c>
      <c r="BD93" s="559"/>
      <c r="BE93" s="560"/>
      <c r="BF93" s="558">
        <v>182.49</v>
      </c>
      <c r="BG93" s="559"/>
      <c r="BH93" s="560"/>
      <c r="BI93" s="564">
        <v>0</v>
      </c>
      <c r="BJ93" s="565"/>
      <c r="BK93" s="565"/>
      <c r="BL93" s="566"/>
      <c r="BM93" s="567" t="s">
        <v>932</v>
      </c>
      <c r="BN93" s="567"/>
      <c r="BO93" s="567"/>
      <c r="BP93" s="567"/>
      <c r="BQ93" s="568" t="s">
        <v>932</v>
      </c>
      <c r="BR93" s="568"/>
      <c r="BS93" s="568"/>
      <c r="BT93" s="567" t="s">
        <v>932</v>
      </c>
      <c r="BU93" s="567"/>
      <c r="BV93" s="567"/>
      <c r="BW93" s="567"/>
      <c r="BX93" s="568">
        <v>1</v>
      </c>
      <c r="BY93" s="568"/>
      <c r="BZ93" s="568"/>
      <c r="CA93" s="567" t="s">
        <v>932</v>
      </c>
      <c r="CB93" s="567"/>
      <c r="CC93" s="567"/>
      <c r="CD93" s="567"/>
      <c r="CE93" s="568" t="s">
        <v>932</v>
      </c>
      <c r="CF93" s="568"/>
      <c r="CG93" s="568"/>
      <c r="CH93" s="567" t="s">
        <v>932</v>
      </c>
      <c r="CI93" s="567"/>
      <c r="CJ93" s="567"/>
      <c r="CK93" s="567"/>
      <c r="CL93" s="568" t="s">
        <v>932</v>
      </c>
      <c r="CM93" s="568"/>
      <c r="CN93" s="568"/>
    </row>
    <row r="94" hidden="1" customHeight="1" spans="1:92">
      <c r="A94" s="569"/>
      <c r="B94" s="570"/>
      <c r="C94" s="571"/>
      <c r="D94" s="572"/>
      <c r="E94" s="573"/>
      <c r="F94" s="574"/>
      <c r="G94" s="575"/>
      <c r="H94" s="576"/>
      <c r="I94" s="577"/>
      <c r="J94" s="578"/>
      <c r="K94" s="578"/>
      <c r="L94" s="578"/>
      <c r="M94" s="578"/>
      <c r="N94" s="578"/>
      <c r="O94" s="578"/>
      <c r="P94" s="578"/>
      <c r="Q94" s="578"/>
      <c r="R94" s="578"/>
      <c r="S94" s="578"/>
      <c r="T94" s="578"/>
      <c r="U94" s="578"/>
      <c r="V94" s="578"/>
      <c r="W94" s="578"/>
      <c r="X94" s="578"/>
      <c r="Y94" s="578"/>
      <c r="Z94" s="578"/>
      <c r="AA94" s="579"/>
      <c r="AB94" s="580"/>
      <c r="AC94" s="581"/>
      <c r="AD94" s="582"/>
      <c r="AE94" s="583"/>
      <c r="AF94" s="584"/>
      <c r="AG94" s="553">
        <v>0</v>
      </c>
      <c r="AH94" s="554"/>
      <c r="AI94" s="555" t="e">
        <v>#N/A</v>
      </c>
      <c r="AJ94" s="556"/>
      <c r="AK94" s="556"/>
      <c r="AL94" s="556"/>
      <c r="AM94" s="556"/>
      <c r="AN94" s="556"/>
      <c r="AO94" s="556"/>
      <c r="AP94" s="556"/>
      <c r="AQ94" s="556"/>
      <c r="AR94" s="556"/>
      <c r="AS94" s="556"/>
      <c r="AT94" s="556"/>
      <c r="AU94" s="556"/>
      <c r="AV94" s="557"/>
      <c r="AW94" s="558">
        <v>0</v>
      </c>
      <c r="AX94" s="559"/>
      <c r="AY94" s="560"/>
      <c r="AZ94" s="585"/>
      <c r="BA94" s="586"/>
      <c r="BB94" s="587"/>
      <c r="BC94" s="558">
        <v>0</v>
      </c>
      <c r="BD94" s="559"/>
      <c r="BE94" s="560"/>
      <c r="BF94" s="558">
        <v>182.49</v>
      </c>
      <c r="BG94" s="559"/>
      <c r="BH94" s="560"/>
      <c r="BI94" s="564">
        <v>0</v>
      </c>
      <c r="BJ94" s="565"/>
      <c r="BK94" s="565"/>
      <c r="BL94" s="566"/>
      <c r="BM94" s="567" t="s">
        <v>932</v>
      </c>
      <c r="BN94" s="567"/>
      <c r="BO94" s="567"/>
      <c r="BP94" s="567"/>
      <c r="BQ94" s="568" t="s">
        <v>932</v>
      </c>
      <c r="BR94" s="568"/>
      <c r="BS94" s="568"/>
      <c r="BT94" s="567" t="s">
        <v>932</v>
      </c>
      <c r="BU94" s="567"/>
      <c r="BV94" s="567"/>
      <c r="BW94" s="567"/>
      <c r="BX94" s="568">
        <v>1</v>
      </c>
      <c r="BY94" s="568"/>
      <c r="BZ94" s="568"/>
      <c r="CA94" s="567" t="s">
        <v>932</v>
      </c>
      <c r="CB94" s="567"/>
      <c r="CC94" s="567"/>
      <c r="CD94" s="567"/>
      <c r="CE94" s="568" t="s">
        <v>932</v>
      </c>
      <c r="CF94" s="568"/>
      <c r="CG94" s="568"/>
      <c r="CH94" s="567" t="s">
        <v>932</v>
      </c>
      <c r="CI94" s="567"/>
      <c r="CJ94" s="567"/>
      <c r="CK94" s="567"/>
      <c r="CL94" s="568" t="s">
        <v>932</v>
      </c>
      <c r="CM94" s="568"/>
      <c r="CN94" s="568"/>
    </row>
    <row r="95" hidden="1" customHeight="1" spans="1:92">
      <c r="A95" s="588"/>
      <c r="B95" s="589"/>
      <c r="C95" s="590"/>
      <c r="D95" s="591"/>
      <c r="E95" s="592"/>
      <c r="F95" s="593"/>
      <c r="G95" s="594"/>
      <c r="H95" s="595"/>
      <c r="I95" s="596"/>
      <c r="J95" s="597"/>
      <c r="K95" s="597"/>
      <c r="L95" s="597"/>
      <c r="M95" s="597"/>
      <c r="N95" s="597"/>
      <c r="O95" s="597"/>
      <c r="P95" s="597"/>
      <c r="Q95" s="597"/>
      <c r="R95" s="597"/>
      <c r="S95" s="597"/>
      <c r="T95" s="597"/>
      <c r="U95" s="597"/>
      <c r="V95" s="597"/>
      <c r="W95" s="597"/>
      <c r="X95" s="597"/>
      <c r="Y95" s="597"/>
      <c r="Z95" s="597"/>
      <c r="AA95" s="598"/>
      <c r="AB95" s="599"/>
      <c r="AC95" s="600"/>
      <c r="AD95" s="601"/>
      <c r="AE95" s="602"/>
      <c r="AF95" s="603"/>
      <c r="AG95" s="553">
        <v>0</v>
      </c>
      <c r="AH95" s="554"/>
      <c r="AI95" s="555" t="e">
        <v>#N/A</v>
      </c>
      <c r="AJ95" s="556"/>
      <c r="AK95" s="556"/>
      <c r="AL95" s="556"/>
      <c r="AM95" s="556"/>
      <c r="AN95" s="556"/>
      <c r="AO95" s="556"/>
      <c r="AP95" s="556"/>
      <c r="AQ95" s="556"/>
      <c r="AR95" s="556"/>
      <c r="AS95" s="556"/>
      <c r="AT95" s="556"/>
      <c r="AU95" s="556"/>
      <c r="AV95" s="557"/>
      <c r="AW95" s="558">
        <v>0</v>
      </c>
      <c r="AX95" s="559"/>
      <c r="AY95" s="560"/>
      <c r="AZ95" s="604"/>
      <c r="BA95" s="605"/>
      <c r="BB95" s="606"/>
      <c r="BC95" s="558">
        <v>0</v>
      </c>
      <c r="BD95" s="559"/>
      <c r="BE95" s="560"/>
      <c r="BF95" s="558">
        <v>182.49</v>
      </c>
      <c r="BG95" s="559"/>
      <c r="BH95" s="560"/>
      <c r="BI95" s="564">
        <v>0</v>
      </c>
      <c r="BJ95" s="565"/>
      <c r="BK95" s="565"/>
      <c r="BL95" s="566"/>
      <c r="BM95" s="567" t="s">
        <v>932</v>
      </c>
      <c r="BN95" s="567"/>
      <c r="BO95" s="567"/>
      <c r="BP95" s="567"/>
      <c r="BQ95" s="568" t="s">
        <v>932</v>
      </c>
      <c r="BR95" s="568"/>
      <c r="BS95" s="568"/>
      <c r="BT95" s="567" t="s">
        <v>932</v>
      </c>
      <c r="BU95" s="567"/>
      <c r="BV95" s="567"/>
      <c r="BW95" s="567"/>
      <c r="BX95" s="568">
        <v>1</v>
      </c>
      <c r="BY95" s="568"/>
      <c r="BZ95" s="568"/>
      <c r="CA95" s="567" t="s">
        <v>932</v>
      </c>
      <c r="CB95" s="567"/>
      <c r="CC95" s="567"/>
      <c r="CD95" s="567"/>
      <c r="CE95" s="568" t="s">
        <v>932</v>
      </c>
      <c r="CF95" s="568"/>
      <c r="CG95" s="568"/>
      <c r="CH95" s="567" t="s">
        <v>932</v>
      </c>
      <c r="CI95" s="567"/>
      <c r="CJ95" s="567"/>
      <c r="CK95" s="567"/>
      <c r="CL95" s="568" t="s">
        <v>932</v>
      </c>
      <c r="CM95" s="568"/>
      <c r="CN95" s="568"/>
    </row>
    <row r="96" customHeight="1" spans="1:92">
      <c r="A96" s="540" t="s">
        <v>948</v>
      </c>
      <c r="B96" s="541"/>
      <c r="C96" s="89"/>
      <c r="D96" s="91"/>
      <c r="E96" s="90"/>
      <c r="F96" s="542">
        <v>1106057</v>
      </c>
      <c r="G96" s="543"/>
      <c r="H96" s="544"/>
      <c r="I96" s="545" t="s">
        <v>109</v>
      </c>
      <c r="J96" s="546"/>
      <c r="K96" s="546"/>
      <c r="L96" s="546"/>
      <c r="M96" s="546"/>
      <c r="N96" s="546"/>
      <c r="O96" s="546"/>
      <c r="P96" s="546"/>
      <c r="Q96" s="546"/>
      <c r="R96" s="546"/>
      <c r="S96" s="546"/>
      <c r="T96" s="546"/>
      <c r="U96" s="546"/>
      <c r="V96" s="546"/>
      <c r="W96" s="546"/>
      <c r="X96" s="546"/>
      <c r="Y96" s="546"/>
      <c r="Z96" s="546"/>
      <c r="AA96" s="547"/>
      <c r="AB96" s="548" t="s">
        <v>99</v>
      </c>
      <c r="AC96" s="549"/>
      <c r="AD96" s="550">
        <v>0.42</v>
      </c>
      <c r="AE96" s="551"/>
      <c r="AF96" s="552"/>
      <c r="AG96" s="553" t="s">
        <v>1068</v>
      </c>
      <c r="AH96" s="554"/>
      <c r="AI96" s="555" t="s">
        <v>1069</v>
      </c>
      <c r="AJ96" s="556"/>
      <c r="AK96" s="556"/>
      <c r="AL96" s="556"/>
      <c r="AM96" s="556"/>
      <c r="AN96" s="556"/>
      <c r="AO96" s="556"/>
      <c r="AP96" s="556"/>
      <c r="AQ96" s="556"/>
      <c r="AR96" s="556"/>
      <c r="AS96" s="556"/>
      <c r="AT96" s="556"/>
      <c r="AU96" s="556"/>
      <c r="AV96" s="557"/>
      <c r="AW96" s="558">
        <v>1</v>
      </c>
      <c r="AX96" s="559"/>
      <c r="AY96" s="560"/>
      <c r="AZ96" s="561">
        <v>3.92899</v>
      </c>
      <c r="BA96" s="562"/>
      <c r="BB96" s="563"/>
      <c r="BC96" s="558">
        <v>0.106897701444901</v>
      </c>
      <c r="BD96" s="559"/>
      <c r="BE96" s="560"/>
      <c r="BF96" s="558">
        <v>182.49</v>
      </c>
      <c r="BG96" s="559"/>
      <c r="BH96" s="560"/>
      <c r="BI96" s="564">
        <v>0.000585772926981756</v>
      </c>
      <c r="BJ96" s="565"/>
      <c r="BK96" s="565"/>
      <c r="BL96" s="566"/>
      <c r="BM96" s="567" t="s">
        <v>932</v>
      </c>
      <c r="BN96" s="567"/>
      <c r="BO96" s="567"/>
      <c r="BP96" s="567"/>
      <c r="BQ96" s="568" t="s">
        <v>932</v>
      </c>
      <c r="BR96" s="568"/>
      <c r="BS96" s="568"/>
      <c r="BT96" s="567">
        <v>0.000585772926981756</v>
      </c>
      <c r="BU96" s="567"/>
      <c r="BV96" s="567"/>
      <c r="BW96" s="567"/>
      <c r="BX96" s="568">
        <v>1</v>
      </c>
      <c r="BY96" s="568"/>
      <c r="BZ96" s="568"/>
      <c r="CA96" s="567" t="s">
        <v>932</v>
      </c>
      <c r="CB96" s="567"/>
      <c r="CC96" s="567"/>
      <c r="CD96" s="567"/>
      <c r="CE96" s="568" t="s">
        <v>932</v>
      </c>
      <c r="CF96" s="568"/>
      <c r="CG96" s="568"/>
      <c r="CH96" s="567" t="s">
        <v>932</v>
      </c>
      <c r="CI96" s="567"/>
      <c r="CJ96" s="567"/>
      <c r="CK96" s="567"/>
      <c r="CL96" s="568" t="s">
        <v>932</v>
      </c>
      <c r="CM96" s="568"/>
      <c r="CN96" s="568"/>
    </row>
    <row r="97" customHeight="1" spans="1:92">
      <c r="A97" s="569"/>
      <c r="B97" s="570"/>
      <c r="C97" s="571"/>
      <c r="D97" s="572"/>
      <c r="E97" s="573"/>
      <c r="F97" s="574"/>
      <c r="G97" s="575"/>
      <c r="H97" s="576"/>
      <c r="I97" s="577"/>
      <c r="J97" s="578"/>
      <c r="K97" s="578"/>
      <c r="L97" s="578"/>
      <c r="M97" s="578"/>
      <c r="N97" s="578"/>
      <c r="O97" s="578"/>
      <c r="P97" s="578"/>
      <c r="Q97" s="578"/>
      <c r="R97" s="578"/>
      <c r="S97" s="578"/>
      <c r="T97" s="578"/>
      <c r="U97" s="578"/>
      <c r="V97" s="578"/>
      <c r="W97" s="578"/>
      <c r="X97" s="578"/>
      <c r="Y97" s="578"/>
      <c r="Z97" s="578"/>
      <c r="AA97" s="579"/>
      <c r="AB97" s="580"/>
      <c r="AC97" s="581"/>
      <c r="AD97" s="582"/>
      <c r="AE97" s="583"/>
      <c r="AF97" s="584"/>
      <c r="AG97" s="553" t="s">
        <v>1070</v>
      </c>
      <c r="AH97" s="554"/>
      <c r="AI97" s="555" t="s">
        <v>1071</v>
      </c>
      <c r="AJ97" s="556"/>
      <c r="AK97" s="556"/>
      <c r="AL97" s="556"/>
      <c r="AM97" s="556"/>
      <c r="AN97" s="556"/>
      <c r="AO97" s="556"/>
      <c r="AP97" s="556"/>
      <c r="AQ97" s="556"/>
      <c r="AR97" s="556"/>
      <c r="AS97" s="556"/>
      <c r="AT97" s="556"/>
      <c r="AU97" s="556"/>
      <c r="AV97" s="557"/>
      <c r="AW97" s="558">
        <v>4</v>
      </c>
      <c r="AX97" s="559"/>
      <c r="AY97" s="560"/>
      <c r="AZ97" s="585"/>
      <c r="BA97" s="586"/>
      <c r="BB97" s="587"/>
      <c r="BC97" s="558">
        <v>0.427590805779602</v>
      </c>
      <c r="BD97" s="559"/>
      <c r="BE97" s="560"/>
      <c r="BF97" s="558">
        <v>182.49</v>
      </c>
      <c r="BG97" s="559"/>
      <c r="BH97" s="560"/>
      <c r="BI97" s="564">
        <v>0.00234309170792702</v>
      </c>
      <c r="BJ97" s="565"/>
      <c r="BK97" s="565"/>
      <c r="BL97" s="566"/>
      <c r="BM97" s="567" t="s">
        <v>932</v>
      </c>
      <c r="BN97" s="567"/>
      <c r="BO97" s="567"/>
      <c r="BP97" s="567"/>
      <c r="BQ97" s="568" t="s">
        <v>932</v>
      </c>
      <c r="BR97" s="568"/>
      <c r="BS97" s="568"/>
      <c r="BT97" s="567">
        <v>0.00234309170792702</v>
      </c>
      <c r="BU97" s="567"/>
      <c r="BV97" s="567"/>
      <c r="BW97" s="567"/>
      <c r="BX97" s="568">
        <v>1</v>
      </c>
      <c r="BY97" s="568"/>
      <c r="BZ97" s="568"/>
      <c r="CA97" s="567" t="s">
        <v>932</v>
      </c>
      <c r="CB97" s="567"/>
      <c r="CC97" s="567"/>
      <c r="CD97" s="567"/>
      <c r="CE97" s="568" t="s">
        <v>932</v>
      </c>
      <c r="CF97" s="568"/>
      <c r="CG97" s="568"/>
      <c r="CH97" s="567" t="s">
        <v>932</v>
      </c>
      <c r="CI97" s="567"/>
      <c r="CJ97" s="567"/>
      <c r="CK97" s="567"/>
      <c r="CL97" s="568" t="s">
        <v>932</v>
      </c>
      <c r="CM97" s="568"/>
      <c r="CN97" s="568"/>
    </row>
    <row r="98" customHeight="1" spans="1:92">
      <c r="A98" s="569"/>
      <c r="B98" s="570"/>
      <c r="C98" s="571"/>
      <c r="D98" s="572"/>
      <c r="E98" s="573"/>
      <c r="F98" s="574"/>
      <c r="G98" s="575"/>
      <c r="H98" s="576"/>
      <c r="I98" s="577"/>
      <c r="J98" s="578"/>
      <c r="K98" s="578"/>
      <c r="L98" s="578"/>
      <c r="M98" s="578"/>
      <c r="N98" s="578"/>
      <c r="O98" s="578"/>
      <c r="P98" s="578"/>
      <c r="Q98" s="578"/>
      <c r="R98" s="578"/>
      <c r="S98" s="578"/>
      <c r="T98" s="578"/>
      <c r="U98" s="578"/>
      <c r="V98" s="578"/>
      <c r="W98" s="578"/>
      <c r="X98" s="578"/>
      <c r="Y98" s="578"/>
      <c r="Z98" s="578"/>
      <c r="AA98" s="579"/>
      <c r="AB98" s="580"/>
      <c r="AC98" s="581"/>
      <c r="AD98" s="582"/>
      <c r="AE98" s="583"/>
      <c r="AF98" s="584"/>
      <c r="AG98" s="553" t="s">
        <v>1072</v>
      </c>
      <c r="AH98" s="554"/>
      <c r="AI98" s="555" t="s">
        <v>1073</v>
      </c>
      <c r="AJ98" s="556"/>
      <c r="AK98" s="556"/>
      <c r="AL98" s="556"/>
      <c r="AM98" s="556"/>
      <c r="AN98" s="556"/>
      <c r="AO98" s="556"/>
      <c r="AP98" s="556"/>
      <c r="AQ98" s="556"/>
      <c r="AR98" s="556"/>
      <c r="AS98" s="556"/>
      <c r="AT98" s="556"/>
      <c r="AU98" s="556"/>
      <c r="AV98" s="557"/>
      <c r="AW98" s="558">
        <v>3</v>
      </c>
      <c r="AX98" s="559"/>
      <c r="AY98" s="560"/>
      <c r="AZ98" s="585"/>
      <c r="BA98" s="586"/>
      <c r="BB98" s="587"/>
      <c r="BC98" s="558">
        <v>0.320693104334702</v>
      </c>
      <c r="BD98" s="559"/>
      <c r="BE98" s="560"/>
      <c r="BF98" s="558">
        <v>182.49</v>
      </c>
      <c r="BG98" s="559"/>
      <c r="BH98" s="560"/>
      <c r="BI98" s="564">
        <v>0.00175731878094527</v>
      </c>
      <c r="BJ98" s="565"/>
      <c r="BK98" s="565"/>
      <c r="BL98" s="566"/>
      <c r="BM98" s="567" t="s">
        <v>932</v>
      </c>
      <c r="BN98" s="567"/>
      <c r="BO98" s="567"/>
      <c r="BP98" s="567"/>
      <c r="BQ98" s="568" t="s">
        <v>932</v>
      </c>
      <c r="BR98" s="568"/>
      <c r="BS98" s="568"/>
      <c r="BT98" s="567">
        <v>0.00175731878094527</v>
      </c>
      <c r="BU98" s="567"/>
      <c r="BV98" s="567"/>
      <c r="BW98" s="567"/>
      <c r="BX98" s="568">
        <v>1</v>
      </c>
      <c r="BY98" s="568"/>
      <c r="BZ98" s="568"/>
      <c r="CA98" s="567" t="s">
        <v>932</v>
      </c>
      <c r="CB98" s="567"/>
      <c r="CC98" s="567"/>
      <c r="CD98" s="567"/>
      <c r="CE98" s="568" t="s">
        <v>932</v>
      </c>
      <c r="CF98" s="568"/>
      <c r="CG98" s="568"/>
      <c r="CH98" s="567" t="s">
        <v>932</v>
      </c>
      <c r="CI98" s="567"/>
      <c r="CJ98" s="567"/>
      <c r="CK98" s="567"/>
      <c r="CL98" s="568" t="s">
        <v>932</v>
      </c>
      <c r="CM98" s="568"/>
      <c r="CN98" s="568"/>
    </row>
    <row r="99" hidden="1" customHeight="1" spans="1:92">
      <c r="A99" s="569"/>
      <c r="B99" s="570"/>
      <c r="C99" s="571"/>
      <c r="D99" s="572"/>
      <c r="E99" s="573"/>
      <c r="F99" s="574"/>
      <c r="G99" s="575"/>
      <c r="H99" s="576"/>
      <c r="I99" s="577"/>
      <c r="J99" s="578"/>
      <c r="K99" s="578"/>
      <c r="L99" s="578"/>
      <c r="M99" s="578"/>
      <c r="N99" s="578"/>
      <c r="O99" s="578"/>
      <c r="P99" s="578"/>
      <c r="Q99" s="578"/>
      <c r="R99" s="578"/>
      <c r="S99" s="578"/>
      <c r="T99" s="578"/>
      <c r="U99" s="578"/>
      <c r="V99" s="578"/>
      <c r="W99" s="578"/>
      <c r="X99" s="578"/>
      <c r="Y99" s="578"/>
      <c r="Z99" s="578"/>
      <c r="AA99" s="579"/>
      <c r="AB99" s="580"/>
      <c r="AC99" s="581"/>
      <c r="AD99" s="582"/>
      <c r="AE99" s="583"/>
      <c r="AF99" s="584"/>
      <c r="AG99" s="553">
        <v>0</v>
      </c>
      <c r="AH99" s="554"/>
      <c r="AI99" s="555" t="e">
        <v>#N/A</v>
      </c>
      <c r="AJ99" s="556"/>
      <c r="AK99" s="556"/>
      <c r="AL99" s="556"/>
      <c r="AM99" s="556"/>
      <c r="AN99" s="556"/>
      <c r="AO99" s="556"/>
      <c r="AP99" s="556"/>
      <c r="AQ99" s="556"/>
      <c r="AR99" s="556"/>
      <c r="AS99" s="556"/>
      <c r="AT99" s="556"/>
      <c r="AU99" s="556"/>
      <c r="AV99" s="557"/>
      <c r="AW99" s="558">
        <v>0</v>
      </c>
      <c r="AX99" s="559"/>
      <c r="AY99" s="560"/>
      <c r="AZ99" s="585"/>
      <c r="BA99" s="586"/>
      <c r="BB99" s="587"/>
      <c r="BC99" s="558">
        <v>0</v>
      </c>
      <c r="BD99" s="559"/>
      <c r="BE99" s="560"/>
      <c r="BF99" s="558">
        <v>182.49</v>
      </c>
      <c r="BG99" s="559"/>
      <c r="BH99" s="560"/>
      <c r="BI99" s="564">
        <v>0</v>
      </c>
      <c r="BJ99" s="565"/>
      <c r="BK99" s="565"/>
      <c r="BL99" s="566"/>
      <c r="BM99" s="567" t="s">
        <v>932</v>
      </c>
      <c r="BN99" s="567"/>
      <c r="BO99" s="567"/>
      <c r="BP99" s="567"/>
      <c r="BQ99" s="568" t="s">
        <v>932</v>
      </c>
      <c r="BR99" s="568"/>
      <c r="BS99" s="568"/>
      <c r="BT99" s="567" t="s">
        <v>932</v>
      </c>
      <c r="BU99" s="567"/>
      <c r="BV99" s="567"/>
      <c r="BW99" s="567"/>
      <c r="BX99" s="568">
        <v>1</v>
      </c>
      <c r="BY99" s="568"/>
      <c r="BZ99" s="568"/>
      <c r="CA99" s="567" t="s">
        <v>932</v>
      </c>
      <c r="CB99" s="567"/>
      <c r="CC99" s="567"/>
      <c r="CD99" s="567"/>
      <c r="CE99" s="568" t="s">
        <v>932</v>
      </c>
      <c r="CF99" s="568"/>
      <c r="CG99" s="568"/>
      <c r="CH99" s="567" t="s">
        <v>932</v>
      </c>
      <c r="CI99" s="567"/>
      <c r="CJ99" s="567"/>
      <c r="CK99" s="567"/>
      <c r="CL99" s="568" t="s">
        <v>932</v>
      </c>
      <c r="CM99" s="568"/>
      <c r="CN99" s="568"/>
    </row>
    <row r="100" hidden="1" customHeight="1" spans="1:92">
      <c r="A100" s="569"/>
      <c r="B100" s="570"/>
      <c r="C100" s="571"/>
      <c r="D100" s="572"/>
      <c r="E100" s="573"/>
      <c r="F100" s="574"/>
      <c r="G100" s="575"/>
      <c r="H100" s="576"/>
      <c r="I100" s="577"/>
      <c r="J100" s="578"/>
      <c r="K100" s="578"/>
      <c r="L100" s="578"/>
      <c r="M100" s="578"/>
      <c r="N100" s="578"/>
      <c r="O100" s="578"/>
      <c r="P100" s="578"/>
      <c r="Q100" s="578"/>
      <c r="R100" s="578"/>
      <c r="S100" s="578"/>
      <c r="T100" s="578"/>
      <c r="U100" s="578"/>
      <c r="V100" s="578"/>
      <c r="W100" s="578"/>
      <c r="X100" s="578"/>
      <c r="Y100" s="578"/>
      <c r="Z100" s="578"/>
      <c r="AA100" s="579"/>
      <c r="AB100" s="580"/>
      <c r="AC100" s="581"/>
      <c r="AD100" s="582"/>
      <c r="AE100" s="583"/>
      <c r="AF100" s="584"/>
      <c r="AG100" s="553">
        <v>0</v>
      </c>
      <c r="AH100" s="554"/>
      <c r="AI100" s="555" t="e">
        <v>#N/A</v>
      </c>
      <c r="AJ100" s="556"/>
      <c r="AK100" s="556"/>
      <c r="AL100" s="556"/>
      <c r="AM100" s="556"/>
      <c r="AN100" s="556"/>
      <c r="AO100" s="556"/>
      <c r="AP100" s="556"/>
      <c r="AQ100" s="556"/>
      <c r="AR100" s="556"/>
      <c r="AS100" s="556"/>
      <c r="AT100" s="556"/>
      <c r="AU100" s="556"/>
      <c r="AV100" s="557"/>
      <c r="AW100" s="558">
        <v>0</v>
      </c>
      <c r="AX100" s="559"/>
      <c r="AY100" s="560"/>
      <c r="AZ100" s="585"/>
      <c r="BA100" s="586"/>
      <c r="BB100" s="587"/>
      <c r="BC100" s="558">
        <v>0</v>
      </c>
      <c r="BD100" s="559"/>
      <c r="BE100" s="560"/>
      <c r="BF100" s="558">
        <v>182.49</v>
      </c>
      <c r="BG100" s="559"/>
      <c r="BH100" s="560"/>
      <c r="BI100" s="564">
        <v>0</v>
      </c>
      <c r="BJ100" s="565"/>
      <c r="BK100" s="565"/>
      <c r="BL100" s="566"/>
      <c r="BM100" s="567" t="s">
        <v>932</v>
      </c>
      <c r="BN100" s="567"/>
      <c r="BO100" s="567"/>
      <c r="BP100" s="567"/>
      <c r="BQ100" s="568" t="s">
        <v>932</v>
      </c>
      <c r="BR100" s="568"/>
      <c r="BS100" s="568"/>
      <c r="BT100" s="567" t="s">
        <v>932</v>
      </c>
      <c r="BU100" s="567"/>
      <c r="BV100" s="567"/>
      <c r="BW100" s="567"/>
      <c r="BX100" s="568">
        <v>1</v>
      </c>
      <c r="BY100" s="568"/>
      <c r="BZ100" s="568"/>
      <c r="CA100" s="567" t="s">
        <v>932</v>
      </c>
      <c r="CB100" s="567"/>
      <c r="CC100" s="567"/>
      <c r="CD100" s="567"/>
      <c r="CE100" s="568" t="s">
        <v>932</v>
      </c>
      <c r="CF100" s="568"/>
      <c r="CG100" s="568"/>
      <c r="CH100" s="567" t="s">
        <v>932</v>
      </c>
      <c r="CI100" s="567"/>
      <c r="CJ100" s="567"/>
      <c r="CK100" s="567"/>
      <c r="CL100" s="568" t="s">
        <v>932</v>
      </c>
      <c r="CM100" s="568"/>
      <c r="CN100" s="568"/>
    </row>
    <row r="101" hidden="1" customHeight="1" spans="1:92">
      <c r="A101" s="569"/>
      <c r="B101" s="570"/>
      <c r="C101" s="571"/>
      <c r="D101" s="572"/>
      <c r="E101" s="573"/>
      <c r="F101" s="574"/>
      <c r="G101" s="575"/>
      <c r="H101" s="576"/>
      <c r="I101" s="577"/>
      <c r="J101" s="578"/>
      <c r="K101" s="578"/>
      <c r="L101" s="578"/>
      <c r="M101" s="578"/>
      <c r="N101" s="578"/>
      <c r="O101" s="578"/>
      <c r="P101" s="578"/>
      <c r="Q101" s="578"/>
      <c r="R101" s="578"/>
      <c r="S101" s="578"/>
      <c r="T101" s="578"/>
      <c r="U101" s="578"/>
      <c r="V101" s="578"/>
      <c r="W101" s="578"/>
      <c r="X101" s="578"/>
      <c r="Y101" s="578"/>
      <c r="Z101" s="578"/>
      <c r="AA101" s="579"/>
      <c r="AB101" s="580"/>
      <c r="AC101" s="581"/>
      <c r="AD101" s="582"/>
      <c r="AE101" s="583"/>
      <c r="AF101" s="584"/>
      <c r="AG101" s="553">
        <v>0</v>
      </c>
      <c r="AH101" s="554"/>
      <c r="AI101" s="555" t="e">
        <v>#N/A</v>
      </c>
      <c r="AJ101" s="556"/>
      <c r="AK101" s="556"/>
      <c r="AL101" s="556"/>
      <c r="AM101" s="556"/>
      <c r="AN101" s="556"/>
      <c r="AO101" s="556"/>
      <c r="AP101" s="556"/>
      <c r="AQ101" s="556"/>
      <c r="AR101" s="556"/>
      <c r="AS101" s="556"/>
      <c r="AT101" s="556"/>
      <c r="AU101" s="556"/>
      <c r="AV101" s="557"/>
      <c r="AW101" s="558">
        <v>0</v>
      </c>
      <c r="AX101" s="559"/>
      <c r="AY101" s="560"/>
      <c r="AZ101" s="585"/>
      <c r="BA101" s="586"/>
      <c r="BB101" s="587"/>
      <c r="BC101" s="558">
        <v>0</v>
      </c>
      <c r="BD101" s="559"/>
      <c r="BE101" s="560"/>
      <c r="BF101" s="558">
        <v>182.49</v>
      </c>
      <c r="BG101" s="559"/>
      <c r="BH101" s="560"/>
      <c r="BI101" s="564">
        <v>0</v>
      </c>
      <c r="BJ101" s="565"/>
      <c r="BK101" s="565"/>
      <c r="BL101" s="566"/>
      <c r="BM101" s="567" t="s">
        <v>932</v>
      </c>
      <c r="BN101" s="567"/>
      <c r="BO101" s="567"/>
      <c r="BP101" s="567"/>
      <c r="BQ101" s="568" t="s">
        <v>932</v>
      </c>
      <c r="BR101" s="568"/>
      <c r="BS101" s="568"/>
      <c r="BT101" s="567" t="s">
        <v>932</v>
      </c>
      <c r="BU101" s="567"/>
      <c r="BV101" s="567"/>
      <c r="BW101" s="567"/>
      <c r="BX101" s="568">
        <v>1</v>
      </c>
      <c r="BY101" s="568"/>
      <c r="BZ101" s="568"/>
      <c r="CA101" s="567" t="s">
        <v>932</v>
      </c>
      <c r="CB101" s="567"/>
      <c r="CC101" s="567"/>
      <c r="CD101" s="567"/>
      <c r="CE101" s="568" t="s">
        <v>932</v>
      </c>
      <c r="CF101" s="568"/>
      <c r="CG101" s="568"/>
      <c r="CH101" s="567" t="s">
        <v>932</v>
      </c>
      <c r="CI101" s="567"/>
      <c r="CJ101" s="567"/>
      <c r="CK101" s="567"/>
      <c r="CL101" s="568" t="s">
        <v>932</v>
      </c>
      <c r="CM101" s="568"/>
      <c r="CN101" s="568"/>
    </row>
    <row r="102" hidden="1" customHeight="1" spans="1:92">
      <c r="A102" s="569"/>
      <c r="B102" s="570"/>
      <c r="C102" s="571"/>
      <c r="D102" s="572"/>
      <c r="E102" s="573"/>
      <c r="F102" s="574"/>
      <c r="G102" s="575"/>
      <c r="H102" s="576"/>
      <c r="I102" s="577"/>
      <c r="J102" s="578"/>
      <c r="K102" s="578"/>
      <c r="L102" s="578"/>
      <c r="M102" s="578"/>
      <c r="N102" s="578"/>
      <c r="O102" s="578"/>
      <c r="P102" s="578"/>
      <c r="Q102" s="578"/>
      <c r="R102" s="578"/>
      <c r="S102" s="578"/>
      <c r="T102" s="578"/>
      <c r="U102" s="578"/>
      <c r="V102" s="578"/>
      <c r="W102" s="578"/>
      <c r="X102" s="578"/>
      <c r="Y102" s="578"/>
      <c r="Z102" s="578"/>
      <c r="AA102" s="579"/>
      <c r="AB102" s="580"/>
      <c r="AC102" s="581"/>
      <c r="AD102" s="582"/>
      <c r="AE102" s="583"/>
      <c r="AF102" s="584"/>
      <c r="AG102" s="553">
        <v>0</v>
      </c>
      <c r="AH102" s="554"/>
      <c r="AI102" s="555" t="e">
        <v>#N/A</v>
      </c>
      <c r="AJ102" s="556"/>
      <c r="AK102" s="556"/>
      <c r="AL102" s="556"/>
      <c r="AM102" s="556"/>
      <c r="AN102" s="556"/>
      <c r="AO102" s="556"/>
      <c r="AP102" s="556"/>
      <c r="AQ102" s="556"/>
      <c r="AR102" s="556"/>
      <c r="AS102" s="556"/>
      <c r="AT102" s="556"/>
      <c r="AU102" s="556"/>
      <c r="AV102" s="557"/>
      <c r="AW102" s="558">
        <v>0</v>
      </c>
      <c r="AX102" s="559"/>
      <c r="AY102" s="560"/>
      <c r="AZ102" s="585"/>
      <c r="BA102" s="586"/>
      <c r="BB102" s="587"/>
      <c r="BC102" s="558">
        <v>0</v>
      </c>
      <c r="BD102" s="559"/>
      <c r="BE102" s="560"/>
      <c r="BF102" s="558">
        <v>182.49</v>
      </c>
      <c r="BG102" s="559"/>
      <c r="BH102" s="560"/>
      <c r="BI102" s="564">
        <v>0</v>
      </c>
      <c r="BJ102" s="565"/>
      <c r="BK102" s="565"/>
      <c r="BL102" s="566"/>
      <c r="BM102" s="567" t="s">
        <v>932</v>
      </c>
      <c r="BN102" s="567"/>
      <c r="BO102" s="567"/>
      <c r="BP102" s="567"/>
      <c r="BQ102" s="568" t="s">
        <v>932</v>
      </c>
      <c r="BR102" s="568"/>
      <c r="BS102" s="568"/>
      <c r="BT102" s="567" t="s">
        <v>932</v>
      </c>
      <c r="BU102" s="567"/>
      <c r="BV102" s="567"/>
      <c r="BW102" s="567"/>
      <c r="BX102" s="568">
        <v>1</v>
      </c>
      <c r="BY102" s="568"/>
      <c r="BZ102" s="568"/>
      <c r="CA102" s="567" t="s">
        <v>932</v>
      </c>
      <c r="CB102" s="567"/>
      <c r="CC102" s="567"/>
      <c r="CD102" s="567"/>
      <c r="CE102" s="568" t="s">
        <v>932</v>
      </c>
      <c r="CF102" s="568"/>
      <c r="CG102" s="568"/>
      <c r="CH102" s="567" t="s">
        <v>932</v>
      </c>
      <c r="CI102" s="567"/>
      <c r="CJ102" s="567"/>
      <c r="CK102" s="567"/>
      <c r="CL102" s="568" t="s">
        <v>932</v>
      </c>
      <c r="CM102" s="568"/>
      <c r="CN102" s="568"/>
    </row>
    <row r="103" hidden="1" customHeight="1" spans="1:92">
      <c r="A103" s="588"/>
      <c r="B103" s="589"/>
      <c r="C103" s="590"/>
      <c r="D103" s="591"/>
      <c r="E103" s="592"/>
      <c r="F103" s="593"/>
      <c r="G103" s="594"/>
      <c r="H103" s="595"/>
      <c r="I103" s="596"/>
      <c r="J103" s="597"/>
      <c r="K103" s="597"/>
      <c r="L103" s="597"/>
      <c r="M103" s="597"/>
      <c r="N103" s="597"/>
      <c r="O103" s="597"/>
      <c r="P103" s="597"/>
      <c r="Q103" s="597"/>
      <c r="R103" s="597"/>
      <c r="S103" s="597"/>
      <c r="T103" s="597"/>
      <c r="U103" s="597"/>
      <c r="V103" s="597"/>
      <c r="W103" s="597"/>
      <c r="X103" s="597"/>
      <c r="Y103" s="597"/>
      <c r="Z103" s="597"/>
      <c r="AA103" s="598"/>
      <c r="AB103" s="599"/>
      <c r="AC103" s="600"/>
      <c r="AD103" s="601"/>
      <c r="AE103" s="602"/>
      <c r="AF103" s="603"/>
      <c r="AG103" s="553">
        <v>0</v>
      </c>
      <c r="AH103" s="554"/>
      <c r="AI103" s="555" t="e">
        <v>#N/A</v>
      </c>
      <c r="AJ103" s="556"/>
      <c r="AK103" s="556"/>
      <c r="AL103" s="556"/>
      <c r="AM103" s="556"/>
      <c r="AN103" s="556"/>
      <c r="AO103" s="556"/>
      <c r="AP103" s="556"/>
      <c r="AQ103" s="556"/>
      <c r="AR103" s="556"/>
      <c r="AS103" s="556"/>
      <c r="AT103" s="556"/>
      <c r="AU103" s="556"/>
      <c r="AV103" s="557"/>
      <c r="AW103" s="558">
        <v>0</v>
      </c>
      <c r="AX103" s="559"/>
      <c r="AY103" s="560"/>
      <c r="AZ103" s="604"/>
      <c r="BA103" s="605"/>
      <c r="BB103" s="606"/>
      <c r="BC103" s="558">
        <v>0</v>
      </c>
      <c r="BD103" s="559"/>
      <c r="BE103" s="560"/>
      <c r="BF103" s="558">
        <v>182.49</v>
      </c>
      <c r="BG103" s="559"/>
      <c r="BH103" s="560"/>
      <c r="BI103" s="564">
        <v>0</v>
      </c>
      <c r="BJ103" s="565"/>
      <c r="BK103" s="565"/>
      <c r="BL103" s="566"/>
      <c r="BM103" s="567" t="s">
        <v>932</v>
      </c>
      <c r="BN103" s="567"/>
      <c r="BO103" s="567"/>
      <c r="BP103" s="567"/>
      <c r="BQ103" s="568" t="s">
        <v>932</v>
      </c>
      <c r="BR103" s="568"/>
      <c r="BS103" s="568"/>
      <c r="BT103" s="567" t="s">
        <v>932</v>
      </c>
      <c r="BU103" s="567"/>
      <c r="BV103" s="567"/>
      <c r="BW103" s="567"/>
      <c r="BX103" s="568">
        <v>1</v>
      </c>
      <c r="BY103" s="568"/>
      <c r="BZ103" s="568"/>
      <c r="CA103" s="567" t="s">
        <v>932</v>
      </c>
      <c r="CB103" s="567"/>
      <c r="CC103" s="567"/>
      <c r="CD103" s="567"/>
      <c r="CE103" s="568" t="s">
        <v>932</v>
      </c>
      <c r="CF103" s="568"/>
      <c r="CG103" s="568"/>
      <c r="CH103" s="567" t="s">
        <v>932</v>
      </c>
      <c r="CI103" s="567"/>
      <c r="CJ103" s="567"/>
      <c r="CK103" s="567"/>
      <c r="CL103" s="568" t="s">
        <v>932</v>
      </c>
      <c r="CM103" s="568"/>
      <c r="CN103" s="568"/>
    </row>
    <row r="104" customHeight="1" spans="1:92">
      <c r="A104" s="540" t="s">
        <v>949</v>
      </c>
      <c r="B104" s="541"/>
      <c r="C104" s="89"/>
      <c r="D104" s="91"/>
      <c r="E104" s="90"/>
      <c r="F104" s="542">
        <v>3108000</v>
      </c>
      <c r="G104" s="543"/>
      <c r="H104" s="544"/>
      <c r="I104" s="545" t="s">
        <v>110</v>
      </c>
      <c r="J104" s="546"/>
      <c r="K104" s="546"/>
      <c r="L104" s="546"/>
      <c r="M104" s="546"/>
      <c r="N104" s="546"/>
      <c r="O104" s="546"/>
      <c r="P104" s="546"/>
      <c r="Q104" s="546"/>
      <c r="R104" s="546"/>
      <c r="S104" s="546"/>
      <c r="T104" s="546"/>
      <c r="U104" s="546"/>
      <c r="V104" s="546"/>
      <c r="W104" s="546"/>
      <c r="X104" s="546"/>
      <c r="Y104" s="546"/>
      <c r="Z104" s="546"/>
      <c r="AA104" s="547"/>
      <c r="AB104" s="548" t="s">
        <v>7</v>
      </c>
      <c r="AC104" s="549"/>
      <c r="AD104" s="550">
        <v>166.62</v>
      </c>
      <c r="AE104" s="551"/>
      <c r="AF104" s="552"/>
      <c r="AG104" s="553" t="s">
        <v>1074</v>
      </c>
      <c r="AH104" s="554"/>
      <c r="AI104" s="555" t="s">
        <v>1075</v>
      </c>
      <c r="AJ104" s="556"/>
      <c r="AK104" s="556"/>
      <c r="AL104" s="556"/>
      <c r="AM104" s="556"/>
      <c r="AN104" s="556"/>
      <c r="AO104" s="556"/>
      <c r="AP104" s="556"/>
      <c r="AQ104" s="556"/>
      <c r="AR104" s="556"/>
      <c r="AS104" s="556"/>
      <c r="AT104" s="556"/>
      <c r="AU104" s="556"/>
      <c r="AV104" s="557"/>
      <c r="AW104" s="558">
        <v>0.06024</v>
      </c>
      <c r="AX104" s="559"/>
      <c r="AY104" s="560"/>
      <c r="AZ104" s="561">
        <v>1</v>
      </c>
      <c r="BA104" s="562"/>
      <c r="BB104" s="563"/>
      <c r="BC104" s="558">
        <v>10.0371888</v>
      </c>
      <c r="BD104" s="559"/>
      <c r="BE104" s="560"/>
      <c r="BF104" s="558">
        <v>182.49</v>
      </c>
      <c r="BG104" s="559"/>
      <c r="BH104" s="560"/>
      <c r="BI104" s="564">
        <v>0.0550013085648529</v>
      </c>
      <c r="BJ104" s="565"/>
      <c r="BK104" s="565"/>
      <c r="BL104" s="566"/>
      <c r="BM104" s="567" t="s">
        <v>932</v>
      </c>
      <c r="BN104" s="567"/>
      <c r="BO104" s="567"/>
      <c r="BP104" s="567"/>
      <c r="BQ104" s="568" t="s">
        <v>932</v>
      </c>
      <c r="BR104" s="568"/>
      <c r="BS104" s="568"/>
      <c r="BT104" s="567">
        <v>0.0550013085648529</v>
      </c>
      <c r="BU104" s="567"/>
      <c r="BV104" s="567"/>
      <c r="BW104" s="567"/>
      <c r="BX104" s="568">
        <v>1</v>
      </c>
      <c r="BY104" s="568"/>
      <c r="BZ104" s="568"/>
      <c r="CA104" s="567" t="s">
        <v>932</v>
      </c>
      <c r="CB104" s="567"/>
      <c r="CC104" s="567"/>
      <c r="CD104" s="567"/>
      <c r="CE104" s="568" t="s">
        <v>932</v>
      </c>
      <c r="CF104" s="568"/>
      <c r="CG104" s="568"/>
      <c r="CH104" s="567" t="s">
        <v>932</v>
      </c>
      <c r="CI104" s="567"/>
      <c r="CJ104" s="567"/>
      <c r="CK104" s="567"/>
      <c r="CL104" s="568" t="s">
        <v>932</v>
      </c>
      <c r="CM104" s="568"/>
      <c r="CN104" s="568"/>
    </row>
    <row r="105" customHeight="1" spans="1:92">
      <c r="A105" s="569"/>
      <c r="B105" s="570"/>
      <c r="C105" s="571"/>
      <c r="D105" s="572"/>
      <c r="E105" s="573"/>
      <c r="F105" s="574"/>
      <c r="G105" s="575"/>
      <c r="H105" s="576"/>
      <c r="I105" s="577"/>
      <c r="J105" s="578"/>
      <c r="K105" s="578"/>
      <c r="L105" s="578"/>
      <c r="M105" s="578"/>
      <c r="N105" s="578"/>
      <c r="O105" s="578"/>
      <c r="P105" s="578"/>
      <c r="Q105" s="578"/>
      <c r="R105" s="578"/>
      <c r="S105" s="578"/>
      <c r="T105" s="578"/>
      <c r="U105" s="578"/>
      <c r="V105" s="578"/>
      <c r="W105" s="578"/>
      <c r="X105" s="578"/>
      <c r="Y105" s="578"/>
      <c r="Z105" s="578"/>
      <c r="AA105" s="579"/>
      <c r="AB105" s="580"/>
      <c r="AC105" s="581"/>
      <c r="AD105" s="582"/>
      <c r="AE105" s="583"/>
      <c r="AF105" s="584"/>
      <c r="AG105" s="553" t="s">
        <v>1076</v>
      </c>
      <c r="AH105" s="554"/>
      <c r="AI105" s="555" t="s">
        <v>1077</v>
      </c>
      <c r="AJ105" s="556"/>
      <c r="AK105" s="556"/>
      <c r="AL105" s="556"/>
      <c r="AM105" s="556"/>
      <c r="AN105" s="556"/>
      <c r="AO105" s="556"/>
      <c r="AP105" s="556"/>
      <c r="AQ105" s="556"/>
      <c r="AR105" s="556"/>
      <c r="AS105" s="556"/>
      <c r="AT105" s="556"/>
      <c r="AU105" s="556"/>
      <c r="AV105" s="557"/>
      <c r="AW105" s="558">
        <v>0.06024</v>
      </c>
      <c r="AX105" s="559"/>
      <c r="AY105" s="560"/>
      <c r="AZ105" s="585"/>
      <c r="BA105" s="586"/>
      <c r="BB105" s="587"/>
      <c r="BC105" s="558">
        <v>10.0371888</v>
      </c>
      <c r="BD105" s="559"/>
      <c r="BE105" s="560"/>
      <c r="BF105" s="558">
        <v>182.49</v>
      </c>
      <c r="BG105" s="559"/>
      <c r="BH105" s="560"/>
      <c r="BI105" s="564">
        <v>0.0550013085648529</v>
      </c>
      <c r="BJ105" s="565"/>
      <c r="BK105" s="565"/>
      <c r="BL105" s="566"/>
      <c r="BM105" s="567" t="s">
        <v>932</v>
      </c>
      <c r="BN105" s="567"/>
      <c r="BO105" s="567"/>
      <c r="BP105" s="567"/>
      <c r="BQ105" s="568" t="s">
        <v>932</v>
      </c>
      <c r="BR105" s="568"/>
      <c r="BS105" s="568"/>
      <c r="BT105" s="567">
        <v>0.0550013085648529</v>
      </c>
      <c r="BU105" s="567"/>
      <c r="BV105" s="567"/>
      <c r="BW105" s="567"/>
      <c r="BX105" s="568">
        <v>1</v>
      </c>
      <c r="BY105" s="568"/>
      <c r="BZ105" s="568"/>
      <c r="CA105" s="567" t="s">
        <v>932</v>
      </c>
      <c r="CB105" s="567"/>
      <c r="CC105" s="567"/>
      <c r="CD105" s="567"/>
      <c r="CE105" s="568" t="s">
        <v>932</v>
      </c>
      <c r="CF105" s="568"/>
      <c r="CG105" s="568"/>
      <c r="CH105" s="567" t="s">
        <v>932</v>
      </c>
      <c r="CI105" s="567"/>
      <c r="CJ105" s="567"/>
      <c r="CK105" s="567"/>
      <c r="CL105" s="568" t="s">
        <v>932</v>
      </c>
      <c r="CM105" s="568"/>
      <c r="CN105" s="568"/>
    </row>
    <row r="106" hidden="1" customHeight="1" spans="1:92">
      <c r="A106" s="569"/>
      <c r="B106" s="570"/>
      <c r="C106" s="571"/>
      <c r="D106" s="572"/>
      <c r="E106" s="573"/>
      <c r="F106" s="574"/>
      <c r="G106" s="575"/>
      <c r="H106" s="576"/>
      <c r="I106" s="577"/>
      <c r="J106" s="578"/>
      <c r="K106" s="578"/>
      <c r="L106" s="578"/>
      <c r="M106" s="578"/>
      <c r="N106" s="578"/>
      <c r="O106" s="578"/>
      <c r="P106" s="578"/>
      <c r="Q106" s="578"/>
      <c r="R106" s="578"/>
      <c r="S106" s="578"/>
      <c r="T106" s="578"/>
      <c r="U106" s="578"/>
      <c r="V106" s="578"/>
      <c r="W106" s="578"/>
      <c r="X106" s="578"/>
      <c r="Y106" s="578"/>
      <c r="Z106" s="578"/>
      <c r="AA106" s="579"/>
      <c r="AB106" s="580"/>
      <c r="AC106" s="581"/>
      <c r="AD106" s="582"/>
      <c r="AE106" s="583"/>
      <c r="AF106" s="584"/>
      <c r="AG106" s="553">
        <v>0</v>
      </c>
      <c r="AH106" s="554"/>
      <c r="AI106" s="555" t="e">
        <v>#N/A</v>
      </c>
      <c r="AJ106" s="556"/>
      <c r="AK106" s="556"/>
      <c r="AL106" s="556"/>
      <c r="AM106" s="556"/>
      <c r="AN106" s="556"/>
      <c r="AO106" s="556"/>
      <c r="AP106" s="556"/>
      <c r="AQ106" s="556"/>
      <c r="AR106" s="556"/>
      <c r="AS106" s="556"/>
      <c r="AT106" s="556"/>
      <c r="AU106" s="556"/>
      <c r="AV106" s="557"/>
      <c r="AW106" s="558">
        <v>0</v>
      </c>
      <c r="AX106" s="559"/>
      <c r="AY106" s="560"/>
      <c r="AZ106" s="585"/>
      <c r="BA106" s="586"/>
      <c r="BB106" s="587"/>
      <c r="BC106" s="558">
        <v>0</v>
      </c>
      <c r="BD106" s="559"/>
      <c r="BE106" s="560"/>
      <c r="BF106" s="558">
        <v>182.49</v>
      </c>
      <c r="BG106" s="559"/>
      <c r="BH106" s="560"/>
      <c r="BI106" s="564">
        <v>0</v>
      </c>
      <c r="BJ106" s="565"/>
      <c r="BK106" s="565"/>
      <c r="BL106" s="566"/>
      <c r="BM106" s="567" t="s">
        <v>932</v>
      </c>
      <c r="BN106" s="567"/>
      <c r="BO106" s="567"/>
      <c r="BP106" s="567"/>
      <c r="BQ106" s="568" t="s">
        <v>932</v>
      </c>
      <c r="BR106" s="568"/>
      <c r="BS106" s="568"/>
      <c r="BT106" s="567" t="s">
        <v>932</v>
      </c>
      <c r="BU106" s="567"/>
      <c r="BV106" s="567"/>
      <c r="BW106" s="567"/>
      <c r="BX106" s="568">
        <v>1</v>
      </c>
      <c r="BY106" s="568"/>
      <c r="BZ106" s="568"/>
      <c r="CA106" s="567" t="s">
        <v>932</v>
      </c>
      <c r="CB106" s="567"/>
      <c r="CC106" s="567"/>
      <c r="CD106" s="567"/>
      <c r="CE106" s="568" t="s">
        <v>932</v>
      </c>
      <c r="CF106" s="568"/>
      <c r="CG106" s="568"/>
      <c r="CH106" s="567" t="s">
        <v>932</v>
      </c>
      <c r="CI106" s="567"/>
      <c r="CJ106" s="567"/>
      <c r="CK106" s="567"/>
      <c r="CL106" s="568" t="s">
        <v>932</v>
      </c>
      <c r="CM106" s="568"/>
      <c r="CN106" s="568"/>
    </row>
    <row r="107" hidden="1" customHeight="1" spans="1:92">
      <c r="A107" s="569"/>
      <c r="B107" s="570"/>
      <c r="C107" s="571"/>
      <c r="D107" s="572"/>
      <c r="E107" s="573"/>
      <c r="F107" s="574"/>
      <c r="G107" s="575"/>
      <c r="H107" s="576"/>
      <c r="I107" s="577"/>
      <c r="J107" s="578"/>
      <c r="K107" s="578"/>
      <c r="L107" s="578"/>
      <c r="M107" s="578"/>
      <c r="N107" s="578"/>
      <c r="O107" s="578"/>
      <c r="P107" s="578"/>
      <c r="Q107" s="578"/>
      <c r="R107" s="578"/>
      <c r="S107" s="578"/>
      <c r="T107" s="578"/>
      <c r="U107" s="578"/>
      <c r="V107" s="578"/>
      <c r="W107" s="578"/>
      <c r="X107" s="578"/>
      <c r="Y107" s="578"/>
      <c r="Z107" s="578"/>
      <c r="AA107" s="579"/>
      <c r="AB107" s="580"/>
      <c r="AC107" s="581"/>
      <c r="AD107" s="582"/>
      <c r="AE107" s="583"/>
      <c r="AF107" s="584"/>
      <c r="AG107" s="553">
        <v>0</v>
      </c>
      <c r="AH107" s="554"/>
      <c r="AI107" s="555" t="e">
        <v>#N/A</v>
      </c>
      <c r="AJ107" s="556"/>
      <c r="AK107" s="556"/>
      <c r="AL107" s="556"/>
      <c r="AM107" s="556"/>
      <c r="AN107" s="556"/>
      <c r="AO107" s="556"/>
      <c r="AP107" s="556"/>
      <c r="AQ107" s="556"/>
      <c r="AR107" s="556"/>
      <c r="AS107" s="556"/>
      <c r="AT107" s="556"/>
      <c r="AU107" s="556"/>
      <c r="AV107" s="557"/>
      <c r="AW107" s="558">
        <v>0</v>
      </c>
      <c r="AX107" s="559"/>
      <c r="AY107" s="560"/>
      <c r="AZ107" s="585"/>
      <c r="BA107" s="586"/>
      <c r="BB107" s="587"/>
      <c r="BC107" s="558">
        <v>0</v>
      </c>
      <c r="BD107" s="559"/>
      <c r="BE107" s="560"/>
      <c r="BF107" s="558">
        <v>182.49</v>
      </c>
      <c r="BG107" s="559"/>
      <c r="BH107" s="560"/>
      <c r="BI107" s="564">
        <v>0</v>
      </c>
      <c r="BJ107" s="565"/>
      <c r="BK107" s="565"/>
      <c r="BL107" s="566"/>
      <c r="BM107" s="567" t="s">
        <v>932</v>
      </c>
      <c r="BN107" s="567"/>
      <c r="BO107" s="567"/>
      <c r="BP107" s="567"/>
      <c r="BQ107" s="568" t="s">
        <v>932</v>
      </c>
      <c r="BR107" s="568"/>
      <c r="BS107" s="568"/>
      <c r="BT107" s="567" t="s">
        <v>932</v>
      </c>
      <c r="BU107" s="567"/>
      <c r="BV107" s="567"/>
      <c r="BW107" s="567"/>
      <c r="BX107" s="568">
        <v>1</v>
      </c>
      <c r="BY107" s="568"/>
      <c r="BZ107" s="568"/>
      <c r="CA107" s="567" t="s">
        <v>932</v>
      </c>
      <c r="CB107" s="567"/>
      <c r="CC107" s="567"/>
      <c r="CD107" s="567"/>
      <c r="CE107" s="568" t="s">
        <v>932</v>
      </c>
      <c r="CF107" s="568"/>
      <c r="CG107" s="568"/>
      <c r="CH107" s="567" t="s">
        <v>932</v>
      </c>
      <c r="CI107" s="567"/>
      <c r="CJ107" s="567"/>
      <c r="CK107" s="567"/>
      <c r="CL107" s="568" t="s">
        <v>932</v>
      </c>
      <c r="CM107" s="568"/>
      <c r="CN107" s="568"/>
    </row>
    <row r="108" hidden="1" customHeight="1" spans="1:92">
      <c r="A108" s="569"/>
      <c r="B108" s="570"/>
      <c r="C108" s="571"/>
      <c r="D108" s="572"/>
      <c r="E108" s="573"/>
      <c r="F108" s="574"/>
      <c r="G108" s="575"/>
      <c r="H108" s="576"/>
      <c r="I108" s="577"/>
      <c r="J108" s="578"/>
      <c r="K108" s="578"/>
      <c r="L108" s="578"/>
      <c r="M108" s="578"/>
      <c r="N108" s="578"/>
      <c r="O108" s="578"/>
      <c r="P108" s="578"/>
      <c r="Q108" s="578"/>
      <c r="R108" s="578"/>
      <c r="S108" s="578"/>
      <c r="T108" s="578"/>
      <c r="U108" s="578"/>
      <c r="V108" s="578"/>
      <c r="W108" s="578"/>
      <c r="X108" s="578"/>
      <c r="Y108" s="578"/>
      <c r="Z108" s="578"/>
      <c r="AA108" s="579"/>
      <c r="AB108" s="580"/>
      <c r="AC108" s="581"/>
      <c r="AD108" s="582"/>
      <c r="AE108" s="583"/>
      <c r="AF108" s="584"/>
      <c r="AG108" s="553">
        <v>0</v>
      </c>
      <c r="AH108" s="554"/>
      <c r="AI108" s="555" t="e">
        <v>#N/A</v>
      </c>
      <c r="AJ108" s="556"/>
      <c r="AK108" s="556"/>
      <c r="AL108" s="556"/>
      <c r="AM108" s="556"/>
      <c r="AN108" s="556"/>
      <c r="AO108" s="556"/>
      <c r="AP108" s="556"/>
      <c r="AQ108" s="556"/>
      <c r="AR108" s="556"/>
      <c r="AS108" s="556"/>
      <c r="AT108" s="556"/>
      <c r="AU108" s="556"/>
      <c r="AV108" s="557"/>
      <c r="AW108" s="558">
        <v>0</v>
      </c>
      <c r="AX108" s="559"/>
      <c r="AY108" s="560"/>
      <c r="AZ108" s="585"/>
      <c r="BA108" s="586"/>
      <c r="BB108" s="587"/>
      <c r="BC108" s="558">
        <v>0</v>
      </c>
      <c r="BD108" s="559"/>
      <c r="BE108" s="560"/>
      <c r="BF108" s="558">
        <v>182.49</v>
      </c>
      <c r="BG108" s="559"/>
      <c r="BH108" s="560"/>
      <c r="BI108" s="564">
        <v>0</v>
      </c>
      <c r="BJ108" s="565"/>
      <c r="BK108" s="565"/>
      <c r="BL108" s="566"/>
      <c r="BM108" s="567" t="s">
        <v>932</v>
      </c>
      <c r="BN108" s="567"/>
      <c r="BO108" s="567"/>
      <c r="BP108" s="567"/>
      <c r="BQ108" s="568" t="s">
        <v>932</v>
      </c>
      <c r="BR108" s="568"/>
      <c r="BS108" s="568"/>
      <c r="BT108" s="567" t="s">
        <v>932</v>
      </c>
      <c r="BU108" s="567"/>
      <c r="BV108" s="567"/>
      <c r="BW108" s="567"/>
      <c r="BX108" s="568">
        <v>1</v>
      </c>
      <c r="BY108" s="568"/>
      <c r="BZ108" s="568"/>
      <c r="CA108" s="567" t="s">
        <v>932</v>
      </c>
      <c r="CB108" s="567"/>
      <c r="CC108" s="567"/>
      <c r="CD108" s="567"/>
      <c r="CE108" s="568" t="s">
        <v>932</v>
      </c>
      <c r="CF108" s="568"/>
      <c r="CG108" s="568"/>
      <c r="CH108" s="567" t="s">
        <v>932</v>
      </c>
      <c r="CI108" s="567"/>
      <c r="CJ108" s="567"/>
      <c r="CK108" s="567"/>
      <c r="CL108" s="568" t="s">
        <v>932</v>
      </c>
      <c r="CM108" s="568"/>
      <c r="CN108" s="568"/>
    </row>
    <row r="109" hidden="1" customHeight="1" spans="1:92">
      <c r="A109" s="569"/>
      <c r="B109" s="570"/>
      <c r="C109" s="571"/>
      <c r="D109" s="572"/>
      <c r="E109" s="573"/>
      <c r="F109" s="574"/>
      <c r="G109" s="575"/>
      <c r="H109" s="576"/>
      <c r="I109" s="577"/>
      <c r="J109" s="578"/>
      <c r="K109" s="578"/>
      <c r="L109" s="578"/>
      <c r="M109" s="578"/>
      <c r="N109" s="578"/>
      <c r="O109" s="578"/>
      <c r="P109" s="578"/>
      <c r="Q109" s="578"/>
      <c r="R109" s="578"/>
      <c r="S109" s="578"/>
      <c r="T109" s="578"/>
      <c r="U109" s="578"/>
      <c r="V109" s="578"/>
      <c r="W109" s="578"/>
      <c r="X109" s="578"/>
      <c r="Y109" s="578"/>
      <c r="Z109" s="578"/>
      <c r="AA109" s="579"/>
      <c r="AB109" s="580"/>
      <c r="AC109" s="581"/>
      <c r="AD109" s="582"/>
      <c r="AE109" s="583"/>
      <c r="AF109" s="584"/>
      <c r="AG109" s="553">
        <v>0</v>
      </c>
      <c r="AH109" s="554"/>
      <c r="AI109" s="555" t="e">
        <v>#N/A</v>
      </c>
      <c r="AJ109" s="556"/>
      <c r="AK109" s="556"/>
      <c r="AL109" s="556"/>
      <c r="AM109" s="556"/>
      <c r="AN109" s="556"/>
      <c r="AO109" s="556"/>
      <c r="AP109" s="556"/>
      <c r="AQ109" s="556"/>
      <c r="AR109" s="556"/>
      <c r="AS109" s="556"/>
      <c r="AT109" s="556"/>
      <c r="AU109" s="556"/>
      <c r="AV109" s="557"/>
      <c r="AW109" s="558">
        <v>0</v>
      </c>
      <c r="AX109" s="559"/>
      <c r="AY109" s="560"/>
      <c r="AZ109" s="585"/>
      <c r="BA109" s="586"/>
      <c r="BB109" s="587"/>
      <c r="BC109" s="558">
        <v>0</v>
      </c>
      <c r="BD109" s="559"/>
      <c r="BE109" s="560"/>
      <c r="BF109" s="558">
        <v>182.49</v>
      </c>
      <c r="BG109" s="559"/>
      <c r="BH109" s="560"/>
      <c r="BI109" s="564">
        <v>0</v>
      </c>
      <c r="BJ109" s="565"/>
      <c r="BK109" s="565"/>
      <c r="BL109" s="566"/>
      <c r="BM109" s="567" t="s">
        <v>932</v>
      </c>
      <c r="BN109" s="567"/>
      <c r="BO109" s="567"/>
      <c r="BP109" s="567"/>
      <c r="BQ109" s="568" t="s">
        <v>932</v>
      </c>
      <c r="BR109" s="568"/>
      <c r="BS109" s="568"/>
      <c r="BT109" s="567" t="s">
        <v>932</v>
      </c>
      <c r="BU109" s="567"/>
      <c r="BV109" s="567"/>
      <c r="BW109" s="567"/>
      <c r="BX109" s="568">
        <v>1</v>
      </c>
      <c r="BY109" s="568"/>
      <c r="BZ109" s="568"/>
      <c r="CA109" s="567" t="s">
        <v>932</v>
      </c>
      <c r="CB109" s="567"/>
      <c r="CC109" s="567"/>
      <c r="CD109" s="567"/>
      <c r="CE109" s="568" t="s">
        <v>932</v>
      </c>
      <c r="CF109" s="568"/>
      <c r="CG109" s="568"/>
      <c r="CH109" s="567" t="s">
        <v>932</v>
      </c>
      <c r="CI109" s="567"/>
      <c r="CJ109" s="567"/>
      <c r="CK109" s="567"/>
      <c r="CL109" s="568" t="s">
        <v>932</v>
      </c>
      <c r="CM109" s="568"/>
      <c r="CN109" s="568"/>
    </row>
    <row r="110" hidden="1" customHeight="1" spans="1:92">
      <c r="A110" s="569"/>
      <c r="B110" s="570"/>
      <c r="C110" s="571"/>
      <c r="D110" s="572"/>
      <c r="E110" s="573"/>
      <c r="F110" s="574"/>
      <c r="G110" s="575"/>
      <c r="H110" s="576"/>
      <c r="I110" s="577"/>
      <c r="J110" s="578"/>
      <c r="K110" s="578"/>
      <c r="L110" s="578"/>
      <c r="M110" s="578"/>
      <c r="N110" s="578"/>
      <c r="O110" s="578"/>
      <c r="P110" s="578"/>
      <c r="Q110" s="578"/>
      <c r="R110" s="578"/>
      <c r="S110" s="578"/>
      <c r="T110" s="578"/>
      <c r="U110" s="578"/>
      <c r="V110" s="578"/>
      <c r="W110" s="578"/>
      <c r="X110" s="578"/>
      <c r="Y110" s="578"/>
      <c r="Z110" s="578"/>
      <c r="AA110" s="579"/>
      <c r="AB110" s="580"/>
      <c r="AC110" s="581"/>
      <c r="AD110" s="582"/>
      <c r="AE110" s="583"/>
      <c r="AF110" s="584"/>
      <c r="AG110" s="553">
        <v>0</v>
      </c>
      <c r="AH110" s="554"/>
      <c r="AI110" s="555" t="e">
        <v>#N/A</v>
      </c>
      <c r="AJ110" s="556"/>
      <c r="AK110" s="556"/>
      <c r="AL110" s="556"/>
      <c r="AM110" s="556"/>
      <c r="AN110" s="556"/>
      <c r="AO110" s="556"/>
      <c r="AP110" s="556"/>
      <c r="AQ110" s="556"/>
      <c r="AR110" s="556"/>
      <c r="AS110" s="556"/>
      <c r="AT110" s="556"/>
      <c r="AU110" s="556"/>
      <c r="AV110" s="557"/>
      <c r="AW110" s="558">
        <v>0</v>
      </c>
      <c r="AX110" s="559"/>
      <c r="AY110" s="560"/>
      <c r="AZ110" s="585"/>
      <c r="BA110" s="586"/>
      <c r="BB110" s="587"/>
      <c r="BC110" s="558">
        <v>0</v>
      </c>
      <c r="BD110" s="559"/>
      <c r="BE110" s="560"/>
      <c r="BF110" s="558">
        <v>182.49</v>
      </c>
      <c r="BG110" s="559"/>
      <c r="BH110" s="560"/>
      <c r="BI110" s="564">
        <v>0</v>
      </c>
      <c r="BJ110" s="565"/>
      <c r="BK110" s="565"/>
      <c r="BL110" s="566"/>
      <c r="BM110" s="567" t="s">
        <v>932</v>
      </c>
      <c r="BN110" s="567"/>
      <c r="BO110" s="567"/>
      <c r="BP110" s="567"/>
      <c r="BQ110" s="568" t="s">
        <v>932</v>
      </c>
      <c r="BR110" s="568"/>
      <c r="BS110" s="568"/>
      <c r="BT110" s="567" t="s">
        <v>932</v>
      </c>
      <c r="BU110" s="567"/>
      <c r="BV110" s="567"/>
      <c r="BW110" s="567"/>
      <c r="BX110" s="568">
        <v>1</v>
      </c>
      <c r="BY110" s="568"/>
      <c r="BZ110" s="568"/>
      <c r="CA110" s="567" t="s">
        <v>932</v>
      </c>
      <c r="CB110" s="567"/>
      <c r="CC110" s="567"/>
      <c r="CD110" s="567"/>
      <c r="CE110" s="568" t="s">
        <v>932</v>
      </c>
      <c r="CF110" s="568"/>
      <c r="CG110" s="568"/>
      <c r="CH110" s="567" t="s">
        <v>932</v>
      </c>
      <c r="CI110" s="567"/>
      <c r="CJ110" s="567"/>
      <c r="CK110" s="567"/>
      <c r="CL110" s="568" t="s">
        <v>932</v>
      </c>
      <c r="CM110" s="568"/>
      <c r="CN110" s="568"/>
    </row>
    <row r="111" hidden="1" customHeight="1" spans="1:92">
      <c r="A111" s="588"/>
      <c r="B111" s="589"/>
      <c r="C111" s="590"/>
      <c r="D111" s="591"/>
      <c r="E111" s="592"/>
      <c r="F111" s="593"/>
      <c r="G111" s="594"/>
      <c r="H111" s="595"/>
      <c r="I111" s="596"/>
      <c r="J111" s="597"/>
      <c r="K111" s="597"/>
      <c r="L111" s="597"/>
      <c r="M111" s="597"/>
      <c r="N111" s="597"/>
      <c r="O111" s="597"/>
      <c r="P111" s="597"/>
      <c r="Q111" s="597"/>
      <c r="R111" s="597"/>
      <c r="S111" s="597"/>
      <c r="T111" s="597"/>
      <c r="U111" s="597"/>
      <c r="V111" s="597"/>
      <c r="W111" s="597"/>
      <c r="X111" s="597"/>
      <c r="Y111" s="597"/>
      <c r="Z111" s="597"/>
      <c r="AA111" s="598"/>
      <c r="AB111" s="599"/>
      <c r="AC111" s="600"/>
      <c r="AD111" s="601"/>
      <c r="AE111" s="602"/>
      <c r="AF111" s="603"/>
      <c r="AG111" s="553">
        <v>0</v>
      </c>
      <c r="AH111" s="554"/>
      <c r="AI111" s="555" t="e">
        <v>#N/A</v>
      </c>
      <c r="AJ111" s="556"/>
      <c r="AK111" s="556"/>
      <c r="AL111" s="556"/>
      <c r="AM111" s="556"/>
      <c r="AN111" s="556"/>
      <c r="AO111" s="556"/>
      <c r="AP111" s="556"/>
      <c r="AQ111" s="556"/>
      <c r="AR111" s="556"/>
      <c r="AS111" s="556"/>
      <c r="AT111" s="556"/>
      <c r="AU111" s="556"/>
      <c r="AV111" s="557"/>
      <c r="AW111" s="558">
        <v>0</v>
      </c>
      <c r="AX111" s="559"/>
      <c r="AY111" s="560"/>
      <c r="AZ111" s="604"/>
      <c r="BA111" s="605"/>
      <c r="BB111" s="606"/>
      <c r="BC111" s="558">
        <v>0</v>
      </c>
      <c r="BD111" s="559"/>
      <c r="BE111" s="560"/>
      <c r="BF111" s="558">
        <v>182.49</v>
      </c>
      <c r="BG111" s="559"/>
      <c r="BH111" s="560"/>
      <c r="BI111" s="564">
        <v>0</v>
      </c>
      <c r="BJ111" s="565"/>
      <c r="BK111" s="565"/>
      <c r="BL111" s="566"/>
      <c r="BM111" s="567" t="s">
        <v>932</v>
      </c>
      <c r="BN111" s="567"/>
      <c r="BO111" s="567"/>
      <c r="BP111" s="567"/>
      <c r="BQ111" s="568" t="s">
        <v>932</v>
      </c>
      <c r="BR111" s="568"/>
      <c r="BS111" s="568"/>
      <c r="BT111" s="567" t="s">
        <v>932</v>
      </c>
      <c r="BU111" s="567"/>
      <c r="BV111" s="567"/>
      <c r="BW111" s="567"/>
      <c r="BX111" s="568">
        <v>1</v>
      </c>
      <c r="BY111" s="568"/>
      <c r="BZ111" s="568"/>
      <c r="CA111" s="567" t="s">
        <v>932</v>
      </c>
      <c r="CB111" s="567"/>
      <c r="CC111" s="567"/>
      <c r="CD111" s="567"/>
      <c r="CE111" s="568" t="s">
        <v>932</v>
      </c>
      <c r="CF111" s="568"/>
      <c r="CG111" s="568"/>
      <c r="CH111" s="567" t="s">
        <v>932</v>
      </c>
      <c r="CI111" s="567"/>
      <c r="CJ111" s="567"/>
      <c r="CK111" s="567"/>
      <c r="CL111" s="568" t="s">
        <v>932</v>
      </c>
      <c r="CM111" s="568"/>
      <c r="CN111" s="568"/>
    </row>
    <row r="112" hidden="1" customHeight="1" spans="1:92">
      <c r="A112" s="540" t="s">
        <v>952</v>
      </c>
      <c r="B112" s="541"/>
      <c r="C112" s="89"/>
      <c r="D112" s="91"/>
      <c r="E112" s="90"/>
      <c r="F112" s="542">
        <v>407819</v>
      </c>
      <c r="G112" s="543"/>
      <c r="H112" s="544"/>
      <c r="I112" s="545" t="s">
        <v>100</v>
      </c>
      <c r="J112" s="546"/>
      <c r="K112" s="546"/>
      <c r="L112" s="546"/>
      <c r="M112" s="546"/>
      <c r="N112" s="546"/>
      <c r="O112" s="546"/>
      <c r="P112" s="546"/>
      <c r="Q112" s="546"/>
      <c r="R112" s="546"/>
      <c r="S112" s="546"/>
      <c r="T112" s="546"/>
      <c r="U112" s="546"/>
      <c r="V112" s="546"/>
      <c r="W112" s="546"/>
      <c r="X112" s="546"/>
      <c r="Y112" s="546"/>
      <c r="Z112" s="546"/>
      <c r="AA112" s="547"/>
      <c r="AB112" s="548" t="s">
        <v>101</v>
      </c>
      <c r="AC112" s="549"/>
      <c r="AD112" s="550">
        <v>3378.05</v>
      </c>
      <c r="AE112" s="551"/>
      <c r="AF112" s="552"/>
      <c r="AG112" s="553">
        <v>0</v>
      </c>
      <c r="AH112" s="554"/>
      <c r="AI112" s="555" t="e">
        <v>#N/A</v>
      </c>
      <c r="AJ112" s="556"/>
      <c r="AK112" s="556"/>
      <c r="AL112" s="556"/>
      <c r="AM112" s="556"/>
      <c r="AN112" s="556"/>
      <c r="AO112" s="556"/>
      <c r="AP112" s="556"/>
      <c r="AQ112" s="556"/>
      <c r="AR112" s="556"/>
      <c r="AS112" s="556"/>
      <c r="AT112" s="556"/>
      <c r="AU112" s="556"/>
      <c r="AV112" s="557"/>
      <c r="AW112" s="558">
        <v>0</v>
      </c>
      <c r="AX112" s="559"/>
      <c r="AY112" s="560"/>
      <c r="AZ112" s="561">
        <v>1</v>
      </c>
      <c r="BA112" s="562"/>
      <c r="BB112" s="563"/>
      <c r="BC112" s="558">
        <v>0</v>
      </c>
      <c r="BD112" s="559"/>
      <c r="BE112" s="560"/>
      <c r="BF112" s="558">
        <v>182.49</v>
      </c>
      <c r="BG112" s="559"/>
      <c r="BH112" s="560"/>
      <c r="BI112" s="564">
        <v>0</v>
      </c>
      <c r="BJ112" s="565"/>
      <c r="BK112" s="565"/>
      <c r="BL112" s="566"/>
      <c r="BM112" s="567" t="s">
        <v>932</v>
      </c>
      <c r="BN112" s="567"/>
      <c r="BO112" s="567"/>
      <c r="BP112" s="567"/>
      <c r="BQ112" s="568" t="s">
        <v>932</v>
      </c>
      <c r="BR112" s="568"/>
      <c r="BS112" s="568"/>
      <c r="BT112" s="567" t="s">
        <v>932</v>
      </c>
      <c r="BU112" s="567"/>
      <c r="BV112" s="567"/>
      <c r="BW112" s="567"/>
      <c r="BX112" s="568">
        <v>1</v>
      </c>
      <c r="BY112" s="568"/>
      <c r="BZ112" s="568"/>
      <c r="CA112" s="567" t="s">
        <v>932</v>
      </c>
      <c r="CB112" s="567"/>
      <c r="CC112" s="567"/>
      <c r="CD112" s="567"/>
      <c r="CE112" s="568" t="s">
        <v>932</v>
      </c>
      <c r="CF112" s="568"/>
      <c r="CG112" s="568"/>
      <c r="CH112" s="567" t="s">
        <v>932</v>
      </c>
      <c r="CI112" s="567"/>
      <c r="CJ112" s="567"/>
      <c r="CK112" s="567"/>
      <c r="CL112" s="568" t="s">
        <v>932</v>
      </c>
      <c r="CM112" s="568"/>
      <c r="CN112" s="568"/>
    </row>
    <row r="113" hidden="1" customHeight="1" spans="1:92">
      <c r="A113" s="569"/>
      <c r="B113" s="570"/>
      <c r="C113" s="571"/>
      <c r="D113" s="572"/>
      <c r="E113" s="573"/>
      <c r="F113" s="574"/>
      <c r="G113" s="575"/>
      <c r="H113" s="576"/>
      <c r="I113" s="577"/>
      <c r="J113" s="578"/>
      <c r="K113" s="578"/>
      <c r="L113" s="578"/>
      <c r="M113" s="578"/>
      <c r="N113" s="578"/>
      <c r="O113" s="578"/>
      <c r="P113" s="578"/>
      <c r="Q113" s="578"/>
      <c r="R113" s="578"/>
      <c r="S113" s="578"/>
      <c r="T113" s="578"/>
      <c r="U113" s="578"/>
      <c r="V113" s="578"/>
      <c r="W113" s="578"/>
      <c r="X113" s="578"/>
      <c r="Y113" s="578"/>
      <c r="Z113" s="578"/>
      <c r="AA113" s="579"/>
      <c r="AB113" s="580"/>
      <c r="AC113" s="581"/>
      <c r="AD113" s="582"/>
      <c r="AE113" s="583"/>
      <c r="AF113" s="584"/>
      <c r="AG113" s="553">
        <v>0</v>
      </c>
      <c r="AH113" s="554"/>
      <c r="AI113" s="555" t="e">
        <v>#N/A</v>
      </c>
      <c r="AJ113" s="556"/>
      <c r="AK113" s="556"/>
      <c r="AL113" s="556"/>
      <c r="AM113" s="556"/>
      <c r="AN113" s="556"/>
      <c r="AO113" s="556"/>
      <c r="AP113" s="556"/>
      <c r="AQ113" s="556"/>
      <c r="AR113" s="556"/>
      <c r="AS113" s="556"/>
      <c r="AT113" s="556"/>
      <c r="AU113" s="556"/>
      <c r="AV113" s="557"/>
      <c r="AW113" s="558">
        <v>0</v>
      </c>
      <c r="AX113" s="559"/>
      <c r="AY113" s="560"/>
      <c r="AZ113" s="585"/>
      <c r="BA113" s="586"/>
      <c r="BB113" s="587"/>
      <c r="BC113" s="558">
        <v>0</v>
      </c>
      <c r="BD113" s="559"/>
      <c r="BE113" s="560"/>
      <c r="BF113" s="558">
        <v>182.49</v>
      </c>
      <c r="BG113" s="559"/>
      <c r="BH113" s="560"/>
      <c r="BI113" s="564">
        <v>0</v>
      </c>
      <c r="BJ113" s="565"/>
      <c r="BK113" s="565"/>
      <c r="BL113" s="566"/>
      <c r="BM113" s="567" t="s">
        <v>932</v>
      </c>
      <c r="BN113" s="567"/>
      <c r="BO113" s="567"/>
      <c r="BP113" s="567"/>
      <c r="BQ113" s="568" t="s">
        <v>932</v>
      </c>
      <c r="BR113" s="568"/>
      <c r="BS113" s="568"/>
      <c r="BT113" s="567" t="s">
        <v>932</v>
      </c>
      <c r="BU113" s="567"/>
      <c r="BV113" s="567"/>
      <c r="BW113" s="567"/>
      <c r="BX113" s="568">
        <v>1</v>
      </c>
      <c r="BY113" s="568"/>
      <c r="BZ113" s="568"/>
      <c r="CA113" s="567" t="s">
        <v>932</v>
      </c>
      <c r="CB113" s="567"/>
      <c r="CC113" s="567"/>
      <c r="CD113" s="567"/>
      <c r="CE113" s="568" t="s">
        <v>932</v>
      </c>
      <c r="CF113" s="568"/>
      <c r="CG113" s="568"/>
      <c r="CH113" s="567" t="s">
        <v>932</v>
      </c>
      <c r="CI113" s="567"/>
      <c r="CJ113" s="567"/>
      <c r="CK113" s="567"/>
      <c r="CL113" s="568" t="s">
        <v>932</v>
      </c>
      <c r="CM113" s="568"/>
      <c r="CN113" s="568"/>
    </row>
    <row r="114" hidden="1" customHeight="1" spans="1:92">
      <c r="A114" s="569"/>
      <c r="B114" s="570"/>
      <c r="C114" s="571"/>
      <c r="D114" s="572"/>
      <c r="E114" s="573"/>
      <c r="F114" s="574"/>
      <c r="G114" s="575"/>
      <c r="H114" s="576"/>
      <c r="I114" s="577"/>
      <c r="J114" s="578"/>
      <c r="K114" s="578"/>
      <c r="L114" s="578"/>
      <c r="M114" s="578"/>
      <c r="N114" s="578"/>
      <c r="O114" s="578"/>
      <c r="P114" s="578"/>
      <c r="Q114" s="578"/>
      <c r="R114" s="578"/>
      <c r="S114" s="578"/>
      <c r="T114" s="578"/>
      <c r="U114" s="578"/>
      <c r="V114" s="578"/>
      <c r="W114" s="578"/>
      <c r="X114" s="578"/>
      <c r="Y114" s="578"/>
      <c r="Z114" s="578"/>
      <c r="AA114" s="579"/>
      <c r="AB114" s="580"/>
      <c r="AC114" s="581"/>
      <c r="AD114" s="582"/>
      <c r="AE114" s="583"/>
      <c r="AF114" s="584"/>
      <c r="AG114" s="553">
        <v>0</v>
      </c>
      <c r="AH114" s="554"/>
      <c r="AI114" s="555" t="e">
        <v>#N/A</v>
      </c>
      <c r="AJ114" s="556"/>
      <c r="AK114" s="556"/>
      <c r="AL114" s="556"/>
      <c r="AM114" s="556"/>
      <c r="AN114" s="556"/>
      <c r="AO114" s="556"/>
      <c r="AP114" s="556"/>
      <c r="AQ114" s="556"/>
      <c r="AR114" s="556"/>
      <c r="AS114" s="556"/>
      <c r="AT114" s="556"/>
      <c r="AU114" s="556"/>
      <c r="AV114" s="557"/>
      <c r="AW114" s="558">
        <v>0</v>
      </c>
      <c r="AX114" s="559"/>
      <c r="AY114" s="560"/>
      <c r="AZ114" s="585"/>
      <c r="BA114" s="586"/>
      <c r="BB114" s="587"/>
      <c r="BC114" s="558">
        <v>0</v>
      </c>
      <c r="BD114" s="559"/>
      <c r="BE114" s="560"/>
      <c r="BF114" s="558">
        <v>182.49</v>
      </c>
      <c r="BG114" s="559"/>
      <c r="BH114" s="560"/>
      <c r="BI114" s="564">
        <v>0</v>
      </c>
      <c r="BJ114" s="565"/>
      <c r="BK114" s="565"/>
      <c r="BL114" s="566"/>
      <c r="BM114" s="567" t="s">
        <v>932</v>
      </c>
      <c r="BN114" s="567"/>
      <c r="BO114" s="567"/>
      <c r="BP114" s="567"/>
      <c r="BQ114" s="568" t="s">
        <v>932</v>
      </c>
      <c r="BR114" s="568"/>
      <c r="BS114" s="568"/>
      <c r="BT114" s="567" t="s">
        <v>932</v>
      </c>
      <c r="BU114" s="567"/>
      <c r="BV114" s="567"/>
      <c r="BW114" s="567"/>
      <c r="BX114" s="568">
        <v>1</v>
      </c>
      <c r="BY114" s="568"/>
      <c r="BZ114" s="568"/>
      <c r="CA114" s="567" t="s">
        <v>932</v>
      </c>
      <c r="CB114" s="567"/>
      <c r="CC114" s="567"/>
      <c r="CD114" s="567"/>
      <c r="CE114" s="568" t="s">
        <v>932</v>
      </c>
      <c r="CF114" s="568"/>
      <c r="CG114" s="568"/>
      <c r="CH114" s="567" t="s">
        <v>932</v>
      </c>
      <c r="CI114" s="567"/>
      <c r="CJ114" s="567"/>
      <c r="CK114" s="567"/>
      <c r="CL114" s="568" t="s">
        <v>932</v>
      </c>
      <c r="CM114" s="568"/>
      <c r="CN114" s="568"/>
    </row>
    <row r="115" hidden="1" customHeight="1" spans="1:92">
      <c r="A115" s="569"/>
      <c r="B115" s="570"/>
      <c r="C115" s="571"/>
      <c r="D115" s="572"/>
      <c r="E115" s="573"/>
      <c r="F115" s="574"/>
      <c r="G115" s="575"/>
      <c r="H115" s="576"/>
      <c r="I115" s="577"/>
      <c r="J115" s="578"/>
      <c r="K115" s="578"/>
      <c r="L115" s="578"/>
      <c r="M115" s="578"/>
      <c r="N115" s="578"/>
      <c r="O115" s="578"/>
      <c r="P115" s="578"/>
      <c r="Q115" s="578"/>
      <c r="R115" s="578"/>
      <c r="S115" s="578"/>
      <c r="T115" s="578"/>
      <c r="U115" s="578"/>
      <c r="V115" s="578"/>
      <c r="W115" s="578"/>
      <c r="X115" s="578"/>
      <c r="Y115" s="578"/>
      <c r="Z115" s="578"/>
      <c r="AA115" s="579"/>
      <c r="AB115" s="580"/>
      <c r="AC115" s="581"/>
      <c r="AD115" s="582"/>
      <c r="AE115" s="583"/>
      <c r="AF115" s="584"/>
      <c r="AG115" s="553">
        <v>0</v>
      </c>
      <c r="AH115" s="554"/>
      <c r="AI115" s="555" t="e">
        <v>#N/A</v>
      </c>
      <c r="AJ115" s="556"/>
      <c r="AK115" s="556"/>
      <c r="AL115" s="556"/>
      <c r="AM115" s="556"/>
      <c r="AN115" s="556"/>
      <c r="AO115" s="556"/>
      <c r="AP115" s="556"/>
      <c r="AQ115" s="556"/>
      <c r="AR115" s="556"/>
      <c r="AS115" s="556"/>
      <c r="AT115" s="556"/>
      <c r="AU115" s="556"/>
      <c r="AV115" s="557"/>
      <c r="AW115" s="558">
        <v>0</v>
      </c>
      <c r="AX115" s="559"/>
      <c r="AY115" s="560"/>
      <c r="AZ115" s="585"/>
      <c r="BA115" s="586"/>
      <c r="BB115" s="587"/>
      <c r="BC115" s="558">
        <v>0</v>
      </c>
      <c r="BD115" s="559"/>
      <c r="BE115" s="560"/>
      <c r="BF115" s="558">
        <v>182.49</v>
      </c>
      <c r="BG115" s="559"/>
      <c r="BH115" s="560"/>
      <c r="BI115" s="564">
        <v>0</v>
      </c>
      <c r="BJ115" s="565"/>
      <c r="BK115" s="565"/>
      <c r="BL115" s="566"/>
      <c r="BM115" s="567" t="s">
        <v>932</v>
      </c>
      <c r="BN115" s="567"/>
      <c r="BO115" s="567"/>
      <c r="BP115" s="567"/>
      <c r="BQ115" s="568" t="s">
        <v>932</v>
      </c>
      <c r="BR115" s="568"/>
      <c r="BS115" s="568"/>
      <c r="BT115" s="567" t="s">
        <v>932</v>
      </c>
      <c r="BU115" s="567"/>
      <c r="BV115" s="567"/>
      <c r="BW115" s="567"/>
      <c r="BX115" s="568">
        <v>1</v>
      </c>
      <c r="BY115" s="568"/>
      <c r="BZ115" s="568"/>
      <c r="CA115" s="567" t="s">
        <v>932</v>
      </c>
      <c r="CB115" s="567"/>
      <c r="CC115" s="567"/>
      <c r="CD115" s="567"/>
      <c r="CE115" s="568" t="s">
        <v>932</v>
      </c>
      <c r="CF115" s="568"/>
      <c r="CG115" s="568"/>
      <c r="CH115" s="567" t="s">
        <v>932</v>
      </c>
      <c r="CI115" s="567"/>
      <c r="CJ115" s="567"/>
      <c r="CK115" s="567"/>
      <c r="CL115" s="568" t="s">
        <v>932</v>
      </c>
      <c r="CM115" s="568"/>
      <c r="CN115" s="568"/>
    </row>
    <row r="116" hidden="1" customHeight="1" spans="1:92">
      <c r="A116" s="569"/>
      <c r="B116" s="570"/>
      <c r="C116" s="571"/>
      <c r="D116" s="572"/>
      <c r="E116" s="573"/>
      <c r="F116" s="574"/>
      <c r="G116" s="575"/>
      <c r="H116" s="576"/>
      <c r="I116" s="577"/>
      <c r="J116" s="578"/>
      <c r="K116" s="578"/>
      <c r="L116" s="578"/>
      <c r="M116" s="578"/>
      <c r="N116" s="578"/>
      <c r="O116" s="578"/>
      <c r="P116" s="578"/>
      <c r="Q116" s="578"/>
      <c r="R116" s="578"/>
      <c r="S116" s="578"/>
      <c r="T116" s="578"/>
      <c r="U116" s="578"/>
      <c r="V116" s="578"/>
      <c r="W116" s="578"/>
      <c r="X116" s="578"/>
      <c r="Y116" s="578"/>
      <c r="Z116" s="578"/>
      <c r="AA116" s="579"/>
      <c r="AB116" s="580"/>
      <c r="AC116" s="581"/>
      <c r="AD116" s="582"/>
      <c r="AE116" s="583"/>
      <c r="AF116" s="584"/>
      <c r="AG116" s="553">
        <v>0</v>
      </c>
      <c r="AH116" s="554"/>
      <c r="AI116" s="555" t="e">
        <v>#N/A</v>
      </c>
      <c r="AJ116" s="556"/>
      <c r="AK116" s="556"/>
      <c r="AL116" s="556"/>
      <c r="AM116" s="556"/>
      <c r="AN116" s="556"/>
      <c r="AO116" s="556"/>
      <c r="AP116" s="556"/>
      <c r="AQ116" s="556"/>
      <c r="AR116" s="556"/>
      <c r="AS116" s="556"/>
      <c r="AT116" s="556"/>
      <c r="AU116" s="556"/>
      <c r="AV116" s="557"/>
      <c r="AW116" s="558">
        <v>0</v>
      </c>
      <c r="AX116" s="559"/>
      <c r="AY116" s="560"/>
      <c r="AZ116" s="585"/>
      <c r="BA116" s="586"/>
      <c r="BB116" s="587"/>
      <c r="BC116" s="558">
        <v>0</v>
      </c>
      <c r="BD116" s="559"/>
      <c r="BE116" s="560"/>
      <c r="BF116" s="558">
        <v>182.49</v>
      </c>
      <c r="BG116" s="559"/>
      <c r="BH116" s="560"/>
      <c r="BI116" s="564">
        <v>0</v>
      </c>
      <c r="BJ116" s="565"/>
      <c r="BK116" s="565"/>
      <c r="BL116" s="566"/>
      <c r="BM116" s="567" t="s">
        <v>932</v>
      </c>
      <c r="BN116" s="567"/>
      <c r="BO116" s="567"/>
      <c r="BP116" s="567"/>
      <c r="BQ116" s="568" t="s">
        <v>932</v>
      </c>
      <c r="BR116" s="568"/>
      <c r="BS116" s="568"/>
      <c r="BT116" s="567" t="s">
        <v>932</v>
      </c>
      <c r="BU116" s="567"/>
      <c r="BV116" s="567"/>
      <c r="BW116" s="567"/>
      <c r="BX116" s="568">
        <v>1</v>
      </c>
      <c r="BY116" s="568"/>
      <c r="BZ116" s="568"/>
      <c r="CA116" s="567" t="s">
        <v>932</v>
      </c>
      <c r="CB116" s="567"/>
      <c r="CC116" s="567"/>
      <c r="CD116" s="567"/>
      <c r="CE116" s="568" t="s">
        <v>932</v>
      </c>
      <c r="CF116" s="568"/>
      <c r="CG116" s="568"/>
      <c r="CH116" s="567" t="s">
        <v>932</v>
      </c>
      <c r="CI116" s="567"/>
      <c r="CJ116" s="567"/>
      <c r="CK116" s="567"/>
      <c r="CL116" s="568" t="s">
        <v>932</v>
      </c>
      <c r="CM116" s="568"/>
      <c r="CN116" s="568"/>
    </row>
    <row r="117" hidden="1" customHeight="1" spans="1:92">
      <c r="A117" s="569"/>
      <c r="B117" s="570"/>
      <c r="C117" s="571"/>
      <c r="D117" s="572"/>
      <c r="E117" s="573"/>
      <c r="F117" s="574"/>
      <c r="G117" s="575"/>
      <c r="H117" s="576"/>
      <c r="I117" s="577"/>
      <c r="J117" s="578"/>
      <c r="K117" s="578"/>
      <c r="L117" s="578"/>
      <c r="M117" s="578"/>
      <c r="N117" s="578"/>
      <c r="O117" s="578"/>
      <c r="P117" s="578"/>
      <c r="Q117" s="578"/>
      <c r="R117" s="578"/>
      <c r="S117" s="578"/>
      <c r="T117" s="578"/>
      <c r="U117" s="578"/>
      <c r="V117" s="578"/>
      <c r="W117" s="578"/>
      <c r="X117" s="578"/>
      <c r="Y117" s="578"/>
      <c r="Z117" s="578"/>
      <c r="AA117" s="579"/>
      <c r="AB117" s="580"/>
      <c r="AC117" s="581"/>
      <c r="AD117" s="582"/>
      <c r="AE117" s="583"/>
      <c r="AF117" s="584"/>
      <c r="AG117" s="553">
        <v>0</v>
      </c>
      <c r="AH117" s="554"/>
      <c r="AI117" s="555" t="e">
        <v>#N/A</v>
      </c>
      <c r="AJ117" s="556"/>
      <c r="AK117" s="556"/>
      <c r="AL117" s="556"/>
      <c r="AM117" s="556"/>
      <c r="AN117" s="556"/>
      <c r="AO117" s="556"/>
      <c r="AP117" s="556"/>
      <c r="AQ117" s="556"/>
      <c r="AR117" s="556"/>
      <c r="AS117" s="556"/>
      <c r="AT117" s="556"/>
      <c r="AU117" s="556"/>
      <c r="AV117" s="557"/>
      <c r="AW117" s="558">
        <v>0</v>
      </c>
      <c r="AX117" s="559"/>
      <c r="AY117" s="560"/>
      <c r="AZ117" s="585"/>
      <c r="BA117" s="586"/>
      <c r="BB117" s="587"/>
      <c r="BC117" s="558">
        <v>0</v>
      </c>
      <c r="BD117" s="559"/>
      <c r="BE117" s="560"/>
      <c r="BF117" s="558">
        <v>182.49</v>
      </c>
      <c r="BG117" s="559"/>
      <c r="BH117" s="560"/>
      <c r="BI117" s="564">
        <v>0</v>
      </c>
      <c r="BJ117" s="565"/>
      <c r="BK117" s="565"/>
      <c r="BL117" s="566"/>
      <c r="BM117" s="567" t="s">
        <v>932</v>
      </c>
      <c r="BN117" s="567"/>
      <c r="BO117" s="567"/>
      <c r="BP117" s="567"/>
      <c r="BQ117" s="568" t="s">
        <v>932</v>
      </c>
      <c r="BR117" s="568"/>
      <c r="BS117" s="568"/>
      <c r="BT117" s="567" t="s">
        <v>932</v>
      </c>
      <c r="BU117" s="567"/>
      <c r="BV117" s="567"/>
      <c r="BW117" s="567"/>
      <c r="BX117" s="568">
        <v>1</v>
      </c>
      <c r="BY117" s="568"/>
      <c r="BZ117" s="568"/>
      <c r="CA117" s="567" t="s">
        <v>932</v>
      </c>
      <c r="CB117" s="567"/>
      <c r="CC117" s="567"/>
      <c r="CD117" s="567"/>
      <c r="CE117" s="568" t="s">
        <v>932</v>
      </c>
      <c r="CF117" s="568"/>
      <c r="CG117" s="568"/>
      <c r="CH117" s="567" t="s">
        <v>932</v>
      </c>
      <c r="CI117" s="567"/>
      <c r="CJ117" s="567"/>
      <c r="CK117" s="567"/>
      <c r="CL117" s="568" t="s">
        <v>932</v>
      </c>
      <c r="CM117" s="568"/>
      <c r="CN117" s="568"/>
    </row>
    <row r="118" hidden="1" customHeight="1" spans="1:92">
      <c r="A118" s="569"/>
      <c r="B118" s="570"/>
      <c r="C118" s="571"/>
      <c r="D118" s="572"/>
      <c r="E118" s="573"/>
      <c r="F118" s="574"/>
      <c r="G118" s="575"/>
      <c r="H118" s="576"/>
      <c r="I118" s="577"/>
      <c r="J118" s="578"/>
      <c r="K118" s="578"/>
      <c r="L118" s="578"/>
      <c r="M118" s="578"/>
      <c r="N118" s="578"/>
      <c r="O118" s="578"/>
      <c r="P118" s="578"/>
      <c r="Q118" s="578"/>
      <c r="R118" s="578"/>
      <c r="S118" s="578"/>
      <c r="T118" s="578"/>
      <c r="U118" s="578"/>
      <c r="V118" s="578"/>
      <c r="W118" s="578"/>
      <c r="X118" s="578"/>
      <c r="Y118" s="578"/>
      <c r="Z118" s="578"/>
      <c r="AA118" s="579"/>
      <c r="AB118" s="580"/>
      <c r="AC118" s="581"/>
      <c r="AD118" s="582"/>
      <c r="AE118" s="583"/>
      <c r="AF118" s="584"/>
      <c r="AG118" s="553">
        <v>0</v>
      </c>
      <c r="AH118" s="554"/>
      <c r="AI118" s="555" t="e">
        <v>#N/A</v>
      </c>
      <c r="AJ118" s="556"/>
      <c r="AK118" s="556"/>
      <c r="AL118" s="556"/>
      <c r="AM118" s="556"/>
      <c r="AN118" s="556"/>
      <c r="AO118" s="556"/>
      <c r="AP118" s="556"/>
      <c r="AQ118" s="556"/>
      <c r="AR118" s="556"/>
      <c r="AS118" s="556"/>
      <c r="AT118" s="556"/>
      <c r="AU118" s="556"/>
      <c r="AV118" s="557"/>
      <c r="AW118" s="558">
        <v>0</v>
      </c>
      <c r="AX118" s="559"/>
      <c r="AY118" s="560"/>
      <c r="AZ118" s="585"/>
      <c r="BA118" s="586"/>
      <c r="BB118" s="587"/>
      <c r="BC118" s="558">
        <v>0</v>
      </c>
      <c r="BD118" s="559"/>
      <c r="BE118" s="560"/>
      <c r="BF118" s="558">
        <v>182.49</v>
      </c>
      <c r="BG118" s="559"/>
      <c r="BH118" s="560"/>
      <c r="BI118" s="564">
        <v>0</v>
      </c>
      <c r="BJ118" s="565"/>
      <c r="BK118" s="565"/>
      <c r="BL118" s="566"/>
      <c r="BM118" s="567" t="s">
        <v>932</v>
      </c>
      <c r="BN118" s="567"/>
      <c r="BO118" s="567"/>
      <c r="BP118" s="567"/>
      <c r="BQ118" s="568" t="s">
        <v>932</v>
      </c>
      <c r="BR118" s="568"/>
      <c r="BS118" s="568"/>
      <c r="BT118" s="567" t="s">
        <v>932</v>
      </c>
      <c r="BU118" s="567"/>
      <c r="BV118" s="567"/>
      <c r="BW118" s="567"/>
      <c r="BX118" s="568">
        <v>1</v>
      </c>
      <c r="BY118" s="568"/>
      <c r="BZ118" s="568"/>
      <c r="CA118" s="567" t="s">
        <v>932</v>
      </c>
      <c r="CB118" s="567"/>
      <c r="CC118" s="567"/>
      <c r="CD118" s="567"/>
      <c r="CE118" s="568" t="s">
        <v>932</v>
      </c>
      <c r="CF118" s="568"/>
      <c r="CG118" s="568"/>
      <c r="CH118" s="567" t="s">
        <v>932</v>
      </c>
      <c r="CI118" s="567"/>
      <c r="CJ118" s="567"/>
      <c r="CK118" s="567"/>
      <c r="CL118" s="568" t="s">
        <v>932</v>
      </c>
      <c r="CM118" s="568"/>
      <c r="CN118" s="568"/>
    </row>
    <row r="119" hidden="1" customHeight="1" spans="1:92">
      <c r="A119" s="588"/>
      <c r="B119" s="589"/>
      <c r="C119" s="590"/>
      <c r="D119" s="591"/>
      <c r="E119" s="592"/>
      <c r="F119" s="593"/>
      <c r="G119" s="594"/>
      <c r="H119" s="595"/>
      <c r="I119" s="596"/>
      <c r="J119" s="597"/>
      <c r="K119" s="597"/>
      <c r="L119" s="597"/>
      <c r="M119" s="597"/>
      <c r="N119" s="597"/>
      <c r="O119" s="597"/>
      <c r="P119" s="597"/>
      <c r="Q119" s="597"/>
      <c r="R119" s="597"/>
      <c r="S119" s="597"/>
      <c r="T119" s="597"/>
      <c r="U119" s="597"/>
      <c r="V119" s="597"/>
      <c r="W119" s="597"/>
      <c r="X119" s="597"/>
      <c r="Y119" s="597"/>
      <c r="Z119" s="597"/>
      <c r="AA119" s="598"/>
      <c r="AB119" s="599"/>
      <c r="AC119" s="600"/>
      <c r="AD119" s="601"/>
      <c r="AE119" s="602"/>
      <c r="AF119" s="603"/>
      <c r="AG119" s="553">
        <v>0</v>
      </c>
      <c r="AH119" s="554"/>
      <c r="AI119" s="555" t="e">
        <v>#N/A</v>
      </c>
      <c r="AJ119" s="556"/>
      <c r="AK119" s="556"/>
      <c r="AL119" s="556"/>
      <c r="AM119" s="556"/>
      <c r="AN119" s="556"/>
      <c r="AO119" s="556"/>
      <c r="AP119" s="556"/>
      <c r="AQ119" s="556"/>
      <c r="AR119" s="556"/>
      <c r="AS119" s="556"/>
      <c r="AT119" s="556"/>
      <c r="AU119" s="556"/>
      <c r="AV119" s="557"/>
      <c r="AW119" s="558">
        <v>0</v>
      </c>
      <c r="AX119" s="559"/>
      <c r="AY119" s="560"/>
      <c r="AZ119" s="604"/>
      <c r="BA119" s="605"/>
      <c r="BB119" s="606"/>
      <c r="BC119" s="558">
        <v>0</v>
      </c>
      <c r="BD119" s="559"/>
      <c r="BE119" s="560"/>
      <c r="BF119" s="558">
        <v>182.49</v>
      </c>
      <c r="BG119" s="559"/>
      <c r="BH119" s="560"/>
      <c r="BI119" s="564">
        <v>0</v>
      </c>
      <c r="BJ119" s="565"/>
      <c r="BK119" s="565"/>
      <c r="BL119" s="566"/>
      <c r="BM119" s="567" t="s">
        <v>932</v>
      </c>
      <c r="BN119" s="567"/>
      <c r="BO119" s="567"/>
      <c r="BP119" s="567"/>
      <c r="BQ119" s="568" t="s">
        <v>932</v>
      </c>
      <c r="BR119" s="568"/>
      <c r="BS119" s="568"/>
      <c r="BT119" s="567" t="s">
        <v>932</v>
      </c>
      <c r="BU119" s="567"/>
      <c r="BV119" s="567"/>
      <c r="BW119" s="567"/>
      <c r="BX119" s="568">
        <v>1</v>
      </c>
      <c r="BY119" s="568"/>
      <c r="BZ119" s="568"/>
      <c r="CA119" s="567" t="s">
        <v>932</v>
      </c>
      <c r="CB119" s="567"/>
      <c r="CC119" s="567"/>
      <c r="CD119" s="567"/>
      <c r="CE119" s="568" t="s">
        <v>932</v>
      </c>
      <c r="CF119" s="568"/>
      <c r="CG119" s="568"/>
      <c r="CH119" s="567" t="s">
        <v>932</v>
      </c>
      <c r="CI119" s="567"/>
      <c r="CJ119" s="567"/>
      <c r="CK119" s="567"/>
      <c r="CL119" s="568" t="s">
        <v>932</v>
      </c>
      <c r="CM119" s="568"/>
      <c r="CN119" s="568"/>
    </row>
    <row r="120" hidden="1" customHeight="1" spans="1:92">
      <c r="A120" s="540" t="s">
        <v>953</v>
      </c>
      <c r="B120" s="541"/>
      <c r="C120" s="89"/>
      <c r="D120" s="91"/>
      <c r="E120" s="90"/>
      <c r="F120" s="542">
        <v>3806429</v>
      </c>
      <c r="G120" s="543"/>
      <c r="H120" s="544"/>
      <c r="I120" s="545" t="s">
        <v>111</v>
      </c>
      <c r="J120" s="546"/>
      <c r="K120" s="546"/>
      <c r="L120" s="546"/>
      <c r="M120" s="546"/>
      <c r="N120" s="546"/>
      <c r="O120" s="546"/>
      <c r="P120" s="546"/>
      <c r="Q120" s="546"/>
      <c r="R120" s="546"/>
      <c r="S120" s="546"/>
      <c r="T120" s="546"/>
      <c r="U120" s="546"/>
      <c r="V120" s="546"/>
      <c r="W120" s="546"/>
      <c r="X120" s="546"/>
      <c r="Y120" s="546"/>
      <c r="Z120" s="546"/>
      <c r="AA120" s="547"/>
      <c r="AB120" s="548" t="s">
        <v>99</v>
      </c>
      <c r="AC120" s="549"/>
      <c r="AD120" s="550">
        <v>189.84</v>
      </c>
      <c r="AE120" s="551"/>
      <c r="AF120" s="552"/>
      <c r="AG120" s="553">
        <v>0</v>
      </c>
      <c r="AH120" s="554"/>
      <c r="AI120" s="555" t="e">
        <v>#N/A</v>
      </c>
      <c r="AJ120" s="556"/>
      <c r="AK120" s="556"/>
      <c r="AL120" s="556"/>
      <c r="AM120" s="556"/>
      <c r="AN120" s="556"/>
      <c r="AO120" s="556"/>
      <c r="AP120" s="556"/>
      <c r="AQ120" s="556"/>
      <c r="AR120" s="556"/>
      <c r="AS120" s="556"/>
      <c r="AT120" s="556"/>
      <c r="AU120" s="556"/>
      <c r="AV120" s="557"/>
      <c r="AW120" s="558">
        <v>0</v>
      </c>
      <c r="AX120" s="559"/>
      <c r="AY120" s="560"/>
      <c r="AZ120" s="561">
        <v>4.28571</v>
      </c>
      <c r="BA120" s="562"/>
      <c r="BB120" s="563"/>
      <c r="BC120" s="558">
        <v>0</v>
      </c>
      <c r="BD120" s="559"/>
      <c r="BE120" s="560"/>
      <c r="BF120" s="558">
        <v>182.49</v>
      </c>
      <c r="BG120" s="559"/>
      <c r="BH120" s="560"/>
      <c r="BI120" s="564">
        <v>0</v>
      </c>
      <c r="BJ120" s="565"/>
      <c r="BK120" s="565"/>
      <c r="BL120" s="566"/>
      <c r="BM120" s="567" t="s">
        <v>932</v>
      </c>
      <c r="BN120" s="567"/>
      <c r="BO120" s="567"/>
      <c r="BP120" s="567"/>
      <c r="BQ120" s="568" t="s">
        <v>932</v>
      </c>
      <c r="BR120" s="568"/>
      <c r="BS120" s="568"/>
      <c r="BT120" s="567" t="s">
        <v>932</v>
      </c>
      <c r="BU120" s="567"/>
      <c r="BV120" s="567"/>
      <c r="BW120" s="567"/>
      <c r="BX120" s="568">
        <v>1</v>
      </c>
      <c r="BY120" s="568"/>
      <c r="BZ120" s="568"/>
      <c r="CA120" s="567" t="s">
        <v>932</v>
      </c>
      <c r="CB120" s="567"/>
      <c r="CC120" s="567"/>
      <c r="CD120" s="567"/>
      <c r="CE120" s="568" t="s">
        <v>932</v>
      </c>
      <c r="CF120" s="568"/>
      <c r="CG120" s="568"/>
      <c r="CH120" s="567" t="s">
        <v>932</v>
      </c>
      <c r="CI120" s="567"/>
      <c r="CJ120" s="567"/>
      <c r="CK120" s="567"/>
      <c r="CL120" s="568" t="s">
        <v>932</v>
      </c>
      <c r="CM120" s="568"/>
      <c r="CN120" s="568"/>
    </row>
    <row r="121" hidden="1" customHeight="1" spans="1:92">
      <c r="A121" s="569"/>
      <c r="B121" s="570"/>
      <c r="C121" s="571"/>
      <c r="D121" s="572"/>
      <c r="E121" s="573"/>
      <c r="F121" s="574"/>
      <c r="G121" s="575"/>
      <c r="H121" s="576"/>
      <c r="I121" s="577"/>
      <c r="J121" s="578"/>
      <c r="K121" s="578"/>
      <c r="L121" s="578"/>
      <c r="M121" s="578"/>
      <c r="N121" s="578"/>
      <c r="O121" s="578"/>
      <c r="P121" s="578"/>
      <c r="Q121" s="578"/>
      <c r="R121" s="578"/>
      <c r="S121" s="578"/>
      <c r="T121" s="578"/>
      <c r="U121" s="578"/>
      <c r="V121" s="578"/>
      <c r="W121" s="578"/>
      <c r="X121" s="578"/>
      <c r="Y121" s="578"/>
      <c r="Z121" s="578"/>
      <c r="AA121" s="579"/>
      <c r="AB121" s="580"/>
      <c r="AC121" s="581"/>
      <c r="AD121" s="582"/>
      <c r="AE121" s="583"/>
      <c r="AF121" s="584"/>
      <c r="AG121" s="553">
        <v>0</v>
      </c>
      <c r="AH121" s="554"/>
      <c r="AI121" s="555" t="e">
        <v>#N/A</v>
      </c>
      <c r="AJ121" s="556"/>
      <c r="AK121" s="556"/>
      <c r="AL121" s="556"/>
      <c r="AM121" s="556"/>
      <c r="AN121" s="556"/>
      <c r="AO121" s="556"/>
      <c r="AP121" s="556"/>
      <c r="AQ121" s="556"/>
      <c r="AR121" s="556"/>
      <c r="AS121" s="556"/>
      <c r="AT121" s="556"/>
      <c r="AU121" s="556"/>
      <c r="AV121" s="557"/>
      <c r="AW121" s="558">
        <v>0</v>
      </c>
      <c r="AX121" s="559"/>
      <c r="AY121" s="560"/>
      <c r="AZ121" s="585"/>
      <c r="BA121" s="586"/>
      <c r="BB121" s="587"/>
      <c r="BC121" s="558">
        <v>0</v>
      </c>
      <c r="BD121" s="559"/>
      <c r="BE121" s="560"/>
      <c r="BF121" s="558">
        <v>182.49</v>
      </c>
      <c r="BG121" s="559"/>
      <c r="BH121" s="560"/>
      <c r="BI121" s="564">
        <v>0</v>
      </c>
      <c r="BJ121" s="565"/>
      <c r="BK121" s="565"/>
      <c r="BL121" s="566"/>
      <c r="BM121" s="567" t="s">
        <v>932</v>
      </c>
      <c r="BN121" s="567"/>
      <c r="BO121" s="567"/>
      <c r="BP121" s="567"/>
      <c r="BQ121" s="568" t="s">
        <v>932</v>
      </c>
      <c r="BR121" s="568"/>
      <c r="BS121" s="568"/>
      <c r="BT121" s="567" t="s">
        <v>932</v>
      </c>
      <c r="BU121" s="567"/>
      <c r="BV121" s="567"/>
      <c r="BW121" s="567"/>
      <c r="BX121" s="568">
        <v>1</v>
      </c>
      <c r="BY121" s="568"/>
      <c r="BZ121" s="568"/>
      <c r="CA121" s="567" t="s">
        <v>932</v>
      </c>
      <c r="CB121" s="567"/>
      <c r="CC121" s="567"/>
      <c r="CD121" s="567"/>
      <c r="CE121" s="568" t="s">
        <v>932</v>
      </c>
      <c r="CF121" s="568"/>
      <c r="CG121" s="568"/>
      <c r="CH121" s="567" t="s">
        <v>932</v>
      </c>
      <c r="CI121" s="567"/>
      <c r="CJ121" s="567"/>
      <c r="CK121" s="567"/>
      <c r="CL121" s="568" t="s">
        <v>932</v>
      </c>
      <c r="CM121" s="568"/>
      <c r="CN121" s="568"/>
    </row>
    <row r="122" hidden="1" customHeight="1" spans="1:92">
      <c r="A122" s="569"/>
      <c r="B122" s="570"/>
      <c r="C122" s="571"/>
      <c r="D122" s="572"/>
      <c r="E122" s="573"/>
      <c r="F122" s="574"/>
      <c r="G122" s="575"/>
      <c r="H122" s="576"/>
      <c r="I122" s="577"/>
      <c r="J122" s="578"/>
      <c r="K122" s="578"/>
      <c r="L122" s="578"/>
      <c r="M122" s="578"/>
      <c r="N122" s="578"/>
      <c r="O122" s="578"/>
      <c r="P122" s="578"/>
      <c r="Q122" s="578"/>
      <c r="R122" s="578"/>
      <c r="S122" s="578"/>
      <c r="T122" s="578"/>
      <c r="U122" s="578"/>
      <c r="V122" s="578"/>
      <c r="W122" s="578"/>
      <c r="X122" s="578"/>
      <c r="Y122" s="578"/>
      <c r="Z122" s="578"/>
      <c r="AA122" s="579"/>
      <c r="AB122" s="580"/>
      <c r="AC122" s="581"/>
      <c r="AD122" s="582"/>
      <c r="AE122" s="583"/>
      <c r="AF122" s="584"/>
      <c r="AG122" s="553">
        <v>0</v>
      </c>
      <c r="AH122" s="554"/>
      <c r="AI122" s="555" t="e">
        <v>#N/A</v>
      </c>
      <c r="AJ122" s="556"/>
      <c r="AK122" s="556"/>
      <c r="AL122" s="556"/>
      <c r="AM122" s="556"/>
      <c r="AN122" s="556"/>
      <c r="AO122" s="556"/>
      <c r="AP122" s="556"/>
      <c r="AQ122" s="556"/>
      <c r="AR122" s="556"/>
      <c r="AS122" s="556"/>
      <c r="AT122" s="556"/>
      <c r="AU122" s="556"/>
      <c r="AV122" s="557"/>
      <c r="AW122" s="558">
        <v>0</v>
      </c>
      <c r="AX122" s="559"/>
      <c r="AY122" s="560"/>
      <c r="AZ122" s="585"/>
      <c r="BA122" s="586"/>
      <c r="BB122" s="587"/>
      <c r="BC122" s="558">
        <v>0</v>
      </c>
      <c r="BD122" s="559"/>
      <c r="BE122" s="560"/>
      <c r="BF122" s="558">
        <v>182.49</v>
      </c>
      <c r="BG122" s="559"/>
      <c r="BH122" s="560"/>
      <c r="BI122" s="564">
        <v>0</v>
      </c>
      <c r="BJ122" s="565"/>
      <c r="BK122" s="565"/>
      <c r="BL122" s="566"/>
      <c r="BM122" s="567" t="s">
        <v>932</v>
      </c>
      <c r="BN122" s="567"/>
      <c r="BO122" s="567"/>
      <c r="BP122" s="567"/>
      <c r="BQ122" s="568" t="s">
        <v>932</v>
      </c>
      <c r="BR122" s="568"/>
      <c r="BS122" s="568"/>
      <c r="BT122" s="567" t="s">
        <v>932</v>
      </c>
      <c r="BU122" s="567"/>
      <c r="BV122" s="567"/>
      <c r="BW122" s="567"/>
      <c r="BX122" s="568">
        <v>1</v>
      </c>
      <c r="BY122" s="568"/>
      <c r="BZ122" s="568"/>
      <c r="CA122" s="567" t="s">
        <v>932</v>
      </c>
      <c r="CB122" s="567"/>
      <c r="CC122" s="567"/>
      <c r="CD122" s="567"/>
      <c r="CE122" s="568" t="s">
        <v>932</v>
      </c>
      <c r="CF122" s="568"/>
      <c r="CG122" s="568"/>
      <c r="CH122" s="567" t="s">
        <v>932</v>
      </c>
      <c r="CI122" s="567"/>
      <c r="CJ122" s="567"/>
      <c r="CK122" s="567"/>
      <c r="CL122" s="568" t="s">
        <v>932</v>
      </c>
      <c r="CM122" s="568"/>
      <c r="CN122" s="568"/>
    </row>
    <row r="123" hidden="1" customHeight="1" spans="1:92">
      <c r="A123" s="569"/>
      <c r="B123" s="570"/>
      <c r="C123" s="571"/>
      <c r="D123" s="572"/>
      <c r="E123" s="573"/>
      <c r="F123" s="574"/>
      <c r="G123" s="575"/>
      <c r="H123" s="576"/>
      <c r="I123" s="577"/>
      <c r="J123" s="578"/>
      <c r="K123" s="578"/>
      <c r="L123" s="578"/>
      <c r="M123" s="578"/>
      <c r="N123" s="578"/>
      <c r="O123" s="578"/>
      <c r="P123" s="578"/>
      <c r="Q123" s="578"/>
      <c r="R123" s="578"/>
      <c r="S123" s="578"/>
      <c r="T123" s="578"/>
      <c r="U123" s="578"/>
      <c r="V123" s="578"/>
      <c r="W123" s="578"/>
      <c r="X123" s="578"/>
      <c r="Y123" s="578"/>
      <c r="Z123" s="578"/>
      <c r="AA123" s="579"/>
      <c r="AB123" s="580"/>
      <c r="AC123" s="581"/>
      <c r="AD123" s="582"/>
      <c r="AE123" s="583"/>
      <c r="AF123" s="584"/>
      <c r="AG123" s="553">
        <v>0</v>
      </c>
      <c r="AH123" s="554"/>
      <c r="AI123" s="555" t="e">
        <v>#N/A</v>
      </c>
      <c r="AJ123" s="556"/>
      <c r="AK123" s="556"/>
      <c r="AL123" s="556"/>
      <c r="AM123" s="556"/>
      <c r="AN123" s="556"/>
      <c r="AO123" s="556"/>
      <c r="AP123" s="556"/>
      <c r="AQ123" s="556"/>
      <c r="AR123" s="556"/>
      <c r="AS123" s="556"/>
      <c r="AT123" s="556"/>
      <c r="AU123" s="556"/>
      <c r="AV123" s="557"/>
      <c r="AW123" s="558">
        <v>0</v>
      </c>
      <c r="AX123" s="559"/>
      <c r="AY123" s="560"/>
      <c r="AZ123" s="585"/>
      <c r="BA123" s="586"/>
      <c r="BB123" s="587"/>
      <c r="BC123" s="558">
        <v>0</v>
      </c>
      <c r="BD123" s="559"/>
      <c r="BE123" s="560"/>
      <c r="BF123" s="558">
        <v>182.49</v>
      </c>
      <c r="BG123" s="559"/>
      <c r="BH123" s="560"/>
      <c r="BI123" s="564">
        <v>0</v>
      </c>
      <c r="BJ123" s="565"/>
      <c r="BK123" s="565"/>
      <c r="BL123" s="566"/>
      <c r="BM123" s="567" t="s">
        <v>932</v>
      </c>
      <c r="BN123" s="567"/>
      <c r="BO123" s="567"/>
      <c r="BP123" s="567"/>
      <c r="BQ123" s="568" t="s">
        <v>932</v>
      </c>
      <c r="BR123" s="568"/>
      <c r="BS123" s="568"/>
      <c r="BT123" s="567" t="s">
        <v>932</v>
      </c>
      <c r="BU123" s="567"/>
      <c r="BV123" s="567"/>
      <c r="BW123" s="567"/>
      <c r="BX123" s="568">
        <v>1</v>
      </c>
      <c r="BY123" s="568"/>
      <c r="BZ123" s="568"/>
      <c r="CA123" s="567" t="s">
        <v>932</v>
      </c>
      <c r="CB123" s="567"/>
      <c r="CC123" s="567"/>
      <c r="CD123" s="567"/>
      <c r="CE123" s="568" t="s">
        <v>932</v>
      </c>
      <c r="CF123" s="568"/>
      <c r="CG123" s="568"/>
      <c r="CH123" s="567" t="s">
        <v>932</v>
      </c>
      <c r="CI123" s="567"/>
      <c r="CJ123" s="567"/>
      <c r="CK123" s="567"/>
      <c r="CL123" s="568" t="s">
        <v>932</v>
      </c>
      <c r="CM123" s="568"/>
      <c r="CN123" s="568"/>
    </row>
    <row r="124" hidden="1" customHeight="1" spans="1:92">
      <c r="A124" s="569"/>
      <c r="B124" s="570"/>
      <c r="C124" s="571"/>
      <c r="D124" s="572"/>
      <c r="E124" s="573"/>
      <c r="F124" s="574"/>
      <c r="G124" s="575"/>
      <c r="H124" s="576"/>
      <c r="I124" s="577"/>
      <c r="J124" s="578"/>
      <c r="K124" s="578"/>
      <c r="L124" s="578"/>
      <c r="M124" s="578"/>
      <c r="N124" s="578"/>
      <c r="O124" s="578"/>
      <c r="P124" s="578"/>
      <c r="Q124" s="578"/>
      <c r="R124" s="578"/>
      <c r="S124" s="578"/>
      <c r="T124" s="578"/>
      <c r="U124" s="578"/>
      <c r="V124" s="578"/>
      <c r="W124" s="578"/>
      <c r="X124" s="578"/>
      <c r="Y124" s="578"/>
      <c r="Z124" s="578"/>
      <c r="AA124" s="579"/>
      <c r="AB124" s="580"/>
      <c r="AC124" s="581"/>
      <c r="AD124" s="582"/>
      <c r="AE124" s="583"/>
      <c r="AF124" s="584"/>
      <c r="AG124" s="553">
        <v>0</v>
      </c>
      <c r="AH124" s="554"/>
      <c r="AI124" s="555" t="e">
        <v>#N/A</v>
      </c>
      <c r="AJ124" s="556"/>
      <c r="AK124" s="556"/>
      <c r="AL124" s="556"/>
      <c r="AM124" s="556"/>
      <c r="AN124" s="556"/>
      <c r="AO124" s="556"/>
      <c r="AP124" s="556"/>
      <c r="AQ124" s="556"/>
      <c r="AR124" s="556"/>
      <c r="AS124" s="556"/>
      <c r="AT124" s="556"/>
      <c r="AU124" s="556"/>
      <c r="AV124" s="557"/>
      <c r="AW124" s="558">
        <v>0</v>
      </c>
      <c r="AX124" s="559"/>
      <c r="AY124" s="560"/>
      <c r="AZ124" s="585"/>
      <c r="BA124" s="586"/>
      <c r="BB124" s="587"/>
      <c r="BC124" s="558">
        <v>0</v>
      </c>
      <c r="BD124" s="559"/>
      <c r="BE124" s="560"/>
      <c r="BF124" s="558">
        <v>182.49</v>
      </c>
      <c r="BG124" s="559"/>
      <c r="BH124" s="560"/>
      <c r="BI124" s="564">
        <v>0</v>
      </c>
      <c r="BJ124" s="565"/>
      <c r="BK124" s="565"/>
      <c r="BL124" s="566"/>
      <c r="BM124" s="567" t="s">
        <v>932</v>
      </c>
      <c r="BN124" s="567"/>
      <c r="BO124" s="567"/>
      <c r="BP124" s="567"/>
      <c r="BQ124" s="568" t="s">
        <v>932</v>
      </c>
      <c r="BR124" s="568"/>
      <c r="BS124" s="568"/>
      <c r="BT124" s="567" t="s">
        <v>932</v>
      </c>
      <c r="BU124" s="567"/>
      <c r="BV124" s="567"/>
      <c r="BW124" s="567"/>
      <c r="BX124" s="568">
        <v>1</v>
      </c>
      <c r="BY124" s="568"/>
      <c r="BZ124" s="568"/>
      <c r="CA124" s="567" t="s">
        <v>932</v>
      </c>
      <c r="CB124" s="567"/>
      <c r="CC124" s="567"/>
      <c r="CD124" s="567"/>
      <c r="CE124" s="568" t="s">
        <v>932</v>
      </c>
      <c r="CF124" s="568"/>
      <c r="CG124" s="568"/>
      <c r="CH124" s="567" t="s">
        <v>932</v>
      </c>
      <c r="CI124" s="567"/>
      <c r="CJ124" s="567"/>
      <c r="CK124" s="567"/>
      <c r="CL124" s="568" t="s">
        <v>932</v>
      </c>
      <c r="CM124" s="568"/>
      <c r="CN124" s="568"/>
    </row>
    <row r="125" hidden="1" customHeight="1" spans="1:92">
      <c r="A125" s="569"/>
      <c r="B125" s="570"/>
      <c r="C125" s="571"/>
      <c r="D125" s="572"/>
      <c r="E125" s="573"/>
      <c r="F125" s="574"/>
      <c r="G125" s="575"/>
      <c r="H125" s="576"/>
      <c r="I125" s="577"/>
      <c r="J125" s="578"/>
      <c r="K125" s="578"/>
      <c r="L125" s="578"/>
      <c r="M125" s="578"/>
      <c r="N125" s="578"/>
      <c r="O125" s="578"/>
      <c r="P125" s="578"/>
      <c r="Q125" s="578"/>
      <c r="R125" s="578"/>
      <c r="S125" s="578"/>
      <c r="T125" s="578"/>
      <c r="U125" s="578"/>
      <c r="V125" s="578"/>
      <c r="W125" s="578"/>
      <c r="X125" s="578"/>
      <c r="Y125" s="578"/>
      <c r="Z125" s="578"/>
      <c r="AA125" s="579"/>
      <c r="AB125" s="580"/>
      <c r="AC125" s="581"/>
      <c r="AD125" s="582"/>
      <c r="AE125" s="583"/>
      <c r="AF125" s="584"/>
      <c r="AG125" s="553">
        <v>0</v>
      </c>
      <c r="AH125" s="554"/>
      <c r="AI125" s="555" t="e">
        <v>#N/A</v>
      </c>
      <c r="AJ125" s="556"/>
      <c r="AK125" s="556"/>
      <c r="AL125" s="556"/>
      <c r="AM125" s="556"/>
      <c r="AN125" s="556"/>
      <c r="AO125" s="556"/>
      <c r="AP125" s="556"/>
      <c r="AQ125" s="556"/>
      <c r="AR125" s="556"/>
      <c r="AS125" s="556"/>
      <c r="AT125" s="556"/>
      <c r="AU125" s="556"/>
      <c r="AV125" s="557"/>
      <c r="AW125" s="558">
        <v>0</v>
      </c>
      <c r="AX125" s="559"/>
      <c r="AY125" s="560"/>
      <c r="AZ125" s="585"/>
      <c r="BA125" s="586"/>
      <c r="BB125" s="587"/>
      <c r="BC125" s="558">
        <v>0</v>
      </c>
      <c r="BD125" s="559"/>
      <c r="BE125" s="560"/>
      <c r="BF125" s="558">
        <v>182.49</v>
      </c>
      <c r="BG125" s="559"/>
      <c r="BH125" s="560"/>
      <c r="BI125" s="564">
        <v>0</v>
      </c>
      <c r="BJ125" s="565"/>
      <c r="BK125" s="565"/>
      <c r="BL125" s="566"/>
      <c r="BM125" s="567" t="s">
        <v>932</v>
      </c>
      <c r="BN125" s="567"/>
      <c r="BO125" s="567"/>
      <c r="BP125" s="567"/>
      <c r="BQ125" s="568" t="s">
        <v>932</v>
      </c>
      <c r="BR125" s="568"/>
      <c r="BS125" s="568"/>
      <c r="BT125" s="567" t="s">
        <v>932</v>
      </c>
      <c r="BU125" s="567"/>
      <c r="BV125" s="567"/>
      <c r="BW125" s="567"/>
      <c r="BX125" s="568">
        <v>1</v>
      </c>
      <c r="BY125" s="568"/>
      <c r="BZ125" s="568"/>
      <c r="CA125" s="567" t="s">
        <v>932</v>
      </c>
      <c r="CB125" s="567"/>
      <c r="CC125" s="567"/>
      <c r="CD125" s="567"/>
      <c r="CE125" s="568" t="s">
        <v>932</v>
      </c>
      <c r="CF125" s="568"/>
      <c r="CG125" s="568"/>
      <c r="CH125" s="567" t="s">
        <v>932</v>
      </c>
      <c r="CI125" s="567"/>
      <c r="CJ125" s="567"/>
      <c r="CK125" s="567"/>
      <c r="CL125" s="568" t="s">
        <v>932</v>
      </c>
      <c r="CM125" s="568"/>
      <c r="CN125" s="568"/>
    </row>
    <row r="126" hidden="1" customHeight="1" spans="1:92">
      <c r="A126" s="569"/>
      <c r="B126" s="570"/>
      <c r="C126" s="571"/>
      <c r="D126" s="572"/>
      <c r="E126" s="573"/>
      <c r="F126" s="574"/>
      <c r="G126" s="575"/>
      <c r="H126" s="576"/>
      <c r="I126" s="577"/>
      <c r="J126" s="578"/>
      <c r="K126" s="578"/>
      <c r="L126" s="578"/>
      <c r="M126" s="578"/>
      <c r="N126" s="578"/>
      <c r="O126" s="578"/>
      <c r="P126" s="578"/>
      <c r="Q126" s="578"/>
      <c r="R126" s="578"/>
      <c r="S126" s="578"/>
      <c r="T126" s="578"/>
      <c r="U126" s="578"/>
      <c r="V126" s="578"/>
      <c r="W126" s="578"/>
      <c r="X126" s="578"/>
      <c r="Y126" s="578"/>
      <c r="Z126" s="578"/>
      <c r="AA126" s="579"/>
      <c r="AB126" s="580"/>
      <c r="AC126" s="581"/>
      <c r="AD126" s="582"/>
      <c r="AE126" s="583"/>
      <c r="AF126" s="584"/>
      <c r="AG126" s="553">
        <v>0</v>
      </c>
      <c r="AH126" s="554"/>
      <c r="AI126" s="555" t="e">
        <v>#N/A</v>
      </c>
      <c r="AJ126" s="556"/>
      <c r="AK126" s="556"/>
      <c r="AL126" s="556"/>
      <c r="AM126" s="556"/>
      <c r="AN126" s="556"/>
      <c r="AO126" s="556"/>
      <c r="AP126" s="556"/>
      <c r="AQ126" s="556"/>
      <c r="AR126" s="556"/>
      <c r="AS126" s="556"/>
      <c r="AT126" s="556"/>
      <c r="AU126" s="556"/>
      <c r="AV126" s="557"/>
      <c r="AW126" s="558">
        <v>0</v>
      </c>
      <c r="AX126" s="559"/>
      <c r="AY126" s="560"/>
      <c r="AZ126" s="585"/>
      <c r="BA126" s="586"/>
      <c r="BB126" s="587"/>
      <c r="BC126" s="558">
        <v>0</v>
      </c>
      <c r="BD126" s="559"/>
      <c r="BE126" s="560"/>
      <c r="BF126" s="558">
        <v>182.49</v>
      </c>
      <c r="BG126" s="559"/>
      <c r="BH126" s="560"/>
      <c r="BI126" s="564">
        <v>0</v>
      </c>
      <c r="BJ126" s="565"/>
      <c r="BK126" s="565"/>
      <c r="BL126" s="566"/>
      <c r="BM126" s="567" t="s">
        <v>932</v>
      </c>
      <c r="BN126" s="567"/>
      <c r="BO126" s="567"/>
      <c r="BP126" s="567"/>
      <c r="BQ126" s="568" t="s">
        <v>932</v>
      </c>
      <c r="BR126" s="568"/>
      <c r="BS126" s="568"/>
      <c r="BT126" s="567" t="s">
        <v>932</v>
      </c>
      <c r="BU126" s="567"/>
      <c r="BV126" s="567"/>
      <c r="BW126" s="567"/>
      <c r="BX126" s="568">
        <v>1</v>
      </c>
      <c r="BY126" s="568"/>
      <c r="BZ126" s="568"/>
      <c r="CA126" s="567" t="s">
        <v>932</v>
      </c>
      <c r="CB126" s="567"/>
      <c r="CC126" s="567"/>
      <c r="CD126" s="567"/>
      <c r="CE126" s="568" t="s">
        <v>932</v>
      </c>
      <c r="CF126" s="568"/>
      <c r="CG126" s="568"/>
      <c r="CH126" s="567" t="s">
        <v>932</v>
      </c>
      <c r="CI126" s="567"/>
      <c r="CJ126" s="567"/>
      <c r="CK126" s="567"/>
      <c r="CL126" s="568" t="s">
        <v>932</v>
      </c>
      <c r="CM126" s="568"/>
      <c r="CN126" s="568"/>
    </row>
    <row r="127" hidden="1" customHeight="1" spans="1:92">
      <c r="A127" s="588"/>
      <c r="B127" s="589"/>
      <c r="C127" s="590"/>
      <c r="D127" s="591"/>
      <c r="E127" s="592"/>
      <c r="F127" s="593"/>
      <c r="G127" s="594"/>
      <c r="H127" s="595"/>
      <c r="I127" s="596"/>
      <c r="J127" s="597"/>
      <c r="K127" s="597"/>
      <c r="L127" s="597"/>
      <c r="M127" s="597"/>
      <c r="N127" s="597"/>
      <c r="O127" s="597"/>
      <c r="P127" s="597"/>
      <c r="Q127" s="597"/>
      <c r="R127" s="597"/>
      <c r="S127" s="597"/>
      <c r="T127" s="597"/>
      <c r="U127" s="597"/>
      <c r="V127" s="597"/>
      <c r="W127" s="597"/>
      <c r="X127" s="597"/>
      <c r="Y127" s="597"/>
      <c r="Z127" s="597"/>
      <c r="AA127" s="598"/>
      <c r="AB127" s="599"/>
      <c r="AC127" s="600"/>
      <c r="AD127" s="601"/>
      <c r="AE127" s="602"/>
      <c r="AF127" s="603"/>
      <c r="AG127" s="553">
        <v>0</v>
      </c>
      <c r="AH127" s="554"/>
      <c r="AI127" s="555" t="e">
        <v>#N/A</v>
      </c>
      <c r="AJ127" s="556"/>
      <c r="AK127" s="556"/>
      <c r="AL127" s="556"/>
      <c r="AM127" s="556"/>
      <c r="AN127" s="556"/>
      <c r="AO127" s="556"/>
      <c r="AP127" s="556"/>
      <c r="AQ127" s="556"/>
      <c r="AR127" s="556"/>
      <c r="AS127" s="556"/>
      <c r="AT127" s="556"/>
      <c r="AU127" s="556"/>
      <c r="AV127" s="557"/>
      <c r="AW127" s="558">
        <v>0</v>
      </c>
      <c r="AX127" s="559"/>
      <c r="AY127" s="560"/>
      <c r="AZ127" s="604"/>
      <c r="BA127" s="605"/>
      <c r="BB127" s="606"/>
      <c r="BC127" s="558">
        <v>0</v>
      </c>
      <c r="BD127" s="559"/>
      <c r="BE127" s="560"/>
      <c r="BF127" s="558">
        <v>182.49</v>
      </c>
      <c r="BG127" s="559"/>
      <c r="BH127" s="560"/>
      <c r="BI127" s="564">
        <v>0</v>
      </c>
      <c r="BJ127" s="565"/>
      <c r="BK127" s="565"/>
      <c r="BL127" s="566"/>
      <c r="BM127" s="567" t="s">
        <v>932</v>
      </c>
      <c r="BN127" s="567"/>
      <c r="BO127" s="567"/>
      <c r="BP127" s="567"/>
      <c r="BQ127" s="568" t="s">
        <v>932</v>
      </c>
      <c r="BR127" s="568"/>
      <c r="BS127" s="568"/>
      <c r="BT127" s="567" t="s">
        <v>932</v>
      </c>
      <c r="BU127" s="567"/>
      <c r="BV127" s="567"/>
      <c r="BW127" s="567"/>
      <c r="BX127" s="568">
        <v>1</v>
      </c>
      <c r="BY127" s="568"/>
      <c r="BZ127" s="568"/>
      <c r="CA127" s="567" t="s">
        <v>932</v>
      </c>
      <c r="CB127" s="567"/>
      <c r="CC127" s="567"/>
      <c r="CD127" s="567"/>
      <c r="CE127" s="568" t="s">
        <v>932</v>
      </c>
      <c r="CF127" s="568"/>
      <c r="CG127" s="568"/>
      <c r="CH127" s="567" t="s">
        <v>932</v>
      </c>
      <c r="CI127" s="567"/>
      <c r="CJ127" s="567"/>
      <c r="CK127" s="567"/>
      <c r="CL127" s="568" t="s">
        <v>932</v>
      </c>
      <c r="CM127" s="568"/>
      <c r="CN127" s="568"/>
    </row>
    <row r="128" customHeight="1" spans="1:92">
      <c r="A128" s="540" t="s">
        <v>956</v>
      </c>
      <c r="B128" s="541"/>
      <c r="C128" s="89"/>
      <c r="D128" s="91"/>
      <c r="E128" s="90"/>
      <c r="F128" s="542">
        <v>4815671</v>
      </c>
      <c r="G128" s="543"/>
      <c r="H128" s="544"/>
      <c r="I128" s="545" t="s">
        <v>112</v>
      </c>
      <c r="J128" s="546"/>
      <c r="K128" s="546"/>
      <c r="L128" s="546"/>
      <c r="M128" s="546"/>
      <c r="N128" s="546"/>
      <c r="O128" s="546"/>
      <c r="P128" s="546"/>
      <c r="Q128" s="546"/>
      <c r="R128" s="546"/>
      <c r="S128" s="546"/>
      <c r="T128" s="546"/>
      <c r="U128" s="546"/>
      <c r="V128" s="546"/>
      <c r="W128" s="546"/>
      <c r="X128" s="546"/>
      <c r="Y128" s="546"/>
      <c r="Z128" s="546"/>
      <c r="AA128" s="547"/>
      <c r="AB128" s="548" t="s">
        <v>99</v>
      </c>
      <c r="AC128" s="549"/>
      <c r="AD128" s="550">
        <v>52.12</v>
      </c>
      <c r="AE128" s="551"/>
      <c r="AF128" s="552"/>
      <c r="AG128" s="553" t="s">
        <v>1078</v>
      </c>
      <c r="AH128" s="554"/>
      <c r="AI128" s="555" t="s">
        <v>1079</v>
      </c>
      <c r="AJ128" s="556"/>
      <c r="AK128" s="556"/>
      <c r="AL128" s="556"/>
      <c r="AM128" s="556"/>
      <c r="AN128" s="556"/>
      <c r="AO128" s="556"/>
      <c r="AP128" s="556"/>
      <c r="AQ128" s="556"/>
      <c r="AR128" s="556"/>
      <c r="AS128" s="556"/>
      <c r="AT128" s="556"/>
      <c r="AU128" s="556"/>
      <c r="AV128" s="557"/>
      <c r="AW128" s="558">
        <v>1</v>
      </c>
      <c r="AX128" s="559"/>
      <c r="AY128" s="560"/>
      <c r="AZ128" s="561">
        <v>3.1125</v>
      </c>
      <c r="BA128" s="562"/>
      <c r="BB128" s="563"/>
      <c r="BC128" s="558">
        <v>16.7453815261044</v>
      </c>
      <c r="BD128" s="559"/>
      <c r="BE128" s="560"/>
      <c r="BF128" s="558">
        <v>182.49</v>
      </c>
      <c r="BG128" s="559"/>
      <c r="BH128" s="560"/>
      <c r="BI128" s="564">
        <v>0.0917605431865002</v>
      </c>
      <c r="BJ128" s="565"/>
      <c r="BK128" s="565"/>
      <c r="BL128" s="566"/>
      <c r="BM128" s="567" t="s">
        <v>932</v>
      </c>
      <c r="BN128" s="567"/>
      <c r="BO128" s="567"/>
      <c r="BP128" s="567"/>
      <c r="BQ128" s="568" t="s">
        <v>932</v>
      </c>
      <c r="BR128" s="568"/>
      <c r="BS128" s="568"/>
      <c r="BT128" s="567">
        <v>0.0917605431865002</v>
      </c>
      <c r="BU128" s="567"/>
      <c r="BV128" s="567"/>
      <c r="BW128" s="567"/>
      <c r="BX128" s="568">
        <v>1</v>
      </c>
      <c r="BY128" s="568"/>
      <c r="BZ128" s="568"/>
      <c r="CA128" s="567" t="s">
        <v>932</v>
      </c>
      <c r="CB128" s="567"/>
      <c r="CC128" s="567"/>
      <c r="CD128" s="567"/>
      <c r="CE128" s="568" t="s">
        <v>932</v>
      </c>
      <c r="CF128" s="568"/>
      <c r="CG128" s="568"/>
      <c r="CH128" s="567" t="s">
        <v>932</v>
      </c>
      <c r="CI128" s="567"/>
      <c r="CJ128" s="567"/>
      <c r="CK128" s="567"/>
      <c r="CL128" s="568" t="s">
        <v>932</v>
      </c>
      <c r="CM128" s="568"/>
      <c r="CN128" s="568"/>
    </row>
    <row r="129" hidden="1" customHeight="1" spans="1:92">
      <c r="A129" s="569"/>
      <c r="B129" s="570"/>
      <c r="C129" s="571"/>
      <c r="D129" s="572"/>
      <c r="E129" s="573"/>
      <c r="F129" s="574"/>
      <c r="G129" s="575"/>
      <c r="H129" s="576"/>
      <c r="I129" s="577"/>
      <c r="J129" s="578"/>
      <c r="K129" s="578"/>
      <c r="L129" s="578"/>
      <c r="M129" s="578"/>
      <c r="N129" s="578"/>
      <c r="O129" s="578"/>
      <c r="P129" s="578"/>
      <c r="Q129" s="578"/>
      <c r="R129" s="578"/>
      <c r="S129" s="578"/>
      <c r="T129" s="578"/>
      <c r="U129" s="578"/>
      <c r="V129" s="578"/>
      <c r="W129" s="578"/>
      <c r="X129" s="578"/>
      <c r="Y129" s="578"/>
      <c r="Z129" s="578"/>
      <c r="AA129" s="579"/>
      <c r="AB129" s="580"/>
      <c r="AC129" s="581"/>
      <c r="AD129" s="582"/>
      <c r="AE129" s="583"/>
      <c r="AF129" s="584"/>
      <c r="AG129" s="553">
        <v>0</v>
      </c>
      <c r="AH129" s="554"/>
      <c r="AI129" s="555" t="e">
        <v>#N/A</v>
      </c>
      <c r="AJ129" s="556"/>
      <c r="AK129" s="556"/>
      <c r="AL129" s="556"/>
      <c r="AM129" s="556"/>
      <c r="AN129" s="556"/>
      <c r="AO129" s="556"/>
      <c r="AP129" s="556"/>
      <c r="AQ129" s="556"/>
      <c r="AR129" s="556"/>
      <c r="AS129" s="556"/>
      <c r="AT129" s="556"/>
      <c r="AU129" s="556"/>
      <c r="AV129" s="557"/>
      <c r="AW129" s="558">
        <v>0</v>
      </c>
      <c r="AX129" s="559"/>
      <c r="AY129" s="560"/>
      <c r="AZ129" s="585"/>
      <c r="BA129" s="586"/>
      <c r="BB129" s="587"/>
      <c r="BC129" s="558">
        <v>0</v>
      </c>
      <c r="BD129" s="559"/>
      <c r="BE129" s="560"/>
      <c r="BF129" s="558">
        <v>182.49</v>
      </c>
      <c r="BG129" s="559"/>
      <c r="BH129" s="560"/>
      <c r="BI129" s="564">
        <v>0</v>
      </c>
      <c r="BJ129" s="565"/>
      <c r="BK129" s="565"/>
      <c r="BL129" s="566"/>
      <c r="BM129" s="567" t="s">
        <v>932</v>
      </c>
      <c r="BN129" s="567"/>
      <c r="BO129" s="567"/>
      <c r="BP129" s="567"/>
      <c r="BQ129" s="568" t="s">
        <v>932</v>
      </c>
      <c r="BR129" s="568"/>
      <c r="BS129" s="568"/>
      <c r="BT129" s="567" t="s">
        <v>932</v>
      </c>
      <c r="BU129" s="567"/>
      <c r="BV129" s="567"/>
      <c r="BW129" s="567"/>
      <c r="BX129" s="568">
        <v>1</v>
      </c>
      <c r="BY129" s="568"/>
      <c r="BZ129" s="568"/>
      <c r="CA129" s="567" t="s">
        <v>932</v>
      </c>
      <c r="CB129" s="567"/>
      <c r="CC129" s="567"/>
      <c r="CD129" s="567"/>
      <c r="CE129" s="568" t="s">
        <v>932</v>
      </c>
      <c r="CF129" s="568"/>
      <c r="CG129" s="568"/>
      <c r="CH129" s="567" t="s">
        <v>932</v>
      </c>
      <c r="CI129" s="567"/>
      <c r="CJ129" s="567"/>
      <c r="CK129" s="567"/>
      <c r="CL129" s="568" t="s">
        <v>932</v>
      </c>
      <c r="CM129" s="568"/>
      <c r="CN129" s="568"/>
    </row>
    <row r="130" hidden="1" customHeight="1" spans="1:92">
      <c r="A130" s="569"/>
      <c r="B130" s="570"/>
      <c r="C130" s="571"/>
      <c r="D130" s="572"/>
      <c r="E130" s="573"/>
      <c r="F130" s="574"/>
      <c r="G130" s="575"/>
      <c r="H130" s="576"/>
      <c r="I130" s="577"/>
      <c r="J130" s="578"/>
      <c r="K130" s="578"/>
      <c r="L130" s="578"/>
      <c r="M130" s="578"/>
      <c r="N130" s="578"/>
      <c r="O130" s="578"/>
      <c r="P130" s="578"/>
      <c r="Q130" s="578"/>
      <c r="R130" s="578"/>
      <c r="S130" s="578"/>
      <c r="T130" s="578"/>
      <c r="U130" s="578"/>
      <c r="V130" s="578"/>
      <c r="W130" s="578"/>
      <c r="X130" s="578"/>
      <c r="Y130" s="578"/>
      <c r="Z130" s="578"/>
      <c r="AA130" s="579"/>
      <c r="AB130" s="580"/>
      <c r="AC130" s="581"/>
      <c r="AD130" s="582"/>
      <c r="AE130" s="583"/>
      <c r="AF130" s="584"/>
      <c r="AG130" s="553">
        <v>0</v>
      </c>
      <c r="AH130" s="554"/>
      <c r="AI130" s="555" t="e">
        <v>#N/A</v>
      </c>
      <c r="AJ130" s="556"/>
      <c r="AK130" s="556"/>
      <c r="AL130" s="556"/>
      <c r="AM130" s="556"/>
      <c r="AN130" s="556"/>
      <c r="AO130" s="556"/>
      <c r="AP130" s="556"/>
      <c r="AQ130" s="556"/>
      <c r="AR130" s="556"/>
      <c r="AS130" s="556"/>
      <c r="AT130" s="556"/>
      <c r="AU130" s="556"/>
      <c r="AV130" s="557"/>
      <c r="AW130" s="558">
        <v>0</v>
      </c>
      <c r="AX130" s="559"/>
      <c r="AY130" s="560"/>
      <c r="AZ130" s="585"/>
      <c r="BA130" s="586"/>
      <c r="BB130" s="587"/>
      <c r="BC130" s="558">
        <v>0</v>
      </c>
      <c r="BD130" s="559"/>
      <c r="BE130" s="560"/>
      <c r="BF130" s="558">
        <v>182.49</v>
      </c>
      <c r="BG130" s="559"/>
      <c r="BH130" s="560"/>
      <c r="BI130" s="564">
        <v>0</v>
      </c>
      <c r="BJ130" s="565"/>
      <c r="BK130" s="565"/>
      <c r="BL130" s="566"/>
      <c r="BM130" s="567" t="s">
        <v>932</v>
      </c>
      <c r="BN130" s="567"/>
      <c r="BO130" s="567"/>
      <c r="BP130" s="567"/>
      <c r="BQ130" s="568" t="s">
        <v>932</v>
      </c>
      <c r="BR130" s="568"/>
      <c r="BS130" s="568"/>
      <c r="BT130" s="567" t="s">
        <v>932</v>
      </c>
      <c r="BU130" s="567"/>
      <c r="BV130" s="567"/>
      <c r="BW130" s="567"/>
      <c r="BX130" s="568">
        <v>1</v>
      </c>
      <c r="BY130" s="568"/>
      <c r="BZ130" s="568"/>
      <c r="CA130" s="567" t="s">
        <v>932</v>
      </c>
      <c r="CB130" s="567"/>
      <c r="CC130" s="567"/>
      <c r="CD130" s="567"/>
      <c r="CE130" s="568" t="s">
        <v>932</v>
      </c>
      <c r="CF130" s="568"/>
      <c r="CG130" s="568"/>
      <c r="CH130" s="567" t="s">
        <v>932</v>
      </c>
      <c r="CI130" s="567"/>
      <c r="CJ130" s="567"/>
      <c r="CK130" s="567"/>
      <c r="CL130" s="568" t="s">
        <v>932</v>
      </c>
      <c r="CM130" s="568"/>
      <c r="CN130" s="568"/>
    </row>
    <row r="131" hidden="1" customHeight="1" spans="1:92">
      <c r="A131" s="569"/>
      <c r="B131" s="570"/>
      <c r="C131" s="571"/>
      <c r="D131" s="572"/>
      <c r="E131" s="573"/>
      <c r="F131" s="574"/>
      <c r="G131" s="575"/>
      <c r="H131" s="576"/>
      <c r="I131" s="577"/>
      <c r="J131" s="578"/>
      <c r="K131" s="578"/>
      <c r="L131" s="578"/>
      <c r="M131" s="578"/>
      <c r="N131" s="578"/>
      <c r="O131" s="578"/>
      <c r="P131" s="578"/>
      <c r="Q131" s="578"/>
      <c r="R131" s="578"/>
      <c r="S131" s="578"/>
      <c r="T131" s="578"/>
      <c r="U131" s="578"/>
      <c r="V131" s="578"/>
      <c r="W131" s="578"/>
      <c r="X131" s="578"/>
      <c r="Y131" s="578"/>
      <c r="Z131" s="578"/>
      <c r="AA131" s="579"/>
      <c r="AB131" s="580"/>
      <c r="AC131" s="581"/>
      <c r="AD131" s="582"/>
      <c r="AE131" s="583"/>
      <c r="AF131" s="584"/>
      <c r="AG131" s="553">
        <v>0</v>
      </c>
      <c r="AH131" s="554"/>
      <c r="AI131" s="555" t="e">
        <v>#N/A</v>
      </c>
      <c r="AJ131" s="556"/>
      <c r="AK131" s="556"/>
      <c r="AL131" s="556"/>
      <c r="AM131" s="556"/>
      <c r="AN131" s="556"/>
      <c r="AO131" s="556"/>
      <c r="AP131" s="556"/>
      <c r="AQ131" s="556"/>
      <c r="AR131" s="556"/>
      <c r="AS131" s="556"/>
      <c r="AT131" s="556"/>
      <c r="AU131" s="556"/>
      <c r="AV131" s="557"/>
      <c r="AW131" s="558">
        <v>0</v>
      </c>
      <c r="AX131" s="559"/>
      <c r="AY131" s="560"/>
      <c r="AZ131" s="585"/>
      <c r="BA131" s="586"/>
      <c r="BB131" s="587"/>
      <c r="BC131" s="558">
        <v>0</v>
      </c>
      <c r="BD131" s="559"/>
      <c r="BE131" s="560"/>
      <c r="BF131" s="558">
        <v>182.49</v>
      </c>
      <c r="BG131" s="559"/>
      <c r="BH131" s="560"/>
      <c r="BI131" s="564">
        <v>0</v>
      </c>
      <c r="BJ131" s="565"/>
      <c r="BK131" s="565"/>
      <c r="BL131" s="566"/>
      <c r="BM131" s="567" t="s">
        <v>932</v>
      </c>
      <c r="BN131" s="567"/>
      <c r="BO131" s="567"/>
      <c r="BP131" s="567"/>
      <c r="BQ131" s="568" t="s">
        <v>932</v>
      </c>
      <c r="BR131" s="568"/>
      <c r="BS131" s="568"/>
      <c r="BT131" s="567" t="s">
        <v>932</v>
      </c>
      <c r="BU131" s="567"/>
      <c r="BV131" s="567"/>
      <c r="BW131" s="567"/>
      <c r="BX131" s="568">
        <v>1</v>
      </c>
      <c r="BY131" s="568"/>
      <c r="BZ131" s="568"/>
      <c r="CA131" s="567" t="s">
        <v>932</v>
      </c>
      <c r="CB131" s="567"/>
      <c r="CC131" s="567"/>
      <c r="CD131" s="567"/>
      <c r="CE131" s="568" t="s">
        <v>932</v>
      </c>
      <c r="CF131" s="568"/>
      <c r="CG131" s="568"/>
      <c r="CH131" s="567" t="s">
        <v>932</v>
      </c>
      <c r="CI131" s="567"/>
      <c r="CJ131" s="567"/>
      <c r="CK131" s="567"/>
      <c r="CL131" s="568" t="s">
        <v>932</v>
      </c>
      <c r="CM131" s="568"/>
      <c r="CN131" s="568"/>
    </row>
    <row r="132" hidden="1" customHeight="1" spans="1:92">
      <c r="A132" s="569"/>
      <c r="B132" s="570"/>
      <c r="C132" s="571"/>
      <c r="D132" s="572"/>
      <c r="E132" s="573"/>
      <c r="F132" s="574"/>
      <c r="G132" s="575"/>
      <c r="H132" s="576"/>
      <c r="I132" s="577"/>
      <c r="J132" s="578"/>
      <c r="K132" s="578"/>
      <c r="L132" s="578"/>
      <c r="M132" s="578"/>
      <c r="N132" s="578"/>
      <c r="O132" s="578"/>
      <c r="P132" s="578"/>
      <c r="Q132" s="578"/>
      <c r="R132" s="578"/>
      <c r="S132" s="578"/>
      <c r="T132" s="578"/>
      <c r="U132" s="578"/>
      <c r="V132" s="578"/>
      <c r="W132" s="578"/>
      <c r="X132" s="578"/>
      <c r="Y132" s="578"/>
      <c r="Z132" s="578"/>
      <c r="AA132" s="579"/>
      <c r="AB132" s="580"/>
      <c r="AC132" s="581"/>
      <c r="AD132" s="582"/>
      <c r="AE132" s="583"/>
      <c r="AF132" s="584"/>
      <c r="AG132" s="553">
        <v>0</v>
      </c>
      <c r="AH132" s="554"/>
      <c r="AI132" s="555" t="e">
        <v>#N/A</v>
      </c>
      <c r="AJ132" s="556"/>
      <c r="AK132" s="556"/>
      <c r="AL132" s="556"/>
      <c r="AM132" s="556"/>
      <c r="AN132" s="556"/>
      <c r="AO132" s="556"/>
      <c r="AP132" s="556"/>
      <c r="AQ132" s="556"/>
      <c r="AR132" s="556"/>
      <c r="AS132" s="556"/>
      <c r="AT132" s="556"/>
      <c r="AU132" s="556"/>
      <c r="AV132" s="557"/>
      <c r="AW132" s="558">
        <v>0</v>
      </c>
      <c r="AX132" s="559"/>
      <c r="AY132" s="560"/>
      <c r="AZ132" s="585"/>
      <c r="BA132" s="586"/>
      <c r="BB132" s="587"/>
      <c r="BC132" s="558">
        <v>0</v>
      </c>
      <c r="BD132" s="559"/>
      <c r="BE132" s="560"/>
      <c r="BF132" s="558">
        <v>182.49</v>
      </c>
      <c r="BG132" s="559"/>
      <c r="BH132" s="560"/>
      <c r="BI132" s="564">
        <v>0</v>
      </c>
      <c r="BJ132" s="565"/>
      <c r="BK132" s="565"/>
      <c r="BL132" s="566"/>
      <c r="BM132" s="567" t="s">
        <v>932</v>
      </c>
      <c r="BN132" s="567"/>
      <c r="BO132" s="567"/>
      <c r="BP132" s="567"/>
      <c r="BQ132" s="568" t="s">
        <v>932</v>
      </c>
      <c r="BR132" s="568"/>
      <c r="BS132" s="568"/>
      <c r="BT132" s="567" t="s">
        <v>932</v>
      </c>
      <c r="BU132" s="567"/>
      <c r="BV132" s="567"/>
      <c r="BW132" s="567"/>
      <c r="BX132" s="568">
        <v>1</v>
      </c>
      <c r="BY132" s="568"/>
      <c r="BZ132" s="568"/>
      <c r="CA132" s="567" t="s">
        <v>932</v>
      </c>
      <c r="CB132" s="567"/>
      <c r="CC132" s="567"/>
      <c r="CD132" s="567"/>
      <c r="CE132" s="568" t="s">
        <v>932</v>
      </c>
      <c r="CF132" s="568"/>
      <c r="CG132" s="568"/>
      <c r="CH132" s="567" t="s">
        <v>932</v>
      </c>
      <c r="CI132" s="567"/>
      <c r="CJ132" s="567"/>
      <c r="CK132" s="567"/>
      <c r="CL132" s="568" t="s">
        <v>932</v>
      </c>
      <c r="CM132" s="568"/>
      <c r="CN132" s="568"/>
    </row>
    <row r="133" hidden="1" customHeight="1" spans="1:92">
      <c r="A133" s="569"/>
      <c r="B133" s="570"/>
      <c r="C133" s="571"/>
      <c r="D133" s="572"/>
      <c r="E133" s="573"/>
      <c r="F133" s="574"/>
      <c r="G133" s="575"/>
      <c r="H133" s="576"/>
      <c r="I133" s="577"/>
      <c r="J133" s="578"/>
      <c r="K133" s="578"/>
      <c r="L133" s="578"/>
      <c r="M133" s="578"/>
      <c r="N133" s="578"/>
      <c r="O133" s="578"/>
      <c r="P133" s="578"/>
      <c r="Q133" s="578"/>
      <c r="R133" s="578"/>
      <c r="S133" s="578"/>
      <c r="T133" s="578"/>
      <c r="U133" s="578"/>
      <c r="V133" s="578"/>
      <c r="W133" s="578"/>
      <c r="X133" s="578"/>
      <c r="Y133" s="578"/>
      <c r="Z133" s="578"/>
      <c r="AA133" s="579"/>
      <c r="AB133" s="580"/>
      <c r="AC133" s="581"/>
      <c r="AD133" s="582"/>
      <c r="AE133" s="583"/>
      <c r="AF133" s="584"/>
      <c r="AG133" s="553">
        <v>0</v>
      </c>
      <c r="AH133" s="554"/>
      <c r="AI133" s="555" t="e">
        <v>#N/A</v>
      </c>
      <c r="AJ133" s="556"/>
      <c r="AK133" s="556"/>
      <c r="AL133" s="556"/>
      <c r="AM133" s="556"/>
      <c r="AN133" s="556"/>
      <c r="AO133" s="556"/>
      <c r="AP133" s="556"/>
      <c r="AQ133" s="556"/>
      <c r="AR133" s="556"/>
      <c r="AS133" s="556"/>
      <c r="AT133" s="556"/>
      <c r="AU133" s="556"/>
      <c r="AV133" s="557"/>
      <c r="AW133" s="558">
        <v>0</v>
      </c>
      <c r="AX133" s="559"/>
      <c r="AY133" s="560"/>
      <c r="AZ133" s="585"/>
      <c r="BA133" s="586"/>
      <c r="BB133" s="587"/>
      <c r="BC133" s="558">
        <v>0</v>
      </c>
      <c r="BD133" s="559"/>
      <c r="BE133" s="560"/>
      <c r="BF133" s="558">
        <v>182.49</v>
      </c>
      <c r="BG133" s="559"/>
      <c r="BH133" s="560"/>
      <c r="BI133" s="564">
        <v>0</v>
      </c>
      <c r="BJ133" s="565"/>
      <c r="BK133" s="565"/>
      <c r="BL133" s="566"/>
      <c r="BM133" s="567" t="s">
        <v>932</v>
      </c>
      <c r="BN133" s="567"/>
      <c r="BO133" s="567"/>
      <c r="BP133" s="567"/>
      <c r="BQ133" s="568" t="s">
        <v>932</v>
      </c>
      <c r="BR133" s="568"/>
      <c r="BS133" s="568"/>
      <c r="BT133" s="567" t="s">
        <v>932</v>
      </c>
      <c r="BU133" s="567"/>
      <c r="BV133" s="567"/>
      <c r="BW133" s="567"/>
      <c r="BX133" s="568">
        <v>1</v>
      </c>
      <c r="BY133" s="568"/>
      <c r="BZ133" s="568"/>
      <c r="CA133" s="567" t="s">
        <v>932</v>
      </c>
      <c r="CB133" s="567"/>
      <c r="CC133" s="567"/>
      <c r="CD133" s="567"/>
      <c r="CE133" s="568" t="s">
        <v>932</v>
      </c>
      <c r="CF133" s="568"/>
      <c r="CG133" s="568"/>
      <c r="CH133" s="567" t="s">
        <v>932</v>
      </c>
      <c r="CI133" s="567"/>
      <c r="CJ133" s="567"/>
      <c r="CK133" s="567"/>
      <c r="CL133" s="568" t="s">
        <v>932</v>
      </c>
      <c r="CM133" s="568"/>
      <c r="CN133" s="568"/>
    </row>
    <row r="134" hidden="1" customHeight="1" spans="1:92">
      <c r="A134" s="569"/>
      <c r="B134" s="570"/>
      <c r="C134" s="571"/>
      <c r="D134" s="572"/>
      <c r="E134" s="573"/>
      <c r="F134" s="574"/>
      <c r="G134" s="575"/>
      <c r="H134" s="576"/>
      <c r="I134" s="577"/>
      <c r="J134" s="578"/>
      <c r="K134" s="578"/>
      <c r="L134" s="578"/>
      <c r="M134" s="578"/>
      <c r="N134" s="578"/>
      <c r="O134" s="578"/>
      <c r="P134" s="578"/>
      <c r="Q134" s="578"/>
      <c r="R134" s="578"/>
      <c r="S134" s="578"/>
      <c r="T134" s="578"/>
      <c r="U134" s="578"/>
      <c r="V134" s="578"/>
      <c r="W134" s="578"/>
      <c r="X134" s="578"/>
      <c r="Y134" s="578"/>
      <c r="Z134" s="578"/>
      <c r="AA134" s="579"/>
      <c r="AB134" s="580"/>
      <c r="AC134" s="581"/>
      <c r="AD134" s="582"/>
      <c r="AE134" s="583"/>
      <c r="AF134" s="584"/>
      <c r="AG134" s="553">
        <v>0</v>
      </c>
      <c r="AH134" s="554"/>
      <c r="AI134" s="555" t="e">
        <v>#N/A</v>
      </c>
      <c r="AJ134" s="556"/>
      <c r="AK134" s="556"/>
      <c r="AL134" s="556"/>
      <c r="AM134" s="556"/>
      <c r="AN134" s="556"/>
      <c r="AO134" s="556"/>
      <c r="AP134" s="556"/>
      <c r="AQ134" s="556"/>
      <c r="AR134" s="556"/>
      <c r="AS134" s="556"/>
      <c r="AT134" s="556"/>
      <c r="AU134" s="556"/>
      <c r="AV134" s="557"/>
      <c r="AW134" s="558">
        <v>0</v>
      </c>
      <c r="AX134" s="559"/>
      <c r="AY134" s="560"/>
      <c r="AZ134" s="585"/>
      <c r="BA134" s="586"/>
      <c r="BB134" s="587"/>
      <c r="BC134" s="558">
        <v>0</v>
      </c>
      <c r="BD134" s="559"/>
      <c r="BE134" s="560"/>
      <c r="BF134" s="558">
        <v>182.49</v>
      </c>
      <c r="BG134" s="559"/>
      <c r="BH134" s="560"/>
      <c r="BI134" s="564">
        <v>0</v>
      </c>
      <c r="BJ134" s="565"/>
      <c r="BK134" s="565"/>
      <c r="BL134" s="566"/>
      <c r="BM134" s="567" t="s">
        <v>932</v>
      </c>
      <c r="BN134" s="567"/>
      <c r="BO134" s="567"/>
      <c r="BP134" s="567"/>
      <c r="BQ134" s="568" t="s">
        <v>932</v>
      </c>
      <c r="BR134" s="568"/>
      <c r="BS134" s="568"/>
      <c r="BT134" s="567" t="s">
        <v>932</v>
      </c>
      <c r="BU134" s="567"/>
      <c r="BV134" s="567"/>
      <c r="BW134" s="567"/>
      <c r="BX134" s="568">
        <v>1</v>
      </c>
      <c r="BY134" s="568"/>
      <c r="BZ134" s="568"/>
      <c r="CA134" s="567" t="s">
        <v>932</v>
      </c>
      <c r="CB134" s="567"/>
      <c r="CC134" s="567"/>
      <c r="CD134" s="567"/>
      <c r="CE134" s="568" t="s">
        <v>932</v>
      </c>
      <c r="CF134" s="568"/>
      <c r="CG134" s="568"/>
      <c r="CH134" s="567" t="s">
        <v>932</v>
      </c>
      <c r="CI134" s="567"/>
      <c r="CJ134" s="567"/>
      <c r="CK134" s="567"/>
      <c r="CL134" s="568" t="s">
        <v>932</v>
      </c>
      <c r="CM134" s="568"/>
      <c r="CN134" s="568"/>
    </row>
    <row r="135" hidden="1" customHeight="1" spans="1:92">
      <c r="A135" s="588"/>
      <c r="B135" s="589"/>
      <c r="C135" s="590"/>
      <c r="D135" s="591"/>
      <c r="E135" s="592"/>
      <c r="F135" s="593"/>
      <c r="G135" s="594"/>
      <c r="H135" s="595"/>
      <c r="I135" s="596"/>
      <c r="J135" s="597"/>
      <c r="K135" s="597"/>
      <c r="L135" s="597"/>
      <c r="M135" s="597"/>
      <c r="N135" s="597"/>
      <c r="O135" s="597"/>
      <c r="P135" s="597"/>
      <c r="Q135" s="597"/>
      <c r="R135" s="597"/>
      <c r="S135" s="597"/>
      <c r="T135" s="597"/>
      <c r="U135" s="597"/>
      <c r="V135" s="597"/>
      <c r="W135" s="597"/>
      <c r="X135" s="597"/>
      <c r="Y135" s="597"/>
      <c r="Z135" s="597"/>
      <c r="AA135" s="598"/>
      <c r="AB135" s="599"/>
      <c r="AC135" s="600"/>
      <c r="AD135" s="601"/>
      <c r="AE135" s="602"/>
      <c r="AF135" s="603"/>
      <c r="AG135" s="553">
        <v>0</v>
      </c>
      <c r="AH135" s="554"/>
      <c r="AI135" s="555" t="e">
        <v>#N/A</v>
      </c>
      <c r="AJ135" s="556"/>
      <c r="AK135" s="556"/>
      <c r="AL135" s="556"/>
      <c r="AM135" s="556"/>
      <c r="AN135" s="556"/>
      <c r="AO135" s="556"/>
      <c r="AP135" s="556"/>
      <c r="AQ135" s="556"/>
      <c r="AR135" s="556"/>
      <c r="AS135" s="556"/>
      <c r="AT135" s="556"/>
      <c r="AU135" s="556"/>
      <c r="AV135" s="557"/>
      <c r="AW135" s="558">
        <v>0</v>
      </c>
      <c r="AX135" s="559"/>
      <c r="AY135" s="560"/>
      <c r="AZ135" s="604"/>
      <c r="BA135" s="605"/>
      <c r="BB135" s="606"/>
      <c r="BC135" s="558">
        <v>0</v>
      </c>
      <c r="BD135" s="559"/>
      <c r="BE135" s="560"/>
      <c r="BF135" s="558">
        <v>182.49</v>
      </c>
      <c r="BG135" s="559"/>
      <c r="BH135" s="560"/>
      <c r="BI135" s="564">
        <v>0</v>
      </c>
      <c r="BJ135" s="565"/>
      <c r="BK135" s="565"/>
      <c r="BL135" s="566"/>
      <c r="BM135" s="567" t="s">
        <v>932</v>
      </c>
      <c r="BN135" s="567"/>
      <c r="BO135" s="567"/>
      <c r="BP135" s="567"/>
      <c r="BQ135" s="568" t="s">
        <v>932</v>
      </c>
      <c r="BR135" s="568"/>
      <c r="BS135" s="568"/>
      <c r="BT135" s="567" t="s">
        <v>932</v>
      </c>
      <c r="BU135" s="567"/>
      <c r="BV135" s="567"/>
      <c r="BW135" s="567"/>
      <c r="BX135" s="568">
        <v>1</v>
      </c>
      <c r="BY135" s="568"/>
      <c r="BZ135" s="568"/>
      <c r="CA135" s="567" t="s">
        <v>932</v>
      </c>
      <c r="CB135" s="567"/>
      <c r="CC135" s="567"/>
      <c r="CD135" s="567"/>
      <c r="CE135" s="568" t="s">
        <v>932</v>
      </c>
      <c r="CF135" s="568"/>
      <c r="CG135" s="568"/>
      <c r="CH135" s="567" t="s">
        <v>932</v>
      </c>
      <c r="CI135" s="567"/>
      <c r="CJ135" s="567"/>
      <c r="CK135" s="567"/>
      <c r="CL135" s="568" t="s">
        <v>932</v>
      </c>
      <c r="CM135" s="568"/>
      <c r="CN135" s="568"/>
    </row>
    <row r="136" hidden="1" customHeight="1" spans="1:92">
      <c r="A136" s="540" t="s">
        <v>957</v>
      </c>
      <c r="B136" s="541"/>
      <c r="C136" s="89"/>
      <c r="D136" s="91"/>
      <c r="E136" s="90"/>
      <c r="F136" s="542">
        <v>1505860</v>
      </c>
      <c r="G136" s="543"/>
      <c r="H136" s="544"/>
      <c r="I136" s="545" t="s">
        <v>113</v>
      </c>
      <c r="J136" s="546"/>
      <c r="K136" s="546"/>
      <c r="L136" s="546"/>
      <c r="M136" s="546"/>
      <c r="N136" s="546"/>
      <c r="O136" s="546"/>
      <c r="P136" s="546"/>
      <c r="Q136" s="546"/>
      <c r="R136" s="546"/>
      <c r="S136" s="546"/>
      <c r="T136" s="546"/>
      <c r="U136" s="546"/>
      <c r="V136" s="546"/>
      <c r="W136" s="546"/>
      <c r="X136" s="546"/>
      <c r="Y136" s="546"/>
      <c r="Z136" s="546"/>
      <c r="AA136" s="547"/>
      <c r="AB136" s="548" t="s">
        <v>99</v>
      </c>
      <c r="AC136" s="549"/>
      <c r="AD136" s="550">
        <v>3.16</v>
      </c>
      <c r="AE136" s="551"/>
      <c r="AF136" s="552"/>
      <c r="AG136" s="553">
        <v>0</v>
      </c>
      <c r="AH136" s="554"/>
      <c r="AI136" s="555" t="e">
        <v>#N/A</v>
      </c>
      <c r="AJ136" s="556"/>
      <c r="AK136" s="556"/>
      <c r="AL136" s="556"/>
      <c r="AM136" s="556"/>
      <c r="AN136" s="556"/>
      <c r="AO136" s="556"/>
      <c r="AP136" s="556"/>
      <c r="AQ136" s="556"/>
      <c r="AR136" s="556"/>
      <c r="AS136" s="556"/>
      <c r="AT136" s="556"/>
      <c r="AU136" s="556"/>
      <c r="AV136" s="557"/>
      <c r="AW136" s="558">
        <v>0</v>
      </c>
      <c r="AX136" s="559"/>
      <c r="AY136" s="560"/>
      <c r="AZ136" s="561">
        <v>4</v>
      </c>
      <c r="BA136" s="562"/>
      <c r="BB136" s="563"/>
      <c r="BC136" s="558">
        <v>0</v>
      </c>
      <c r="BD136" s="559"/>
      <c r="BE136" s="560"/>
      <c r="BF136" s="558">
        <v>182.49</v>
      </c>
      <c r="BG136" s="559"/>
      <c r="BH136" s="560"/>
      <c r="BI136" s="564">
        <v>0</v>
      </c>
      <c r="BJ136" s="565"/>
      <c r="BK136" s="565"/>
      <c r="BL136" s="566"/>
      <c r="BM136" s="567" t="s">
        <v>932</v>
      </c>
      <c r="BN136" s="567"/>
      <c r="BO136" s="567"/>
      <c r="BP136" s="567"/>
      <c r="BQ136" s="568" t="s">
        <v>932</v>
      </c>
      <c r="BR136" s="568"/>
      <c r="BS136" s="568"/>
      <c r="BT136" s="567" t="s">
        <v>932</v>
      </c>
      <c r="BU136" s="567"/>
      <c r="BV136" s="567"/>
      <c r="BW136" s="567"/>
      <c r="BX136" s="568">
        <v>1</v>
      </c>
      <c r="BY136" s="568"/>
      <c r="BZ136" s="568"/>
      <c r="CA136" s="567" t="s">
        <v>932</v>
      </c>
      <c r="CB136" s="567"/>
      <c r="CC136" s="567"/>
      <c r="CD136" s="567"/>
      <c r="CE136" s="568" t="s">
        <v>932</v>
      </c>
      <c r="CF136" s="568"/>
      <c r="CG136" s="568"/>
      <c r="CH136" s="567" t="s">
        <v>932</v>
      </c>
      <c r="CI136" s="567"/>
      <c r="CJ136" s="567"/>
      <c r="CK136" s="567"/>
      <c r="CL136" s="568" t="s">
        <v>932</v>
      </c>
      <c r="CM136" s="568"/>
      <c r="CN136" s="568"/>
    </row>
    <row r="137" hidden="1" customHeight="1" spans="1:92">
      <c r="A137" s="569"/>
      <c r="B137" s="570"/>
      <c r="C137" s="571"/>
      <c r="D137" s="572"/>
      <c r="E137" s="573"/>
      <c r="F137" s="574"/>
      <c r="G137" s="575"/>
      <c r="H137" s="576"/>
      <c r="I137" s="577"/>
      <c r="J137" s="578"/>
      <c r="K137" s="578"/>
      <c r="L137" s="578"/>
      <c r="M137" s="578"/>
      <c r="N137" s="578"/>
      <c r="O137" s="578"/>
      <c r="P137" s="578"/>
      <c r="Q137" s="578"/>
      <c r="R137" s="578"/>
      <c r="S137" s="578"/>
      <c r="T137" s="578"/>
      <c r="U137" s="578"/>
      <c r="V137" s="578"/>
      <c r="W137" s="578"/>
      <c r="X137" s="578"/>
      <c r="Y137" s="578"/>
      <c r="Z137" s="578"/>
      <c r="AA137" s="579"/>
      <c r="AB137" s="580"/>
      <c r="AC137" s="581"/>
      <c r="AD137" s="582"/>
      <c r="AE137" s="583"/>
      <c r="AF137" s="584"/>
      <c r="AG137" s="553">
        <v>0</v>
      </c>
      <c r="AH137" s="554"/>
      <c r="AI137" s="555" t="e">
        <v>#N/A</v>
      </c>
      <c r="AJ137" s="556"/>
      <c r="AK137" s="556"/>
      <c r="AL137" s="556"/>
      <c r="AM137" s="556"/>
      <c r="AN137" s="556"/>
      <c r="AO137" s="556"/>
      <c r="AP137" s="556"/>
      <c r="AQ137" s="556"/>
      <c r="AR137" s="556"/>
      <c r="AS137" s="556"/>
      <c r="AT137" s="556"/>
      <c r="AU137" s="556"/>
      <c r="AV137" s="557"/>
      <c r="AW137" s="558">
        <v>0</v>
      </c>
      <c r="AX137" s="559"/>
      <c r="AY137" s="560"/>
      <c r="AZ137" s="585"/>
      <c r="BA137" s="586"/>
      <c r="BB137" s="587"/>
      <c r="BC137" s="558">
        <v>0</v>
      </c>
      <c r="BD137" s="559"/>
      <c r="BE137" s="560"/>
      <c r="BF137" s="558">
        <v>182.49</v>
      </c>
      <c r="BG137" s="559"/>
      <c r="BH137" s="560"/>
      <c r="BI137" s="564">
        <v>0</v>
      </c>
      <c r="BJ137" s="565"/>
      <c r="BK137" s="565"/>
      <c r="BL137" s="566"/>
      <c r="BM137" s="567" t="s">
        <v>932</v>
      </c>
      <c r="BN137" s="567"/>
      <c r="BO137" s="567"/>
      <c r="BP137" s="567"/>
      <c r="BQ137" s="568" t="s">
        <v>932</v>
      </c>
      <c r="BR137" s="568"/>
      <c r="BS137" s="568"/>
      <c r="BT137" s="567" t="s">
        <v>932</v>
      </c>
      <c r="BU137" s="567"/>
      <c r="BV137" s="567"/>
      <c r="BW137" s="567"/>
      <c r="BX137" s="568">
        <v>1</v>
      </c>
      <c r="BY137" s="568"/>
      <c r="BZ137" s="568"/>
      <c r="CA137" s="567" t="s">
        <v>932</v>
      </c>
      <c r="CB137" s="567"/>
      <c r="CC137" s="567"/>
      <c r="CD137" s="567"/>
      <c r="CE137" s="568" t="s">
        <v>932</v>
      </c>
      <c r="CF137" s="568"/>
      <c r="CG137" s="568"/>
      <c r="CH137" s="567" t="s">
        <v>932</v>
      </c>
      <c r="CI137" s="567"/>
      <c r="CJ137" s="567"/>
      <c r="CK137" s="567"/>
      <c r="CL137" s="568" t="s">
        <v>932</v>
      </c>
      <c r="CM137" s="568"/>
      <c r="CN137" s="568"/>
    </row>
    <row r="138" hidden="1" customHeight="1" spans="1:92">
      <c r="A138" s="569"/>
      <c r="B138" s="570"/>
      <c r="C138" s="571"/>
      <c r="D138" s="572"/>
      <c r="E138" s="573"/>
      <c r="F138" s="574"/>
      <c r="G138" s="575"/>
      <c r="H138" s="576"/>
      <c r="I138" s="577"/>
      <c r="J138" s="578"/>
      <c r="K138" s="578"/>
      <c r="L138" s="578"/>
      <c r="M138" s="578"/>
      <c r="N138" s="578"/>
      <c r="O138" s="578"/>
      <c r="P138" s="578"/>
      <c r="Q138" s="578"/>
      <c r="R138" s="578"/>
      <c r="S138" s="578"/>
      <c r="T138" s="578"/>
      <c r="U138" s="578"/>
      <c r="V138" s="578"/>
      <c r="W138" s="578"/>
      <c r="X138" s="578"/>
      <c r="Y138" s="578"/>
      <c r="Z138" s="578"/>
      <c r="AA138" s="579"/>
      <c r="AB138" s="580"/>
      <c r="AC138" s="581"/>
      <c r="AD138" s="582"/>
      <c r="AE138" s="583"/>
      <c r="AF138" s="584"/>
      <c r="AG138" s="553">
        <v>0</v>
      </c>
      <c r="AH138" s="554"/>
      <c r="AI138" s="555" t="e">
        <v>#N/A</v>
      </c>
      <c r="AJ138" s="556"/>
      <c r="AK138" s="556"/>
      <c r="AL138" s="556"/>
      <c r="AM138" s="556"/>
      <c r="AN138" s="556"/>
      <c r="AO138" s="556"/>
      <c r="AP138" s="556"/>
      <c r="AQ138" s="556"/>
      <c r="AR138" s="556"/>
      <c r="AS138" s="556"/>
      <c r="AT138" s="556"/>
      <c r="AU138" s="556"/>
      <c r="AV138" s="557"/>
      <c r="AW138" s="558">
        <v>0</v>
      </c>
      <c r="AX138" s="559"/>
      <c r="AY138" s="560"/>
      <c r="AZ138" s="585"/>
      <c r="BA138" s="586"/>
      <c r="BB138" s="587"/>
      <c r="BC138" s="558">
        <v>0</v>
      </c>
      <c r="BD138" s="559"/>
      <c r="BE138" s="560"/>
      <c r="BF138" s="558">
        <v>182.49</v>
      </c>
      <c r="BG138" s="559"/>
      <c r="BH138" s="560"/>
      <c r="BI138" s="564">
        <v>0</v>
      </c>
      <c r="BJ138" s="565"/>
      <c r="BK138" s="565"/>
      <c r="BL138" s="566"/>
      <c r="BM138" s="567" t="s">
        <v>932</v>
      </c>
      <c r="BN138" s="567"/>
      <c r="BO138" s="567"/>
      <c r="BP138" s="567"/>
      <c r="BQ138" s="568" t="s">
        <v>932</v>
      </c>
      <c r="BR138" s="568"/>
      <c r="BS138" s="568"/>
      <c r="BT138" s="567" t="s">
        <v>932</v>
      </c>
      <c r="BU138" s="567"/>
      <c r="BV138" s="567"/>
      <c r="BW138" s="567"/>
      <c r="BX138" s="568">
        <v>1</v>
      </c>
      <c r="BY138" s="568"/>
      <c r="BZ138" s="568"/>
      <c r="CA138" s="567" t="s">
        <v>932</v>
      </c>
      <c r="CB138" s="567"/>
      <c r="CC138" s="567"/>
      <c r="CD138" s="567"/>
      <c r="CE138" s="568" t="s">
        <v>932</v>
      </c>
      <c r="CF138" s="568"/>
      <c r="CG138" s="568"/>
      <c r="CH138" s="567" t="s">
        <v>932</v>
      </c>
      <c r="CI138" s="567"/>
      <c r="CJ138" s="567"/>
      <c r="CK138" s="567"/>
      <c r="CL138" s="568" t="s">
        <v>932</v>
      </c>
      <c r="CM138" s="568"/>
      <c r="CN138" s="568"/>
    </row>
    <row r="139" hidden="1" customHeight="1" spans="1:92">
      <c r="A139" s="569"/>
      <c r="B139" s="570"/>
      <c r="C139" s="571"/>
      <c r="D139" s="572"/>
      <c r="E139" s="573"/>
      <c r="F139" s="574"/>
      <c r="G139" s="575"/>
      <c r="H139" s="576"/>
      <c r="I139" s="577"/>
      <c r="J139" s="578"/>
      <c r="K139" s="578"/>
      <c r="L139" s="578"/>
      <c r="M139" s="578"/>
      <c r="N139" s="578"/>
      <c r="O139" s="578"/>
      <c r="P139" s="578"/>
      <c r="Q139" s="578"/>
      <c r="R139" s="578"/>
      <c r="S139" s="578"/>
      <c r="T139" s="578"/>
      <c r="U139" s="578"/>
      <c r="V139" s="578"/>
      <c r="W139" s="578"/>
      <c r="X139" s="578"/>
      <c r="Y139" s="578"/>
      <c r="Z139" s="578"/>
      <c r="AA139" s="579"/>
      <c r="AB139" s="580"/>
      <c r="AC139" s="581"/>
      <c r="AD139" s="582"/>
      <c r="AE139" s="583"/>
      <c r="AF139" s="584"/>
      <c r="AG139" s="553">
        <v>0</v>
      </c>
      <c r="AH139" s="554"/>
      <c r="AI139" s="555" t="e">
        <v>#N/A</v>
      </c>
      <c r="AJ139" s="556"/>
      <c r="AK139" s="556"/>
      <c r="AL139" s="556"/>
      <c r="AM139" s="556"/>
      <c r="AN139" s="556"/>
      <c r="AO139" s="556"/>
      <c r="AP139" s="556"/>
      <c r="AQ139" s="556"/>
      <c r="AR139" s="556"/>
      <c r="AS139" s="556"/>
      <c r="AT139" s="556"/>
      <c r="AU139" s="556"/>
      <c r="AV139" s="557"/>
      <c r="AW139" s="558">
        <v>0</v>
      </c>
      <c r="AX139" s="559"/>
      <c r="AY139" s="560"/>
      <c r="AZ139" s="585"/>
      <c r="BA139" s="586"/>
      <c r="BB139" s="587"/>
      <c r="BC139" s="558">
        <v>0</v>
      </c>
      <c r="BD139" s="559"/>
      <c r="BE139" s="560"/>
      <c r="BF139" s="558">
        <v>182.49</v>
      </c>
      <c r="BG139" s="559"/>
      <c r="BH139" s="560"/>
      <c r="BI139" s="564">
        <v>0</v>
      </c>
      <c r="BJ139" s="565"/>
      <c r="BK139" s="565"/>
      <c r="BL139" s="566"/>
      <c r="BM139" s="567" t="s">
        <v>932</v>
      </c>
      <c r="BN139" s="567"/>
      <c r="BO139" s="567"/>
      <c r="BP139" s="567"/>
      <c r="BQ139" s="568" t="s">
        <v>932</v>
      </c>
      <c r="BR139" s="568"/>
      <c r="BS139" s="568"/>
      <c r="BT139" s="567" t="s">
        <v>932</v>
      </c>
      <c r="BU139" s="567"/>
      <c r="BV139" s="567"/>
      <c r="BW139" s="567"/>
      <c r="BX139" s="568">
        <v>1</v>
      </c>
      <c r="BY139" s="568"/>
      <c r="BZ139" s="568"/>
      <c r="CA139" s="567" t="s">
        <v>932</v>
      </c>
      <c r="CB139" s="567"/>
      <c r="CC139" s="567"/>
      <c r="CD139" s="567"/>
      <c r="CE139" s="568" t="s">
        <v>932</v>
      </c>
      <c r="CF139" s="568"/>
      <c r="CG139" s="568"/>
      <c r="CH139" s="567" t="s">
        <v>932</v>
      </c>
      <c r="CI139" s="567"/>
      <c r="CJ139" s="567"/>
      <c r="CK139" s="567"/>
      <c r="CL139" s="568" t="s">
        <v>932</v>
      </c>
      <c r="CM139" s="568"/>
      <c r="CN139" s="568"/>
    </row>
    <row r="140" hidden="1" customHeight="1" spans="1:92">
      <c r="A140" s="569"/>
      <c r="B140" s="570"/>
      <c r="C140" s="571"/>
      <c r="D140" s="572"/>
      <c r="E140" s="573"/>
      <c r="F140" s="574"/>
      <c r="G140" s="575"/>
      <c r="H140" s="576"/>
      <c r="I140" s="577"/>
      <c r="J140" s="578"/>
      <c r="K140" s="578"/>
      <c r="L140" s="578"/>
      <c r="M140" s="578"/>
      <c r="N140" s="578"/>
      <c r="O140" s="578"/>
      <c r="P140" s="578"/>
      <c r="Q140" s="578"/>
      <c r="R140" s="578"/>
      <c r="S140" s="578"/>
      <c r="T140" s="578"/>
      <c r="U140" s="578"/>
      <c r="V140" s="578"/>
      <c r="W140" s="578"/>
      <c r="X140" s="578"/>
      <c r="Y140" s="578"/>
      <c r="Z140" s="578"/>
      <c r="AA140" s="579"/>
      <c r="AB140" s="580"/>
      <c r="AC140" s="581"/>
      <c r="AD140" s="582"/>
      <c r="AE140" s="583"/>
      <c r="AF140" s="584"/>
      <c r="AG140" s="553">
        <v>0</v>
      </c>
      <c r="AH140" s="554"/>
      <c r="AI140" s="555" t="e">
        <v>#N/A</v>
      </c>
      <c r="AJ140" s="556"/>
      <c r="AK140" s="556"/>
      <c r="AL140" s="556"/>
      <c r="AM140" s="556"/>
      <c r="AN140" s="556"/>
      <c r="AO140" s="556"/>
      <c r="AP140" s="556"/>
      <c r="AQ140" s="556"/>
      <c r="AR140" s="556"/>
      <c r="AS140" s="556"/>
      <c r="AT140" s="556"/>
      <c r="AU140" s="556"/>
      <c r="AV140" s="557"/>
      <c r="AW140" s="558">
        <v>0</v>
      </c>
      <c r="AX140" s="559"/>
      <c r="AY140" s="560"/>
      <c r="AZ140" s="585"/>
      <c r="BA140" s="586"/>
      <c r="BB140" s="587"/>
      <c r="BC140" s="558">
        <v>0</v>
      </c>
      <c r="BD140" s="559"/>
      <c r="BE140" s="560"/>
      <c r="BF140" s="558">
        <v>182.49</v>
      </c>
      <c r="BG140" s="559"/>
      <c r="BH140" s="560"/>
      <c r="BI140" s="564">
        <v>0</v>
      </c>
      <c r="BJ140" s="565"/>
      <c r="BK140" s="565"/>
      <c r="BL140" s="566"/>
      <c r="BM140" s="567" t="s">
        <v>932</v>
      </c>
      <c r="BN140" s="567"/>
      <c r="BO140" s="567"/>
      <c r="BP140" s="567"/>
      <c r="BQ140" s="568" t="s">
        <v>932</v>
      </c>
      <c r="BR140" s="568"/>
      <c r="BS140" s="568"/>
      <c r="BT140" s="567" t="s">
        <v>932</v>
      </c>
      <c r="BU140" s="567"/>
      <c r="BV140" s="567"/>
      <c r="BW140" s="567"/>
      <c r="BX140" s="568">
        <v>1</v>
      </c>
      <c r="BY140" s="568"/>
      <c r="BZ140" s="568"/>
      <c r="CA140" s="567" t="s">
        <v>932</v>
      </c>
      <c r="CB140" s="567"/>
      <c r="CC140" s="567"/>
      <c r="CD140" s="567"/>
      <c r="CE140" s="568" t="s">
        <v>932</v>
      </c>
      <c r="CF140" s="568"/>
      <c r="CG140" s="568"/>
      <c r="CH140" s="567" t="s">
        <v>932</v>
      </c>
      <c r="CI140" s="567"/>
      <c r="CJ140" s="567"/>
      <c r="CK140" s="567"/>
      <c r="CL140" s="568" t="s">
        <v>932</v>
      </c>
      <c r="CM140" s="568"/>
      <c r="CN140" s="568"/>
    </row>
    <row r="141" hidden="1" customHeight="1" spans="1:92">
      <c r="A141" s="569"/>
      <c r="B141" s="570"/>
      <c r="C141" s="571"/>
      <c r="D141" s="572"/>
      <c r="E141" s="573"/>
      <c r="F141" s="574"/>
      <c r="G141" s="575"/>
      <c r="H141" s="576"/>
      <c r="I141" s="577"/>
      <c r="J141" s="578"/>
      <c r="K141" s="578"/>
      <c r="L141" s="578"/>
      <c r="M141" s="578"/>
      <c r="N141" s="578"/>
      <c r="O141" s="578"/>
      <c r="P141" s="578"/>
      <c r="Q141" s="578"/>
      <c r="R141" s="578"/>
      <c r="S141" s="578"/>
      <c r="T141" s="578"/>
      <c r="U141" s="578"/>
      <c r="V141" s="578"/>
      <c r="W141" s="578"/>
      <c r="X141" s="578"/>
      <c r="Y141" s="578"/>
      <c r="Z141" s="578"/>
      <c r="AA141" s="579"/>
      <c r="AB141" s="580"/>
      <c r="AC141" s="581"/>
      <c r="AD141" s="582"/>
      <c r="AE141" s="583"/>
      <c r="AF141" s="584"/>
      <c r="AG141" s="553">
        <v>0</v>
      </c>
      <c r="AH141" s="554"/>
      <c r="AI141" s="555" t="e">
        <v>#N/A</v>
      </c>
      <c r="AJ141" s="556"/>
      <c r="AK141" s="556"/>
      <c r="AL141" s="556"/>
      <c r="AM141" s="556"/>
      <c r="AN141" s="556"/>
      <c r="AO141" s="556"/>
      <c r="AP141" s="556"/>
      <c r="AQ141" s="556"/>
      <c r="AR141" s="556"/>
      <c r="AS141" s="556"/>
      <c r="AT141" s="556"/>
      <c r="AU141" s="556"/>
      <c r="AV141" s="557"/>
      <c r="AW141" s="558">
        <v>0</v>
      </c>
      <c r="AX141" s="559"/>
      <c r="AY141" s="560"/>
      <c r="AZ141" s="585"/>
      <c r="BA141" s="586"/>
      <c r="BB141" s="587"/>
      <c r="BC141" s="558">
        <v>0</v>
      </c>
      <c r="BD141" s="559"/>
      <c r="BE141" s="560"/>
      <c r="BF141" s="558">
        <v>182.49</v>
      </c>
      <c r="BG141" s="559"/>
      <c r="BH141" s="560"/>
      <c r="BI141" s="564">
        <v>0</v>
      </c>
      <c r="BJ141" s="565"/>
      <c r="BK141" s="565"/>
      <c r="BL141" s="566"/>
      <c r="BM141" s="567" t="s">
        <v>932</v>
      </c>
      <c r="BN141" s="567"/>
      <c r="BO141" s="567"/>
      <c r="BP141" s="567"/>
      <c r="BQ141" s="568" t="s">
        <v>932</v>
      </c>
      <c r="BR141" s="568"/>
      <c r="BS141" s="568"/>
      <c r="BT141" s="567" t="s">
        <v>932</v>
      </c>
      <c r="BU141" s="567"/>
      <c r="BV141" s="567"/>
      <c r="BW141" s="567"/>
      <c r="BX141" s="568">
        <v>1</v>
      </c>
      <c r="BY141" s="568"/>
      <c r="BZ141" s="568"/>
      <c r="CA141" s="567" t="s">
        <v>932</v>
      </c>
      <c r="CB141" s="567"/>
      <c r="CC141" s="567"/>
      <c r="CD141" s="567"/>
      <c r="CE141" s="568" t="s">
        <v>932</v>
      </c>
      <c r="CF141" s="568"/>
      <c r="CG141" s="568"/>
      <c r="CH141" s="567" t="s">
        <v>932</v>
      </c>
      <c r="CI141" s="567"/>
      <c r="CJ141" s="567"/>
      <c r="CK141" s="567"/>
      <c r="CL141" s="568" t="s">
        <v>932</v>
      </c>
      <c r="CM141" s="568"/>
      <c r="CN141" s="568"/>
    </row>
    <row r="142" hidden="1" customHeight="1" spans="1:92">
      <c r="A142" s="569"/>
      <c r="B142" s="570"/>
      <c r="C142" s="571"/>
      <c r="D142" s="572"/>
      <c r="E142" s="573"/>
      <c r="F142" s="574"/>
      <c r="G142" s="575"/>
      <c r="H142" s="576"/>
      <c r="I142" s="577"/>
      <c r="J142" s="578"/>
      <c r="K142" s="578"/>
      <c r="L142" s="578"/>
      <c r="M142" s="578"/>
      <c r="N142" s="578"/>
      <c r="O142" s="578"/>
      <c r="P142" s="578"/>
      <c r="Q142" s="578"/>
      <c r="R142" s="578"/>
      <c r="S142" s="578"/>
      <c r="T142" s="578"/>
      <c r="U142" s="578"/>
      <c r="V142" s="578"/>
      <c r="W142" s="578"/>
      <c r="X142" s="578"/>
      <c r="Y142" s="578"/>
      <c r="Z142" s="578"/>
      <c r="AA142" s="579"/>
      <c r="AB142" s="580"/>
      <c r="AC142" s="581"/>
      <c r="AD142" s="582"/>
      <c r="AE142" s="583"/>
      <c r="AF142" s="584"/>
      <c r="AG142" s="553">
        <v>0</v>
      </c>
      <c r="AH142" s="554"/>
      <c r="AI142" s="555" t="e">
        <v>#N/A</v>
      </c>
      <c r="AJ142" s="556"/>
      <c r="AK142" s="556"/>
      <c r="AL142" s="556"/>
      <c r="AM142" s="556"/>
      <c r="AN142" s="556"/>
      <c r="AO142" s="556"/>
      <c r="AP142" s="556"/>
      <c r="AQ142" s="556"/>
      <c r="AR142" s="556"/>
      <c r="AS142" s="556"/>
      <c r="AT142" s="556"/>
      <c r="AU142" s="556"/>
      <c r="AV142" s="557"/>
      <c r="AW142" s="558">
        <v>0</v>
      </c>
      <c r="AX142" s="559"/>
      <c r="AY142" s="560"/>
      <c r="AZ142" s="585"/>
      <c r="BA142" s="586"/>
      <c r="BB142" s="587"/>
      <c r="BC142" s="558">
        <v>0</v>
      </c>
      <c r="BD142" s="559"/>
      <c r="BE142" s="560"/>
      <c r="BF142" s="558">
        <v>182.49</v>
      </c>
      <c r="BG142" s="559"/>
      <c r="BH142" s="560"/>
      <c r="BI142" s="564">
        <v>0</v>
      </c>
      <c r="BJ142" s="565"/>
      <c r="BK142" s="565"/>
      <c r="BL142" s="566"/>
      <c r="BM142" s="567" t="s">
        <v>932</v>
      </c>
      <c r="BN142" s="567"/>
      <c r="BO142" s="567"/>
      <c r="BP142" s="567"/>
      <c r="BQ142" s="568" t="s">
        <v>932</v>
      </c>
      <c r="BR142" s="568"/>
      <c r="BS142" s="568"/>
      <c r="BT142" s="567" t="s">
        <v>932</v>
      </c>
      <c r="BU142" s="567"/>
      <c r="BV142" s="567"/>
      <c r="BW142" s="567"/>
      <c r="BX142" s="568">
        <v>1</v>
      </c>
      <c r="BY142" s="568"/>
      <c r="BZ142" s="568"/>
      <c r="CA142" s="567" t="s">
        <v>932</v>
      </c>
      <c r="CB142" s="567"/>
      <c r="CC142" s="567"/>
      <c r="CD142" s="567"/>
      <c r="CE142" s="568" t="s">
        <v>932</v>
      </c>
      <c r="CF142" s="568"/>
      <c r="CG142" s="568"/>
      <c r="CH142" s="567" t="s">
        <v>932</v>
      </c>
      <c r="CI142" s="567"/>
      <c r="CJ142" s="567"/>
      <c r="CK142" s="567"/>
      <c r="CL142" s="568" t="s">
        <v>932</v>
      </c>
      <c r="CM142" s="568"/>
      <c r="CN142" s="568"/>
    </row>
    <row r="143" hidden="1" customHeight="1" spans="1:92">
      <c r="A143" s="588"/>
      <c r="B143" s="589"/>
      <c r="C143" s="590"/>
      <c r="D143" s="591"/>
      <c r="E143" s="592"/>
      <c r="F143" s="593"/>
      <c r="G143" s="594"/>
      <c r="H143" s="595"/>
      <c r="I143" s="596"/>
      <c r="J143" s="597"/>
      <c r="K143" s="597"/>
      <c r="L143" s="597"/>
      <c r="M143" s="597"/>
      <c r="N143" s="597"/>
      <c r="O143" s="597"/>
      <c r="P143" s="597"/>
      <c r="Q143" s="597"/>
      <c r="R143" s="597"/>
      <c r="S143" s="597"/>
      <c r="T143" s="597"/>
      <c r="U143" s="597"/>
      <c r="V143" s="597"/>
      <c r="W143" s="597"/>
      <c r="X143" s="597"/>
      <c r="Y143" s="597"/>
      <c r="Z143" s="597"/>
      <c r="AA143" s="598"/>
      <c r="AB143" s="599"/>
      <c r="AC143" s="600"/>
      <c r="AD143" s="601"/>
      <c r="AE143" s="602"/>
      <c r="AF143" s="603"/>
      <c r="AG143" s="553">
        <v>0</v>
      </c>
      <c r="AH143" s="554"/>
      <c r="AI143" s="555" t="e">
        <v>#N/A</v>
      </c>
      <c r="AJ143" s="556"/>
      <c r="AK143" s="556"/>
      <c r="AL143" s="556"/>
      <c r="AM143" s="556"/>
      <c r="AN143" s="556"/>
      <c r="AO143" s="556"/>
      <c r="AP143" s="556"/>
      <c r="AQ143" s="556"/>
      <c r="AR143" s="556"/>
      <c r="AS143" s="556"/>
      <c r="AT143" s="556"/>
      <c r="AU143" s="556"/>
      <c r="AV143" s="557"/>
      <c r="AW143" s="558">
        <v>0</v>
      </c>
      <c r="AX143" s="559"/>
      <c r="AY143" s="560"/>
      <c r="AZ143" s="604"/>
      <c r="BA143" s="605"/>
      <c r="BB143" s="606"/>
      <c r="BC143" s="558">
        <v>0</v>
      </c>
      <c r="BD143" s="559"/>
      <c r="BE143" s="560"/>
      <c r="BF143" s="558">
        <v>182.49</v>
      </c>
      <c r="BG143" s="559"/>
      <c r="BH143" s="560"/>
      <c r="BI143" s="564">
        <v>0</v>
      </c>
      <c r="BJ143" s="565"/>
      <c r="BK143" s="565"/>
      <c r="BL143" s="566"/>
      <c r="BM143" s="567" t="s">
        <v>932</v>
      </c>
      <c r="BN143" s="567"/>
      <c r="BO143" s="567"/>
      <c r="BP143" s="567"/>
      <c r="BQ143" s="568" t="s">
        <v>932</v>
      </c>
      <c r="BR143" s="568"/>
      <c r="BS143" s="568"/>
      <c r="BT143" s="567" t="s">
        <v>932</v>
      </c>
      <c r="BU143" s="567"/>
      <c r="BV143" s="567"/>
      <c r="BW143" s="567"/>
      <c r="BX143" s="568">
        <v>1</v>
      </c>
      <c r="BY143" s="568"/>
      <c r="BZ143" s="568"/>
      <c r="CA143" s="567" t="s">
        <v>932</v>
      </c>
      <c r="CB143" s="567"/>
      <c r="CC143" s="567"/>
      <c r="CD143" s="567"/>
      <c r="CE143" s="568" t="s">
        <v>932</v>
      </c>
      <c r="CF143" s="568"/>
      <c r="CG143" s="568"/>
      <c r="CH143" s="567" t="s">
        <v>932</v>
      </c>
      <c r="CI143" s="567"/>
      <c r="CJ143" s="567"/>
      <c r="CK143" s="567"/>
      <c r="CL143" s="568" t="s">
        <v>932</v>
      </c>
      <c r="CM143" s="568"/>
      <c r="CN143" s="568"/>
    </row>
    <row r="144" customHeight="1" spans="1:92">
      <c r="A144" s="540" t="s">
        <v>958</v>
      </c>
      <c r="B144" s="541"/>
      <c r="C144" s="89"/>
      <c r="D144" s="91"/>
      <c r="E144" s="90"/>
      <c r="F144" s="542">
        <v>1100657</v>
      </c>
      <c r="G144" s="543"/>
      <c r="H144" s="544"/>
      <c r="I144" s="545" t="s">
        <v>114</v>
      </c>
      <c r="J144" s="546"/>
      <c r="K144" s="546"/>
      <c r="L144" s="546"/>
      <c r="M144" s="546"/>
      <c r="N144" s="546"/>
      <c r="O144" s="546"/>
      <c r="P144" s="546"/>
      <c r="Q144" s="546"/>
      <c r="R144" s="546"/>
      <c r="S144" s="546"/>
      <c r="T144" s="546"/>
      <c r="U144" s="546"/>
      <c r="V144" s="546"/>
      <c r="W144" s="546"/>
      <c r="X144" s="546"/>
      <c r="Y144" s="546"/>
      <c r="Z144" s="546"/>
      <c r="AA144" s="547"/>
      <c r="AB144" s="548" t="s">
        <v>99</v>
      </c>
      <c r="AC144" s="549"/>
      <c r="AD144" s="550">
        <v>33.62</v>
      </c>
      <c r="AE144" s="551"/>
      <c r="AF144" s="552"/>
      <c r="AG144" s="553" t="s">
        <v>1080</v>
      </c>
      <c r="AH144" s="554"/>
      <c r="AI144" s="555" t="s">
        <v>1081</v>
      </c>
      <c r="AJ144" s="556"/>
      <c r="AK144" s="556"/>
      <c r="AL144" s="556"/>
      <c r="AM144" s="556"/>
      <c r="AN144" s="556"/>
      <c r="AO144" s="556"/>
      <c r="AP144" s="556"/>
      <c r="AQ144" s="556"/>
      <c r="AR144" s="556"/>
      <c r="AS144" s="556"/>
      <c r="AT144" s="556"/>
      <c r="AU144" s="556"/>
      <c r="AV144" s="557"/>
      <c r="AW144" s="558">
        <v>1</v>
      </c>
      <c r="AX144" s="559"/>
      <c r="AY144" s="560"/>
      <c r="AZ144" s="561">
        <v>9</v>
      </c>
      <c r="BA144" s="562"/>
      <c r="BB144" s="563"/>
      <c r="BC144" s="558">
        <v>3.73555555555555</v>
      </c>
      <c r="BD144" s="559"/>
      <c r="BE144" s="560"/>
      <c r="BF144" s="558">
        <v>182.49</v>
      </c>
      <c r="BG144" s="559"/>
      <c r="BH144" s="560"/>
      <c r="BI144" s="564">
        <v>0.0204699192040964</v>
      </c>
      <c r="BJ144" s="565"/>
      <c r="BK144" s="565"/>
      <c r="BL144" s="566"/>
      <c r="BM144" s="567" t="s">
        <v>932</v>
      </c>
      <c r="BN144" s="567"/>
      <c r="BO144" s="567"/>
      <c r="BP144" s="567"/>
      <c r="BQ144" s="568" t="s">
        <v>932</v>
      </c>
      <c r="BR144" s="568"/>
      <c r="BS144" s="568"/>
      <c r="BT144" s="567">
        <v>0.0204699192040964</v>
      </c>
      <c r="BU144" s="567"/>
      <c r="BV144" s="567"/>
      <c r="BW144" s="567"/>
      <c r="BX144" s="568">
        <v>1</v>
      </c>
      <c r="BY144" s="568"/>
      <c r="BZ144" s="568"/>
      <c r="CA144" s="567" t="s">
        <v>932</v>
      </c>
      <c r="CB144" s="567"/>
      <c r="CC144" s="567"/>
      <c r="CD144" s="567"/>
      <c r="CE144" s="568" t="s">
        <v>932</v>
      </c>
      <c r="CF144" s="568"/>
      <c r="CG144" s="568"/>
      <c r="CH144" s="567" t="s">
        <v>932</v>
      </c>
      <c r="CI144" s="567"/>
      <c r="CJ144" s="567"/>
      <c r="CK144" s="567"/>
      <c r="CL144" s="568" t="s">
        <v>932</v>
      </c>
      <c r="CM144" s="568"/>
      <c r="CN144" s="568"/>
    </row>
    <row r="145" hidden="1" customHeight="1" spans="1:92">
      <c r="A145" s="569"/>
      <c r="B145" s="570"/>
      <c r="C145" s="571"/>
      <c r="D145" s="572"/>
      <c r="E145" s="573"/>
      <c r="F145" s="574"/>
      <c r="G145" s="575"/>
      <c r="H145" s="576"/>
      <c r="I145" s="577"/>
      <c r="J145" s="578"/>
      <c r="K145" s="578"/>
      <c r="L145" s="578"/>
      <c r="M145" s="578"/>
      <c r="N145" s="578"/>
      <c r="O145" s="578"/>
      <c r="P145" s="578"/>
      <c r="Q145" s="578"/>
      <c r="R145" s="578"/>
      <c r="S145" s="578"/>
      <c r="T145" s="578"/>
      <c r="U145" s="578"/>
      <c r="V145" s="578"/>
      <c r="W145" s="578"/>
      <c r="X145" s="578"/>
      <c r="Y145" s="578"/>
      <c r="Z145" s="578"/>
      <c r="AA145" s="579"/>
      <c r="AB145" s="580"/>
      <c r="AC145" s="581"/>
      <c r="AD145" s="582"/>
      <c r="AE145" s="583"/>
      <c r="AF145" s="584"/>
      <c r="AG145" s="553">
        <v>0</v>
      </c>
      <c r="AH145" s="554"/>
      <c r="AI145" s="555" t="e">
        <v>#N/A</v>
      </c>
      <c r="AJ145" s="556"/>
      <c r="AK145" s="556"/>
      <c r="AL145" s="556"/>
      <c r="AM145" s="556"/>
      <c r="AN145" s="556"/>
      <c r="AO145" s="556"/>
      <c r="AP145" s="556"/>
      <c r="AQ145" s="556"/>
      <c r="AR145" s="556"/>
      <c r="AS145" s="556"/>
      <c r="AT145" s="556"/>
      <c r="AU145" s="556"/>
      <c r="AV145" s="557"/>
      <c r="AW145" s="558">
        <v>0</v>
      </c>
      <c r="AX145" s="559"/>
      <c r="AY145" s="560"/>
      <c r="AZ145" s="585"/>
      <c r="BA145" s="586"/>
      <c r="BB145" s="587"/>
      <c r="BC145" s="558">
        <v>0</v>
      </c>
      <c r="BD145" s="559"/>
      <c r="BE145" s="560"/>
      <c r="BF145" s="558">
        <v>182.49</v>
      </c>
      <c r="BG145" s="559"/>
      <c r="BH145" s="560"/>
      <c r="BI145" s="564">
        <v>0</v>
      </c>
      <c r="BJ145" s="565"/>
      <c r="BK145" s="565"/>
      <c r="BL145" s="566"/>
      <c r="BM145" s="567" t="s">
        <v>932</v>
      </c>
      <c r="BN145" s="567"/>
      <c r="BO145" s="567"/>
      <c r="BP145" s="567"/>
      <c r="BQ145" s="568" t="s">
        <v>932</v>
      </c>
      <c r="BR145" s="568"/>
      <c r="BS145" s="568"/>
      <c r="BT145" s="567" t="s">
        <v>932</v>
      </c>
      <c r="BU145" s="567"/>
      <c r="BV145" s="567"/>
      <c r="BW145" s="567"/>
      <c r="BX145" s="568">
        <v>1</v>
      </c>
      <c r="BY145" s="568"/>
      <c r="BZ145" s="568"/>
      <c r="CA145" s="567" t="s">
        <v>932</v>
      </c>
      <c r="CB145" s="567"/>
      <c r="CC145" s="567"/>
      <c r="CD145" s="567"/>
      <c r="CE145" s="568" t="s">
        <v>932</v>
      </c>
      <c r="CF145" s="568"/>
      <c r="CG145" s="568"/>
      <c r="CH145" s="567" t="s">
        <v>932</v>
      </c>
      <c r="CI145" s="567"/>
      <c r="CJ145" s="567"/>
      <c r="CK145" s="567"/>
      <c r="CL145" s="568" t="s">
        <v>932</v>
      </c>
      <c r="CM145" s="568"/>
      <c r="CN145" s="568"/>
    </row>
    <row r="146" hidden="1" customHeight="1" spans="1:92">
      <c r="A146" s="569"/>
      <c r="B146" s="570"/>
      <c r="C146" s="571"/>
      <c r="D146" s="572"/>
      <c r="E146" s="573"/>
      <c r="F146" s="574"/>
      <c r="G146" s="575"/>
      <c r="H146" s="576"/>
      <c r="I146" s="577"/>
      <c r="J146" s="578"/>
      <c r="K146" s="578"/>
      <c r="L146" s="578"/>
      <c r="M146" s="578"/>
      <c r="N146" s="578"/>
      <c r="O146" s="578"/>
      <c r="P146" s="578"/>
      <c r="Q146" s="578"/>
      <c r="R146" s="578"/>
      <c r="S146" s="578"/>
      <c r="T146" s="578"/>
      <c r="U146" s="578"/>
      <c r="V146" s="578"/>
      <c r="W146" s="578"/>
      <c r="X146" s="578"/>
      <c r="Y146" s="578"/>
      <c r="Z146" s="578"/>
      <c r="AA146" s="579"/>
      <c r="AB146" s="580"/>
      <c r="AC146" s="581"/>
      <c r="AD146" s="582"/>
      <c r="AE146" s="583"/>
      <c r="AF146" s="584"/>
      <c r="AG146" s="553">
        <v>0</v>
      </c>
      <c r="AH146" s="554"/>
      <c r="AI146" s="555" t="e">
        <v>#N/A</v>
      </c>
      <c r="AJ146" s="556"/>
      <c r="AK146" s="556"/>
      <c r="AL146" s="556"/>
      <c r="AM146" s="556"/>
      <c r="AN146" s="556"/>
      <c r="AO146" s="556"/>
      <c r="AP146" s="556"/>
      <c r="AQ146" s="556"/>
      <c r="AR146" s="556"/>
      <c r="AS146" s="556"/>
      <c r="AT146" s="556"/>
      <c r="AU146" s="556"/>
      <c r="AV146" s="557"/>
      <c r="AW146" s="558">
        <v>0</v>
      </c>
      <c r="AX146" s="559"/>
      <c r="AY146" s="560"/>
      <c r="AZ146" s="585"/>
      <c r="BA146" s="586"/>
      <c r="BB146" s="587"/>
      <c r="BC146" s="558">
        <v>0</v>
      </c>
      <c r="BD146" s="559"/>
      <c r="BE146" s="560"/>
      <c r="BF146" s="558">
        <v>182.49</v>
      </c>
      <c r="BG146" s="559"/>
      <c r="BH146" s="560"/>
      <c r="BI146" s="564">
        <v>0</v>
      </c>
      <c r="BJ146" s="565"/>
      <c r="BK146" s="565"/>
      <c r="BL146" s="566"/>
      <c r="BM146" s="567" t="s">
        <v>932</v>
      </c>
      <c r="BN146" s="567"/>
      <c r="BO146" s="567"/>
      <c r="BP146" s="567"/>
      <c r="BQ146" s="568" t="s">
        <v>932</v>
      </c>
      <c r="BR146" s="568"/>
      <c r="BS146" s="568"/>
      <c r="BT146" s="567" t="s">
        <v>932</v>
      </c>
      <c r="BU146" s="567"/>
      <c r="BV146" s="567"/>
      <c r="BW146" s="567"/>
      <c r="BX146" s="568">
        <v>1</v>
      </c>
      <c r="BY146" s="568"/>
      <c r="BZ146" s="568"/>
      <c r="CA146" s="567" t="s">
        <v>932</v>
      </c>
      <c r="CB146" s="567"/>
      <c r="CC146" s="567"/>
      <c r="CD146" s="567"/>
      <c r="CE146" s="568" t="s">
        <v>932</v>
      </c>
      <c r="CF146" s="568"/>
      <c r="CG146" s="568"/>
      <c r="CH146" s="567" t="s">
        <v>932</v>
      </c>
      <c r="CI146" s="567"/>
      <c r="CJ146" s="567"/>
      <c r="CK146" s="567"/>
      <c r="CL146" s="568" t="s">
        <v>932</v>
      </c>
      <c r="CM146" s="568"/>
      <c r="CN146" s="568"/>
    </row>
    <row r="147" hidden="1" customHeight="1" spans="1:92">
      <c r="A147" s="569"/>
      <c r="B147" s="570"/>
      <c r="C147" s="571"/>
      <c r="D147" s="572"/>
      <c r="E147" s="573"/>
      <c r="F147" s="574"/>
      <c r="G147" s="575"/>
      <c r="H147" s="576"/>
      <c r="I147" s="577"/>
      <c r="J147" s="578"/>
      <c r="K147" s="578"/>
      <c r="L147" s="578"/>
      <c r="M147" s="578"/>
      <c r="N147" s="578"/>
      <c r="O147" s="578"/>
      <c r="P147" s="578"/>
      <c r="Q147" s="578"/>
      <c r="R147" s="578"/>
      <c r="S147" s="578"/>
      <c r="T147" s="578"/>
      <c r="U147" s="578"/>
      <c r="V147" s="578"/>
      <c r="W147" s="578"/>
      <c r="X147" s="578"/>
      <c r="Y147" s="578"/>
      <c r="Z147" s="578"/>
      <c r="AA147" s="579"/>
      <c r="AB147" s="580"/>
      <c r="AC147" s="581"/>
      <c r="AD147" s="582"/>
      <c r="AE147" s="583"/>
      <c r="AF147" s="584"/>
      <c r="AG147" s="553">
        <v>0</v>
      </c>
      <c r="AH147" s="554"/>
      <c r="AI147" s="555" t="e">
        <v>#N/A</v>
      </c>
      <c r="AJ147" s="556"/>
      <c r="AK147" s="556"/>
      <c r="AL147" s="556"/>
      <c r="AM147" s="556"/>
      <c r="AN147" s="556"/>
      <c r="AO147" s="556"/>
      <c r="AP147" s="556"/>
      <c r="AQ147" s="556"/>
      <c r="AR147" s="556"/>
      <c r="AS147" s="556"/>
      <c r="AT147" s="556"/>
      <c r="AU147" s="556"/>
      <c r="AV147" s="557"/>
      <c r="AW147" s="558">
        <v>0</v>
      </c>
      <c r="AX147" s="559"/>
      <c r="AY147" s="560"/>
      <c r="AZ147" s="585"/>
      <c r="BA147" s="586"/>
      <c r="BB147" s="587"/>
      <c r="BC147" s="558">
        <v>0</v>
      </c>
      <c r="BD147" s="559"/>
      <c r="BE147" s="560"/>
      <c r="BF147" s="558">
        <v>182.49</v>
      </c>
      <c r="BG147" s="559"/>
      <c r="BH147" s="560"/>
      <c r="BI147" s="564">
        <v>0</v>
      </c>
      <c r="BJ147" s="565"/>
      <c r="BK147" s="565"/>
      <c r="BL147" s="566"/>
      <c r="BM147" s="567" t="s">
        <v>932</v>
      </c>
      <c r="BN147" s="567"/>
      <c r="BO147" s="567"/>
      <c r="BP147" s="567"/>
      <c r="BQ147" s="568" t="s">
        <v>932</v>
      </c>
      <c r="BR147" s="568"/>
      <c r="BS147" s="568"/>
      <c r="BT147" s="567" t="s">
        <v>932</v>
      </c>
      <c r="BU147" s="567"/>
      <c r="BV147" s="567"/>
      <c r="BW147" s="567"/>
      <c r="BX147" s="568">
        <v>1</v>
      </c>
      <c r="BY147" s="568"/>
      <c r="BZ147" s="568"/>
      <c r="CA147" s="567" t="s">
        <v>932</v>
      </c>
      <c r="CB147" s="567"/>
      <c r="CC147" s="567"/>
      <c r="CD147" s="567"/>
      <c r="CE147" s="568" t="s">
        <v>932</v>
      </c>
      <c r="CF147" s="568"/>
      <c r="CG147" s="568"/>
      <c r="CH147" s="567" t="s">
        <v>932</v>
      </c>
      <c r="CI147" s="567"/>
      <c r="CJ147" s="567"/>
      <c r="CK147" s="567"/>
      <c r="CL147" s="568" t="s">
        <v>932</v>
      </c>
      <c r="CM147" s="568"/>
      <c r="CN147" s="568"/>
    </row>
    <row r="148" hidden="1" customHeight="1" spans="1:92">
      <c r="A148" s="569"/>
      <c r="B148" s="570"/>
      <c r="C148" s="571"/>
      <c r="D148" s="572"/>
      <c r="E148" s="573"/>
      <c r="F148" s="574"/>
      <c r="G148" s="575"/>
      <c r="H148" s="576"/>
      <c r="I148" s="577"/>
      <c r="J148" s="578"/>
      <c r="K148" s="578"/>
      <c r="L148" s="578"/>
      <c r="M148" s="578"/>
      <c r="N148" s="578"/>
      <c r="O148" s="578"/>
      <c r="P148" s="578"/>
      <c r="Q148" s="578"/>
      <c r="R148" s="578"/>
      <c r="S148" s="578"/>
      <c r="T148" s="578"/>
      <c r="U148" s="578"/>
      <c r="V148" s="578"/>
      <c r="W148" s="578"/>
      <c r="X148" s="578"/>
      <c r="Y148" s="578"/>
      <c r="Z148" s="578"/>
      <c r="AA148" s="579"/>
      <c r="AB148" s="580"/>
      <c r="AC148" s="581"/>
      <c r="AD148" s="582"/>
      <c r="AE148" s="583"/>
      <c r="AF148" s="584"/>
      <c r="AG148" s="553">
        <v>0</v>
      </c>
      <c r="AH148" s="554"/>
      <c r="AI148" s="555" t="e">
        <v>#N/A</v>
      </c>
      <c r="AJ148" s="556"/>
      <c r="AK148" s="556"/>
      <c r="AL148" s="556"/>
      <c r="AM148" s="556"/>
      <c r="AN148" s="556"/>
      <c r="AO148" s="556"/>
      <c r="AP148" s="556"/>
      <c r="AQ148" s="556"/>
      <c r="AR148" s="556"/>
      <c r="AS148" s="556"/>
      <c r="AT148" s="556"/>
      <c r="AU148" s="556"/>
      <c r="AV148" s="557"/>
      <c r="AW148" s="558">
        <v>0</v>
      </c>
      <c r="AX148" s="559"/>
      <c r="AY148" s="560"/>
      <c r="AZ148" s="585"/>
      <c r="BA148" s="586"/>
      <c r="BB148" s="587"/>
      <c r="BC148" s="558">
        <v>0</v>
      </c>
      <c r="BD148" s="559"/>
      <c r="BE148" s="560"/>
      <c r="BF148" s="558">
        <v>182.49</v>
      </c>
      <c r="BG148" s="559"/>
      <c r="BH148" s="560"/>
      <c r="BI148" s="564">
        <v>0</v>
      </c>
      <c r="BJ148" s="565"/>
      <c r="BK148" s="565"/>
      <c r="BL148" s="566"/>
      <c r="BM148" s="567" t="s">
        <v>932</v>
      </c>
      <c r="BN148" s="567"/>
      <c r="BO148" s="567"/>
      <c r="BP148" s="567"/>
      <c r="BQ148" s="568" t="s">
        <v>932</v>
      </c>
      <c r="BR148" s="568"/>
      <c r="BS148" s="568"/>
      <c r="BT148" s="567" t="s">
        <v>932</v>
      </c>
      <c r="BU148" s="567"/>
      <c r="BV148" s="567"/>
      <c r="BW148" s="567"/>
      <c r="BX148" s="568">
        <v>1</v>
      </c>
      <c r="BY148" s="568"/>
      <c r="BZ148" s="568"/>
      <c r="CA148" s="567" t="s">
        <v>932</v>
      </c>
      <c r="CB148" s="567"/>
      <c r="CC148" s="567"/>
      <c r="CD148" s="567"/>
      <c r="CE148" s="568" t="s">
        <v>932</v>
      </c>
      <c r="CF148" s="568"/>
      <c r="CG148" s="568"/>
      <c r="CH148" s="567" t="s">
        <v>932</v>
      </c>
      <c r="CI148" s="567"/>
      <c r="CJ148" s="567"/>
      <c r="CK148" s="567"/>
      <c r="CL148" s="568" t="s">
        <v>932</v>
      </c>
      <c r="CM148" s="568"/>
      <c r="CN148" s="568"/>
    </row>
    <row r="149" hidden="1" customHeight="1" spans="1:92">
      <c r="A149" s="569"/>
      <c r="B149" s="570"/>
      <c r="C149" s="571"/>
      <c r="D149" s="572"/>
      <c r="E149" s="573"/>
      <c r="F149" s="574"/>
      <c r="G149" s="575"/>
      <c r="H149" s="576"/>
      <c r="I149" s="577"/>
      <c r="J149" s="578"/>
      <c r="K149" s="578"/>
      <c r="L149" s="578"/>
      <c r="M149" s="578"/>
      <c r="N149" s="578"/>
      <c r="O149" s="578"/>
      <c r="P149" s="578"/>
      <c r="Q149" s="578"/>
      <c r="R149" s="578"/>
      <c r="S149" s="578"/>
      <c r="T149" s="578"/>
      <c r="U149" s="578"/>
      <c r="V149" s="578"/>
      <c r="W149" s="578"/>
      <c r="X149" s="578"/>
      <c r="Y149" s="578"/>
      <c r="Z149" s="578"/>
      <c r="AA149" s="579"/>
      <c r="AB149" s="580"/>
      <c r="AC149" s="581"/>
      <c r="AD149" s="582"/>
      <c r="AE149" s="583"/>
      <c r="AF149" s="584"/>
      <c r="AG149" s="553">
        <v>0</v>
      </c>
      <c r="AH149" s="554"/>
      <c r="AI149" s="555" t="e">
        <v>#N/A</v>
      </c>
      <c r="AJ149" s="556"/>
      <c r="AK149" s="556"/>
      <c r="AL149" s="556"/>
      <c r="AM149" s="556"/>
      <c r="AN149" s="556"/>
      <c r="AO149" s="556"/>
      <c r="AP149" s="556"/>
      <c r="AQ149" s="556"/>
      <c r="AR149" s="556"/>
      <c r="AS149" s="556"/>
      <c r="AT149" s="556"/>
      <c r="AU149" s="556"/>
      <c r="AV149" s="557"/>
      <c r="AW149" s="558">
        <v>0</v>
      </c>
      <c r="AX149" s="559"/>
      <c r="AY149" s="560"/>
      <c r="AZ149" s="585"/>
      <c r="BA149" s="586"/>
      <c r="BB149" s="587"/>
      <c r="BC149" s="558">
        <v>0</v>
      </c>
      <c r="BD149" s="559"/>
      <c r="BE149" s="560"/>
      <c r="BF149" s="558">
        <v>182.49</v>
      </c>
      <c r="BG149" s="559"/>
      <c r="BH149" s="560"/>
      <c r="BI149" s="564">
        <v>0</v>
      </c>
      <c r="BJ149" s="565"/>
      <c r="BK149" s="565"/>
      <c r="BL149" s="566"/>
      <c r="BM149" s="567" t="s">
        <v>932</v>
      </c>
      <c r="BN149" s="567"/>
      <c r="BO149" s="567"/>
      <c r="BP149" s="567"/>
      <c r="BQ149" s="568" t="s">
        <v>932</v>
      </c>
      <c r="BR149" s="568"/>
      <c r="BS149" s="568"/>
      <c r="BT149" s="567" t="s">
        <v>932</v>
      </c>
      <c r="BU149" s="567"/>
      <c r="BV149" s="567"/>
      <c r="BW149" s="567"/>
      <c r="BX149" s="568">
        <v>1</v>
      </c>
      <c r="BY149" s="568"/>
      <c r="BZ149" s="568"/>
      <c r="CA149" s="567" t="s">
        <v>932</v>
      </c>
      <c r="CB149" s="567"/>
      <c r="CC149" s="567"/>
      <c r="CD149" s="567"/>
      <c r="CE149" s="568" t="s">
        <v>932</v>
      </c>
      <c r="CF149" s="568"/>
      <c r="CG149" s="568"/>
      <c r="CH149" s="567" t="s">
        <v>932</v>
      </c>
      <c r="CI149" s="567"/>
      <c r="CJ149" s="567"/>
      <c r="CK149" s="567"/>
      <c r="CL149" s="568" t="s">
        <v>932</v>
      </c>
      <c r="CM149" s="568"/>
      <c r="CN149" s="568"/>
    </row>
    <row r="150" hidden="1" customHeight="1" spans="1:92">
      <c r="A150" s="569"/>
      <c r="B150" s="570"/>
      <c r="C150" s="571"/>
      <c r="D150" s="572"/>
      <c r="E150" s="573"/>
      <c r="F150" s="574"/>
      <c r="G150" s="575"/>
      <c r="H150" s="576"/>
      <c r="I150" s="577"/>
      <c r="J150" s="578"/>
      <c r="K150" s="578"/>
      <c r="L150" s="578"/>
      <c r="M150" s="578"/>
      <c r="N150" s="578"/>
      <c r="O150" s="578"/>
      <c r="P150" s="578"/>
      <c r="Q150" s="578"/>
      <c r="R150" s="578"/>
      <c r="S150" s="578"/>
      <c r="T150" s="578"/>
      <c r="U150" s="578"/>
      <c r="V150" s="578"/>
      <c r="W150" s="578"/>
      <c r="X150" s="578"/>
      <c r="Y150" s="578"/>
      <c r="Z150" s="578"/>
      <c r="AA150" s="579"/>
      <c r="AB150" s="580"/>
      <c r="AC150" s="581"/>
      <c r="AD150" s="582"/>
      <c r="AE150" s="583"/>
      <c r="AF150" s="584"/>
      <c r="AG150" s="553">
        <v>0</v>
      </c>
      <c r="AH150" s="554"/>
      <c r="AI150" s="555" t="e">
        <v>#N/A</v>
      </c>
      <c r="AJ150" s="556"/>
      <c r="AK150" s="556"/>
      <c r="AL150" s="556"/>
      <c r="AM150" s="556"/>
      <c r="AN150" s="556"/>
      <c r="AO150" s="556"/>
      <c r="AP150" s="556"/>
      <c r="AQ150" s="556"/>
      <c r="AR150" s="556"/>
      <c r="AS150" s="556"/>
      <c r="AT150" s="556"/>
      <c r="AU150" s="556"/>
      <c r="AV150" s="557"/>
      <c r="AW150" s="558">
        <v>0</v>
      </c>
      <c r="AX150" s="559"/>
      <c r="AY150" s="560"/>
      <c r="AZ150" s="585"/>
      <c r="BA150" s="586"/>
      <c r="BB150" s="587"/>
      <c r="BC150" s="558">
        <v>0</v>
      </c>
      <c r="BD150" s="559"/>
      <c r="BE150" s="560"/>
      <c r="BF150" s="558">
        <v>182.49</v>
      </c>
      <c r="BG150" s="559"/>
      <c r="BH150" s="560"/>
      <c r="BI150" s="564">
        <v>0</v>
      </c>
      <c r="BJ150" s="565"/>
      <c r="BK150" s="565"/>
      <c r="BL150" s="566"/>
      <c r="BM150" s="567" t="s">
        <v>932</v>
      </c>
      <c r="BN150" s="567"/>
      <c r="BO150" s="567"/>
      <c r="BP150" s="567"/>
      <c r="BQ150" s="568" t="s">
        <v>932</v>
      </c>
      <c r="BR150" s="568"/>
      <c r="BS150" s="568"/>
      <c r="BT150" s="567" t="s">
        <v>932</v>
      </c>
      <c r="BU150" s="567"/>
      <c r="BV150" s="567"/>
      <c r="BW150" s="567"/>
      <c r="BX150" s="568">
        <v>1</v>
      </c>
      <c r="BY150" s="568"/>
      <c r="BZ150" s="568"/>
      <c r="CA150" s="567" t="s">
        <v>932</v>
      </c>
      <c r="CB150" s="567"/>
      <c r="CC150" s="567"/>
      <c r="CD150" s="567"/>
      <c r="CE150" s="568" t="s">
        <v>932</v>
      </c>
      <c r="CF150" s="568"/>
      <c r="CG150" s="568"/>
      <c r="CH150" s="567" t="s">
        <v>932</v>
      </c>
      <c r="CI150" s="567"/>
      <c r="CJ150" s="567"/>
      <c r="CK150" s="567"/>
      <c r="CL150" s="568" t="s">
        <v>932</v>
      </c>
      <c r="CM150" s="568"/>
      <c r="CN150" s="568"/>
    </row>
    <row r="151" hidden="1" customHeight="1" spans="1:92">
      <c r="A151" s="588"/>
      <c r="B151" s="589"/>
      <c r="C151" s="590"/>
      <c r="D151" s="591"/>
      <c r="E151" s="592"/>
      <c r="F151" s="593"/>
      <c r="G151" s="594"/>
      <c r="H151" s="595"/>
      <c r="I151" s="596"/>
      <c r="J151" s="597"/>
      <c r="K151" s="597"/>
      <c r="L151" s="597"/>
      <c r="M151" s="597"/>
      <c r="N151" s="597"/>
      <c r="O151" s="597"/>
      <c r="P151" s="597"/>
      <c r="Q151" s="597"/>
      <c r="R151" s="597"/>
      <c r="S151" s="597"/>
      <c r="T151" s="597"/>
      <c r="U151" s="597"/>
      <c r="V151" s="597"/>
      <c r="W151" s="597"/>
      <c r="X151" s="597"/>
      <c r="Y151" s="597"/>
      <c r="Z151" s="597"/>
      <c r="AA151" s="598"/>
      <c r="AB151" s="599"/>
      <c r="AC151" s="600"/>
      <c r="AD151" s="601"/>
      <c r="AE151" s="602"/>
      <c r="AF151" s="603"/>
      <c r="AG151" s="553">
        <v>0</v>
      </c>
      <c r="AH151" s="554"/>
      <c r="AI151" s="555" t="e">
        <v>#N/A</v>
      </c>
      <c r="AJ151" s="556"/>
      <c r="AK151" s="556"/>
      <c r="AL151" s="556"/>
      <c r="AM151" s="556"/>
      <c r="AN151" s="556"/>
      <c r="AO151" s="556"/>
      <c r="AP151" s="556"/>
      <c r="AQ151" s="556"/>
      <c r="AR151" s="556"/>
      <c r="AS151" s="556"/>
      <c r="AT151" s="556"/>
      <c r="AU151" s="556"/>
      <c r="AV151" s="557"/>
      <c r="AW151" s="558">
        <v>0</v>
      </c>
      <c r="AX151" s="559"/>
      <c r="AY151" s="560"/>
      <c r="AZ151" s="604"/>
      <c r="BA151" s="605"/>
      <c r="BB151" s="606"/>
      <c r="BC151" s="558">
        <v>0</v>
      </c>
      <c r="BD151" s="559"/>
      <c r="BE151" s="560"/>
      <c r="BF151" s="558">
        <v>182.49</v>
      </c>
      <c r="BG151" s="559"/>
      <c r="BH151" s="560"/>
      <c r="BI151" s="564">
        <v>0</v>
      </c>
      <c r="BJ151" s="565"/>
      <c r="BK151" s="565"/>
      <c r="BL151" s="566"/>
      <c r="BM151" s="567" t="s">
        <v>932</v>
      </c>
      <c r="BN151" s="567"/>
      <c r="BO151" s="567"/>
      <c r="BP151" s="567"/>
      <c r="BQ151" s="568" t="s">
        <v>932</v>
      </c>
      <c r="BR151" s="568"/>
      <c r="BS151" s="568"/>
      <c r="BT151" s="567" t="s">
        <v>932</v>
      </c>
      <c r="BU151" s="567"/>
      <c r="BV151" s="567"/>
      <c r="BW151" s="567"/>
      <c r="BX151" s="568">
        <v>1</v>
      </c>
      <c r="BY151" s="568"/>
      <c r="BZ151" s="568"/>
      <c r="CA151" s="567" t="s">
        <v>932</v>
      </c>
      <c r="CB151" s="567"/>
      <c r="CC151" s="567"/>
      <c r="CD151" s="567"/>
      <c r="CE151" s="568" t="s">
        <v>932</v>
      </c>
      <c r="CF151" s="568"/>
      <c r="CG151" s="568"/>
      <c r="CH151" s="567" t="s">
        <v>932</v>
      </c>
      <c r="CI151" s="567"/>
      <c r="CJ151" s="567"/>
      <c r="CK151" s="567"/>
      <c r="CL151" s="568" t="s">
        <v>932</v>
      </c>
      <c r="CM151" s="568"/>
      <c r="CN151" s="568"/>
    </row>
    <row r="152" customHeight="1" spans="1:92">
      <c r="A152" s="540" t="s">
        <v>959</v>
      </c>
      <c r="B152" s="541"/>
      <c r="C152" s="89"/>
      <c r="D152" s="91"/>
      <c r="E152" s="90"/>
      <c r="F152" s="542">
        <v>1107900</v>
      </c>
      <c r="G152" s="543"/>
      <c r="H152" s="544"/>
      <c r="I152" s="545" t="s">
        <v>108</v>
      </c>
      <c r="J152" s="546"/>
      <c r="K152" s="546"/>
      <c r="L152" s="546"/>
      <c r="M152" s="546"/>
      <c r="N152" s="546"/>
      <c r="O152" s="546"/>
      <c r="P152" s="546"/>
      <c r="Q152" s="546"/>
      <c r="R152" s="546"/>
      <c r="S152" s="546"/>
      <c r="T152" s="546"/>
      <c r="U152" s="546"/>
      <c r="V152" s="546"/>
      <c r="W152" s="546"/>
      <c r="X152" s="546"/>
      <c r="Y152" s="546"/>
      <c r="Z152" s="546"/>
      <c r="AA152" s="547"/>
      <c r="AB152" s="548" t="s">
        <v>99</v>
      </c>
      <c r="AC152" s="549"/>
      <c r="AD152" s="550">
        <v>33.62</v>
      </c>
      <c r="AE152" s="551"/>
      <c r="AF152" s="552"/>
      <c r="AG152" s="553" t="s">
        <v>1066</v>
      </c>
      <c r="AH152" s="554"/>
      <c r="AI152" s="555" t="s">
        <v>1067</v>
      </c>
      <c r="AJ152" s="556"/>
      <c r="AK152" s="556"/>
      <c r="AL152" s="556"/>
      <c r="AM152" s="556"/>
      <c r="AN152" s="556"/>
      <c r="AO152" s="556"/>
      <c r="AP152" s="556"/>
      <c r="AQ152" s="556"/>
      <c r="AR152" s="556"/>
      <c r="AS152" s="556"/>
      <c r="AT152" s="556"/>
      <c r="AU152" s="556"/>
      <c r="AV152" s="557"/>
      <c r="AW152" s="558">
        <v>1</v>
      </c>
      <c r="AX152" s="559"/>
      <c r="AY152" s="560"/>
      <c r="AZ152" s="561">
        <v>3.853</v>
      </c>
      <c r="BA152" s="562"/>
      <c r="BB152" s="563"/>
      <c r="BC152" s="558">
        <v>8.72566831040747</v>
      </c>
      <c r="BD152" s="559"/>
      <c r="BE152" s="560"/>
      <c r="BF152" s="558">
        <v>182.49</v>
      </c>
      <c r="BG152" s="559"/>
      <c r="BH152" s="560"/>
      <c r="BI152" s="564">
        <v>0.0478145011255821</v>
      </c>
      <c r="BJ152" s="565"/>
      <c r="BK152" s="565"/>
      <c r="BL152" s="566"/>
      <c r="BM152" s="567" t="s">
        <v>932</v>
      </c>
      <c r="BN152" s="567"/>
      <c r="BO152" s="567"/>
      <c r="BP152" s="567"/>
      <c r="BQ152" s="568" t="s">
        <v>932</v>
      </c>
      <c r="BR152" s="568"/>
      <c r="BS152" s="568"/>
      <c r="BT152" s="567" t="s">
        <v>932</v>
      </c>
      <c r="BU152" s="567"/>
      <c r="BV152" s="567"/>
      <c r="BW152" s="567"/>
      <c r="BX152" s="568" t="s">
        <v>932</v>
      </c>
      <c r="BY152" s="568"/>
      <c r="BZ152" s="568"/>
      <c r="CA152" s="567">
        <v>0.0478145011255821</v>
      </c>
      <c r="CB152" s="567"/>
      <c r="CC152" s="567"/>
      <c r="CD152" s="567"/>
      <c r="CE152" s="568">
        <v>1</v>
      </c>
      <c r="CF152" s="568"/>
      <c r="CG152" s="568"/>
      <c r="CH152" s="567" t="s">
        <v>932</v>
      </c>
      <c r="CI152" s="567"/>
      <c r="CJ152" s="567"/>
      <c r="CK152" s="567"/>
      <c r="CL152" s="568" t="s">
        <v>932</v>
      </c>
      <c r="CM152" s="568"/>
      <c r="CN152" s="568"/>
    </row>
    <row r="153" customHeight="1" spans="1:92">
      <c r="A153" s="569"/>
      <c r="B153" s="570"/>
      <c r="C153" s="571"/>
      <c r="D153" s="572"/>
      <c r="E153" s="573"/>
      <c r="F153" s="574"/>
      <c r="G153" s="575"/>
      <c r="H153" s="576"/>
      <c r="I153" s="577"/>
      <c r="J153" s="578"/>
      <c r="K153" s="578"/>
      <c r="L153" s="578"/>
      <c r="M153" s="578"/>
      <c r="N153" s="578"/>
      <c r="O153" s="578"/>
      <c r="P153" s="578"/>
      <c r="Q153" s="578"/>
      <c r="R153" s="578"/>
      <c r="S153" s="578"/>
      <c r="T153" s="578"/>
      <c r="U153" s="578"/>
      <c r="V153" s="578"/>
      <c r="W153" s="578"/>
      <c r="X153" s="578"/>
      <c r="Y153" s="578"/>
      <c r="Z153" s="578"/>
      <c r="AA153" s="579"/>
      <c r="AB153" s="580"/>
      <c r="AC153" s="581"/>
      <c r="AD153" s="582"/>
      <c r="AE153" s="583"/>
      <c r="AF153" s="584"/>
      <c r="AG153" s="553" t="s">
        <v>1068</v>
      </c>
      <c r="AH153" s="554"/>
      <c r="AI153" s="555" t="s">
        <v>1069</v>
      </c>
      <c r="AJ153" s="556"/>
      <c r="AK153" s="556"/>
      <c r="AL153" s="556"/>
      <c r="AM153" s="556"/>
      <c r="AN153" s="556"/>
      <c r="AO153" s="556"/>
      <c r="AP153" s="556"/>
      <c r="AQ153" s="556"/>
      <c r="AR153" s="556"/>
      <c r="AS153" s="556"/>
      <c r="AT153" s="556"/>
      <c r="AU153" s="556"/>
      <c r="AV153" s="557"/>
      <c r="AW153" s="558">
        <v>1</v>
      </c>
      <c r="AX153" s="559"/>
      <c r="AY153" s="560"/>
      <c r="AZ153" s="585"/>
      <c r="BA153" s="586"/>
      <c r="BB153" s="587"/>
      <c r="BC153" s="558">
        <v>8.72566831040747</v>
      </c>
      <c r="BD153" s="559"/>
      <c r="BE153" s="560"/>
      <c r="BF153" s="558">
        <v>182.49</v>
      </c>
      <c r="BG153" s="559"/>
      <c r="BH153" s="560"/>
      <c r="BI153" s="564">
        <v>0.0478145011255821</v>
      </c>
      <c r="BJ153" s="565"/>
      <c r="BK153" s="565"/>
      <c r="BL153" s="566"/>
      <c r="BM153" s="567" t="s">
        <v>932</v>
      </c>
      <c r="BN153" s="567"/>
      <c r="BO153" s="567"/>
      <c r="BP153" s="567"/>
      <c r="BQ153" s="568" t="s">
        <v>932</v>
      </c>
      <c r="BR153" s="568"/>
      <c r="BS153" s="568"/>
      <c r="BT153" s="567" t="s">
        <v>932</v>
      </c>
      <c r="BU153" s="567"/>
      <c r="BV153" s="567"/>
      <c r="BW153" s="567"/>
      <c r="BX153" s="568" t="s">
        <v>932</v>
      </c>
      <c r="BY153" s="568"/>
      <c r="BZ153" s="568"/>
      <c r="CA153" s="567">
        <v>0.0478145011255821</v>
      </c>
      <c r="CB153" s="567"/>
      <c r="CC153" s="567"/>
      <c r="CD153" s="567"/>
      <c r="CE153" s="568">
        <v>1</v>
      </c>
      <c r="CF153" s="568"/>
      <c r="CG153" s="568"/>
      <c r="CH153" s="567" t="s">
        <v>932</v>
      </c>
      <c r="CI153" s="567"/>
      <c r="CJ153" s="567"/>
      <c r="CK153" s="567"/>
      <c r="CL153" s="568" t="s">
        <v>932</v>
      </c>
      <c r="CM153" s="568"/>
      <c r="CN153" s="568"/>
    </row>
    <row r="154" customHeight="1" spans="1:92">
      <c r="A154" s="569"/>
      <c r="B154" s="570"/>
      <c r="C154" s="571"/>
      <c r="D154" s="572"/>
      <c r="E154" s="573"/>
      <c r="F154" s="574"/>
      <c r="G154" s="575"/>
      <c r="H154" s="576"/>
      <c r="I154" s="577"/>
      <c r="J154" s="578"/>
      <c r="K154" s="578"/>
      <c r="L154" s="578"/>
      <c r="M154" s="578"/>
      <c r="N154" s="578"/>
      <c r="O154" s="578"/>
      <c r="P154" s="578"/>
      <c r="Q154" s="578"/>
      <c r="R154" s="578"/>
      <c r="S154" s="578"/>
      <c r="T154" s="578"/>
      <c r="U154" s="578"/>
      <c r="V154" s="578"/>
      <c r="W154" s="578"/>
      <c r="X154" s="578"/>
      <c r="Y154" s="578"/>
      <c r="Z154" s="578"/>
      <c r="AA154" s="579"/>
      <c r="AB154" s="580"/>
      <c r="AC154" s="581"/>
      <c r="AD154" s="582"/>
      <c r="AE154" s="583"/>
      <c r="AF154" s="584"/>
      <c r="AG154" s="553" t="s">
        <v>1070</v>
      </c>
      <c r="AH154" s="554"/>
      <c r="AI154" s="555" t="s">
        <v>1071</v>
      </c>
      <c r="AJ154" s="556"/>
      <c r="AK154" s="556"/>
      <c r="AL154" s="556"/>
      <c r="AM154" s="556"/>
      <c r="AN154" s="556"/>
      <c r="AO154" s="556"/>
      <c r="AP154" s="556"/>
      <c r="AQ154" s="556"/>
      <c r="AR154" s="556"/>
      <c r="AS154" s="556"/>
      <c r="AT154" s="556"/>
      <c r="AU154" s="556"/>
      <c r="AV154" s="557"/>
      <c r="AW154" s="558">
        <v>4</v>
      </c>
      <c r="AX154" s="559"/>
      <c r="AY154" s="560"/>
      <c r="AZ154" s="585"/>
      <c r="BA154" s="586"/>
      <c r="BB154" s="587"/>
      <c r="BC154" s="558">
        <v>34.9026732416299</v>
      </c>
      <c r="BD154" s="559"/>
      <c r="BE154" s="560"/>
      <c r="BF154" s="558">
        <v>182.49</v>
      </c>
      <c r="BG154" s="559"/>
      <c r="BH154" s="560"/>
      <c r="BI154" s="564">
        <v>0.191258004502328</v>
      </c>
      <c r="BJ154" s="565"/>
      <c r="BK154" s="565"/>
      <c r="BL154" s="566"/>
      <c r="BM154" s="567" t="s">
        <v>932</v>
      </c>
      <c r="BN154" s="567"/>
      <c r="BO154" s="567"/>
      <c r="BP154" s="567"/>
      <c r="BQ154" s="568" t="s">
        <v>932</v>
      </c>
      <c r="BR154" s="568"/>
      <c r="BS154" s="568"/>
      <c r="BT154" s="567" t="s">
        <v>932</v>
      </c>
      <c r="BU154" s="567"/>
      <c r="BV154" s="567"/>
      <c r="BW154" s="567"/>
      <c r="BX154" s="568" t="s">
        <v>932</v>
      </c>
      <c r="BY154" s="568"/>
      <c r="BZ154" s="568"/>
      <c r="CA154" s="567">
        <v>0.191258004502328</v>
      </c>
      <c r="CB154" s="567"/>
      <c r="CC154" s="567"/>
      <c r="CD154" s="567"/>
      <c r="CE154" s="568">
        <v>1</v>
      </c>
      <c r="CF154" s="568"/>
      <c r="CG154" s="568"/>
      <c r="CH154" s="567" t="s">
        <v>932</v>
      </c>
      <c r="CI154" s="567"/>
      <c r="CJ154" s="567"/>
      <c r="CK154" s="567"/>
      <c r="CL154" s="568" t="s">
        <v>932</v>
      </c>
      <c r="CM154" s="568"/>
      <c r="CN154" s="568"/>
    </row>
    <row r="155" customHeight="1" spans="1:92">
      <c r="A155" s="569"/>
      <c r="B155" s="570"/>
      <c r="C155" s="571"/>
      <c r="D155" s="572"/>
      <c r="E155" s="573"/>
      <c r="F155" s="574"/>
      <c r="G155" s="575"/>
      <c r="H155" s="576"/>
      <c r="I155" s="577"/>
      <c r="J155" s="578"/>
      <c r="K155" s="578"/>
      <c r="L155" s="578"/>
      <c r="M155" s="578"/>
      <c r="N155" s="578"/>
      <c r="O155" s="578"/>
      <c r="P155" s="578"/>
      <c r="Q155" s="578"/>
      <c r="R155" s="578"/>
      <c r="S155" s="578"/>
      <c r="T155" s="578"/>
      <c r="U155" s="578"/>
      <c r="V155" s="578"/>
      <c r="W155" s="578"/>
      <c r="X155" s="578"/>
      <c r="Y155" s="578"/>
      <c r="Z155" s="578"/>
      <c r="AA155" s="579"/>
      <c r="AB155" s="580"/>
      <c r="AC155" s="581"/>
      <c r="AD155" s="582"/>
      <c r="AE155" s="583"/>
      <c r="AF155" s="584"/>
      <c r="AG155" s="553" t="s">
        <v>1072</v>
      </c>
      <c r="AH155" s="554"/>
      <c r="AI155" s="555" t="s">
        <v>1073</v>
      </c>
      <c r="AJ155" s="556"/>
      <c r="AK155" s="556"/>
      <c r="AL155" s="556"/>
      <c r="AM155" s="556"/>
      <c r="AN155" s="556"/>
      <c r="AO155" s="556"/>
      <c r="AP155" s="556"/>
      <c r="AQ155" s="556"/>
      <c r="AR155" s="556"/>
      <c r="AS155" s="556"/>
      <c r="AT155" s="556"/>
      <c r="AU155" s="556"/>
      <c r="AV155" s="557"/>
      <c r="AW155" s="558">
        <v>3</v>
      </c>
      <c r="AX155" s="559"/>
      <c r="AY155" s="560"/>
      <c r="AZ155" s="585"/>
      <c r="BA155" s="586"/>
      <c r="BB155" s="587"/>
      <c r="BC155" s="558">
        <v>26.1770049312224</v>
      </c>
      <c r="BD155" s="559"/>
      <c r="BE155" s="560"/>
      <c r="BF155" s="558">
        <v>182.49</v>
      </c>
      <c r="BG155" s="559"/>
      <c r="BH155" s="560"/>
      <c r="BI155" s="564">
        <v>0.143443503376746</v>
      </c>
      <c r="BJ155" s="565"/>
      <c r="BK155" s="565"/>
      <c r="BL155" s="566"/>
      <c r="BM155" s="567" t="s">
        <v>932</v>
      </c>
      <c r="BN155" s="567"/>
      <c r="BO155" s="567"/>
      <c r="BP155" s="567"/>
      <c r="BQ155" s="568" t="s">
        <v>932</v>
      </c>
      <c r="BR155" s="568"/>
      <c r="BS155" s="568"/>
      <c r="BT155" s="567" t="s">
        <v>932</v>
      </c>
      <c r="BU155" s="567"/>
      <c r="BV155" s="567"/>
      <c r="BW155" s="567"/>
      <c r="BX155" s="568" t="s">
        <v>932</v>
      </c>
      <c r="BY155" s="568"/>
      <c r="BZ155" s="568"/>
      <c r="CA155" s="567">
        <v>0.143443503376746</v>
      </c>
      <c r="CB155" s="567"/>
      <c r="CC155" s="567"/>
      <c r="CD155" s="567"/>
      <c r="CE155" s="568">
        <v>1</v>
      </c>
      <c r="CF155" s="568"/>
      <c r="CG155" s="568"/>
      <c r="CH155" s="567" t="s">
        <v>932</v>
      </c>
      <c r="CI155" s="567"/>
      <c r="CJ155" s="567"/>
      <c r="CK155" s="567"/>
      <c r="CL155" s="568" t="s">
        <v>932</v>
      </c>
      <c r="CM155" s="568"/>
      <c r="CN155" s="568"/>
    </row>
    <row r="156" hidden="1" customHeight="1" spans="1:92">
      <c r="A156" s="569"/>
      <c r="B156" s="570"/>
      <c r="C156" s="571"/>
      <c r="D156" s="572"/>
      <c r="E156" s="573"/>
      <c r="F156" s="574"/>
      <c r="G156" s="575"/>
      <c r="H156" s="576"/>
      <c r="I156" s="577"/>
      <c r="J156" s="578"/>
      <c r="K156" s="578"/>
      <c r="L156" s="578"/>
      <c r="M156" s="578"/>
      <c r="N156" s="578"/>
      <c r="O156" s="578"/>
      <c r="P156" s="578"/>
      <c r="Q156" s="578"/>
      <c r="R156" s="578"/>
      <c r="S156" s="578"/>
      <c r="T156" s="578"/>
      <c r="U156" s="578"/>
      <c r="V156" s="578"/>
      <c r="W156" s="578"/>
      <c r="X156" s="578"/>
      <c r="Y156" s="578"/>
      <c r="Z156" s="578"/>
      <c r="AA156" s="579"/>
      <c r="AB156" s="580"/>
      <c r="AC156" s="581"/>
      <c r="AD156" s="582"/>
      <c r="AE156" s="583"/>
      <c r="AF156" s="584"/>
      <c r="AG156" s="553">
        <v>0</v>
      </c>
      <c r="AH156" s="554"/>
      <c r="AI156" s="555" t="e">
        <v>#N/A</v>
      </c>
      <c r="AJ156" s="556"/>
      <c r="AK156" s="556"/>
      <c r="AL156" s="556"/>
      <c r="AM156" s="556"/>
      <c r="AN156" s="556"/>
      <c r="AO156" s="556"/>
      <c r="AP156" s="556"/>
      <c r="AQ156" s="556"/>
      <c r="AR156" s="556"/>
      <c r="AS156" s="556"/>
      <c r="AT156" s="556"/>
      <c r="AU156" s="556"/>
      <c r="AV156" s="557"/>
      <c r="AW156" s="558">
        <v>0</v>
      </c>
      <c r="AX156" s="559"/>
      <c r="AY156" s="560"/>
      <c r="AZ156" s="585"/>
      <c r="BA156" s="586"/>
      <c r="BB156" s="587"/>
      <c r="BC156" s="558">
        <v>0</v>
      </c>
      <c r="BD156" s="559"/>
      <c r="BE156" s="560"/>
      <c r="BF156" s="558">
        <v>182.49</v>
      </c>
      <c r="BG156" s="559"/>
      <c r="BH156" s="560"/>
      <c r="BI156" s="564">
        <v>0</v>
      </c>
      <c r="BJ156" s="565"/>
      <c r="BK156" s="565"/>
      <c r="BL156" s="566"/>
      <c r="BM156" s="567" t="s">
        <v>932</v>
      </c>
      <c r="BN156" s="567"/>
      <c r="BO156" s="567"/>
      <c r="BP156" s="567"/>
      <c r="BQ156" s="568" t="s">
        <v>932</v>
      </c>
      <c r="BR156" s="568"/>
      <c r="BS156" s="568"/>
      <c r="BT156" s="567" t="s">
        <v>932</v>
      </c>
      <c r="BU156" s="567"/>
      <c r="BV156" s="567"/>
      <c r="BW156" s="567"/>
      <c r="BX156" s="568" t="s">
        <v>932</v>
      </c>
      <c r="BY156" s="568"/>
      <c r="BZ156" s="568"/>
      <c r="CA156" s="567" t="s">
        <v>932</v>
      </c>
      <c r="CB156" s="567"/>
      <c r="CC156" s="567"/>
      <c r="CD156" s="567"/>
      <c r="CE156" s="568">
        <v>1</v>
      </c>
      <c r="CF156" s="568"/>
      <c r="CG156" s="568"/>
      <c r="CH156" s="567" t="s">
        <v>932</v>
      </c>
      <c r="CI156" s="567"/>
      <c r="CJ156" s="567"/>
      <c r="CK156" s="567"/>
      <c r="CL156" s="568" t="s">
        <v>932</v>
      </c>
      <c r="CM156" s="568"/>
      <c r="CN156" s="568"/>
    </row>
    <row r="157" hidden="1" customHeight="1" spans="1:92">
      <c r="A157" s="569"/>
      <c r="B157" s="570"/>
      <c r="C157" s="571"/>
      <c r="D157" s="572"/>
      <c r="E157" s="573"/>
      <c r="F157" s="574"/>
      <c r="G157" s="575"/>
      <c r="H157" s="576"/>
      <c r="I157" s="577"/>
      <c r="J157" s="578"/>
      <c r="K157" s="578"/>
      <c r="L157" s="578"/>
      <c r="M157" s="578"/>
      <c r="N157" s="578"/>
      <c r="O157" s="578"/>
      <c r="P157" s="578"/>
      <c r="Q157" s="578"/>
      <c r="R157" s="578"/>
      <c r="S157" s="578"/>
      <c r="T157" s="578"/>
      <c r="U157" s="578"/>
      <c r="V157" s="578"/>
      <c r="W157" s="578"/>
      <c r="X157" s="578"/>
      <c r="Y157" s="578"/>
      <c r="Z157" s="578"/>
      <c r="AA157" s="579"/>
      <c r="AB157" s="580"/>
      <c r="AC157" s="581"/>
      <c r="AD157" s="582"/>
      <c r="AE157" s="583"/>
      <c r="AF157" s="584"/>
      <c r="AG157" s="553">
        <v>0</v>
      </c>
      <c r="AH157" s="554"/>
      <c r="AI157" s="555" t="e">
        <v>#N/A</v>
      </c>
      <c r="AJ157" s="556"/>
      <c r="AK157" s="556"/>
      <c r="AL157" s="556"/>
      <c r="AM157" s="556"/>
      <c r="AN157" s="556"/>
      <c r="AO157" s="556"/>
      <c r="AP157" s="556"/>
      <c r="AQ157" s="556"/>
      <c r="AR157" s="556"/>
      <c r="AS157" s="556"/>
      <c r="AT157" s="556"/>
      <c r="AU157" s="556"/>
      <c r="AV157" s="557"/>
      <c r="AW157" s="558">
        <v>0</v>
      </c>
      <c r="AX157" s="559"/>
      <c r="AY157" s="560"/>
      <c r="AZ157" s="585"/>
      <c r="BA157" s="586"/>
      <c r="BB157" s="587"/>
      <c r="BC157" s="558">
        <v>0</v>
      </c>
      <c r="BD157" s="559"/>
      <c r="BE157" s="560"/>
      <c r="BF157" s="558">
        <v>182.49</v>
      </c>
      <c r="BG157" s="559"/>
      <c r="BH157" s="560"/>
      <c r="BI157" s="564">
        <v>0</v>
      </c>
      <c r="BJ157" s="565"/>
      <c r="BK157" s="565"/>
      <c r="BL157" s="566"/>
      <c r="BM157" s="567" t="s">
        <v>932</v>
      </c>
      <c r="BN157" s="567"/>
      <c r="BO157" s="567"/>
      <c r="BP157" s="567"/>
      <c r="BQ157" s="568" t="s">
        <v>932</v>
      </c>
      <c r="BR157" s="568"/>
      <c r="BS157" s="568"/>
      <c r="BT157" s="567" t="s">
        <v>932</v>
      </c>
      <c r="BU157" s="567"/>
      <c r="BV157" s="567"/>
      <c r="BW157" s="567"/>
      <c r="BX157" s="568" t="s">
        <v>932</v>
      </c>
      <c r="BY157" s="568"/>
      <c r="BZ157" s="568"/>
      <c r="CA157" s="567" t="s">
        <v>932</v>
      </c>
      <c r="CB157" s="567"/>
      <c r="CC157" s="567"/>
      <c r="CD157" s="567"/>
      <c r="CE157" s="568">
        <v>1</v>
      </c>
      <c r="CF157" s="568"/>
      <c r="CG157" s="568"/>
      <c r="CH157" s="567" t="s">
        <v>932</v>
      </c>
      <c r="CI157" s="567"/>
      <c r="CJ157" s="567"/>
      <c r="CK157" s="567"/>
      <c r="CL157" s="568" t="s">
        <v>932</v>
      </c>
      <c r="CM157" s="568"/>
      <c r="CN157" s="568"/>
    </row>
    <row r="158" hidden="1" customHeight="1" spans="1:92">
      <c r="A158" s="569"/>
      <c r="B158" s="570"/>
      <c r="C158" s="571"/>
      <c r="D158" s="572"/>
      <c r="E158" s="573"/>
      <c r="F158" s="574"/>
      <c r="G158" s="575"/>
      <c r="H158" s="576"/>
      <c r="I158" s="577"/>
      <c r="J158" s="578"/>
      <c r="K158" s="578"/>
      <c r="L158" s="578"/>
      <c r="M158" s="578"/>
      <c r="N158" s="578"/>
      <c r="O158" s="578"/>
      <c r="P158" s="578"/>
      <c r="Q158" s="578"/>
      <c r="R158" s="578"/>
      <c r="S158" s="578"/>
      <c r="T158" s="578"/>
      <c r="U158" s="578"/>
      <c r="V158" s="578"/>
      <c r="W158" s="578"/>
      <c r="X158" s="578"/>
      <c r="Y158" s="578"/>
      <c r="Z158" s="578"/>
      <c r="AA158" s="579"/>
      <c r="AB158" s="580"/>
      <c r="AC158" s="581"/>
      <c r="AD158" s="582"/>
      <c r="AE158" s="583"/>
      <c r="AF158" s="584"/>
      <c r="AG158" s="553">
        <v>0</v>
      </c>
      <c r="AH158" s="554"/>
      <c r="AI158" s="555" t="e">
        <v>#N/A</v>
      </c>
      <c r="AJ158" s="556"/>
      <c r="AK158" s="556"/>
      <c r="AL158" s="556"/>
      <c r="AM158" s="556"/>
      <c r="AN158" s="556"/>
      <c r="AO158" s="556"/>
      <c r="AP158" s="556"/>
      <c r="AQ158" s="556"/>
      <c r="AR158" s="556"/>
      <c r="AS158" s="556"/>
      <c r="AT158" s="556"/>
      <c r="AU158" s="556"/>
      <c r="AV158" s="557"/>
      <c r="AW158" s="558">
        <v>0</v>
      </c>
      <c r="AX158" s="559"/>
      <c r="AY158" s="560"/>
      <c r="AZ158" s="585"/>
      <c r="BA158" s="586"/>
      <c r="BB158" s="587"/>
      <c r="BC158" s="558">
        <v>0</v>
      </c>
      <c r="BD158" s="559"/>
      <c r="BE158" s="560"/>
      <c r="BF158" s="558">
        <v>182.49</v>
      </c>
      <c r="BG158" s="559"/>
      <c r="BH158" s="560"/>
      <c r="BI158" s="564">
        <v>0</v>
      </c>
      <c r="BJ158" s="565"/>
      <c r="BK158" s="565"/>
      <c r="BL158" s="566"/>
      <c r="BM158" s="567" t="s">
        <v>932</v>
      </c>
      <c r="BN158" s="567"/>
      <c r="BO158" s="567"/>
      <c r="BP158" s="567"/>
      <c r="BQ158" s="568" t="s">
        <v>932</v>
      </c>
      <c r="BR158" s="568"/>
      <c r="BS158" s="568"/>
      <c r="BT158" s="567" t="s">
        <v>932</v>
      </c>
      <c r="BU158" s="567"/>
      <c r="BV158" s="567"/>
      <c r="BW158" s="567"/>
      <c r="BX158" s="568" t="s">
        <v>932</v>
      </c>
      <c r="BY158" s="568"/>
      <c r="BZ158" s="568"/>
      <c r="CA158" s="567" t="s">
        <v>932</v>
      </c>
      <c r="CB158" s="567"/>
      <c r="CC158" s="567"/>
      <c r="CD158" s="567"/>
      <c r="CE158" s="568">
        <v>1</v>
      </c>
      <c r="CF158" s="568"/>
      <c r="CG158" s="568"/>
      <c r="CH158" s="567" t="s">
        <v>932</v>
      </c>
      <c r="CI158" s="567"/>
      <c r="CJ158" s="567"/>
      <c r="CK158" s="567"/>
      <c r="CL158" s="568" t="s">
        <v>932</v>
      </c>
      <c r="CM158" s="568"/>
      <c r="CN158" s="568"/>
    </row>
    <row r="159" hidden="1" customHeight="1" spans="1:92">
      <c r="A159" s="588"/>
      <c r="B159" s="589"/>
      <c r="C159" s="590"/>
      <c r="D159" s="591"/>
      <c r="E159" s="592"/>
      <c r="F159" s="593"/>
      <c r="G159" s="594"/>
      <c r="H159" s="595"/>
      <c r="I159" s="596"/>
      <c r="J159" s="597"/>
      <c r="K159" s="597"/>
      <c r="L159" s="597"/>
      <c r="M159" s="597"/>
      <c r="N159" s="597"/>
      <c r="O159" s="597"/>
      <c r="P159" s="597"/>
      <c r="Q159" s="597"/>
      <c r="R159" s="597"/>
      <c r="S159" s="597"/>
      <c r="T159" s="597"/>
      <c r="U159" s="597"/>
      <c r="V159" s="597"/>
      <c r="W159" s="597"/>
      <c r="X159" s="597"/>
      <c r="Y159" s="597"/>
      <c r="Z159" s="597"/>
      <c r="AA159" s="598"/>
      <c r="AB159" s="599"/>
      <c r="AC159" s="600"/>
      <c r="AD159" s="601"/>
      <c r="AE159" s="602"/>
      <c r="AF159" s="603"/>
      <c r="AG159" s="553">
        <v>0</v>
      </c>
      <c r="AH159" s="554"/>
      <c r="AI159" s="555" t="e">
        <v>#N/A</v>
      </c>
      <c r="AJ159" s="556"/>
      <c r="AK159" s="556"/>
      <c r="AL159" s="556"/>
      <c r="AM159" s="556"/>
      <c r="AN159" s="556"/>
      <c r="AO159" s="556"/>
      <c r="AP159" s="556"/>
      <c r="AQ159" s="556"/>
      <c r="AR159" s="556"/>
      <c r="AS159" s="556"/>
      <c r="AT159" s="556"/>
      <c r="AU159" s="556"/>
      <c r="AV159" s="557"/>
      <c r="AW159" s="558">
        <v>0</v>
      </c>
      <c r="AX159" s="559"/>
      <c r="AY159" s="560"/>
      <c r="AZ159" s="604"/>
      <c r="BA159" s="605"/>
      <c r="BB159" s="606"/>
      <c r="BC159" s="558">
        <v>0</v>
      </c>
      <c r="BD159" s="559"/>
      <c r="BE159" s="560"/>
      <c r="BF159" s="558">
        <v>182.49</v>
      </c>
      <c r="BG159" s="559"/>
      <c r="BH159" s="560"/>
      <c r="BI159" s="564">
        <v>0</v>
      </c>
      <c r="BJ159" s="565"/>
      <c r="BK159" s="565"/>
      <c r="BL159" s="566"/>
      <c r="BM159" s="567" t="s">
        <v>932</v>
      </c>
      <c r="BN159" s="567"/>
      <c r="BO159" s="567"/>
      <c r="BP159" s="567"/>
      <c r="BQ159" s="568" t="s">
        <v>932</v>
      </c>
      <c r="BR159" s="568"/>
      <c r="BS159" s="568"/>
      <c r="BT159" s="567" t="s">
        <v>932</v>
      </c>
      <c r="BU159" s="567"/>
      <c r="BV159" s="567"/>
      <c r="BW159" s="567"/>
      <c r="BX159" s="568" t="s">
        <v>932</v>
      </c>
      <c r="BY159" s="568"/>
      <c r="BZ159" s="568"/>
      <c r="CA159" s="567" t="s">
        <v>932</v>
      </c>
      <c r="CB159" s="567"/>
      <c r="CC159" s="567"/>
      <c r="CD159" s="567"/>
      <c r="CE159" s="568">
        <v>1</v>
      </c>
      <c r="CF159" s="568"/>
      <c r="CG159" s="568"/>
      <c r="CH159" s="567" t="s">
        <v>932</v>
      </c>
      <c r="CI159" s="567"/>
      <c r="CJ159" s="567"/>
      <c r="CK159" s="567"/>
      <c r="CL159" s="568" t="s">
        <v>932</v>
      </c>
      <c r="CM159" s="568"/>
      <c r="CN159" s="568"/>
    </row>
    <row r="160" customHeight="1" spans="1:92">
      <c r="A160" s="540" t="s">
        <v>960</v>
      </c>
      <c r="B160" s="541"/>
      <c r="C160" s="89"/>
      <c r="D160" s="91"/>
      <c r="E160" s="90"/>
      <c r="F160" s="542">
        <v>1106057</v>
      </c>
      <c r="G160" s="543"/>
      <c r="H160" s="544"/>
      <c r="I160" s="545" t="s">
        <v>109</v>
      </c>
      <c r="J160" s="546"/>
      <c r="K160" s="546"/>
      <c r="L160" s="546"/>
      <c r="M160" s="546"/>
      <c r="N160" s="546"/>
      <c r="O160" s="546"/>
      <c r="P160" s="546"/>
      <c r="Q160" s="546"/>
      <c r="R160" s="546"/>
      <c r="S160" s="546"/>
      <c r="T160" s="546"/>
      <c r="U160" s="546"/>
      <c r="V160" s="546"/>
      <c r="W160" s="546"/>
      <c r="X160" s="546"/>
      <c r="Y160" s="546"/>
      <c r="Z160" s="546"/>
      <c r="AA160" s="547"/>
      <c r="AB160" s="548" t="s">
        <v>99</v>
      </c>
      <c r="AC160" s="549"/>
      <c r="AD160" s="550">
        <v>0.42</v>
      </c>
      <c r="AE160" s="551"/>
      <c r="AF160" s="552"/>
      <c r="AG160" s="553" t="s">
        <v>1068</v>
      </c>
      <c r="AH160" s="554"/>
      <c r="AI160" s="555" t="s">
        <v>1069</v>
      </c>
      <c r="AJ160" s="556"/>
      <c r="AK160" s="556"/>
      <c r="AL160" s="556"/>
      <c r="AM160" s="556"/>
      <c r="AN160" s="556"/>
      <c r="AO160" s="556"/>
      <c r="AP160" s="556"/>
      <c r="AQ160" s="556"/>
      <c r="AR160" s="556"/>
      <c r="AS160" s="556"/>
      <c r="AT160" s="556"/>
      <c r="AU160" s="556"/>
      <c r="AV160" s="557"/>
      <c r="AW160" s="558">
        <v>1</v>
      </c>
      <c r="AX160" s="559"/>
      <c r="AY160" s="560"/>
      <c r="AZ160" s="561">
        <v>3.92899</v>
      </c>
      <c r="BA160" s="562"/>
      <c r="BB160" s="563"/>
      <c r="BC160" s="558">
        <v>0.106897701444901</v>
      </c>
      <c r="BD160" s="559"/>
      <c r="BE160" s="560"/>
      <c r="BF160" s="558">
        <v>182.49</v>
      </c>
      <c r="BG160" s="559"/>
      <c r="BH160" s="560"/>
      <c r="BI160" s="564">
        <v>0.000585772926981756</v>
      </c>
      <c r="BJ160" s="565"/>
      <c r="BK160" s="565"/>
      <c r="BL160" s="566"/>
      <c r="BM160" s="567" t="s">
        <v>932</v>
      </c>
      <c r="BN160" s="567"/>
      <c r="BO160" s="567"/>
      <c r="BP160" s="567"/>
      <c r="BQ160" s="568" t="s">
        <v>932</v>
      </c>
      <c r="BR160" s="568"/>
      <c r="BS160" s="568"/>
      <c r="BT160" s="567" t="s">
        <v>932</v>
      </c>
      <c r="BU160" s="567"/>
      <c r="BV160" s="567"/>
      <c r="BW160" s="567"/>
      <c r="BX160" s="568" t="s">
        <v>932</v>
      </c>
      <c r="BY160" s="568"/>
      <c r="BZ160" s="568"/>
      <c r="CA160" s="567">
        <v>0.000585772926981756</v>
      </c>
      <c r="CB160" s="567"/>
      <c r="CC160" s="567"/>
      <c r="CD160" s="567"/>
      <c r="CE160" s="568">
        <v>1</v>
      </c>
      <c r="CF160" s="568"/>
      <c r="CG160" s="568"/>
      <c r="CH160" s="567" t="s">
        <v>932</v>
      </c>
      <c r="CI160" s="567"/>
      <c r="CJ160" s="567"/>
      <c r="CK160" s="567"/>
      <c r="CL160" s="568" t="s">
        <v>932</v>
      </c>
      <c r="CM160" s="568"/>
      <c r="CN160" s="568"/>
    </row>
    <row r="161" customHeight="1" spans="1:92">
      <c r="A161" s="569"/>
      <c r="B161" s="570"/>
      <c r="C161" s="571"/>
      <c r="D161" s="572"/>
      <c r="E161" s="573"/>
      <c r="F161" s="574"/>
      <c r="G161" s="575"/>
      <c r="H161" s="576"/>
      <c r="I161" s="577"/>
      <c r="J161" s="578"/>
      <c r="K161" s="578"/>
      <c r="L161" s="578"/>
      <c r="M161" s="578"/>
      <c r="N161" s="578"/>
      <c r="O161" s="578"/>
      <c r="P161" s="578"/>
      <c r="Q161" s="578"/>
      <c r="R161" s="578"/>
      <c r="S161" s="578"/>
      <c r="T161" s="578"/>
      <c r="U161" s="578"/>
      <c r="V161" s="578"/>
      <c r="W161" s="578"/>
      <c r="X161" s="578"/>
      <c r="Y161" s="578"/>
      <c r="Z161" s="578"/>
      <c r="AA161" s="579"/>
      <c r="AB161" s="580"/>
      <c r="AC161" s="581"/>
      <c r="AD161" s="582"/>
      <c r="AE161" s="583"/>
      <c r="AF161" s="584"/>
      <c r="AG161" s="553" t="s">
        <v>1070</v>
      </c>
      <c r="AH161" s="554"/>
      <c r="AI161" s="555" t="s">
        <v>1071</v>
      </c>
      <c r="AJ161" s="556"/>
      <c r="AK161" s="556"/>
      <c r="AL161" s="556"/>
      <c r="AM161" s="556"/>
      <c r="AN161" s="556"/>
      <c r="AO161" s="556"/>
      <c r="AP161" s="556"/>
      <c r="AQ161" s="556"/>
      <c r="AR161" s="556"/>
      <c r="AS161" s="556"/>
      <c r="AT161" s="556"/>
      <c r="AU161" s="556"/>
      <c r="AV161" s="557"/>
      <c r="AW161" s="558">
        <v>4</v>
      </c>
      <c r="AX161" s="559"/>
      <c r="AY161" s="560"/>
      <c r="AZ161" s="585"/>
      <c r="BA161" s="586"/>
      <c r="BB161" s="587"/>
      <c r="BC161" s="558">
        <v>0.427590805779602</v>
      </c>
      <c r="BD161" s="559"/>
      <c r="BE161" s="560"/>
      <c r="BF161" s="558">
        <v>182.49</v>
      </c>
      <c r="BG161" s="559"/>
      <c r="BH161" s="560"/>
      <c r="BI161" s="564">
        <v>0.00234309170792702</v>
      </c>
      <c r="BJ161" s="565"/>
      <c r="BK161" s="565"/>
      <c r="BL161" s="566"/>
      <c r="BM161" s="567" t="s">
        <v>932</v>
      </c>
      <c r="BN161" s="567"/>
      <c r="BO161" s="567"/>
      <c r="BP161" s="567"/>
      <c r="BQ161" s="568" t="s">
        <v>932</v>
      </c>
      <c r="BR161" s="568"/>
      <c r="BS161" s="568"/>
      <c r="BT161" s="567" t="s">
        <v>932</v>
      </c>
      <c r="BU161" s="567"/>
      <c r="BV161" s="567"/>
      <c r="BW161" s="567"/>
      <c r="BX161" s="568" t="s">
        <v>932</v>
      </c>
      <c r="BY161" s="568"/>
      <c r="BZ161" s="568"/>
      <c r="CA161" s="567">
        <v>0.00234309170792702</v>
      </c>
      <c r="CB161" s="567"/>
      <c r="CC161" s="567"/>
      <c r="CD161" s="567"/>
      <c r="CE161" s="568">
        <v>1</v>
      </c>
      <c r="CF161" s="568"/>
      <c r="CG161" s="568"/>
      <c r="CH161" s="567" t="s">
        <v>932</v>
      </c>
      <c r="CI161" s="567"/>
      <c r="CJ161" s="567"/>
      <c r="CK161" s="567"/>
      <c r="CL161" s="568" t="s">
        <v>932</v>
      </c>
      <c r="CM161" s="568"/>
      <c r="CN161" s="568"/>
    </row>
    <row r="162" customHeight="1" spans="1:92">
      <c r="A162" s="569"/>
      <c r="B162" s="570"/>
      <c r="C162" s="571"/>
      <c r="D162" s="572"/>
      <c r="E162" s="573"/>
      <c r="F162" s="574"/>
      <c r="G162" s="575"/>
      <c r="H162" s="576"/>
      <c r="I162" s="577"/>
      <c r="J162" s="578"/>
      <c r="K162" s="578"/>
      <c r="L162" s="578"/>
      <c r="M162" s="578"/>
      <c r="N162" s="578"/>
      <c r="O162" s="578"/>
      <c r="P162" s="578"/>
      <c r="Q162" s="578"/>
      <c r="R162" s="578"/>
      <c r="S162" s="578"/>
      <c r="T162" s="578"/>
      <c r="U162" s="578"/>
      <c r="V162" s="578"/>
      <c r="W162" s="578"/>
      <c r="X162" s="578"/>
      <c r="Y162" s="578"/>
      <c r="Z162" s="578"/>
      <c r="AA162" s="579"/>
      <c r="AB162" s="580"/>
      <c r="AC162" s="581"/>
      <c r="AD162" s="582"/>
      <c r="AE162" s="583"/>
      <c r="AF162" s="584"/>
      <c r="AG162" s="553" t="s">
        <v>1072</v>
      </c>
      <c r="AH162" s="554"/>
      <c r="AI162" s="555" t="s">
        <v>1073</v>
      </c>
      <c r="AJ162" s="556"/>
      <c r="AK162" s="556"/>
      <c r="AL162" s="556"/>
      <c r="AM162" s="556"/>
      <c r="AN162" s="556"/>
      <c r="AO162" s="556"/>
      <c r="AP162" s="556"/>
      <c r="AQ162" s="556"/>
      <c r="AR162" s="556"/>
      <c r="AS162" s="556"/>
      <c r="AT162" s="556"/>
      <c r="AU162" s="556"/>
      <c r="AV162" s="557"/>
      <c r="AW162" s="558">
        <v>3</v>
      </c>
      <c r="AX162" s="559"/>
      <c r="AY162" s="560"/>
      <c r="AZ162" s="585"/>
      <c r="BA162" s="586"/>
      <c r="BB162" s="587"/>
      <c r="BC162" s="558">
        <v>0.320693104334702</v>
      </c>
      <c r="BD162" s="559"/>
      <c r="BE162" s="560"/>
      <c r="BF162" s="558">
        <v>182.49</v>
      </c>
      <c r="BG162" s="559"/>
      <c r="BH162" s="560"/>
      <c r="BI162" s="564">
        <v>0.00175731878094527</v>
      </c>
      <c r="BJ162" s="565"/>
      <c r="BK162" s="565"/>
      <c r="BL162" s="566"/>
      <c r="BM162" s="567" t="s">
        <v>932</v>
      </c>
      <c r="BN162" s="567"/>
      <c r="BO162" s="567"/>
      <c r="BP162" s="567"/>
      <c r="BQ162" s="568" t="s">
        <v>932</v>
      </c>
      <c r="BR162" s="568"/>
      <c r="BS162" s="568"/>
      <c r="BT162" s="567" t="s">
        <v>932</v>
      </c>
      <c r="BU162" s="567"/>
      <c r="BV162" s="567"/>
      <c r="BW162" s="567"/>
      <c r="BX162" s="568" t="s">
        <v>932</v>
      </c>
      <c r="BY162" s="568"/>
      <c r="BZ162" s="568"/>
      <c r="CA162" s="567">
        <v>0.00175731878094527</v>
      </c>
      <c r="CB162" s="567"/>
      <c r="CC162" s="567"/>
      <c r="CD162" s="567"/>
      <c r="CE162" s="568">
        <v>1</v>
      </c>
      <c r="CF162" s="568"/>
      <c r="CG162" s="568"/>
      <c r="CH162" s="567" t="s">
        <v>932</v>
      </c>
      <c r="CI162" s="567"/>
      <c r="CJ162" s="567"/>
      <c r="CK162" s="567"/>
      <c r="CL162" s="568" t="s">
        <v>932</v>
      </c>
      <c r="CM162" s="568"/>
      <c r="CN162" s="568"/>
    </row>
    <row r="163" hidden="1" customHeight="1" spans="1:92">
      <c r="A163" s="569"/>
      <c r="B163" s="570"/>
      <c r="C163" s="571"/>
      <c r="D163" s="572"/>
      <c r="E163" s="573"/>
      <c r="F163" s="574"/>
      <c r="G163" s="575"/>
      <c r="H163" s="576"/>
      <c r="I163" s="577"/>
      <c r="J163" s="578"/>
      <c r="K163" s="578"/>
      <c r="L163" s="578"/>
      <c r="M163" s="578"/>
      <c r="N163" s="578"/>
      <c r="O163" s="578"/>
      <c r="P163" s="578"/>
      <c r="Q163" s="578"/>
      <c r="R163" s="578"/>
      <c r="S163" s="578"/>
      <c r="T163" s="578"/>
      <c r="U163" s="578"/>
      <c r="V163" s="578"/>
      <c r="W163" s="578"/>
      <c r="X163" s="578"/>
      <c r="Y163" s="578"/>
      <c r="Z163" s="578"/>
      <c r="AA163" s="579"/>
      <c r="AB163" s="580"/>
      <c r="AC163" s="581"/>
      <c r="AD163" s="582"/>
      <c r="AE163" s="583"/>
      <c r="AF163" s="584"/>
      <c r="AG163" s="553">
        <v>0</v>
      </c>
      <c r="AH163" s="554"/>
      <c r="AI163" s="555" t="e">
        <v>#N/A</v>
      </c>
      <c r="AJ163" s="556"/>
      <c r="AK163" s="556"/>
      <c r="AL163" s="556"/>
      <c r="AM163" s="556"/>
      <c r="AN163" s="556"/>
      <c r="AO163" s="556"/>
      <c r="AP163" s="556"/>
      <c r="AQ163" s="556"/>
      <c r="AR163" s="556"/>
      <c r="AS163" s="556"/>
      <c r="AT163" s="556"/>
      <c r="AU163" s="556"/>
      <c r="AV163" s="557"/>
      <c r="AW163" s="558">
        <v>0</v>
      </c>
      <c r="AX163" s="559"/>
      <c r="AY163" s="560"/>
      <c r="AZ163" s="585"/>
      <c r="BA163" s="586"/>
      <c r="BB163" s="587"/>
      <c r="BC163" s="558">
        <v>0</v>
      </c>
      <c r="BD163" s="559"/>
      <c r="BE163" s="560"/>
      <c r="BF163" s="558">
        <v>182.49</v>
      </c>
      <c r="BG163" s="559"/>
      <c r="BH163" s="560"/>
      <c r="BI163" s="564">
        <v>0</v>
      </c>
      <c r="BJ163" s="565"/>
      <c r="BK163" s="565"/>
      <c r="BL163" s="566"/>
      <c r="BM163" s="567" t="s">
        <v>932</v>
      </c>
      <c r="BN163" s="567"/>
      <c r="BO163" s="567"/>
      <c r="BP163" s="567"/>
      <c r="BQ163" s="568" t="s">
        <v>932</v>
      </c>
      <c r="BR163" s="568"/>
      <c r="BS163" s="568"/>
      <c r="BT163" s="567" t="s">
        <v>932</v>
      </c>
      <c r="BU163" s="567"/>
      <c r="BV163" s="567"/>
      <c r="BW163" s="567"/>
      <c r="BX163" s="568" t="s">
        <v>932</v>
      </c>
      <c r="BY163" s="568"/>
      <c r="BZ163" s="568"/>
      <c r="CA163" s="567" t="s">
        <v>932</v>
      </c>
      <c r="CB163" s="567"/>
      <c r="CC163" s="567"/>
      <c r="CD163" s="567"/>
      <c r="CE163" s="568">
        <v>1</v>
      </c>
      <c r="CF163" s="568"/>
      <c r="CG163" s="568"/>
      <c r="CH163" s="567" t="s">
        <v>932</v>
      </c>
      <c r="CI163" s="567"/>
      <c r="CJ163" s="567"/>
      <c r="CK163" s="567"/>
      <c r="CL163" s="568" t="s">
        <v>932</v>
      </c>
      <c r="CM163" s="568"/>
      <c r="CN163" s="568"/>
    </row>
    <row r="164" hidden="1" customHeight="1" spans="1:92">
      <c r="A164" s="569"/>
      <c r="B164" s="570"/>
      <c r="C164" s="571"/>
      <c r="D164" s="572"/>
      <c r="E164" s="573"/>
      <c r="F164" s="574"/>
      <c r="G164" s="575"/>
      <c r="H164" s="576"/>
      <c r="I164" s="577"/>
      <c r="J164" s="578"/>
      <c r="K164" s="578"/>
      <c r="L164" s="578"/>
      <c r="M164" s="578"/>
      <c r="N164" s="578"/>
      <c r="O164" s="578"/>
      <c r="P164" s="578"/>
      <c r="Q164" s="578"/>
      <c r="R164" s="578"/>
      <c r="S164" s="578"/>
      <c r="T164" s="578"/>
      <c r="U164" s="578"/>
      <c r="V164" s="578"/>
      <c r="W164" s="578"/>
      <c r="X164" s="578"/>
      <c r="Y164" s="578"/>
      <c r="Z164" s="578"/>
      <c r="AA164" s="579"/>
      <c r="AB164" s="580"/>
      <c r="AC164" s="581"/>
      <c r="AD164" s="582"/>
      <c r="AE164" s="583"/>
      <c r="AF164" s="584"/>
      <c r="AG164" s="553">
        <v>0</v>
      </c>
      <c r="AH164" s="554"/>
      <c r="AI164" s="555" t="e">
        <v>#N/A</v>
      </c>
      <c r="AJ164" s="556"/>
      <c r="AK164" s="556"/>
      <c r="AL164" s="556"/>
      <c r="AM164" s="556"/>
      <c r="AN164" s="556"/>
      <c r="AO164" s="556"/>
      <c r="AP164" s="556"/>
      <c r="AQ164" s="556"/>
      <c r="AR164" s="556"/>
      <c r="AS164" s="556"/>
      <c r="AT164" s="556"/>
      <c r="AU164" s="556"/>
      <c r="AV164" s="557"/>
      <c r="AW164" s="558">
        <v>0</v>
      </c>
      <c r="AX164" s="559"/>
      <c r="AY164" s="560"/>
      <c r="AZ164" s="585"/>
      <c r="BA164" s="586"/>
      <c r="BB164" s="587"/>
      <c r="BC164" s="558">
        <v>0</v>
      </c>
      <c r="BD164" s="559"/>
      <c r="BE164" s="560"/>
      <c r="BF164" s="558">
        <v>182.49</v>
      </c>
      <c r="BG164" s="559"/>
      <c r="BH164" s="560"/>
      <c r="BI164" s="564">
        <v>0</v>
      </c>
      <c r="BJ164" s="565"/>
      <c r="BK164" s="565"/>
      <c r="BL164" s="566"/>
      <c r="BM164" s="567" t="s">
        <v>932</v>
      </c>
      <c r="BN164" s="567"/>
      <c r="BO164" s="567"/>
      <c r="BP164" s="567"/>
      <c r="BQ164" s="568" t="s">
        <v>932</v>
      </c>
      <c r="BR164" s="568"/>
      <c r="BS164" s="568"/>
      <c r="BT164" s="567" t="s">
        <v>932</v>
      </c>
      <c r="BU164" s="567"/>
      <c r="BV164" s="567"/>
      <c r="BW164" s="567"/>
      <c r="BX164" s="568" t="s">
        <v>932</v>
      </c>
      <c r="BY164" s="568"/>
      <c r="BZ164" s="568"/>
      <c r="CA164" s="567" t="s">
        <v>932</v>
      </c>
      <c r="CB164" s="567"/>
      <c r="CC164" s="567"/>
      <c r="CD164" s="567"/>
      <c r="CE164" s="568">
        <v>1</v>
      </c>
      <c r="CF164" s="568"/>
      <c r="CG164" s="568"/>
      <c r="CH164" s="567" t="s">
        <v>932</v>
      </c>
      <c r="CI164" s="567"/>
      <c r="CJ164" s="567"/>
      <c r="CK164" s="567"/>
      <c r="CL164" s="568" t="s">
        <v>932</v>
      </c>
      <c r="CM164" s="568"/>
      <c r="CN164" s="568"/>
    </row>
    <row r="165" hidden="1" customHeight="1" spans="1:92">
      <c r="A165" s="569"/>
      <c r="B165" s="570"/>
      <c r="C165" s="571"/>
      <c r="D165" s="572"/>
      <c r="E165" s="573"/>
      <c r="F165" s="574"/>
      <c r="G165" s="575"/>
      <c r="H165" s="576"/>
      <c r="I165" s="577"/>
      <c r="J165" s="578"/>
      <c r="K165" s="578"/>
      <c r="L165" s="578"/>
      <c r="M165" s="578"/>
      <c r="N165" s="578"/>
      <c r="O165" s="578"/>
      <c r="P165" s="578"/>
      <c r="Q165" s="578"/>
      <c r="R165" s="578"/>
      <c r="S165" s="578"/>
      <c r="T165" s="578"/>
      <c r="U165" s="578"/>
      <c r="V165" s="578"/>
      <c r="W165" s="578"/>
      <c r="X165" s="578"/>
      <c r="Y165" s="578"/>
      <c r="Z165" s="578"/>
      <c r="AA165" s="579"/>
      <c r="AB165" s="580"/>
      <c r="AC165" s="581"/>
      <c r="AD165" s="582"/>
      <c r="AE165" s="583"/>
      <c r="AF165" s="584"/>
      <c r="AG165" s="553">
        <v>0</v>
      </c>
      <c r="AH165" s="554"/>
      <c r="AI165" s="555" t="e">
        <v>#N/A</v>
      </c>
      <c r="AJ165" s="556"/>
      <c r="AK165" s="556"/>
      <c r="AL165" s="556"/>
      <c r="AM165" s="556"/>
      <c r="AN165" s="556"/>
      <c r="AO165" s="556"/>
      <c r="AP165" s="556"/>
      <c r="AQ165" s="556"/>
      <c r="AR165" s="556"/>
      <c r="AS165" s="556"/>
      <c r="AT165" s="556"/>
      <c r="AU165" s="556"/>
      <c r="AV165" s="557"/>
      <c r="AW165" s="558">
        <v>0</v>
      </c>
      <c r="AX165" s="559"/>
      <c r="AY165" s="560"/>
      <c r="AZ165" s="585"/>
      <c r="BA165" s="586"/>
      <c r="BB165" s="587"/>
      <c r="BC165" s="558">
        <v>0</v>
      </c>
      <c r="BD165" s="559"/>
      <c r="BE165" s="560"/>
      <c r="BF165" s="558">
        <v>182.49</v>
      </c>
      <c r="BG165" s="559"/>
      <c r="BH165" s="560"/>
      <c r="BI165" s="564">
        <v>0</v>
      </c>
      <c r="BJ165" s="565"/>
      <c r="BK165" s="565"/>
      <c r="BL165" s="566"/>
      <c r="BM165" s="567" t="s">
        <v>932</v>
      </c>
      <c r="BN165" s="567"/>
      <c r="BO165" s="567"/>
      <c r="BP165" s="567"/>
      <c r="BQ165" s="568" t="s">
        <v>932</v>
      </c>
      <c r="BR165" s="568"/>
      <c r="BS165" s="568"/>
      <c r="BT165" s="567" t="s">
        <v>932</v>
      </c>
      <c r="BU165" s="567"/>
      <c r="BV165" s="567"/>
      <c r="BW165" s="567"/>
      <c r="BX165" s="568" t="s">
        <v>932</v>
      </c>
      <c r="BY165" s="568"/>
      <c r="BZ165" s="568"/>
      <c r="CA165" s="567" t="s">
        <v>932</v>
      </c>
      <c r="CB165" s="567"/>
      <c r="CC165" s="567"/>
      <c r="CD165" s="567"/>
      <c r="CE165" s="568">
        <v>1</v>
      </c>
      <c r="CF165" s="568"/>
      <c r="CG165" s="568"/>
      <c r="CH165" s="567" t="s">
        <v>932</v>
      </c>
      <c r="CI165" s="567"/>
      <c r="CJ165" s="567"/>
      <c r="CK165" s="567"/>
      <c r="CL165" s="568" t="s">
        <v>932</v>
      </c>
      <c r="CM165" s="568"/>
      <c r="CN165" s="568"/>
    </row>
    <row r="166" hidden="1" customHeight="1" spans="1:92">
      <c r="A166" s="569"/>
      <c r="B166" s="570"/>
      <c r="C166" s="571"/>
      <c r="D166" s="572"/>
      <c r="E166" s="573"/>
      <c r="F166" s="574"/>
      <c r="G166" s="575"/>
      <c r="H166" s="576"/>
      <c r="I166" s="577"/>
      <c r="J166" s="578"/>
      <c r="K166" s="578"/>
      <c r="L166" s="578"/>
      <c r="M166" s="578"/>
      <c r="N166" s="578"/>
      <c r="O166" s="578"/>
      <c r="P166" s="578"/>
      <c r="Q166" s="578"/>
      <c r="R166" s="578"/>
      <c r="S166" s="578"/>
      <c r="T166" s="578"/>
      <c r="U166" s="578"/>
      <c r="V166" s="578"/>
      <c r="W166" s="578"/>
      <c r="X166" s="578"/>
      <c r="Y166" s="578"/>
      <c r="Z166" s="578"/>
      <c r="AA166" s="579"/>
      <c r="AB166" s="580"/>
      <c r="AC166" s="581"/>
      <c r="AD166" s="582"/>
      <c r="AE166" s="583"/>
      <c r="AF166" s="584"/>
      <c r="AG166" s="553">
        <v>0</v>
      </c>
      <c r="AH166" s="554"/>
      <c r="AI166" s="555" t="e">
        <v>#N/A</v>
      </c>
      <c r="AJ166" s="556"/>
      <c r="AK166" s="556"/>
      <c r="AL166" s="556"/>
      <c r="AM166" s="556"/>
      <c r="AN166" s="556"/>
      <c r="AO166" s="556"/>
      <c r="AP166" s="556"/>
      <c r="AQ166" s="556"/>
      <c r="AR166" s="556"/>
      <c r="AS166" s="556"/>
      <c r="AT166" s="556"/>
      <c r="AU166" s="556"/>
      <c r="AV166" s="557"/>
      <c r="AW166" s="558">
        <v>0</v>
      </c>
      <c r="AX166" s="559"/>
      <c r="AY166" s="560"/>
      <c r="AZ166" s="585"/>
      <c r="BA166" s="586"/>
      <c r="BB166" s="587"/>
      <c r="BC166" s="558">
        <v>0</v>
      </c>
      <c r="BD166" s="559"/>
      <c r="BE166" s="560"/>
      <c r="BF166" s="558">
        <v>182.49</v>
      </c>
      <c r="BG166" s="559"/>
      <c r="BH166" s="560"/>
      <c r="BI166" s="564">
        <v>0</v>
      </c>
      <c r="BJ166" s="565"/>
      <c r="BK166" s="565"/>
      <c r="BL166" s="566"/>
      <c r="BM166" s="567" t="s">
        <v>932</v>
      </c>
      <c r="BN166" s="567"/>
      <c r="BO166" s="567"/>
      <c r="BP166" s="567"/>
      <c r="BQ166" s="568" t="s">
        <v>932</v>
      </c>
      <c r="BR166" s="568"/>
      <c r="BS166" s="568"/>
      <c r="BT166" s="567" t="s">
        <v>932</v>
      </c>
      <c r="BU166" s="567"/>
      <c r="BV166" s="567"/>
      <c r="BW166" s="567"/>
      <c r="BX166" s="568" t="s">
        <v>932</v>
      </c>
      <c r="BY166" s="568"/>
      <c r="BZ166" s="568"/>
      <c r="CA166" s="567" t="s">
        <v>932</v>
      </c>
      <c r="CB166" s="567"/>
      <c r="CC166" s="567"/>
      <c r="CD166" s="567"/>
      <c r="CE166" s="568">
        <v>1</v>
      </c>
      <c r="CF166" s="568"/>
      <c r="CG166" s="568"/>
      <c r="CH166" s="567" t="s">
        <v>932</v>
      </c>
      <c r="CI166" s="567"/>
      <c r="CJ166" s="567"/>
      <c r="CK166" s="567"/>
      <c r="CL166" s="568" t="s">
        <v>932</v>
      </c>
      <c r="CM166" s="568"/>
      <c r="CN166" s="568"/>
    </row>
    <row r="167" hidden="1" customHeight="1" spans="1:92">
      <c r="A167" s="588"/>
      <c r="B167" s="589"/>
      <c r="C167" s="590"/>
      <c r="D167" s="591"/>
      <c r="E167" s="592"/>
      <c r="F167" s="593"/>
      <c r="G167" s="594"/>
      <c r="H167" s="595"/>
      <c r="I167" s="596"/>
      <c r="J167" s="597"/>
      <c r="K167" s="597"/>
      <c r="L167" s="597"/>
      <c r="M167" s="597"/>
      <c r="N167" s="597"/>
      <c r="O167" s="597"/>
      <c r="P167" s="597"/>
      <c r="Q167" s="597"/>
      <c r="R167" s="597"/>
      <c r="S167" s="597"/>
      <c r="T167" s="597"/>
      <c r="U167" s="597"/>
      <c r="V167" s="597"/>
      <c r="W167" s="597"/>
      <c r="X167" s="597"/>
      <c r="Y167" s="597"/>
      <c r="Z167" s="597"/>
      <c r="AA167" s="598"/>
      <c r="AB167" s="599"/>
      <c r="AC167" s="600"/>
      <c r="AD167" s="601"/>
      <c r="AE167" s="602"/>
      <c r="AF167" s="603"/>
      <c r="AG167" s="553">
        <v>0</v>
      </c>
      <c r="AH167" s="554"/>
      <c r="AI167" s="555" t="e">
        <v>#N/A</v>
      </c>
      <c r="AJ167" s="556"/>
      <c r="AK167" s="556"/>
      <c r="AL167" s="556"/>
      <c r="AM167" s="556"/>
      <c r="AN167" s="556"/>
      <c r="AO167" s="556"/>
      <c r="AP167" s="556"/>
      <c r="AQ167" s="556"/>
      <c r="AR167" s="556"/>
      <c r="AS167" s="556"/>
      <c r="AT167" s="556"/>
      <c r="AU167" s="556"/>
      <c r="AV167" s="557"/>
      <c r="AW167" s="558">
        <v>0</v>
      </c>
      <c r="AX167" s="559"/>
      <c r="AY167" s="560"/>
      <c r="AZ167" s="604"/>
      <c r="BA167" s="605"/>
      <c r="BB167" s="606"/>
      <c r="BC167" s="558">
        <v>0</v>
      </c>
      <c r="BD167" s="559"/>
      <c r="BE167" s="560"/>
      <c r="BF167" s="558">
        <v>182.49</v>
      </c>
      <c r="BG167" s="559"/>
      <c r="BH167" s="560"/>
      <c r="BI167" s="564">
        <v>0</v>
      </c>
      <c r="BJ167" s="565"/>
      <c r="BK167" s="565"/>
      <c r="BL167" s="566"/>
      <c r="BM167" s="567" t="s">
        <v>932</v>
      </c>
      <c r="BN167" s="567"/>
      <c r="BO167" s="567"/>
      <c r="BP167" s="567"/>
      <c r="BQ167" s="568" t="s">
        <v>932</v>
      </c>
      <c r="BR167" s="568"/>
      <c r="BS167" s="568"/>
      <c r="BT167" s="567" t="s">
        <v>932</v>
      </c>
      <c r="BU167" s="567"/>
      <c r="BV167" s="567"/>
      <c r="BW167" s="567"/>
      <c r="BX167" s="568" t="s">
        <v>932</v>
      </c>
      <c r="BY167" s="568"/>
      <c r="BZ167" s="568"/>
      <c r="CA167" s="567" t="s">
        <v>932</v>
      </c>
      <c r="CB167" s="567"/>
      <c r="CC167" s="567"/>
      <c r="CD167" s="567"/>
      <c r="CE167" s="568">
        <v>1</v>
      </c>
      <c r="CF167" s="568"/>
      <c r="CG167" s="568"/>
      <c r="CH167" s="567" t="s">
        <v>932</v>
      </c>
      <c r="CI167" s="567"/>
      <c r="CJ167" s="567"/>
      <c r="CK167" s="567"/>
      <c r="CL167" s="568" t="s">
        <v>932</v>
      </c>
      <c r="CM167" s="568"/>
      <c r="CN167" s="568"/>
    </row>
    <row r="168" customHeight="1" spans="1:92">
      <c r="A168" s="540" t="s">
        <v>961</v>
      </c>
      <c r="B168" s="541"/>
      <c r="C168" s="89"/>
      <c r="D168" s="91"/>
      <c r="E168" s="90"/>
      <c r="F168" s="542">
        <v>3108000</v>
      </c>
      <c r="G168" s="543"/>
      <c r="H168" s="544"/>
      <c r="I168" s="545" t="s">
        <v>110</v>
      </c>
      <c r="J168" s="546"/>
      <c r="K168" s="546"/>
      <c r="L168" s="546"/>
      <c r="M168" s="546"/>
      <c r="N168" s="546"/>
      <c r="O168" s="546"/>
      <c r="P168" s="546"/>
      <c r="Q168" s="546"/>
      <c r="R168" s="546"/>
      <c r="S168" s="546"/>
      <c r="T168" s="546"/>
      <c r="U168" s="546"/>
      <c r="V168" s="546"/>
      <c r="W168" s="546"/>
      <c r="X168" s="546"/>
      <c r="Y168" s="546"/>
      <c r="Z168" s="546"/>
      <c r="AA168" s="547"/>
      <c r="AB168" s="548" t="s">
        <v>7</v>
      </c>
      <c r="AC168" s="549"/>
      <c r="AD168" s="550">
        <v>166.62</v>
      </c>
      <c r="AE168" s="551"/>
      <c r="AF168" s="552"/>
      <c r="AG168" s="553" t="s">
        <v>1074</v>
      </c>
      <c r="AH168" s="554"/>
      <c r="AI168" s="555" t="s">
        <v>1075</v>
      </c>
      <c r="AJ168" s="556"/>
      <c r="AK168" s="556"/>
      <c r="AL168" s="556"/>
      <c r="AM168" s="556"/>
      <c r="AN168" s="556"/>
      <c r="AO168" s="556"/>
      <c r="AP168" s="556"/>
      <c r="AQ168" s="556"/>
      <c r="AR168" s="556"/>
      <c r="AS168" s="556"/>
      <c r="AT168" s="556"/>
      <c r="AU168" s="556"/>
      <c r="AV168" s="557"/>
      <c r="AW168" s="558">
        <v>0.06024</v>
      </c>
      <c r="AX168" s="559"/>
      <c r="AY168" s="560"/>
      <c r="AZ168" s="561">
        <v>1</v>
      </c>
      <c r="BA168" s="562"/>
      <c r="BB168" s="563"/>
      <c r="BC168" s="558">
        <v>10.0371888</v>
      </c>
      <c r="BD168" s="559"/>
      <c r="BE168" s="560"/>
      <c r="BF168" s="558">
        <v>182.49</v>
      </c>
      <c r="BG168" s="559"/>
      <c r="BH168" s="560"/>
      <c r="BI168" s="564">
        <v>0.0550013085648529</v>
      </c>
      <c r="BJ168" s="565"/>
      <c r="BK168" s="565"/>
      <c r="BL168" s="566"/>
      <c r="BM168" s="567" t="s">
        <v>932</v>
      </c>
      <c r="BN168" s="567"/>
      <c r="BO168" s="567"/>
      <c r="BP168" s="567"/>
      <c r="BQ168" s="568" t="s">
        <v>932</v>
      </c>
      <c r="BR168" s="568"/>
      <c r="BS168" s="568"/>
      <c r="BT168" s="567" t="s">
        <v>932</v>
      </c>
      <c r="BU168" s="567"/>
      <c r="BV168" s="567"/>
      <c r="BW168" s="567"/>
      <c r="BX168" s="568" t="s">
        <v>932</v>
      </c>
      <c r="BY168" s="568"/>
      <c r="BZ168" s="568"/>
      <c r="CA168" s="567">
        <v>0.0550013085648529</v>
      </c>
      <c r="CB168" s="567"/>
      <c r="CC168" s="567"/>
      <c r="CD168" s="567"/>
      <c r="CE168" s="568">
        <v>1</v>
      </c>
      <c r="CF168" s="568"/>
      <c r="CG168" s="568"/>
      <c r="CH168" s="567" t="s">
        <v>932</v>
      </c>
      <c r="CI168" s="567"/>
      <c r="CJ168" s="567"/>
      <c r="CK168" s="567"/>
      <c r="CL168" s="568" t="s">
        <v>932</v>
      </c>
      <c r="CM168" s="568"/>
      <c r="CN168" s="568"/>
    </row>
    <row r="169" customHeight="1" spans="1:92">
      <c r="A169" s="569"/>
      <c r="B169" s="570"/>
      <c r="C169" s="571"/>
      <c r="D169" s="572"/>
      <c r="E169" s="573"/>
      <c r="F169" s="574"/>
      <c r="G169" s="575"/>
      <c r="H169" s="576"/>
      <c r="I169" s="577"/>
      <c r="J169" s="578"/>
      <c r="K169" s="578"/>
      <c r="L169" s="578"/>
      <c r="M169" s="578"/>
      <c r="N169" s="578"/>
      <c r="O169" s="578"/>
      <c r="P169" s="578"/>
      <c r="Q169" s="578"/>
      <c r="R169" s="578"/>
      <c r="S169" s="578"/>
      <c r="T169" s="578"/>
      <c r="U169" s="578"/>
      <c r="V169" s="578"/>
      <c r="W169" s="578"/>
      <c r="X169" s="578"/>
      <c r="Y169" s="578"/>
      <c r="Z169" s="578"/>
      <c r="AA169" s="579"/>
      <c r="AB169" s="580"/>
      <c r="AC169" s="581"/>
      <c r="AD169" s="582"/>
      <c r="AE169" s="583"/>
      <c r="AF169" s="584"/>
      <c r="AG169" s="553" t="s">
        <v>1076</v>
      </c>
      <c r="AH169" s="554"/>
      <c r="AI169" s="555" t="s">
        <v>1077</v>
      </c>
      <c r="AJ169" s="556"/>
      <c r="AK169" s="556"/>
      <c r="AL169" s="556"/>
      <c r="AM169" s="556"/>
      <c r="AN169" s="556"/>
      <c r="AO169" s="556"/>
      <c r="AP169" s="556"/>
      <c r="AQ169" s="556"/>
      <c r="AR169" s="556"/>
      <c r="AS169" s="556"/>
      <c r="AT169" s="556"/>
      <c r="AU169" s="556"/>
      <c r="AV169" s="557"/>
      <c r="AW169" s="558">
        <v>0.06024</v>
      </c>
      <c r="AX169" s="559"/>
      <c r="AY169" s="560"/>
      <c r="AZ169" s="585"/>
      <c r="BA169" s="586"/>
      <c r="BB169" s="587"/>
      <c r="BC169" s="558">
        <v>10.0371888</v>
      </c>
      <c r="BD169" s="559"/>
      <c r="BE169" s="560"/>
      <c r="BF169" s="558">
        <v>182.49</v>
      </c>
      <c r="BG169" s="559"/>
      <c r="BH169" s="560"/>
      <c r="BI169" s="564">
        <v>0.0550013085648529</v>
      </c>
      <c r="BJ169" s="565"/>
      <c r="BK169" s="565"/>
      <c r="BL169" s="566"/>
      <c r="BM169" s="567" t="s">
        <v>932</v>
      </c>
      <c r="BN169" s="567"/>
      <c r="BO169" s="567"/>
      <c r="BP169" s="567"/>
      <c r="BQ169" s="568" t="s">
        <v>932</v>
      </c>
      <c r="BR169" s="568"/>
      <c r="BS169" s="568"/>
      <c r="BT169" s="567" t="s">
        <v>932</v>
      </c>
      <c r="BU169" s="567"/>
      <c r="BV169" s="567"/>
      <c r="BW169" s="567"/>
      <c r="BX169" s="568" t="s">
        <v>932</v>
      </c>
      <c r="BY169" s="568"/>
      <c r="BZ169" s="568"/>
      <c r="CA169" s="567">
        <v>0.0550013085648529</v>
      </c>
      <c r="CB169" s="567"/>
      <c r="CC169" s="567"/>
      <c r="CD169" s="567"/>
      <c r="CE169" s="568">
        <v>1</v>
      </c>
      <c r="CF169" s="568"/>
      <c r="CG169" s="568"/>
      <c r="CH169" s="567" t="s">
        <v>932</v>
      </c>
      <c r="CI169" s="567"/>
      <c r="CJ169" s="567"/>
      <c r="CK169" s="567"/>
      <c r="CL169" s="568" t="s">
        <v>932</v>
      </c>
      <c r="CM169" s="568"/>
      <c r="CN169" s="568"/>
    </row>
    <row r="170" hidden="1" customHeight="1" spans="1:92">
      <c r="A170" s="569"/>
      <c r="B170" s="570"/>
      <c r="C170" s="571"/>
      <c r="D170" s="572"/>
      <c r="E170" s="573"/>
      <c r="F170" s="574"/>
      <c r="G170" s="575"/>
      <c r="H170" s="576"/>
      <c r="I170" s="577"/>
      <c r="J170" s="578"/>
      <c r="K170" s="578"/>
      <c r="L170" s="578"/>
      <c r="M170" s="578"/>
      <c r="N170" s="578"/>
      <c r="O170" s="578"/>
      <c r="P170" s="578"/>
      <c r="Q170" s="578"/>
      <c r="R170" s="578"/>
      <c r="S170" s="578"/>
      <c r="T170" s="578"/>
      <c r="U170" s="578"/>
      <c r="V170" s="578"/>
      <c r="W170" s="578"/>
      <c r="X170" s="578"/>
      <c r="Y170" s="578"/>
      <c r="Z170" s="578"/>
      <c r="AA170" s="579"/>
      <c r="AB170" s="580"/>
      <c r="AC170" s="581"/>
      <c r="AD170" s="582"/>
      <c r="AE170" s="583"/>
      <c r="AF170" s="584"/>
      <c r="AG170" s="553">
        <v>0</v>
      </c>
      <c r="AH170" s="554"/>
      <c r="AI170" s="555" t="e">
        <v>#N/A</v>
      </c>
      <c r="AJ170" s="556"/>
      <c r="AK170" s="556"/>
      <c r="AL170" s="556"/>
      <c r="AM170" s="556"/>
      <c r="AN170" s="556"/>
      <c r="AO170" s="556"/>
      <c r="AP170" s="556"/>
      <c r="AQ170" s="556"/>
      <c r="AR170" s="556"/>
      <c r="AS170" s="556"/>
      <c r="AT170" s="556"/>
      <c r="AU170" s="556"/>
      <c r="AV170" s="557"/>
      <c r="AW170" s="558">
        <v>0</v>
      </c>
      <c r="AX170" s="559"/>
      <c r="AY170" s="560"/>
      <c r="AZ170" s="585"/>
      <c r="BA170" s="586"/>
      <c r="BB170" s="587"/>
      <c r="BC170" s="558">
        <v>0</v>
      </c>
      <c r="BD170" s="559"/>
      <c r="BE170" s="560"/>
      <c r="BF170" s="558">
        <v>182.49</v>
      </c>
      <c r="BG170" s="559"/>
      <c r="BH170" s="560"/>
      <c r="BI170" s="564">
        <v>0</v>
      </c>
      <c r="BJ170" s="565"/>
      <c r="BK170" s="565"/>
      <c r="BL170" s="566"/>
      <c r="BM170" s="567" t="s">
        <v>932</v>
      </c>
      <c r="BN170" s="567"/>
      <c r="BO170" s="567"/>
      <c r="BP170" s="567"/>
      <c r="BQ170" s="568" t="s">
        <v>932</v>
      </c>
      <c r="BR170" s="568"/>
      <c r="BS170" s="568"/>
      <c r="BT170" s="567" t="s">
        <v>932</v>
      </c>
      <c r="BU170" s="567"/>
      <c r="BV170" s="567"/>
      <c r="BW170" s="567"/>
      <c r="BX170" s="568" t="s">
        <v>932</v>
      </c>
      <c r="BY170" s="568"/>
      <c r="BZ170" s="568"/>
      <c r="CA170" s="567" t="s">
        <v>932</v>
      </c>
      <c r="CB170" s="567"/>
      <c r="CC170" s="567"/>
      <c r="CD170" s="567"/>
      <c r="CE170" s="568">
        <v>1</v>
      </c>
      <c r="CF170" s="568"/>
      <c r="CG170" s="568"/>
      <c r="CH170" s="567" t="s">
        <v>932</v>
      </c>
      <c r="CI170" s="567"/>
      <c r="CJ170" s="567"/>
      <c r="CK170" s="567"/>
      <c r="CL170" s="568" t="s">
        <v>932</v>
      </c>
      <c r="CM170" s="568"/>
      <c r="CN170" s="568"/>
    </row>
    <row r="171" hidden="1" customHeight="1" spans="1:92">
      <c r="A171" s="569"/>
      <c r="B171" s="570"/>
      <c r="C171" s="571"/>
      <c r="D171" s="572"/>
      <c r="E171" s="573"/>
      <c r="F171" s="574"/>
      <c r="G171" s="575"/>
      <c r="H171" s="576"/>
      <c r="I171" s="577"/>
      <c r="J171" s="578"/>
      <c r="K171" s="578"/>
      <c r="L171" s="578"/>
      <c r="M171" s="578"/>
      <c r="N171" s="578"/>
      <c r="O171" s="578"/>
      <c r="P171" s="578"/>
      <c r="Q171" s="578"/>
      <c r="R171" s="578"/>
      <c r="S171" s="578"/>
      <c r="T171" s="578"/>
      <c r="U171" s="578"/>
      <c r="V171" s="578"/>
      <c r="W171" s="578"/>
      <c r="X171" s="578"/>
      <c r="Y171" s="578"/>
      <c r="Z171" s="578"/>
      <c r="AA171" s="579"/>
      <c r="AB171" s="580"/>
      <c r="AC171" s="581"/>
      <c r="AD171" s="582"/>
      <c r="AE171" s="583"/>
      <c r="AF171" s="584"/>
      <c r="AG171" s="553">
        <v>0</v>
      </c>
      <c r="AH171" s="554"/>
      <c r="AI171" s="555" t="e">
        <v>#N/A</v>
      </c>
      <c r="AJ171" s="556"/>
      <c r="AK171" s="556"/>
      <c r="AL171" s="556"/>
      <c r="AM171" s="556"/>
      <c r="AN171" s="556"/>
      <c r="AO171" s="556"/>
      <c r="AP171" s="556"/>
      <c r="AQ171" s="556"/>
      <c r="AR171" s="556"/>
      <c r="AS171" s="556"/>
      <c r="AT171" s="556"/>
      <c r="AU171" s="556"/>
      <c r="AV171" s="557"/>
      <c r="AW171" s="558">
        <v>0</v>
      </c>
      <c r="AX171" s="559"/>
      <c r="AY171" s="560"/>
      <c r="AZ171" s="585"/>
      <c r="BA171" s="586"/>
      <c r="BB171" s="587"/>
      <c r="BC171" s="558">
        <v>0</v>
      </c>
      <c r="BD171" s="559"/>
      <c r="BE171" s="560"/>
      <c r="BF171" s="558">
        <v>182.49</v>
      </c>
      <c r="BG171" s="559"/>
      <c r="BH171" s="560"/>
      <c r="BI171" s="564">
        <v>0</v>
      </c>
      <c r="BJ171" s="565"/>
      <c r="BK171" s="565"/>
      <c r="BL171" s="566"/>
      <c r="BM171" s="567" t="s">
        <v>932</v>
      </c>
      <c r="BN171" s="567"/>
      <c r="BO171" s="567"/>
      <c r="BP171" s="567"/>
      <c r="BQ171" s="568" t="s">
        <v>932</v>
      </c>
      <c r="BR171" s="568"/>
      <c r="BS171" s="568"/>
      <c r="BT171" s="567" t="s">
        <v>932</v>
      </c>
      <c r="BU171" s="567"/>
      <c r="BV171" s="567"/>
      <c r="BW171" s="567"/>
      <c r="BX171" s="568" t="s">
        <v>932</v>
      </c>
      <c r="BY171" s="568"/>
      <c r="BZ171" s="568"/>
      <c r="CA171" s="567" t="s">
        <v>932</v>
      </c>
      <c r="CB171" s="567"/>
      <c r="CC171" s="567"/>
      <c r="CD171" s="567"/>
      <c r="CE171" s="568">
        <v>1</v>
      </c>
      <c r="CF171" s="568"/>
      <c r="CG171" s="568"/>
      <c r="CH171" s="567" t="s">
        <v>932</v>
      </c>
      <c r="CI171" s="567"/>
      <c r="CJ171" s="567"/>
      <c r="CK171" s="567"/>
      <c r="CL171" s="568" t="s">
        <v>932</v>
      </c>
      <c r="CM171" s="568"/>
      <c r="CN171" s="568"/>
    </row>
    <row r="172" hidden="1" customHeight="1" spans="1:92">
      <c r="A172" s="569"/>
      <c r="B172" s="570"/>
      <c r="C172" s="571"/>
      <c r="D172" s="572"/>
      <c r="E172" s="573"/>
      <c r="F172" s="574"/>
      <c r="G172" s="575"/>
      <c r="H172" s="576"/>
      <c r="I172" s="577"/>
      <c r="J172" s="578"/>
      <c r="K172" s="578"/>
      <c r="L172" s="578"/>
      <c r="M172" s="578"/>
      <c r="N172" s="578"/>
      <c r="O172" s="578"/>
      <c r="P172" s="578"/>
      <c r="Q172" s="578"/>
      <c r="R172" s="578"/>
      <c r="S172" s="578"/>
      <c r="T172" s="578"/>
      <c r="U172" s="578"/>
      <c r="V172" s="578"/>
      <c r="W172" s="578"/>
      <c r="X172" s="578"/>
      <c r="Y172" s="578"/>
      <c r="Z172" s="578"/>
      <c r="AA172" s="579"/>
      <c r="AB172" s="580"/>
      <c r="AC172" s="581"/>
      <c r="AD172" s="582"/>
      <c r="AE172" s="583"/>
      <c r="AF172" s="584"/>
      <c r="AG172" s="553">
        <v>0</v>
      </c>
      <c r="AH172" s="554"/>
      <c r="AI172" s="555" t="e">
        <v>#N/A</v>
      </c>
      <c r="AJ172" s="556"/>
      <c r="AK172" s="556"/>
      <c r="AL172" s="556"/>
      <c r="AM172" s="556"/>
      <c r="AN172" s="556"/>
      <c r="AO172" s="556"/>
      <c r="AP172" s="556"/>
      <c r="AQ172" s="556"/>
      <c r="AR172" s="556"/>
      <c r="AS172" s="556"/>
      <c r="AT172" s="556"/>
      <c r="AU172" s="556"/>
      <c r="AV172" s="557"/>
      <c r="AW172" s="558">
        <v>0</v>
      </c>
      <c r="AX172" s="559"/>
      <c r="AY172" s="560"/>
      <c r="AZ172" s="585"/>
      <c r="BA172" s="586"/>
      <c r="BB172" s="587"/>
      <c r="BC172" s="558">
        <v>0</v>
      </c>
      <c r="BD172" s="559"/>
      <c r="BE172" s="560"/>
      <c r="BF172" s="558">
        <v>182.49</v>
      </c>
      <c r="BG172" s="559"/>
      <c r="BH172" s="560"/>
      <c r="BI172" s="564">
        <v>0</v>
      </c>
      <c r="BJ172" s="565"/>
      <c r="BK172" s="565"/>
      <c r="BL172" s="566"/>
      <c r="BM172" s="567" t="s">
        <v>932</v>
      </c>
      <c r="BN172" s="567"/>
      <c r="BO172" s="567"/>
      <c r="BP172" s="567"/>
      <c r="BQ172" s="568" t="s">
        <v>932</v>
      </c>
      <c r="BR172" s="568"/>
      <c r="BS172" s="568"/>
      <c r="BT172" s="567" t="s">
        <v>932</v>
      </c>
      <c r="BU172" s="567"/>
      <c r="BV172" s="567"/>
      <c r="BW172" s="567"/>
      <c r="BX172" s="568" t="s">
        <v>932</v>
      </c>
      <c r="BY172" s="568"/>
      <c r="BZ172" s="568"/>
      <c r="CA172" s="567" t="s">
        <v>932</v>
      </c>
      <c r="CB172" s="567"/>
      <c r="CC172" s="567"/>
      <c r="CD172" s="567"/>
      <c r="CE172" s="568">
        <v>1</v>
      </c>
      <c r="CF172" s="568"/>
      <c r="CG172" s="568"/>
      <c r="CH172" s="567" t="s">
        <v>932</v>
      </c>
      <c r="CI172" s="567"/>
      <c r="CJ172" s="567"/>
      <c r="CK172" s="567"/>
      <c r="CL172" s="568" t="s">
        <v>932</v>
      </c>
      <c r="CM172" s="568"/>
      <c r="CN172" s="568"/>
    </row>
    <row r="173" hidden="1" customHeight="1" spans="1:92">
      <c r="A173" s="569"/>
      <c r="B173" s="570"/>
      <c r="C173" s="571"/>
      <c r="D173" s="572"/>
      <c r="E173" s="573"/>
      <c r="F173" s="574"/>
      <c r="G173" s="575"/>
      <c r="H173" s="576"/>
      <c r="I173" s="577"/>
      <c r="J173" s="578"/>
      <c r="K173" s="578"/>
      <c r="L173" s="578"/>
      <c r="M173" s="578"/>
      <c r="N173" s="578"/>
      <c r="O173" s="578"/>
      <c r="P173" s="578"/>
      <c r="Q173" s="578"/>
      <c r="R173" s="578"/>
      <c r="S173" s="578"/>
      <c r="T173" s="578"/>
      <c r="U173" s="578"/>
      <c r="V173" s="578"/>
      <c r="W173" s="578"/>
      <c r="X173" s="578"/>
      <c r="Y173" s="578"/>
      <c r="Z173" s="578"/>
      <c r="AA173" s="579"/>
      <c r="AB173" s="580"/>
      <c r="AC173" s="581"/>
      <c r="AD173" s="582"/>
      <c r="AE173" s="583"/>
      <c r="AF173" s="584"/>
      <c r="AG173" s="553">
        <v>0</v>
      </c>
      <c r="AH173" s="554"/>
      <c r="AI173" s="555" t="e">
        <v>#N/A</v>
      </c>
      <c r="AJ173" s="556"/>
      <c r="AK173" s="556"/>
      <c r="AL173" s="556"/>
      <c r="AM173" s="556"/>
      <c r="AN173" s="556"/>
      <c r="AO173" s="556"/>
      <c r="AP173" s="556"/>
      <c r="AQ173" s="556"/>
      <c r="AR173" s="556"/>
      <c r="AS173" s="556"/>
      <c r="AT173" s="556"/>
      <c r="AU173" s="556"/>
      <c r="AV173" s="557"/>
      <c r="AW173" s="558">
        <v>0</v>
      </c>
      <c r="AX173" s="559"/>
      <c r="AY173" s="560"/>
      <c r="AZ173" s="585"/>
      <c r="BA173" s="586"/>
      <c r="BB173" s="587"/>
      <c r="BC173" s="558">
        <v>0</v>
      </c>
      <c r="BD173" s="559"/>
      <c r="BE173" s="560"/>
      <c r="BF173" s="558">
        <v>182.49</v>
      </c>
      <c r="BG173" s="559"/>
      <c r="BH173" s="560"/>
      <c r="BI173" s="564">
        <v>0</v>
      </c>
      <c r="BJ173" s="565"/>
      <c r="BK173" s="565"/>
      <c r="BL173" s="566"/>
      <c r="BM173" s="567" t="s">
        <v>932</v>
      </c>
      <c r="BN173" s="567"/>
      <c r="BO173" s="567"/>
      <c r="BP173" s="567"/>
      <c r="BQ173" s="568" t="s">
        <v>932</v>
      </c>
      <c r="BR173" s="568"/>
      <c r="BS173" s="568"/>
      <c r="BT173" s="567" t="s">
        <v>932</v>
      </c>
      <c r="BU173" s="567"/>
      <c r="BV173" s="567"/>
      <c r="BW173" s="567"/>
      <c r="BX173" s="568" t="s">
        <v>932</v>
      </c>
      <c r="BY173" s="568"/>
      <c r="BZ173" s="568"/>
      <c r="CA173" s="567" t="s">
        <v>932</v>
      </c>
      <c r="CB173" s="567"/>
      <c r="CC173" s="567"/>
      <c r="CD173" s="567"/>
      <c r="CE173" s="568">
        <v>1</v>
      </c>
      <c r="CF173" s="568"/>
      <c r="CG173" s="568"/>
      <c r="CH173" s="567" t="s">
        <v>932</v>
      </c>
      <c r="CI173" s="567"/>
      <c r="CJ173" s="567"/>
      <c r="CK173" s="567"/>
      <c r="CL173" s="568" t="s">
        <v>932</v>
      </c>
      <c r="CM173" s="568"/>
      <c r="CN173" s="568"/>
    </row>
    <row r="174" hidden="1" customHeight="1" spans="1:92">
      <c r="A174" s="569"/>
      <c r="B174" s="570"/>
      <c r="C174" s="571"/>
      <c r="D174" s="572"/>
      <c r="E174" s="573"/>
      <c r="F174" s="574"/>
      <c r="G174" s="575"/>
      <c r="H174" s="576"/>
      <c r="I174" s="577"/>
      <c r="J174" s="578"/>
      <c r="K174" s="578"/>
      <c r="L174" s="578"/>
      <c r="M174" s="578"/>
      <c r="N174" s="578"/>
      <c r="O174" s="578"/>
      <c r="P174" s="578"/>
      <c r="Q174" s="578"/>
      <c r="R174" s="578"/>
      <c r="S174" s="578"/>
      <c r="T174" s="578"/>
      <c r="U174" s="578"/>
      <c r="V174" s="578"/>
      <c r="W174" s="578"/>
      <c r="X174" s="578"/>
      <c r="Y174" s="578"/>
      <c r="Z174" s="578"/>
      <c r="AA174" s="579"/>
      <c r="AB174" s="580"/>
      <c r="AC174" s="581"/>
      <c r="AD174" s="582"/>
      <c r="AE174" s="583"/>
      <c r="AF174" s="584"/>
      <c r="AG174" s="553">
        <v>0</v>
      </c>
      <c r="AH174" s="554"/>
      <c r="AI174" s="555" t="e">
        <v>#N/A</v>
      </c>
      <c r="AJ174" s="556"/>
      <c r="AK174" s="556"/>
      <c r="AL174" s="556"/>
      <c r="AM174" s="556"/>
      <c r="AN174" s="556"/>
      <c r="AO174" s="556"/>
      <c r="AP174" s="556"/>
      <c r="AQ174" s="556"/>
      <c r="AR174" s="556"/>
      <c r="AS174" s="556"/>
      <c r="AT174" s="556"/>
      <c r="AU174" s="556"/>
      <c r="AV174" s="557"/>
      <c r="AW174" s="558">
        <v>0</v>
      </c>
      <c r="AX174" s="559"/>
      <c r="AY174" s="560"/>
      <c r="AZ174" s="585"/>
      <c r="BA174" s="586"/>
      <c r="BB174" s="587"/>
      <c r="BC174" s="558">
        <v>0</v>
      </c>
      <c r="BD174" s="559"/>
      <c r="BE174" s="560"/>
      <c r="BF174" s="558">
        <v>182.49</v>
      </c>
      <c r="BG174" s="559"/>
      <c r="BH174" s="560"/>
      <c r="BI174" s="564">
        <v>0</v>
      </c>
      <c r="BJ174" s="565"/>
      <c r="BK174" s="565"/>
      <c r="BL174" s="566"/>
      <c r="BM174" s="567" t="s">
        <v>932</v>
      </c>
      <c r="BN174" s="567"/>
      <c r="BO174" s="567"/>
      <c r="BP174" s="567"/>
      <c r="BQ174" s="568" t="s">
        <v>932</v>
      </c>
      <c r="BR174" s="568"/>
      <c r="BS174" s="568"/>
      <c r="BT174" s="567" t="s">
        <v>932</v>
      </c>
      <c r="BU174" s="567"/>
      <c r="BV174" s="567"/>
      <c r="BW174" s="567"/>
      <c r="BX174" s="568" t="s">
        <v>932</v>
      </c>
      <c r="BY174" s="568"/>
      <c r="BZ174" s="568"/>
      <c r="CA174" s="567" t="s">
        <v>932</v>
      </c>
      <c r="CB174" s="567"/>
      <c r="CC174" s="567"/>
      <c r="CD174" s="567"/>
      <c r="CE174" s="568">
        <v>1</v>
      </c>
      <c r="CF174" s="568"/>
      <c r="CG174" s="568"/>
      <c r="CH174" s="567" t="s">
        <v>932</v>
      </c>
      <c r="CI174" s="567"/>
      <c r="CJ174" s="567"/>
      <c r="CK174" s="567"/>
      <c r="CL174" s="568" t="s">
        <v>932</v>
      </c>
      <c r="CM174" s="568"/>
      <c r="CN174" s="568"/>
    </row>
    <row r="175" hidden="1" customHeight="1" spans="1:92">
      <c r="A175" s="588"/>
      <c r="B175" s="589"/>
      <c r="C175" s="590"/>
      <c r="D175" s="591"/>
      <c r="E175" s="592"/>
      <c r="F175" s="593"/>
      <c r="G175" s="594"/>
      <c r="H175" s="595"/>
      <c r="I175" s="596"/>
      <c r="J175" s="597"/>
      <c r="K175" s="597"/>
      <c r="L175" s="597"/>
      <c r="M175" s="597"/>
      <c r="N175" s="597"/>
      <c r="O175" s="597"/>
      <c r="P175" s="597"/>
      <c r="Q175" s="597"/>
      <c r="R175" s="597"/>
      <c r="S175" s="597"/>
      <c r="T175" s="597"/>
      <c r="U175" s="597"/>
      <c r="V175" s="597"/>
      <c r="W175" s="597"/>
      <c r="X175" s="597"/>
      <c r="Y175" s="597"/>
      <c r="Z175" s="597"/>
      <c r="AA175" s="598"/>
      <c r="AB175" s="599"/>
      <c r="AC175" s="600"/>
      <c r="AD175" s="601"/>
      <c r="AE175" s="602"/>
      <c r="AF175" s="603"/>
      <c r="AG175" s="553">
        <v>0</v>
      </c>
      <c r="AH175" s="554"/>
      <c r="AI175" s="555" t="e">
        <v>#N/A</v>
      </c>
      <c r="AJ175" s="556"/>
      <c r="AK175" s="556"/>
      <c r="AL175" s="556"/>
      <c r="AM175" s="556"/>
      <c r="AN175" s="556"/>
      <c r="AO175" s="556"/>
      <c r="AP175" s="556"/>
      <c r="AQ175" s="556"/>
      <c r="AR175" s="556"/>
      <c r="AS175" s="556"/>
      <c r="AT175" s="556"/>
      <c r="AU175" s="556"/>
      <c r="AV175" s="557"/>
      <c r="AW175" s="558">
        <v>0</v>
      </c>
      <c r="AX175" s="559"/>
      <c r="AY175" s="560"/>
      <c r="AZ175" s="604"/>
      <c r="BA175" s="605"/>
      <c r="BB175" s="606"/>
      <c r="BC175" s="558">
        <v>0</v>
      </c>
      <c r="BD175" s="559"/>
      <c r="BE175" s="560"/>
      <c r="BF175" s="558">
        <v>182.49</v>
      </c>
      <c r="BG175" s="559"/>
      <c r="BH175" s="560"/>
      <c r="BI175" s="564">
        <v>0</v>
      </c>
      <c r="BJ175" s="565"/>
      <c r="BK175" s="565"/>
      <c r="BL175" s="566"/>
      <c r="BM175" s="567" t="s">
        <v>932</v>
      </c>
      <c r="BN175" s="567"/>
      <c r="BO175" s="567"/>
      <c r="BP175" s="567"/>
      <c r="BQ175" s="568" t="s">
        <v>932</v>
      </c>
      <c r="BR175" s="568"/>
      <c r="BS175" s="568"/>
      <c r="BT175" s="567" t="s">
        <v>932</v>
      </c>
      <c r="BU175" s="567"/>
      <c r="BV175" s="567"/>
      <c r="BW175" s="567"/>
      <c r="BX175" s="568" t="s">
        <v>932</v>
      </c>
      <c r="BY175" s="568"/>
      <c r="BZ175" s="568"/>
      <c r="CA175" s="567" t="s">
        <v>932</v>
      </c>
      <c r="CB175" s="567"/>
      <c r="CC175" s="567"/>
      <c r="CD175" s="567"/>
      <c r="CE175" s="568">
        <v>1</v>
      </c>
      <c r="CF175" s="568"/>
      <c r="CG175" s="568"/>
      <c r="CH175" s="567" t="s">
        <v>932</v>
      </c>
      <c r="CI175" s="567"/>
      <c r="CJ175" s="567"/>
      <c r="CK175" s="567"/>
      <c r="CL175" s="568" t="s">
        <v>932</v>
      </c>
      <c r="CM175" s="568"/>
      <c r="CN175" s="568"/>
    </row>
    <row r="176" hidden="1" customHeight="1" spans="1:92">
      <c r="A176" s="540" t="s">
        <v>962</v>
      </c>
      <c r="B176" s="541"/>
      <c r="C176" s="89"/>
      <c r="D176" s="91"/>
      <c r="E176" s="90"/>
      <c r="F176" s="542">
        <v>407819</v>
      </c>
      <c r="G176" s="543"/>
      <c r="H176" s="544"/>
      <c r="I176" s="545" t="s">
        <v>100</v>
      </c>
      <c r="J176" s="546"/>
      <c r="K176" s="546"/>
      <c r="L176" s="546"/>
      <c r="M176" s="546"/>
      <c r="N176" s="546"/>
      <c r="O176" s="546"/>
      <c r="P176" s="546"/>
      <c r="Q176" s="546"/>
      <c r="R176" s="546"/>
      <c r="S176" s="546"/>
      <c r="T176" s="546"/>
      <c r="U176" s="546"/>
      <c r="V176" s="546"/>
      <c r="W176" s="546"/>
      <c r="X176" s="546"/>
      <c r="Y176" s="546"/>
      <c r="Z176" s="546"/>
      <c r="AA176" s="547"/>
      <c r="AB176" s="548" t="s">
        <v>101</v>
      </c>
      <c r="AC176" s="549"/>
      <c r="AD176" s="550">
        <v>3378.05</v>
      </c>
      <c r="AE176" s="551"/>
      <c r="AF176" s="552"/>
      <c r="AG176" s="553">
        <v>0</v>
      </c>
      <c r="AH176" s="554"/>
      <c r="AI176" s="555" t="e">
        <v>#N/A</v>
      </c>
      <c r="AJ176" s="556"/>
      <c r="AK176" s="556"/>
      <c r="AL176" s="556"/>
      <c r="AM176" s="556"/>
      <c r="AN176" s="556"/>
      <c r="AO176" s="556"/>
      <c r="AP176" s="556"/>
      <c r="AQ176" s="556"/>
      <c r="AR176" s="556"/>
      <c r="AS176" s="556"/>
      <c r="AT176" s="556"/>
      <c r="AU176" s="556"/>
      <c r="AV176" s="557"/>
      <c r="AW176" s="558">
        <v>0</v>
      </c>
      <c r="AX176" s="559"/>
      <c r="AY176" s="560"/>
      <c r="AZ176" s="561">
        <v>1</v>
      </c>
      <c r="BA176" s="562"/>
      <c r="BB176" s="563"/>
      <c r="BC176" s="558">
        <v>0</v>
      </c>
      <c r="BD176" s="559"/>
      <c r="BE176" s="560"/>
      <c r="BF176" s="558">
        <v>182.49</v>
      </c>
      <c r="BG176" s="559"/>
      <c r="BH176" s="560"/>
      <c r="BI176" s="564">
        <v>0</v>
      </c>
      <c r="BJ176" s="565"/>
      <c r="BK176" s="565"/>
      <c r="BL176" s="566"/>
      <c r="BM176" s="567" t="s">
        <v>932</v>
      </c>
      <c r="BN176" s="567"/>
      <c r="BO176" s="567"/>
      <c r="BP176" s="567"/>
      <c r="BQ176" s="568" t="s">
        <v>932</v>
      </c>
      <c r="BR176" s="568"/>
      <c r="BS176" s="568"/>
      <c r="BT176" s="567" t="s">
        <v>932</v>
      </c>
      <c r="BU176" s="567"/>
      <c r="BV176" s="567"/>
      <c r="BW176" s="567"/>
      <c r="BX176" s="568" t="s">
        <v>932</v>
      </c>
      <c r="BY176" s="568"/>
      <c r="BZ176" s="568"/>
      <c r="CA176" s="567" t="s">
        <v>932</v>
      </c>
      <c r="CB176" s="567"/>
      <c r="CC176" s="567"/>
      <c r="CD176" s="567"/>
      <c r="CE176" s="568">
        <v>1</v>
      </c>
      <c r="CF176" s="568"/>
      <c r="CG176" s="568"/>
      <c r="CH176" s="567" t="s">
        <v>932</v>
      </c>
      <c r="CI176" s="567"/>
      <c r="CJ176" s="567"/>
      <c r="CK176" s="567"/>
      <c r="CL176" s="568" t="s">
        <v>932</v>
      </c>
      <c r="CM176" s="568"/>
      <c r="CN176" s="568"/>
    </row>
    <row r="177" hidden="1" customHeight="1" spans="1:92">
      <c r="A177" s="569"/>
      <c r="B177" s="570"/>
      <c r="C177" s="571"/>
      <c r="D177" s="572"/>
      <c r="E177" s="573"/>
      <c r="F177" s="574"/>
      <c r="G177" s="575"/>
      <c r="H177" s="576"/>
      <c r="I177" s="577"/>
      <c r="J177" s="578"/>
      <c r="K177" s="578"/>
      <c r="L177" s="578"/>
      <c r="M177" s="578"/>
      <c r="N177" s="578"/>
      <c r="O177" s="578"/>
      <c r="P177" s="578"/>
      <c r="Q177" s="578"/>
      <c r="R177" s="578"/>
      <c r="S177" s="578"/>
      <c r="T177" s="578"/>
      <c r="U177" s="578"/>
      <c r="V177" s="578"/>
      <c r="W177" s="578"/>
      <c r="X177" s="578"/>
      <c r="Y177" s="578"/>
      <c r="Z177" s="578"/>
      <c r="AA177" s="579"/>
      <c r="AB177" s="580"/>
      <c r="AC177" s="581"/>
      <c r="AD177" s="582"/>
      <c r="AE177" s="583"/>
      <c r="AF177" s="584"/>
      <c r="AG177" s="553">
        <v>0</v>
      </c>
      <c r="AH177" s="554"/>
      <c r="AI177" s="555" t="e">
        <v>#N/A</v>
      </c>
      <c r="AJ177" s="556"/>
      <c r="AK177" s="556"/>
      <c r="AL177" s="556"/>
      <c r="AM177" s="556"/>
      <c r="AN177" s="556"/>
      <c r="AO177" s="556"/>
      <c r="AP177" s="556"/>
      <c r="AQ177" s="556"/>
      <c r="AR177" s="556"/>
      <c r="AS177" s="556"/>
      <c r="AT177" s="556"/>
      <c r="AU177" s="556"/>
      <c r="AV177" s="557"/>
      <c r="AW177" s="558">
        <v>0</v>
      </c>
      <c r="AX177" s="559"/>
      <c r="AY177" s="560"/>
      <c r="AZ177" s="585"/>
      <c r="BA177" s="586"/>
      <c r="BB177" s="587"/>
      <c r="BC177" s="558">
        <v>0</v>
      </c>
      <c r="BD177" s="559"/>
      <c r="BE177" s="560"/>
      <c r="BF177" s="558">
        <v>182.49</v>
      </c>
      <c r="BG177" s="559"/>
      <c r="BH177" s="560"/>
      <c r="BI177" s="564">
        <v>0</v>
      </c>
      <c r="BJ177" s="565"/>
      <c r="BK177" s="565"/>
      <c r="BL177" s="566"/>
      <c r="BM177" s="567" t="s">
        <v>932</v>
      </c>
      <c r="BN177" s="567"/>
      <c r="BO177" s="567"/>
      <c r="BP177" s="567"/>
      <c r="BQ177" s="568" t="s">
        <v>932</v>
      </c>
      <c r="BR177" s="568"/>
      <c r="BS177" s="568"/>
      <c r="BT177" s="567" t="s">
        <v>932</v>
      </c>
      <c r="BU177" s="567"/>
      <c r="BV177" s="567"/>
      <c r="BW177" s="567"/>
      <c r="BX177" s="568" t="s">
        <v>932</v>
      </c>
      <c r="BY177" s="568"/>
      <c r="BZ177" s="568"/>
      <c r="CA177" s="567" t="s">
        <v>932</v>
      </c>
      <c r="CB177" s="567"/>
      <c r="CC177" s="567"/>
      <c r="CD177" s="567"/>
      <c r="CE177" s="568">
        <v>1</v>
      </c>
      <c r="CF177" s="568"/>
      <c r="CG177" s="568"/>
      <c r="CH177" s="567" t="s">
        <v>932</v>
      </c>
      <c r="CI177" s="567"/>
      <c r="CJ177" s="567"/>
      <c r="CK177" s="567"/>
      <c r="CL177" s="568" t="s">
        <v>932</v>
      </c>
      <c r="CM177" s="568"/>
      <c r="CN177" s="568"/>
    </row>
    <row r="178" hidden="1" customHeight="1" spans="1:92">
      <c r="A178" s="569"/>
      <c r="B178" s="570"/>
      <c r="C178" s="571"/>
      <c r="D178" s="572"/>
      <c r="E178" s="573"/>
      <c r="F178" s="574"/>
      <c r="G178" s="575"/>
      <c r="H178" s="576"/>
      <c r="I178" s="577"/>
      <c r="J178" s="578"/>
      <c r="K178" s="578"/>
      <c r="L178" s="578"/>
      <c r="M178" s="578"/>
      <c r="N178" s="578"/>
      <c r="O178" s="578"/>
      <c r="P178" s="578"/>
      <c r="Q178" s="578"/>
      <c r="R178" s="578"/>
      <c r="S178" s="578"/>
      <c r="T178" s="578"/>
      <c r="U178" s="578"/>
      <c r="V178" s="578"/>
      <c r="W178" s="578"/>
      <c r="X178" s="578"/>
      <c r="Y178" s="578"/>
      <c r="Z178" s="578"/>
      <c r="AA178" s="579"/>
      <c r="AB178" s="580"/>
      <c r="AC178" s="581"/>
      <c r="AD178" s="582"/>
      <c r="AE178" s="583"/>
      <c r="AF178" s="584"/>
      <c r="AG178" s="553">
        <v>0</v>
      </c>
      <c r="AH178" s="554"/>
      <c r="AI178" s="555" t="e">
        <v>#N/A</v>
      </c>
      <c r="AJ178" s="556"/>
      <c r="AK178" s="556"/>
      <c r="AL178" s="556"/>
      <c r="AM178" s="556"/>
      <c r="AN178" s="556"/>
      <c r="AO178" s="556"/>
      <c r="AP178" s="556"/>
      <c r="AQ178" s="556"/>
      <c r="AR178" s="556"/>
      <c r="AS178" s="556"/>
      <c r="AT178" s="556"/>
      <c r="AU178" s="556"/>
      <c r="AV178" s="557"/>
      <c r="AW178" s="558">
        <v>0</v>
      </c>
      <c r="AX178" s="559"/>
      <c r="AY178" s="560"/>
      <c r="AZ178" s="585"/>
      <c r="BA178" s="586"/>
      <c r="BB178" s="587"/>
      <c r="BC178" s="558">
        <v>0</v>
      </c>
      <c r="BD178" s="559"/>
      <c r="BE178" s="560"/>
      <c r="BF178" s="558">
        <v>182.49</v>
      </c>
      <c r="BG178" s="559"/>
      <c r="BH178" s="560"/>
      <c r="BI178" s="564">
        <v>0</v>
      </c>
      <c r="BJ178" s="565"/>
      <c r="BK178" s="565"/>
      <c r="BL178" s="566"/>
      <c r="BM178" s="567" t="s">
        <v>932</v>
      </c>
      <c r="BN178" s="567"/>
      <c r="BO178" s="567"/>
      <c r="BP178" s="567"/>
      <c r="BQ178" s="568" t="s">
        <v>932</v>
      </c>
      <c r="BR178" s="568"/>
      <c r="BS178" s="568"/>
      <c r="BT178" s="567" t="s">
        <v>932</v>
      </c>
      <c r="BU178" s="567"/>
      <c r="BV178" s="567"/>
      <c r="BW178" s="567"/>
      <c r="BX178" s="568" t="s">
        <v>932</v>
      </c>
      <c r="BY178" s="568"/>
      <c r="BZ178" s="568"/>
      <c r="CA178" s="567" t="s">
        <v>932</v>
      </c>
      <c r="CB178" s="567"/>
      <c r="CC178" s="567"/>
      <c r="CD178" s="567"/>
      <c r="CE178" s="568">
        <v>1</v>
      </c>
      <c r="CF178" s="568"/>
      <c r="CG178" s="568"/>
      <c r="CH178" s="567" t="s">
        <v>932</v>
      </c>
      <c r="CI178" s="567"/>
      <c r="CJ178" s="567"/>
      <c r="CK178" s="567"/>
      <c r="CL178" s="568" t="s">
        <v>932</v>
      </c>
      <c r="CM178" s="568"/>
      <c r="CN178" s="568"/>
    </row>
    <row r="179" hidden="1" customHeight="1" spans="1:92">
      <c r="A179" s="569"/>
      <c r="B179" s="570"/>
      <c r="C179" s="571"/>
      <c r="D179" s="572"/>
      <c r="E179" s="573"/>
      <c r="F179" s="574"/>
      <c r="G179" s="575"/>
      <c r="H179" s="576"/>
      <c r="I179" s="577"/>
      <c r="J179" s="578"/>
      <c r="K179" s="578"/>
      <c r="L179" s="578"/>
      <c r="M179" s="578"/>
      <c r="N179" s="578"/>
      <c r="O179" s="578"/>
      <c r="P179" s="578"/>
      <c r="Q179" s="578"/>
      <c r="R179" s="578"/>
      <c r="S179" s="578"/>
      <c r="T179" s="578"/>
      <c r="U179" s="578"/>
      <c r="V179" s="578"/>
      <c r="W179" s="578"/>
      <c r="X179" s="578"/>
      <c r="Y179" s="578"/>
      <c r="Z179" s="578"/>
      <c r="AA179" s="579"/>
      <c r="AB179" s="580"/>
      <c r="AC179" s="581"/>
      <c r="AD179" s="582"/>
      <c r="AE179" s="583"/>
      <c r="AF179" s="584"/>
      <c r="AG179" s="553">
        <v>0</v>
      </c>
      <c r="AH179" s="554"/>
      <c r="AI179" s="555" t="e">
        <v>#N/A</v>
      </c>
      <c r="AJ179" s="556"/>
      <c r="AK179" s="556"/>
      <c r="AL179" s="556"/>
      <c r="AM179" s="556"/>
      <c r="AN179" s="556"/>
      <c r="AO179" s="556"/>
      <c r="AP179" s="556"/>
      <c r="AQ179" s="556"/>
      <c r="AR179" s="556"/>
      <c r="AS179" s="556"/>
      <c r="AT179" s="556"/>
      <c r="AU179" s="556"/>
      <c r="AV179" s="557"/>
      <c r="AW179" s="558">
        <v>0</v>
      </c>
      <c r="AX179" s="559"/>
      <c r="AY179" s="560"/>
      <c r="AZ179" s="585"/>
      <c r="BA179" s="586"/>
      <c r="BB179" s="587"/>
      <c r="BC179" s="558">
        <v>0</v>
      </c>
      <c r="BD179" s="559"/>
      <c r="BE179" s="560"/>
      <c r="BF179" s="558">
        <v>182.49</v>
      </c>
      <c r="BG179" s="559"/>
      <c r="BH179" s="560"/>
      <c r="BI179" s="564">
        <v>0</v>
      </c>
      <c r="BJ179" s="565"/>
      <c r="BK179" s="565"/>
      <c r="BL179" s="566"/>
      <c r="BM179" s="567" t="s">
        <v>932</v>
      </c>
      <c r="BN179" s="567"/>
      <c r="BO179" s="567"/>
      <c r="BP179" s="567"/>
      <c r="BQ179" s="568" t="s">
        <v>932</v>
      </c>
      <c r="BR179" s="568"/>
      <c r="BS179" s="568"/>
      <c r="BT179" s="567" t="s">
        <v>932</v>
      </c>
      <c r="BU179" s="567"/>
      <c r="BV179" s="567"/>
      <c r="BW179" s="567"/>
      <c r="BX179" s="568" t="s">
        <v>932</v>
      </c>
      <c r="BY179" s="568"/>
      <c r="BZ179" s="568"/>
      <c r="CA179" s="567" t="s">
        <v>932</v>
      </c>
      <c r="CB179" s="567"/>
      <c r="CC179" s="567"/>
      <c r="CD179" s="567"/>
      <c r="CE179" s="568">
        <v>1</v>
      </c>
      <c r="CF179" s="568"/>
      <c r="CG179" s="568"/>
      <c r="CH179" s="567" t="s">
        <v>932</v>
      </c>
      <c r="CI179" s="567"/>
      <c r="CJ179" s="567"/>
      <c r="CK179" s="567"/>
      <c r="CL179" s="568" t="s">
        <v>932</v>
      </c>
      <c r="CM179" s="568"/>
      <c r="CN179" s="568"/>
    </row>
    <row r="180" hidden="1" customHeight="1" spans="1:92">
      <c r="A180" s="569"/>
      <c r="B180" s="570"/>
      <c r="C180" s="571"/>
      <c r="D180" s="572"/>
      <c r="E180" s="573"/>
      <c r="F180" s="574"/>
      <c r="G180" s="575"/>
      <c r="H180" s="576"/>
      <c r="I180" s="577"/>
      <c r="J180" s="578"/>
      <c r="K180" s="578"/>
      <c r="L180" s="578"/>
      <c r="M180" s="578"/>
      <c r="N180" s="578"/>
      <c r="O180" s="578"/>
      <c r="P180" s="578"/>
      <c r="Q180" s="578"/>
      <c r="R180" s="578"/>
      <c r="S180" s="578"/>
      <c r="T180" s="578"/>
      <c r="U180" s="578"/>
      <c r="V180" s="578"/>
      <c r="W180" s="578"/>
      <c r="X180" s="578"/>
      <c r="Y180" s="578"/>
      <c r="Z180" s="578"/>
      <c r="AA180" s="579"/>
      <c r="AB180" s="580"/>
      <c r="AC180" s="581"/>
      <c r="AD180" s="582"/>
      <c r="AE180" s="583"/>
      <c r="AF180" s="584"/>
      <c r="AG180" s="553">
        <v>0</v>
      </c>
      <c r="AH180" s="554"/>
      <c r="AI180" s="555" t="e">
        <v>#N/A</v>
      </c>
      <c r="AJ180" s="556"/>
      <c r="AK180" s="556"/>
      <c r="AL180" s="556"/>
      <c r="AM180" s="556"/>
      <c r="AN180" s="556"/>
      <c r="AO180" s="556"/>
      <c r="AP180" s="556"/>
      <c r="AQ180" s="556"/>
      <c r="AR180" s="556"/>
      <c r="AS180" s="556"/>
      <c r="AT180" s="556"/>
      <c r="AU180" s="556"/>
      <c r="AV180" s="557"/>
      <c r="AW180" s="558">
        <v>0</v>
      </c>
      <c r="AX180" s="559"/>
      <c r="AY180" s="560"/>
      <c r="AZ180" s="585"/>
      <c r="BA180" s="586"/>
      <c r="BB180" s="587"/>
      <c r="BC180" s="558">
        <v>0</v>
      </c>
      <c r="BD180" s="559"/>
      <c r="BE180" s="560"/>
      <c r="BF180" s="558">
        <v>182.49</v>
      </c>
      <c r="BG180" s="559"/>
      <c r="BH180" s="560"/>
      <c r="BI180" s="564">
        <v>0</v>
      </c>
      <c r="BJ180" s="565"/>
      <c r="BK180" s="565"/>
      <c r="BL180" s="566"/>
      <c r="BM180" s="567" t="s">
        <v>932</v>
      </c>
      <c r="BN180" s="567"/>
      <c r="BO180" s="567"/>
      <c r="BP180" s="567"/>
      <c r="BQ180" s="568" t="s">
        <v>932</v>
      </c>
      <c r="BR180" s="568"/>
      <c r="BS180" s="568"/>
      <c r="BT180" s="567" t="s">
        <v>932</v>
      </c>
      <c r="BU180" s="567"/>
      <c r="BV180" s="567"/>
      <c r="BW180" s="567"/>
      <c r="BX180" s="568" t="s">
        <v>932</v>
      </c>
      <c r="BY180" s="568"/>
      <c r="BZ180" s="568"/>
      <c r="CA180" s="567" t="s">
        <v>932</v>
      </c>
      <c r="CB180" s="567"/>
      <c r="CC180" s="567"/>
      <c r="CD180" s="567"/>
      <c r="CE180" s="568">
        <v>1</v>
      </c>
      <c r="CF180" s="568"/>
      <c r="CG180" s="568"/>
      <c r="CH180" s="567" t="s">
        <v>932</v>
      </c>
      <c r="CI180" s="567"/>
      <c r="CJ180" s="567"/>
      <c r="CK180" s="567"/>
      <c r="CL180" s="568" t="s">
        <v>932</v>
      </c>
      <c r="CM180" s="568"/>
      <c r="CN180" s="568"/>
    </row>
    <row r="181" hidden="1" customHeight="1" spans="1:92">
      <c r="A181" s="569"/>
      <c r="B181" s="570"/>
      <c r="C181" s="571"/>
      <c r="D181" s="572"/>
      <c r="E181" s="573"/>
      <c r="F181" s="574"/>
      <c r="G181" s="575"/>
      <c r="H181" s="576"/>
      <c r="I181" s="577"/>
      <c r="J181" s="578"/>
      <c r="K181" s="578"/>
      <c r="L181" s="578"/>
      <c r="M181" s="578"/>
      <c r="N181" s="578"/>
      <c r="O181" s="578"/>
      <c r="P181" s="578"/>
      <c r="Q181" s="578"/>
      <c r="R181" s="578"/>
      <c r="S181" s="578"/>
      <c r="T181" s="578"/>
      <c r="U181" s="578"/>
      <c r="V181" s="578"/>
      <c r="W181" s="578"/>
      <c r="X181" s="578"/>
      <c r="Y181" s="578"/>
      <c r="Z181" s="578"/>
      <c r="AA181" s="579"/>
      <c r="AB181" s="580"/>
      <c r="AC181" s="581"/>
      <c r="AD181" s="582"/>
      <c r="AE181" s="583"/>
      <c r="AF181" s="584"/>
      <c r="AG181" s="553">
        <v>0</v>
      </c>
      <c r="AH181" s="554"/>
      <c r="AI181" s="555" t="e">
        <v>#N/A</v>
      </c>
      <c r="AJ181" s="556"/>
      <c r="AK181" s="556"/>
      <c r="AL181" s="556"/>
      <c r="AM181" s="556"/>
      <c r="AN181" s="556"/>
      <c r="AO181" s="556"/>
      <c r="AP181" s="556"/>
      <c r="AQ181" s="556"/>
      <c r="AR181" s="556"/>
      <c r="AS181" s="556"/>
      <c r="AT181" s="556"/>
      <c r="AU181" s="556"/>
      <c r="AV181" s="557"/>
      <c r="AW181" s="558">
        <v>0</v>
      </c>
      <c r="AX181" s="559"/>
      <c r="AY181" s="560"/>
      <c r="AZ181" s="585"/>
      <c r="BA181" s="586"/>
      <c r="BB181" s="587"/>
      <c r="BC181" s="558">
        <v>0</v>
      </c>
      <c r="BD181" s="559"/>
      <c r="BE181" s="560"/>
      <c r="BF181" s="558">
        <v>182.49</v>
      </c>
      <c r="BG181" s="559"/>
      <c r="BH181" s="560"/>
      <c r="BI181" s="564">
        <v>0</v>
      </c>
      <c r="BJ181" s="565"/>
      <c r="BK181" s="565"/>
      <c r="BL181" s="566"/>
      <c r="BM181" s="567" t="s">
        <v>932</v>
      </c>
      <c r="BN181" s="567"/>
      <c r="BO181" s="567"/>
      <c r="BP181" s="567"/>
      <c r="BQ181" s="568" t="s">
        <v>932</v>
      </c>
      <c r="BR181" s="568"/>
      <c r="BS181" s="568"/>
      <c r="BT181" s="567" t="s">
        <v>932</v>
      </c>
      <c r="BU181" s="567"/>
      <c r="BV181" s="567"/>
      <c r="BW181" s="567"/>
      <c r="BX181" s="568" t="s">
        <v>932</v>
      </c>
      <c r="BY181" s="568"/>
      <c r="BZ181" s="568"/>
      <c r="CA181" s="567" t="s">
        <v>932</v>
      </c>
      <c r="CB181" s="567"/>
      <c r="CC181" s="567"/>
      <c r="CD181" s="567"/>
      <c r="CE181" s="568">
        <v>1</v>
      </c>
      <c r="CF181" s="568"/>
      <c r="CG181" s="568"/>
      <c r="CH181" s="567" t="s">
        <v>932</v>
      </c>
      <c r="CI181" s="567"/>
      <c r="CJ181" s="567"/>
      <c r="CK181" s="567"/>
      <c r="CL181" s="568" t="s">
        <v>932</v>
      </c>
      <c r="CM181" s="568"/>
      <c r="CN181" s="568"/>
    </row>
    <row r="182" hidden="1" customHeight="1" spans="1:92">
      <c r="A182" s="569"/>
      <c r="B182" s="570"/>
      <c r="C182" s="571"/>
      <c r="D182" s="572"/>
      <c r="E182" s="573"/>
      <c r="F182" s="574"/>
      <c r="G182" s="575"/>
      <c r="H182" s="576"/>
      <c r="I182" s="577"/>
      <c r="J182" s="578"/>
      <c r="K182" s="578"/>
      <c r="L182" s="578"/>
      <c r="M182" s="578"/>
      <c r="N182" s="578"/>
      <c r="O182" s="578"/>
      <c r="P182" s="578"/>
      <c r="Q182" s="578"/>
      <c r="R182" s="578"/>
      <c r="S182" s="578"/>
      <c r="T182" s="578"/>
      <c r="U182" s="578"/>
      <c r="V182" s="578"/>
      <c r="W182" s="578"/>
      <c r="X182" s="578"/>
      <c r="Y182" s="578"/>
      <c r="Z182" s="578"/>
      <c r="AA182" s="579"/>
      <c r="AB182" s="580"/>
      <c r="AC182" s="581"/>
      <c r="AD182" s="582"/>
      <c r="AE182" s="583"/>
      <c r="AF182" s="584"/>
      <c r="AG182" s="553">
        <v>0</v>
      </c>
      <c r="AH182" s="554"/>
      <c r="AI182" s="555" t="e">
        <v>#N/A</v>
      </c>
      <c r="AJ182" s="556"/>
      <c r="AK182" s="556"/>
      <c r="AL182" s="556"/>
      <c r="AM182" s="556"/>
      <c r="AN182" s="556"/>
      <c r="AO182" s="556"/>
      <c r="AP182" s="556"/>
      <c r="AQ182" s="556"/>
      <c r="AR182" s="556"/>
      <c r="AS182" s="556"/>
      <c r="AT182" s="556"/>
      <c r="AU182" s="556"/>
      <c r="AV182" s="557"/>
      <c r="AW182" s="558">
        <v>0</v>
      </c>
      <c r="AX182" s="559"/>
      <c r="AY182" s="560"/>
      <c r="AZ182" s="585"/>
      <c r="BA182" s="586"/>
      <c r="BB182" s="587"/>
      <c r="BC182" s="558">
        <v>0</v>
      </c>
      <c r="BD182" s="559"/>
      <c r="BE182" s="560"/>
      <c r="BF182" s="558">
        <v>182.49</v>
      </c>
      <c r="BG182" s="559"/>
      <c r="BH182" s="560"/>
      <c r="BI182" s="564">
        <v>0</v>
      </c>
      <c r="BJ182" s="565"/>
      <c r="BK182" s="565"/>
      <c r="BL182" s="566"/>
      <c r="BM182" s="567" t="s">
        <v>932</v>
      </c>
      <c r="BN182" s="567"/>
      <c r="BO182" s="567"/>
      <c r="BP182" s="567"/>
      <c r="BQ182" s="568" t="s">
        <v>932</v>
      </c>
      <c r="BR182" s="568"/>
      <c r="BS182" s="568"/>
      <c r="BT182" s="567" t="s">
        <v>932</v>
      </c>
      <c r="BU182" s="567"/>
      <c r="BV182" s="567"/>
      <c r="BW182" s="567"/>
      <c r="BX182" s="568" t="s">
        <v>932</v>
      </c>
      <c r="BY182" s="568"/>
      <c r="BZ182" s="568"/>
      <c r="CA182" s="567" t="s">
        <v>932</v>
      </c>
      <c r="CB182" s="567"/>
      <c r="CC182" s="567"/>
      <c r="CD182" s="567"/>
      <c r="CE182" s="568">
        <v>1</v>
      </c>
      <c r="CF182" s="568"/>
      <c r="CG182" s="568"/>
      <c r="CH182" s="567" t="s">
        <v>932</v>
      </c>
      <c r="CI182" s="567"/>
      <c r="CJ182" s="567"/>
      <c r="CK182" s="567"/>
      <c r="CL182" s="568" t="s">
        <v>932</v>
      </c>
      <c r="CM182" s="568"/>
      <c r="CN182" s="568"/>
    </row>
    <row r="183" hidden="1" customHeight="1" spans="1:92">
      <c r="A183" s="588"/>
      <c r="B183" s="589"/>
      <c r="C183" s="590"/>
      <c r="D183" s="591"/>
      <c r="E183" s="592"/>
      <c r="F183" s="593"/>
      <c r="G183" s="594"/>
      <c r="H183" s="595"/>
      <c r="I183" s="596"/>
      <c r="J183" s="597"/>
      <c r="K183" s="597"/>
      <c r="L183" s="597"/>
      <c r="M183" s="597"/>
      <c r="N183" s="597"/>
      <c r="O183" s="597"/>
      <c r="P183" s="597"/>
      <c r="Q183" s="597"/>
      <c r="R183" s="597"/>
      <c r="S183" s="597"/>
      <c r="T183" s="597"/>
      <c r="U183" s="597"/>
      <c r="V183" s="597"/>
      <c r="W183" s="597"/>
      <c r="X183" s="597"/>
      <c r="Y183" s="597"/>
      <c r="Z183" s="597"/>
      <c r="AA183" s="598"/>
      <c r="AB183" s="599"/>
      <c r="AC183" s="600"/>
      <c r="AD183" s="601"/>
      <c r="AE183" s="602"/>
      <c r="AF183" s="603"/>
      <c r="AG183" s="553">
        <v>0</v>
      </c>
      <c r="AH183" s="554"/>
      <c r="AI183" s="555" t="e">
        <v>#N/A</v>
      </c>
      <c r="AJ183" s="556"/>
      <c r="AK183" s="556"/>
      <c r="AL183" s="556"/>
      <c r="AM183" s="556"/>
      <c r="AN183" s="556"/>
      <c r="AO183" s="556"/>
      <c r="AP183" s="556"/>
      <c r="AQ183" s="556"/>
      <c r="AR183" s="556"/>
      <c r="AS183" s="556"/>
      <c r="AT183" s="556"/>
      <c r="AU183" s="556"/>
      <c r="AV183" s="557"/>
      <c r="AW183" s="558">
        <v>0</v>
      </c>
      <c r="AX183" s="559"/>
      <c r="AY183" s="560"/>
      <c r="AZ183" s="604"/>
      <c r="BA183" s="605"/>
      <c r="BB183" s="606"/>
      <c r="BC183" s="558">
        <v>0</v>
      </c>
      <c r="BD183" s="559"/>
      <c r="BE183" s="560"/>
      <c r="BF183" s="558">
        <v>182.49</v>
      </c>
      <c r="BG183" s="559"/>
      <c r="BH183" s="560"/>
      <c r="BI183" s="564">
        <v>0</v>
      </c>
      <c r="BJ183" s="565"/>
      <c r="BK183" s="565"/>
      <c r="BL183" s="566"/>
      <c r="BM183" s="567" t="s">
        <v>932</v>
      </c>
      <c r="BN183" s="567"/>
      <c r="BO183" s="567"/>
      <c r="BP183" s="567"/>
      <c r="BQ183" s="568" t="s">
        <v>932</v>
      </c>
      <c r="BR183" s="568"/>
      <c r="BS183" s="568"/>
      <c r="BT183" s="567" t="s">
        <v>932</v>
      </c>
      <c r="BU183" s="567"/>
      <c r="BV183" s="567"/>
      <c r="BW183" s="567"/>
      <c r="BX183" s="568" t="s">
        <v>932</v>
      </c>
      <c r="BY183" s="568"/>
      <c r="BZ183" s="568"/>
      <c r="CA183" s="567" t="s">
        <v>932</v>
      </c>
      <c r="CB183" s="567"/>
      <c r="CC183" s="567"/>
      <c r="CD183" s="567"/>
      <c r="CE183" s="568">
        <v>1</v>
      </c>
      <c r="CF183" s="568"/>
      <c r="CG183" s="568"/>
      <c r="CH183" s="567" t="s">
        <v>932</v>
      </c>
      <c r="CI183" s="567"/>
      <c r="CJ183" s="567"/>
      <c r="CK183" s="567"/>
      <c r="CL183" s="568" t="s">
        <v>932</v>
      </c>
      <c r="CM183" s="568"/>
      <c r="CN183" s="568"/>
    </row>
    <row r="184" hidden="1" customHeight="1" spans="1:92">
      <c r="A184" s="540" t="s">
        <v>963</v>
      </c>
      <c r="B184" s="541"/>
      <c r="C184" s="89"/>
      <c r="D184" s="91"/>
      <c r="E184" s="90"/>
      <c r="F184" s="542">
        <v>3806429</v>
      </c>
      <c r="G184" s="543"/>
      <c r="H184" s="544"/>
      <c r="I184" s="545" t="s">
        <v>111</v>
      </c>
      <c r="J184" s="546"/>
      <c r="K184" s="546"/>
      <c r="L184" s="546"/>
      <c r="M184" s="546"/>
      <c r="N184" s="546"/>
      <c r="O184" s="546"/>
      <c r="P184" s="546"/>
      <c r="Q184" s="546"/>
      <c r="R184" s="546"/>
      <c r="S184" s="546"/>
      <c r="T184" s="546"/>
      <c r="U184" s="546"/>
      <c r="V184" s="546"/>
      <c r="W184" s="546"/>
      <c r="X184" s="546"/>
      <c r="Y184" s="546"/>
      <c r="Z184" s="546"/>
      <c r="AA184" s="547"/>
      <c r="AB184" s="548" t="s">
        <v>99</v>
      </c>
      <c r="AC184" s="549"/>
      <c r="AD184" s="550">
        <v>189.84</v>
      </c>
      <c r="AE184" s="551"/>
      <c r="AF184" s="552"/>
      <c r="AG184" s="553">
        <v>0</v>
      </c>
      <c r="AH184" s="554"/>
      <c r="AI184" s="555" t="e">
        <v>#N/A</v>
      </c>
      <c r="AJ184" s="556"/>
      <c r="AK184" s="556"/>
      <c r="AL184" s="556"/>
      <c r="AM184" s="556"/>
      <c r="AN184" s="556"/>
      <c r="AO184" s="556"/>
      <c r="AP184" s="556"/>
      <c r="AQ184" s="556"/>
      <c r="AR184" s="556"/>
      <c r="AS184" s="556"/>
      <c r="AT184" s="556"/>
      <c r="AU184" s="556"/>
      <c r="AV184" s="557"/>
      <c r="AW184" s="558">
        <v>0</v>
      </c>
      <c r="AX184" s="559"/>
      <c r="AY184" s="560"/>
      <c r="AZ184" s="561">
        <v>4.28571</v>
      </c>
      <c r="BA184" s="562"/>
      <c r="BB184" s="563"/>
      <c r="BC184" s="558">
        <v>0</v>
      </c>
      <c r="BD184" s="559"/>
      <c r="BE184" s="560"/>
      <c r="BF184" s="558">
        <v>182.49</v>
      </c>
      <c r="BG184" s="559"/>
      <c r="BH184" s="560"/>
      <c r="BI184" s="564">
        <v>0</v>
      </c>
      <c r="BJ184" s="565"/>
      <c r="BK184" s="565"/>
      <c r="BL184" s="566"/>
      <c r="BM184" s="567" t="s">
        <v>932</v>
      </c>
      <c r="BN184" s="567"/>
      <c r="BO184" s="567"/>
      <c r="BP184" s="567"/>
      <c r="BQ184" s="568" t="s">
        <v>932</v>
      </c>
      <c r="BR184" s="568"/>
      <c r="BS184" s="568"/>
      <c r="BT184" s="567" t="s">
        <v>932</v>
      </c>
      <c r="BU184" s="567"/>
      <c r="BV184" s="567"/>
      <c r="BW184" s="567"/>
      <c r="BX184" s="568" t="s">
        <v>932</v>
      </c>
      <c r="BY184" s="568"/>
      <c r="BZ184" s="568"/>
      <c r="CA184" s="567" t="s">
        <v>932</v>
      </c>
      <c r="CB184" s="567"/>
      <c r="CC184" s="567"/>
      <c r="CD184" s="567"/>
      <c r="CE184" s="568">
        <v>1</v>
      </c>
      <c r="CF184" s="568"/>
      <c r="CG184" s="568"/>
      <c r="CH184" s="567" t="s">
        <v>932</v>
      </c>
      <c r="CI184" s="567"/>
      <c r="CJ184" s="567"/>
      <c r="CK184" s="567"/>
      <c r="CL184" s="568" t="s">
        <v>932</v>
      </c>
      <c r="CM184" s="568"/>
      <c r="CN184" s="568"/>
    </row>
    <row r="185" hidden="1" customHeight="1" spans="1:92">
      <c r="A185" s="569"/>
      <c r="B185" s="570"/>
      <c r="C185" s="571"/>
      <c r="D185" s="572"/>
      <c r="E185" s="573"/>
      <c r="F185" s="574"/>
      <c r="G185" s="575"/>
      <c r="H185" s="576"/>
      <c r="I185" s="577"/>
      <c r="J185" s="578"/>
      <c r="K185" s="578"/>
      <c r="L185" s="578"/>
      <c r="M185" s="578"/>
      <c r="N185" s="578"/>
      <c r="O185" s="578"/>
      <c r="P185" s="578"/>
      <c r="Q185" s="578"/>
      <c r="R185" s="578"/>
      <c r="S185" s="578"/>
      <c r="T185" s="578"/>
      <c r="U185" s="578"/>
      <c r="V185" s="578"/>
      <c r="W185" s="578"/>
      <c r="X185" s="578"/>
      <c r="Y185" s="578"/>
      <c r="Z185" s="578"/>
      <c r="AA185" s="579"/>
      <c r="AB185" s="580"/>
      <c r="AC185" s="581"/>
      <c r="AD185" s="582"/>
      <c r="AE185" s="583"/>
      <c r="AF185" s="584"/>
      <c r="AG185" s="553">
        <v>0</v>
      </c>
      <c r="AH185" s="554"/>
      <c r="AI185" s="555" t="e">
        <v>#N/A</v>
      </c>
      <c r="AJ185" s="556"/>
      <c r="AK185" s="556"/>
      <c r="AL185" s="556"/>
      <c r="AM185" s="556"/>
      <c r="AN185" s="556"/>
      <c r="AO185" s="556"/>
      <c r="AP185" s="556"/>
      <c r="AQ185" s="556"/>
      <c r="AR185" s="556"/>
      <c r="AS185" s="556"/>
      <c r="AT185" s="556"/>
      <c r="AU185" s="556"/>
      <c r="AV185" s="557"/>
      <c r="AW185" s="558">
        <v>0</v>
      </c>
      <c r="AX185" s="559"/>
      <c r="AY185" s="560"/>
      <c r="AZ185" s="585"/>
      <c r="BA185" s="586"/>
      <c r="BB185" s="587"/>
      <c r="BC185" s="558">
        <v>0</v>
      </c>
      <c r="BD185" s="559"/>
      <c r="BE185" s="560"/>
      <c r="BF185" s="558">
        <v>182.49</v>
      </c>
      <c r="BG185" s="559"/>
      <c r="BH185" s="560"/>
      <c r="BI185" s="564">
        <v>0</v>
      </c>
      <c r="BJ185" s="565"/>
      <c r="BK185" s="565"/>
      <c r="BL185" s="566"/>
      <c r="BM185" s="567" t="s">
        <v>932</v>
      </c>
      <c r="BN185" s="567"/>
      <c r="BO185" s="567"/>
      <c r="BP185" s="567"/>
      <c r="BQ185" s="568" t="s">
        <v>932</v>
      </c>
      <c r="BR185" s="568"/>
      <c r="BS185" s="568"/>
      <c r="BT185" s="567" t="s">
        <v>932</v>
      </c>
      <c r="BU185" s="567"/>
      <c r="BV185" s="567"/>
      <c r="BW185" s="567"/>
      <c r="BX185" s="568" t="s">
        <v>932</v>
      </c>
      <c r="BY185" s="568"/>
      <c r="BZ185" s="568"/>
      <c r="CA185" s="567" t="s">
        <v>932</v>
      </c>
      <c r="CB185" s="567"/>
      <c r="CC185" s="567"/>
      <c r="CD185" s="567"/>
      <c r="CE185" s="568">
        <v>1</v>
      </c>
      <c r="CF185" s="568"/>
      <c r="CG185" s="568"/>
      <c r="CH185" s="567" t="s">
        <v>932</v>
      </c>
      <c r="CI185" s="567"/>
      <c r="CJ185" s="567"/>
      <c r="CK185" s="567"/>
      <c r="CL185" s="568" t="s">
        <v>932</v>
      </c>
      <c r="CM185" s="568"/>
      <c r="CN185" s="568"/>
    </row>
    <row r="186" hidden="1" customHeight="1" spans="1:92">
      <c r="A186" s="569"/>
      <c r="B186" s="570"/>
      <c r="C186" s="571"/>
      <c r="D186" s="572"/>
      <c r="E186" s="573"/>
      <c r="F186" s="574"/>
      <c r="G186" s="575"/>
      <c r="H186" s="576"/>
      <c r="I186" s="577"/>
      <c r="J186" s="578"/>
      <c r="K186" s="578"/>
      <c r="L186" s="578"/>
      <c r="M186" s="578"/>
      <c r="N186" s="578"/>
      <c r="O186" s="578"/>
      <c r="P186" s="578"/>
      <c r="Q186" s="578"/>
      <c r="R186" s="578"/>
      <c r="S186" s="578"/>
      <c r="T186" s="578"/>
      <c r="U186" s="578"/>
      <c r="V186" s="578"/>
      <c r="W186" s="578"/>
      <c r="X186" s="578"/>
      <c r="Y186" s="578"/>
      <c r="Z186" s="578"/>
      <c r="AA186" s="579"/>
      <c r="AB186" s="580"/>
      <c r="AC186" s="581"/>
      <c r="AD186" s="582"/>
      <c r="AE186" s="583"/>
      <c r="AF186" s="584"/>
      <c r="AG186" s="553">
        <v>0</v>
      </c>
      <c r="AH186" s="554"/>
      <c r="AI186" s="555" t="e">
        <v>#N/A</v>
      </c>
      <c r="AJ186" s="556"/>
      <c r="AK186" s="556"/>
      <c r="AL186" s="556"/>
      <c r="AM186" s="556"/>
      <c r="AN186" s="556"/>
      <c r="AO186" s="556"/>
      <c r="AP186" s="556"/>
      <c r="AQ186" s="556"/>
      <c r="AR186" s="556"/>
      <c r="AS186" s="556"/>
      <c r="AT186" s="556"/>
      <c r="AU186" s="556"/>
      <c r="AV186" s="557"/>
      <c r="AW186" s="558">
        <v>0</v>
      </c>
      <c r="AX186" s="559"/>
      <c r="AY186" s="560"/>
      <c r="AZ186" s="585"/>
      <c r="BA186" s="586"/>
      <c r="BB186" s="587"/>
      <c r="BC186" s="558">
        <v>0</v>
      </c>
      <c r="BD186" s="559"/>
      <c r="BE186" s="560"/>
      <c r="BF186" s="558">
        <v>182.49</v>
      </c>
      <c r="BG186" s="559"/>
      <c r="BH186" s="560"/>
      <c r="BI186" s="564">
        <v>0</v>
      </c>
      <c r="BJ186" s="565"/>
      <c r="BK186" s="565"/>
      <c r="BL186" s="566"/>
      <c r="BM186" s="567" t="s">
        <v>932</v>
      </c>
      <c r="BN186" s="567"/>
      <c r="BO186" s="567"/>
      <c r="BP186" s="567"/>
      <c r="BQ186" s="568" t="s">
        <v>932</v>
      </c>
      <c r="BR186" s="568"/>
      <c r="BS186" s="568"/>
      <c r="BT186" s="567" t="s">
        <v>932</v>
      </c>
      <c r="BU186" s="567"/>
      <c r="BV186" s="567"/>
      <c r="BW186" s="567"/>
      <c r="BX186" s="568" t="s">
        <v>932</v>
      </c>
      <c r="BY186" s="568"/>
      <c r="BZ186" s="568"/>
      <c r="CA186" s="567" t="s">
        <v>932</v>
      </c>
      <c r="CB186" s="567"/>
      <c r="CC186" s="567"/>
      <c r="CD186" s="567"/>
      <c r="CE186" s="568">
        <v>1</v>
      </c>
      <c r="CF186" s="568"/>
      <c r="CG186" s="568"/>
      <c r="CH186" s="567" t="s">
        <v>932</v>
      </c>
      <c r="CI186" s="567"/>
      <c r="CJ186" s="567"/>
      <c r="CK186" s="567"/>
      <c r="CL186" s="568" t="s">
        <v>932</v>
      </c>
      <c r="CM186" s="568"/>
      <c r="CN186" s="568"/>
    </row>
    <row r="187" hidden="1" customHeight="1" spans="1:92">
      <c r="A187" s="569"/>
      <c r="B187" s="570"/>
      <c r="C187" s="571"/>
      <c r="D187" s="572"/>
      <c r="E187" s="573"/>
      <c r="F187" s="574"/>
      <c r="G187" s="575"/>
      <c r="H187" s="576"/>
      <c r="I187" s="577"/>
      <c r="J187" s="578"/>
      <c r="K187" s="578"/>
      <c r="L187" s="578"/>
      <c r="M187" s="578"/>
      <c r="N187" s="578"/>
      <c r="O187" s="578"/>
      <c r="P187" s="578"/>
      <c r="Q187" s="578"/>
      <c r="R187" s="578"/>
      <c r="S187" s="578"/>
      <c r="T187" s="578"/>
      <c r="U187" s="578"/>
      <c r="V187" s="578"/>
      <c r="W187" s="578"/>
      <c r="X187" s="578"/>
      <c r="Y187" s="578"/>
      <c r="Z187" s="578"/>
      <c r="AA187" s="579"/>
      <c r="AB187" s="580"/>
      <c r="AC187" s="581"/>
      <c r="AD187" s="582"/>
      <c r="AE187" s="583"/>
      <c r="AF187" s="584"/>
      <c r="AG187" s="553">
        <v>0</v>
      </c>
      <c r="AH187" s="554"/>
      <c r="AI187" s="555" t="e">
        <v>#N/A</v>
      </c>
      <c r="AJ187" s="556"/>
      <c r="AK187" s="556"/>
      <c r="AL187" s="556"/>
      <c r="AM187" s="556"/>
      <c r="AN187" s="556"/>
      <c r="AO187" s="556"/>
      <c r="AP187" s="556"/>
      <c r="AQ187" s="556"/>
      <c r="AR187" s="556"/>
      <c r="AS187" s="556"/>
      <c r="AT187" s="556"/>
      <c r="AU187" s="556"/>
      <c r="AV187" s="557"/>
      <c r="AW187" s="558">
        <v>0</v>
      </c>
      <c r="AX187" s="559"/>
      <c r="AY187" s="560"/>
      <c r="AZ187" s="585"/>
      <c r="BA187" s="586"/>
      <c r="BB187" s="587"/>
      <c r="BC187" s="558">
        <v>0</v>
      </c>
      <c r="BD187" s="559"/>
      <c r="BE187" s="560"/>
      <c r="BF187" s="558">
        <v>182.49</v>
      </c>
      <c r="BG187" s="559"/>
      <c r="BH187" s="560"/>
      <c r="BI187" s="564">
        <v>0</v>
      </c>
      <c r="BJ187" s="565"/>
      <c r="BK187" s="565"/>
      <c r="BL187" s="566"/>
      <c r="BM187" s="567" t="s">
        <v>932</v>
      </c>
      <c r="BN187" s="567"/>
      <c r="BO187" s="567"/>
      <c r="BP187" s="567"/>
      <c r="BQ187" s="568" t="s">
        <v>932</v>
      </c>
      <c r="BR187" s="568"/>
      <c r="BS187" s="568"/>
      <c r="BT187" s="567" t="s">
        <v>932</v>
      </c>
      <c r="BU187" s="567"/>
      <c r="BV187" s="567"/>
      <c r="BW187" s="567"/>
      <c r="BX187" s="568" t="s">
        <v>932</v>
      </c>
      <c r="BY187" s="568"/>
      <c r="BZ187" s="568"/>
      <c r="CA187" s="567" t="s">
        <v>932</v>
      </c>
      <c r="CB187" s="567"/>
      <c r="CC187" s="567"/>
      <c r="CD187" s="567"/>
      <c r="CE187" s="568">
        <v>1</v>
      </c>
      <c r="CF187" s="568"/>
      <c r="CG187" s="568"/>
      <c r="CH187" s="567" t="s">
        <v>932</v>
      </c>
      <c r="CI187" s="567"/>
      <c r="CJ187" s="567"/>
      <c r="CK187" s="567"/>
      <c r="CL187" s="568" t="s">
        <v>932</v>
      </c>
      <c r="CM187" s="568"/>
      <c r="CN187" s="568"/>
    </row>
    <row r="188" hidden="1" customHeight="1" spans="1:92">
      <c r="A188" s="569"/>
      <c r="B188" s="570"/>
      <c r="C188" s="571"/>
      <c r="D188" s="572"/>
      <c r="E188" s="573"/>
      <c r="F188" s="574"/>
      <c r="G188" s="575"/>
      <c r="H188" s="576"/>
      <c r="I188" s="577"/>
      <c r="J188" s="578"/>
      <c r="K188" s="578"/>
      <c r="L188" s="578"/>
      <c r="M188" s="578"/>
      <c r="N188" s="578"/>
      <c r="O188" s="578"/>
      <c r="P188" s="578"/>
      <c r="Q188" s="578"/>
      <c r="R188" s="578"/>
      <c r="S188" s="578"/>
      <c r="T188" s="578"/>
      <c r="U188" s="578"/>
      <c r="V188" s="578"/>
      <c r="W188" s="578"/>
      <c r="X188" s="578"/>
      <c r="Y188" s="578"/>
      <c r="Z188" s="578"/>
      <c r="AA188" s="579"/>
      <c r="AB188" s="580"/>
      <c r="AC188" s="581"/>
      <c r="AD188" s="582"/>
      <c r="AE188" s="583"/>
      <c r="AF188" s="584"/>
      <c r="AG188" s="553">
        <v>0</v>
      </c>
      <c r="AH188" s="554"/>
      <c r="AI188" s="555" t="e">
        <v>#N/A</v>
      </c>
      <c r="AJ188" s="556"/>
      <c r="AK188" s="556"/>
      <c r="AL188" s="556"/>
      <c r="AM188" s="556"/>
      <c r="AN188" s="556"/>
      <c r="AO188" s="556"/>
      <c r="AP188" s="556"/>
      <c r="AQ188" s="556"/>
      <c r="AR188" s="556"/>
      <c r="AS188" s="556"/>
      <c r="AT188" s="556"/>
      <c r="AU188" s="556"/>
      <c r="AV188" s="557"/>
      <c r="AW188" s="558">
        <v>0</v>
      </c>
      <c r="AX188" s="559"/>
      <c r="AY188" s="560"/>
      <c r="AZ188" s="585"/>
      <c r="BA188" s="586"/>
      <c r="BB188" s="587"/>
      <c r="BC188" s="558">
        <v>0</v>
      </c>
      <c r="BD188" s="559"/>
      <c r="BE188" s="560"/>
      <c r="BF188" s="558">
        <v>182.49</v>
      </c>
      <c r="BG188" s="559"/>
      <c r="BH188" s="560"/>
      <c r="BI188" s="564">
        <v>0</v>
      </c>
      <c r="BJ188" s="565"/>
      <c r="BK188" s="565"/>
      <c r="BL188" s="566"/>
      <c r="BM188" s="567" t="s">
        <v>932</v>
      </c>
      <c r="BN188" s="567"/>
      <c r="BO188" s="567"/>
      <c r="BP188" s="567"/>
      <c r="BQ188" s="568" t="s">
        <v>932</v>
      </c>
      <c r="BR188" s="568"/>
      <c r="BS188" s="568"/>
      <c r="BT188" s="567" t="s">
        <v>932</v>
      </c>
      <c r="BU188" s="567"/>
      <c r="BV188" s="567"/>
      <c r="BW188" s="567"/>
      <c r="BX188" s="568" t="s">
        <v>932</v>
      </c>
      <c r="BY188" s="568"/>
      <c r="BZ188" s="568"/>
      <c r="CA188" s="567" t="s">
        <v>932</v>
      </c>
      <c r="CB188" s="567"/>
      <c r="CC188" s="567"/>
      <c r="CD188" s="567"/>
      <c r="CE188" s="568">
        <v>1</v>
      </c>
      <c r="CF188" s="568"/>
      <c r="CG188" s="568"/>
      <c r="CH188" s="567" t="s">
        <v>932</v>
      </c>
      <c r="CI188" s="567"/>
      <c r="CJ188" s="567"/>
      <c r="CK188" s="567"/>
      <c r="CL188" s="568" t="s">
        <v>932</v>
      </c>
      <c r="CM188" s="568"/>
      <c r="CN188" s="568"/>
    </row>
    <row r="189" hidden="1" customHeight="1" spans="1:92">
      <c r="A189" s="569"/>
      <c r="B189" s="570"/>
      <c r="C189" s="571"/>
      <c r="D189" s="572"/>
      <c r="E189" s="573"/>
      <c r="F189" s="574"/>
      <c r="G189" s="575"/>
      <c r="H189" s="576"/>
      <c r="I189" s="577"/>
      <c r="J189" s="578"/>
      <c r="K189" s="578"/>
      <c r="L189" s="578"/>
      <c r="M189" s="578"/>
      <c r="N189" s="578"/>
      <c r="O189" s="578"/>
      <c r="P189" s="578"/>
      <c r="Q189" s="578"/>
      <c r="R189" s="578"/>
      <c r="S189" s="578"/>
      <c r="T189" s="578"/>
      <c r="U189" s="578"/>
      <c r="V189" s="578"/>
      <c r="W189" s="578"/>
      <c r="X189" s="578"/>
      <c r="Y189" s="578"/>
      <c r="Z189" s="578"/>
      <c r="AA189" s="579"/>
      <c r="AB189" s="580"/>
      <c r="AC189" s="581"/>
      <c r="AD189" s="582"/>
      <c r="AE189" s="583"/>
      <c r="AF189" s="584"/>
      <c r="AG189" s="553">
        <v>0</v>
      </c>
      <c r="AH189" s="554"/>
      <c r="AI189" s="555" t="e">
        <v>#N/A</v>
      </c>
      <c r="AJ189" s="556"/>
      <c r="AK189" s="556"/>
      <c r="AL189" s="556"/>
      <c r="AM189" s="556"/>
      <c r="AN189" s="556"/>
      <c r="AO189" s="556"/>
      <c r="AP189" s="556"/>
      <c r="AQ189" s="556"/>
      <c r="AR189" s="556"/>
      <c r="AS189" s="556"/>
      <c r="AT189" s="556"/>
      <c r="AU189" s="556"/>
      <c r="AV189" s="557"/>
      <c r="AW189" s="558">
        <v>0</v>
      </c>
      <c r="AX189" s="559"/>
      <c r="AY189" s="560"/>
      <c r="AZ189" s="585"/>
      <c r="BA189" s="586"/>
      <c r="BB189" s="587"/>
      <c r="BC189" s="558">
        <v>0</v>
      </c>
      <c r="BD189" s="559"/>
      <c r="BE189" s="560"/>
      <c r="BF189" s="558">
        <v>182.49</v>
      </c>
      <c r="BG189" s="559"/>
      <c r="BH189" s="560"/>
      <c r="BI189" s="564">
        <v>0</v>
      </c>
      <c r="BJ189" s="565"/>
      <c r="BK189" s="565"/>
      <c r="BL189" s="566"/>
      <c r="BM189" s="567" t="s">
        <v>932</v>
      </c>
      <c r="BN189" s="567"/>
      <c r="BO189" s="567"/>
      <c r="BP189" s="567"/>
      <c r="BQ189" s="568" t="s">
        <v>932</v>
      </c>
      <c r="BR189" s="568"/>
      <c r="BS189" s="568"/>
      <c r="BT189" s="567" t="s">
        <v>932</v>
      </c>
      <c r="BU189" s="567"/>
      <c r="BV189" s="567"/>
      <c r="BW189" s="567"/>
      <c r="BX189" s="568" t="s">
        <v>932</v>
      </c>
      <c r="BY189" s="568"/>
      <c r="BZ189" s="568"/>
      <c r="CA189" s="567" t="s">
        <v>932</v>
      </c>
      <c r="CB189" s="567"/>
      <c r="CC189" s="567"/>
      <c r="CD189" s="567"/>
      <c r="CE189" s="568">
        <v>1</v>
      </c>
      <c r="CF189" s="568"/>
      <c r="CG189" s="568"/>
      <c r="CH189" s="567" t="s">
        <v>932</v>
      </c>
      <c r="CI189" s="567"/>
      <c r="CJ189" s="567"/>
      <c r="CK189" s="567"/>
      <c r="CL189" s="568" t="s">
        <v>932</v>
      </c>
      <c r="CM189" s="568"/>
      <c r="CN189" s="568"/>
    </row>
    <row r="190" hidden="1" customHeight="1" spans="1:92">
      <c r="A190" s="569"/>
      <c r="B190" s="570"/>
      <c r="C190" s="571"/>
      <c r="D190" s="572"/>
      <c r="E190" s="573"/>
      <c r="F190" s="574"/>
      <c r="G190" s="575"/>
      <c r="H190" s="576"/>
      <c r="I190" s="577"/>
      <c r="J190" s="578"/>
      <c r="K190" s="578"/>
      <c r="L190" s="578"/>
      <c r="M190" s="578"/>
      <c r="N190" s="578"/>
      <c r="O190" s="578"/>
      <c r="P190" s="578"/>
      <c r="Q190" s="578"/>
      <c r="R190" s="578"/>
      <c r="S190" s="578"/>
      <c r="T190" s="578"/>
      <c r="U190" s="578"/>
      <c r="V190" s="578"/>
      <c r="W190" s="578"/>
      <c r="X190" s="578"/>
      <c r="Y190" s="578"/>
      <c r="Z190" s="578"/>
      <c r="AA190" s="579"/>
      <c r="AB190" s="580"/>
      <c r="AC190" s="581"/>
      <c r="AD190" s="582"/>
      <c r="AE190" s="583"/>
      <c r="AF190" s="584"/>
      <c r="AG190" s="553">
        <v>0</v>
      </c>
      <c r="AH190" s="554"/>
      <c r="AI190" s="555" t="e">
        <v>#N/A</v>
      </c>
      <c r="AJ190" s="556"/>
      <c r="AK190" s="556"/>
      <c r="AL190" s="556"/>
      <c r="AM190" s="556"/>
      <c r="AN190" s="556"/>
      <c r="AO190" s="556"/>
      <c r="AP190" s="556"/>
      <c r="AQ190" s="556"/>
      <c r="AR190" s="556"/>
      <c r="AS190" s="556"/>
      <c r="AT190" s="556"/>
      <c r="AU190" s="556"/>
      <c r="AV190" s="557"/>
      <c r="AW190" s="558">
        <v>0</v>
      </c>
      <c r="AX190" s="559"/>
      <c r="AY190" s="560"/>
      <c r="AZ190" s="585"/>
      <c r="BA190" s="586"/>
      <c r="BB190" s="587"/>
      <c r="BC190" s="558">
        <v>0</v>
      </c>
      <c r="BD190" s="559"/>
      <c r="BE190" s="560"/>
      <c r="BF190" s="558">
        <v>182.49</v>
      </c>
      <c r="BG190" s="559"/>
      <c r="BH190" s="560"/>
      <c r="BI190" s="564">
        <v>0</v>
      </c>
      <c r="BJ190" s="565"/>
      <c r="BK190" s="565"/>
      <c r="BL190" s="566"/>
      <c r="BM190" s="567" t="s">
        <v>932</v>
      </c>
      <c r="BN190" s="567"/>
      <c r="BO190" s="567"/>
      <c r="BP190" s="567"/>
      <c r="BQ190" s="568" t="s">
        <v>932</v>
      </c>
      <c r="BR190" s="568"/>
      <c r="BS190" s="568"/>
      <c r="BT190" s="567" t="s">
        <v>932</v>
      </c>
      <c r="BU190" s="567"/>
      <c r="BV190" s="567"/>
      <c r="BW190" s="567"/>
      <c r="BX190" s="568" t="s">
        <v>932</v>
      </c>
      <c r="BY190" s="568"/>
      <c r="BZ190" s="568"/>
      <c r="CA190" s="567" t="s">
        <v>932</v>
      </c>
      <c r="CB190" s="567"/>
      <c r="CC190" s="567"/>
      <c r="CD190" s="567"/>
      <c r="CE190" s="568">
        <v>1</v>
      </c>
      <c r="CF190" s="568"/>
      <c r="CG190" s="568"/>
      <c r="CH190" s="567" t="s">
        <v>932</v>
      </c>
      <c r="CI190" s="567"/>
      <c r="CJ190" s="567"/>
      <c r="CK190" s="567"/>
      <c r="CL190" s="568" t="s">
        <v>932</v>
      </c>
      <c r="CM190" s="568"/>
      <c r="CN190" s="568"/>
    </row>
    <row r="191" hidden="1" customHeight="1" spans="1:92">
      <c r="A191" s="588"/>
      <c r="B191" s="589"/>
      <c r="C191" s="590"/>
      <c r="D191" s="591"/>
      <c r="E191" s="592"/>
      <c r="F191" s="593"/>
      <c r="G191" s="594"/>
      <c r="H191" s="595"/>
      <c r="I191" s="596"/>
      <c r="J191" s="597"/>
      <c r="K191" s="597"/>
      <c r="L191" s="597"/>
      <c r="M191" s="597"/>
      <c r="N191" s="597"/>
      <c r="O191" s="597"/>
      <c r="P191" s="597"/>
      <c r="Q191" s="597"/>
      <c r="R191" s="597"/>
      <c r="S191" s="597"/>
      <c r="T191" s="597"/>
      <c r="U191" s="597"/>
      <c r="V191" s="597"/>
      <c r="W191" s="597"/>
      <c r="X191" s="597"/>
      <c r="Y191" s="597"/>
      <c r="Z191" s="597"/>
      <c r="AA191" s="598"/>
      <c r="AB191" s="599"/>
      <c r="AC191" s="600"/>
      <c r="AD191" s="601"/>
      <c r="AE191" s="602"/>
      <c r="AF191" s="603"/>
      <c r="AG191" s="553">
        <v>0</v>
      </c>
      <c r="AH191" s="554"/>
      <c r="AI191" s="555" t="e">
        <v>#N/A</v>
      </c>
      <c r="AJ191" s="556"/>
      <c r="AK191" s="556"/>
      <c r="AL191" s="556"/>
      <c r="AM191" s="556"/>
      <c r="AN191" s="556"/>
      <c r="AO191" s="556"/>
      <c r="AP191" s="556"/>
      <c r="AQ191" s="556"/>
      <c r="AR191" s="556"/>
      <c r="AS191" s="556"/>
      <c r="AT191" s="556"/>
      <c r="AU191" s="556"/>
      <c r="AV191" s="557"/>
      <c r="AW191" s="558">
        <v>0</v>
      </c>
      <c r="AX191" s="559"/>
      <c r="AY191" s="560"/>
      <c r="AZ191" s="604"/>
      <c r="BA191" s="605"/>
      <c r="BB191" s="606"/>
      <c r="BC191" s="558">
        <v>0</v>
      </c>
      <c r="BD191" s="559"/>
      <c r="BE191" s="560"/>
      <c r="BF191" s="558">
        <v>182.49</v>
      </c>
      <c r="BG191" s="559"/>
      <c r="BH191" s="560"/>
      <c r="BI191" s="564">
        <v>0</v>
      </c>
      <c r="BJ191" s="565"/>
      <c r="BK191" s="565"/>
      <c r="BL191" s="566"/>
      <c r="BM191" s="567" t="s">
        <v>932</v>
      </c>
      <c r="BN191" s="567"/>
      <c r="BO191" s="567"/>
      <c r="BP191" s="567"/>
      <c r="BQ191" s="568" t="s">
        <v>932</v>
      </c>
      <c r="BR191" s="568"/>
      <c r="BS191" s="568"/>
      <c r="BT191" s="567" t="s">
        <v>932</v>
      </c>
      <c r="BU191" s="567"/>
      <c r="BV191" s="567"/>
      <c r="BW191" s="567"/>
      <c r="BX191" s="568" t="s">
        <v>932</v>
      </c>
      <c r="BY191" s="568"/>
      <c r="BZ191" s="568"/>
      <c r="CA191" s="567" t="s">
        <v>932</v>
      </c>
      <c r="CB191" s="567"/>
      <c r="CC191" s="567"/>
      <c r="CD191" s="567"/>
      <c r="CE191" s="568">
        <v>1</v>
      </c>
      <c r="CF191" s="568"/>
      <c r="CG191" s="568"/>
      <c r="CH191" s="567" t="s">
        <v>932</v>
      </c>
      <c r="CI191" s="567"/>
      <c r="CJ191" s="567"/>
      <c r="CK191" s="567"/>
      <c r="CL191" s="568" t="s">
        <v>932</v>
      </c>
      <c r="CM191" s="568"/>
      <c r="CN191" s="568"/>
    </row>
    <row r="192" customHeight="1" spans="1:92">
      <c r="A192" s="540" t="s">
        <v>964</v>
      </c>
      <c r="B192" s="541"/>
      <c r="C192" s="89"/>
      <c r="D192" s="91"/>
      <c r="E192" s="90"/>
      <c r="F192" s="542">
        <v>4815671</v>
      </c>
      <c r="G192" s="543"/>
      <c r="H192" s="544"/>
      <c r="I192" s="545" t="s">
        <v>112</v>
      </c>
      <c r="J192" s="546"/>
      <c r="K192" s="546"/>
      <c r="L192" s="546"/>
      <c r="M192" s="546"/>
      <c r="N192" s="546"/>
      <c r="O192" s="546"/>
      <c r="P192" s="546"/>
      <c r="Q192" s="546"/>
      <c r="R192" s="546"/>
      <c r="S192" s="546"/>
      <c r="T192" s="546"/>
      <c r="U192" s="546"/>
      <c r="V192" s="546"/>
      <c r="W192" s="546"/>
      <c r="X192" s="546"/>
      <c r="Y192" s="546"/>
      <c r="Z192" s="546"/>
      <c r="AA192" s="547"/>
      <c r="AB192" s="548" t="s">
        <v>99</v>
      </c>
      <c r="AC192" s="549"/>
      <c r="AD192" s="550">
        <v>56.77</v>
      </c>
      <c r="AE192" s="551"/>
      <c r="AF192" s="552"/>
      <c r="AG192" s="553" t="s">
        <v>1078</v>
      </c>
      <c r="AH192" s="554"/>
      <c r="AI192" s="555" t="s">
        <v>1079</v>
      </c>
      <c r="AJ192" s="556"/>
      <c r="AK192" s="556"/>
      <c r="AL192" s="556"/>
      <c r="AM192" s="556"/>
      <c r="AN192" s="556"/>
      <c r="AO192" s="556"/>
      <c r="AP192" s="556"/>
      <c r="AQ192" s="556"/>
      <c r="AR192" s="556"/>
      <c r="AS192" s="556"/>
      <c r="AT192" s="556"/>
      <c r="AU192" s="556"/>
      <c r="AV192" s="557"/>
      <c r="AW192" s="558">
        <v>1</v>
      </c>
      <c r="AX192" s="559"/>
      <c r="AY192" s="560"/>
      <c r="AZ192" s="561">
        <v>3.1125</v>
      </c>
      <c r="BA192" s="562"/>
      <c r="BB192" s="563"/>
      <c r="BC192" s="558">
        <v>18.2393574297189</v>
      </c>
      <c r="BD192" s="559"/>
      <c r="BE192" s="560"/>
      <c r="BF192" s="558">
        <v>182.49</v>
      </c>
      <c r="BG192" s="559"/>
      <c r="BH192" s="560"/>
      <c r="BI192" s="564">
        <v>0.0999471611031776</v>
      </c>
      <c r="BJ192" s="565"/>
      <c r="BK192" s="565"/>
      <c r="BL192" s="566"/>
      <c r="BM192" s="567" t="s">
        <v>932</v>
      </c>
      <c r="BN192" s="567"/>
      <c r="BO192" s="567"/>
      <c r="BP192" s="567"/>
      <c r="BQ192" s="568" t="s">
        <v>932</v>
      </c>
      <c r="BR192" s="568"/>
      <c r="BS192" s="568"/>
      <c r="BT192" s="567" t="s">
        <v>932</v>
      </c>
      <c r="BU192" s="567"/>
      <c r="BV192" s="567"/>
      <c r="BW192" s="567"/>
      <c r="BX192" s="568" t="s">
        <v>932</v>
      </c>
      <c r="BY192" s="568"/>
      <c r="BZ192" s="568"/>
      <c r="CA192" s="567">
        <v>0.0999471611031776</v>
      </c>
      <c r="CB192" s="567"/>
      <c r="CC192" s="567"/>
      <c r="CD192" s="567"/>
      <c r="CE192" s="568">
        <v>1</v>
      </c>
      <c r="CF192" s="568"/>
      <c r="CG192" s="568"/>
      <c r="CH192" s="567" t="s">
        <v>932</v>
      </c>
      <c r="CI192" s="567"/>
      <c r="CJ192" s="567"/>
      <c r="CK192" s="567"/>
      <c r="CL192" s="568" t="s">
        <v>932</v>
      </c>
      <c r="CM192" s="568"/>
      <c r="CN192" s="568"/>
    </row>
    <row r="193" hidden="1" customHeight="1" spans="1:92">
      <c r="A193" s="569"/>
      <c r="B193" s="570"/>
      <c r="C193" s="571"/>
      <c r="D193" s="572"/>
      <c r="E193" s="573"/>
      <c r="F193" s="574"/>
      <c r="G193" s="575"/>
      <c r="H193" s="576"/>
      <c r="I193" s="577"/>
      <c r="J193" s="578"/>
      <c r="K193" s="578"/>
      <c r="L193" s="578"/>
      <c r="M193" s="578"/>
      <c r="N193" s="578"/>
      <c r="O193" s="578"/>
      <c r="P193" s="578"/>
      <c r="Q193" s="578"/>
      <c r="R193" s="578"/>
      <c r="S193" s="578"/>
      <c r="T193" s="578"/>
      <c r="U193" s="578"/>
      <c r="V193" s="578"/>
      <c r="W193" s="578"/>
      <c r="X193" s="578"/>
      <c r="Y193" s="578"/>
      <c r="Z193" s="578"/>
      <c r="AA193" s="579"/>
      <c r="AB193" s="580"/>
      <c r="AC193" s="581"/>
      <c r="AD193" s="582"/>
      <c r="AE193" s="583"/>
      <c r="AF193" s="584"/>
      <c r="AG193" s="553">
        <v>0</v>
      </c>
      <c r="AH193" s="554"/>
      <c r="AI193" s="555" t="e">
        <v>#N/A</v>
      </c>
      <c r="AJ193" s="556"/>
      <c r="AK193" s="556"/>
      <c r="AL193" s="556"/>
      <c r="AM193" s="556"/>
      <c r="AN193" s="556"/>
      <c r="AO193" s="556"/>
      <c r="AP193" s="556"/>
      <c r="AQ193" s="556"/>
      <c r="AR193" s="556"/>
      <c r="AS193" s="556"/>
      <c r="AT193" s="556"/>
      <c r="AU193" s="556"/>
      <c r="AV193" s="557"/>
      <c r="AW193" s="558">
        <v>0</v>
      </c>
      <c r="AX193" s="559"/>
      <c r="AY193" s="560"/>
      <c r="AZ193" s="585"/>
      <c r="BA193" s="586"/>
      <c r="BB193" s="587"/>
      <c r="BC193" s="558">
        <v>0</v>
      </c>
      <c r="BD193" s="559"/>
      <c r="BE193" s="560"/>
      <c r="BF193" s="558">
        <v>182.49</v>
      </c>
      <c r="BG193" s="559"/>
      <c r="BH193" s="560"/>
      <c r="BI193" s="564">
        <v>0</v>
      </c>
      <c r="BJ193" s="565"/>
      <c r="BK193" s="565"/>
      <c r="BL193" s="566"/>
      <c r="BM193" s="567" t="s">
        <v>932</v>
      </c>
      <c r="BN193" s="567"/>
      <c r="BO193" s="567"/>
      <c r="BP193" s="567"/>
      <c r="BQ193" s="568" t="s">
        <v>932</v>
      </c>
      <c r="BR193" s="568"/>
      <c r="BS193" s="568"/>
      <c r="BT193" s="567" t="s">
        <v>932</v>
      </c>
      <c r="BU193" s="567"/>
      <c r="BV193" s="567"/>
      <c r="BW193" s="567"/>
      <c r="BX193" s="568" t="s">
        <v>932</v>
      </c>
      <c r="BY193" s="568"/>
      <c r="BZ193" s="568"/>
      <c r="CA193" s="567" t="s">
        <v>932</v>
      </c>
      <c r="CB193" s="567"/>
      <c r="CC193" s="567"/>
      <c r="CD193" s="567"/>
      <c r="CE193" s="568">
        <v>1</v>
      </c>
      <c r="CF193" s="568"/>
      <c r="CG193" s="568"/>
      <c r="CH193" s="567" t="s">
        <v>932</v>
      </c>
      <c r="CI193" s="567"/>
      <c r="CJ193" s="567"/>
      <c r="CK193" s="567"/>
      <c r="CL193" s="568" t="s">
        <v>932</v>
      </c>
      <c r="CM193" s="568"/>
      <c r="CN193" s="568"/>
    </row>
    <row r="194" hidden="1" customHeight="1" spans="1:92">
      <c r="A194" s="569"/>
      <c r="B194" s="570"/>
      <c r="C194" s="571"/>
      <c r="D194" s="572"/>
      <c r="E194" s="573"/>
      <c r="F194" s="574"/>
      <c r="G194" s="575"/>
      <c r="H194" s="576"/>
      <c r="I194" s="577"/>
      <c r="J194" s="578"/>
      <c r="K194" s="578"/>
      <c r="L194" s="578"/>
      <c r="M194" s="578"/>
      <c r="N194" s="578"/>
      <c r="O194" s="578"/>
      <c r="P194" s="578"/>
      <c r="Q194" s="578"/>
      <c r="R194" s="578"/>
      <c r="S194" s="578"/>
      <c r="T194" s="578"/>
      <c r="U194" s="578"/>
      <c r="V194" s="578"/>
      <c r="W194" s="578"/>
      <c r="X194" s="578"/>
      <c r="Y194" s="578"/>
      <c r="Z194" s="578"/>
      <c r="AA194" s="579"/>
      <c r="AB194" s="580"/>
      <c r="AC194" s="581"/>
      <c r="AD194" s="582"/>
      <c r="AE194" s="583"/>
      <c r="AF194" s="584"/>
      <c r="AG194" s="553">
        <v>0</v>
      </c>
      <c r="AH194" s="554"/>
      <c r="AI194" s="555" t="e">
        <v>#N/A</v>
      </c>
      <c r="AJ194" s="556"/>
      <c r="AK194" s="556"/>
      <c r="AL194" s="556"/>
      <c r="AM194" s="556"/>
      <c r="AN194" s="556"/>
      <c r="AO194" s="556"/>
      <c r="AP194" s="556"/>
      <c r="AQ194" s="556"/>
      <c r="AR194" s="556"/>
      <c r="AS194" s="556"/>
      <c r="AT194" s="556"/>
      <c r="AU194" s="556"/>
      <c r="AV194" s="557"/>
      <c r="AW194" s="558">
        <v>0</v>
      </c>
      <c r="AX194" s="559"/>
      <c r="AY194" s="560"/>
      <c r="AZ194" s="585"/>
      <c r="BA194" s="586"/>
      <c r="BB194" s="587"/>
      <c r="BC194" s="558">
        <v>0</v>
      </c>
      <c r="BD194" s="559"/>
      <c r="BE194" s="560"/>
      <c r="BF194" s="558">
        <v>182.49</v>
      </c>
      <c r="BG194" s="559"/>
      <c r="BH194" s="560"/>
      <c r="BI194" s="564">
        <v>0</v>
      </c>
      <c r="BJ194" s="565"/>
      <c r="BK194" s="565"/>
      <c r="BL194" s="566"/>
      <c r="BM194" s="567" t="s">
        <v>932</v>
      </c>
      <c r="BN194" s="567"/>
      <c r="BO194" s="567"/>
      <c r="BP194" s="567"/>
      <c r="BQ194" s="568" t="s">
        <v>932</v>
      </c>
      <c r="BR194" s="568"/>
      <c r="BS194" s="568"/>
      <c r="BT194" s="567" t="s">
        <v>932</v>
      </c>
      <c r="BU194" s="567"/>
      <c r="BV194" s="567"/>
      <c r="BW194" s="567"/>
      <c r="BX194" s="568" t="s">
        <v>932</v>
      </c>
      <c r="BY194" s="568"/>
      <c r="BZ194" s="568"/>
      <c r="CA194" s="567" t="s">
        <v>932</v>
      </c>
      <c r="CB194" s="567"/>
      <c r="CC194" s="567"/>
      <c r="CD194" s="567"/>
      <c r="CE194" s="568">
        <v>1</v>
      </c>
      <c r="CF194" s="568"/>
      <c r="CG194" s="568"/>
      <c r="CH194" s="567" t="s">
        <v>932</v>
      </c>
      <c r="CI194" s="567"/>
      <c r="CJ194" s="567"/>
      <c r="CK194" s="567"/>
      <c r="CL194" s="568" t="s">
        <v>932</v>
      </c>
      <c r="CM194" s="568"/>
      <c r="CN194" s="568"/>
    </row>
    <row r="195" hidden="1" customHeight="1" spans="1:92">
      <c r="A195" s="569"/>
      <c r="B195" s="570"/>
      <c r="C195" s="571"/>
      <c r="D195" s="572"/>
      <c r="E195" s="573"/>
      <c r="F195" s="574"/>
      <c r="G195" s="575"/>
      <c r="H195" s="576"/>
      <c r="I195" s="577"/>
      <c r="J195" s="578"/>
      <c r="K195" s="578"/>
      <c r="L195" s="578"/>
      <c r="M195" s="578"/>
      <c r="N195" s="578"/>
      <c r="O195" s="578"/>
      <c r="P195" s="578"/>
      <c r="Q195" s="578"/>
      <c r="R195" s="578"/>
      <c r="S195" s="578"/>
      <c r="T195" s="578"/>
      <c r="U195" s="578"/>
      <c r="V195" s="578"/>
      <c r="W195" s="578"/>
      <c r="X195" s="578"/>
      <c r="Y195" s="578"/>
      <c r="Z195" s="578"/>
      <c r="AA195" s="579"/>
      <c r="AB195" s="580"/>
      <c r="AC195" s="581"/>
      <c r="AD195" s="582"/>
      <c r="AE195" s="583"/>
      <c r="AF195" s="584"/>
      <c r="AG195" s="553">
        <v>0</v>
      </c>
      <c r="AH195" s="554"/>
      <c r="AI195" s="555" t="e">
        <v>#N/A</v>
      </c>
      <c r="AJ195" s="556"/>
      <c r="AK195" s="556"/>
      <c r="AL195" s="556"/>
      <c r="AM195" s="556"/>
      <c r="AN195" s="556"/>
      <c r="AO195" s="556"/>
      <c r="AP195" s="556"/>
      <c r="AQ195" s="556"/>
      <c r="AR195" s="556"/>
      <c r="AS195" s="556"/>
      <c r="AT195" s="556"/>
      <c r="AU195" s="556"/>
      <c r="AV195" s="557"/>
      <c r="AW195" s="558">
        <v>0</v>
      </c>
      <c r="AX195" s="559"/>
      <c r="AY195" s="560"/>
      <c r="AZ195" s="585"/>
      <c r="BA195" s="586"/>
      <c r="BB195" s="587"/>
      <c r="BC195" s="558">
        <v>0</v>
      </c>
      <c r="BD195" s="559"/>
      <c r="BE195" s="560"/>
      <c r="BF195" s="558">
        <v>182.49</v>
      </c>
      <c r="BG195" s="559"/>
      <c r="BH195" s="560"/>
      <c r="BI195" s="564">
        <v>0</v>
      </c>
      <c r="BJ195" s="565"/>
      <c r="BK195" s="565"/>
      <c r="BL195" s="566"/>
      <c r="BM195" s="567" t="s">
        <v>932</v>
      </c>
      <c r="BN195" s="567"/>
      <c r="BO195" s="567"/>
      <c r="BP195" s="567"/>
      <c r="BQ195" s="568" t="s">
        <v>932</v>
      </c>
      <c r="BR195" s="568"/>
      <c r="BS195" s="568"/>
      <c r="BT195" s="567" t="s">
        <v>932</v>
      </c>
      <c r="BU195" s="567"/>
      <c r="BV195" s="567"/>
      <c r="BW195" s="567"/>
      <c r="BX195" s="568" t="s">
        <v>932</v>
      </c>
      <c r="BY195" s="568"/>
      <c r="BZ195" s="568"/>
      <c r="CA195" s="567" t="s">
        <v>932</v>
      </c>
      <c r="CB195" s="567"/>
      <c r="CC195" s="567"/>
      <c r="CD195" s="567"/>
      <c r="CE195" s="568">
        <v>1</v>
      </c>
      <c r="CF195" s="568"/>
      <c r="CG195" s="568"/>
      <c r="CH195" s="567" t="s">
        <v>932</v>
      </c>
      <c r="CI195" s="567"/>
      <c r="CJ195" s="567"/>
      <c r="CK195" s="567"/>
      <c r="CL195" s="568" t="s">
        <v>932</v>
      </c>
      <c r="CM195" s="568"/>
      <c r="CN195" s="568"/>
    </row>
    <row r="196" hidden="1" customHeight="1" spans="1:92">
      <c r="A196" s="569"/>
      <c r="B196" s="570"/>
      <c r="C196" s="571"/>
      <c r="D196" s="572"/>
      <c r="E196" s="573"/>
      <c r="F196" s="574"/>
      <c r="G196" s="575"/>
      <c r="H196" s="576"/>
      <c r="I196" s="577"/>
      <c r="J196" s="578"/>
      <c r="K196" s="578"/>
      <c r="L196" s="578"/>
      <c r="M196" s="578"/>
      <c r="N196" s="578"/>
      <c r="O196" s="578"/>
      <c r="P196" s="578"/>
      <c r="Q196" s="578"/>
      <c r="R196" s="578"/>
      <c r="S196" s="578"/>
      <c r="T196" s="578"/>
      <c r="U196" s="578"/>
      <c r="V196" s="578"/>
      <c r="W196" s="578"/>
      <c r="X196" s="578"/>
      <c r="Y196" s="578"/>
      <c r="Z196" s="578"/>
      <c r="AA196" s="579"/>
      <c r="AB196" s="580"/>
      <c r="AC196" s="581"/>
      <c r="AD196" s="582"/>
      <c r="AE196" s="583"/>
      <c r="AF196" s="584"/>
      <c r="AG196" s="553">
        <v>0</v>
      </c>
      <c r="AH196" s="554"/>
      <c r="AI196" s="555" t="e">
        <v>#N/A</v>
      </c>
      <c r="AJ196" s="556"/>
      <c r="AK196" s="556"/>
      <c r="AL196" s="556"/>
      <c r="AM196" s="556"/>
      <c r="AN196" s="556"/>
      <c r="AO196" s="556"/>
      <c r="AP196" s="556"/>
      <c r="AQ196" s="556"/>
      <c r="AR196" s="556"/>
      <c r="AS196" s="556"/>
      <c r="AT196" s="556"/>
      <c r="AU196" s="556"/>
      <c r="AV196" s="557"/>
      <c r="AW196" s="558">
        <v>0</v>
      </c>
      <c r="AX196" s="559"/>
      <c r="AY196" s="560"/>
      <c r="AZ196" s="585"/>
      <c r="BA196" s="586"/>
      <c r="BB196" s="587"/>
      <c r="BC196" s="558">
        <v>0</v>
      </c>
      <c r="BD196" s="559"/>
      <c r="BE196" s="560"/>
      <c r="BF196" s="558">
        <v>182.49</v>
      </c>
      <c r="BG196" s="559"/>
      <c r="BH196" s="560"/>
      <c r="BI196" s="564">
        <v>0</v>
      </c>
      <c r="BJ196" s="565"/>
      <c r="BK196" s="565"/>
      <c r="BL196" s="566"/>
      <c r="BM196" s="567" t="s">
        <v>932</v>
      </c>
      <c r="BN196" s="567"/>
      <c r="BO196" s="567"/>
      <c r="BP196" s="567"/>
      <c r="BQ196" s="568" t="s">
        <v>932</v>
      </c>
      <c r="BR196" s="568"/>
      <c r="BS196" s="568"/>
      <c r="BT196" s="567" t="s">
        <v>932</v>
      </c>
      <c r="BU196" s="567"/>
      <c r="BV196" s="567"/>
      <c r="BW196" s="567"/>
      <c r="BX196" s="568" t="s">
        <v>932</v>
      </c>
      <c r="BY196" s="568"/>
      <c r="BZ196" s="568"/>
      <c r="CA196" s="567" t="s">
        <v>932</v>
      </c>
      <c r="CB196" s="567"/>
      <c r="CC196" s="567"/>
      <c r="CD196" s="567"/>
      <c r="CE196" s="568">
        <v>1</v>
      </c>
      <c r="CF196" s="568"/>
      <c r="CG196" s="568"/>
      <c r="CH196" s="567" t="s">
        <v>932</v>
      </c>
      <c r="CI196" s="567"/>
      <c r="CJ196" s="567"/>
      <c r="CK196" s="567"/>
      <c r="CL196" s="568" t="s">
        <v>932</v>
      </c>
      <c r="CM196" s="568"/>
      <c r="CN196" s="568"/>
    </row>
    <row r="197" hidden="1" customHeight="1" spans="1:92">
      <c r="A197" s="569"/>
      <c r="B197" s="570"/>
      <c r="C197" s="571"/>
      <c r="D197" s="572"/>
      <c r="E197" s="573"/>
      <c r="F197" s="574"/>
      <c r="G197" s="575"/>
      <c r="H197" s="576"/>
      <c r="I197" s="577"/>
      <c r="J197" s="578"/>
      <c r="K197" s="578"/>
      <c r="L197" s="578"/>
      <c r="M197" s="578"/>
      <c r="N197" s="578"/>
      <c r="O197" s="578"/>
      <c r="P197" s="578"/>
      <c r="Q197" s="578"/>
      <c r="R197" s="578"/>
      <c r="S197" s="578"/>
      <c r="T197" s="578"/>
      <c r="U197" s="578"/>
      <c r="V197" s="578"/>
      <c r="W197" s="578"/>
      <c r="X197" s="578"/>
      <c r="Y197" s="578"/>
      <c r="Z197" s="578"/>
      <c r="AA197" s="579"/>
      <c r="AB197" s="580"/>
      <c r="AC197" s="581"/>
      <c r="AD197" s="582"/>
      <c r="AE197" s="583"/>
      <c r="AF197" s="584"/>
      <c r="AG197" s="553">
        <v>0</v>
      </c>
      <c r="AH197" s="554"/>
      <c r="AI197" s="555" t="e">
        <v>#N/A</v>
      </c>
      <c r="AJ197" s="556"/>
      <c r="AK197" s="556"/>
      <c r="AL197" s="556"/>
      <c r="AM197" s="556"/>
      <c r="AN197" s="556"/>
      <c r="AO197" s="556"/>
      <c r="AP197" s="556"/>
      <c r="AQ197" s="556"/>
      <c r="AR197" s="556"/>
      <c r="AS197" s="556"/>
      <c r="AT197" s="556"/>
      <c r="AU197" s="556"/>
      <c r="AV197" s="557"/>
      <c r="AW197" s="558">
        <v>0</v>
      </c>
      <c r="AX197" s="559"/>
      <c r="AY197" s="560"/>
      <c r="AZ197" s="585"/>
      <c r="BA197" s="586"/>
      <c r="BB197" s="587"/>
      <c r="BC197" s="558">
        <v>0</v>
      </c>
      <c r="BD197" s="559"/>
      <c r="BE197" s="560"/>
      <c r="BF197" s="558">
        <v>182.49</v>
      </c>
      <c r="BG197" s="559"/>
      <c r="BH197" s="560"/>
      <c r="BI197" s="564">
        <v>0</v>
      </c>
      <c r="BJ197" s="565"/>
      <c r="BK197" s="565"/>
      <c r="BL197" s="566"/>
      <c r="BM197" s="567" t="s">
        <v>932</v>
      </c>
      <c r="BN197" s="567"/>
      <c r="BO197" s="567"/>
      <c r="BP197" s="567"/>
      <c r="BQ197" s="568" t="s">
        <v>932</v>
      </c>
      <c r="BR197" s="568"/>
      <c r="BS197" s="568"/>
      <c r="BT197" s="567" t="s">
        <v>932</v>
      </c>
      <c r="BU197" s="567"/>
      <c r="BV197" s="567"/>
      <c r="BW197" s="567"/>
      <c r="BX197" s="568" t="s">
        <v>932</v>
      </c>
      <c r="BY197" s="568"/>
      <c r="BZ197" s="568"/>
      <c r="CA197" s="567" t="s">
        <v>932</v>
      </c>
      <c r="CB197" s="567"/>
      <c r="CC197" s="567"/>
      <c r="CD197" s="567"/>
      <c r="CE197" s="568">
        <v>1</v>
      </c>
      <c r="CF197" s="568"/>
      <c r="CG197" s="568"/>
      <c r="CH197" s="567" t="s">
        <v>932</v>
      </c>
      <c r="CI197" s="567"/>
      <c r="CJ197" s="567"/>
      <c r="CK197" s="567"/>
      <c r="CL197" s="568" t="s">
        <v>932</v>
      </c>
      <c r="CM197" s="568"/>
      <c r="CN197" s="568"/>
    </row>
    <row r="198" hidden="1" customHeight="1" spans="1:92">
      <c r="A198" s="569"/>
      <c r="B198" s="570"/>
      <c r="C198" s="571"/>
      <c r="D198" s="572"/>
      <c r="E198" s="573"/>
      <c r="F198" s="574"/>
      <c r="G198" s="575"/>
      <c r="H198" s="576"/>
      <c r="I198" s="577"/>
      <c r="J198" s="578"/>
      <c r="K198" s="578"/>
      <c r="L198" s="578"/>
      <c r="M198" s="578"/>
      <c r="N198" s="578"/>
      <c r="O198" s="578"/>
      <c r="P198" s="578"/>
      <c r="Q198" s="578"/>
      <c r="R198" s="578"/>
      <c r="S198" s="578"/>
      <c r="T198" s="578"/>
      <c r="U198" s="578"/>
      <c r="V198" s="578"/>
      <c r="W198" s="578"/>
      <c r="X198" s="578"/>
      <c r="Y198" s="578"/>
      <c r="Z198" s="578"/>
      <c r="AA198" s="579"/>
      <c r="AB198" s="580"/>
      <c r="AC198" s="581"/>
      <c r="AD198" s="582"/>
      <c r="AE198" s="583"/>
      <c r="AF198" s="584"/>
      <c r="AG198" s="553">
        <v>0</v>
      </c>
      <c r="AH198" s="554"/>
      <c r="AI198" s="555" t="e">
        <v>#N/A</v>
      </c>
      <c r="AJ198" s="556"/>
      <c r="AK198" s="556"/>
      <c r="AL198" s="556"/>
      <c r="AM198" s="556"/>
      <c r="AN198" s="556"/>
      <c r="AO198" s="556"/>
      <c r="AP198" s="556"/>
      <c r="AQ198" s="556"/>
      <c r="AR198" s="556"/>
      <c r="AS198" s="556"/>
      <c r="AT198" s="556"/>
      <c r="AU198" s="556"/>
      <c r="AV198" s="557"/>
      <c r="AW198" s="558">
        <v>0</v>
      </c>
      <c r="AX198" s="559"/>
      <c r="AY198" s="560"/>
      <c r="AZ198" s="585"/>
      <c r="BA198" s="586"/>
      <c r="BB198" s="587"/>
      <c r="BC198" s="558">
        <v>0</v>
      </c>
      <c r="BD198" s="559"/>
      <c r="BE198" s="560"/>
      <c r="BF198" s="558">
        <v>182.49</v>
      </c>
      <c r="BG198" s="559"/>
      <c r="BH198" s="560"/>
      <c r="BI198" s="564">
        <v>0</v>
      </c>
      <c r="BJ198" s="565"/>
      <c r="BK198" s="565"/>
      <c r="BL198" s="566"/>
      <c r="BM198" s="567" t="s">
        <v>932</v>
      </c>
      <c r="BN198" s="567"/>
      <c r="BO198" s="567"/>
      <c r="BP198" s="567"/>
      <c r="BQ198" s="568" t="s">
        <v>932</v>
      </c>
      <c r="BR198" s="568"/>
      <c r="BS198" s="568"/>
      <c r="BT198" s="567" t="s">
        <v>932</v>
      </c>
      <c r="BU198" s="567"/>
      <c r="BV198" s="567"/>
      <c r="BW198" s="567"/>
      <c r="BX198" s="568" t="s">
        <v>932</v>
      </c>
      <c r="BY198" s="568"/>
      <c r="BZ198" s="568"/>
      <c r="CA198" s="567" t="s">
        <v>932</v>
      </c>
      <c r="CB198" s="567"/>
      <c r="CC198" s="567"/>
      <c r="CD198" s="567"/>
      <c r="CE198" s="568">
        <v>1</v>
      </c>
      <c r="CF198" s="568"/>
      <c r="CG198" s="568"/>
      <c r="CH198" s="567" t="s">
        <v>932</v>
      </c>
      <c r="CI198" s="567"/>
      <c r="CJ198" s="567"/>
      <c r="CK198" s="567"/>
      <c r="CL198" s="568" t="s">
        <v>932</v>
      </c>
      <c r="CM198" s="568"/>
      <c r="CN198" s="568"/>
    </row>
    <row r="199" hidden="1" customHeight="1" spans="1:92">
      <c r="A199" s="588"/>
      <c r="B199" s="589"/>
      <c r="C199" s="590"/>
      <c r="D199" s="591"/>
      <c r="E199" s="592"/>
      <c r="F199" s="593"/>
      <c r="G199" s="594"/>
      <c r="H199" s="595"/>
      <c r="I199" s="596"/>
      <c r="J199" s="597"/>
      <c r="K199" s="597"/>
      <c r="L199" s="597"/>
      <c r="M199" s="597"/>
      <c r="N199" s="597"/>
      <c r="O199" s="597"/>
      <c r="P199" s="597"/>
      <c r="Q199" s="597"/>
      <c r="R199" s="597"/>
      <c r="S199" s="597"/>
      <c r="T199" s="597"/>
      <c r="U199" s="597"/>
      <c r="V199" s="597"/>
      <c r="W199" s="597"/>
      <c r="X199" s="597"/>
      <c r="Y199" s="597"/>
      <c r="Z199" s="597"/>
      <c r="AA199" s="598"/>
      <c r="AB199" s="599"/>
      <c r="AC199" s="600"/>
      <c r="AD199" s="601"/>
      <c r="AE199" s="602"/>
      <c r="AF199" s="603"/>
      <c r="AG199" s="553">
        <v>0</v>
      </c>
      <c r="AH199" s="554"/>
      <c r="AI199" s="555" t="e">
        <v>#N/A</v>
      </c>
      <c r="AJ199" s="556"/>
      <c r="AK199" s="556"/>
      <c r="AL199" s="556"/>
      <c r="AM199" s="556"/>
      <c r="AN199" s="556"/>
      <c r="AO199" s="556"/>
      <c r="AP199" s="556"/>
      <c r="AQ199" s="556"/>
      <c r="AR199" s="556"/>
      <c r="AS199" s="556"/>
      <c r="AT199" s="556"/>
      <c r="AU199" s="556"/>
      <c r="AV199" s="557"/>
      <c r="AW199" s="558">
        <v>0</v>
      </c>
      <c r="AX199" s="559"/>
      <c r="AY199" s="560"/>
      <c r="AZ199" s="604"/>
      <c r="BA199" s="605"/>
      <c r="BB199" s="606"/>
      <c r="BC199" s="558">
        <v>0</v>
      </c>
      <c r="BD199" s="559"/>
      <c r="BE199" s="560"/>
      <c r="BF199" s="558">
        <v>182.49</v>
      </c>
      <c r="BG199" s="559"/>
      <c r="BH199" s="560"/>
      <c r="BI199" s="564">
        <v>0</v>
      </c>
      <c r="BJ199" s="565"/>
      <c r="BK199" s="565"/>
      <c r="BL199" s="566"/>
      <c r="BM199" s="567" t="s">
        <v>932</v>
      </c>
      <c r="BN199" s="567"/>
      <c r="BO199" s="567"/>
      <c r="BP199" s="567"/>
      <c r="BQ199" s="568" t="s">
        <v>932</v>
      </c>
      <c r="BR199" s="568"/>
      <c r="BS199" s="568"/>
      <c r="BT199" s="567" t="s">
        <v>932</v>
      </c>
      <c r="BU199" s="567"/>
      <c r="BV199" s="567"/>
      <c r="BW199" s="567"/>
      <c r="BX199" s="568" t="s">
        <v>932</v>
      </c>
      <c r="BY199" s="568"/>
      <c r="BZ199" s="568"/>
      <c r="CA199" s="567" t="s">
        <v>932</v>
      </c>
      <c r="CB199" s="567"/>
      <c r="CC199" s="567"/>
      <c r="CD199" s="567"/>
      <c r="CE199" s="568">
        <v>1</v>
      </c>
      <c r="CF199" s="568"/>
      <c r="CG199" s="568"/>
      <c r="CH199" s="567" t="s">
        <v>932</v>
      </c>
      <c r="CI199" s="567"/>
      <c r="CJ199" s="567"/>
      <c r="CK199" s="567"/>
      <c r="CL199" s="568" t="s">
        <v>932</v>
      </c>
      <c r="CM199" s="568"/>
      <c r="CN199" s="568"/>
    </row>
    <row r="200" hidden="1" customHeight="1" spans="1:92">
      <c r="A200" s="540" t="s">
        <v>965</v>
      </c>
      <c r="B200" s="541"/>
      <c r="C200" s="89"/>
      <c r="D200" s="91"/>
      <c r="E200" s="90"/>
      <c r="F200" s="542">
        <v>1505860</v>
      </c>
      <c r="G200" s="543"/>
      <c r="H200" s="544"/>
      <c r="I200" s="545" t="s">
        <v>113</v>
      </c>
      <c r="J200" s="546"/>
      <c r="K200" s="546"/>
      <c r="L200" s="546"/>
      <c r="M200" s="546"/>
      <c r="N200" s="546"/>
      <c r="O200" s="546"/>
      <c r="P200" s="546"/>
      <c r="Q200" s="546"/>
      <c r="R200" s="546"/>
      <c r="S200" s="546"/>
      <c r="T200" s="546"/>
      <c r="U200" s="546"/>
      <c r="V200" s="546"/>
      <c r="W200" s="546"/>
      <c r="X200" s="546"/>
      <c r="Y200" s="546"/>
      <c r="Z200" s="546"/>
      <c r="AA200" s="547"/>
      <c r="AB200" s="548" t="s">
        <v>99</v>
      </c>
      <c r="AC200" s="549"/>
      <c r="AD200" s="550">
        <v>3.3</v>
      </c>
      <c r="AE200" s="551"/>
      <c r="AF200" s="552"/>
      <c r="AG200" s="553">
        <v>0</v>
      </c>
      <c r="AH200" s="554"/>
      <c r="AI200" s="555" t="e">
        <v>#N/A</v>
      </c>
      <c r="AJ200" s="556"/>
      <c r="AK200" s="556"/>
      <c r="AL200" s="556"/>
      <c r="AM200" s="556"/>
      <c r="AN200" s="556"/>
      <c r="AO200" s="556"/>
      <c r="AP200" s="556"/>
      <c r="AQ200" s="556"/>
      <c r="AR200" s="556"/>
      <c r="AS200" s="556"/>
      <c r="AT200" s="556"/>
      <c r="AU200" s="556"/>
      <c r="AV200" s="557"/>
      <c r="AW200" s="558">
        <v>0</v>
      </c>
      <c r="AX200" s="559"/>
      <c r="AY200" s="560"/>
      <c r="AZ200" s="561">
        <v>4</v>
      </c>
      <c r="BA200" s="562"/>
      <c r="BB200" s="563"/>
      <c r="BC200" s="558">
        <v>0</v>
      </c>
      <c r="BD200" s="559"/>
      <c r="BE200" s="560"/>
      <c r="BF200" s="558">
        <v>182.49</v>
      </c>
      <c r="BG200" s="559"/>
      <c r="BH200" s="560"/>
      <c r="BI200" s="564">
        <v>0</v>
      </c>
      <c r="BJ200" s="565"/>
      <c r="BK200" s="565"/>
      <c r="BL200" s="566"/>
      <c r="BM200" s="567" t="s">
        <v>932</v>
      </c>
      <c r="BN200" s="567"/>
      <c r="BO200" s="567"/>
      <c r="BP200" s="567"/>
      <c r="BQ200" s="568" t="s">
        <v>932</v>
      </c>
      <c r="BR200" s="568"/>
      <c r="BS200" s="568"/>
      <c r="BT200" s="567" t="s">
        <v>932</v>
      </c>
      <c r="BU200" s="567"/>
      <c r="BV200" s="567"/>
      <c r="BW200" s="567"/>
      <c r="BX200" s="568" t="s">
        <v>932</v>
      </c>
      <c r="BY200" s="568"/>
      <c r="BZ200" s="568"/>
      <c r="CA200" s="567" t="s">
        <v>932</v>
      </c>
      <c r="CB200" s="567"/>
      <c r="CC200" s="567"/>
      <c r="CD200" s="567"/>
      <c r="CE200" s="568">
        <v>1</v>
      </c>
      <c r="CF200" s="568"/>
      <c r="CG200" s="568"/>
      <c r="CH200" s="567" t="s">
        <v>932</v>
      </c>
      <c r="CI200" s="567"/>
      <c r="CJ200" s="567"/>
      <c r="CK200" s="567"/>
      <c r="CL200" s="568" t="s">
        <v>932</v>
      </c>
      <c r="CM200" s="568"/>
      <c r="CN200" s="568"/>
    </row>
    <row r="201" hidden="1" customHeight="1" spans="1:92">
      <c r="A201" s="569"/>
      <c r="B201" s="570"/>
      <c r="C201" s="571"/>
      <c r="D201" s="572"/>
      <c r="E201" s="573"/>
      <c r="F201" s="574"/>
      <c r="G201" s="575"/>
      <c r="H201" s="576"/>
      <c r="I201" s="577"/>
      <c r="J201" s="578"/>
      <c r="K201" s="578"/>
      <c r="L201" s="578"/>
      <c r="M201" s="578"/>
      <c r="N201" s="578"/>
      <c r="O201" s="578"/>
      <c r="P201" s="578"/>
      <c r="Q201" s="578"/>
      <c r="R201" s="578"/>
      <c r="S201" s="578"/>
      <c r="T201" s="578"/>
      <c r="U201" s="578"/>
      <c r="V201" s="578"/>
      <c r="W201" s="578"/>
      <c r="X201" s="578"/>
      <c r="Y201" s="578"/>
      <c r="Z201" s="578"/>
      <c r="AA201" s="579"/>
      <c r="AB201" s="580"/>
      <c r="AC201" s="581"/>
      <c r="AD201" s="582"/>
      <c r="AE201" s="583"/>
      <c r="AF201" s="584"/>
      <c r="AG201" s="553">
        <v>0</v>
      </c>
      <c r="AH201" s="554"/>
      <c r="AI201" s="555" t="e">
        <v>#N/A</v>
      </c>
      <c r="AJ201" s="556"/>
      <c r="AK201" s="556"/>
      <c r="AL201" s="556"/>
      <c r="AM201" s="556"/>
      <c r="AN201" s="556"/>
      <c r="AO201" s="556"/>
      <c r="AP201" s="556"/>
      <c r="AQ201" s="556"/>
      <c r="AR201" s="556"/>
      <c r="AS201" s="556"/>
      <c r="AT201" s="556"/>
      <c r="AU201" s="556"/>
      <c r="AV201" s="557"/>
      <c r="AW201" s="558">
        <v>0</v>
      </c>
      <c r="AX201" s="559"/>
      <c r="AY201" s="560"/>
      <c r="AZ201" s="585"/>
      <c r="BA201" s="586"/>
      <c r="BB201" s="587"/>
      <c r="BC201" s="558">
        <v>0</v>
      </c>
      <c r="BD201" s="559"/>
      <c r="BE201" s="560"/>
      <c r="BF201" s="558">
        <v>182.49</v>
      </c>
      <c r="BG201" s="559"/>
      <c r="BH201" s="560"/>
      <c r="BI201" s="564">
        <v>0</v>
      </c>
      <c r="BJ201" s="565"/>
      <c r="BK201" s="565"/>
      <c r="BL201" s="566"/>
      <c r="BM201" s="567" t="s">
        <v>932</v>
      </c>
      <c r="BN201" s="567"/>
      <c r="BO201" s="567"/>
      <c r="BP201" s="567"/>
      <c r="BQ201" s="568" t="s">
        <v>932</v>
      </c>
      <c r="BR201" s="568"/>
      <c r="BS201" s="568"/>
      <c r="BT201" s="567" t="s">
        <v>932</v>
      </c>
      <c r="BU201" s="567"/>
      <c r="BV201" s="567"/>
      <c r="BW201" s="567"/>
      <c r="BX201" s="568" t="s">
        <v>932</v>
      </c>
      <c r="BY201" s="568"/>
      <c r="BZ201" s="568"/>
      <c r="CA201" s="567" t="s">
        <v>932</v>
      </c>
      <c r="CB201" s="567"/>
      <c r="CC201" s="567"/>
      <c r="CD201" s="567"/>
      <c r="CE201" s="568">
        <v>1</v>
      </c>
      <c r="CF201" s="568"/>
      <c r="CG201" s="568"/>
      <c r="CH201" s="567" t="s">
        <v>932</v>
      </c>
      <c r="CI201" s="567"/>
      <c r="CJ201" s="567"/>
      <c r="CK201" s="567"/>
      <c r="CL201" s="568" t="s">
        <v>932</v>
      </c>
      <c r="CM201" s="568"/>
      <c r="CN201" s="568"/>
    </row>
    <row r="202" hidden="1" customHeight="1" spans="1:92">
      <c r="A202" s="569"/>
      <c r="B202" s="570"/>
      <c r="C202" s="571"/>
      <c r="D202" s="572"/>
      <c r="E202" s="573"/>
      <c r="F202" s="574"/>
      <c r="G202" s="575"/>
      <c r="H202" s="576"/>
      <c r="I202" s="577"/>
      <c r="J202" s="578"/>
      <c r="K202" s="578"/>
      <c r="L202" s="578"/>
      <c r="M202" s="578"/>
      <c r="N202" s="578"/>
      <c r="O202" s="578"/>
      <c r="P202" s="578"/>
      <c r="Q202" s="578"/>
      <c r="R202" s="578"/>
      <c r="S202" s="578"/>
      <c r="T202" s="578"/>
      <c r="U202" s="578"/>
      <c r="V202" s="578"/>
      <c r="W202" s="578"/>
      <c r="X202" s="578"/>
      <c r="Y202" s="578"/>
      <c r="Z202" s="578"/>
      <c r="AA202" s="579"/>
      <c r="AB202" s="580"/>
      <c r="AC202" s="581"/>
      <c r="AD202" s="582"/>
      <c r="AE202" s="583"/>
      <c r="AF202" s="584"/>
      <c r="AG202" s="553">
        <v>0</v>
      </c>
      <c r="AH202" s="554"/>
      <c r="AI202" s="555" t="e">
        <v>#N/A</v>
      </c>
      <c r="AJ202" s="556"/>
      <c r="AK202" s="556"/>
      <c r="AL202" s="556"/>
      <c r="AM202" s="556"/>
      <c r="AN202" s="556"/>
      <c r="AO202" s="556"/>
      <c r="AP202" s="556"/>
      <c r="AQ202" s="556"/>
      <c r="AR202" s="556"/>
      <c r="AS202" s="556"/>
      <c r="AT202" s="556"/>
      <c r="AU202" s="556"/>
      <c r="AV202" s="557"/>
      <c r="AW202" s="558">
        <v>0</v>
      </c>
      <c r="AX202" s="559"/>
      <c r="AY202" s="560"/>
      <c r="AZ202" s="585"/>
      <c r="BA202" s="586"/>
      <c r="BB202" s="587"/>
      <c r="BC202" s="558">
        <v>0</v>
      </c>
      <c r="BD202" s="559"/>
      <c r="BE202" s="560"/>
      <c r="BF202" s="558">
        <v>182.49</v>
      </c>
      <c r="BG202" s="559"/>
      <c r="BH202" s="560"/>
      <c r="BI202" s="564">
        <v>0</v>
      </c>
      <c r="BJ202" s="565"/>
      <c r="BK202" s="565"/>
      <c r="BL202" s="566"/>
      <c r="BM202" s="567" t="s">
        <v>932</v>
      </c>
      <c r="BN202" s="567"/>
      <c r="BO202" s="567"/>
      <c r="BP202" s="567"/>
      <c r="BQ202" s="568" t="s">
        <v>932</v>
      </c>
      <c r="BR202" s="568"/>
      <c r="BS202" s="568"/>
      <c r="BT202" s="567" t="s">
        <v>932</v>
      </c>
      <c r="BU202" s="567"/>
      <c r="BV202" s="567"/>
      <c r="BW202" s="567"/>
      <c r="BX202" s="568" t="s">
        <v>932</v>
      </c>
      <c r="BY202" s="568"/>
      <c r="BZ202" s="568"/>
      <c r="CA202" s="567" t="s">
        <v>932</v>
      </c>
      <c r="CB202" s="567"/>
      <c r="CC202" s="567"/>
      <c r="CD202" s="567"/>
      <c r="CE202" s="568">
        <v>1</v>
      </c>
      <c r="CF202" s="568"/>
      <c r="CG202" s="568"/>
      <c r="CH202" s="567" t="s">
        <v>932</v>
      </c>
      <c r="CI202" s="567"/>
      <c r="CJ202" s="567"/>
      <c r="CK202" s="567"/>
      <c r="CL202" s="568" t="s">
        <v>932</v>
      </c>
      <c r="CM202" s="568"/>
      <c r="CN202" s="568"/>
    </row>
    <row r="203" hidden="1" customHeight="1" spans="1:92">
      <c r="A203" s="569"/>
      <c r="B203" s="570"/>
      <c r="C203" s="571"/>
      <c r="D203" s="572"/>
      <c r="E203" s="573"/>
      <c r="F203" s="574"/>
      <c r="G203" s="575"/>
      <c r="H203" s="576"/>
      <c r="I203" s="577"/>
      <c r="J203" s="578"/>
      <c r="K203" s="578"/>
      <c r="L203" s="578"/>
      <c r="M203" s="578"/>
      <c r="N203" s="578"/>
      <c r="O203" s="578"/>
      <c r="P203" s="578"/>
      <c r="Q203" s="578"/>
      <c r="R203" s="578"/>
      <c r="S203" s="578"/>
      <c r="T203" s="578"/>
      <c r="U203" s="578"/>
      <c r="V203" s="578"/>
      <c r="W203" s="578"/>
      <c r="X203" s="578"/>
      <c r="Y203" s="578"/>
      <c r="Z203" s="578"/>
      <c r="AA203" s="579"/>
      <c r="AB203" s="580"/>
      <c r="AC203" s="581"/>
      <c r="AD203" s="582"/>
      <c r="AE203" s="583"/>
      <c r="AF203" s="584"/>
      <c r="AG203" s="553">
        <v>0</v>
      </c>
      <c r="AH203" s="554"/>
      <c r="AI203" s="555" t="e">
        <v>#N/A</v>
      </c>
      <c r="AJ203" s="556"/>
      <c r="AK203" s="556"/>
      <c r="AL203" s="556"/>
      <c r="AM203" s="556"/>
      <c r="AN203" s="556"/>
      <c r="AO203" s="556"/>
      <c r="AP203" s="556"/>
      <c r="AQ203" s="556"/>
      <c r="AR203" s="556"/>
      <c r="AS203" s="556"/>
      <c r="AT203" s="556"/>
      <c r="AU203" s="556"/>
      <c r="AV203" s="557"/>
      <c r="AW203" s="558">
        <v>0</v>
      </c>
      <c r="AX203" s="559"/>
      <c r="AY203" s="560"/>
      <c r="AZ203" s="585"/>
      <c r="BA203" s="586"/>
      <c r="BB203" s="587"/>
      <c r="BC203" s="558">
        <v>0</v>
      </c>
      <c r="BD203" s="559"/>
      <c r="BE203" s="560"/>
      <c r="BF203" s="558">
        <v>182.49</v>
      </c>
      <c r="BG203" s="559"/>
      <c r="BH203" s="560"/>
      <c r="BI203" s="564">
        <v>0</v>
      </c>
      <c r="BJ203" s="565"/>
      <c r="BK203" s="565"/>
      <c r="BL203" s="566"/>
      <c r="BM203" s="567" t="s">
        <v>932</v>
      </c>
      <c r="BN203" s="567"/>
      <c r="BO203" s="567"/>
      <c r="BP203" s="567"/>
      <c r="BQ203" s="568" t="s">
        <v>932</v>
      </c>
      <c r="BR203" s="568"/>
      <c r="BS203" s="568"/>
      <c r="BT203" s="567" t="s">
        <v>932</v>
      </c>
      <c r="BU203" s="567"/>
      <c r="BV203" s="567"/>
      <c r="BW203" s="567"/>
      <c r="BX203" s="568" t="s">
        <v>932</v>
      </c>
      <c r="BY203" s="568"/>
      <c r="BZ203" s="568"/>
      <c r="CA203" s="567" t="s">
        <v>932</v>
      </c>
      <c r="CB203" s="567"/>
      <c r="CC203" s="567"/>
      <c r="CD203" s="567"/>
      <c r="CE203" s="568">
        <v>1</v>
      </c>
      <c r="CF203" s="568"/>
      <c r="CG203" s="568"/>
      <c r="CH203" s="567" t="s">
        <v>932</v>
      </c>
      <c r="CI203" s="567"/>
      <c r="CJ203" s="567"/>
      <c r="CK203" s="567"/>
      <c r="CL203" s="568" t="s">
        <v>932</v>
      </c>
      <c r="CM203" s="568"/>
      <c r="CN203" s="568"/>
    </row>
    <row r="204" hidden="1" customHeight="1" spans="1:92">
      <c r="A204" s="569"/>
      <c r="B204" s="570"/>
      <c r="C204" s="571"/>
      <c r="D204" s="572"/>
      <c r="E204" s="573"/>
      <c r="F204" s="574"/>
      <c r="G204" s="575"/>
      <c r="H204" s="576"/>
      <c r="I204" s="577"/>
      <c r="J204" s="578"/>
      <c r="K204" s="578"/>
      <c r="L204" s="578"/>
      <c r="M204" s="578"/>
      <c r="N204" s="578"/>
      <c r="O204" s="578"/>
      <c r="P204" s="578"/>
      <c r="Q204" s="578"/>
      <c r="R204" s="578"/>
      <c r="S204" s="578"/>
      <c r="T204" s="578"/>
      <c r="U204" s="578"/>
      <c r="V204" s="578"/>
      <c r="W204" s="578"/>
      <c r="X204" s="578"/>
      <c r="Y204" s="578"/>
      <c r="Z204" s="578"/>
      <c r="AA204" s="579"/>
      <c r="AB204" s="580"/>
      <c r="AC204" s="581"/>
      <c r="AD204" s="582"/>
      <c r="AE204" s="583"/>
      <c r="AF204" s="584"/>
      <c r="AG204" s="553">
        <v>0</v>
      </c>
      <c r="AH204" s="554"/>
      <c r="AI204" s="555" t="e">
        <v>#N/A</v>
      </c>
      <c r="AJ204" s="556"/>
      <c r="AK204" s="556"/>
      <c r="AL204" s="556"/>
      <c r="AM204" s="556"/>
      <c r="AN204" s="556"/>
      <c r="AO204" s="556"/>
      <c r="AP204" s="556"/>
      <c r="AQ204" s="556"/>
      <c r="AR204" s="556"/>
      <c r="AS204" s="556"/>
      <c r="AT204" s="556"/>
      <c r="AU204" s="556"/>
      <c r="AV204" s="557"/>
      <c r="AW204" s="558">
        <v>0</v>
      </c>
      <c r="AX204" s="559"/>
      <c r="AY204" s="560"/>
      <c r="AZ204" s="585"/>
      <c r="BA204" s="586"/>
      <c r="BB204" s="587"/>
      <c r="BC204" s="558">
        <v>0</v>
      </c>
      <c r="BD204" s="559"/>
      <c r="BE204" s="560"/>
      <c r="BF204" s="558">
        <v>182.49</v>
      </c>
      <c r="BG204" s="559"/>
      <c r="BH204" s="560"/>
      <c r="BI204" s="564">
        <v>0</v>
      </c>
      <c r="BJ204" s="565"/>
      <c r="BK204" s="565"/>
      <c r="BL204" s="566"/>
      <c r="BM204" s="567" t="s">
        <v>932</v>
      </c>
      <c r="BN204" s="567"/>
      <c r="BO204" s="567"/>
      <c r="BP204" s="567"/>
      <c r="BQ204" s="568" t="s">
        <v>932</v>
      </c>
      <c r="BR204" s="568"/>
      <c r="BS204" s="568"/>
      <c r="BT204" s="567" t="s">
        <v>932</v>
      </c>
      <c r="BU204" s="567"/>
      <c r="BV204" s="567"/>
      <c r="BW204" s="567"/>
      <c r="BX204" s="568" t="s">
        <v>932</v>
      </c>
      <c r="BY204" s="568"/>
      <c r="BZ204" s="568"/>
      <c r="CA204" s="567" t="s">
        <v>932</v>
      </c>
      <c r="CB204" s="567"/>
      <c r="CC204" s="567"/>
      <c r="CD204" s="567"/>
      <c r="CE204" s="568">
        <v>1</v>
      </c>
      <c r="CF204" s="568"/>
      <c r="CG204" s="568"/>
      <c r="CH204" s="567" t="s">
        <v>932</v>
      </c>
      <c r="CI204" s="567"/>
      <c r="CJ204" s="567"/>
      <c r="CK204" s="567"/>
      <c r="CL204" s="568" t="s">
        <v>932</v>
      </c>
      <c r="CM204" s="568"/>
      <c r="CN204" s="568"/>
    </row>
    <row r="205" hidden="1" customHeight="1" spans="1:92">
      <c r="A205" s="569"/>
      <c r="B205" s="570"/>
      <c r="C205" s="571"/>
      <c r="D205" s="572"/>
      <c r="E205" s="573"/>
      <c r="F205" s="574"/>
      <c r="G205" s="575"/>
      <c r="H205" s="576"/>
      <c r="I205" s="577"/>
      <c r="J205" s="578"/>
      <c r="K205" s="578"/>
      <c r="L205" s="578"/>
      <c r="M205" s="578"/>
      <c r="N205" s="578"/>
      <c r="O205" s="578"/>
      <c r="P205" s="578"/>
      <c r="Q205" s="578"/>
      <c r="R205" s="578"/>
      <c r="S205" s="578"/>
      <c r="T205" s="578"/>
      <c r="U205" s="578"/>
      <c r="V205" s="578"/>
      <c r="W205" s="578"/>
      <c r="X205" s="578"/>
      <c r="Y205" s="578"/>
      <c r="Z205" s="578"/>
      <c r="AA205" s="579"/>
      <c r="AB205" s="580"/>
      <c r="AC205" s="581"/>
      <c r="AD205" s="582"/>
      <c r="AE205" s="583"/>
      <c r="AF205" s="584"/>
      <c r="AG205" s="553">
        <v>0</v>
      </c>
      <c r="AH205" s="554"/>
      <c r="AI205" s="555" t="e">
        <v>#N/A</v>
      </c>
      <c r="AJ205" s="556"/>
      <c r="AK205" s="556"/>
      <c r="AL205" s="556"/>
      <c r="AM205" s="556"/>
      <c r="AN205" s="556"/>
      <c r="AO205" s="556"/>
      <c r="AP205" s="556"/>
      <c r="AQ205" s="556"/>
      <c r="AR205" s="556"/>
      <c r="AS205" s="556"/>
      <c r="AT205" s="556"/>
      <c r="AU205" s="556"/>
      <c r="AV205" s="557"/>
      <c r="AW205" s="558">
        <v>0</v>
      </c>
      <c r="AX205" s="559"/>
      <c r="AY205" s="560"/>
      <c r="AZ205" s="585"/>
      <c r="BA205" s="586"/>
      <c r="BB205" s="587"/>
      <c r="BC205" s="558">
        <v>0</v>
      </c>
      <c r="BD205" s="559"/>
      <c r="BE205" s="560"/>
      <c r="BF205" s="558">
        <v>182.49</v>
      </c>
      <c r="BG205" s="559"/>
      <c r="BH205" s="560"/>
      <c r="BI205" s="564">
        <v>0</v>
      </c>
      <c r="BJ205" s="565"/>
      <c r="BK205" s="565"/>
      <c r="BL205" s="566"/>
      <c r="BM205" s="567" t="s">
        <v>932</v>
      </c>
      <c r="BN205" s="567"/>
      <c r="BO205" s="567"/>
      <c r="BP205" s="567"/>
      <c r="BQ205" s="568" t="s">
        <v>932</v>
      </c>
      <c r="BR205" s="568"/>
      <c r="BS205" s="568"/>
      <c r="BT205" s="567" t="s">
        <v>932</v>
      </c>
      <c r="BU205" s="567"/>
      <c r="BV205" s="567"/>
      <c r="BW205" s="567"/>
      <c r="BX205" s="568" t="s">
        <v>932</v>
      </c>
      <c r="BY205" s="568"/>
      <c r="BZ205" s="568"/>
      <c r="CA205" s="567" t="s">
        <v>932</v>
      </c>
      <c r="CB205" s="567"/>
      <c r="CC205" s="567"/>
      <c r="CD205" s="567"/>
      <c r="CE205" s="568">
        <v>1</v>
      </c>
      <c r="CF205" s="568"/>
      <c r="CG205" s="568"/>
      <c r="CH205" s="567" t="s">
        <v>932</v>
      </c>
      <c r="CI205" s="567"/>
      <c r="CJ205" s="567"/>
      <c r="CK205" s="567"/>
      <c r="CL205" s="568" t="s">
        <v>932</v>
      </c>
      <c r="CM205" s="568"/>
      <c r="CN205" s="568"/>
    </row>
    <row r="206" hidden="1" customHeight="1" spans="1:92">
      <c r="A206" s="569"/>
      <c r="B206" s="570"/>
      <c r="C206" s="571"/>
      <c r="D206" s="572"/>
      <c r="E206" s="573"/>
      <c r="F206" s="574"/>
      <c r="G206" s="575"/>
      <c r="H206" s="576"/>
      <c r="I206" s="577"/>
      <c r="J206" s="578"/>
      <c r="K206" s="578"/>
      <c r="L206" s="578"/>
      <c r="M206" s="578"/>
      <c r="N206" s="578"/>
      <c r="O206" s="578"/>
      <c r="P206" s="578"/>
      <c r="Q206" s="578"/>
      <c r="R206" s="578"/>
      <c r="S206" s="578"/>
      <c r="T206" s="578"/>
      <c r="U206" s="578"/>
      <c r="V206" s="578"/>
      <c r="W206" s="578"/>
      <c r="X206" s="578"/>
      <c r="Y206" s="578"/>
      <c r="Z206" s="578"/>
      <c r="AA206" s="579"/>
      <c r="AB206" s="580"/>
      <c r="AC206" s="581"/>
      <c r="AD206" s="582"/>
      <c r="AE206" s="583"/>
      <c r="AF206" s="584"/>
      <c r="AG206" s="553">
        <v>0</v>
      </c>
      <c r="AH206" s="554"/>
      <c r="AI206" s="555" t="e">
        <v>#N/A</v>
      </c>
      <c r="AJ206" s="556"/>
      <c r="AK206" s="556"/>
      <c r="AL206" s="556"/>
      <c r="AM206" s="556"/>
      <c r="AN206" s="556"/>
      <c r="AO206" s="556"/>
      <c r="AP206" s="556"/>
      <c r="AQ206" s="556"/>
      <c r="AR206" s="556"/>
      <c r="AS206" s="556"/>
      <c r="AT206" s="556"/>
      <c r="AU206" s="556"/>
      <c r="AV206" s="557"/>
      <c r="AW206" s="558">
        <v>0</v>
      </c>
      <c r="AX206" s="559"/>
      <c r="AY206" s="560"/>
      <c r="AZ206" s="585"/>
      <c r="BA206" s="586"/>
      <c r="BB206" s="587"/>
      <c r="BC206" s="558">
        <v>0</v>
      </c>
      <c r="BD206" s="559"/>
      <c r="BE206" s="560"/>
      <c r="BF206" s="558">
        <v>182.49</v>
      </c>
      <c r="BG206" s="559"/>
      <c r="BH206" s="560"/>
      <c r="BI206" s="564">
        <v>0</v>
      </c>
      <c r="BJ206" s="565"/>
      <c r="BK206" s="565"/>
      <c r="BL206" s="566"/>
      <c r="BM206" s="567" t="s">
        <v>932</v>
      </c>
      <c r="BN206" s="567"/>
      <c r="BO206" s="567"/>
      <c r="BP206" s="567"/>
      <c r="BQ206" s="568" t="s">
        <v>932</v>
      </c>
      <c r="BR206" s="568"/>
      <c r="BS206" s="568"/>
      <c r="BT206" s="567" t="s">
        <v>932</v>
      </c>
      <c r="BU206" s="567"/>
      <c r="BV206" s="567"/>
      <c r="BW206" s="567"/>
      <c r="BX206" s="568" t="s">
        <v>932</v>
      </c>
      <c r="BY206" s="568"/>
      <c r="BZ206" s="568"/>
      <c r="CA206" s="567" t="s">
        <v>932</v>
      </c>
      <c r="CB206" s="567"/>
      <c r="CC206" s="567"/>
      <c r="CD206" s="567"/>
      <c r="CE206" s="568">
        <v>1</v>
      </c>
      <c r="CF206" s="568"/>
      <c r="CG206" s="568"/>
      <c r="CH206" s="567" t="s">
        <v>932</v>
      </c>
      <c r="CI206" s="567"/>
      <c r="CJ206" s="567"/>
      <c r="CK206" s="567"/>
      <c r="CL206" s="568" t="s">
        <v>932</v>
      </c>
      <c r="CM206" s="568"/>
      <c r="CN206" s="568"/>
    </row>
    <row r="207" hidden="1" customHeight="1" spans="1:92">
      <c r="A207" s="588"/>
      <c r="B207" s="589"/>
      <c r="C207" s="590"/>
      <c r="D207" s="591"/>
      <c r="E207" s="592"/>
      <c r="F207" s="593"/>
      <c r="G207" s="594"/>
      <c r="H207" s="595"/>
      <c r="I207" s="596"/>
      <c r="J207" s="597"/>
      <c r="K207" s="597"/>
      <c r="L207" s="597"/>
      <c r="M207" s="597"/>
      <c r="N207" s="597"/>
      <c r="O207" s="597"/>
      <c r="P207" s="597"/>
      <c r="Q207" s="597"/>
      <c r="R207" s="597"/>
      <c r="S207" s="597"/>
      <c r="T207" s="597"/>
      <c r="U207" s="597"/>
      <c r="V207" s="597"/>
      <c r="W207" s="597"/>
      <c r="X207" s="597"/>
      <c r="Y207" s="597"/>
      <c r="Z207" s="597"/>
      <c r="AA207" s="598"/>
      <c r="AB207" s="599"/>
      <c r="AC207" s="600"/>
      <c r="AD207" s="601"/>
      <c r="AE207" s="602"/>
      <c r="AF207" s="603"/>
      <c r="AG207" s="553">
        <v>0</v>
      </c>
      <c r="AH207" s="554"/>
      <c r="AI207" s="555" t="e">
        <v>#N/A</v>
      </c>
      <c r="AJ207" s="556"/>
      <c r="AK207" s="556"/>
      <c r="AL207" s="556"/>
      <c r="AM207" s="556"/>
      <c r="AN207" s="556"/>
      <c r="AO207" s="556"/>
      <c r="AP207" s="556"/>
      <c r="AQ207" s="556"/>
      <c r="AR207" s="556"/>
      <c r="AS207" s="556"/>
      <c r="AT207" s="556"/>
      <c r="AU207" s="556"/>
      <c r="AV207" s="557"/>
      <c r="AW207" s="558">
        <v>0</v>
      </c>
      <c r="AX207" s="559"/>
      <c r="AY207" s="560"/>
      <c r="AZ207" s="604"/>
      <c r="BA207" s="605"/>
      <c r="BB207" s="606"/>
      <c r="BC207" s="558">
        <v>0</v>
      </c>
      <c r="BD207" s="559"/>
      <c r="BE207" s="560"/>
      <c r="BF207" s="558">
        <v>182.49</v>
      </c>
      <c r="BG207" s="559"/>
      <c r="BH207" s="560"/>
      <c r="BI207" s="564">
        <v>0</v>
      </c>
      <c r="BJ207" s="565"/>
      <c r="BK207" s="565"/>
      <c r="BL207" s="566"/>
      <c r="BM207" s="567" t="s">
        <v>932</v>
      </c>
      <c r="BN207" s="567"/>
      <c r="BO207" s="567"/>
      <c r="BP207" s="567"/>
      <c r="BQ207" s="568" t="s">
        <v>932</v>
      </c>
      <c r="BR207" s="568"/>
      <c r="BS207" s="568"/>
      <c r="BT207" s="567" t="s">
        <v>932</v>
      </c>
      <c r="BU207" s="567"/>
      <c r="BV207" s="567"/>
      <c r="BW207" s="567"/>
      <c r="BX207" s="568" t="s">
        <v>932</v>
      </c>
      <c r="BY207" s="568"/>
      <c r="BZ207" s="568"/>
      <c r="CA207" s="567" t="s">
        <v>932</v>
      </c>
      <c r="CB207" s="567"/>
      <c r="CC207" s="567"/>
      <c r="CD207" s="567"/>
      <c r="CE207" s="568">
        <v>1</v>
      </c>
      <c r="CF207" s="568"/>
      <c r="CG207" s="568"/>
      <c r="CH207" s="567" t="s">
        <v>932</v>
      </c>
      <c r="CI207" s="567"/>
      <c r="CJ207" s="567"/>
      <c r="CK207" s="567"/>
      <c r="CL207" s="568" t="s">
        <v>932</v>
      </c>
      <c r="CM207" s="568"/>
      <c r="CN207" s="568"/>
    </row>
    <row r="208" customHeight="1" spans="1:92">
      <c r="A208" s="540" t="s">
        <v>966</v>
      </c>
      <c r="B208" s="541"/>
      <c r="C208" s="89"/>
      <c r="D208" s="91"/>
      <c r="E208" s="90"/>
      <c r="F208" s="542">
        <v>1100657</v>
      </c>
      <c r="G208" s="543"/>
      <c r="H208" s="544"/>
      <c r="I208" s="545" t="s">
        <v>114</v>
      </c>
      <c r="J208" s="546"/>
      <c r="K208" s="546"/>
      <c r="L208" s="546"/>
      <c r="M208" s="546"/>
      <c r="N208" s="546"/>
      <c r="O208" s="546"/>
      <c r="P208" s="546"/>
      <c r="Q208" s="546"/>
      <c r="R208" s="546"/>
      <c r="S208" s="546"/>
      <c r="T208" s="546"/>
      <c r="U208" s="546"/>
      <c r="V208" s="546"/>
      <c r="W208" s="546"/>
      <c r="X208" s="546"/>
      <c r="Y208" s="546"/>
      <c r="Z208" s="546"/>
      <c r="AA208" s="547"/>
      <c r="AB208" s="548" t="s">
        <v>99</v>
      </c>
      <c r="AC208" s="549"/>
      <c r="AD208" s="550">
        <v>33.62</v>
      </c>
      <c r="AE208" s="551"/>
      <c r="AF208" s="552"/>
      <c r="AG208" s="553" t="s">
        <v>1080</v>
      </c>
      <c r="AH208" s="554"/>
      <c r="AI208" s="555" t="s">
        <v>1081</v>
      </c>
      <c r="AJ208" s="556"/>
      <c r="AK208" s="556"/>
      <c r="AL208" s="556"/>
      <c r="AM208" s="556"/>
      <c r="AN208" s="556"/>
      <c r="AO208" s="556"/>
      <c r="AP208" s="556"/>
      <c r="AQ208" s="556"/>
      <c r="AR208" s="556"/>
      <c r="AS208" s="556"/>
      <c r="AT208" s="556"/>
      <c r="AU208" s="556"/>
      <c r="AV208" s="557"/>
      <c r="AW208" s="558">
        <v>1</v>
      </c>
      <c r="AX208" s="559"/>
      <c r="AY208" s="560"/>
      <c r="AZ208" s="561">
        <v>9</v>
      </c>
      <c r="BA208" s="562"/>
      <c r="BB208" s="563"/>
      <c r="BC208" s="558">
        <v>3.73555555555555</v>
      </c>
      <c r="BD208" s="559"/>
      <c r="BE208" s="560"/>
      <c r="BF208" s="558">
        <v>182.49</v>
      </c>
      <c r="BG208" s="559"/>
      <c r="BH208" s="560"/>
      <c r="BI208" s="564">
        <v>0.0204699192040964</v>
      </c>
      <c r="BJ208" s="565"/>
      <c r="BK208" s="565"/>
      <c r="BL208" s="566"/>
      <c r="BM208" s="567" t="s">
        <v>932</v>
      </c>
      <c r="BN208" s="567"/>
      <c r="BO208" s="567"/>
      <c r="BP208" s="567"/>
      <c r="BQ208" s="568" t="s">
        <v>932</v>
      </c>
      <c r="BR208" s="568"/>
      <c r="BS208" s="568"/>
      <c r="BT208" s="567" t="s">
        <v>932</v>
      </c>
      <c r="BU208" s="567"/>
      <c r="BV208" s="567"/>
      <c r="BW208" s="567"/>
      <c r="BX208" s="568" t="s">
        <v>932</v>
      </c>
      <c r="BY208" s="568"/>
      <c r="BZ208" s="568"/>
      <c r="CA208" s="567">
        <v>0.0204699192040964</v>
      </c>
      <c r="CB208" s="567"/>
      <c r="CC208" s="567"/>
      <c r="CD208" s="567"/>
      <c r="CE208" s="568">
        <v>1</v>
      </c>
      <c r="CF208" s="568"/>
      <c r="CG208" s="568"/>
      <c r="CH208" s="567" t="s">
        <v>932</v>
      </c>
      <c r="CI208" s="567"/>
      <c r="CJ208" s="567"/>
      <c r="CK208" s="567"/>
      <c r="CL208" s="568" t="s">
        <v>932</v>
      </c>
      <c r="CM208" s="568"/>
      <c r="CN208" s="568"/>
    </row>
    <row r="209" hidden="1" customHeight="1" spans="1:92">
      <c r="A209" s="569"/>
      <c r="B209" s="570"/>
      <c r="C209" s="571"/>
      <c r="D209" s="572"/>
      <c r="E209" s="573"/>
      <c r="F209" s="574"/>
      <c r="G209" s="575"/>
      <c r="H209" s="576"/>
      <c r="I209" s="577"/>
      <c r="J209" s="578"/>
      <c r="K209" s="578"/>
      <c r="L209" s="578"/>
      <c r="M209" s="578"/>
      <c r="N209" s="578"/>
      <c r="O209" s="578"/>
      <c r="P209" s="578"/>
      <c r="Q209" s="578"/>
      <c r="R209" s="578"/>
      <c r="S209" s="578"/>
      <c r="T209" s="578"/>
      <c r="U209" s="578"/>
      <c r="V209" s="578"/>
      <c r="W209" s="578"/>
      <c r="X209" s="578"/>
      <c r="Y209" s="578"/>
      <c r="Z209" s="578"/>
      <c r="AA209" s="579"/>
      <c r="AB209" s="580"/>
      <c r="AC209" s="581"/>
      <c r="AD209" s="582"/>
      <c r="AE209" s="583"/>
      <c r="AF209" s="584"/>
      <c r="AG209" s="553">
        <v>0</v>
      </c>
      <c r="AH209" s="554"/>
      <c r="AI209" s="555" t="e">
        <v>#N/A</v>
      </c>
      <c r="AJ209" s="556"/>
      <c r="AK209" s="556"/>
      <c r="AL209" s="556"/>
      <c r="AM209" s="556"/>
      <c r="AN209" s="556"/>
      <c r="AO209" s="556"/>
      <c r="AP209" s="556"/>
      <c r="AQ209" s="556"/>
      <c r="AR209" s="556"/>
      <c r="AS209" s="556"/>
      <c r="AT209" s="556"/>
      <c r="AU209" s="556"/>
      <c r="AV209" s="557"/>
      <c r="AW209" s="558">
        <v>0</v>
      </c>
      <c r="AX209" s="559"/>
      <c r="AY209" s="560"/>
      <c r="AZ209" s="585"/>
      <c r="BA209" s="586"/>
      <c r="BB209" s="587"/>
      <c r="BC209" s="558">
        <v>0</v>
      </c>
      <c r="BD209" s="559"/>
      <c r="BE209" s="560"/>
      <c r="BF209" s="558">
        <v>182.49</v>
      </c>
      <c r="BG209" s="559"/>
      <c r="BH209" s="560"/>
      <c r="BI209" s="564">
        <v>0</v>
      </c>
      <c r="BJ209" s="565"/>
      <c r="BK209" s="565"/>
      <c r="BL209" s="566"/>
      <c r="BM209" s="567" t="s">
        <v>932</v>
      </c>
      <c r="BN209" s="567"/>
      <c r="BO209" s="567"/>
      <c r="BP209" s="567"/>
      <c r="BQ209" s="568" t="s">
        <v>932</v>
      </c>
      <c r="BR209" s="568"/>
      <c r="BS209" s="568"/>
      <c r="BT209" s="567" t="s">
        <v>932</v>
      </c>
      <c r="BU209" s="567"/>
      <c r="BV209" s="567"/>
      <c r="BW209" s="567"/>
      <c r="BX209" s="568" t="s">
        <v>932</v>
      </c>
      <c r="BY209" s="568"/>
      <c r="BZ209" s="568"/>
      <c r="CA209" s="567" t="s">
        <v>932</v>
      </c>
      <c r="CB209" s="567"/>
      <c r="CC209" s="567"/>
      <c r="CD209" s="567"/>
      <c r="CE209" s="568">
        <v>1</v>
      </c>
      <c r="CF209" s="568"/>
      <c r="CG209" s="568"/>
      <c r="CH209" s="567" t="s">
        <v>932</v>
      </c>
      <c r="CI209" s="567"/>
      <c r="CJ209" s="567"/>
      <c r="CK209" s="567"/>
      <c r="CL209" s="568" t="s">
        <v>932</v>
      </c>
      <c r="CM209" s="568"/>
      <c r="CN209" s="568"/>
    </row>
    <row r="210" hidden="1" customHeight="1" spans="1:92">
      <c r="A210" s="569"/>
      <c r="B210" s="570"/>
      <c r="C210" s="571"/>
      <c r="D210" s="572"/>
      <c r="E210" s="573"/>
      <c r="F210" s="574"/>
      <c r="G210" s="575"/>
      <c r="H210" s="576"/>
      <c r="I210" s="577"/>
      <c r="J210" s="578"/>
      <c r="K210" s="578"/>
      <c r="L210" s="578"/>
      <c r="M210" s="578"/>
      <c r="N210" s="578"/>
      <c r="O210" s="578"/>
      <c r="P210" s="578"/>
      <c r="Q210" s="578"/>
      <c r="R210" s="578"/>
      <c r="S210" s="578"/>
      <c r="T210" s="578"/>
      <c r="U210" s="578"/>
      <c r="V210" s="578"/>
      <c r="W210" s="578"/>
      <c r="X210" s="578"/>
      <c r="Y210" s="578"/>
      <c r="Z210" s="578"/>
      <c r="AA210" s="579"/>
      <c r="AB210" s="580"/>
      <c r="AC210" s="581"/>
      <c r="AD210" s="582"/>
      <c r="AE210" s="583"/>
      <c r="AF210" s="584"/>
      <c r="AG210" s="553">
        <v>0</v>
      </c>
      <c r="AH210" s="554"/>
      <c r="AI210" s="555" t="e">
        <v>#N/A</v>
      </c>
      <c r="AJ210" s="556"/>
      <c r="AK210" s="556"/>
      <c r="AL210" s="556"/>
      <c r="AM210" s="556"/>
      <c r="AN210" s="556"/>
      <c r="AO210" s="556"/>
      <c r="AP210" s="556"/>
      <c r="AQ210" s="556"/>
      <c r="AR210" s="556"/>
      <c r="AS210" s="556"/>
      <c r="AT210" s="556"/>
      <c r="AU210" s="556"/>
      <c r="AV210" s="557"/>
      <c r="AW210" s="558">
        <v>0</v>
      </c>
      <c r="AX210" s="559"/>
      <c r="AY210" s="560"/>
      <c r="AZ210" s="585"/>
      <c r="BA210" s="586"/>
      <c r="BB210" s="587"/>
      <c r="BC210" s="558">
        <v>0</v>
      </c>
      <c r="BD210" s="559"/>
      <c r="BE210" s="560"/>
      <c r="BF210" s="558">
        <v>182.49</v>
      </c>
      <c r="BG210" s="559"/>
      <c r="BH210" s="560"/>
      <c r="BI210" s="564">
        <v>0</v>
      </c>
      <c r="BJ210" s="565"/>
      <c r="BK210" s="565"/>
      <c r="BL210" s="566"/>
      <c r="BM210" s="567" t="s">
        <v>932</v>
      </c>
      <c r="BN210" s="567"/>
      <c r="BO210" s="567"/>
      <c r="BP210" s="567"/>
      <c r="BQ210" s="568" t="s">
        <v>932</v>
      </c>
      <c r="BR210" s="568"/>
      <c r="BS210" s="568"/>
      <c r="BT210" s="567" t="s">
        <v>932</v>
      </c>
      <c r="BU210" s="567"/>
      <c r="BV210" s="567"/>
      <c r="BW210" s="567"/>
      <c r="BX210" s="568" t="s">
        <v>932</v>
      </c>
      <c r="BY210" s="568"/>
      <c r="BZ210" s="568"/>
      <c r="CA210" s="567" t="s">
        <v>932</v>
      </c>
      <c r="CB210" s="567"/>
      <c r="CC210" s="567"/>
      <c r="CD210" s="567"/>
      <c r="CE210" s="568">
        <v>1</v>
      </c>
      <c r="CF210" s="568"/>
      <c r="CG210" s="568"/>
      <c r="CH210" s="567" t="s">
        <v>932</v>
      </c>
      <c r="CI210" s="567"/>
      <c r="CJ210" s="567"/>
      <c r="CK210" s="567"/>
      <c r="CL210" s="568" t="s">
        <v>932</v>
      </c>
      <c r="CM210" s="568"/>
      <c r="CN210" s="568"/>
    </row>
    <row r="211" hidden="1" customHeight="1" spans="1:92">
      <c r="A211" s="569"/>
      <c r="B211" s="570"/>
      <c r="C211" s="571"/>
      <c r="D211" s="572"/>
      <c r="E211" s="573"/>
      <c r="F211" s="574"/>
      <c r="G211" s="575"/>
      <c r="H211" s="576"/>
      <c r="I211" s="577"/>
      <c r="J211" s="578"/>
      <c r="K211" s="578"/>
      <c r="L211" s="578"/>
      <c r="M211" s="578"/>
      <c r="N211" s="578"/>
      <c r="O211" s="578"/>
      <c r="P211" s="578"/>
      <c r="Q211" s="578"/>
      <c r="R211" s="578"/>
      <c r="S211" s="578"/>
      <c r="T211" s="578"/>
      <c r="U211" s="578"/>
      <c r="V211" s="578"/>
      <c r="W211" s="578"/>
      <c r="X211" s="578"/>
      <c r="Y211" s="578"/>
      <c r="Z211" s="578"/>
      <c r="AA211" s="579"/>
      <c r="AB211" s="580"/>
      <c r="AC211" s="581"/>
      <c r="AD211" s="582"/>
      <c r="AE211" s="583"/>
      <c r="AF211" s="584"/>
      <c r="AG211" s="553">
        <v>0</v>
      </c>
      <c r="AH211" s="554"/>
      <c r="AI211" s="555" t="e">
        <v>#N/A</v>
      </c>
      <c r="AJ211" s="556"/>
      <c r="AK211" s="556"/>
      <c r="AL211" s="556"/>
      <c r="AM211" s="556"/>
      <c r="AN211" s="556"/>
      <c r="AO211" s="556"/>
      <c r="AP211" s="556"/>
      <c r="AQ211" s="556"/>
      <c r="AR211" s="556"/>
      <c r="AS211" s="556"/>
      <c r="AT211" s="556"/>
      <c r="AU211" s="556"/>
      <c r="AV211" s="557"/>
      <c r="AW211" s="558">
        <v>0</v>
      </c>
      <c r="AX211" s="559"/>
      <c r="AY211" s="560"/>
      <c r="AZ211" s="585"/>
      <c r="BA211" s="586"/>
      <c r="BB211" s="587"/>
      <c r="BC211" s="558">
        <v>0</v>
      </c>
      <c r="BD211" s="559"/>
      <c r="BE211" s="560"/>
      <c r="BF211" s="558">
        <v>182.49</v>
      </c>
      <c r="BG211" s="559"/>
      <c r="BH211" s="560"/>
      <c r="BI211" s="564">
        <v>0</v>
      </c>
      <c r="BJ211" s="565"/>
      <c r="BK211" s="565"/>
      <c r="BL211" s="566"/>
      <c r="BM211" s="567" t="s">
        <v>932</v>
      </c>
      <c r="BN211" s="567"/>
      <c r="BO211" s="567"/>
      <c r="BP211" s="567"/>
      <c r="BQ211" s="568" t="s">
        <v>932</v>
      </c>
      <c r="BR211" s="568"/>
      <c r="BS211" s="568"/>
      <c r="BT211" s="567" t="s">
        <v>932</v>
      </c>
      <c r="BU211" s="567"/>
      <c r="BV211" s="567"/>
      <c r="BW211" s="567"/>
      <c r="BX211" s="568" t="s">
        <v>932</v>
      </c>
      <c r="BY211" s="568"/>
      <c r="BZ211" s="568"/>
      <c r="CA211" s="567" t="s">
        <v>932</v>
      </c>
      <c r="CB211" s="567"/>
      <c r="CC211" s="567"/>
      <c r="CD211" s="567"/>
      <c r="CE211" s="568">
        <v>1</v>
      </c>
      <c r="CF211" s="568"/>
      <c r="CG211" s="568"/>
      <c r="CH211" s="567" t="s">
        <v>932</v>
      </c>
      <c r="CI211" s="567"/>
      <c r="CJ211" s="567"/>
      <c r="CK211" s="567"/>
      <c r="CL211" s="568" t="s">
        <v>932</v>
      </c>
      <c r="CM211" s="568"/>
      <c r="CN211" s="568"/>
    </row>
    <row r="212" hidden="1" customHeight="1" spans="1:92">
      <c r="A212" s="569"/>
      <c r="B212" s="570"/>
      <c r="C212" s="571"/>
      <c r="D212" s="572"/>
      <c r="E212" s="573"/>
      <c r="F212" s="574"/>
      <c r="G212" s="575"/>
      <c r="H212" s="576"/>
      <c r="I212" s="577"/>
      <c r="J212" s="578"/>
      <c r="K212" s="578"/>
      <c r="L212" s="578"/>
      <c r="M212" s="578"/>
      <c r="N212" s="578"/>
      <c r="O212" s="578"/>
      <c r="P212" s="578"/>
      <c r="Q212" s="578"/>
      <c r="R212" s="578"/>
      <c r="S212" s="578"/>
      <c r="T212" s="578"/>
      <c r="U212" s="578"/>
      <c r="V212" s="578"/>
      <c r="W212" s="578"/>
      <c r="X212" s="578"/>
      <c r="Y212" s="578"/>
      <c r="Z212" s="578"/>
      <c r="AA212" s="579"/>
      <c r="AB212" s="580"/>
      <c r="AC212" s="581"/>
      <c r="AD212" s="582"/>
      <c r="AE212" s="583"/>
      <c r="AF212" s="584"/>
      <c r="AG212" s="553">
        <v>0</v>
      </c>
      <c r="AH212" s="554"/>
      <c r="AI212" s="555" t="e">
        <v>#N/A</v>
      </c>
      <c r="AJ212" s="556"/>
      <c r="AK212" s="556"/>
      <c r="AL212" s="556"/>
      <c r="AM212" s="556"/>
      <c r="AN212" s="556"/>
      <c r="AO212" s="556"/>
      <c r="AP212" s="556"/>
      <c r="AQ212" s="556"/>
      <c r="AR212" s="556"/>
      <c r="AS212" s="556"/>
      <c r="AT212" s="556"/>
      <c r="AU212" s="556"/>
      <c r="AV212" s="557"/>
      <c r="AW212" s="558">
        <v>0</v>
      </c>
      <c r="AX212" s="559"/>
      <c r="AY212" s="560"/>
      <c r="AZ212" s="585"/>
      <c r="BA212" s="586"/>
      <c r="BB212" s="587"/>
      <c r="BC212" s="558">
        <v>0</v>
      </c>
      <c r="BD212" s="559"/>
      <c r="BE212" s="560"/>
      <c r="BF212" s="558">
        <v>182.49</v>
      </c>
      <c r="BG212" s="559"/>
      <c r="BH212" s="560"/>
      <c r="BI212" s="564">
        <v>0</v>
      </c>
      <c r="BJ212" s="565"/>
      <c r="BK212" s="565"/>
      <c r="BL212" s="566"/>
      <c r="BM212" s="567" t="s">
        <v>932</v>
      </c>
      <c r="BN212" s="567"/>
      <c r="BO212" s="567"/>
      <c r="BP212" s="567"/>
      <c r="BQ212" s="568" t="s">
        <v>932</v>
      </c>
      <c r="BR212" s="568"/>
      <c r="BS212" s="568"/>
      <c r="BT212" s="567" t="s">
        <v>932</v>
      </c>
      <c r="BU212" s="567"/>
      <c r="BV212" s="567"/>
      <c r="BW212" s="567"/>
      <c r="BX212" s="568" t="s">
        <v>932</v>
      </c>
      <c r="BY212" s="568"/>
      <c r="BZ212" s="568"/>
      <c r="CA212" s="567" t="s">
        <v>932</v>
      </c>
      <c r="CB212" s="567"/>
      <c r="CC212" s="567"/>
      <c r="CD212" s="567"/>
      <c r="CE212" s="568">
        <v>1</v>
      </c>
      <c r="CF212" s="568"/>
      <c r="CG212" s="568"/>
      <c r="CH212" s="567" t="s">
        <v>932</v>
      </c>
      <c r="CI212" s="567"/>
      <c r="CJ212" s="567"/>
      <c r="CK212" s="567"/>
      <c r="CL212" s="568" t="s">
        <v>932</v>
      </c>
      <c r="CM212" s="568"/>
      <c r="CN212" s="568"/>
    </row>
    <row r="213" hidden="1" customHeight="1" spans="1:92">
      <c r="A213" s="569"/>
      <c r="B213" s="570"/>
      <c r="C213" s="571"/>
      <c r="D213" s="572"/>
      <c r="E213" s="573"/>
      <c r="F213" s="574"/>
      <c r="G213" s="575"/>
      <c r="H213" s="576"/>
      <c r="I213" s="577"/>
      <c r="J213" s="578"/>
      <c r="K213" s="578"/>
      <c r="L213" s="578"/>
      <c r="M213" s="578"/>
      <c r="N213" s="578"/>
      <c r="O213" s="578"/>
      <c r="P213" s="578"/>
      <c r="Q213" s="578"/>
      <c r="R213" s="578"/>
      <c r="S213" s="578"/>
      <c r="T213" s="578"/>
      <c r="U213" s="578"/>
      <c r="V213" s="578"/>
      <c r="W213" s="578"/>
      <c r="X213" s="578"/>
      <c r="Y213" s="578"/>
      <c r="Z213" s="578"/>
      <c r="AA213" s="579"/>
      <c r="AB213" s="580"/>
      <c r="AC213" s="581"/>
      <c r="AD213" s="582"/>
      <c r="AE213" s="583"/>
      <c r="AF213" s="584"/>
      <c r="AG213" s="553">
        <v>0</v>
      </c>
      <c r="AH213" s="554"/>
      <c r="AI213" s="555" t="e">
        <v>#N/A</v>
      </c>
      <c r="AJ213" s="556"/>
      <c r="AK213" s="556"/>
      <c r="AL213" s="556"/>
      <c r="AM213" s="556"/>
      <c r="AN213" s="556"/>
      <c r="AO213" s="556"/>
      <c r="AP213" s="556"/>
      <c r="AQ213" s="556"/>
      <c r="AR213" s="556"/>
      <c r="AS213" s="556"/>
      <c r="AT213" s="556"/>
      <c r="AU213" s="556"/>
      <c r="AV213" s="557"/>
      <c r="AW213" s="558">
        <v>0</v>
      </c>
      <c r="AX213" s="559"/>
      <c r="AY213" s="560"/>
      <c r="AZ213" s="585"/>
      <c r="BA213" s="586"/>
      <c r="BB213" s="587"/>
      <c r="BC213" s="558">
        <v>0</v>
      </c>
      <c r="BD213" s="559"/>
      <c r="BE213" s="560"/>
      <c r="BF213" s="558">
        <v>182.49</v>
      </c>
      <c r="BG213" s="559"/>
      <c r="BH213" s="560"/>
      <c r="BI213" s="564">
        <v>0</v>
      </c>
      <c r="BJ213" s="565"/>
      <c r="BK213" s="565"/>
      <c r="BL213" s="566"/>
      <c r="BM213" s="567" t="s">
        <v>932</v>
      </c>
      <c r="BN213" s="567"/>
      <c r="BO213" s="567"/>
      <c r="BP213" s="567"/>
      <c r="BQ213" s="568" t="s">
        <v>932</v>
      </c>
      <c r="BR213" s="568"/>
      <c r="BS213" s="568"/>
      <c r="BT213" s="567" t="s">
        <v>932</v>
      </c>
      <c r="BU213" s="567"/>
      <c r="BV213" s="567"/>
      <c r="BW213" s="567"/>
      <c r="BX213" s="568" t="s">
        <v>932</v>
      </c>
      <c r="BY213" s="568"/>
      <c r="BZ213" s="568"/>
      <c r="CA213" s="567" t="s">
        <v>932</v>
      </c>
      <c r="CB213" s="567"/>
      <c r="CC213" s="567"/>
      <c r="CD213" s="567"/>
      <c r="CE213" s="568">
        <v>1</v>
      </c>
      <c r="CF213" s="568"/>
      <c r="CG213" s="568"/>
      <c r="CH213" s="567" t="s">
        <v>932</v>
      </c>
      <c r="CI213" s="567"/>
      <c r="CJ213" s="567"/>
      <c r="CK213" s="567"/>
      <c r="CL213" s="568" t="s">
        <v>932</v>
      </c>
      <c r="CM213" s="568"/>
      <c r="CN213" s="568"/>
    </row>
    <row r="214" hidden="1" customHeight="1" spans="1:92">
      <c r="A214" s="569"/>
      <c r="B214" s="570"/>
      <c r="C214" s="571"/>
      <c r="D214" s="572"/>
      <c r="E214" s="573"/>
      <c r="F214" s="574"/>
      <c r="G214" s="575"/>
      <c r="H214" s="576"/>
      <c r="I214" s="577"/>
      <c r="J214" s="578"/>
      <c r="K214" s="578"/>
      <c r="L214" s="578"/>
      <c r="M214" s="578"/>
      <c r="N214" s="578"/>
      <c r="O214" s="578"/>
      <c r="P214" s="578"/>
      <c r="Q214" s="578"/>
      <c r="R214" s="578"/>
      <c r="S214" s="578"/>
      <c r="T214" s="578"/>
      <c r="U214" s="578"/>
      <c r="V214" s="578"/>
      <c r="W214" s="578"/>
      <c r="X214" s="578"/>
      <c r="Y214" s="578"/>
      <c r="Z214" s="578"/>
      <c r="AA214" s="579"/>
      <c r="AB214" s="580"/>
      <c r="AC214" s="581"/>
      <c r="AD214" s="582"/>
      <c r="AE214" s="583"/>
      <c r="AF214" s="584"/>
      <c r="AG214" s="553">
        <v>0</v>
      </c>
      <c r="AH214" s="554"/>
      <c r="AI214" s="555" t="e">
        <v>#N/A</v>
      </c>
      <c r="AJ214" s="556"/>
      <c r="AK214" s="556"/>
      <c r="AL214" s="556"/>
      <c r="AM214" s="556"/>
      <c r="AN214" s="556"/>
      <c r="AO214" s="556"/>
      <c r="AP214" s="556"/>
      <c r="AQ214" s="556"/>
      <c r="AR214" s="556"/>
      <c r="AS214" s="556"/>
      <c r="AT214" s="556"/>
      <c r="AU214" s="556"/>
      <c r="AV214" s="557"/>
      <c r="AW214" s="558">
        <v>0</v>
      </c>
      <c r="AX214" s="559"/>
      <c r="AY214" s="560"/>
      <c r="AZ214" s="585"/>
      <c r="BA214" s="586"/>
      <c r="BB214" s="587"/>
      <c r="BC214" s="558">
        <v>0</v>
      </c>
      <c r="BD214" s="559"/>
      <c r="BE214" s="560"/>
      <c r="BF214" s="558">
        <v>182.49</v>
      </c>
      <c r="BG214" s="559"/>
      <c r="BH214" s="560"/>
      <c r="BI214" s="564">
        <v>0</v>
      </c>
      <c r="BJ214" s="565"/>
      <c r="BK214" s="565"/>
      <c r="BL214" s="566"/>
      <c r="BM214" s="567" t="s">
        <v>932</v>
      </c>
      <c r="BN214" s="567"/>
      <c r="BO214" s="567"/>
      <c r="BP214" s="567"/>
      <c r="BQ214" s="568" t="s">
        <v>932</v>
      </c>
      <c r="BR214" s="568"/>
      <c r="BS214" s="568"/>
      <c r="BT214" s="567" t="s">
        <v>932</v>
      </c>
      <c r="BU214" s="567"/>
      <c r="BV214" s="567"/>
      <c r="BW214" s="567"/>
      <c r="BX214" s="568" t="s">
        <v>932</v>
      </c>
      <c r="BY214" s="568"/>
      <c r="BZ214" s="568"/>
      <c r="CA214" s="567" t="s">
        <v>932</v>
      </c>
      <c r="CB214" s="567"/>
      <c r="CC214" s="567"/>
      <c r="CD214" s="567"/>
      <c r="CE214" s="568">
        <v>1</v>
      </c>
      <c r="CF214" s="568"/>
      <c r="CG214" s="568"/>
      <c r="CH214" s="567" t="s">
        <v>932</v>
      </c>
      <c r="CI214" s="567"/>
      <c r="CJ214" s="567"/>
      <c r="CK214" s="567"/>
      <c r="CL214" s="568" t="s">
        <v>932</v>
      </c>
      <c r="CM214" s="568"/>
      <c r="CN214" s="568"/>
    </row>
    <row r="215" hidden="1" customHeight="1" spans="1:92">
      <c r="A215" s="588"/>
      <c r="B215" s="589"/>
      <c r="C215" s="590"/>
      <c r="D215" s="591"/>
      <c r="E215" s="592"/>
      <c r="F215" s="593"/>
      <c r="G215" s="594"/>
      <c r="H215" s="595"/>
      <c r="I215" s="596"/>
      <c r="J215" s="597"/>
      <c r="K215" s="597"/>
      <c r="L215" s="597"/>
      <c r="M215" s="597"/>
      <c r="N215" s="597"/>
      <c r="O215" s="597"/>
      <c r="P215" s="597"/>
      <c r="Q215" s="597"/>
      <c r="R215" s="597"/>
      <c r="S215" s="597"/>
      <c r="T215" s="597"/>
      <c r="U215" s="597"/>
      <c r="V215" s="597"/>
      <c r="W215" s="597"/>
      <c r="X215" s="597"/>
      <c r="Y215" s="597"/>
      <c r="Z215" s="597"/>
      <c r="AA215" s="598"/>
      <c r="AB215" s="599"/>
      <c r="AC215" s="600"/>
      <c r="AD215" s="601"/>
      <c r="AE215" s="602"/>
      <c r="AF215" s="603"/>
      <c r="AG215" s="553">
        <v>0</v>
      </c>
      <c r="AH215" s="554"/>
      <c r="AI215" s="555" t="e">
        <v>#N/A</v>
      </c>
      <c r="AJ215" s="556"/>
      <c r="AK215" s="556"/>
      <c r="AL215" s="556"/>
      <c r="AM215" s="556"/>
      <c r="AN215" s="556"/>
      <c r="AO215" s="556"/>
      <c r="AP215" s="556"/>
      <c r="AQ215" s="556"/>
      <c r="AR215" s="556"/>
      <c r="AS215" s="556"/>
      <c r="AT215" s="556"/>
      <c r="AU215" s="556"/>
      <c r="AV215" s="557"/>
      <c r="AW215" s="558">
        <v>0</v>
      </c>
      <c r="AX215" s="559"/>
      <c r="AY215" s="560"/>
      <c r="AZ215" s="604"/>
      <c r="BA215" s="605"/>
      <c r="BB215" s="606"/>
      <c r="BC215" s="558">
        <v>0</v>
      </c>
      <c r="BD215" s="559"/>
      <c r="BE215" s="560"/>
      <c r="BF215" s="558">
        <v>182.49</v>
      </c>
      <c r="BG215" s="559"/>
      <c r="BH215" s="560"/>
      <c r="BI215" s="564">
        <v>0</v>
      </c>
      <c r="BJ215" s="565"/>
      <c r="BK215" s="565"/>
      <c r="BL215" s="566"/>
      <c r="BM215" s="567" t="s">
        <v>932</v>
      </c>
      <c r="BN215" s="567"/>
      <c r="BO215" s="567"/>
      <c r="BP215" s="567"/>
      <c r="BQ215" s="568" t="s">
        <v>932</v>
      </c>
      <c r="BR215" s="568"/>
      <c r="BS215" s="568"/>
      <c r="BT215" s="567" t="s">
        <v>932</v>
      </c>
      <c r="BU215" s="567"/>
      <c r="BV215" s="567"/>
      <c r="BW215" s="567"/>
      <c r="BX215" s="568" t="s">
        <v>932</v>
      </c>
      <c r="BY215" s="568"/>
      <c r="BZ215" s="568"/>
      <c r="CA215" s="567" t="s">
        <v>932</v>
      </c>
      <c r="CB215" s="567"/>
      <c r="CC215" s="567"/>
      <c r="CD215" s="567"/>
      <c r="CE215" s="568">
        <v>1</v>
      </c>
      <c r="CF215" s="568"/>
      <c r="CG215" s="568"/>
      <c r="CH215" s="567" t="s">
        <v>932</v>
      </c>
      <c r="CI215" s="567"/>
      <c r="CJ215" s="567"/>
      <c r="CK215" s="567"/>
      <c r="CL215" s="568" t="s">
        <v>932</v>
      </c>
      <c r="CM215" s="568"/>
      <c r="CN215" s="568"/>
    </row>
    <row r="216" customHeight="1" spans="1:92">
      <c r="A216" s="540" t="s">
        <v>967</v>
      </c>
      <c r="B216" s="541"/>
      <c r="C216" s="89"/>
      <c r="D216" s="91"/>
      <c r="E216" s="90"/>
      <c r="F216" s="542">
        <v>1107900</v>
      </c>
      <c r="G216" s="543"/>
      <c r="H216" s="544"/>
      <c r="I216" s="545" t="s">
        <v>108</v>
      </c>
      <c r="J216" s="546"/>
      <c r="K216" s="546"/>
      <c r="L216" s="546"/>
      <c r="M216" s="546"/>
      <c r="N216" s="546"/>
      <c r="O216" s="546"/>
      <c r="P216" s="546"/>
      <c r="Q216" s="546"/>
      <c r="R216" s="546"/>
      <c r="S216" s="546"/>
      <c r="T216" s="546"/>
      <c r="U216" s="546"/>
      <c r="V216" s="546"/>
      <c r="W216" s="546"/>
      <c r="X216" s="546"/>
      <c r="Y216" s="546"/>
      <c r="Z216" s="546"/>
      <c r="AA216" s="547"/>
      <c r="AB216" s="548" t="s">
        <v>99</v>
      </c>
      <c r="AC216" s="549"/>
      <c r="AD216" s="550">
        <v>4.8</v>
      </c>
      <c r="AE216" s="551"/>
      <c r="AF216" s="552"/>
      <c r="AG216" s="553" t="s">
        <v>1066</v>
      </c>
      <c r="AH216" s="554"/>
      <c r="AI216" s="555" t="s">
        <v>1067</v>
      </c>
      <c r="AJ216" s="556"/>
      <c r="AK216" s="556"/>
      <c r="AL216" s="556"/>
      <c r="AM216" s="556"/>
      <c r="AN216" s="556"/>
      <c r="AO216" s="556"/>
      <c r="AP216" s="556"/>
      <c r="AQ216" s="556"/>
      <c r="AR216" s="556"/>
      <c r="AS216" s="556"/>
      <c r="AT216" s="556"/>
      <c r="AU216" s="556"/>
      <c r="AV216" s="557"/>
      <c r="AW216" s="558">
        <v>1</v>
      </c>
      <c r="AX216" s="559"/>
      <c r="AY216" s="560"/>
      <c r="AZ216" s="561">
        <v>3.853</v>
      </c>
      <c r="BA216" s="562"/>
      <c r="BB216" s="563"/>
      <c r="BC216" s="558">
        <v>1.2457825071373</v>
      </c>
      <c r="BD216" s="559"/>
      <c r="BE216" s="560"/>
      <c r="BF216" s="558">
        <v>182.49</v>
      </c>
      <c r="BG216" s="559"/>
      <c r="BH216" s="560"/>
      <c r="BI216" s="564">
        <v>0.00682657957771547</v>
      </c>
      <c r="BJ216" s="565"/>
      <c r="BK216" s="565"/>
      <c r="BL216" s="566"/>
      <c r="BM216" s="567" t="s">
        <v>932</v>
      </c>
      <c r="BN216" s="567"/>
      <c r="BO216" s="567"/>
      <c r="BP216" s="567"/>
      <c r="BQ216" s="568" t="s">
        <v>932</v>
      </c>
      <c r="BR216" s="568"/>
      <c r="BS216" s="568"/>
      <c r="BT216" s="567" t="s">
        <v>932</v>
      </c>
      <c r="BU216" s="567"/>
      <c r="BV216" s="567"/>
      <c r="BW216" s="567"/>
      <c r="BX216" s="568" t="s">
        <v>932</v>
      </c>
      <c r="BY216" s="568"/>
      <c r="BZ216" s="568"/>
      <c r="CA216" s="567">
        <v>0.00682657957771547</v>
      </c>
      <c r="CB216" s="567"/>
      <c r="CC216" s="567"/>
      <c r="CD216" s="567"/>
      <c r="CE216" s="568">
        <v>1</v>
      </c>
      <c r="CF216" s="568"/>
      <c r="CG216" s="568"/>
      <c r="CH216" s="567" t="s">
        <v>932</v>
      </c>
      <c r="CI216" s="567"/>
      <c r="CJ216" s="567"/>
      <c r="CK216" s="567"/>
      <c r="CL216" s="568" t="s">
        <v>932</v>
      </c>
      <c r="CM216" s="568"/>
      <c r="CN216" s="568"/>
    </row>
    <row r="217" customHeight="1" spans="1:92">
      <c r="A217" s="569"/>
      <c r="B217" s="570"/>
      <c r="C217" s="571"/>
      <c r="D217" s="572"/>
      <c r="E217" s="573"/>
      <c r="F217" s="574"/>
      <c r="G217" s="575"/>
      <c r="H217" s="576"/>
      <c r="I217" s="577"/>
      <c r="J217" s="578"/>
      <c r="K217" s="578"/>
      <c r="L217" s="578"/>
      <c r="M217" s="578"/>
      <c r="N217" s="578"/>
      <c r="O217" s="578"/>
      <c r="P217" s="578"/>
      <c r="Q217" s="578"/>
      <c r="R217" s="578"/>
      <c r="S217" s="578"/>
      <c r="T217" s="578"/>
      <c r="U217" s="578"/>
      <c r="V217" s="578"/>
      <c r="W217" s="578"/>
      <c r="X217" s="578"/>
      <c r="Y217" s="578"/>
      <c r="Z217" s="578"/>
      <c r="AA217" s="579"/>
      <c r="AB217" s="580"/>
      <c r="AC217" s="581"/>
      <c r="AD217" s="582"/>
      <c r="AE217" s="583"/>
      <c r="AF217" s="584"/>
      <c r="AG217" s="553" t="s">
        <v>1068</v>
      </c>
      <c r="AH217" s="554"/>
      <c r="AI217" s="555" t="s">
        <v>1069</v>
      </c>
      <c r="AJ217" s="556"/>
      <c r="AK217" s="556"/>
      <c r="AL217" s="556"/>
      <c r="AM217" s="556"/>
      <c r="AN217" s="556"/>
      <c r="AO217" s="556"/>
      <c r="AP217" s="556"/>
      <c r="AQ217" s="556"/>
      <c r="AR217" s="556"/>
      <c r="AS217" s="556"/>
      <c r="AT217" s="556"/>
      <c r="AU217" s="556"/>
      <c r="AV217" s="557"/>
      <c r="AW217" s="558">
        <v>1</v>
      </c>
      <c r="AX217" s="559"/>
      <c r="AY217" s="560"/>
      <c r="AZ217" s="585"/>
      <c r="BA217" s="586"/>
      <c r="BB217" s="587"/>
      <c r="BC217" s="558">
        <v>1.2457825071373</v>
      </c>
      <c r="BD217" s="559"/>
      <c r="BE217" s="560"/>
      <c r="BF217" s="558">
        <v>182.49</v>
      </c>
      <c r="BG217" s="559"/>
      <c r="BH217" s="560"/>
      <c r="BI217" s="564">
        <v>0.00682657957771547</v>
      </c>
      <c r="BJ217" s="565"/>
      <c r="BK217" s="565"/>
      <c r="BL217" s="566"/>
      <c r="BM217" s="567" t="s">
        <v>932</v>
      </c>
      <c r="BN217" s="567"/>
      <c r="BO217" s="567"/>
      <c r="BP217" s="567"/>
      <c r="BQ217" s="568" t="s">
        <v>932</v>
      </c>
      <c r="BR217" s="568"/>
      <c r="BS217" s="568"/>
      <c r="BT217" s="567" t="s">
        <v>932</v>
      </c>
      <c r="BU217" s="567"/>
      <c r="BV217" s="567"/>
      <c r="BW217" s="567"/>
      <c r="BX217" s="568" t="s">
        <v>932</v>
      </c>
      <c r="BY217" s="568"/>
      <c r="BZ217" s="568"/>
      <c r="CA217" s="567">
        <v>0.00682657957771547</v>
      </c>
      <c r="CB217" s="567"/>
      <c r="CC217" s="567"/>
      <c r="CD217" s="567"/>
      <c r="CE217" s="568">
        <v>1</v>
      </c>
      <c r="CF217" s="568"/>
      <c r="CG217" s="568"/>
      <c r="CH217" s="567" t="s">
        <v>932</v>
      </c>
      <c r="CI217" s="567"/>
      <c r="CJ217" s="567"/>
      <c r="CK217" s="567"/>
      <c r="CL217" s="568" t="s">
        <v>932</v>
      </c>
      <c r="CM217" s="568"/>
      <c r="CN217" s="568"/>
    </row>
    <row r="218" customHeight="1" spans="1:92">
      <c r="A218" s="569"/>
      <c r="B218" s="570"/>
      <c r="C218" s="571"/>
      <c r="D218" s="572"/>
      <c r="E218" s="573"/>
      <c r="F218" s="574"/>
      <c r="G218" s="575"/>
      <c r="H218" s="576"/>
      <c r="I218" s="577"/>
      <c r="J218" s="578"/>
      <c r="K218" s="578"/>
      <c r="L218" s="578"/>
      <c r="M218" s="578"/>
      <c r="N218" s="578"/>
      <c r="O218" s="578"/>
      <c r="P218" s="578"/>
      <c r="Q218" s="578"/>
      <c r="R218" s="578"/>
      <c r="S218" s="578"/>
      <c r="T218" s="578"/>
      <c r="U218" s="578"/>
      <c r="V218" s="578"/>
      <c r="W218" s="578"/>
      <c r="X218" s="578"/>
      <c r="Y218" s="578"/>
      <c r="Z218" s="578"/>
      <c r="AA218" s="579"/>
      <c r="AB218" s="580"/>
      <c r="AC218" s="581"/>
      <c r="AD218" s="582"/>
      <c r="AE218" s="583"/>
      <c r="AF218" s="584"/>
      <c r="AG218" s="553" t="s">
        <v>1070</v>
      </c>
      <c r="AH218" s="554"/>
      <c r="AI218" s="555" t="s">
        <v>1071</v>
      </c>
      <c r="AJ218" s="556"/>
      <c r="AK218" s="556"/>
      <c r="AL218" s="556"/>
      <c r="AM218" s="556"/>
      <c r="AN218" s="556"/>
      <c r="AO218" s="556"/>
      <c r="AP218" s="556"/>
      <c r="AQ218" s="556"/>
      <c r="AR218" s="556"/>
      <c r="AS218" s="556"/>
      <c r="AT218" s="556"/>
      <c r="AU218" s="556"/>
      <c r="AV218" s="557"/>
      <c r="AW218" s="558">
        <v>4</v>
      </c>
      <c r="AX218" s="559"/>
      <c r="AY218" s="560"/>
      <c r="AZ218" s="585"/>
      <c r="BA218" s="586"/>
      <c r="BB218" s="587"/>
      <c r="BC218" s="558">
        <v>4.98313002854918</v>
      </c>
      <c r="BD218" s="559"/>
      <c r="BE218" s="560"/>
      <c r="BF218" s="558">
        <v>182.49</v>
      </c>
      <c r="BG218" s="559"/>
      <c r="BH218" s="560"/>
      <c r="BI218" s="564">
        <v>0.0273063183108619</v>
      </c>
      <c r="BJ218" s="565"/>
      <c r="BK218" s="565"/>
      <c r="BL218" s="566"/>
      <c r="BM218" s="567" t="s">
        <v>932</v>
      </c>
      <c r="BN218" s="567"/>
      <c r="BO218" s="567"/>
      <c r="BP218" s="567"/>
      <c r="BQ218" s="568" t="s">
        <v>932</v>
      </c>
      <c r="BR218" s="568"/>
      <c r="BS218" s="568"/>
      <c r="BT218" s="567" t="s">
        <v>932</v>
      </c>
      <c r="BU218" s="567"/>
      <c r="BV218" s="567"/>
      <c r="BW218" s="567"/>
      <c r="BX218" s="568" t="s">
        <v>932</v>
      </c>
      <c r="BY218" s="568"/>
      <c r="BZ218" s="568"/>
      <c r="CA218" s="567">
        <v>0.0273063183108619</v>
      </c>
      <c r="CB218" s="567"/>
      <c r="CC218" s="567"/>
      <c r="CD218" s="567"/>
      <c r="CE218" s="568">
        <v>1</v>
      </c>
      <c r="CF218" s="568"/>
      <c r="CG218" s="568"/>
      <c r="CH218" s="567" t="s">
        <v>932</v>
      </c>
      <c r="CI218" s="567"/>
      <c r="CJ218" s="567"/>
      <c r="CK218" s="567"/>
      <c r="CL218" s="568" t="s">
        <v>932</v>
      </c>
      <c r="CM218" s="568"/>
      <c r="CN218" s="568"/>
    </row>
    <row r="219" customHeight="1" spans="1:92">
      <c r="A219" s="569"/>
      <c r="B219" s="570"/>
      <c r="C219" s="571"/>
      <c r="D219" s="572"/>
      <c r="E219" s="573"/>
      <c r="F219" s="574"/>
      <c r="G219" s="575"/>
      <c r="H219" s="576"/>
      <c r="I219" s="577"/>
      <c r="J219" s="578"/>
      <c r="K219" s="578"/>
      <c r="L219" s="578"/>
      <c r="M219" s="578"/>
      <c r="N219" s="578"/>
      <c r="O219" s="578"/>
      <c r="P219" s="578"/>
      <c r="Q219" s="578"/>
      <c r="R219" s="578"/>
      <c r="S219" s="578"/>
      <c r="T219" s="578"/>
      <c r="U219" s="578"/>
      <c r="V219" s="578"/>
      <c r="W219" s="578"/>
      <c r="X219" s="578"/>
      <c r="Y219" s="578"/>
      <c r="Z219" s="578"/>
      <c r="AA219" s="579"/>
      <c r="AB219" s="580"/>
      <c r="AC219" s="581"/>
      <c r="AD219" s="582"/>
      <c r="AE219" s="583"/>
      <c r="AF219" s="584"/>
      <c r="AG219" s="553" t="s">
        <v>1072</v>
      </c>
      <c r="AH219" s="554"/>
      <c r="AI219" s="555" t="s">
        <v>1073</v>
      </c>
      <c r="AJ219" s="556"/>
      <c r="AK219" s="556"/>
      <c r="AL219" s="556"/>
      <c r="AM219" s="556"/>
      <c r="AN219" s="556"/>
      <c r="AO219" s="556"/>
      <c r="AP219" s="556"/>
      <c r="AQ219" s="556"/>
      <c r="AR219" s="556"/>
      <c r="AS219" s="556"/>
      <c r="AT219" s="556"/>
      <c r="AU219" s="556"/>
      <c r="AV219" s="557"/>
      <c r="AW219" s="558">
        <v>3</v>
      </c>
      <c r="AX219" s="559"/>
      <c r="AY219" s="560"/>
      <c r="AZ219" s="585"/>
      <c r="BA219" s="586"/>
      <c r="BB219" s="587"/>
      <c r="BC219" s="558">
        <v>3.73734752141189</v>
      </c>
      <c r="BD219" s="559"/>
      <c r="BE219" s="560"/>
      <c r="BF219" s="558">
        <v>182.49</v>
      </c>
      <c r="BG219" s="559"/>
      <c r="BH219" s="560"/>
      <c r="BI219" s="564">
        <v>0.0204797387331464</v>
      </c>
      <c r="BJ219" s="565"/>
      <c r="BK219" s="565"/>
      <c r="BL219" s="566"/>
      <c r="BM219" s="567" t="s">
        <v>932</v>
      </c>
      <c r="BN219" s="567"/>
      <c r="BO219" s="567"/>
      <c r="BP219" s="567"/>
      <c r="BQ219" s="568" t="s">
        <v>932</v>
      </c>
      <c r="BR219" s="568"/>
      <c r="BS219" s="568"/>
      <c r="BT219" s="567" t="s">
        <v>932</v>
      </c>
      <c r="BU219" s="567"/>
      <c r="BV219" s="567"/>
      <c r="BW219" s="567"/>
      <c r="BX219" s="568" t="s">
        <v>932</v>
      </c>
      <c r="BY219" s="568"/>
      <c r="BZ219" s="568"/>
      <c r="CA219" s="567">
        <v>0.0204797387331464</v>
      </c>
      <c r="CB219" s="567"/>
      <c r="CC219" s="567"/>
      <c r="CD219" s="567"/>
      <c r="CE219" s="568">
        <v>1</v>
      </c>
      <c r="CF219" s="568"/>
      <c r="CG219" s="568"/>
      <c r="CH219" s="567" t="s">
        <v>932</v>
      </c>
      <c r="CI219" s="567"/>
      <c r="CJ219" s="567"/>
      <c r="CK219" s="567"/>
      <c r="CL219" s="568" t="s">
        <v>932</v>
      </c>
      <c r="CM219" s="568"/>
      <c r="CN219" s="568"/>
    </row>
    <row r="220" hidden="1" customHeight="1" spans="1:92">
      <c r="A220" s="569"/>
      <c r="B220" s="570"/>
      <c r="C220" s="571"/>
      <c r="D220" s="572"/>
      <c r="E220" s="573"/>
      <c r="F220" s="574"/>
      <c r="G220" s="575"/>
      <c r="H220" s="576"/>
      <c r="I220" s="577"/>
      <c r="J220" s="578"/>
      <c r="K220" s="578"/>
      <c r="L220" s="578"/>
      <c r="M220" s="578"/>
      <c r="N220" s="578"/>
      <c r="O220" s="578"/>
      <c r="P220" s="578"/>
      <c r="Q220" s="578"/>
      <c r="R220" s="578"/>
      <c r="S220" s="578"/>
      <c r="T220" s="578"/>
      <c r="U220" s="578"/>
      <c r="V220" s="578"/>
      <c r="W220" s="578"/>
      <c r="X220" s="578"/>
      <c r="Y220" s="578"/>
      <c r="Z220" s="578"/>
      <c r="AA220" s="579"/>
      <c r="AB220" s="580"/>
      <c r="AC220" s="581"/>
      <c r="AD220" s="582"/>
      <c r="AE220" s="583"/>
      <c r="AF220" s="584"/>
      <c r="AG220" s="553">
        <v>0</v>
      </c>
      <c r="AH220" s="554"/>
      <c r="AI220" s="555" t="e">
        <v>#N/A</v>
      </c>
      <c r="AJ220" s="556"/>
      <c r="AK220" s="556"/>
      <c r="AL220" s="556"/>
      <c r="AM220" s="556"/>
      <c r="AN220" s="556"/>
      <c r="AO220" s="556"/>
      <c r="AP220" s="556"/>
      <c r="AQ220" s="556"/>
      <c r="AR220" s="556"/>
      <c r="AS220" s="556"/>
      <c r="AT220" s="556"/>
      <c r="AU220" s="556"/>
      <c r="AV220" s="557"/>
      <c r="AW220" s="558">
        <v>0</v>
      </c>
      <c r="AX220" s="559"/>
      <c r="AY220" s="560"/>
      <c r="AZ220" s="585"/>
      <c r="BA220" s="586"/>
      <c r="BB220" s="587"/>
      <c r="BC220" s="558">
        <v>0</v>
      </c>
      <c r="BD220" s="559"/>
      <c r="BE220" s="560"/>
      <c r="BF220" s="558">
        <v>182.49</v>
      </c>
      <c r="BG220" s="559"/>
      <c r="BH220" s="560"/>
      <c r="BI220" s="564">
        <v>0</v>
      </c>
      <c r="BJ220" s="565"/>
      <c r="BK220" s="565"/>
      <c r="BL220" s="566"/>
      <c r="BM220" s="567" t="s">
        <v>932</v>
      </c>
      <c r="BN220" s="567"/>
      <c r="BO220" s="567"/>
      <c r="BP220" s="567"/>
      <c r="BQ220" s="568" t="s">
        <v>932</v>
      </c>
      <c r="BR220" s="568"/>
      <c r="BS220" s="568"/>
      <c r="BT220" s="567" t="s">
        <v>932</v>
      </c>
      <c r="BU220" s="567"/>
      <c r="BV220" s="567"/>
      <c r="BW220" s="567"/>
      <c r="BX220" s="568" t="s">
        <v>932</v>
      </c>
      <c r="BY220" s="568"/>
      <c r="BZ220" s="568"/>
      <c r="CA220" s="567" t="s">
        <v>932</v>
      </c>
      <c r="CB220" s="567"/>
      <c r="CC220" s="567"/>
      <c r="CD220" s="567"/>
      <c r="CE220" s="568">
        <v>1</v>
      </c>
      <c r="CF220" s="568"/>
      <c r="CG220" s="568"/>
      <c r="CH220" s="567" t="s">
        <v>932</v>
      </c>
      <c r="CI220" s="567"/>
      <c r="CJ220" s="567"/>
      <c r="CK220" s="567"/>
      <c r="CL220" s="568" t="s">
        <v>932</v>
      </c>
      <c r="CM220" s="568"/>
      <c r="CN220" s="568"/>
    </row>
    <row r="221" hidden="1" customHeight="1" spans="1:92">
      <c r="A221" s="569"/>
      <c r="B221" s="570"/>
      <c r="C221" s="571"/>
      <c r="D221" s="572"/>
      <c r="E221" s="573"/>
      <c r="F221" s="574"/>
      <c r="G221" s="575"/>
      <c r="H221" s="576"/>
      <c r="I221" s="577"/>
      <c r="J221" s="578"/>
      <c r="K221" s="578"/>
      <c r="L221" s="578"/>
      <c r="M221" s="578"/>
      <c r="N221" s="578"/>
      <c r="O221" s="578"/>
      <c r="P221" s="578"/>
      <c r="Q221" s="578"/>
      <c r="R221" s="578"/>
      <c r="S221" s="578"/>
      <c r="T221" s="578"/>
      <c r="U221" s="578"/>
      <c r="V221" s="578"/>
      <c r="W221" s="578"/>
      <c r="X221" s="578"/>
      <c r="Y221" s="578"/>
      <c r="Z221" s="578"/>
      <c r="AA221" s="579"/>
      <c r="AB221" s="580"/>
      <c r="AC221" s="581"/>
      <c r="AD221" s="582"/>
      <c r="AE221" s="583"/>
      <c r="AF221" s="584"/>
      <c r="AG221" s="553">
        <v>0</v>
      </c>
      <c r="AH221" s="554"/>
      <c r="AI221" s="555" t="e">
        <v>#N/A</v>
      </c>
      <c r="AJ221" s="556"/>
      <c r="AK221" s="556"/>
      <c r="AL221" s="556"/>
      <c r="AM221" s="556"/>
      <c r="AN221" s="556"/>
      <c r="AO221" s="556"/>
      <c r="AP221" s="556"/>
      <c r="AQ221" s="556"/>
      <c r="AR221" s="556"/>
      <c r="AS221" s="556"/>
      <c r="AT221" s="556"/>
      <c r="AU221" s="556"/>
      <c r="AV221" s="557"/>
      <c r="AW221" s="558">
        <v>0</v>
      </c>
      <c r="AX221" s="559"/>
      <c r="AY221" s="560"/>
      <c r="AZ221" s="585"/>
      <c r="BA221" s="586"/>
      <c r="BB221" s="587"/>
      <c r="BC221" s="558">
        <v>0</v>
      </c>
      <c r="BD221" s="559"/>
      <c r="BE221" s="560"/>
      <c r="BF221" s="558">
        <v>182.49</v>
      </c>
      <c r="BG221" s="559"/>
      <c r="BH221" s="560"/>
      <c r="BI221" s="564">
        <v>0</v>
      </c>
      <c r="BJ221" s="565"/>
      <c r="BK221" s="565"/>
      <c r="BL221" s="566"/>
      <c r="BM221" s="567" t="s">
        <v>932</v>
      </c>
      <c r="BN221" s="567"/>
      <c r="BO221" s="567"/>
      <c r="BP221" s="567"/>
      <c r="BQ221" s="568" t="s">
        <v>932</v>
      </c>
      <c r="BR221" s="568"/>
      <c r="BS221" s="568"/>
      <c r="BT221" s="567" t="s">
        <v>932</v>
      </c>
      <c r="BU221" s="567"/>
      <c r="BV221" s="567"/>
      <c r="BW221" s="567"/>
      <c r="BX221" s="568" t="s">
        <v>932</v>
      </c>
      <c r="BY221" s="568"/>
      <c r="BZ221" s="568"/>
      <c r="CA221" s="567" t="s">
        <v>932</v>
      </c>
      <c r="CB221" s="567"/>
      <c r="CC221" s="567"/>
      <c r="CD221" s="567"/>
      <c r="CE221" s="568">
        <v>1</v>
      </c>
      <c r="CF221" s="568"/>
      <c r="CG221" s="568"/>
      <c r="CH221" s="567" t="s">
        <v>932</v>
      </c>
      <c r="CI221" s="567"/>
      <c r="CJ221" s="567"/>
      <c r="CK221" s="567"/>
      <c r="CL221" s="568" t="s">
        <v>932</v>
      </c>
      <c r="CM221" s="568"/>
      <c r="CN221" s="568"/>
    </row>
    <row r="222" hidden="1" customHeight="1" spans="1:92">
      <c r="A222" s="569"/>
      <c r="B222" s="570"/>
      <c r="C222" s="571"/>
      <c r="D222" s="572"/>
      <c r="E222" s="573"/>
      <c r="F222" s="574"/>
      <c r="G222" s="575"/>
      <c r="H222" s="576"/>
      <c r="I222" s="577"/>
      <c r="J222" s="578"/>
      <c r="K222" s="578"/>
      <c r="L222" s="578"/>
      <c r="M222" s="578"/>
      <c r="N222" s="578"/>
      <c r="O222" s="578"/>
      <c r="P222" s="578"/>
      <c r="Q222" s="578"/>
      <c r="R222" s="578"/>
      <c r="S222" s="578"/>
      <c r="T222" s="578"/>
      <c r="U222" s="578"/>
      <c r="V222" s="578"/>
      <c r="W222" s="578"/>
      <c r="X222" s="578"/>
      <c r="Y222" s="578"/>
      <c r="Z222" s="578"/>
      <c r="AA222" s="579"/>
      <c r="AB222" s="580"/>
      <c r="AC222" s="581"/>
      <c r="AD222" s="582"/>
      <c r="AE222" s="583"/>
      <c r="AF222" s="584"/>
      <c r="AG222" s="553">
        <v>0</v>
      </c>
      <c r="AH222" s="554"/>
      <c r="AI222" s="555" t="e">
        <v>#N/A</v>
      </c>
      <c r="AJ222" s="556"/>
      <c r="AK222" s="556"/>
      <c r="AL222" s="556"/>
      <c r="AM222" s="556"/>
      <c r="AN222" s="556"/>
      <c r="AO222" s="556"/>
      <c r="AP222" s="556"/>
      <c r="AQ222" s="556"/>
      <c r="AR222" s="556"/>
      <c r="AS222" s="556"/>
      <c r="AT222" s="556"/>
      <c r="AU222" s="556"/>
      <c r="AV222" s="557"/>
      <c r="AW222" s="558">
        <v>0</v>
      </c>
      <c r="AX222" s="559"/>
      <c r="AY222" s="560"/>
      <c r="AZ222" s="585"/>
      <c r="BA222" s="586"/>
      <c r="BB222" s="587"/>
      <c r="BC222" s="558">
        <v>0</v>
      </c>
      <c r="BD222" s="559"/>
      <c r="BE222" s="560"/>
      <c r="BF222" s="558">
        <v>182.49</v>
      </c>
      <c r="BG222" s="559"/>
      <c r="BH222" s="560"/>
      <c r="BI222" s="564">
        <v>0</v>
      </c>
      <c r="BJ222" s="565"/>
      <c r="BK222" s="565"/>
      <c r="BL222" s="566"/>
      <c r="BM222" s="567" t="s">
        <v>932</v>
      </c>
      <c r="BN222" s="567"/>
      <c r="BO222" s="567"/>
      <c r="BP222" s="567"/>
      <c r="BQ222" s="568" t="s">
        <v>932</v>
      </c>
      <c r="BR222" s="568"/>
      <c r="BS222" s="568"/>
      <c r="BT222" s="567" t="s">
        <v>932</v>
      </c>
      <c r="BU222" s="567"/>
      <c r="BV222" s="567"/>
      <c r="BW222" s="567"/>
      <c r="BX222" s="568" t="s">
        <v>932</v>
      </c>
      <c r="BY222" s="568"/>
      <c r="BZ222" s="568"/>
      <c r="CA222" s="567" t="s">
        <v>932</v>
      </c>
      <c r="CB222" s="567"/>
      <c r="CC222" s="567"/>
      <c r="CD222" s="567"/>
      <c r="CE222" s="568">
        <v>1</v>
      </c>
      <c r="CF222" s="568"/>
      <c r="CG222" s="568"/>
      <c r="CH222" s="567" t="s">
        <v>932</v>
      </c>
      <c r="CI222" s="567"/>
      <c r="CJ222" s="567"/>
      <c r="CK222" s="567"/>
      <c r="CL222" s="568" t="s">
        <v>932</v>
      </c>
      <c r="CM222" s="568"/>
      <c r="CN222" s="568"/>
    </row>
    <row r="223" hidden="1" customHeight="1" spans="1:92">
      <c r="A223" s="588"/>
      <c r="B223" s="589"/>
      <c r="C223" s="590"/>
      <c r="D223" s="591"/>
      <c r="E223" s="592"/>
      <c r="F223" s="593"/>
      <c r="G223" s="594"/>
      <c r="H223" s="595"/>
      <c r="I223" s="596"/>
      <c r="J223" s="597"/>
      <c r="K223" s="597"/>
      <c r="L223" s="597"/>
      <c r="M223" s="597"/>
      <c r="N223" s="597"/>
      <c r="O223" s="597"/>
      <c r="P223" s="597"/>
      <c r="Q223" s="597"/>
      <c r="R223" s="597"/>
      <c r="S223" s="597"/>
      <c r="T223" s="597"/>
      <c r="U223" s="597"/>
      <c r="V223" s="597"/>
      <c r="W223" s="597"/>
      <c r="X223" s="597"/>
      <c r="Y223" s="597"/>
      <c r="Z223" s="597"/>
      <c r="AA223" s="598"/>
      <c r="AB223" s="599"/>
      <c r="AC223" s="600"/>
      <c r="AD223" s="601"/>
      <c r="AE223" s="602"/>
      <c r="AF223" s="603"/>
      <c r="AG223" s="553">
        <v>0</v>
      </c>
      <c r="AH223" s="554"/>
      <c r="AI223" s="555" t="e">
        <v>#N/A</v>
      </c>
      <c r="AJ223" s="556"/>
      <c r="AK223" s="556"/>
      <c r="AL223" s="556"/>
      <c r="AM223" s="556"/>
      <c r="AN223" s="556"/>
      <c r="AO223" s="556"/>
      <c r="AP223" s="556"/>
      <c r="AQ223" s="556"/>
      <c r="AR223" s="556"/>
      <c r="AS223" s="556"/>
      <c r="AT223" s="556"/>
      <c r="AU223" s="556"/>
      <c r="AV223" s="557"/>
      <c r="AW223" s="558">
        <v>0</v>
      </c>
      <c r="AX223" s="559"/>
      <c r="AY223" s="560"/>
      <c r="AZ223" s="604"/>
      <c r="BA223" s="605"/>
      <c r="BB223" s="606"/>
      <c r="BC223" s="558">
        <v>0</v>
      </c>
      <c r="BD223" s="559"/>
      <c r="BE223" s="560"/>
      <c r="BF223" s="558">
        <v>182.49</v>
      </c>
      <c r="BG223" s="559"/>
      <c r="BH223" s="560"/>
      <c r="BI223" s="564">
        <v>0</v>
      </c>
      <c r="BJ223" s="565"/>
      <c r="BK223" s="565"/>
      <c r="BL223" s="566"/>
      <c r="BM223" s="567" t="s">
        <v>932</v>
      </c>
      <c r="BN223" s="567"/>
      <c r="BO223" s="567"/>
      <c r="BP223" s="567"/>
      <c r="BQ223" s="568" t="s">
        <v>932</v>
      </c>
      <c r="BR223" s="568"/>
      <c r="BS223" s="568"/>
      <c r="BT223" s="567" t="s">
        <v>932</v>
      </c>
      <c r="BU223" s="567"/>
      <c r="BV223" s="567"/>
      <c r="BW223" s="567"/>
      <c r="BX223" s="568" t="s">
        <v>932</v>
      </c>
      <c r="BY223" s="568"/>
      <c r="BZ223" s="568"/>
      <c r="CA223" s="567" t="s">
        <v>932</v>
      </c>
      <c r="CB223" s="567"/>
      <c r="CC223" s="567"/>
      <c r="CD223" s="567"/>
      <c r="CE223" s="568">
        <v>1</v>
      </c>
      <c r="CF223" s="568"/>
      <c r="CG223" s="568"/>
      <c r="CH223" s="567" t="s">
        <v>932</v>
      </c>
      <c r="CI223" s="567"/>
      <c r="CJ223" s="567"/>
      <c r="CK223" s="567"/>
      <c r="CL223" s="568" t="s">
        <v>932</v>
      </c>
      <c r="CM223" s="568"/>
      <c r="CN223" s="568"/>
    </row>
    <row r="224" customHeight="1" spans="1:92">
      <c r="A224" s="540" t="s">
        <v>968</v>
      </c>
      <c r="B224" s="541"/>
      <c r="C224" s="89"/>
      <c r="D224" s="91"/>
      <c r="E224" s="90"/>
      <c r="F224" s="542">
        <v>1106057</v>
      </c>
      <c r="G224" s="543"/>
      <c r="H224" s="544"/>
      <c r="I224" s="545" t="s">
        <v>109</v>
      </c>
      <c r="J224" s="546"/>
      <c r="K224" s="546"/>
      <c r="L224" s="546"/>
      <c r="M224" s="546"/>
      <c r="N224" s="546"/>
      <c r="O224" s="546"/>
      <c r="P224" s="546"/>
      <c r="Q224" s="546"/>
      <c r="R224" s="546"/>
      <c r="S224" s="546"/>
      <c r="T224" s="546"/>
      <c r="U224" s="546"/>
      <c r="V224" s="546"/>
      <c r="W224" s="546"/>
      <c r="X224" s="546"/>
      <c r="Y224" s="546"/>
      <c r="Z224" s="546"/>
      <c r="AA224" s="547"/>
      <c r="AB224" s="548" t="s">
        <v>99</v>
      </c>
      <c r="AC224" s="549"/>
      <c r="AD224" s="550">
        <v>1.2</v>
      </c>
      <c r="AE224" s="551"/>
      <c r="AF224" s="552"/>
      <c r="AG224" s="553" t="s">
        <v>1068</v>
      </c>
      <c r="AH224" s="554"/>
      <c r="AI224" s="555" t="s">
        <v>1069</v>
      </c>
      <c r="AJ224" s="556"/>
      <c r="AK224" s="556"/>
      <c r="AL224" s="556"/>
      <c r="AM224" s="556"/>
      <c r="AN224" s="556"/>
      <c r="AO224" s="556"/>
      <c r="AP224" s="556"/>
      <c r="AQ224" s="556"/>
      <c r="AR224" s="556"/>
      <c r="AS224" s="556"/>
      <c r="AT224" s="556"/>
      <c r="AU224" s="556"/>
      <c r="AV224" s="557"/>
      <c r="AW224" s="558">
        <v>1</v>
      </c>
      <c r="AX224" s="559"/>
      <c r="AY224" s="560"/>
      <c r="AZ224" s="561">
        <v>3.92899</v>
      </c>
      <c r="BA224" s="562"/>
      <c r="BB224" s="563"/>
      <c r="BC224" s="558">
        <v>0.305422004128287</v>
      </c>
      <c r="BD224" s="559"/>
      <c r="BE224" s="560"/>
      <c r="BF224" s="558">
        <v>182.49</v>
      </c>
      <c r="BG224" s="559"/>
      <c r="BH224" s="560"/>
      <c r="BI224" s="564">
        <v>0.00167363693423359</v>
      </c>
      <c r="BJ224" s="565"/>
      <c r="BK224" s="565"/>
      <c r="BL224" s="566"/>
      <c r="BM224" s="567" t="s">
        <v>932</v>
      </c>
      <c r="BN224" s="567"/>
      <c r="BO224" s="567"/>
      <c r="BP224" s="567"/>
      <c r="BQ224" s="568" t="s">
        <v>932</v>
      </c>
      <c r="BR224" s="568"/>
      <c r="BS224" s="568"/>
      <c r="BT224" s="567" t="s">
        <v>932</v>
      </c>
      <c r="BU224" s="567"/>
      <c r="BV224" s="567"/>
      <c r="BW224" s="567"/>
      <c r="BX224" s="568" t="s">
        <v>932</v>
      </c>
      <c r="BY224" s="568"/>
      <c r="BZ224" s="568"/>
      <c r="CA224" s="567">
        <v>0.00167363693423359</v>
      </c>
      <c r="CB224" s="567"/>
      <c r="CC224" s="567"/>
      <c r="CD224" s="567"/>
      <c r="CE224" s="568">
        <v>1</v>
      </c>
      <c r="CF224" s="568"/>
      <c r="CG224" s="568"/>
      <c r="CH224" s="567" t="s">
        <v>932</v>
      </c>
      <c r="CI224" s="567"/>
      <c r="CJ224" s="567"/>
      <c r="CK224" s="567"/>
      <c r="CL224" s="568" t="s">
        <v>932</v>
      </c>
      <c r="CM224" s="568"/>
      <c r="CN224" s="568"/>
    </row>
    <row r="225" customHeight="1" spans="1:92">
      <c r="A225" s="569"/>
      <c r="B225" s="570"/>
      <c r="C225" s="571"/>
      <c r="D225" s="572"/>
      <c r="E225" s="573"/>
      <c r="F225" s="574"/>
      <c r="G225" s="575"/>
      <c r="H225" s="576"/>
      <c r="I225" s="577"/>
      <c r="J225" s="578"/>
      <c r="K225" s="578"/>
      <c r="L225" s="578"/>
      <c r="M225" s="578"/>
      <c r="N225" s="578"/>
      <c r="O225" s="578"/>
      <c r="P225" s="578"/>
      <c r="Q225" s="578"/>
      <c r="R225" s="578"/>
      <c r="S225" s="578"/>
      <c r="T225" s="578"/>
      <c r="U225" s="578"/>
      <c r="V225" s="578"/>
      <c r="W225" s="578"/>
      <c r="X225" s="578"/>
      <c r="Y225" s="578"/>
      <c r="Z225" s="578"/>
      <c r="AA225" s="579"/>
      <c r="AB225" s="580"/>
      <c r="AC225" s="581"/>
      <c r="AD225" s="582"/>
      <c r="AE225" s="583"/>
      <c r="AF225" s="584"/>
      <c r="AG225" s="553" t="s">
        <v>1070</v>
      </c>
      <c r="AH225" s="554"/>
      <c r="AI225" s="555" t="s">
        <v>1071</v>
      </c>
      <c r="AJ225" s="556"/>
      <c r="AK225" s="556"/>
      <c r="AL225" s="556"/>
      <c r="AM225" s="556"/>
      <c r="AN225" s="556"/>
      <c r="AO225" s="556"/>
      <c r="AP225" s="556"/>
      <c r="AQ225" s="556"/>
      <c r="AR225" s="556"/>
      <c r="AS225" s="556"/>
      <c r="AT225" s="556"/>
      <c r="AU225" s="556"/>
      <c r="AV225" s="557"/>
      <c r="AW225" s="558">
        <v>4</v>
      </c>
      <c r="AX225" s="559"/>
      <c r="AY225" s="560"/>
      <c r="AZ225" s="585"/>
      <c r="BA225" s="586"/>
      <c r="BB225" s="587"/>
      <c r="BC225" s="558">
        <v>1.22168801651315</v>
      </c>
      <c r="BD225" s="559"/>
      <c r="BE225" s="560"/>
      <c r="BF225" s="558">
        <v>182.49</v>
      </c>
      <c r="BG225" s="559"/>
      <c r="BH225" s="560"/>
      <c r="BI225" s="564">
        <v>0.00669454773693435</v>
      </c>
      <c r="BJ225" s="565"/>
      <c r="BK225" s="565"/>
      <c r="BL225" s="566"/>
      <c r="BM225" s="567" t="s">
        <v>932</v>
      </c>
      <c r="BN225" s="567"/>
      <c r="BO225" s="567"/>
      <c r="BP225" s="567"/>
      <c r="BQ225" s="568" t="s">
        <v>932</v>
      </c>
      <c r="BR225" s="568"/>
      <c r="BS225" s="568"/>
      <c r="BT225" s="567" t="s">
        <v>932</v>
      </c>
      <c r="BU225" s="567"/>
      <c r="BV225" s="567"/>
      <c r="BW225" s="567"/>
      <c r="BX225" s="568" t="s">
        <v>932</v>
      </c>
      <c r="BY225" s="568"/>
      <c r="BZ225" s="568"/>
      <c r="CA225" s="567">
        <v>0.00669454773693435</v>
      </c>
      <c r="CB225" s="567"/>
      <c r="CC225" s="567"/>
      <c r="CD225" s="567"/>
      <c r="CE225" s="568">
        <v>1</v>
      </c>
      <c r="CF225" s="568"/>
      <c r="CG225" s="568"/>
      <c r="CH225" s="567" t="s">
        <v>932</v>
      </c>
      <c r="CI225" s="567"/>
      <c r="CJ225" s="567"/>
      <c r="CK225" s="567"/>
      <c r="CL225" s="568" t="s">
        <v>932</v>
      </c>
      <c r="CM225" s="568"/>
      <c r="CN225" s="568"/>
    </row>
    <row r="226" customHeight="1" spans="1:92">
      <c r="A226" s="569"/>
      <c r="B226" s="570"/>
      <c r="C226" s="571"/>
      <c r="D226" s="572"/>
      <c r="E226" s="573"/>
      <c r="F226" s="574"/>
      <c r="G226" s="575"/>
      <c r="H226" s="576"/>
      <c r="I226" s="577"/>
      <c r="J226" s="578"/>
      <c r="K226" s="578"/>
      <c r="L226" s="578"/>
      <c r="M226" s="578"/>
      <c r="N226" s="578"/>
      <c r="O226" s="578"/>
      <c r="P226" s="578"/>
      <c r="Q226" s="578"/>
      <c r="R226" s="578"/>
      <c r="S226" s="578"/>
      <c r="T226" s="578"/>
      <c r="U226" s="578"/>
      <c r="V226" s="578"/>
      <c r="W226" s="578"/>
      <c r="X226" s="578"/>
      <c r="Y226" s="578"/>
      <c r="Z226" s="578"/>
      <c r="AA226" s="579"/>
      <c r="AB226" s="580"/>
      <c r="AC226" s="581"/>
      <c r="AD226" s="582"/>
      <c r="AE226" s="583"/>
      <c r="AF226" s="584"/>
      <c r="AG226" s="553" t="s">
        <v>1072</v>
      </c>
      <c r="AH226" s="554"/>
      <c r="AI226" s="555" t="s">
        <v>1073</v>
      </c>
      <c r="AJ226" s="556"/>
      <c r="AK226" s="556"/>
      <c r="AL226" s="556"/>
      <c r="AM226" s="556"/>
      <c r="AN226" s="556"/>
      <c r="AO226" s="556"/>
      <c r="AP226" s="556"/>
      <c r="AQ226" s="556"/>
      <c r="AR226" s="556"/>
      <c r="AS226" s="556"/>
      <c r="AT226" s="556"/>
      <c r="AU226" s="556"/>
      <c r="AV226" s="557"/>
      <c r="AW226" s="558">
        <v>3</v>
      </c>
      <c r="AX226" s="559"/>
      <c r="AY226" s="560"/>
      <c r="AZ226" s="585"/>
      <c r="BA226" s="586"/>
      <c r="BB226" s="587"/>
      <c r="BC226" s="558">
        <v>0.916266012384862</v>
      </c>
      <c r="BD226" s="559"/>
      <c r="BE226" s="560"/>
      <c r="BF226" s="558">
        <v>182.49</v>
      </c>
      <c r="BG226" s="559"/>
      <c r="BH226" s="560"/>
      <c r="BI226" s="564">
        <v>0.00502091080270076</v>
      </c>
      <c r="BJ226" s="565"/>
      <c r="BK226" s="565"/>
      <c r="BL226" s="566"/>
      <c r="BM226" s="567" t="s">
        <v>932</v>
      </c>
      <c r="BN226" s="567"/>
      <c r="BO226" s="567"/>
      <c r="BP226" s="567"/>
      <c r="BQ226" s="568" t="s">
        <v>932</v>
      </c>
      <c r="BR226" s="568"/>
      <c r="BS226" s="568"/>
      <c r="BT226" s="567" t="s">
        <v>932</v>
      </c>
      <c r="BU226" s="567"/>
      <c r="BV226" s="567"/>
      <c r="BW226" s="567"/>
      <c r="BX226" s="568" t="s">
        <v>932</v>
      </c>
      <c r="BY226" s="568"/>
      <c r="BZ226" s="568"/>
      <c r="CA226" s="567">
        <v>0.00502091080270076</v>
      </c>
      <c r="CB226" s="567"/>
      <c r="CC226" s="567"/>
      <c r="CD226" s="567"/>
      <c r="CE226" s="568">
        <v>1</v>
      </c>
      <c r="CF226" s="568"/>
      <c r="CG226" s="568"/>
      <c r="CH226" s="567" t="s">
        <v>932</v>
      </c>
      <c r="CI226" s="567"/>
      <c r="CJ226" s="567"/>
      <c r="CK226" s="567"/>
      <c r="CL226" s="568" t="s">
        <v>932</v>
      </c>
      <c r="CM226" s="568"/>
      <c r="CN226" s="568"/>
    </row>
    <row r="227" hidden="1" customHeight="1" spans="1:92">
      <c r="A227" s="569"/>
      <c r="B227" s="570"/>
      <c r="C227" s="571"/>
      <c r="D227" s="572"/>
      <c r="E227" s="573"/>
      <c r="F227" s="574"/>
      <c r="G227" s="575"/>
      <c r="H227" s="576"/>
      <c r="I227" s="577"/>
      <c r="J227" s="578"/>
      <c r="K227" s="578"/>
      <c r="L227" s="578"/>
      <c r="M227" s="578"/>
      <c r="N227" s="578"/>
      <c r="O227" s="578"/>
      <c r="P227" s="578"/>
      <c r="Q227" s="578"/>
      <c r="R227" s="578"/>
      <c r="S227" s="578"/>
      <c r="T227" s="578"/>
      <c r="U227" s="578"/>
      <c r="V227" s="578"/>
      <c r="W227" s="578"/>
      <c r="X227" s="578"/>
      <c r="Y227" s="578"/>
      <c r="Z227" s="578"/>
      <c r="AA227" s="579"/>
      <c r="AB227" s="580"/>
      <c r="AC227" s="581"/>
      <c r="AD227" s="582"/>
      <c r="AE227" s="583"/>
      <c r="AF227" s="584"/>
      <c r="AG227" s="553">
        <v>0</v>
      </c>
      <c r="AH227" s="554"/>
      <c r="AI227" s="555" t="e">
        <v>#N/A</v>
      </c>
      <c r="AJ227" s="556"/>
      <c r="AK227" s="556"/>
      <c r="AL227" s="556"/>
      <c r="AM227" s="556"/>
      <c r="AN227" s="556"/>
      <c r="AO227" s="556"/>
      <c r="AP227" s="556"/>
      <c r="AQ227" s="556"/>
      <c r="AR227" s="556"/>
      <c r="AS227" s="556"/>
      <c r="AT227" s="556"/>
      <c r="AU227" s="556"/>
      <c r="AV227" s="557"/>
      <c r="AW227" s="558">
        <v>0</v>
      </c>
      <c r="AX227" s="559"/>
      <c r="AY227" s="560"/>
      <c r="AZ227" s="585"/>
      <c r="BA227" s="586"/>
      <c r="BB227" s="587"/>
      <c r="BC227" s="558">
        <v>0</v>
      </c>
      <c r="BD227" s="559"/>
      <c r="BE227" s="560"/>
      <c r="BF227" s="558">
        <v>182.49</v>
      </c>
      <c r="BG227" s="559"/>
      <c r="BH227" s="560"/>
      <c r="BI227" s="564">
        <v>0</v>
      </c>
      <c r="BJ227" s="565"/>
      <c r="BK227" s="565"/>
      <c r="BL227" s="566"/>
      <c r="BM227" s="567" t="s">
        <v>932</v>
      </c>
      <c r="BN227" s="567"/>
      <c r="BO227" s="567"/>
      <c r="BP227" s="567"/>
      <c r="BQ227" s="568" t="s">
        <v>932</v>
      </c>
      <c r="BR227" s="568"/>
      <c r="BS227" s="568"/>
      <c r="BT227" s="567" t="s">
        <v>932</v>
      </c>
      <c r="BU227" s="567"/>
      <c r="BV227" s="567"/>
      <c r="BW227" s="567"/>
      <c r="BX227" s="568" t="s">
        <v>932</v>
      </c>
      <c r="BY227" s="568"/>
      <c r="BZ227" s="568"/>
      <c r="CA227" s="567" t="s">
        <v>932</v>
      </c>
      <c r="CB227" s="567"/>
      <c r="CC227" s="567"/>
      <c r="CD227" s="567"/>
      <c r="CE227" s="568">
        <v>1</v>
      </c>
      <c r="CF227" s="568"/>
      <c r="CG227" s="568"/>
      <c r="CH227" s="567" t="s">
        <v>932</v>
      </c>
      <c r="CI227" s="567"/>
      <c r="CJ227" s="567"/>
      <c r="CK227" s="567"/>
      <c r="CL227" s="568" t="s">
        <v>932</v>
      </c>
      <c r="CM227" s="568"/>
      <c r="CN227" s="568"/>
    </row>
    <row r="228" hidden="1" customHeight="1" spans="1:92">
      <c r="A228" s="569"/>
      <c r="B228" s="570"/>
      <c r="C228" s="571"/>
      <c r="D228" s="572"/>
      <c r="E228" s="573"/>
      <c r="F228" s="574"/>
      <c r="G228" s="575"/>
      <c r="H228" s="576"/>
      <c r="I228" s="577"/>
      <c r="J228" s="578"/>
      <c r="K228" s="578"/>
      <c r="L228" s="578"/>
      <c r="M228" s="578"/>
      <c r="N228" s="578"/>
      <c r="O228" s="578"/>
      <c r="P228" s="578"/>
      <c r="Q228" s="578"/>
      <c r="R228" s="578"/>
      <c r="S228" s="578"/>
      <c r="T228" s="578"/>
      <c r="U228" s="578"/>
      <c r="V228" s="578"/>
      <c r="W228" s="578"/>
      <c r="X228" s="578"/>
      <c r="Y228" s="578"/>
      <c r="Z228" s="578"/>
      <c r="AA228" s="579"/>
      <c r="AB228" s="580"/>
      <c r="AC228" s="581"/>
      <c r="AD228" s="582"/>
      <c r="AE228" s="583"/>
      <c r="AF228" s="584"/>
      <c r="AG228" s="553">
        <v>0</v>
      </c>
      <c r="AH228" s="554"/>
      <c r="AI228" s="555" t="e">
        <v>#N/A</v>
      </c>
      <c r="AJ228" s="556"/>
      <c r="AK228" s="556"/>
      <c r="AL228" s="556"/>
      <c r="AM228" s="556"/>
      <c r="AN228" s="556"/>
      <c r="AO228" s="556"/>
      <c r="AP228" s="556"/>
      <c r="AQ228" s="556"/>
      <c r="AR228" s="556"/>
      <c r="AS228" s="556"/>
      <c r="AT228" s="556"/>
      <c r="AU228" s="556"/>
      <c r="AV228" s="557"/>
      <c r="AW228" s="558">
        <v>0</v>
      </c>
      <c r="AX228" s="559"/>
      <c r="AY228" s="560"/>
      <c r="AZ228" s="585"/>
      <c r="BA228" s="586"/>
      <c r="BB228" s="587"/>
      <c r="BC228" s="558">
        <v>0</v>
      </c>
      <c r="BD228" s="559"/>
      <c r="BE228" s="560"/>
      <c r="BF228" s="558">
        <v>182.49</v>
      </c>
      <c r="BG228" s="559"/>
      <c r="BH228" s="560"/>
      <c r="BI228" s="564">
        <v>0</v>
      </c>
      <c r="BJ228" s="565"/>
      <c r="BK228" s="565"/>
      <c r="BL228" s="566"/>
      <c r="BM228" s="567" t="s">
        <v>932</v>
      </c>
      <c r="BN228" s="567"/>
      <c r="BO228" s="567"/>
      <c r="BP228" s="567"/>
      <c r="BQ228" s="568" t="s">
        <v>932</v>
      </c>
      <c r="BR228" s="568"/>
      <c r="BS228" s="568"/>
      <c r="BT228" s="567" t="s">
        <v>932</v>
      </c>
      <c r="BU228" s="567"/>
      <c r="BV228" s="567"/>
      <c r="BW228" s="567"/>
      <c r="BX228" s="568" t="s">
        <v>932</v>
      </c>
      <c r="BY228" s="568"/>
      <c r="BZ228" s="568"/>
      <c r="CA228" s="567" t="s">
        <v>932</v>
      </c>
      <c r="CB228" s="567"/>
      <c r="CC228" s="567"/>
      <c r="CD228" s="567"/>
      <c r="CE228" s="568">
        <v>1</v>
      </c>
      <c r="CF228" s="568"/>
      <c r="CG228" s="568"/>
      <c r="CH228" s="567" t="s">
        <v>932</v>
      </c>
      <c r="CI228" s="567"/>
      <c r="CJ228" s="567"/>
      <c r="CK228" s="567"/>
      <c r="CL228" s="568" t="s">
        <v>932</v>
      </c>
      <c r="CM228" s="568"/>
      <c r="CN228" s="568"/>
    </row>
    <row r="229" hidden="1" customHeight="1" spans="1:92">
      <c r="A229" s="569"/>
      <c r="B229" s="570"/>
      <c r="C229" s="571"/>
      <c r="D229" s="572"/>
      <c r="E229" s="573"/>
      <c r="F229" s="574"/>
      <c r="G229" s="575"/>
      <c r="H229" s="576"/>
      <c r="I229" s="577"/>
      <c r="J229" s="578"/>
      <c r="K229" s="578"/>
      <c r="L229" s="578"/>
      <c r="M229" s="578"/>
      <c r="N229" s="578"/>
      <c r="O229" s="578"/>
      <c r="P229" s="578"/>
      <c r="Q229" s="578"/>
      <c r="R229" s="578"/>
      <c r="S229" s="578"/>
      <c r="T229" s="578"/>
      <c r="U229" s="578"/>
      <c r="V229" s="578"/>
      <c r="W229" s="578"/>
      <c r="X229" s="578"/>
      <c r="Y229" s="578"/>
      <c r="Z229" s="578"/>
      <c r="AA229" s="579"/>
      <c r="AB229" s="580"/>
      <c r="AC229" s="581"/>
      <c r="AD229" s="582"/>
      <c r="AE229" s="583"/>
      <c r="AF229" s="584"/>
      <c r="AG229" s="553">
        <v>0</v>
      </c>
      <c r="AH229" s="554"/>
      <c r="AI229" s="555" t="e">
        <v>#N/A</v>
      </c>
      <c r="AJ229" s="556"/>
      <c r="AK229" s="556"/>
      <c r="AL229" s="556"/>
      <c r="AM229" s="556"/>
      <c r="AN229" s="556"/>
      <c r="AO229" s="556"/>
      <c r="AP229" s="556"/>
      <c r="AQ229" s="556"/>
      <c r="AR229" s="556"/>
      <c r="AS229" s="556"/>
      <c r="AT229" s="556"/>
      <c r="AU229" s="556"/>
      <c r="AV229" s="557"/>
      <c r="AW229" s="558">
        <v>0</v>
      </c>
      <c r="AX229" s="559"/>
      <c r="AY229" s="560"/>
      <c r="AZ229" s="585"/>
      <c r="BA229" s="586"/>
      <c r="BB229" s="587"/>
      <c r="BC229" s="558">
        <v>0</v>
      </c>
      <c r="BD229" s="559"/>
      <c r="BE229" s="560"/>
      <c r="BF229" s="558">
        <v>182.49</v>
      </c>
      <c r="BG229" s="559"/>
      <c r="BH229" s="560"/>
      <c r="BI229" s="564">
        <v>0</v>
      </c>
      <c r="BJ229" s="565"/>
      <c r="BK229" s="565"/>
      <c r="BL229" s="566"/>
      <c r="BM229" s="567" t="s">
        <v>932</v>
      </c>
      <c r="BN229" s="567"/>
      <c r="BO229" s="567"/>
      <c r="BP229" s="567"/>
      <c r="BQ229" s="568" t="s">
        <v>932</v>
      </c>
      <c r="BR229" s="568"/>
      <c r="BS229" s="568"/>
      <c r="BT229" s="567" t="s">
        <v>932</v>
      </c>
      <c r="BU229" s="567"/>
      <c r="BV229" s="567"/>
      <c r="BW229" s="567"/>
      <c r="BX229" s="568" t="s">
        <v>932</v>
      </c>
      <c r="BY229" s="568"/>
      <c r="BZ229" s="568"/>
      <c r="CA229" s="567" t="s">
        <v>932</v>
      </c>
      <c r="CB229" s="567"/>
      <c r="CC229" s="567"/>
      <c r="CD229" s="567"/>
      <c r="CE229" s="568">
        <v>1</v>
      </c>
      <c r="CF229" s="568"/>
      <c r="CG229" s="568"/>
      <c r="CH229" s="567" t="s">
        <v>932</v>
      </c>
      <c r="CI229" s="567"/>
      <c r="CJ229" s="567"/>
      <c r="CK229" s="567"/>
      <c r="CL229" s="568" t="s">
        <v>932</v>
      </c>
      <c r="CM229" s="568"/>
      <c r="CN229" s="568"/>
    </row>
    <row r="230" hidden="1" customHeight="1" spans="1:92">
      <c r="A230" s="569"/>
      <c r="B230" s="570"/>
      <c r="C230" s="571"/>
      <c r="D230" s="572"/>
      <c r="E230" s="573"/>
      <c r="F230" s="574"/>
      <c r="G230" s="575"/>
      <c r="H230" s="576"/>
      <c r="I230" s="577"/>
      <c r="J230" s="578"/>
      <c r="K230" s="578"/>
      <c r="L230" s="578"/>
      <c r="M230" s="578"/>
      <c r="N230" s="578"/>
      <c r="O230" s="578"/>
      <c r="P230" s="578"/>
      <c r="Q230" s="578"/>
      <c r="R230" s="578"/>
      <c r="S230" s="578"/>
      <c r="T230" s="578"/>
      <c r="U230" s="578"/>
      <c r="V230" s="578"/>
      <c r="W230" s="578"/>
      <c r="X230" s="578"/>
      <c r="Y230" s="578"/>
      <c r="Z230" s="578"/>
      <c r="AA230" s="579"/>
      <c r="AB230" s="580"/>
      <c r="AC230" s="581"/>
      <c r="AD230" s="582"/>
      <c r="AE230" s="583"/>
      <c r="AF230" s="584"/>
      <c r="AG230" s="553">
        <v>0</v>
      </c>
      <c r="AH230" s="554"/>
      <c r="AI230" s="555" t="e">
        <v>#N/A</v>
      </c>
      <c r="AJ230" s="556"/>
      <c r="AK230" s="556"/>
      <c r="AL230" s="556"/>
      <c r="AM230" s="556"/>
      <c r="AN230" s="556"/>
      <c r="AO230" s="556"/>
      <c r="AP230" s="556"/>
      <c r="AQ230" s="556"/>
      <c r="AR230" s="556"/>
      <c r="AS230" s="556"/>
      <c r="AT230" s="556"/>
      <c r="AU230" s="556"/>
      <c r="AV230" s="557"/>
      <c r="AW230" s="558">
        <v>0</v>
      </c>
      <c r="AX230" s="559"/>
      <c r="AY230" s="560"/>
      <c r="AZ230" s="585"/>
      <c r="BA230" s="586"/>
      <c r="BB230" s="587"/>
      <c r="BC230" s="558">
        <v>0</v>
      </c>
      <c r="BD230" s="559"/>
      <c r="BE230" s="560"/>
      <c r="BF230" s="558">
        <v>182.49</v>
      </c>
      <c r="BG230" s="559"/>
      <c r="BH230" s="560"/>
      <c r="BI230" s="564">
        <v>0</v>
      </c>
      <c r="BJ230" s="565"/>
      <c r="BK230" s="565"/>
      <c r="BL230" s="566"/>
      <c r="BM230" s="567" t="s">
        <v>932</v>
      </c>
      <c r="BN230" s="567"/>
      <c r="BO230" s="567"/>
      <c r="BP230" s="567"/>
      <c r="BQ230" s="568" t="s">
        <v>932</v>
      </c>
      <c r="BR230" s="568"/>
      <c r="BS230" s="568"/>
      <c r="BT230" s="567" t="s">
        <v>932</v>
      </c>
      <c r="BU230" s="567"/>
      <c r="BV230" s="567"/>
      <c r="BW230" s="567"/>
      <c r="BX230" s="568" t="s">
        <v>932</v>
      </c>
      <c r="BY230" s="568"/>
      <c r="BZ230" s="568"/>
      <c r="CA230" s="567" t="s">
        <v>932</v>
      </c>
      <c r="CB230" s="567"/>
      <c r="CC230" s="567"/>
      <c r="CD230" s="567"/>
      <c r="CE230" s="568">
        <v>1</v>
      </c>
      <c r="CF230" s="568"/>
      <c r="CG230" s="568"/>
      <c r="CH230" s="567" t="s">
        <v>932</v>
      </c>
      <c r="CI230" s="567"/>
      <c r="CJ230" s="567"/>
      <c r="CK230" s="567"/>
      <c r="CL230" s="568" t="s">
        <v>932</v>
      </c>
      <c r="CM230" s="568"/>
      <c r="CN230" s="568"/>
    </row>
    <row r="231" hidden="1" customHeight="1" spans="1:92">
      <c r="A231" s="588"/>
      <c r="B231" s="589"/>
      <c r="C231" s="590"/>
      <c r="D231" s="591"/>
      <c r="E231" s="592"/>
      <c r="F231" s="593"/>
      <c r="G231" s="594"/>
      <c r="H231" s="595"/>
      <c r="I231" s="596"/>
      <c r="J231" s="597"/>
      <c r="K231" s="597"/>
      <c r="L231" s="597"/>
      <c r="M231" s="597"/>
      <c r="N231" s="597"/>
      <c r="O231" s="597"/>
      <c r="P231" s="597"/>
      <c r="Q231" s="597"/>
      <c r="R231" s="597"/>
      <c r="S231" s="597"/>
      <c r="T231" s="597"/>
      <c r="U231" s="597"/>
      <c r="V231" s="597"/>
      <c r="W231" s="597"/>
      <c r="X231" s="597"/>
      <c r="Y231" s="597"/>
      <c r="Z231" s="597"/>
      <c r="AA231" s="598"/>
      <c r="AB231" s="599"/>
      <c r="AC231" s="600"/>
      <c r="AD231" s="601"/>
      <c r="AE231" s="602"/>
      <c r="AF231" s="603"/>
      <c r="AG231" s="553">
        <v>0</v>
      </c>
      <c r="AH231" s="554"/>
      <c r="AI231" s="555" t="e">
        <v>#N/A</v>
      </c>
      <c r="AJ231" s="556"/>
      <c r="AK231" s="556"/>
      <c r="AL231" s="556"/>
      <c r="AM231" s="556"/>
      <c r="AN231" s="556"/>
      <c r="AO231" s="556"/>
      <c r="AP231" s="556"/>
      <c r="AQ231" s="556"/>
      <c r="AR231" s="556"/>
      <c r="AS231" s="556"/>
      <c r="AT231" s="556"/>
      <c r="AU231" s="556"/>
      <c r="AV231" s="557"/>
      <c r="AW231" s="558">
        <v>0</v>
      </c>
      <c r="AX231" s="559"/>
      <c r="AY231" s="560"/>
      <c r="AZ231" s="604"/>
      <c r="BA231" s="605"/>
      <c r="BB231" s="606"/>
      <c r="BC231" s="558">
        <v>0</v>
      </c>
      <c r="BD231" s="559"/>
      <c r="BE231" s="560"/>
      <c r="BF231" s="558">
        <v>182.49</v>
      </c>
      <c r="BG231" s="559"/>
      <c r="BH231" s="560"/>
      <c r="BI231" s="564">
        <v>0</v>
      </c>
      <c r="BJ231" s="565"/>
      <c r="BK231" s="565"/>
      <c r="BL231" s="566"/>
      <c r="BM231" s="567" t="s">
        <v>932</v>
      </c>
      <c r="BN231" s="567"/>
      <c r="BO231" s="567"/>
      <c r="BP231" s="567"/>
      <c r="BQ231" s="568" t="s">
        <v>932</v>
      </c>
      <c r="BR231" s="568"/>
      <c r="BS231" s="568"/>
      <c r="BT231" s="567" t="s">
        <v>932</v>
      </c>
      <c r="BU231" s="567"/>
      <c r="BV231" s="567"/>
      <c r="BW231" s="567"/>
      <c r="BX231" s="568" t="s">
        <v>932</v>
      </c>
      <c r="BY231" s="568"/>
      <c r="BZ231" s="568"/>
      <c r="CA231" s="567" t="s">
        <v>932</v>
      </c>
      <c r="CB231" s="567"/>
      <c r="CC231" s="567"/>
      <c r="CD231" s="567"/>
      <c r="CE231" s="568">
        <v>1</v>
      </c>
      <c r="CF231" s="568"/>
      <c r="CG231" s="568"/>
      <c r="CH231" s="567" t="s">
        <v>932</v>
      </c>
      <c r="CI231" s="567"/>
      <c r="CJ231" s="567"/>
      <c r="CK231" s="567"/>
      <c r="CL231" s="568" t="s">
        <v>932</v>
      </c>
      <c r="CM231" s="568"/>
      <c r="CN231" s="568"/>
    </row>
    <row r="232" customHeight="1" spans="1:92">
      <c r="A232" s="540" t="s">
        <v>969</v>
      </c>
      <c r="B232" s="541"/>
      <c r="C232" s="89"/>
      <c r="D232" s="91"/>
      <c r="E232" s="90"/>
      <c r="F232" s="542">
        <v>3108000</v>
      </c>
      <c r="G232" s="543"/>
      <c r="H232" s="544"/>
      <c r="I232" s="545" t="s">
        <v>110</v>
      </c>
      <c r="J232" s="546"/>
      <c r="K232" s="546"/>
      <c r="L232" s="546"/>
      <c r="M232" s="546"/>
      <c r="N232" s="546"/>
      <c r="O232" s="546"/>
      <c r="P232" s="546"/>
      <c r="Q232" s="546"/>
      <c r="R232" s="546"/>
      <c r="S232" s="546"/>
      <c r="T232" s="546"/>
      <c r="U232" s="546"/>
      <c r="V232" s="546"/>
      <c r="W232" s="546"/>
      <c r="X232" s="546"/>
      <c r="Y232" s="546"/>
      <c r="Z232" s="546"/>
      <c r="AA232" s="547"/>
      <c r="AB232" s="548" t="s">
        <v>7</v>
      </c>
      <c r="AC232" s="549"/>
      <c r="AD232" s="550">
        <v>4</v>
      </c>
      <c r="AE232" s="551"/>
      <c r="AF232" s="552"/>
      <c r="AG232" s="553" t="s">
        <v>1074</v>
      </c>
      <c r="AH232" s="554"/>
      <c r="AI232" s="555" t="s">
        <v>1075</v>
      </c>
      <c r="AJ232" s="556"/>
      <c r="AK232" s="556"/>
      <c r="AL232" s="556"/>
      <c r="AM232" s="556"/>
      <c r="AN232" s="556"/>
      <c r="AO232" s="556"/>
      <c r="AP232" s="556"/>
      <c r="AQ232" s="556"/>
      <c r="AR232" s="556"/>
      <c r="AS232" s="556"/>
      <c r="AT232" s="556"/>
      <c r="AU232" s="556"/>
      <c r="AV232" s="557"/>
      <c r="AW232" s="558">
        <v>0.06024</v>
      </c>
      <c r="AX232" s="559"/>
      <c r="AY232" s="560"/>
      <c r="AZ232" s="561">
        <v>1</v>
      </c>
      <c r="BA232" s="562"/>
      <c r="BB232" s="563"/>
      <c r="BC232" s="558">
        <v>0.24096</v>
      </c>
      <c r="BD232" s="559"/>
      <c r="BE232" s="560"/>
      <c r="BF232" s="558">
        <v>182.49</v>
      </c>
      <c r="BG232" s="559"/>
      <c r="BH232" s="560"/>
      <c r="BI232" s="564">
        <v>0.00132040111786947</v>
      </c>
      <c r="BJ232" s="565"/>
      <c r="BK232" s="565"/>
      <c r="BL232" s="566"/>
      <c r="BM232" s="567" t="s">
        <v>932</v>
      </c>
      <c r="BN232" s="567"/>
      <c r="BO232" s="567"/>
      <c r="BP232" s="567"/>
      <c r="BQ232" s="568" t="s">
        <v>932</v>
      </c>
      <c r="BR232" s="568"/>
      <c r="BS232" s="568"/>
      <c r="BT232" s="567" t="s">
        <v>932</v>
      </c>
      <c r="BU232" s="567"/>
      <c r="BV232" s="567"/>
      <c r="BW232" s="567"/>
      <c r="BX232" s="568" t="s">
        <v>932</v>
      </c>
      <c r="BY232" s="568"/>
      <c r="BZ232" s="568"/>
      <c r="CA232" s="567">
        <v>0.00132040111786947</v>
      </c>
      <c r="CB232" s="567"/>
      <c r="CC232" s="567"/>
      <c r="CD232" s="567"/>
      <c r="CE232" s="568">
        <v>1</v>
      </c>
      <c r="CF232" s="568"/>
      <c r="CG232" s="568"/>
      <c r="CH232" s="567" t="s">
        <v>932</v>
      </c>
      <c r="CI232" s="567"/>
      <c r="CJ232" s="567"/>
      <c r="CK232" s="567"/>
      <c r="CL232" s="568" t="s">
        <v>932</v>
      </c>
      <c r="CM232" s="568"/>
      <c r="CN232" s="568"/>
    </row>
    <row r="233" customHeight="1" spans="1:92">
      <c r="A233" s="569"/>
      <c r="B233" s="570"/>
      <c r="C233" s="571"/>
      <c r="D233" s="572"/>
      <c r="E233" s="573"/>
      <c r="F233" s="574"/>
      <c r="G233" s="575"/>
      <c r="H233" s="576"/>
      <c r="I233" s="577"/>
      <c r="J233" s="578"/>
      <c r="K233" s="578"/>
      <c r="L233" s="578"/>
      <c r="M233" s="578"/>
      <c r="N233" s="578"/>
      <c r="O233" s="578"/>
      <c r="P233" s="578"/>
      <c r="Q233" s="578"/>
      <c r="R233" s="578"/>
      <c r="S233" s="578"/>
      <c r="T233" s="578"/>
      <c r="U233" s="578"/>
      <c r="V233" s="578"/>
      <c r="W233" s="578"/>
      <c r="X233" s="578"/>
      <c r="Y233" s="578"/>
      <c r="Z233" s="578"/>
      <c r="AA233" s="579"/>
      <c r="AB233" s="580"/>
      <c r="AC233" s="581"/>
      <c r="AD233" s="582"/>
      <c r="AE233" s="583"/>
      <c r="AF233" s="584"/>
      <c r="AG233" s="553" t="s">
        <v>1076</v>
      </c>
      <c r="AH233" s="554"/>
      <c r="AI233" s="555" t="s">
        <v>1077</v>
      </c>
      <c r="AJ233" s="556"/>
      <c r="AK233" s="556"/>
      <c r="AL233" s="556"/>
      <c r="AM233" s="556"/>
      <c r="AN233" s="556"/>
      <c r="AO233" s="556"/>
      <c r="AP233" s="556"/>
      <c r="AQ233" s="556"/>
      <c r="AR233" s="556"/>
      <c r="AS233" s="556"/>
      <c r="AT233" s="556"/>
      <c r="AU233" s="556"/>
      <c r="AV233" s="557"/>
      <c r="AW233" s="558">
        <v>0.06024</v>
      </c>
      <c r="AX233" s="559"/>
      <c r="AY233" s="560"/>
      <c r="AZ233" s="585"/>
      <c r="BA233" s="586"/>
      <c r="BB233" s="587"/>
      <c r="BC233" s="558">
        <v>0.24096</v>
      </c>
      <c r="BD233" s="559"/>
      <c r="BE233" s="560"/>
      <c r="BF233" s="558">
        <v>182.49</v>
      </c>
      <c r="BG233" s="559"/>
      <c r="BH233" s="560"/>
      <c r="BI233" s="564">
        <v>0.00132040111786947</v>
      </c>
      <c r="BJ233" s="565"/>
      <c r="BK233" s="565"/>
      <c r="BL233" s="566"/>
      <c r="BM233" s="567" t="s">
        <v>932</v>
      </c>
      <c r="BN233" s="567"/>
      <c r="BO233" s="567"/>
      <c r="BP233" s="567"/>
      <c r="BQ233" s="568" t="s">
        <v>932</v>
      </c>
      <c r="BR233" s="568"/>
      <c r="BS233" s="568"/>
      <c r="BT233" s="567" t="s">
        <v>932</v>
      </c>
      <c r="BU233" s="567"/>
      <c r="BV233" s="567"/>
      <c r="BW233" s="567"/>
      <c r="BX233" s="568" t="s">
        <v>932</v>
      </c>
      <c r="BY233" s="568"/>
      <c r="BZ233" s="568"/>
      <c r="CA233" s="567">
        <v>0.00132040111786947</v>
      </c>
      <c r="CB233" s="567"/>
      <c r="CC233" s="567"/>
      <c r="CD233" s="567"/>
      <c r="CE233" s="568">
        <v>1</v>
      </c>
      <c r="CF233" s="568"/>
      <c r="CG233" s="568"/>
      <c r="CH233" s="567" t="s">
        <v>932</v>
      </c>
      <c r="CI233" s="567"/>
      <c r="CJ233" s="567"/>
      <c r="CK233" s="567"/>
      <c r="CL233" s="568" t="s">
        <v>932</v>
      </c>
      <c r="CM233" s="568"/>
      <c r="CN233" s="568"/>
    </row>
    <row r="234" hidden="1" customHeight="1" spans="1:92">
      <c r="A234" s="569"/>
      <c r="B234" s="570"/>
      <c r="C234" s="571"/>
      <c r="D234" s="572"/>
      <c r="E234" s="573"/>
      <c r="F234" s="574"/>
      <c r="G234" s="575"/>
      <c r="H234" s="576"/>
      <c r="I234" s="577"/>
      <c r="J234" s="578"/>
      <c r="K234" s="578"/>
      <c r="L234" s="578"/>
      <c r="M234" s="578"/>
      <c r="N234" s="578"/>
      <c r="O234" s="578"/>
      <c r="P234" s="578"/>
      <c r="Q234" s="578"/>
      <c r="R234" s="578"/>
      <c r="S234" s="578"/>
      <c r="T234" s="578"/>
      <c r="U234" s="578"/>
      <c r="V234" s="578"/>
      <c r="W234" s="578"/>
      <c r="X234" s="578"/>
      <c r="Y234" s="578"/>
      <c r="Z234" s="578"/>
      <c r="AA234" s="579"/>
      <c r="AB234" s="580"/>
      <c r="AC234" s="581"/>
      <c r="AD234" s="582"/>
      <c r="AE234" s="583"/>
      <c r="AF234" s="584"/>
      <c r="AG234" s="553">
        <v>0</v>
      </c>
      <c r="AH234" s="554"/>
      <c r="AI234" s="555" t="e">
        <v>#N/A</v>
      </c>
      <c r="AJ234" s="556"/>
      <c r="AK234" s="556"/>
      <c r="AL234" s="556"/>
      <c r="AM234" s="556"/>
      <c r="AN234" s="556"/>
      <c r="AO234" s="556"/>
      <c r="AP234" s="556"/>
      <c r="AQ234" s="556"/>
      <c r="AR234" s="556"/>
      <c r="AS234" s="556"/>
      <c r="AT234" s="556"/>
      <c r="AU234" s="556"/>
      <c r="AV234" s="557"/>
      <c r="AW234" s="558">
        <v>0</v>
      </c>
      <c r="AX234" s="559"/>
      <c r="AY234" s="560"/>
      <c r="AZ234" s="585"/>
      <c r="BA234" s="586"/>
      <c r="BB234" s="587"/>
      <c r="BC234" s="558">
        <v>0</v>
      </c>
      <c r="BD234" s="559"/>
      <c r="BE234" s="560"/>
      <c r="BF234" s="558">
        <v>182.49</v>
      </c>
      <c r="BG234" s="559"/>
      <c r="BH234" s="560"/>
      <c r="BI234" s="564">
        <v>0</v>
      </c>
      <c r="BJ234" s="565"/>
      <c r="BK234" s="565"/>
      <c r="BL234" s="566"/>
      <c r="BM234" s="567" t="s">
        <v>932</v>
      </c>
      <c r="BN234" s="567"/>
      <c r="BO234" s="567"/>
      <c r="BP234" s="567"/>
      <c r="BQ234" s="568" t="s">
        <v>932</v>
      </c>
      <c r="BR234" s="568"/>
      <c r="BS234" s="568"/>
      <c r="BT234" s="567" t="s">
        <v>932</v>
      </c>
      <c r="BU234" s="567"/>
      <c r="BV234" s="567"/>
      <c r="BW234" s="567"/>
      <c r="BX234" s="568" t="s">
        <v>932</v>
      </c>
      <c r="BY234" s="568"/>
      <c r="BZ234" s="568"/>
      <c r="CA234" s="567" t="s">
        <v>932</v>
      </c>
      <c r="CB234" s="567"/>
      <c r="CC234" s="567"/>
      <c r="CD234" s="567"/>
      <c r="CE234" s="568">
        <v>1</v>
      </c>
      <c r="CF234" s="568"/>
      <c r="CG234" s="568"/>
      <c r="CH234" s="567" t="s">
        <v>932</v>
      </c>
      <c r="CI234" s="567"/>
      <c r="CJ234" s="567"/>
      <c r="CK234" s="567"/>
      <c r="CL234" s="568" t="s">
        <v>932</v>
      </c>
      <c r="CM234" s="568"/>
      <c r="CN234" s="568"/>
    </row>
    <row r="235" hidden="1" customHeight="1" spans="1:92">
      <c r="A235" s="569"/>
      <c r="B235" s="570"/>
      <c r="C235" s="571"/>
      <c r="D235" s="572"/>
      <c r="E235" s="573"/>
      <c r="F235" s="574"/>
      <c r="G235" s="575"/>
      <c r="H235" s="576"/>
      <c r="I235" s="577"/>
      <c r="J235" s="578"/>
      <c r="K235" s="578"/>
      <c r="L235" s="578"/>
      <c r="M235" s="578"/>
      <c r="N235" s="578"/>
      <c r="O235" s="578"/>
      <c r="P235" s="578"/>
      <c r="Q235" s="578"/>
      <c r="R235" s="578"/>
      <c r="S235" s="578"/>
      <c r="T235" s="578"/>
      <c r="U235" s="578"/>
      <c r="V235" s="578"/>
      <c r="W235" s="578"/>
      <c r="X235" s="578"/>
      <c r="Y235" s="578"/>
      <c r="Z235" s="578"/>
      <c r="AA235" s="579"/>
      <c r="AB235" s="580"/>
      <c r="AC235" s="581"/>
      <c r="AD235" s="582"/>
      <c r="AE235" s="583"/>
      <c r="AF235" s="584"/>
      <c r="AG235" s="553">
        <v>0</v>
      </c>
      <c r="AH235" s="554"/>
      <c r="AI235" s="555" t="e">
        <v>#N/A</v>
      </c>
      <c r="AJ235" s="556"/>
      <c r="AK235" s="556"/>
      <c r="AL235" s="556"/>
      <c r="AM235" s="556"/>
      <c r="AN235" s="556"/>
      <c r="AO235" s="556"/>
      <c r="AP235" s="556"/>
      <c r="AQ235" s="556"/>
      <c r="AR235" s="556"/>
      <c r="AS235" s="556"/>
      <c r="AT235" s="556"/>
      <c r="AU235" s="556"/>
      <c r="AV235" s="557"/>
      <c r="AW235" s="558">
        <v>0</v>
      </c>
      <c r="AX235" s="559"/>
      <c r="AY235" s="560"/>
      <c r="AZ235" s="585"/>
      <c r="BA235" s="586"/>
      <c r="BB235" s="587"/>
      <c r="BC235" s="558">
        <v>0</v>
      </c>
      <c r="BD235" s="559"/>
      <c r="BE235" s="560"/>
      <c r="BF235" s="558">
        <v>182.49</v>
      </c>
      <c r="BG235" s="559"/>
      <c r="BH235" s="560"/>
      <c r="BI235" s="564">
        <v>0</v>
      </c>
      <c r="BJ235" s="565"/>
      <c r="BK235" s="565"/>
      <c r="BL235" s="566"/>
      <c r="BM235" s="567" t="s">
        <v>932</v>
      </c>
      <c r="BN235" s="567"/>
      <c r="BO235" s="567"/>
      <c r="BP235" s="567"/>
      <c r="BQ235" s="568" t="s">
        <v>932</v>
      </c>
      <c r="BR235" s="568"/>
      <c r="BS235" s="568"/>
      <c r="BT235" s="567" t="s">
        <v>932</v>
      </c>
      <c r="BU235" s="567"/>
      <c r="BV235" s="567"/>
      <c r="BW235" s="567"/>
      <c r="BX235" s="568" t="s">
        <v>932</v>
      </c>
      <c r="BY235" s="568"/>
      <c r="BZ235" s="568"/>
      <c r="CA235" s="567" t="s">
        <v>932</v>
      </c>
      <c r="CB235" s="567"/>
      <c r="CC235" s="567"/>
      <c r="CD235" s="567"/>
      <c r="CE235" s="568">
        <v>1</v>
      </c>
      <c r="CF235" s="568"/>
      <c r="CG235" s="568"/>
      <c r="CH235" s="567" t="s">
        <v>932</v>
      </c>
      <c r="CI235" s="567"/>
      <c r="CJ235" s="567"/>
      <c r="CK235" s="567"/>
      <c r="CL235" s="568" t="s">
        <v>932</v>
      </c>
      <c r="CM235" s="568"/>
      <c r="CN235" s="568"/>
    </row>
    <row r="236" hidden="1" customHeight="1" spans="1:92">
      <c r="A236" s="569"/>
      <c r="B236" s="570"/>
      <c r="C236" s="571"/>
      <c r="D236" s="572"/>
      <c r="E236" s="573"/>
      <c r="F236" s="574"/>
      <c r="G236" s="575"/>
      <c r="H236" s="576"/>
      <c r="I236" s="577"/>
      <c r="J236" s="578"/>
      <c r="K236" s="578"/>
      <c r="L236" s="578"/>
      <c r="M236" s="578"/>
      <c r="N236" s="578"/>
      <c r="O236" s="578"/>
      <c r="P236" s="578"/>
      <c r="Q236" s="578"/>
      <c r="R236" s="578"/>
      <c r="S236" s="578"/>
      <c r="T236" s="578"/>
      <c r="U236" s="578"/>
      <c r="V236" s="578"/>
      <c r="W236" s="578"/>
      <c r="X236" s="578"/>
      <c r="Y236" s="578"/>
      <c r="Z236" s="578"/>
      <c r="AA236" s="579"/>
      <c r="AB236" s="580"/>
      <c r="AC236" s="581"/>
      <c r="AD236" s="582"/>
      <c r="AE236" s="583"/>
      <c r="AF236" s="584"/>
      <c r="AG236" s="553">
        <v>0</v>
      </c>
      <c r="AH236" s="554"/>
      <c r="AI236" s="555" t="e">
        <v>#N/A</v>
      </c>
      <c r="AJ236" s="556"/>
      <c r="AK236" s="556"/>
      <c r="AL236" s="556"/>
      <c r="AM236" s="556"/>
      <c r="AN236" s="556"/>
      <c r="AO236" s="556"/>
      <c r="AP236" s="556"/>
      <c r="AQ236" s="556"/>
      <c r="AR236" s="556"/>
      <c r="AS236" s="556"/>
      <c r="AT236" s="556"/>
      <c r="AU236" s="556"/>
      <c r="AV236" s="557"/>
      <c r="AW236" s="558">
        <v>0</v>
      </c>
      <c r="AX236" s="559"/>
      <c r="AY236" s="560"/>
      <c r="AZ236" s="585"/>
      <c r="BA236" s="586"/>
      <c r="BB236" s="587"/>
      <c r="BC236" s="558">
        <v>0</v>
      </c>
      <c r="BD236" s="559"/>
      <c r="BE236" s="560"/>
      <c r="BF236" s="558">
        <v>182.49</v>
      </c>
      <c r="BG236" s="559"/>
      <c r="BH236" s="560"/>
      <c r="BI236" s="564">
        <v>0</v>
      </c>
      <c r="BJ236" s="565"/>
      <c r="BK236" s="565"/>
      <c r="BL236" s="566"/>
      <c r="BM236" s="567" t="s">
        <v>932</v>
      </c>
      <c r="BN236" s="567"/>
      <c r="BO236" s="567"/>
      <c r="BP236" s="567"/>
      <c r="BQ236" s="568" t="s">
        <v>932</v>
      </c>
      <c r="BR236" s="568"/>
      <c r="BS236" s="568"/>
      <c r="BT236" s="567" t="s">
        <v>932</v>
      </c>
      <c r="BU236" s="567"/>
      <c r="BV236" s="567"/>
      <c r="BW236" s="567"/>
      <c r="BX236" s="568" t="s">
        <v>932</v>
      </c>
      <c r="BY236" s="568"/>
      <c r="BZ236" s="568"/>
      <c r="CA236" s="567" t="s">
        <v>932</v>
      </c>
      <c r="CB236" s="567"/>
      <c r="CC236" s="567"/>
      <c r="CD236" s="567"/>
      <c r="CE236" s="568">
        <v>1</v>
      </c>
      <c r="CF236" s="568"/>
      <c r="CG236" s="568"/>
      <c r="CH236" s="567" t="s">
        <v>932</v>
      </c>
      <c r="CI236" s="567"/>
      <c r="CJ236" s="567"/>
      <c r="CK236" s="567"/>
      <c r="CL236" s="568" t="s">
        <v>932</v>
      </c>
      <c r="CM236" s="568"/>
      <c r="CN236" s="568"/>
    </row>
    <row r="237" hidden="1" customHeight="1" spans="1:92">
      <c r="A237" s="569"/>
      <c r="B237" s="570"/>
      <c r="C237" s="571"/>
      <c r="D237" s="572"/>
      <c r="E237" s="573"/>
      <c r="F237" s="574"/>
      <c r="G237" s="575"/>
      <c r="H237" s="576"/>
      <c r="I237" s="577"/>
      <c r="J237" s="578"/>
      <c r="K237" s="578"/>
      <c r="L237" s="578"/>
      <c r="M237" s="578"/>
      <c r="N237" s="578"/>
      <c r="O237" s="578"/>
      <c r="P237" s="578"/>
      <c r="Q237" s="578"/>
      <c r="R237" s="578"/>
      <c r="S237" s="578"/>
      <c r="T237" s="578"/>
      <c r="U237" s="578"/>
      <c r="V237" s="578"/>
      <c r="W237" s="578"/>
      <c r="X237" s="578"/>
      <c r="Y237" s="578"/>
      <c r="Z237" s="578"/>
      <c r="AA237" s="579"/>
      <c r="AB237" s="580"/>
      <c r="AC237" s="581"/>
      <c r="AD237" s="582"/>
      <c r="AE237" s="583"/>
      <c r="AF237" s="584"/>
      <c r="AG237" s="553">
        <v>0</v>
      </c>
      <c r="AH237" s="554"/>
      <c r="AI237" s="555" t="e">
        <v>#N/A</v>
      </c>
      <c r="AJ237" s="556"/>
      <c r="AK237" s="556"/>
      <c r="AL237" s="556"/>
      <c r="AM237" s="556"/>
      <c r="AN237" s="556"/>
      <c r="AO237" s="556"/>
      <c r="AP237" s="556"/>
      <c r="AQ237" s="556"/>
      <c r="AR237" s="556"/>
      <c r="AS237" s="556"/>
      <c r="AT237" s="556"/>
      <c r="AU237" s="556"/>
      <c r="AV237" s="557"/>
      <c r="AW237" s="558">
        <v>0</v>
      </c>
      <c r="AX237" s="559"/>
      <c r="AY237" s="560"/>
      <c r="AZ237" s="585"/>
      <c r="BA237" s="586"/>
      <c r="BB237" s="587"/>
      <c r="BC237" s="558">
        <v>0</v>
      </c>
      <c r="BD237" s="559"/>
      <c r="BE237" s="560"/>
      <c r="BF237" s="558">
        <v>182.49</v>
      </c>
      <c r="BG237" s="559"/>
      <c r="BH237" s="560"/>
      <c r="BI237" s="564">
        <v>0</v>
      </c>
      <c r="BJ237" s="565"/>
      <c r="BK237" s="565"/>
      <c r="BL237" s="566"/>
      <c r="BM237" s="567" t="s">
        <v>932</v>
      </c>
      <c r="BN237" s="567"/>
      <c r="BO237" s="567"/>
      <c r="BP237" s="567"/>
      <c r="BQ237" s="568" t="s">
        <v>932</v>
      </c>
      <c r="BR237" s="568"/>
      <c r="BS237" s="568"/>
      <c r="BT237" s="567" t="s">
        <v>932</v>
      </c>
      <c r="BU237" s="567"/>
      <c r="BV237" s="567"/>
      <c r="BW237" s="567"/>
      <c r="BX237" s="568" t="s">
        <v>932</v>
      </c>
      <c r="BY237" s="568"/>
      <c r="BZ237" s="568"/>
      <c r="CA237" s="567" t="s">
        <v>932</v>
      </c>
      <c r="CB237" s="567"/>
      <c r="CC237" s="567"/>
      <c r="CD237" s="567"/>
      <c r="CE237" s="568">
        <v>1</v>
      </c>
      <c r="CF237" s="568"/>
      <c r="CG237" s="568"/>
      <c r="CH237" s="567" t="s">
        <v>932</v>
      </c>
      <c r="CI237" s="567"/>
      <c r="CJ237" s="567"/>
      <c r="CK237" s="567"/>
      <c r="CL237" s="568" t="s">
        <v>932</v>
      </c>
      <c r="CM237" s="568"/>
      <c r="CN237" s="568"/>
    </row>
    <row r="238" hidden="1" customHeight="1" spans="1:92">
      <c r="A238" s="569"/>
      <c r="B238" s="570"/>
      <c r="C238" s="571"/>
      <c r="D238" s="572"/>
      <c r="E238" s="573"/>
      <c r="F238" s="574"/>
      <c r="G238" s="575"/>
      <c r="H238" s="576"/>
      <c r="I238" s="577"/>
      <c r="J238" s="578"/>
      <c r="K238" s="578"/>
      <c r="L238" s="578"/>
      <c r="M238" s="578"/>
      <c r="N238" s="578"/>
      <c r="O238" s="578"/>
      <c r="P238" s="578"/>
      <c r="Q238" s="578"/>
      <c r="R238" s="578"/>
      <c r="S238" s="578"/>
      <c r="T238" s="578"/>
      <c r="U238" s="578"/>
      <c r="V238" s="578"/>
      <c r="W238" s="578"/>
      <c r="X238" s="578"/>
      <c r="Y238" s="578"/>
      <c r="Z238" s="578"/>
      <c r="AA238" s="579"/>
      <c r="AB238" s="580"/>
      <c r="AC238" s="581"/>
      <c r="AD238" s="582"/>
      <c r="AE238" s="583"/>
      <c r="AF238" s="584"/>
      <c r="AG238" s="553">
        <v>0</v>
      </c>
      <c r="AH238" s="554"/>
      <c r="AI238" s="555" t="e">
        <v>#N/A</v>
      </c>
      <c r="AJ238" s="556"/>
      <c r="AK238" s="556"/>
      <c r="AL238" s="556"/>
      <c r="AM238" s="556"/>
      <c r="AN238" s="556"/>
      <c r="AO238" s="556"/>
      <c r="AP238" s="556"/>
      <c r="AQ238" s="556"/>
      <c r="AR238" s="556"/>
      <c r="AS238" s="556"/>
      <c r="AT238" s="556"/>
      <c r="AU238" s="556"/>
      <c r="AV238" s="557"/>
      <c r="AW238" s="558">
        <v>0</v>
      </c>
      <c r="AX238" s="559"/>
      <c r="AY238" s="560"/>
      <c r="AZ238" s="585"/>
      <c r="BA238" s="586"/>
      <c r="BB238" s="587"/>
      <c r="BC238" s="558">
        <v>0</v>
      </c>
      <c r="BD238" s="559"/>
      <c r="BE238" s="560"/>
      <c r="BF238" s="558">
        <v>182.49</v>
      </c>
      <c r="BG238" s="559"/>
      <c r="BH238" s="560"/>
      <c r="BI238" s="564">
        <v>0</v>
      </c>
      <c r="BJ238" s="565"/>
      <c r="BK238" s="565"/>
      <c r="BL238" s="566"/>
      <c r="BM238" s="567" t="s">
        <v>932</v>
      </c>
      <c r="BN238" s="567"/>
      <c r="BO238" s="567"/>
      <c r="BP238" s="567"/>
      <c r="BQ238" s="568" t="s">
        <v>932</v>
      </c>
      <c r="BR238" s="568"/>
      <c r="BS238" s="568"/>
      <c r="BT238" s="567" t="s">
        <v>932</v>
      </c>
      <c r="BU238" s="567"/>
      <c r="BV238" s="567"/>
      <c r="BW238" s="567"/>
      <c r="BX238" s="568" t="s">
        <v>932</v>
      </c>
      <c r="BY238" s="568"/>
      <c r="BZ238" s="568"/>
      <c r="CA238" s="567" t="s">
        <v>932</v>
      </c>
      <c r="CB238" s="567"/>
      <c r="CC238" s="567"/>
      <c r="CD238" s="567"/>
      <c r="CE238" s="568">
        <v>1</v>
      </c>
      <c r="CF238" s="568"/>
      <c r="CG238" s="568"/>
      <c r="CH238" s="567" t="s">
        <v>932</v>
      </c>
      <c r="CI238" s="567"/>
      <c r="CJ238" s="567"/>
      <c r="CK238" s="567"/>
      <c r="CL238" s="568" t="s">
        <v>932</v>
      </c>
      <c r="CM238" s="568"/>
      <c r="CN238" s="568"/>
    </row>
    <row r="239" hidden="1" customHeight="1" spans="1:92">
      <c r="A239" s="588"/>
      <c r="B239" s="589"/>
      <c r="C239" s="590"/>
      <c r="D239" s="591"/>
      <c r="E239" s="592"/>
      <c r="F239" s="593"/>
      <c r="G239" s="594"/>
      <c r="H239" s="595"/>
      <c r="I239" s="596"/>
      <c r="J239" s="597"/>
      <c r="K239" s="597"/>
      <c r="L239" s="597"/>
      <c r="M239" s="597"/>
      <c r="N239" s="597"/>
      <c r="O239" s="597"/>
      <c r="P239" s="597"/>
      <c r="Q239" s="597"/>
      <c r="R239" s="597"/>
      <c r="S239" s="597"/>
      <c r="T239" s="597"/>
      <c r="U239" s="597"/>
      <c r="V239" s="597"/>
      <c r="W239" s="597"/>
      <c r="X239" s="597"/>
      <c r="Y239" s="597"/>
      <c r="Z239" s="597"/>
      <c r="AA239" s="598"/>
      <c r="AB239" s="599"/>
      <c r="AC239" s="600"/>
      <c r="AD239" s="601"/>
      <c r="AE239" s="602"/>
      <c r="AF239" s="603"/>
      <c r="AG239" s="553">
        <v>0</v>
      </c>
      <c r="AH239" s="554"/>
      <c r="AI239" s="555" t="e">
        <v>#N/A</v>
      </c>
      <c r="AJ239" s="556"/>
      <c r="AK239" s="556"/>
      <c r="AL239" s="556"/>
      <c r="AM239" s="556"/>
      <c r="AN239" s="556"/>
      <c r="AO239" s="556"/>
      <c r="AP239" s="556"/>
      <c r="AQ239" s="556"/>
      <c r="AR239" s="556"/>
      <c r="AS239" s="556"/>
      <c r="AT239" s="556"/>
      <c r="AU239" s="556"/>
      <c r="AV239" s="557"/>
      <c r="AW239" s="558">
        <v>0</v>
      </c>
      <c r="AX239" s="559"/>
      <c r="AY239" s="560"/>
      <c r="AZ239" s="604"/>
      <c r="BA239" s="605"/>
      <c r="BB239" s="606"/>
      <c r="BC239" s="558">
        <v>0</v>
      </c>
      <c r="BD239" s="559"/>
      <c r="BE239" s="560"/>
      <c r="BF239" s="558">
        <v>182.49</v>
      </c>
      <c r="BG239" s="559"/>
      <c r="BH239" s="560"/>
      <c r="BI239" s="564">
        <v>0</v>
      </c>
      <c r="BJ239" s="565"/>
      <c r="BK239" s="565"/>
      <c r="BL239" s="566"/>
      <c r="BM239" s="567" t="s">
        <v>932</v>
      </c>
      <c r="BN239" s="567"/>
      <c r="BO239" s="567"/>
      <c r="BP239" s="567"/>
      <c r="BQ239" s="568" t="s">
        <v>932</v>
      </c>
      <c r="BR239" s="568"/>
      <c r="BS239" s="568"/>
      <c r="BT239" s="567" t="s">
        <v>932</v>
      </c>
      <c r="BU239" s="567"/>
      <c r="BV239" s="567"/>
      <c r="BW239" s="567"/>
      <c r="BX239" s="568" t="s">
        <v>932</v>
      </c>
      <c r="BY239" s="568"/>
      <c r="BZ239" s="568"/>
      <c r="CA239" s="567" t="s">
        <v>932</v>
      </c>
      <c r="CB239" s="567"/>
      <c r="CC239" s="567"/>
      <c r="CD239" s="567"/>
      <c r="CE239" s="568">
        <v>1</v>
      </c>
      <c r="CF239" s="568"/>
      <c r="CG239" s="568"/>
      <c r="CH239" s="567" t="s">
        <v>932</v>
      </c>
      <c r="CI239" s="567"/>
      <c r="CJ239" s="567"/>
      <c r="CK239" s="567"/>
      <c r="CL239" s="568" t="s">
        <v>932</v>
      </c>
      <c r="CM239" s="568"/>
      <c r="CN239" s="568"/>
    </row>
    <row r="240" hidden="1" customHeight="1" spans="1:92">
      <c r="A240" s="540" t="s">
        <v>970</v>
      </c>
      <c r="B240" s="541"/>
      <c r="C240" s="89"/>
      <c r="D240" s="91"/>
      <c r="E240" s="90"/>
      <c r="F240" s="542">
        <v>407819</v>
      </c>
      <c r="G240" s="543"/>
      <c r="H240" s="544"/>
      <c r="I240" s="545" t="s">
        <v>100</v>
      </c>
      <c r="J240" s="546"/>
      <c r="K240" s="546"/>
      <c r="L240" s="546"/>
      <c r="M240" s="546"/>
      <c r="N240" s="546"/>
      <c r="O240" s="546"/>
      <c r="P240" s="546"/>
      <c r="Q240" s="546"/>
      <c r="R240" s="546"/>
      <c r="S240" s="546"/>
      <c r="T240" s="546"/>
      <c r="U240" s="546"/>
      <c r="V240" s="546"/>
      <c r="W240" s="546"/>
      <c r="X240" s="546"/>
      <c r="Y240" s="546"/>
      <c r="Z240" s="546"/>
      <c r="AA240" s="547"/>
      <c r="AB240" s="548" t="s">
        <v>101</v>
      </c>
      <c r="AC240" s="549"/>
      <c r="AD240" s="550">
        <v>262.45</v>
      </c>
      <c r="AE240" s="551"/>
      <c r="AF240" s="552"/>
      <c r="AG240" s="553">
        <v>0</v>
      </c>
      <c r="AH240" s="554"/>
      <c r="AI240" s="555" t="e">
        <v>#N/A</v>
      </c>
      <c r="AJ240" s="556"/>
      <c r="AK240" s="556"/>
      <c r="AL240" s="556"/>
      <c r="AM240" s="556"/>
      <c r="AN240" s="556"/>
      <c r="AO240" s="556"/>
      <c r="AP240" s="556"/>
      <c r="AQ240" s="556"/>
      <c r="AR240" s="556"/>
      <c r="AS240" s="556"/>
      <c r="AT240" s="556"/>
      <c r="AU240" s="556"/>
      <c r="AV240" s="557"/>
      <c r="AW240" s="558">
        <v>0</v>
      </c>
      <c r="AX240" s="559"/>
      <c r="AY240" s="560"/>
      <c r="AZ240" s="561">
        <v>1</v>
      </c>
      <c r="BA240" s="562"/>
      <c r="BB240" s="563"/>
      <c r="BC240" s="558">
        <v>0</v>
      </c>
      <c r="BD240" s="559"/>
      <c r="BE240" s="560"/>
      <c r="BF240" s="558">
        <v>182.49</v>
      </c>
      <c r="BG240" s="559"/>
      <c r="BH240" s="560"/>
      <c r="BI240" s="564">
        <v>0</v>
      </c>
      <c r="BJ240" s="565"/>
      <c r="BK240" s="565"/>
      <c r="BL240" s="566"/>
      <c r="BM240" s="567" t="s">
        <v>932</v>
      </c>
      <c r="BN240" s="567"/>
      <c r="BO240" s="567"/>
      <c r="BP240" s="567"/>
      <c r="BQ240" s="568" t="s">
        <v>932</v>
      </c>
      <c r="BR240" s="568"/>
      <c r="BS240" s="568"/>
      <c r="BT240" s="567" t="s">
        <v>932</v>
      </c>
      <c r="BU240" s="567"/>
      <c r="BV240" s="567"/>
      <c r="BW240" s="567"/>
      <c r="BX240" s="568" t="s">
        <v>932</v>
      </c>
      <c r="BY240" s="568"/>
      <c r="BZ240" s="568"/>
      <c r="CA240" s="567" t="s">
        <v>932</v>
      </c>
      <c r="CB240" s="567"/>
      <c r="CC240" s="567"/>
      <c r="CD240" s="567"/>
      <c r="CE240" s="568">
        <v>1</v>
      </c>
      <c r="CF240" s="568"/>
      <c r="CG240" s="568"/>
      <c r="CH240" s="567" t="s">
        <v>932</v>
      </c>
      <c r="CI240" s="567"/>
      <c r="CJ240" s="567"/>
      <c r="CK240" s="567"/>
      <c r="CL240" s="568" t="s">
        <v>932</v>
      </c>
      <c r="CM240" s="568"/>
      <c r="CN240" s="568"/>
    </row>
    <row r="241" hidden="1" customHeight="1" spans="1:92">
      <c r="A241" s="569"/>
      <c r="B241" s="570"/>
      <c r="C241" s="571"/>
      <c r="D241" s="572"/>
      <c r="E241" s="573"/>
      <c r="F241" s="574"/>
      <c r="G241" s="575"/>
      <c r="H241" s="576"/>
      <c r="I241" s="577"/>
      <c r="J241" s="578"/>
      <c r="K241" s="578"/>
      <c r="L241" s="578"/>
      <c r="M241" s="578"/>
      <c r="N241" s="578"/>
      <c r="O241" s="578"/>
      <c r="P241" s="578"/>
      <c r="Q241" s="578"/>
      <c r="R241" s="578"/>
      <c r="S241" s="578"/>
      <c r="T241" s="578"/>
      <c r="U241" s="578"/>
      <c r="V241" s="578"/>
      <c r="W241" s="578"/>
      <c r="X241" s="578"/>
      <c r="Y241" s="578"/>
      <c r="Z241" s="578"/>
      <c r="AA241" s="579"/>
      <c r="AB241" s="580"/>
      <c r="AC241" s="581"/>
      <c r="AD241" s="582"/>
      <c r="AE241" s="583"/>
      <c r="AF241" s="584"/>
      <c r="AG241" s="553">
        <v>0</v>
      </c>
      <c r="AH241" s="554"/>
      <c r="AI241" s="555" t="e">
        <v>#N/A</v>
      </c>
      <c r="AJ241" s="556"/>
      <c r="AK241" s="556"/>
      <c r="AL241" s="556"/>
      <c r="AM241" s="556"/>
      <c r="AN241" s="556"/>
      <c r="AO241" s="556"/>
      <c r="AP241" s="556"/>
      <c r="AQ241" s="556"/>
      <c r="AR241" s="556"/>
      <c r="AS241" s="556"/>
      <c r="AT241" s="556"/>
      <c r="AU241" s="556"/>
      <c r="AV241" s="557"/>
      <c r="AW241" s="558">
        <v>0</v>
      </c>
      <c r="AX241" s="559"/>
      <c r="AY241" s="560"/>
      <c r="AZ241" s="585"/>
      <c r="BA241" s="586"/>
      <c r="BB241" s="587"/>
      <c r="BC241" s="558">
        <v>0</v>
      </c>
      <c r="BD241" s="559"/>
      <c r="BE241" s="560"/>
      <c r="BF241" s="558">
        <v>182.49</v>
      </c>
      <c r="BG241" s="559"/>
      <c r="BH241" s="560"/>
      <c r="BI241" s="564">
        <v>0</v>
      </c>
      <c r="BJ241" s="565"/>
      <c r="BK241" s="565"/>
      <c r="BL241" s="566"/>
      <c r="BM241" s="567" t="s">
        <v>932</v>
      </c>
      <c r="BN241" s="567"/>
      <c r="BO241" s="567"/>
      <c r="BP241" s="567"/>
      <c r="BQ241" s="568" t="s">
        <v>932</v>
      </c>
      <c r="BR241" s="568"/>
      <c r="BS241" s="568"/>
      <c r="BT241" s="567" t="s">
        <v>932</v>
      </c>
      <c r="BU241" s="567"/>
      <c r="BV241" s="567"/>
      <c r="BW241" s="567"/>
      <c r="BX241" s="568" t="s">
        <v>932</v>
      </c>
      <c r="BY241" s="568"/>
      <c r="BZ241" s="568"/>
      <c r="CA241" s="567" t="s">
        <v>932</v>
      </c>
      <c r="CB241" s="567"/>
      <c r="CC241" s="567"/>
      <c r="CD241" s="567"/>
      <c r="CE241" s="568">
        <v>1</v>
      </c>
      <c r="CF241" s="568"/>
      <c r="CG241" s="568"/>
      <c r="CH241" s="567" t="s">
        <v>932</v>
      </c>
      <c r="CI241" s="567"/>
      <c r="CJ241" s="567"/>
      <c r="CK241" s="567"/>
      <c r="CL241" s="568" t="s">
        <v>932</v>
      </c>
      <c r="CM241" s="568"/>
      <c r="CN241" s="568"/>
    </row>
    <row r="242" hidden="1" customHeight="1" spans="1:92">
      <c r="A242" s="569"/>
      <c r="B242" s="570"/>
      <c r="C242" s="571"/>
      <c r="D242" s="572"/>
      <c r="E242" s="573"/>
      <c r="F242" s="574"/>
      <c r="G242" s="575"/>
      <c r="H242" s="576"/>
      <c r="I242" s="577"/>
      <c r="J242" s="578"/>
      <c r="K242" s="578"/>
      <c r="L242" s="578"/>
      <c r="M242" s="578"/>
      <c r="N242" s="578"/>
      <c r="O242" s="578"/>
      <c r="P242" s="578"/>
      <c r="Q242" s="578"/>
      <c r="R242" s="578"/>
      <c r="S242" s="578"/>
      <c r="T242" s="578"/>
      <c r="U242" s="578"/>
      <c r="V242" s="578"/>
      <c r="W242" s="578"/>
      <c r="X242" s="578"/>
      <c r="Y242" s="578"/>
      <c r="Z242" s="578"/>
      <c r="AA242" s="579"/>
      <c r="AB242" s="580"/>
      <c r="AC242" s="581"/>
      <c r="AD242" s="582"/>
      <c r="AE242" s="583"/>
      <c r="AF242" s="584"/>
      <c r="AG242" s="553">
        <v>0</v>
      </c>
      <c r="AH242" s="554"/>
      <c r="AI242" s="555" t="e">
        <v>#N/A</v>
      </c>
      <c r="AJ242" s="556"/>
      <c r="AK242" s="556"/>
      <c r="AL242" s="556"/>
      <c r="AM242" s="556"/>
      <c r="AN242" s="556"/>
      <c r="AO242" s="556"/>
      <c r="AP242" s="556"/>
      <c r="AQ242" s="556"/>
      <c r="AR242" s="556"/>
      <c r="AS242" s="556"/>
      <c r="AT242" s="556"/>
      <c r="AU242" s="556"/>
      <c r="AV242" s="557"/>
      <c r="AW242" s="558">
        <v>0</v>
      </c>
      <c r="AX242" s="559"/>
      <c r="AY242" s="560"/>
      <c r="AZ242" s="585"/>
      <c r="BA242" s="586"/>
      <c r="BB242" s="587"/>
      <c r="BC242" s="558">
        <v>0</v>
      </c>
      <c r="BD242" s="559"/>
      <c r="BE242" s="560"/>
      <c r="BF242" s="558">
        <v>182.49</v>
      </c>
      <c r="BG242" s="559"/>
      <c r="BH242" s="560"/>
      <c r="BI242" s="564">
        <v>0</v>
      </c>
      <c r="BJ242" s="565"/>
      <c r="BK242" s="565"/>
      <c r="BL242" s="566"/>
      <c r="BM242" s="567" t="s">
        <v>932</v>
      </c>
      <c r="BN242" s="567"/>
      <c r="BO242" s="567"/>
      <c r="BP242" s="567"/>
      <c r="BQ242" s="568" t="s">
        <v>932</v>
      </c>
      <c r="BR242" s="568"/>
      <c r="BS242" s="568"/>
      <c r="BT242" s="567" t="s">
        <v>932</v>
      </c>
      <c r="BU242" s="567"/>
      <c r="BV242" s="567"/>
      <c r="BW242" s="567"/>
      <c r="BX242" s="568" t="s">
        <v>932</v>
      </c>
      <c r="BY242" s="568"/>
      <c r="BZ242" s="568"/>
      <c r="CA242" s="567" t="s">
        <v>932</v>
      </c>
      <c r="CB242" s="567"/>
      <c r="CC242" s="567"/>
      <c r="CD242" s="567"/>
      <c r="CE242" s="568">
        <v>1</v>
      </c>
      <c r="CF242" s="568"/>
      <c r="CG242" s="568"/>
      <c r="CH242" s="567" t="s">
        <v>932</v>
      </c>
      <c r="CI242" s="567"/>
      <c r="CJ242" s="567"/>
      <c r="CK242" s="567"/>
      <c r="CL242" s="568" t="s">
        <v>932</v>
      </c>
      <c r="CM242" s="568"/>
      <c r="CN242" s="568"/>
    </row>
    <row r="243" hidden="1" customHeight="1" spans="1:92">
      <c r="A243" s="569"/>
      <c r="B243" s="570"/>
      <c r="C243" s="571"/>
      <c r="D243" s="572"/>
      <c r="E243" s="573"/>
      <c r="F243" s="574"/>
      <c r="G243" s="575"/>
      <c r="H243" s="576"/>
      <c r="I243" s="577"/>
      <c r="J243" s="578"/>
      <c r="K243" s="578"/>
      <c r="L243" s="578"/>
      <c r="M243" s="578"/>
      <c r="N243" s="578"/>
      <c r="O243" s="578"/>
      <c r="P243" s="578"/>
      <c r="Q243" s="578"/>
      <c r="R243" s="578"/>
      <c r="S243" s="578"/>
      <c r="T243" s="578"/>
      <c r="U243" s="578"/>
      <c r="V243" s="578"/>
      <c r="W243" s="578"/>
      <c r="X243" s="578"/>
      <c r="Y243" s="578"/>
      <c r="Z243" s="578"/>
      <c r="AA243" s="579"/>
      <c r="AB243" s="580"/>
      <c r="AC243" s="581"/>
      <c r="AD243" s="582"/>
      <c r="AE243" s="583"/>
      <c r="AF243" s="584"/>
      <c r="AG243" s="553">
        <v>0</v>
      </c>
      <c r="AH243" s="554"/>
      <c r="AI243" s="555" t="e">
        <v>#N/A</v>
      </c>
      <c r="AJ243" s="556"/>
      <c r="AK243" s="556"/>
      <c r="AL243" s="556"/>
      <c r="AM243" s="556"/>
      <c r="AN243" s="556"/>
      <c r="AO243" s="556"/>
      <c r="AP243" s="556"/>
      <c r="AQ243" s="556"/>
      <c r="AR243" s="556"/>
      <c r="AS243" s="556"/>
      <c r="AT243" s="556"/>
      <c r="AU243" s="556"/>
      <c r="AV243" s="557"/>
      <c r="AW243" s="558">
        <v>0</v>
      </c>
      <c r="AX243" s="559"/>
      <c r="AY243" s="560"/>
      <c r="AZ243" s="585"/>
      <c r="BA243" s="586"/>
      <c r="BB243" s="587"/>
      <c r="BC243" s="558">
        <v>0</v>
      </c>
      <c r="BD243" s="559"/>
      <c r="BE243" s="560"/>
      <c r="BF243" s="558">
        <v>182.49</v>
      </c>
      <c r="BG243" s="559"/>
      <c r="BH243" s="560"/>
      <c r="BI243" s="564">
        <v>0</v>
      </c>
      <c r="BJ243" s="565"/>
      <c r="BK243" s="565"/>
      <c r="BL243" s="566"/>
      <c r="BM243" s="567" t="s">
        <v>932</v>
      </c>
      <c r="BN243" s="567"/>
      <c r="BO243" s="567"/>
      <c r="BP243" s="567"/>
      <c r="BQ243" s="568" t="s">
        <v>932</v>
      </c>
      <c r="BR243" s="568"/>
      <c r="BS243" s="568"/>
      <c r="BT243" s="567" t="s">
        <v>932</v>
      </c>
      <c r="BU243" s="567"/>
      <c r="BV243" s="567"/>
      <c r="BW243" s="567"/>
      <c r="BX243" s="568" t="s">
        <v>932</v>
      </c>
      <c r="BY243" s="568"/>
      <c r="BZ243" s="568"/>
      <c r="CA243" s="567" t="s">
        <v>932</v>
      </c>
      <c r="CB243" s="567"/>
      <c r="CC243" s="567"/>
      <c r="CD243" s="567"/>
      <c r="CE243" s="568">
        <v>1</v>
      </c>
      <c r="CF243" s="568"/>
      <c r="CG243" s="568"/>
      <c r="CH243" s="567" t="s">
        <v>932</v>
      </c>
      <c r="CI243" s="567"/>
      <c r="CJ243" s="567"/>
      <c r="CK243" s="567"/>
      <c r="CL243" s="568" t="s">
        <v>932</v>
      </c>
      <c r="CM243" s="568"/>
      <c r="CN243" s="568"/>
    </row>
    <row r="244" hidden="1" customHeight="1" spans="1:92">
      <c r="A244" s="569"/>
      <c r="B244" s="570"/>
      <c r="C244" s="571"/>
      <c r="D244" s="572"/>
      <c r="E244" s="573"/>
      <c r="F244" s="574"/>
      <c r="G244" s="575"/>
      <c r="H244" s="576"/>
      <c r="I244" s="577"/>
      <c r="J244" s="578"/>
      <c r="K244" s="578"/>
      <c r="L244" s="578"/>
      <c r="M244" s="578"/>
      <c r="N244" s="578"/>
      <c r="O244" s="578"/>
      <c r="P244" s="578"/>
      <c r="Q244" s="578"/>
      <c r="R244" s="578"/>
      <c r="S244" s="578"/>
      <c r="T244" s="578"/>
      <c r="U244" s="578"/>
      <c r="V244" s="578"/>
      <c r="W244" s="578"/>
      <c r="X244" s="578"/>
      <c r="Y244" s="578"/>
      <c r="Z244" s="578"/>
      <c r="AA244" s="579"/>
      <c r="AB244" s="580"/>
      <c r="AC244" s="581"/>
      <c r="AD244" s="582"/>
      <c r="AE244" s="583"/>
      <c r="AF244" s="584"/>
      <c r="AG244" s="553">
        <v>0</v>
      </c>
      <c r="AH244" s="554"/>
      <c r="AI244" s="555" t="e">
        <v>#N/A</v>
      </c>
      <c r="AJ244" s="556"/>
      <c r="AK244" s="556"/>
      <c r="AL244" s="556"/>
      <c r="AM244" s="556"/>
      <c r="AN244" s="556"/>
      <c r="AO244" s="556"/>
      <c r="AP244" s="556"/>
      <c r="AQ244" s="556"/>
      <c r="AR244" s="556"/>
      <c r="AS244" s="556"/>
      <c r="AT244" s="556"/>
      <c r="AU244" s="556"/>
      <c r="AV244" s="557"/>
      <c r="AW244" s="558">
        <v>0</v>
      </c>
      <c r="AX244" s="559"/>
      <c r="AY244" s="560"/>
      <c r="AZ244" s="585"/>
      <c r="BA244" s="586"/>
      <c r="BB244" s="587"/>
      <c r="BC244" s="558">
        <v>0</v>
      </c>
      <c r="BD244" s="559"/>
      <c r="BE244" s="560"/>
      <c r="BF244" s="558">
        <v>182.49</v>
      </c>
      <c r="BG244" s="559"/>
      <c r="BH244" s="560"/>
      <c r="BI244" s="564">
        <v>0</v>
      </c>
      <c r="BJ244" s="565"/>
      <c r="BK244" s="565"/>
      <c r="BL244" s="566"/>
      <c r="BM244" s="567" t="s">
        <v>932</v>
      </c>
      <c r="BN244" s="567"/>
      <c r="BO244" s="567"/>
      <c r="BP244" s="567"/>
      <c r="BQ244" s="568" t="s">
        <v>932</v>
      </c>
      <c r="BR244" s="568"/>
      <c r="BS244" s="568"/>
      <c r="BT244" s="567" t="s">
        <v>932</v>
      </c>
      <c r="BU244" s="567"/>
      <c r="BV244" s="567"/>
      <c r="BW244" s="567"/>
      <c r="BX244" s="568" t="s">
        <v>932</v>
      </c>
      <c r="BY244" s="568"/>
      <c r="BZ244" s="568"/>
      <c r="CA244" s="567" t="s">
        <v>932</v>
      </c>
      <c r="CB244" s="567"/>
      <c r="CC244" s="567"/>
      <c r="CD244" s="567"/>
      <c r="CE244" s="568">
        <v>1</v>
      </c>
      <c r="CF244" s="568"/>
      <c r="CG244" s="568"/>
      <c r="CH244" s="567" t="s">
        <v>932</v>
      </c>
      <c r="CI244" s="567"/>
      <c r="CJ244" s="567"/>
      <c r="CK244" s="567"/>
      <c r="CL244" s="568" t="s">
        <v>932</v>
      </c>
      <c r="CM244" s="568"/>
      <c r="CN244" s="568"/>
    </row>
    <row r="245" hidden="1" customHeight="1" spans="1:92">
      <c r="A245" s="569"/>
      <c r="B245" s="570"/>
      <c r="C245" s="571"/>
      <c r="D245" s="572"/>
      <c r="E245" s="573"/>
      <c r="F245" s="574"/>
      <c r="G245" s="575"/>
      <c r="H245" s="576"/>
      <c r="I245" s="577"/>
      <c r="J245" s="578"/>
      <c r="K245" s="578"/>
      <c r="L245" s="578"/>
      <c r="M245" s="578"/>
      <c r="N245" s="578"/>
      <c r="O245" s="578"/>
      <c r="P245" s="578"/>
      <c r="Q245" s="578"/>
      <c r="R245" s="578"/>
      <c r="S245" s="578"/>
      <c r="T245" s="578"/>
      <c r="U245" s="578"/>
      <c r="V245" s="578"/>
      <c r="W245" s="578"/>
      <c r="X245" s="578"/>
      <c r="Y245" s="578"/>
      <c r="Z245" s="578"/>
      <c r="AA245" s="579"/>
      <c r="AB245" s="580"/>
      <c r="AC245" s="581"/>
      <c r="AD245" s="582"/>
      <c r="AE245" s="583"/>
      <c r="AF245" s="584"/>
      <c r="AG245" s="553">
        <v>0</v>
      </c>
      <c r="AH245" s="554"/>
      <c r="AI245" s="555" t="e">
        <v>#N/A</v>
      </c>
      <c r="AJ245" s="556"/>
      <c r="AK245" s="556"/>
      <c r="AL245" s="556"/>
      <c r="AM245" s="556"/>
      <c r="AN245" s="556"/>
      <c r="AO245" s="556"/>
      <c r="AP245" s="556"/>
      <c r="AQ245" s="556"/>
      <c r="AR245" s="556"/>
      <c r="AS245" s="556"/>
      <c r="AT245" s="556"/>
      <c r="AU245" s="556"/>
      <c r="AV245" s="557"/>
      <c r="AW245" s="558">
        <v>0</v>
      </c>
      <c r="AX245" s="559"/>
      <c r="AY245" s="560"/>
      <c r="AZ245" s="585"/>
      <c r="BA245" s="586"/>
      <c r="BB245" s="587"/>
      <c r="BC245" s="558">
        <v>0</v>
      </c>
      <c r="BD245" s="559"/>
      <c r="BE245" s="560"/>
      <c r="BF245" s="558">
        <v>182.49</v>
      </c>
      <c r="BG245" s="559"/>
      <c r="BH245" s="560"/>
      <c r="BI245" s="564">
        <v>0</v>
      </c>
      <c r="BJ245" s="565"/>
      <c r="BK245" s="565"/>
      <c r="BL245" s="566"/>
      <c r="BM245" s="567" t="s">
        <v>932</v>
      </c>
      <c r="BN245" s="567"/>
      <c r="BO245" s="567"/>
      <c r="BP245" s="567"/>
      <c r="BQ245" s="568" t="s">
        <v>932</v>
      </c>
      <c r="BR245" s="568"/>
      <c r="BS245" s="568"/>
      <c r="BT245" s="567" t="s">
        <v>932</v>
      </c>
      <c r="BU245" s="567"/>
      <c r="BV245" s="567"/>
      <c r="BW245" s="567"/>
      <c r="BX245" s="568" t="s">
        <v>932</v>
      </c>
      <c r="BY245" s="568"/>
      <c r="BZ245" s="568"/>
      <c r="CA245" s="567" t="s">
        <v>932</v>
      </c>
      <c r="CB245" s="567"/>
      <c r="CC245" s="567"/>
      <c r="CD245" s="567"/>
      <c r="CE245" s="568">
        <v>1</v>
      </c>
      <c r="CF245" s="568"/>
      <c r="CG245" s="568"/>
      <c r="CH245" s="567" t="s">
        <v>932</v>
      </c>
      <c r="CI245" s="567"/>
      <c r="CJ245" s="567"/>
      <c r="CK245" s="567"/>
      <c r="CL245" s="568" t="s">
        <v>932</v>
      </c>
      <c r="CM245" s="568"/>
      <c r="CN245" s="568"/>
    </row>
    <row r="246" hidden="1" customHeight="1" spans="1:92">
      <c r="A246" s="569"/>
      <c r="B246" s="570"/>
      <c r="C246" s="571"/>
      <c r="D246" s="572"/>
      <c r="E246" s="573"/>
      <c r="F246" s="574"/>
      <c r="G246" s="575"/>
      <c r="H246" s="576"/>
      <c r="I246" s="577"/>
      <c r="J246" s="578"/>
      <c r="K246" s="578"/>
      <c r="L246" s="578"/>
      <c r="M246" s="578"/>
      <c r="N246" s="578"/>
      <c r="O246" s="578"/>
      <c r="P246" s="578"/>
      <c r="Q246" s="578"/>
      <c r="R246" s="578"/>
      <c r="S246" s="578"/>
      <c r="T246" s="578"/>
      <c r="U246" s="578"/>
      <c r="V246" s="578"/>
      <c r="W246" s="578"/>
      <c r="X246" s="578"/>
      <c r="Y246" s="578"/>
      <c r="Z246" s="578"/>
      <c r="AA246" s="579"/>
      <c r="AB246" s="580"/>
      <c r="AC246" s="581"/>
      <c r="AD246" s="582"/>
      <c r="AE246" s="583"/>
      <c r="AF246" s="584"/>
      <c r="AG246" s="553">
        <v>0</v>
      </c>
      <c r="AH246" s="554"/>
      <c r="AI246" s="555" t="e">
        <v>#N/A</v>
      </c>
      <c r="AJ246" s="556"/>
      <c r="AK246" s="556"/>
      <c r="AL246" s="556"/>
      <c r="AM246" s="556"/>
      <c r="AN246" s="556"/>
      <c r="AO246" s="556"/>
      <c r="AP246" s="556"/>
      <c r="AQ246" s="556"/>
      <c r="AR246" s="556"/>
      <c r="AS246" s="556"/>
      <c r="AT246" s="556"/>
      <c r="AU246" s="556"/>
      <c r="AV246" s="557"/>
      <c r="AW246" s="558">
        <v>0</v>
      </c>
      <c r="AX246" s="559"/>
      <c r="AY246" s="560"/>
      <c r="AZ246" s="585"/>
      <c r="BA246" s="586"/>
      <c r="BB246" s="587"/>
      <c r="BC246" s="558">
        <v>0</v>
      </c>
      <c r="BD246" s="559"/>
      <c r="BE246" s="560"/>
      <c r="BF246" s="558">
        <v>182.49</v>
      </c>
      <c r="BG246" s="559"/>
      <c r="BH246" s="560"/>
      <c r="BI246" s="564">
        <v>0</v>
      </c>
      <c r="BJ246" s="565"/>
      <c r="BK246" s="565"/>
      <c r="BL246" s="566"/>
      <c r="BM246" s="567" t="s">
        <v>932</v>
      </c>
      <c r="BN246" s="567"/>
      <c r="BO246" s="567"/>
      <c r="BP246" s="567"/>
      <c r="BQ246" s="568" t="s">
        <v>932</v>
      </c>
      <c r="BR246" s="568"/>
      <c r="BS246" s="568"/>
      <c r="BT246" s="567" t="s">
        <v>932</v>
      </c>
      <c r="BU246" s="567"/>
      <c r="BV246" s="567"/>
      <c r="BW246" s="567"/>
      <c r="BX246" s="568" t="s">
        <v>932</v>
      </c>
      <c r="BY246" s="568"/>
      <c r="BZ246" s="568"/>
      <c r="CA246" s="567" t="s">
        <v>932</v>
      </c>
      <c r="CB246" s="567"/>
      <c r="CC246" s="567"/>
      <c r="CD246" s="567"/>
      <c r="CE246" s="568">
        <v>1</v>
      </c>
      <c r="CF246" s="568"/>
      <c r="CG246" s="568"/>
      <c r="CH246" s="567" t="s">
        <v>932</v>
      </c>
      <c r="CI246" s="567"/>
      <c r="CJ246" s="567"/>
      <c r="CK246" s="567"/>
      <c r="CL246" s="568" t="s">
        <v>932</v>
      </c>
      <c r="CM246" s="568"/>
      <c r="CN246" s="568"/>
    </row>
    <row r="247" hidden="1" customHeight="1" spans="1:92">
      <c r="A247" s="588"/>
      <c r="B247" s="589"/>
      <c r="C247" s="590"/>
      <c r="D247" s="591"/>
      <c r="E247" s="592"/>
      <c r="F247" s="593"/>
      <c r="G247" s="594"/>
      <c r="H247" s="595"/>
      <c r="I247" s="596"/>
      <c r="J247" s="597"/>
      <c r="K247" s="597"/>
      <c r="L247" s="597"/>
      <c r="M247" s="597"/>
      <c r="N247" s="597"/>
      <c r="O247" s="597"/>
      <c r="P247" s="597"/>
      <c r="Q247" s="597"/>
      <c r="R247" s="597"/>
      <c r="S247" s="597"/>
      <c r="T247" s="597"/>
      <c r="U247" s="597"/>
      <c r="V247" s="597"/>
      <c r="W247" s="597"/>
      <c r="X247" s="597"/>
      <c r="Y247" s="597"/>
      <c r="Z247" s="597"/>
      <c r="AA247" s="598"/>
      <c r="AB247" s="599"/>
      <c r="AC247" s="600"/>
      <c r="AD247" s="601"/>
      <c r="AE247" s="602"/>
      <c r="AF247" s="603"/>
      <c r="AG247" s="553">
        <v>0</v>
      </c>
      <c r="AH247" s="554"/>
      <c r="AI247" s="555" t="e">
        <v>#N/A</v>
      </c>
      <c r="AJ247" s="556"/>
      <c r="AK247" s="556"/>
      <c r="AL247" s="556"/>
      <c r="AM247" s="556"/>
      <c r="AN247" s="556"/>
      <c r="AO247" s="556"/>
      <c r="AP247" s="556"/>
      <c r="AQ247" s="556"/>
      <c r="AR247" s="556"/>
      <c r="AS247" s="556"/>
      <c r="AT247" s="556"/>
      <c r="AU247" s="556"/>
      <c r="AV247" s="557"/>
      <c r="AW247" s="558">
        <v>0</v>
      </c>
      <c r="AX247" s="559"/>
      <c r="AY247" s="560"/>
      <c r="AZ247" s="604"/>
      <c r="BA247" s="605"/>
      <c r="BB247" s="606"/>
      <c r="BC247" s="558">
        <v>0</v>
      </c>
      <c r="BD247" s="559"/>
      <c r="BE247" s="560"/>
      <c r="BF247" s="558">
        <v>182.49</v>
      </c>
      <c r="BG247" s="559"/>
      <c r="BH247" s="560"/>
      <c r="BI247" s="564">
        <v>0</v>
      </c>
      <c r="BJ247" s="565"/>
      <c r="BK247" s="565"/>
      <c r="BL247" s="566"/>
      <c r="BM247" s="567" t="s">
        <v>932</v>
      </c>
      <c r="BN247" s="567"/>
      <c r="BO247" s="567"/>
      <c r="BP247" s="567"/>
      <c r="BQ247" s="568" t="s">
        <v>932</v>
      </c>
      <c r="BR247" s="568"/>
      <c r="BS247" s="568"/>
      <c r="BT247" s="567" t="s">
        <v>932</v>
      </c>
      <c r="BU247" s="567"/>
      <c r="BV247" s="567"/>
      <c r="BW247" s="567"/>
      <c r="BX247" s="568" t="s">
        <v>932</v>
      </c>
      <c r="BY247" s="568"/>
      <c r="BZ247" s="568"/>
      <c r="CA247" s="567" t="s">
        <v>932</v>
      </c>
      <c r="CB247" s="567"/>
      <c r="CC247" s="567"/>
      <c r="CD247" s="567"/>
      <c r="CE247" s="568">
        <v>1</v>
      </c>
      <c r="CF247" s="568"/>
      <c r="CG247" s="568"/>
      <c r="CH247" s="567" t="s">
        <v>932</v>
      </c>
      <c r="CI247" s="567"/>
      <c r="CJ247" s="567"/>
      <c r="CK247" s="567"/>
      <c r="CL247" s="568" t="s">
        <v>932</v>
      </c>
      <c r="CM247" s="568"/>
      <c r="CN247" s="568"/>
    </row>
    <row r="248" customHeight="1" spans="1:92">
      <c r="A248" s="540" t="s">
        <v>971</v>
      </c>
      <c r="B248" s="541"/>
      <c r="C248" s="89"/>
      <c r="D248" s="91"/>
      <c r="E248" s="90"/>
      <c r="F248" s="542">
        <v>5502109</v>
      </c>
      <c r="G248" s="543"/>
      <c r="H248" s="544"/>
      <c r="I248" s="545" t="s">
        <v>98</v>
      </c>
      <c r="J248" s="546"/>
      <c r="K248" s="546"/>
      <c r="L248" s="546"/>
      <c r="M248" s="546"/>
      <c r="N248" s="546"/>
      <c r="O248" s="546"/>
      <c r="P248" s="546"/>
      <c r="Q248" s="546"/>
      <c r="R248" s="546"/>
      <c r="S248" s="546"/>
      <c r="T248" s="546"/>
      <c r="U248" s="546"/>
      <c r="V248" s="546"/>
      <c r="W248" s="546"/>
      <c r="X248" s="546"/>
      <c r="Y248" s="546"/>
      <c r="Z248" s="546"/>
      <c r="AA248" s="547"/>
      <c r="AB248" s="548" t="s">
        <v>99</v>
      </c>
      <c r="AC248" s="549"/>
      <c r="AD248" s="550">
        <v>27.95</v>
      </c>
      <c r="AE248" s="551"/>
      <c r="AF248" s="552"/>
      <c r="AG248" s="553" t="s">
        <v>1056</v>
      </c>
      <c r="AH248" s="554"/>
      <c r="AI248" s="555" t="s">
        <v>1057</v>
      </c>
      <c r="AJ248" s="556"/>
      <c r="AK248" s="556"/>
      <c r="AL248" s="556"/>
      <c r="AM248" s="556"/>
      <c r="AN248" s="556"/>
      <c r="AO248" s="556"/>
      <c r="AP248" s="556"/>
      <c r="AQ248" s="556"/>
      <c r="AR248" s="556"/>
      <c r="AS248" s="556"/>
      <c r="AT248" s="556"/>
      <c r="AU248" s="556"/>
      <c r="AV248" s="557"/>
      <c r="AW248" s="558">
        <v>4</v>
      </c>
      <c r="AX248" s="559"/>
      <c r="AY248" s="560"/>
      <c r="AZ248" s="561">
        <v>230.19</v>
      </c>
      <c r="BA248" s="562"/>
      <c r="BB248" s="563"/>
      <c r="BC248" s="558">
        <v>0.485685737868717</v>
      </c>
      <c r="BD248" s="559"/>
      <c r="BE248" s="560"/>
      <c r="BF248" s="558">
        <v>182.49</v>
      </c>
      <c r="BG248" s="559"/>
      <c r="BH248" s="560"/>
      <c r="BI248" s="564">
        <v>0.00266143754654347</v>
      </c>
      <c r="BJ248" s="565"/>
      <c r="BK248" s="565"/>
      <c r="BL248" s="566"/>
      <c r="BM248" s="567" t="s">
        <v>932</v>
      </c>
      <c r="BN248" s="567"/>
      <c r="BO248" s="567"/>
      <c r="BP248" s="567"/>
      <c r="BQ248" s="568" t="s">
        <v>932</v>
      </c>
      <c r="BR248" s="568"/>
      <c r="BS248" s="568"/>
      <c r="BT248" s="567" t="s">
        <v>932</v>
      </c>
      <c r="BU248" s="567"/>
      <c r="BV248" s="567"/>
      <c r="BW248" s="567"/>
      <c r="BX248" s="568" t="s">
        <v>932</v>
      </c>
      <c r="BY248" s="568"/>
      <c r="BZ248" s="568"/>
      <c r="CA248" s="567">
        <v>0.00266143754654347</v>
      </c>
      <c r="CB248" s="567"/>
      <c r="CC248" s="567"/>
      <c r="CD248" s="567"/>
      <c r="CE248" s="568">
        <v>1</v>
      </c>
      <c r="CF248" s="568"/>
      <c r="CG248" s="568"/>
      <c r="CH248" s="567" t="s">
        <v>932</v>
      </c>
      <c r="CI248" s="567"/>
      <c r="CJ248" s="567"/>
      <c r="CK248" s="567"/>
      <c r="CL248" s="568" t="s">
        <v>932</v>
      </c>
      <c r="CM248" s="568"/>
      <c r="CN248" s="568"/>
    </row>
    <row r="249" customHeight="1" spans="1:92">
      <c r="A249" s="569"/>
      <c r="B249" s="570"/>
      <c r="C249" s="571"/>
      <c r="D249" s="572"/>
      <c r="E249" s="573"/>
      <c r="F249" s="574"/>
      <c r="G249" s="575"/>
      <c r="H249" s="576"/>
      <c r="I249" s="577"/>
      <c r="J249" s="578"/>
      <c r="K249" s="578"/>
      <c r="L249" s="578"/>
      <c r="M249" s="578"/>
      <c r="N249" s="578"/>
      <c r="O249" s="578"/>
      <c r="P249" s="578"/>
      <c r="Q249" s="578"/>
      <c r="R249" s="578"/>
      <c r="S249" s="578"/>
      <c r="T249" s="578"/>
      <c r="U249" s="578"/>
      <c r="V249" s="578"/>
      <c r="W249" s="578"/>
      <c r="X249" s="578"/>
      <c r="Y249" s="578"/>
      <c r="Z249" s="578"/>
      <c r="AA249" s="579"/>
      <c r="AB249" s="580"/>
      <c r="AC249" s="581"/>
      <c r="AD249" s="582"/>
      <c r="AE249" s="583"/>
      <c r="AF249" s="584"/>
      <c r="AG249" s="553" t="s">
        <v>1058</v>
      </c>
      <c r="AH249" s="554"/>
      <c r="AI249" s="555" t="s">
        <v>1059</v>
      </c>
      <c r="AJ249" s="556"/>
      <c r="AK249" s="556"/>
      <c r="AL249" s="556"/>
      <c r="AM249" s="556"/>
      <c r="AN249" s="556"/>
      <c r="AO249" s="556"/>
      <c r="AP249" s="556"/>
      <c r="AQ249" s="556"/>
      <c r="AR249" s="556"/>
      <c r="AS249" s="556"/>
      <c r="AT249" s="556"/>
      <c r="AU249" s="556"/>
      <c r="AV249" s="557"/>
      <c r="AW249" s="558">
        <v>1</v>
      </c>
      <c r="AX249" s="559"/>
      <c r="AY249" s="560"/>
      <c r="AZ249" s="585"/>
      <c r="BA249" s="586"/>
      <c r="BB249" s="587"/>
      <c r="BC249" s="558">
        <v>0.121421434467179</v>
      </c>
      <c r="BD249" s="559"/>
      <c r="BE249" s="560"/>
      <c r="BF249" s="558">
        <v>182.49</v>
      </c>
      <c r="BG249" s="559"/>
      <c r="BH249" s="560"/>
      <c r="BI249" s="564">
        <v>0.000665359386635866</v>
      </c>
      <c r="BJ249" s="565"/>
      <c r="BK249" s="565"/>
      <c r="BL249" s="566"/>
      <c r="BM249" s="567" t="s">
        <v>932</v>
      </c>
      <c r="BN249" s="567"/>
      <c r="BO249" s="567"/>
      <c r="BP249" s="567"/>
      <c r="BQ249" s="568" t="s">
        <v>932</v>
      </c>
      <c r="BR249" s="568"/>
      <c r="BS249" s="568"/>
      <c r="BT249" s="567" t="s">
        <v>932</v>
      </c>
      <c r="BU249" s="567"/>
      <c r="BV249" s="567"/>
      <c r="BW249" s="567"/>
      <c r="BX249" s="568" t="s">
        <v>932</v>
      </c>
      <c r="BY249" s="568"/>
      <c r="BZ249" s="568"/>
      <c r="CA249" s="567">
        <v>0.000665359386635866</v>
      </c>
      <c r="CB249" s="567"/>
      <c r="CC249" s="567"/>
      <c r="CD249" s="567"/>
      <c r="CE249" s="568">
        <v>1</v>
      </c>
      <c r="CF249" s="568"/>
      <c r="CG249" s="568"/>
      <c r="CH249" s="567" t="s">
        <v>932</v>
      </c>
      <c r="CI249" s="567"/>
      <c r="CJ249" s="567"/>
      <c r="CK249" s="567"/>
      <c r="CL249" s="568" t="s">
        <v>932</v>
      </c>
      <c r="CM249" s="568"/>
      <c r="CN249" s="568"/>
    </row>
    <row r="250" hidden="1" customHeight="1" spans="1:92">
      <c r="A250" s="569"/>
      <c r="B250" s="570"/>
      <c r="C250" s="571"/>
      <c r="D250" s="572"/>
      <c r="E250" s="573"/>
      <c r="F250" s="574"/>
      <c r="G250" s="575"/>
      <c r="H250" s="576"/>
      <c r="I250" s="577"/>
      <c r="J250" s="578"/>
      <c r="K250" s="578"/>
      <c r="L250" s="578"/>
      <c r="M250" s="578"/>
      <c r="N250" s="578"/>
      <c r="O250" s="578"/>
      <c r="P250" s="578"/>
      <c r="Q250" s="578"/>
      <c r="R250" s="578"/>
      <c r="S250" s="578"/>
      <c r="T250" s="578"/>
      <c r="U250" s="578"/>
      <c r="V250" s="578"/>
      <c r="W250" s="578"/>
      <c r="X250" s="578"/>
      <c r="Y250" s="578"/>
      <c r="Z250" s="578"/>
      <c r="AA250" s="579"/>
      <c r="AB250" s="580"/>
      <c r="AC250" s="581"/>
      <c r="AD250" s="582"/>
      <c r="AE250" s="583"/>
      <c r="AF250" s="584"/>
      <c r="AG250" s="553">
        <v>0</v>
      </c>
      <c r="AH250" s="554"/>
      <c r="AI250" s="555" t="e">
        <v>#N/A</v>
      </c>
      <c r="AJ250" s="556"/>
      <c r="AK250" s="556"/>
      <c r="AL250" s="556"/>
      <c r="AM250" s="556"/>
      <c r="AN250" s="556"/>
      <c r="AO250" s="556"/>
      <c r="AP250" s="556"/>
      <c r="AQ250" s="556"/>
      <c r="AR250" s="556"/>
      <c r="AS250" s="556"/>
      <c r="AT250" s="556"/>
      <c r="AU250" s="556"/>
      <c r="AV250" s="557"/>
      <c r="AW250" s="558">
        <v>0</v>
      </c>
      <c r="AX250" s="559"/>
      <c r="AY250" s="560"/>
      <c r="AZ250" s="585"/>
      <c r="BA250" s="586"/>
      <c r="BB250" s="587"/>
      <c r="BC250" s="558">
        <v>0</v>
      </c>
      <c r="BD250" s="559"/>
      <c r="BE250" s="560"/>
      <c r="BF250" s="558">
        <v>182.49</v>
      </c>
      <c r="BG250" s="559"/>
      <c r="BH250" s="560"/>
      <c r="BI250" s="564">
        <v>0</v>
      </c>
      <c r="BJ250" s="565"/>
      <c r="BK250" s="565"/>
      <c r="BL250" s="566"/>
      <c r="BM250" s="567" t="s">
        <v>932</v>
      </c>
      <c r="BN250" s="567"/>
      <c r="BO250" s="567"/>
      <c r="BP250" s="567"/>
      <c r="BQ250" s="568" t="s">
        <v>932</v>
      </c>
      <c r="BR250" s="568"/>
      <c r="BS250" s="568"/>
      <c r="BT250" s="567" t="s">
        <v>932</v>
      </c>
      <c r="BU250" s="567"/>
      <c r="BV250" s="567"/>
      <c r="BW250" s="567"/>
      <c r="BX250" s="568" t="s">
        <v>932</v>
      </c>
      <c r="BY250" s="568"/>
      <c r="BZ250" s="568"/>
      <c r="CA250" s="567" t="s">
        <v>932</v>
      </c>
      <c r="CB250" s="567"/>
      <c r="CC250" s="567"/>
      <c r="CD250" s="567"/>
      <c r="CE250" s="568">
        <v>1</v>
      </c>
      <c r="CF250" s="568"/>
      <c r="CG250" s="568"/>
      <c r="CH250" s="567" t="s">
        <v>932</v>
      </c>
      <c r="CI250" s="567"/>
      <c r="CJ250" s="567"/>
      <c r="CK250" s="567"/>
      <c r="CL250" s="568" t="s">
        <v>932</v>
      </c>
      <c r="CM250" s="568"/>
      <c r="CN250" s="568"/>
    </row>
    <row r="251" hidden="1" customHeight="1" spans="1:92">
      <c r="A251" s="569"/>
      <c r="B251" s="570"/>
      <c r="C251" s="571"/>
      <c r="D251" s="572"/>
      <c r="E251" s="573"/>
      <c r="F251" s="574"/>
      <c r="G251" s="575"/>
      <c r="H251" s="576"/>
      <c r="I251" s="577"/>
      <c r="J251" s="578"/>
      <c r="K251" s="578"/>
      <c r="L251" s="578"/>
      <c r="M251" s="578"/>
      <c r="N251" s="578"/>
      <c r="O251" s="578"/>
      <c r="P251" s="578"/>
      <c r="Q251" s="578"/>
      <c r="R251" s="578"/>
      <c r="S251" s="578"/>
      <c r="T251" s="578"/>
      <c r="U251" s="578"/>
      <c r="V251" s="578"/>
      <c r="W251" s="578"/>
      <c r="X251" s="578"/>
      <c r="Y251" s="578"/>
      <c r="Z251" s="578"/>
      <c r="AA251" s="579"/>
      <c r="AB251" s="580"/>
      <c r="AC251" s="581"/>
      <c r="AD251" s="582"/>
      <c r="AE251" s="583"/>
      <c r="AF251" s="584"/>
      <c r="AG251" s="553">
        <v>0</v>
      </c>
      <c r="AH251" s="554"/>
      <c r="AI251" s="555" t="e">
        <v>#N/A</v>
      </c>
      <c r="AJ251" s="556"/>
      <c r="AK251" s="556"/>
      <c r="AL251" s="556"/>
      <c r="AM251" s="556"/>
      <c r="AN251" s="556"/>
      <c r="AO251" s="556"/>
      <c r="AP251" s="556"/>
      <c r="AQ251" s="556"/>
      <c r="AR251" s="556"/>
      <c r="AS251" s="556"/>
      <c r="AT251" s="556"/>
      <c r="AU251" s="556"/>
      <c r="AV251" s="557"/>
      <c r="AW251" s="558">
        <v>0</v>
      </c>
      <c r="AX251" s="559"/>
      <c r="AY251" s="560"/>
      <c r="AZ251" s="585"/>
      <c r="BA251" s="586"/>
      <c r="BB251" s="587"/>
      <c r="BC251" s="558">
        <v>0</v>
      </c>
      <c r="BD251" s="559"/>
      <c r="BE251" s="560"/>
      <c r="BF251" s="558">
        <v>182.49</v>
      </c>
      <c r="BG251" s="559"/>
      <c r="BH251" s="560"/>
      <c r="BI251" s="564">
        <v>0</v>
      </c>
      <c r="BJ251" s="565"/>
      <c r="BK251" s="565"/>
      <c r="BL251" s="566"/>
      <c r="BM251" s="567" t="s">
        <v>932</v>
      </c>
      <c r="BN251" s="567"/>
      <c r="BO251" s="567"/>
      <c r="BP251" s="567"/>
      <c r="BQ251" s="568" t="s">
        <v>932</v>
      </c>
      <c r="BR251" s="568"/>
      <c r="BS251" s="568"/>
      <c r="BT251" s="567" t="s">
        <v>932</v>
      </c>
      <c r="BU251" s="567"/>
      <c r="BV251" s="567"/>
      <c r="BW251" s="567"/>
      <c r="BX251" s="568" t="s">
        <v>932</v>
      </c>
      <c r="BY251" s="568"/>
      <c r="BZ251" s="568"/>
      <c r="CA251" s="567" t="s">
        <v>932</v>
      </c>
      <c r="CB251" s="567"/>
      <c r="CC251" s="567"/>
      <c r="CD251" s="567"/>
      <c r="CE251" s="568">
        <v>1</v>
      </c>
      <c r="CF251" s="568"/>
      <c r="CG251" s="568"/>
      <c r="CH251" s="567" t="s">
        <v>932</v>
      </c>
      <c r="CI251" s="567"/>
      <c r="CJ251" s="567"/>
      <c r="CK251" s="567"/>
      <c r="CL251" s="568" t="s">
        <v>932</v>
      </c>
      <c r="CM251" s="568"/>
      <c r="CN251" s="568"/>
    </row>
    <row r="252" hidden="1" customHeight="1" spans="1:92">
      <c r="A252" s="569"/>
      <c r="B252" s="570"/>
      <c r="C252" s="571"/>
      <c r="D252" s="572"/>
      <c r="E252" s="573"/>
      <c r="F252" s="574"/>
      <c r="G252" s="575"/>
      <c r="H252" s="576"/>
      <c r="I252" s="577"/>
      <c r="J252" s="578"/>
      <c r="K252" s="578"/>
      <c r="L252" s="578"/>
      <c r="M252" s="578"/>
      <c r="N252" s="578"/>
      <c r="O252" s="578"/>
      <c r="P252" s="578"/>
      <c r="Q252" s="578"/>
      <c r="R252" s="578"/>
      <c r="S252" s="578"/>
      <c r="T252" s="578"/>
      <c r="U252" s="578"/>
      <c r="V252" s="578"/>
      <c r="W252" s="578"/>
      <c r="X252" s="578"/>
      <c r="Y252" s="578"/>
      <c r="Z252" s="578"/>
      <c r="AA252" s="579"/>
      <c r="AB252" s="580"/>
      <c r="AC252" s="581"/>
      <c r="AD252" s="582"/>
      <c r="AE252" s="583"/>
      <c r="AF252" s="584"/>
      <c r="AG252" s="553">
        <v>0</v>
      </c>
      <c r="AH252" s="554"/>
      <c r="AI252" s="555" t="e">
        <v>#N/A</v>
      </c>
      <c r="AJ252" s="556"/>
      <c r="AK252" s="556"/>
      <c r="AL252" s="556"/>
      <c r="AM252" s="556"/>
      <c r="AN252" s="556"/>
      <c r="AO252" s="556"/>
      <c r="AP252" s="556"/>
      <c r="AQ252" s="556"/>
      <c r="AR252" s="556"/>
      <c r="AS252" s="556"/>
      <c r="AT252" s="556"/>
      <c r="AU252" s="556"/>
      <c r="AV252" s="557"/>
      <c r="AW252" s="558">
        <v>0</v>
      </c>
      <c r="AX252" s="559"/>
      <c r="AY252" s="560"/>
      <c r="AZ252" s="585"/>
      <c r="BA252" s="586"/>
      <c r="BB252" s="587"/>
      <c r="BC252" s="558">
        <v>0</v>
      </c>
      <c r="BD252" s="559"/>
      <c r="BE252" s="560"/>
      <c r="BF252" s="558">
        <v>182.49</v>
      </c>
      <c r="BG252" s="559"/>
      <c r="BH252" s="560"/>
      <c r="BI252" s="564">
        <v>0</v>
      </c>
      <c r="BJ252" s="565"/>
      <c r="BK252" s="565"/>
      <c r="BL252" s="566"/>
      <c r="BM252" s="567" t="s">
        <v>932</v>
      </c>
      <c r="BN252" s="567"/>
      <c r="BO252" s="567"/>
      <c r="BP252" s="567"/>
      <c r="BQ252" s="568" t="s">
        <v>932</v>
      </c>
      <c r="BR252" s="568"/>
      <c r="BS252" s="568"/>
      <c r="BT252" s="567" t="s">
        <v>932</v>
      </c>
      <c r="BU252" s="567"/>
      <c r="BV252" s="567"/>
      <c r="BW252" s="567"/>
      <c r="BX252" s="568" t="s">
        <v>932</v>
      </c>
      <c r="BY252" s="568"/>
      <c r="BZ252" s="568"/>
      <c r="CA252" s="567" t="s">
        <v>932</v>
      </c>
      <c r="CB252" s="567"/>
      <c r="CC252" s="567"/>
      <c r="CD252" s="567"/>
      <c r="CE252" s="568">
        <v>1</v>
      </c>
      <c r="CF252" s="568"/>
      <c r="CG252" s="568"/>
      <c r="CH252" s="567" t="s">
        <v>932</v>
      </c>
      <c r="CI252" s="567"/>
      <c r="CJ252" s="567"/>
      <c r="CK252" s="567"/>
      <c r="CL252" s="568" t="s">
        <v>932</v>
      </c>
      <c r="CM252" s="568"/>
      <c r="CN252" s="568"/>
    </row>
    <row r="253" hidden="1" customHeight="1" spans="1:92">
      <c r="A253" s="569"/>
      <c r="B253" s="570"/>
      <c r="C253" s="571"/>
      <c r="D253" s="572"/>
      <c r="E253" s="573"/>
      <c r="F253" s="574"/>
      <c r="G253" s="575"/>
      <c r="H253" s="576"/>
      <c r="I253" s="577"/>
      <c r="J253" s="578"/>
      <c r="K253" s="578"/>
      <c r="L253" s="578"/>
      <c r="M253" s="578"/>
      <c r="N253" s="578"/>
      <c r="O253" s="578"/>
      <c r="P253" s="578"/>
      <c r="Q253" s="578"/>
      <c r="R253" s="578"/>
      <c r="S253" s="578"/>
      <c r="T253" s="578"/>
      <c r="U253" s="578"/>
      <c r="V253" s="578"/>
      <c r="W253" s="578"/>
      <c r="X253" s="578"/>
      <c r="Y253" s="578"/>
      <c r="Z253" s="578"/>
      <c r="AA253" s="579"/>
      <c r="AB253" s="580"/>
      <c r="AC253" s="581"/>
      <c r="AD253" s="582"/>
      <c r="AE253" s="583"/>
      <c r="AF253" s="584"/>
      <c r="AG253" s="553">
        <v>0</v>
      </c>
      <c r="AH253" s="554"/>
      <c r="AI253" s="555" t="e">
        <v>#N/A</v>
      </c>
      <c r="AJ253" s="556"/>
      <c r="AK253" s="556"/>
      <c r="AL253" s="556"/>
      <c r="AM253" s="556"/>
      <c r="AN253" s="556"/>
      <c r="AO253" s="556"/>
      <c r="AP253" s="556"/>
      <c r="AQ253" s="556"/>
      <c r="AR253" s="556"/>
      <c r="AS253" s="556"/>
      <c r="AT253" s="556"/>
      <c r="AU253" s="556"/>
      <c r="AV253" s="557"/>
      <c r="AW253" s="558">
        <v>0</v>
      </c>
      <c r="AX253" s="559"/>
      <c r="AY253" s="560"/>
      <c r="AZ253" s="585"/>
      <c r="BA253" s="586"/>
      <c r="BB253" s="587"/>
      <c r="BC253" s="558">
        <v>0</v>
      </c>
      <c r="BD253" s="559"/>
      <c r="BE253" s="560"/>
      <c r="BF253" s="558">
        <v>182.49</v>
      </c>
      <c r="BG253" s="559"/>
      <c r="BH253" s="560"/>
      <c r="BI253" s="564">
        <v>0</v>
      </c>
      <c r="BJ253" s="565"/>
      <c r="BK253" s="565"/>
      <c r="BL253" s="566"/>
      <c r="BM253" s="567" t="s">
        <v>932</v>
      </c>
      <c r="BN253" s="567"/>
      <c r="BO253" s="567"/>
      <c r="BP253" s="567"/>
      <c r="BQ253" s="568" t="s">
        <v>932</v>
      </c>
      <c r="BR253" s="568"/>
      <c r="BS253" s="568"/>
      <c r="BT253" s="567" t="s">
        <v>932</v>
      </c>
      <c r="BU253" s="567"/>
      <c r="BV253" s="567"/>
      <c r="BW253" s="567"/>
      <c r="BX253" s="568" t="s">
        <v>932</v>
      </c>
      <c r="BY253" s="568"/>
      <c r="BZ253" s="568"/>
      <c r="CA253" s="567" t="s">
        <v>932</v>
      </c>
      <c r="CB253" s="567"/>
      <c r="CC253" s="567"/>
      <c r="CD253" s="567"/>
      <c r="CE253" s="568">
        <v>1</v>
      </c>
      <c r="CF253" s="568"/>
      <c r="CG253" s="568"/>
      <c r="CH253" s="567" t="s">
        <v>932</v>
      </c>
      <c r="CI253" s="567"/>
      <c r="CJ253" s="567"/>
      <c r="CK253" s="567"/>
      <c r="CL253" s="568" t="s">
        <v>932</v>
      </c>
      <c r="CM253" s="568"/>
      <c r="CN253" s="568"/>
    </row>
    <row r="254" hidden="1" customHeight="1" spans="1:92">
      <c r="A254" s="569"/>
      <c r="B254" s="570"/>
      <c r="C254" s="571"/>
      <c r="D254" s="572"/>
      <c r="E254" s="573"/>
      <c r="F254" s="574"/>
      <c r="G254" s="575"/>
      <c r="H254" s="576"/>
      <c r="I254" s="577"/>
      <c r="J254" s="578"/>
      <c r="K254" s="578"/>
      <c r="L254" s="578"/>
      <c r="M254" s="578"/>
      <c r="N254" s="578"/>
      <c r="O254" s="578"/>
      <c r="P254" s="578"/>
      <c r="Q254" s="578"/>
      <c r="R254" s="578"/>
      <c r="S254" s="578"/>
      <c r="T254" s="578"/>
      <c r="U254" s="578"/>
      <c r="V254" s="578"/>
      <c r="W254" s="578"/>
      <c r="X254" s="578"/>
      <c r="Y254" s="578"/>
      <c r="Z254" s="578"/>
      <c r="AA254" s="579"/>
      <c r="AB254" s="580"/>
      <c r="AC254" s="581"/>
      <c r="AD254" s="582"/>
      <c r="AE254" s="583"/>
      <c r="AF254" s="584"/>
      <c r="AG254" s="553">
        <v>0</v>
      </c>
      <c r="AH254" s="554"/>
      <c r="AI254" s="555" t="e">
        <v>#N/A</v>
      </c>
      <c r="AJ254" s="556"/>
      <c r="AK254" s="556"/>
      <c r="AL254" s="556"/>
      <c r="AM254" s="556"/>
      <c r="AN254" s="556"/>
      <c r="AO254" s="556"/>
      <c r="AP254" s="556"/>
      <c r="AQ254" s="556"/>
      <c r="AR254" s="556"/>
      <c r="AS254" s="556"/>
      <c r="AT254" s="556"/>
      <c r="AU254" s="556"/>
      <c r="AV254" s="557"/>
      <c r="AW254" s="558">
        <v>0</v>
      </c>
      <c r="AX254" s="559"/>
      <c r="AY254" s="560"/>
      <c r="AZ254" s="585"/>
      <c r="BA254" s="586"/>
      <c r="BB254" s="587"/>
      <c r="BC254" s="558">
        <v>0</v>
      </c>
      <c r="BD254" s="559"/>
      <c r="BE254" s="560"/>
      <c r="BF254" s="558">
        <v>182.49</v>
      </c>
      <c r="BG254" s="559"/>
      <c r="BH254" s="560"/>
      <c r="BI254" s="564">
        <v>0</v>
      </c>
      <c r="BJ254" s="565"/>
      <c r="BK254" s="565"/>
      <c r="BL254" s="566"/>
      <c r="BM254" s="567" t="s">
        <v>932</v>
      </c>
      <c r="BN254" s="567"/>
      <c r="BO254" s="567"/>
      <c r="BP254" s="567"/>
      <c r="BQ254" s="568" t="s">
        <v>932</v>
      </c>
      <c r="BR254" s="568"/>
      <c r="BS254" s="568"/>
      <c r="BT254" s="567" t="s">
        <v>932</v>
      </c>
      <c r="BU254" s="567"/>
      <c r="BV254" s="567"/>
      <c r="BW254" s="567"/>
      <c r="BX254" s="568" t="s">
        <v>932</v>
      </c>
      <c r="BY254" s="568"/>
      <c r="BZ254" s="568"/>
      <c r="CA254" s="567" t="s">
        <v>932</v>
      </c>
      <c r="CB254" s="567"/>
      <c r="CC254" s="567"/>
      <c r="CD254" s="567"/>
      <c r="CE254" s="568">
        <v>1</v>
      </c>
      <c r="CF254" s="568"/>
      <c r="CG254" s="568"/>
      <c r="CH254" s="567" t="s">
        <v>932</v>
      </c>
      <c r="CI254" s="567"/>
      <c r="CJ254" s="567"/>
      <c r="CK254" s="567"/>
      <c r="CL254" s="568" t="s">
        <v>932</v>
      </c>
      <c r="CM254" s="568"/>
      <c r="CN254" s="568"/>
    </row>
    <row r="255" hidden="1" customHeight="1" spans="1:92">
      <c r="A255" s="588"/>
      <c r="B255" s="589"/>
      <c r="C255" s="590"/>
      <c r="D255" s="591"/>
      <c r="E255" s="592"/>
      <c r="F255" s="593"/>
      <c r="G255" s="594"/>
      <c r="H255" s="595"/>
      <c r="I255" s="596"/>
      <c r="J255" s="597"/>
      <c r="K255" s="597"/>
      <c r="L255" s="597"/>
      <c r="M255" s="597"/>
      <c r="N255" s="597"/>
      <c r="O255" s="597"/>
      <c r="P255" s="597"/>
      <c r="Q255" s="597"/>
      <c r="R255" s="597"/>
      <c r="S255" s="597"/>
      <c r="T255" s="597"/>
      <c r="U255" s="597"/>
      <c r="V255" s="597"/>
      <c r="W255" s="597"/>
      <c r="X255" s="597"/>
      <c r="Y255" s="597"/>
      <c r="Z255" s="597"/>
      <c r="AA255" s="598"/>
      <c r="AB255" s="599"/>
      <c r="AC255" s="600"/>
      <c r="AD255" s="601"/>
      <c r="AE255" s="602"/>
      <c r="AF255" s="603"/>
      <c r="AG255" s="553">
        <v>0</v>
      </c>
      <c r="AH255" s="554"/>
      <c r="AI255" s="555" t="e">
        <v>#N/A</v>
      </c>
      <c r="AJ255" s="556"/>
      <c r="AK255" s="556"/>
      <c r="AL255" s="556"/>
      <c r="AM255" s="556"/>
      <c r="AN255" s="556"/>
      <c r="AO255" s="556"/>
      <c r="AP255" s="556"/>
      <c r="AQ255" s="556"/>
      <c r="AR255" s="556"/>
      <c r="AS255" s="556"/>
      <c r="AT255" s="556"/>
      <c r="AU255" s="556"/>
      <c r="AV255" s="557"/>
      <c r="AW255" s="558">
        <v>0</v>
      </c>
      <c r="AX255" s="559"/>
      <c r="AY255" s="560"/>
      <c r="AZ255" s="604"/>
      <c r="BA255" s="605"/>
      <c r="BB255" s="606"/>
      <c r="BC255" s="558">
        <v>0</v>
      </c>
      <c r="BD255" s="559"/>
      <c r="BE255" s="560"/>
      <c r="BF255" s="558">
        <v>182.49</v>
      </c>
      <c r="BG255" s="559"/>
      <c r="BH255" s="560"/>
      <c r="BI255" s="564">
        <v>0</v>
      </c>
      <c r="BJ255" s="565"/>
      <c r="BK255" s="565"/>
      <c r="BL255" s="566"/>
      <c r="BM255" s="567" t="s">
        <v>932</v>
      </c>
      <c r="BN255" s="567"/>
      <c r="BO255" s="567"/>
      <c r="BP255" s="567"/>
      <c r="BQ255" s="568" t="s">
        <v>932</v>
      </c>
      <c r="BR255" s="568"/>
      <c r="BS255" s="568"/>
      <c r="BT255" s="567" t="s">
        <v>932</v>
      </c>
      <c r="BU255" s="567"/>
      <c r="BV255" s="567"/>
      <c r="BW255" s="567"/>
      <c r="BX255" s="568" t="s">
        <v>932</v>
      </c>
      <c r="BY255" s="568"/>
      <c r="BZ255" s="568"/>
      <c r="CA255" s="567" t="s">
        <v>932</v>
      </c>
      <c r="CB255" s="567"/>
      <c r="CC255" s="567"/>
      <c r="CD255" s="567"/>
      <c r="CE255" s="568">
        <v>1</v>
      </c>
      <c r="CF255" s="568"/>
      <c r="CG255" s="568"/>
      <c r="CH255" s="567" t="s">
        <v>932</v>
      </c>
      <c r="CI255" s="567"/>
      <c r="CJ255" s="567"/>
      <c r="CK255" s="567"/>
      <c r="CL255" s="568" t="s">
        <v>932</v>
      </c>
      <c r="CM255" s="568"/>
      <c r="CN255" s="568"/>
    </row>
    <row r="256" customHeight="1" spans="1:92">
      <c r="A256" s="540" t="s">
        <v>972</v>
      </c>
      <c r="B256" s="541"/>
      <c r="C256" s="89"/>
      <c r="D256" s="91"/>
      <c r="E256" s="90"/>
      <c r="F256" s="542">
        <v>1100657</v>
      </c>
      <c r="G256" s="543"/>
      <c r="H256" s="544"/>
      <c r="I256" s="545" t="s">
        <v>114</v>
      </c>
      <c r="J256" s="546"/>
      <c r="K256" s="546"/>
      <c r="L256" s="546"/>
      <c r="M256" s="546"/>
      <c r="N256" s="546"/>
      <c r="O256" s="546"/>
      <c r="P256" s="546"/>
      <c r="Q256" s="546"/>
      <c r="R256" s="546"/>
      <c r="S256" s="546"/>
      <c r="T256" s="546"/>
      <c r="U256" s="546"/>
      <c r="V256" s="546"/>
      <c r="W256" s="546"/>
      <c r="X256" s="546"/>
      <c r="Y256" s="546"/>
      <c r="Z256" s="546"/>
      <c r="AA256" s="547"/>
      <c r="AB256" s="548" t="s">
        <v>99</v>
      </c>
      <c r="AC256" s="549"/>
      <c r="AD256" s="550">
        <v>4.8</v>
      </c>
      <c r="AE256" s="551"/>
      <c r="AF256" s="552"/>
      <c r="AG256" s="553" t="s">
        <v>1080</v>
      </c>
      <c r="AH256" s="554"/>
      <c r="AI256" s="555" t="s">
        <v>1081</v>
      </c>
      <c r="AJ256" s="556"/>
      <c r="AK256" s="556"/>
      <c r="AL256" s="556"/>
      <c r="AM256" s="556"/>
      <c r="AN256" s="556"/>
      <c r="AO256" s="556"/>
      <c r="AP256" s="556"/>
      <c r="AQ256" s="556"/>
      <c r="AR256" s="556"/>
      <c r="AS256" s="556"/>
      <c r="AT256" s="556"/>
      <c r="AU256" s="556"/>
      <c r="AV256" s="557"/>
      <c r="AW256" s="558">
        <v>1</v>
      </c>
      <c r="AX256" s="559"/>
      <c r="AY256" s="560"/>
      <c r="AZ256" s="561">
        <v>9</v>
      </c>
      <c r="BA256" s="562"/>
      <c r="BB256" s="563"/>
      <c r="BC256" s="558">
        <v>0.533333333333333</v>
      </c>
      <c r="BD256" s="559"/>
      <c r="BE256" s="560"/>
      <c r="BF256" s="558">
        <v>182.49</v>
      </c>
      <c r="BG256" s="559"/>
      <c r="BH256" s="560"/>
      <c r="BI256" s="564">
        <v>0.00292253456810419</v>
      </c>
      <c r="BJ256" s="565"/>
      <c r="BK256" s="565"/>
      <c r="BL256" s="566"/>
      <c r="BM256" s="567" t="s">
        <v>932</v>
      </c>
      <c r="BN256" s="567"/>
      <c r="BO256" s="567"/>
      <c r="BP256" s="567"/>
      <c r="BQ256" s="568" t="s">
        <v>932</v>
      </c>
      <c r="BR256" s="568"/>
      <c r="BS256" s="568"/>
      <c r="BT256" s="567" t="s">
        <v>932</v>
      </c>
      <c r="BU256" s="567"/>
      <c r="BV256" s="567"/>
      <c r="BW256" s="567"/>
      <c r="BX256" s="568" t="s">
        <v>932</v>
      </c>
      <c r="BY256" s="568"/>
      <c r="BZ256" s="568"/>
      <c r="CA256" s="567">
        <v>0.00292253456810419</v>
      </c>
      <c r="CB256" s="567"/>
      <c r="CC256" s="567"/>
      <c r="CD256" s="567"/>
      <c r="CE256" s="568">
        <v>1</v>
      </c>
      <c r="CF256" s="568"/>
      <c r="CG256" s="568"/>
      <c r="CH256" s="567" t="s">
        <v>932</v>
      </c>
      <c r="CI256" s="567"/>
      <c r="CJ256" s="567"/>
      <c r="CK256" s="567"/>
      <c r="CL256" s="568" t="s">
        <v>932</v>
      </c>
      <c r="CM256" s="568"/>
      <c r="CN256" s="568"/>
    </row>
    <row r="257" hidden="1" customHeight="1" spans="1:92">
      <c r="A257" s="569"/>
      <c r="B257" s="570"/>
      <c r="C257" s="571"/>
      <c r="D257" s="572"/>
      <c r="E257" s="573"/>
      <c r="F257" s="574"/>
      <c r="G257" s="575"/>
      <c r="H257" s="576"/>
      <c r="I257" s="577"/>
      <c r="J257" s="578"/>
      <c r="K257" s="578"/>
      <c r="L257" s="578"/>
      <c r="M257" s="578"/>
      <c r="N257" s="578"/>
      <c r="O257" s="578"/>
      <c r="P257" s="578"/>
      <c r="Q257" s="578"/>
      <c r="R257" s="578"/>
      <c r="S257" s="578"/>
      <c r="T257" s="578"/>
      <c r="U257" s="578"/>
      <c r="V257" s="578"/>
      <c r="W257" s="578"/>
      <c r="X257" s="578"/>
      <c r="Y257" s="578"/>
      <c r="Z257" s="578"/>
      <c r="AA257" s="579"/>
      <c r="AB257" s="580"/>
      <c r="AC257" s="581"/>
      <c r="AD257" s="582"/>
      <c r="AE257" s="583"/>
      <c r="AF257" s="584"/>
      <c r="AG257" s="553">
        <v>0</v>
      </c>
      <c r="AH257" s="554"/>
      <c r="AI257" s="555" t="e">
        <v>#N/A</v>
      </c>
      <c r="AJ257" s="556"/>
      <c r="AK257" s="556"/>
      <c r="AL257" s="556"/>
      <c r="AM257" s="556"/>
      <c r="AN257" s="556"/>
      <c r="AO257" s="556"/>
      <c r="AP257" s="556"/>
      <c r="AQ257" s="556"/>
      <c r="AR257" s="556"/>
      <c r="AS257" s="556"/>
      <c r="AT257" s="556"/>
      <c r="AU257" s="556"/>
      <c r="AV257" s="557"/>
      <c r="AW257" s="558">
        <v>0</v>
      </c>
      <c r="AX257" s="559"/>
      <c r="AY257" s="560"/>
      <c r="AZ257" s="585"/>
      <c r="BA257" s="586"/>
      <c r="BB257" s="587"/>
      <c r="BC257" s="558">
        <v>0</v>
      </c>
      <c r="BD257" s="559"/>
      <c r="BE257" s="560"/>
      <c r="BF257" s="558">
        <v>182.49</v>
      </c>
      <c r="BG257" s="559"/>
      <c r="BH257" s="560"/>
      <c r="BI257" s="564">
        <v>0</v>
      </c>
      <c r="BJ257" s="565"/>
      <c r="BK257" s="565"/>
      <c r="BL257" s="566"/>
      <c r="BM257" s="567" t="s">
        <v>932</v>
      </c>
      <c r="BN257" s="567"/>
      <c r="BO257" s="567"/>
      <c r="BP257" s="567"/>
      <c r="BQ257" s="568" t="s">
        <v>932</v>
      </c>
      <c r="BR257" s="568"/>
      <c r="BS257" s="568"/>
      <c r="BT257" s="567" t="s">
        <v>932</v>
      </c>
      <c r="BU257" s="567"/>
      <c r="BV257" s="567"/>
      <c r="BW257" s="567"/>
      <c r="BX257" s="568" t="s">
        <v>932</v>
      </c>
      <c r="BY257" s="568"/>
      <c r="BZ257" s="568"/>
      <c r="CA257" s="567" t="s">
        <v>932</v>
      </c>
      <c r="CB257" s="567"/>
      <c r="CC257" s="567"/>
      <c r="CD257" s="567"/>
      <c r="CE257" s="568">
        <v>1</v>
      </c>
      <c r="CF257" s="568"/>
      <c r="CG257" s="568"/>
      <c r="CH257" s="567" t="s">
        <v>932</v>
      </c>
      <c r="CI257" s="567"/>
      <c r="CJ257" s="567"/>
      <c r="CK257" s="567"/>
      <c r="CL257" s="568" t="s">
        <v>932</v>
      </c>
      <c r="CM257" s="568"/>
      <c r="CN257" s="568"/>
    </row>
    <row r="258" hidden="1" customHeight="1" spans="1:92">
      <c r="A258" s="569"/>
      <c r="B258" s="570"/>
      <c r="C258" s="571"/>
      <c r="D258" s="572"/>
      <c r="E258" s="573"/>
      <c r="F258" s="574"/>
      <c r="G258" s="575"/>
      <c r="H258" s="576"/>
      <c r="I258" s="577"/>
      <c r="J258" s="578"/>
      <c r="K258" s="578"/>
      <c r="L258" s="578"/>
      <c r="M258" s="578"/>
      <c r="N258" s="578"/>
      <c r="O258" s="578"/>
      <c r="P258" s="578"/>
      <c r="Q258" s="578"/>
      <c r="R258" s="578"/>
      <c r="S258" s="578"/>
      <c r="T258" s="578"/>
      <c r="U258" s="578"/>
      <c r="V258" s="578"/>
      <c r="W258" s="578"/>
      <c r="X258" s="578"/>
      <c r="Y258" s="578"/>
      <c r="Z258" s="578"/>
      <c r="AA258" s="579"/>
      <c r="AB258" s="580"/>
      <c r="AC258" s="581"/>
      <c r="AD258" s="582"/>
      <c r="AE258" s="583"/>
      <c r="AF258" s="584"/>
      <c r="AG258" s="553">
        <v>0</v>
      </c>
      <c r="AH258" s="554"/>
      <c r="AI258" s="555" t="e">
        <v>#N/A</v>
      </c>
      <c r="AJ258" s="556"/>
      <c r="AK258" s="556"/>
      <c r="AL258" s="556"/>
      <c r="AM258" s="556"/>
      <c r="AN258" s="556"/>
      <c r="AO258" s="556"/>
      <c r="AP258" s="556"/>
      <c r="AQ258" s="556"/>
      <c r="AR258" s="556"/>
      <c r="AS258" s="556"/>
      <c r="AT258" s="556"/>
      <c r="AU258" s="556"/>
      <c r="AV258" s="557"/>
      <c r="AW258" s="558">
        <v>0</v>
      </c>
      <c r="AX258" s="559"/>
      <c r="AY258" s="560"/>
      <c r="AZ258" s="585"/>
      <c r="BA258" s="586"/>
      <c r="BB258" s="587"/>
      <c r="BC258" s="558">
        <v>0</v>
      </c>
      <c r="BD258" s="559"/>
      <c r="BE258" s="560"/>
      <c r="BF258" s="558">
        <v>182.49</v>
      </c>
      <c r="BG258" s="559"/>
      <c r="BH258" s="560"/>
      <c r="BI258" s="564">
        <v>0</v>
      </c>
      <c r="BJ258" s="565"/>
      <c r="BK258" s="565"/>
      <c r="BL258" s="566"/>
      <c r="BM258" s="567" t="s">
        <v>932</v>
      </c>
      <c r="BN258" s="567"/>
      <c r="BO258" s="567"/>
      <c r="BP258" s="567"/>
      <c r="BQ258" s="568" t="s">
        <v>932</v>
      </c>
      <c r="BR258" s="568"/>
      <c r="BS258" s="568"/>
      <c r="BT258" s="567" t="s">
        <v>932</v>
      </c>
      <c r="BU258" s="567"/>
      <c r="BV258" s="567"/>
      <c r="BW258" s="567"/>
      <c r="BX258" s="568" t="s">
        <v>932</v>
      </c>
      <c r="BY258" s="568"/>
      <c r="BZ258" s="568"/>
      <c r="CA258" s="567" t="s">
        <v>932</v>
      </c>
      <c r="CB258" s="567"/>
      <c r="CC258" s="567"/>
      <c r="CD258" s="567"/>
      <c r="CE258" s="568">
        <v>1</v>
      </c>
      <c r="CF258" s="568"/>
      <c r="CG258" s="568"/>
      <c r="CH258" s="567" t="s">
        <v>932</v>
      </c>
      <c r="CI258" s="567"/>
      <c r="CJ258" s="567"/>
      <c r="CK258" s="567"/>
      <c r="CL258" s="568" t="s">
        <v>932</v>
      </c>
      <c r="CM258" s="568"/>
      <c r="CN258" s="568"/>
    </row>
    <row r="259" hidden="1" customHeight="1" spans="1:92">
      <c r="A259" s="569"/>
      <c r="B259" s="570"/>
      <c r="C259" s="571"/>
      <c r="D259" s="572"/>
      <c r="E259" s="573"/>
      <c r="F259" s="574"/>
      <c r="G259" s="575"/>
      <c r="H259" s="576"/>
      <c r="I259" s="577"/>
      <c r="J259" s="578"/>
      <c r="K259" s="578"/>
      <c r="L259" s="578"/>
      <c r="M259" s="578"/>
      <c r="N259" s="578"/>
      <c r="O259" s="578"/>
      <c r="P259" s="578"/>
      <c r="Q259" s="578"/>
      <c r="R259" s="578"/>
      <c r="S259" s="578"/>
      <c r="T259" s="578"/>
      <c r="U259" s="578"/>
      <c r="V259" s="578"/>
      <c r="W259" s="578"/>
      <c r="X259" s="578"/>
      <c r="Y259" s="578"/>
      <c r="Z259" s="578"/>
      <c r="AA259" s="579"/>
      <c r="AB259" s="580"/>
      <c r="AC259" s="581"/>
      <c r="AD259" s="582"/>
      <c r="AE259" s="583"/>
      <c r="AF259" s="584"/>
      <c r="AG259" s="553">
        <v>0</v>
      </c>
      <c r="AH259" s="554"/>
      <c r="AI259" s="555" t="e">
        <v>#N/A</v>
      </c>
      <c r="AJ259" s="556"/>
      <c r="AK259" s="556"/>
      <c r="AL259" s="556"/>
      <c r="AM259" s="556"/>
      <c r="AN259" s="556"/>
      <c r="AO259" s="556"/>
      <c r="AP259" s="556"/>
      <c r="AQ259" s="556"/>
      <c r="AR259" s="556"/>
      <c r="AS259" s="556"/>
      <c r="AT259" s="556"/>
      <c r="AU259" s="556"/>
      <c r="AV259" s="557"/>
      <c r="AW259" s="558">
        <v>0</v>
      </c>
      <c r="AX259" s="559"/>
      <c r="AY259" s="560"/>
      <c r="AZ259" s="585"/>
      <c r="BA259" s="586"/>
      <c r="BB259" s="587"/>
      <c r="BC259" s="558">
        <v>0</v>
      </c>
      <c r="BD259" s="559"/>
      <c r="BE259" s="560"/>
      <c r="BF259" s="558">
        <v>182.49</v>
      </c>
      <c r="BG259" s="559"/>
      <c r="BH259" s="560"/>
      <c r="BI259" s="564">
        <v>0</v>
      </c>
      <c r="BJ259" s="565"/>
      <c r="BK259" s="565"/>
      <c r="BL259" s="566"/>
      <c r="BM259" s="567" t="s">
        <v>932</v>
      </c>
      <c r="BN259" s="567"/>
      <c r="BO259" s="567"/>
      <c r="BP259" s="567"/>
      <c r="BQ259" s="568" t="s">
        <v>932</v>
      </c>
      <c r="BR259" s="568"/>
      <c r="BS259" s="568"/>
      <c r="BT259" s="567" t="s">
        <v>932</v>
      </c>
      <c r="BU259" s="567"/>
      <c r="BV259" s="567"/>
      <c r="BW259" s="567"/>
      <c r="BX259" s="568" t="s">
        <v>932</v>
      </c>
      <c r="BY259" s="568"/>
      <c r="BZ259" s="568"/>
      <c r="CA259" s="567" t="s">
        <v>932</v>
      </c>
      <c r="CB259" s="567"/>
      <c r="CC259" s="567"/>
      <c r="CD259" s="567"/>
      <c r="CE259" s="568">
        <v>1</v>
      </c>
      <c r="CF259" s="568"/>
      <c r="CG259" s="568"/>
      <c r="CH259" s="567" t="s">
        <v>932</v>
      </c>
      <c r="CI259" s="567"/>
      <c r="CJ259" s="567"/>
      <c r="CK259" s="567"/>
      <c r="CL259" s="568" t="s">
        <v>932</v>
      </c>
      <c r="CM259" s="568"/>
      <c r="CN259" s="568"/>
    </row>
    <row r="260" hidden="1" customHeight="1" spans="1:92">
      <c r="A260" s="569"/>
      <c r="B260" s="570"/>
      <c r="C260" s="571"/>
      <c r="D260" s="572"/>
      <c r="E260" s="573"/>
      <c r="F260" s="574"/>
      <c r="G260" s="575"/>
      <c r="H260" s="576"/>
      <c r="I260" s="577"/>
      <c r="J260" s="578"/>
      <c r="K260" s="578"/>
      <c r="L260" s="578"/>
      <c r="M260" s="578"/>
      <c r="N260" s="578"/>
      <c r="O260" s="578"/>
      <c r="P260" s="578"/>
      <c r="Q260" s="578"/>
      <c r="R260" s="578"/>
      <c r="S260" s="578"/>
      <c r="T260" s="578"/>
      <c r="U260" s="578"/>
      <c r="V260" s="578"/>
      <c r="W260" s="578"/>
      <c r="X260" s="578"/>
      <c r="Y260" s="578"/>
      <c r="Z260" s="578"/>
      <c r="AA260" s="579"/>
      <c r="AB260" s="580"/>
      <c r="AC260" s="581"/>
      <c r="AD260" s="582"/>
      <c r="AE260" s="583"/>
      <c r="AF260" s="584"/>
      <c r="AG260" s="553">
        <v>0</v>
      </c>
      <c r="AH260" s="554"/>
      <c r="AI260" s="555" t="e">
        <v>#N/A</v>
      </c>
      <c r="AJ260" s="556"/>
      <c r="AK260" s="556"/>
      <c r="AL260" s="556"/>
      <c r="AM260" s="556"/>
      <c r="AN260" s="556"/>
      <c r="AO260" s="556"/>
      <c r="AP260" s="556"/>
      <c r="AQ260" s="556"/>
      <c r="AR260" s="556"/>
      <c r="AS260" s="556"/>
      <c r="AT260" s="556"/>
      <c r="AU260" s="556"/>
      <c r="AV260" s="557"/>
      <c r="AW260" s="558">
        <v>0</v>
      </c>
      <c r="AX260" s="559"/>
      <c r="AY260" s="560"/>
      <c r="AZ260" s="585"/>
      <c r="BA260" s="586"/>
      <c r="BB260" s="587"/>
      <c r="BC260" s="558">
        <v>0</v>
      </c>
      <c r="BD260" s="559"/>
      <c r="BE260" s="560"/>
      <c r="BF260" s="558">
        <v>182.49</v>
      </c>
      <c r="BG260" s="559"/>
      <c r="BH260" s="560"/>
      <c r="BI260" s="564">
        <v>0</v>
      </c>
      <c r="BJ260" s="565"/>
      <c r="BK260" s="565"/>
      <c r="BL260" s="566"/>
      <c r="BM260" s="567" t="s">
        <v>932</v>
      </c>
      <c r="BN260" s="567"/>
      <c r="BO260" s="567"/>
      <c r="BP260" s="567"/>
      <c r="BQ260" s="568" t="s">
        <v>932</v>
      </c>
      <c r="BR260" s="568"/>
      <c r="BS260" s="568"/>
      <c r="BT260" s="567" t="s">
        <v>932</v>
      </c>
      <c r="BU260" s="567"/>
      <c r="BV260" s="567"/>
      <c r="BW260" s="567"/>
      <c r="BX260" s="568" t="s">
        <v>932</v>
      </c>
      <c r="BY260" s="568"/>
      <c r="BZ260" s="568"/>
      <c r="CA260" s="567" t="s">
        <v>932</v>
      </c>
      <c r="CB260" s="567"/>
      <c r="CC260" s="567"/>
      <c r="CD260" s="567"/>
      <c r="CE260" s="568">
        <v>1</v>
      </c>
      <c r="CF260" s="568"/>
      <c r="CG260" s="568"/>
      <c r="CH260" s="567" t="s">
        <v>932</v>
      </c>
      <c r="CI260" s="567"/>
      <c r="CJ260" s="567"/>
      <c r="CK260" s="567"/>
      <c r="CL260" s="568" t="s">
        <v>932</v>
      </c>
      <c r="CM260" s="568"/>
      <c r="CN260" s="568"/>
    </row>
    <row r="261" hidden="1" customHeight="1" spans="1:92">
      <c r="A261" s="569"/>
      <c r="B261" s="570"/>
      <c r="C261" s="571"/>
      <c r="D261" s="572"/>
      <c r="E261" s="573"/>
      <c r="F261" s="574"/>
      <c r="G261" s="575"/>
      <c r="H261" s="576"/>
      <c r="I261" s="577"/>
      <c r="J261" s="578"/>
      <c r="K261" s="578"/>
      <c r="L261" s="578"/>
      <c r="M261" s="578"/>
      <c r="N261" s="578"/>
      <c r="O261" s="578"/>
      <c r="P261" s="578"/>
      <c r="Q261" s="578"/>
      <c r="R261" s="578"/>
      <c r="S261" s="578"/>
      <c r="T261" s="578"/>
      <c r="U261" s="578"/>
      <c r="V261" s="578"/>
      <c r="W261" s="578"/>
      <c r="X261" s="578"/>
      <c r="Y261" s="578"/>
      <c r="Z261" s="578"/>
      <c r="AA261" s="579"/>
      <c r="AB261" s="580"/>
      <c r="AC261" s="581"/>
      <c r="AD261" s="582"/>
      <c r="AE261" s="583"/>
      <c r="AF261" s="584"/>
      <c r="AG261" s="553">
        <v>0</v>
      </c>
      <c r="AH261" s="554"/>
      <c r="AI261" s="555" t="e">
        <v>#N/A</v>
      </c>
      <c r="AJ261" s="556"/>
      <c r="AK261" s="556"/>
      <c r="AL261" s="556"/>
      <c r="AM261" s="556"/>
      <c r="AN261" s="556"/>
      <c r="AO261" s="556"/>
      <c r="AP261" s="556"/>
      <c r="AQ261" s="556"/>
      <c r="AR261" s="556"/>
      <c r="AS261" s="556"/>
      <c r="AT261" s="556"/>
      <c r="AU261" s="556"/>
      <c r="AV261" s="557"/>
      <c r="AW261" s="558">
        <v>0</v>
      </c>
      <c r="AX261" s="559"/>
      <c r="AY261" s="560"/>
      <c r="AZ261" s="585"/>
      <c r="BA261" s="586"/>
      <c r="BB261" s="587"/>
      <c r="BC261" s="558">
        <v>0</v>
      </c>
      <c r="BD261" s="559"/>
      <c r="BE261" s="560"/>
      <c r="BF261" s="558">
        <v>182.49</v>
      </c>
      <c r="BG261" s="559"/>
      <c r="BH261" s="560"/>
      <c r="BI261" s="564">
        <v>0</v>
      </c>
      <c r="BJ261" s="565"/>
      <c r="BK261" s="565"/>
      <c r="BL261" s="566"/>
      <c r="BM261" s="567" t="s">
        <v>932</v>
      </c>
      <c r="BN261" s="567"/>
      <c r="BO261" s="567"/>
      <c r="BP261" s="567"/>
      <c r="BQ261" s="568" t="s">
        <v>932</v>
      </c>
      <c r="BR261" s="568"/>
      <c r="BS261" s="568"/>
      <c r="BT261" s="567" t="s">
        <v>932</v>
      </c>
      <c r="BU261" s="567"/>
      <c r="BV261" s="567"/>
      <c r="BW261" s="567"/>
      <c r="BX261" s="568" t="s">
        <v>932</v>
      </c>
      <c r="BY261" s="568"/>
      <c r="BZ261" s="568"/>
      <c r="CA261" s="567" t="s">
        <v>932</v>
      </c>
      <c r="CB261" s="567"/>
      <c r="CC261" s="567"/>
      <c r="CD261" s="567"/>
      <c r="CE261" s="568">
        <v>1</v>
      </c>
      <c r="CF261" s="568"/>
      <c r="CG261" s="568"/>
      <c r="CH261" s="567" t="s">
        <v>932</v>
      </c>
      <c r="CI261" s="567"/>
      <c r="CJ261" s="567"/>
      <c r="CK261" s="567"/>
      <c r="CL261" s="568" t="s">
        <v>932</v>
      </c>
      <c r="CM261" s="568"/>
      <c r="CN261" s="568"/>
    </row>
    <row r="262" hidden="1" customHeight="1" spans="1:92">
      <c r="A262" s="569"/>
      <c r="B262" s="570"/>
      <c r="C262" s="571"/>
      <c r="D262" s="572"/>
      <c r="E262" s="573"/>
      <c r="F262" s="574"/>
      <c r="G262" s="575"/>
      <c r="H262" s="576"/>
      <c r="I262" s="577"/>
      <c r="J262" s="578"/>
      <c r="K262" s="578"/>
      <c r="L262" s="578"/>
      <c r="M262" s="578"/>
      <c r="N262" s="578"/>
      <c r="O262" s="578"/>
      <c r="P262" s="578"/>
      <c r="Q262" s="578"/>
      <c r="R262" s="578"/>
      <c r="S262" s="578"/>
      <c r="T262" s="578"/>
      <c r="U262" s="578"/>
      <c r="V262" s="578"/>
      <c r="W262" s="578"/>
      <c r="X262" s="578"/>
      <c r="Y262" s="578"/>
      <c r="Z262" s="578"/>
      <c r="AA262" s="579"/>
      <c r="AB262" s="580"/>
      <c r="AC262" s="581"/>
      <c r="AD262" s="582"/>
      <c r="AE262" s="583"/>
      <c r="AF262" s="584"/>
      <c r="AG262" s="553">
        <v>0</v>
      </c>
      <c r="AH262" s="554"/>
      <c r="AI262" s="555" t="e">
        <v>#N/A</v>
      </c>
      <c r="AJ262" s="556"/>
      <c r="AK262" s="556"/>
      <c r="AL262" s="556"/>
      <c r="AM262" s="556"/>
      <c r="AN262" s="556"/>
      <c r="AO262" s="556"/>
      <c r="AP262" s="556"/>
      <c r="AQ262" s="556"/>
      <c r="AR262" s="556"/>
      <c r="AS262" s="556"/>
      <c r="AT262" s="556"/>
      <c r="AU262" s="556"/>
      <c r="AV262" s="557"/>
      <c r="AW262" s="558">
        <v>0</v>
      </c>
      <c r="AX262" s="559"/>
      <c r="AY262" s="560"/>
      <c r="AZ262" s="585"/>
      <c r="BA262" s="586"/>
      <c r="BB262" s="587"/>
      <c r="BC262" s="558">
        <v>0</v>
      </c>
      <c r="BD262" s="559"/>
      <c r="BE262" s="560"/>
      <c r="BF262" s="558">
        <v>182.49</v>
      </c>
      <c r="BG262" s="559"/>
      <c r="BH262" s="560"/>
      <c r="BI262" s="564">
        <v>0</v>
      </c>
      <c r="BJ262" s="565"/>
      <c r="BK262" s="565"/>
      <c r="BL262" s="566"/>
      <c r="BM262" s="567" t="s">
        <v>932</v>
      </c>
      <c r="BN262" s="567"/>
      <c r="BO262" s="567"/>
      <c r="BP262" s="567"/>
      <c r="BQ262" s="568" t="s">
        <v>932</v>
      </c>
      <c r="BR262" s="568"/>
      <c r="BS262" s="568"/>
      <c r="BT262" s="567" t="s">
        <v>932</v>
      </c>
      <c r="BU262" s="567"/>
      <c r="BV262" s="567"/>
      <c r="BW262" s="567"/>
      <c r="BX262" s="568" t="s">
        <v>932</v>
      </c>
      <c r="BY262" s="568"/>
      <c r="BZ262" s="568"/>
      <c r="CA262" s="567" t="s">
        <v>932</v>
      </c>
      <c r="CB262" s="567"/>
      <c r="CC262" s="567"/>
      <c r="CD262" s="567"/>
      <c r="CE262" s="568">
        <v>1</v>
      </c>
      <c r="CF262" s="568"/>
      <c r="CG262" s="568"/>
      <c r="CH262" s="567" t="s">
        <v>932</v>
      </c>
      <c r="CI262" s="567"/>
      <c r="CJ262" s="567"/>
      <c r="CK262" s="567"/>
      <c r="CL262" s="568" t="s">
        <v>932</v>
      </c>
      <c r="CM262" s="568"/>
      <c r="CN262" s="568"/>
    </row>
    <row r="263" hidden="1" customHeight="1" spans="1:92">
      <c r="A263" s="588"/>
      <c r="B263" s="589"/>
      <c r="C263" s="590"/>
      <c r="D263" s="591"/>
      <c r="E263" s="592"/>
      <c r="F263" s="593"/>
      <c r="G263" s="594"/>
      <c r="H263" s="595"/>
      <c r="I263" s="596"/>
      <c r="J263" s="597"/>
      <c r="K263" s="597"/>
      <c r="L263" s="597"/>
      <c r="M263" s="597"/>
      <c r="N263" s="597"/>
      <c r="O263" s="597"/>
      <c r="P263" s="597"/>
      <c r="Q263" s="597"/>
      <c r="R263" s="597"/>
      <c r="S263" s="597"/>
      <c r="T263" s="597"/>
      <c r="U263" s="597"/>
      <c r="V263" s="597"/>
      <c r="W263" s="597"/>
      <c r="X263" s="597"/>
      <c r="Y263" s="597"/>
      <c r="Z263" s="597"/>
      <c r="AA263" s="598"/>
      <c r="AB263" s="599"/>
      <c r="AC263" s="600"/>
      <c r="AD263" s="601"/>
      <c r="AE263" s="602"/>
      <c r="AF263" s="603"/>
      <c r="AG263" s="553">
        <v>0</v>
      </c>
      <c r="AH263" s="554"/>
      <c r="AI263" s="555" t="e">
        <v>#N/A</v>
      </c>
      <c r="AJ263" s="556"/>
      <c r="AK263" s="556"/>
      <c r="AL263" s="556"/>
      <c r="AM263" s="556"/>
      <c r="AN263" s="556"/>
      <c r="AO263" s="556"/>
      <c r="AP263" s="556"/>
      <c r="AQ263" s="556"/>
      <c r="AR263" s="556"/>
      <c r="AS263" s="556"/>
      <c r="AT263" s="556"/>
      <c r="AU263" s="556"/>
      <c r="AV263" s="557"/>
      <c r="AW263" s="558">
        <v>0</v>
      </c>
      <c r="AX263" s="559"/>
      <c r="AY263" s="560"/>
      <c r="AZ263" s="604"/>
      <c r="BA263" s="605"/>
      <c r="BB263" s="606"/>
      <c r="BC263" s="558">
        <v>0</v>
      </c>
      <c r="BD263" s="559"/>
      <c r="BE263" s="560"/>
      <c r="BF263" s="558">
        <v>182.49</v>
      </c>
      <c r="BG263" s="559"/>
      <c r="BH263" s="560"/>
      <c r="BI263" s="564">
        <v>0</v>
      </c>
      <c r="BJ263" s="565"/>
      <c r="BK263" s="565"/>
      <c r="BL263" s="566"/>
      <c r="BM263" s="567" t="s">
        <v>932</v>
      </c>
      <c r="BN263" s="567"/>
      <c r="BO263" s="567"/>
      <c r="BP263" s="567"/>
      <c r="BQ263" s="568" t="s">
        <v>932</v>
      </c>
      <c r="BR263" s="568"/>
      <c r="BS263" s="568"/>
      <c r="BT263" s="567" t="s">
        <v>932</v>
      </c>
      <c r="BU263" s="567"/>
      <c r="BV263" s="567"/>
      <c r="BW263" s="567"/>
      <c r="BX263" s="568" t="s">
        <v>932</v>
      </c>
      <c r="BY263" s="568"/>
      <c r="BZ263" s="568"/>
      <c r="CA263" s="567" t="s">
        <v>932</v>
      </c>
      <c r="CB263" s="567"/>
      <c r="CC263" s="567"/>
      <c r="CD263" s="567"/>
      <c r="CE263" s="568">
        <v>1</v>
      </c>
      <c r="CF263" s="568"/>
      <c r="CG263" s="568"/>
      <c r="CH263" s="567" t="s">
        <v>932</v>
      </c>
      <c r="CI263" s="567"/>
      <c r="CJ263" s="567"/>
      <c r="CK263" s="567"/>
      <c r="CL263" s="568" t="s">
        <v>932</v>
      </c>
      <c r="CM263" s="568"/>
      <c r="CN263" s="568"/>
    </row>
    <row r="264" customHeight="1" spans="1:92">
      <c r="A264" s="540" t="s">
        <v>973</v>
      </c>
      <c r="B264" s="541"/>
      <c r="C264" s="89"/>
      <c r="D264" s="91"/>
      <c r="E264" s="90"/>
      <c r="F264" s="542">
        <v>1107900</v>
      </c>
      <c r="G264" s="543"/>
      <c r="H264" s="544"/>
      <c r="I264" s="545" t="s">
        <v>108</v>
      </c>
      <c r="J264" s="546"/>
      <c r="K264" s="546"/>
      <c r="L264" s="546"/>
      <c r="M264" s="546"/>
      <c r="N264" s="546"/>
      <c r="O264" s="546"/>
      <c r="P264" s="546"/>
      <c r="Q264" s="546"/>
      <c r="R264" s="546"/>
      <c r="S264" s="546"/>
      <c r="T264" s="546"/>
      <c r="U264" s="546"/>
      <c r="V264" s="546"/>
      <c r="W264" s="546"/>
      <c r="X264" s="546"/>
      <c r="Y264" s="546"/>
      <c r="Z264" s="546"/>
      <c r="AA264" s="547"/>
      <c r="AB264" s="548" t="s">
        <v>99</v>
      </c>
      <c r="AC264" s="549"/>
      <c r="AD264" s="550">
        <v>4.8</v>
      </c>
      <c r="AE264" s="551"/>
      <c r="AF264" s="552"/>
      <c r="AG264" s="553" t="s">
        <v>1066</v>
      </c>
      <c r="AH264" s="554"/>
      <c r="AI264" s="555" t="s">
        <v>1067</v>
      </c>
      <c r="AJ264" s="556"/>
      <c r="AK264" s="556"/>
      <c r="AL264" s="556"/>
      <c r="AM264" s="556"/>
      <c r="AN264" s="556"/>
      <c r="AO264" s="556"/>
      <c r="AP264" s="556"/>
      <c r="AQ264" s="556"/>
      <c r="AR264" s="556"/>
      <c r="AS264" s="556"/>
      <c r="AT264" s="556"/>
      <c r="AU264" s="556"/>
      <c r="AV264" s="557"/>
      <c r="AW264" s="558">
        <v>1</v>
      </c>
      <c r="AX264" s="559"/>
      <c r="AY264" s="560"/>
      <c r="AZ264" s="561">
        <v>3.853</v>
      </c>
      <c r="BA264" s="562"/>
      <c r="BB264" s="563"/>
      <c r="BC264" s="558">
        <v>1.2457825071373</v>
      </c>
      <c r="BD264" s="559"/>
      <c r="BE264" s="560"/>
      <c r="BF264" s="558">
        <v>182.49</v>
      </c>
      <c r="BG264" s="559"/>
      <c r="BH264" s="560"/>
      <c r="BI264" s="564">
        <v>0.00682657957771547</v>
      </c>
      <c r="BJ264" s="565"/>
      <c r="BK264" s="565"/>
      <c r="BL264" s="566"/>
      <c r="BM264" s="567" t="s">
        <v>932</v>
      </c>
      <c r="BN264" s="567"/>
      <c r="BO264" s="567"/>
      <c r="BP264" s="567"/>
      <c r="BQ264" s="568" t="s">
        <v>932</v>
      </c>
      <c r="BR264" s="568"/>
      <c r="BS264" s="568"/>
      <c r="BT264" s="567" t="s">
        <v>932</v>
      </c>
      <c r="BU264" s="567"/>
      <c r="BV264" s="567"/>
      <c r="BW264" s="567"/>
      <c r="BX264" s="568" t="s">
        <v>932</v>
      </c>
      <c r="BY264" s="568"/>
      <c r="BZ264" s="568"/>
      <c r="CA264" s="567">
        <v>0.00682657957771547</v>
      </c>
      <c r="CB264" s="567"/>
      <c r="CC264" s="567"/>
      <c r="CD264" s="567"/>
      <c r="CE264" s="568">
        <v>1</v>
      </c>
      <c r="CF264" s="568"/>
      <c r="CG264" s="568"/>
      <c r="CH264" s="567" t="s">
        <v>932</v>
      </c>
      <c r="CI264" s="567"/>
      <c r="CJ264" s="567"/>
      <c r="CK264" s="567"/>
      <c r="CL264" s="568" t="s">
        <v>932</v>
      </c>
      <c r="CM264" s="568"/>
      <c r="CN264" s="568"/>
    </row>
    <row r="265" customHeight="1" spans="1:92">
      <c r="A265" s="569"/>
      <c r="B265" s="570"/>
      <c r="C265" s="571"/>
      <c r="D265" s="572"/>
      <c r="E265" s="573"/>
      <c r="F265" s="574"/>
      <c r="G265" s="575"/>
      <c r="H265" s="576"/>
      <c r="I265" s="577"/>
      <c r="J265" s="578"/>
      <c r="K265" s="578"/>
      <c r="L265" s="578"/>
      <c r="M265" s="578"/>
      <c r="N265" s="578"/>
      <c r="O265" s="578"/>
      <c r="P265" s="578"/>
      <c r="Q265" s="578"/>
      <c r="R265" s="578"/>
      <c r="S265" s="578"/>
      <c r="T265" s="578"/>
      <c r="U265" s="578"/>
      <c r="V265" s="578"/>
      <c r="W265" s="578"/>
      <c r="X265" s="578"/>
      <c r="Y265" s="578"/>
      <c r="Z265" s="578"/>
      <c r="AA265" s="579"/>
      <c r="AB265" s="580"/>
      <c r="AC265" s="581"/>
      <c r="AD265" s="582"/>
      <c r="AE265" s="583"/>
      <c r="AF265" s="584"/>
      <c r="AG265" s="553" t="s">
        <v>1068</v>
      </c>
      <c r="AH265" s="554"/>
      <c r="AI265" s="555" t="s">
        <v>1069</v>
      </c>
      <c r="AJ265" s="556"/>
      <c r="AK265" s="556"/>
      <c r="AL265" s="556"/>
      <c r="AM265" s="556"/>
      <c r="AN265" s="556"/>
      <c r="AO265" s="556"/>
      <c r="AP265" s="556"/>
      <c r="AQ265" s="556"/>
      <c r="AR265" s="556"/>
      <c r="AS265" s="556"/>
      <c r="AT265" s="556"/>
      <c r="AU265" s="556"/>
      <c r="AV265" s="557"/>
      <c r="AW265" s="558">
        <v>1</v>
      </c>
      <c r="AX265" s="559"/>
      <c r="AY265" s="560"/>
      <c r="AZ265" s="585"/>
      <c r="BA265" s="586"/>
      <c r="BB265" s="587"/>
      <c r="BC265" s="558">
        <v>1.2457825071373</v>
      </c>
      <c r="BD265" s="559"/>
      <c r="BE265" s="560"/>
      <c r="BF265" s="558">
        <v>182.49</v>
      </c>
      <c r="BG265" s="559"/>
      <c r="BH265" s="560"/>
      <c r="BI265" s="564">
        <v>0.00682657957771547</v>
      </c>
      <c r="BJ265" s="565"/>
      <c r="BK265" s="565"/>
      <c r="BL265" s="566"/>
      <c r="BM265" s="567" t="s">
        <v>932</v>
      </c>
      <c r="BN265" s="567"/>
      <c r="BO265" s="567"/>
      <c r="BP265" s="567"/>
      <c r="BQ265" s="568" t="s">
        <v>932</v>
      </c>
      <c r="BR265" s="568"/>
      <c r="BS265" s="568"/>
      <c r="BT265" s="567" t="s">
        <v>932</v>
      </c>
      <c r="BU265" s="567"/>
      <c r="BV265" s="567"/>
      <c r="BW265" s="567"/>
      <c r="BX265" s="568" t="s">
        <v>932</v>
      </c>
      <c r="BY265" s="568"/>
      <c r="BZ265" s="568"/>
      <c r="CA265" s="567">
        <v>0.00682657957771547</v>
      </c>
      <c r="CB265" s="567"/>
      <c r="CC265" s="567"/>
      <c r="CD265" s="567"/>
      <c r="CE265" s="568">
        <v>1</v>
      </c>
      <c r="CF265" s="568"/>
      <c r="CG265" s="568"/>
      <c r="CH265" s="567" t="s">
        <v>932</v>
      </c>
      <c r="CI265" s="567"/>
      <c r="CJ265" s="567"/>
      <c r="CK265" s="567"/>
      <c r="CL265" s="568" t="s">
        <v>932</v>
      </c>
      <c r="CM265" s="568"/>
      <c r="CN265" s="568"/>
    </row>
    <row r="266" customHeight="1" spans="1:92">
      <c r="A266" s="569"/>
      <c r="B266" s="570"/>
      <c r="C266" s="571"/>
      <c r="D266" s="572"/>
      <c r="E266" s="573"/>
      <c r="F266" s="574"/>
      <c r="G266" s="575"/>
      <c r="H266" s="576"/>
      <c r="I266" s="577"/>
      <c r="J266" s="578"/>
      <c r="K266" s="578"/>
      <c r="L266" s="578"/>
      <c r="M266" s="578"/>
      <c r="N266" s="578"/>
      <c r="O266" s="578"/>
      <c r="P266" s="578"/>
      <c r="Q266" s="578"/>
      <c r="R266" s="578"/>
      <c r="S266" s="578"/>
      <c r="T266" s="578"/>
      <c r="U266" s="578"/>
      <c r="V266" s="578"/>
      <c r="W266" s="578"/>
      <c r="X266" s="578"/>
      <c r="Y266" s="578"/>
      <c r="Z266" s="578"/>
      <c r="AA266" s="579"/>
      <c r="AB266" s="580"/>
      <c r="AC266" s="581"/>
      <c r="AD266" s="582"/>
      <c r="AE266" s="583"/>
      <c r="AF266" s="584"/>
      <c r="AG266" s="553" t="s">
        <v>1070</v>
      </c>
      <c r="AH266" s="554"/>
      <c r="AI266" s="555" t="s">
        <v>1071</v>
      </c>
      <c r="AJ266" s="556"/>
      <c r="AK266" s="556"/>
      <c r="AL266" s="556"/>
      <c r="AM266" s="556"/>
      <c r="AN266" s="556"/>
      <c r="AO266" s="556"/>
      <c r="AP266" s="556"/>
      <c r="AQ266" s="556"/>
      <c r="AR266" s="556"/>
      <c r="AS266" s="556"/>
      <c r="AT266" s="556"/>
      <c r="AU266" s="556"/>
      <c r="AV266" s="557"/>
      <c r="AW266" s="558">
        <v>4</v>
      </c>
      <c r="AX266" s="559"/>
      <c r="AY266" s="560"/>
      <c r="AZ266" s="585"/>
      <c r="BA266" s="586"/>
      <c r="BB266" s="587"/>
      <c r="BC266" s="558">
        <v>4.98313002854918</v>
      </c>
      <c r="BD266" s="559"/>
      <c r="BE266" s="560"/>
      <c r="BF266" s="558">
        <v>182.49</v>
      </c>
      <c r="BG266" s="559"/>
      <c r="BH266" s="560"/>
      <c r="BI266" s="564">
        <v>0.0273063183108619</v>
      </c>
      <c r="BJ266" s="565"/>
      <c r="BK266" s="565"/>
      <c r="BL266" s="566"/>
      <c r="BM266" s="567" t="s">
        <v>932</v>
      </c>
      <c r="BN266" s="567"/>
      <c r="BO266" s="567"/>
      <c r="BP266" s="567"/>
      <c r="BQ266" s="568" t="s">
        <v>932</v>
      </c>
      <c r="BR266" s="568"/>
      <c r="BS266" s="568"/>
      <c r="BT266" s="567" t="s">
        <v>932</v>
      </c>
      <c r="BU266" s="567"/>
      <c r="BV266" s="567"/>
      <c r="BW266" s="567"/>
      <c r="BX266" s="568" t="s">
        <v>932</v>
      </c>
      <c r="BY266" s="568"/>
      <c r="BZ266" s="568"/>
      <c r="CA266" s="567">
        <v>0.0273063183108619</v>
      </c>
      <c r="CB266" s="567"/>
      <c r="CC266" s="567"/>
      <c r="CD266" s="567"/>
      <c r="CE266" s="568">
        <v>1</v>
      </c>
      <c r="CF266" s="568"/>
      <c r="CG266" s="568"/>
      <c r="CH266" s="567" t="s">
        <v>932</v>
      </c>
      <c r="CI266" s="567"/>
      <c r="CJ266" s="567"/>
      <c r="CK266" s="567"/>
      <c r="CL266" s="568" t="s">
        <v>932</v>
      </c>
      <c r="CM266" s="568"/>
      <c r="CN266" s="568"/>
    </row>
    <row r="267" customHeight="1" spans="1:92">
      <c r="A267" s="569"/>
      <c r="B267" s="570"/>
      <c r="C267" s="571"/>
      <c r="D267" s="572"/>
      <c r="E267" s="573"/>
      <c r="F267" s="574"/>
      <c r="G267" s="575"/>
      <c r="H267" s="576"/>
      <c r="I267" s="577"/>
      <c r="J267" s="578"/>
      <c r="K267" s="578"/>
      <c r="L267" s="578"/>
      <c r="M267" s="578"/>
      <c r="N267" s="578"/>
      <c r="O267" s="578"/>
      <c r="P267" s="578"/>
      <c r="Q267" s="578"/>
      <c r="R267" s="578"/>
      <c r="S267" s="578"/>
      <c r="T267" s="578"/>
      <c r="U267" s="578"/>
      <c r="V267" s="578"/>
      <c r="W267" s="578"/>
      <c r="X267" s="578"/>
      <c r="Y267" s="578"/>
      <c r="Z267" s="578"/>
      <c r="AA267" s="579"/>
      <c r="AB267" s="580"/>
      <c r="AC267" s="581"/>
      <c r="AD267" s="582"/>
      <c r="AE267" s="583"/>
      <c r="AF267" s="584"/>
      <c r="AG267" s="553" t="s">
        <v>1072</v>
      </c>
      <c r="AH267" s="554"/>
      <c r="AI267" s="555" t="s">
        <v>1073</v>
      </c>
      <c r="AJ267" s="556"/>
      <c r="AK267" s="556"/>
      <c r="AL267" s="556"/>
      <c r="AM267" s="556"/>
      <c r="AN267" s="556"/>
      <c r="AO267" s="556"/>
      <c r="AP267" s="556"/>
      <c r="AQ267" s="556"/>
      <c r="AR267" s="556"/>
      <c r="AS267" s="556"/>
      <c r="AT267" s="556"/>
      <c r="AU267" s="556"/>
      <c r="AV267" s="557"/>
      <c r="AW267" s="558">
        <v>3</v>
      </c>
      <c r="AX267" s="559"/>
      <c r="AY267" s="560"/>
      <c r="AZ267" s="585"/>
      <c r="BA267" s="586"/>
      <c r="BB267" s="587"/>
      <c r="BC267" s="558">
        <v>3.73734752141189</v>
      </c>
      <c r="BD267" s="559"/>
      <c r="BE267" s="560"/>
      <c r="BF267" s="558">
        <v>182.49</v>
      </c>
      <c r="BG267" s="559"/>
      <c r="BH267" s="560"/>
      <c r="BI267" s="564">
        <v>0.0204797387331464</v>
      </c>
      <c r="BJ267" s="565"/>
      <c r="BK267" s="565"/>
      <c r="BL267" s="566"/>
      <c r="BM267" s="567" t="s">
        <v>932</v>
      </c>
      <c r="BN267" s="567"/>
      <c r="BO267" s="567"/>
      <c r="BP267" s="567"/>
      <c r="BQ267" s="568" t="s">
        <v>932</v>
      </c>
      <c r="BR267" s="568"/>
      <c r="BS267" s="568"/>
      <c r="BT267" s="567" t="s">
        <v>932</v>
      </c>
      <c r="BU267" s="567"/>
      <c r="BV267" s="567"/>
      <c r="BW267" s="567"/>
      <c r="BX267" s="568" t="s">
        <v>932</v>
      </c>
      <c r="BY267" s="568"/>
      <c r="BZ267" s="568"/>
      <c r="CA267" s="567">
        <v>0.0204797387331464</v>
      </c>
      <c r="CB267" s="567"/>
      <c r="CC267" s="567"/>
      <c r="CD267" s="567"/>
      <c r="CE267" s="568">
        <v>1</v>
      </c>
      <c r="CF267" s="568"/>
      <c r="CG267" s="568"/>
      <c r="CH267" s="567" t="s">
        <v>932</v>
      </c>
      <c r="CI267" s="567"/>
      <c r="CJ267" s="567"/>
      <c r="CK267" s="567"/>
      <c r="CL267" s="568" t="s">
        <v>932</v>
      </c>
      <c r="CM267" s="568"/>
      <c r="CN267" s="568"/>
    </row>
    <row r="268" hidden="1" customHeight="1" spans="1:92">
      <c r="A268" s="569"/>
      <c r="B268" s="570"/>
      <c r="C268" s="571"/>
      <c r="D268" s="572"/>
      <c r="E268" s="573"/>
      <c r="F268" s="574"/>
      <c r="G268" s="575"/>
      <c r="H268" s="576"/>
      <c r="I268" s="577"/>
      <c r="J268" s="578"/>
      <c r="K268" s="578"/>
      <c r="L268" s="578"/>
      <c r="M268" s="578"/>
      <c r="N268" s="578"/>
      <c r="O268" s="578"/>
      <c r="P268" s="578"/>
      <c r="Q268" s="578"/>
      <c r="R268" s="578"/>
      <c r="S268" s="578"/>
      <c r="T268" s="578"/>
      <c r="U268" s="578"/>
      <c r="V268" s="578"/>
      <c r="W268" s="578"/>
      <c r="X268" s="578"/>
      <c r="Y268" s="578"/>
      <c r="Z268" s="578"/>
      <c r="AA268" s="579"/>
      <c r="AB268" s="580"/>
      <c r="AC268" s="581"/>
      <c r="AD268" s="582"/>
      <c r="AE268" s="583"/>
      <c r="AF268" s="584"/>
      <c r="AG268" s="553">
        <v>0</v>
      </c>
      <c r="AH268" s="554"/>
      <c r="AI268" s="555" t="e">
        <v>#N/A</v>
      </c>
      <c r="AJ268" s="556"/>
      <c r="AK268" s="556"/>
      <c r="AL268" s="556"/>
      <c r="AM268" s="556"/>
      <c r="AN268" s="556"/>
      <c r="AO268" s="556"/>
      <c r="AP268" s="556"/>
      <c r="AQ268" s="556"/>
      <c r="AR268" s="556"/>
      <c r="AS268" s="556"/>
      <c r="AT268" s="556"/>
      <c r="AU268" s="556"/>
      <c r="AV268" s="557"/>
      <c r="AW268" s="558">
        <v>0</v>
      </c>
      <c r="AX268" s="559"/>
      <c r="AY268" s="560"/>
      <c r="AZ268" s="585"/>
      <c r="BA268" s="586"/>
      <c r="BB268" s="587"/>
      <c r="BC268" s="558">
        <v>0</v>
      </c>
      <c r="BD268" s="559"/>
      <c r="BE268" s="560"/>
      <c r="BF268" s="558">
        <v>182.49</v>
      </c>
      <c r="BG268" s="559"/>
      <c r="BH268" s="560"/>
      <c r="BI268" s="564">
        <v>0</v>
      </c>
      <c r="BJ268" s="565"/>
      <c r="BK268" s="565"/>
      <c r="BL268" s="566"/>
      <c r="BM268" s="567" t="s">
        <v>932</v>
      </c>
      <c r="BN268" s="567"/>
      <c r="BO268" s="567"/>
      <c r="BP268" s="567"/>
      <c r="BQ268" s="568" t="s">
        <v>932</v>
      </c>
      <c r="BR268" s="568"/>
      <c r="BS268" s="568"/>
      <c r="BT268" s="567" t="s">
        <v>932</v>
      </c>
      <c r="BU268" s="567"/>
      <c r="BV268" s="567"/>
      <c r="BW268" s="567"/>
      <c r="BX268" s="568" t="s">
        <v>932</v>
      </c>
      <c r="BY268" s="568"/>
      <c r="BZ268" s="568"/>
      <c r="CA268" s="567" t="s">
        <v>932</v>
      </c>
      <c r="CB268" s="567"/>
      <c r="CC268" s="567"/>
      <c r="CD268" s="567"/>
      <c r="CE268" s="568">
        <v>1</v>
      </c>
      <c r="CF268" s="568"/>
      <c r="CG268" s="568"/>
      <c r="CH268" s="567" t="s">
        <v>932</v>
      </c>
      <c r="CI268" s="567"/>
      <c r="CJ268" s="567"/>
      <c r="CK268" s="567"/>
      <c r="CL268" s="568" t="s">
        <v>932</v>
      </c>
      <c r="CM268" s="568"/>
      <c r="CN268" s="568"/>
    </row>
    <row r="269" hidden="1" customHeight="1" spans="1:92">
      <c r="A269" s="569"/>
      <c r="B269" s="570"/>
      <c r="C269" s="571"/>
      <c r="D269" s="572"/>
      <c r="E269" s="573"/>
      <c r="F269" s="574"/>
      <c r="G269" s="575"/>
      <c r="H269" s="576"/>
      <c r="I269" s="577"/>
      <c r="J269" s="578"/>
      <c r="K269" s="578"/>
      <c r="L269" s="578"/>
      <c r="M269" s="578"/>
      <c r="N269" s="578"/>
      <c r="O269" s="578"/>
      <c r="P269" s="578"/>
      <c r="Q269" s="578"/>
      <c r="R269" s="578"/>
      <c r="S269" s="578"/>
      <c r="T269" s="578"/>
      <c r="U269" s="578"/>
      <c r="V269" s="578"/>
      <c r="W269" s="578"/>
      <c r="X269" s="578"/>
      <c r="Y269" s="578"/>
      <c r="Z269" s="578"/>
      <c r="AA269" s="579"/>
      <c r="AB269" s="580"/>
      <c r="AC269" s="581"/>
      <c r="AD269" s="582"/>
      <c r="AE269" s="583"/>
      <c r="AF269" s="584"/>
      <c r="AG269" s="553">
        <v>0</v>
      </c>
      <c r="AH269" s="554"/>
      <c r="AI269" s="555" t="e">
        <v>#N/A</v>
      </c>
      <c r="AJ269" s="556"/>
      <c r="AK269" s="556"/>
      <c r="AL269" s="556"/>
      <c r="AM269" s="556"/>
      <c r="AN269" s="556"/>
      <c r="AO269" s="556"/>
      <c r="AP269" s="556"/>
      <c r="AQ269" s="556"/>
      <c r="AR269" s="556"/>
      <c r="AS269" s="556"/>
      <c r="AT269" s="556"/>
      <c r="AU269" s="556"/>
      <c r="AV269" s="557"/>
      <c r="AW269" s="558">
        <v>0</v>
      </c>
      <c r="AX269" s="559"/>
      <c r="AY269" s="560"/>
      <c r="AZ269" s="585"/>
      <c r="BA269" s="586"/>
      <c r="BB269" s="587"/>
      <c r="BC269" s="558">
        <v>0</v>
      </c>
      <c r="BD269" s="559"/>
      <c r="BE269" s="560"/>
      <c r="BF269" s="558">
        <v>182.49</v>
      </c>
      <c r="BG269" s="559"/>
      <c r="BH269" s="560"/>
      <c r="BI269" s="564">
        <v>0</v>
      </c>
      <c r="BJ269" s="565"/>
      <c r="BK269" s="565"/>
      <c r="BL269" s="566"/>
      <c r="BM269" s="567" t="s">
        <v>932</v>
      </c>
      <c r="BN269" s="567"/>
      <c r="BO269" s="567"/>
      <c r="BP269" s="567"/>
      <c r="BQ269" s="568" t="s">
        <v>932</v>
      </c>
      <c r="BR269" s="568"/>
      <c r="BS269" s="568"/>
      <c r="BT269" s="567" t="s">
        <v>932</v>
      </c>
      <c r="BU269" s="567"/>
      <c r="BV269" s="567"/>
      <c r="BW269" s="567"/>
      <c r="BX269" s="568" t="s">
        <v>932</v>
      </c>
      <c r="BY269" s="568"/>
      <c r="BZ269" s="568"/>
      <c r="CA269" s="567" t="s">
        <v>932</v>
      </c>
      <c r="CB269" s="567"/>
      <c r="CC269" s="567"/>
      <c r="CD269" s="567"/>
      <c r="CE269" s="568">
        <v>1</v>
      </c>
      <c r="CF269" s="568"/>
      <c r="CG269" s="568"/>
      <c r="CH269" s="567" t="s">
        <v>932</v>
      </c>
      <c r="CI269" s="567"/>
      <c r="CJ269" s="567"/>
      <c r="CK269" s="567"/>
      <c r="CL269" s="568" t="s">
        <v>932</v>
      </c>
      <c r="CM269" s="568"/>
      <c r="CN269" s="568"/>
    </row>
    <row r="270" hidden="1" customHeight="1" spans="1:92">
      <c r="A270" s="569"/>
      <c r="B270" s="570"/>
      <c r="C270" s="571"/>
      <c r="D270" s="572"/>
      <c r="E270" s="573"/>
      <c r="F270" s="574"/>
      <c r="G270" s="575"/>
      <c r="H270" s="576"/>
      <c r="I270" s="577"/>
      <c r="J270" s="578"/>
      <c r="K270" s="578"/>
      <c r="L270" s="578"/>
      <c r="M270" s="578"/>
      <c r="N270" s="578"/>
      <c r="O270" s="578"/>
      <c r="P270" s="578"/>
      <c r="Q270" s="578"/>
      <c r="R270" s="578"/>
      <c r="S270" s="578"/>
      <c r="T270" s="578"/>
      <c r="U270" s="578"/>
      <c r="V270" s="578"/>
      <c r="W270" s="578"/>
      <c r="X270" s="578"/>
      <c r="Y270" s="578"/>
      <c r="Z270" s="578"/>
      <c r="AA270" s="579"/>
      <c r="AB270" s="580"/>
      <c r="AC270" s="581"/>
      <c r="AD270" s="582"/>
      <c r="AE270" s="583"/>
      <c r="AF270" s="584"/>
      <c r="AG270" s="553">
        <v>0</v>
      </c>
      <c r="AH270" s="554"/>
      <c r="AI270" s="555" t="e">
        <v>#N/A</v>
      </c>
      <c r="AJ270" s="556"/>
      <c r="AK270" s="556"/>
      <c r="AL270" s="556"/>
      <c r="AM270" s="556"/>
      <c r="AN270" s="556"/>
      <c r="AO270" s="556"/>
      <c r="AP270" s="556"/>
      <c r="AQ270" s="556"/>
      <c r="AR270" s="556"/>
      <c r="AS270" s="556"/>
      <c r="AT270" s="556"/>
      <c r="AU270" s="556"/>
      <c r="AV270" s="557"/>
      <c r="AW270" s="558">
        <v>0</v>
      </c>
      <c r="AX270" s="559"/>
      <c r="AY270" s="560"/>
      <c r="AZ270" s="585"/>
      <c r="BA270" s="586"/>
      <c r="BB270" s="587"/>
      <c r="BC270" s="558">
        <v>0</v>
      </c>
      <c r="BD270" s="559"/>
      <c r="BE270" s="560"/>
      <c r="BF270" s="558">
        <v>182.49</v>
      </c>
      <c r="BG270" s="559"/>
      <c r="BH270" s="560"/>
      <c r="BI270" s="564">
        <v>0</v>
      </c>
      <c r="BJ270" s="565"/>
      <c r="BK270" s="565"/>
      <c r="BL270" s="566"/>
      <c r="BM270" s="567" t="s">
        <v>932</v>
      </c>
      <c r="BN270" s="567"/>
      <c r="BO270" s="567"/>
      <c r="BP270" s="567"/>
      <c r="BQ270" s="568" t="s">
        <v>932</v>
      </c>
      <c r="BR270" s="568"/>
      <c r="BS270" s="568"/>
      <c r="BT270" s="567" t="s">
        <v>932</v>
      </c>
      <c r="BU270" s="567"/>
      <c r="BV270" s="567"/>
      <c r="BW270" s="567"/>
      <c r="BX270" s="568" t="s">
        <v>932</v>
      </c>
      <c r="BY270" s="568"/>
      <c r="BZ270" s="568"/>
      <c r="CA270" s="567" t="s">
        <v>932</v>
      </c>
      <c r="CB270" s="567"/>
      <c r="CC270" s="567"/>
      <c r="CD270" s="567"/>
      <c r="CE270" s="568">
        <v>1</v>
      </c>
      <c r="CF270" s="568"/>
      <c r="CG270" s="568"/>
      <c r="CH270" s="567" t="s">
        <v>932</v>
      </c>
      <c r="CI270" s="567"/>
      <c r="CJ270" s="567"/>
      <c r="CK270" s="567"/>
      <c r="CL270" s="568" t="s">
        <v>932</v>
      </c>
      <c r="CM270" s="568"/>
      <c r="CN270" s="568"/>
    </row>
    <row r="271" hidden="1" customHeight="1" spans="1:92">
      <c r="A271" s="588"/>
      <c r="B271" s="589"/>
      <c r="C271" s="590"/>
      <c r="D271" s="591"/>
      <c r="E271" s="592"/>
      <c r="F271" s="593"/>
      <c r="G271" s="594"/>
      <c r="H271" s="595"/>
      <c r="I271" s="596"/>
      <c r="J271" s="597"/>
      <c r="K271" s="597"/>
      <c r="L271" s="597"/>
      <c r="M271" s="597"/>
      <c r="N271" s="597"/>
      <c r="O271" s="597"/>
      <c r="P271" s="597"/>
      <c r="Q271" s="597"/>
      <c r="R271" s="597"/>
      <c r="S271" s="597"/>
      <c r="T271" s="597"/>
      <c r="U271" s="597"/>
      <c r="V271" s="597"/>
      <c r="W271" s="597"/>
      <c r="X271" s="597"/>
      <c r="Y271" s="597"/>
      <c r="Z271" s="597"/>
      <c r="AA271" s="598"/>
      <c r="AB271" s="599"/>
      <c r="AC271" s="600"/>
      <c r="AD271" s="601"/>
      <c r="AE271" s="602"/>
      <c r="AF271" s="603"/>
      <c r="AG271" s="553">
        <v>0</v>
      </c>
      <c r="AH271" s="554"/>
      <c r="AI271" s="555" t="e">
        <v>#N/A</v>
      </c>
      <c r="AJ271" s="556"/>
      <c r="AK271" s="556"/>
      <c r="AL271" s="556"/>
      <c r="AM271" s="556"/>
      <c r="AN271" s="556"/>
      <c r="AO271" s="556"/>
      <c r="AP271" s="556"/>
      <c r="AQ271" s="556"/>
      <c r="AR271" s="556"/>
      <c r="AS271" s="556"/>
      <c r="AT271" s="556"/>
      <c r="AU271" s="556"/>
      <c r="AV271" s="557"/>
      <c r="AW271" s="558">
        <v>0</v>
      </c>
      <c r="AX271" s="559"/>
      <c r="AY271" s="560"/>
      <c r="AZ271" s="604"/>
      <c r="BA271" s="605"/>
      <c r="BB271" s="606"/>
      <c r="BC271" s="558">
        <v>0</v>
      </c>
      <c r="BD271" s="559"/>
      <c r="BE271" s="560"/>
      <c r="BF271" s="558">
        <v>182.49</v>
      </c>
      <c r="BG271" s="559"/>
      <c r="BH271" s="560"/>
      <c r="BI271" s="564">
        <v>0</v>
      </c>
      <c r="BJ271" s="565"/>
      <c r="BK271" s="565"/>
      <c r="BL271" s="566"/>
      <c r="BM271" s="567" t="s">
        <v>932</v>
      </c>
      <c r="BN271" s="567"/>
      <c r="BO271" s="567"/>
      <c r="BP271" s="567"/>
      <c r="BQ271" s="568" t="s">
        <v>932</v>
      </c>
      <c r="BR271" s="568"/>
      <c r="BS271" s="568"/>
      <c r="BT271" s="567" t="s">
        <v>932</v>
      </c>
      <c r="BU271" s="567"/>
      <c r="BV271" s="567"/>
      <c r="BW271" s="567"/>
      <c r="BX271" s="568" t="s">
        <v>932</v>
      </c>
      <c r="BY271" s="568"/>
      <c r="BZ271" s="568"/>
      <c r="CA271" s="567" t="s">
        <v>932</v>
      </c>
      <c r="CB271" s="567"/>
      <c r="CC271" s="567"/>
      <c r="CD271" s="567"/>
      <c r="CE271" s="568">
        <v>1</v>
      </c>
      <c r="CF271" s="568"/>
      <c r="CG271" s="568"/>
      <c r="CH271" s="567" t="s">
        <v>932</v>
      </c>
      <c r="CI271" s="567"/>
      <c r="CJ271" s="567"/>
      <c r="CK271" s="567"/>
      <c r="CL271" s="568" t="s">
        <v>932</v>
      </c>
      <c r="CM271" s="568"/>
      <c r="CN271" s="568"/>
    </row>
    <row r="272" customHeight="1" spans="1:92">
      <c r="A272" s="540" t="s">
        <v>974</v>
      </c>
      <c r="B272" s="541"/>
      <c r="C272" s="89"/>
      <c r="D272" s="91"/>
      <c r="E272" s="90"/>
      <c r="F272" s="542">
        <v>1106057</v>
      </c>
      <c r="G272" s="543"/>
      <c r="H272" s="544"/>
      <c r="I272" s="545" t="s">
        <v>109</v>
      </c>
      <c r="J272" s="546"/>
      <c r="K272" s="546"/>
      <c r="L272" s="546"/>
      <c r="M272" s="546"/>
      <c r="N272" s="546"/>
      <c r="O272" s="546"/>
      <c r="P272" s="546"/>
      <c r="Q272" s="546"/>
      <c r="R272" s="546"/>
      <c r="S272" s="546"/>
      <c r="T272" s="546"/>
      <c r="U272" s="546"/>
      <c r="V272" s="546"/>
      <c r="W272" s="546"/>
      <c r="X272" s="546"/>
      <c r="Y272" s="546"/>
      <c r="Z272" s="546"/>
      <c r="AA272" s="547"/>
      <c r="AB272" s="548" t="s">
        <v>99</v>
      </c>
      <c r="AC272" s="549"/>
      <c r="AD272" s="550">
        <v>1.2</v>
      </c>
      <c r="AE272" s="551"/>
      <c r="AF272" s="552"/>
      <c r="AG272" s="553" t="s">
        <v>1068</v>
      </c>
      <c r="AH272" s="554"/>
      <c r="AI272" s="555" t="s">
        <v>1069</v>
      </c>
      <c r="AJ272" s="556"/>
      <c r="AK272" s="556"/>
      <c r="AL272" s="556"/>
      <c r="AM272" s="556"/>
      <c r="AN272" s="556"/>
      <c r="AO272" s="556"/>
      <c r="AP272" s="556"/>
      <c r="AQ272" s="556"/>
      <c r="AR272" s="556"/>
      <c r="AS272" s="556"/>
      <c r="AT272" s="556"/>
      <c r="AU272" s="556"/>
      <c r="AV272" s="557"/>
      <c r="AW272" s="558">
        <v>1</v>
      </c>
      <c r="AX272" s="559"/>
      <c r="AY272" s="560"/>
      <c r="AZ272" s="561">
        <v>3.92899</v>
      </c>
      <c r="BA272" s="562"/>
      <c r="BB272" s="563"/>
      <c r="BC272" s="558">
        <v>0.305422004128287</v>
      </c>
      <c r="BD272" s="559"/>
      <c r="BE272" s="560"/>
      <c r="BF272" s="558">
        <v>182.49</v>
      </c>
      <c r="BG272" s="559"/>
      <c r="BH272" s="560"/>
      <c r="BI272" s="564">
        <v>0.00167363693423359</v>
      </c>
      <c r="BJ272" s="565"/>
      <c r="BK272" s="565"/>
      <c r="BL272" s="566"/>
      <c r="BM272" s="567" t="s">
        <v>932</v>
      </c>
      <c r="BN272" s="567"/>
      <c r="BO272" s="567"/>
      <c r="BP272" s="567"/>
      <c r="BQ272" s="568" t="s">
        <v>932</v>
      </c>
      <c r="BR272" s="568"/>
      <c r="BS272" s="568"/>
      <c r="BT272" s="567" t="s">
        <v>932</v>
      </c>
      <c r="BU272" s="567"/>
      <c r="BV272" s="567"/>
      <c r="BW272" s="567"/>
      <c r="BX272" s="568" t="s">
        <v>932</v>
      </c>
      <c r="BY272" s="568"/>
      <c r="BZ272" s="568"/>
      <c r="CA272" s="567">
        <v>0.00167363693423359</v>
      </c>
      <c r="CB272" s="567"/>
      <c r="CC272" s="567"/>
      <c r="CD272" s="567"/>
      <c r="CE272" s="568">
        <v>1</v>
      </c>
      <c r="CF272" s="568"/>
      <c r="CG272" s="568"/>
      <c r="CH272" s="567" t="s">
        <v>932</v>
      </c>
      <c r="CI272" s="567"/>
      <c r="CJ272" s="567"/>
      <c r="CK272" s="567"/>
      <c r="CL272" s="568" t="s">
        <v>932</v>
      </c>
      <c r="CM272" s="568"/>
      <c r="CN272" s="568"/>
    </row>
    <row r="273" customHeight="1" spans="1:92">
      <c r="A273" s="569"/>
      <c r="B273" s="570"/>
      <c r="C273" s="571"/>
      <c r="D273" s="572"/>
      <c r="E273" s="573"/>
      <c r="F273" s="574"/>
      <c r="G273" s="575"/>
      <c r="H273" s="576"/>
      <c r="I273" s="577"/>
      <c r="J273" s="578"/>
      <c r="K273" s="578"/>
      <c r="L273" s="578"/>
      <c r="M273" s="578"/>
      <c r="N273" s="578"/>
      <c r="O273" s="578"/>
      <c r="P273" s="578"/>
      <c r="Q273" s="578"/>
      <c r="R273" s="578"/>
      <c r="S273" s="578"/>
      <c r="T273" s="578"/>
      <c r="U273" s="578"/>
      <c r="V273" s="578"/>
      <c r="W273" s="578"/>
      <c r="X273" s="578"/>
      <c r="Y273" s="578"/>
      <c r="Z273" s="578"/>
      <c r="AA273" s="579"/>
      <c r="AB273" s="580"/>
      <c r="AC273" s="581"/>
      <c r="AD273" s="582"/>
      <c r="AE273" s="583"/>
      <c r="AF273" s="584"/>
      <c r="AG273" s="553" t="s">
        <v>1070</v>
      </c>
      <c r="AH273" s="554"/>
      <c r="AI273" s="555" t="s">
        <v>1071</v>
      </c>
      <c r="AJ273" s="556"/>
      <c r="AK273" s="556"/>
      <c r="AL273" s="556"/>
      <c r="AM273" s="556"/>
      <c r="AN273" s="556"/>
      <c r="AO273" s="556"/>
      <c r="AP273" s="556"/>
      <c r="AQ273" s="556"/>
      <c r="AR273" s="556"/>
      <c r="AS273" s="556"/>
      <c r="AT273" s="556"/>
      <c r="AU273" s="556"/>
      <c r="AV273" s="557"/>
      <c r="AW273" s="558">
        <v>4</v>
      </c>
      <c r="AX273" s="559"/>
      <c r="AY273" s="560"/>
      <c r="AZ273" s="585"/>
      <c r="BA273" s="586"/>
      <c r="BB273" s="587"/>
      <c r="BC273" s="558">
        <v>1.22168801651315</v>
      </c>
      <c r="BD273" s="559"/>
      <c r="BE273" s="560"/>
      <c r="BF273" s="558">
        <v>182.49</v>
      </c>
      <c r="BG273" s="559"/>
      <c r="BH273" s="560"/>
      <c r="BI273" s="564">
        <v>0.00669454773693435</v>
      </c>
      <c r="BJ273" s="565"/>
      <c r="BK273" s="565"/>
      <c r="BL273" s="566"/>
      <c r="BM273" s="567" t="s">
        <v>932</v>
      </c>
      <c r="BN273" s="567"/>
      <c r="BO273" s="567"/>
      <c r="BP273" s="567"/>
      <c r="BQ273" s="568" t="s">
        <v>932</v>
      </c>
      <c r="BR273" s="568"/>
      <c r="BS273" s="568"/>
      <c r="BT273" s="567" t="s">
        <v>932</v>
      </c>
      <c r="BU273" s="567"/>
      <c r="BV273" s="567"/>
      <c r="BW273" s="567"/>
      <c r="BX273" s="568" t="s">
        <v>932</v>
      </c>
      <c r="BY273" s="568"/>
      <c r="BZ273" s="568"/>
      <c r="CA273" s="567">
        <v>0.00669454773693435</v>
      </c>
      <c r="CB273" s="567"/>
      <c r="CC273" s="567"/>
      <c r="CD273" s="567"/>
      <c r="CE273" s="568">
        <v>1</v>
      </c>
      <c r="CF273" s="568"/>
      <c r="CG273" s="568"/>
      <c r="CH273" s="567" t="s">
        <v>932</v>
      </c>
      <c r="CI273" s="567"/>
      <c r="CJ273" s="567"/>
      <c r="CK273" s="567"/>
      <c r="CL273" s="568" t="s">
        <v>932</v>
      </c>
      <c r="CM273" s="568"/>
      <c r="CN273" s="568"/>
    </row>
    <row r="274" customHeight="1" spans="1:92">
      <c r="A274" s="569"/>
      <c r="B274" s="570"/>
      <c r="C274" s="571"/>
      <c r="D274" s="572"/>
      <c r="E274" s="573"/>
      <c r="F274" s="574"/>
      <c r="G274" s="575"/>
      <c r="H274" s="576"/>
      <c r="I274" s="577"/>
      <c r="J274" s="578"/>
      <c r="K274" s="578"/>
      <c r="L274" s="578"/>
      <c r="M274" s="578"/>
      <c r="N274" s="578"/>
      <c r="O274" s="578"/>
      <c r="P274" s="578"/>
      <c r="Q274" s="578"/>
      <c r="R274" s="578"/>
      <c r="S274" s="578"/>
      <c r="T274" s="578"/>
      <c r="U274" s="578"/>
      <c r="V274" s="578"/>
      <c r="W274" s="578"/>
      <c r="X274" s="578"/>
      <c r="Y274" s="578"/>
      <c r="Z274" s="578"/>
      <c r="AA274" s="579"/>
      <c r="AB274" s="580"/>
      <c r="AC274" s="581"/>
      <c r="AD274" s="582"/>
      <c r="AE274" s="583"/>
      <c r="AF274" s="584"/>
      <c r="AG274" s="553" t="s">
        <v>1072</v>
      </c>
      <c r="AH274" s="554"/>
      <c r="AI274" s="555" t="s">
        <v>1073</v>
      </c>
      <c r="AJ274" s="556"/>
      <c r="AK274" s="556"/>
      <c r="AL274" s="556"/>
      <c r="AM274" s="556"/>
      <c r="AN274" s="556"/>
      <c r="AO274" s="556"/>
      <c r="AP274" s="556"/>
      <c r="AQ274" s="556"/>
      <c r="AR274" s="556"/>
      <c r="AS274" s="556"/>
      <c r="AT274" s="556"/>
      <c r="AU274" s="556"/>
      <c r="AV274" s="557"/>
      <c r="AW274" s="558">
        <v>3</v>
      </c>
      <c r="AX274" s="559"/>
      <c r="AY274" s="560"/>
      <c r="AZ274" s="585"/>
      <c r="BA274" s="586"/>
      <c r="BB274" s="587"/>
      <c r="BC274" s="558">
        <v>0.916266012384862</v>
      </c>
      <c r="BD274" s="559"/>
      <c r="BE274" s="560"/>
      <c r="BF274" s="558">
        <v>182.49</v>
      </c>
      <c r="BG274" s="559"/>
      <c r="BH274" s="560"/>
      <c r="BI274" s="564">
        <v>0.00502091080270076</v>
      </c>
      <c r="BJ274" s="565"/>
      <c r="BK274" s="565"/>
      <c r="BL274" s="566"/>
      <c r="BM274" s="567" t="s">
        <v>932</v>
      </c>
      <c r="BN274" s="567"/>
      <c r="BO274" s="567"/>
      <c r="BP274" s="567"/>
      <c r="BQ274" s="568" t="s">
        <v>932</v>
      </c>
      <c r="BR274" s="568"/>
      <c r="BS274" s="568"/>
      <c r="BT274" s="567" t="s">
        <v>932</v>
      </c>
      <c r="BU274" s="567"/>
      <c r="BV274" s="567"/>
      <c r="BW274" s="567"/>
      <c r="BX274" s="568" t="s">
        <v>932</v>
      </c>
      <c r="BY274" s="568"/>
      <c r="BZ274" s="568"/>
      <c r="CA274" s="567">
        <v>0.00502091080270076</v>
      </c>
      <c r="CB274" s="567"/>
      <c r="CC274" s="567"/>
      <c r="CD274" s="567"/>
      <c r="CE274" s="568">
        <v>1</v>
      </c>
      <c r="CF274" s="568"/>
      <c r="CG274" s="568"/>
      <c r="CH274" s="567" t="s">
        <v>932</v>
      </c>
      <c r="CI274" s="567"/>
      <c r="CJ274" s="567"/>
      <c r="CK274" s="567"/>
      <c r="CL274" s="568" t="s">
        <v>932</v>
      </c>
      <c r="CM274" s="568"/>
      <c r="CN274" s="568"/>
    </row>
    <row r="275" hidden="1" customHeight="1" spans="1:92">
      <c r="A275" s="569"/>
      <c r="B275" s="570"/>
      <c r="C275" s="571"/>
      <c r="D275" s="572"/>
      <c r="E275" s="573"/>
      <c r="F275" s="574"/>
      <c r="G275" s="575"/>
      <c r="H275" s="576"/>
      <c r="I275" s="577"/>
      <c r="J275" s="578"/>
      <c r="K275" s="578"/>
      <c r="L275" s="578"/>
      <c r="M275" s="578"/>
      <c r="N275" s="578"/>
      <c r="O275" s="578"/>
      <c r="P275" s="578"/>
      <c r="Q275" s="578"/>
      <c r="R275" s="578"/>
      <c r="S275" s="578"/>
      <c r="T275" s="578"/>
      <c r="U275" s="578"/>
      <c r="V275" s="578"/>
      <c r="W275" s="578"/>
      <c r="X275" s="578"/>
      <c r="Y275" s="578"/>
      <c r="Z275" s="578"/>
      <c r="AA275" s="579"/>
      <c r="AB275" s="580"/>
      <c r="AC275" s="581"/>
      <c r="AD275" s="582"/>
      <c r="AE275" s="583"/>
      <c r="AF275" s="584"/>
      <c r="AG275" s="553">
        <v>0</v>
      </c>
      <c r="AH275" s="554"/>
      <c r="AI275" s="555" t="e">
        <v>#N/A</v>
      </c>
      <c r="AJ275" s="556"/>
      <c r="AK275" s="556"/>
      <c r="AL275" s="556"/>
      <c r="AM275" s="556"/>
      <c r="AN275" s="556"/>
      <c r="AO275" s="556"/>
      <c r="AP275" s="556"/>
      <c r="AQ275" s="556"/>
      <c r="AR275" s="556"/>
      <c r="AS275" s="556"/>
      <c r="AT275" s="556"/>
      <c r="AU275" s="556"/>
      <c r="AV275" s="557"/>
      <c r="AW275" s="558">
        <v>0</v>
      </c>
      <c r="AX275" s="559"/>
      <c r="AY275" s="560"/>
      <c r="AZ275" s="585"/>
      <c r="BA275" s="586"/>
      <c r="BB275" s="587"/>
      <c r="BC275" s="558">
        <v>0</v>
      </c>
      <c r="BD275" s="559"/>
      <c r="BE275" s="560"/>
      <c r="BF275" s="558">
        <v>182.49</v>
      </c>
      <c r="BG275" s="559"/>
      <c r="BH275" s="560"/>
      <c r="BI275" s="564">
        <v>0</v>
      </c>
      <c r="BJ275" s="565"/>
      <c r="BK275" s="565"/>
      <c r="BL275" s="566"/>
      <c r="BM275" s="567" t="s">
        <v>932</v>
      </c>
      <c r="BN275" s="567"/>
      <c r="BO275" s="567"/>
      <c r="BP275" s="567"/>
      <c r="BQ275" s="568" t="s">
        <v>932</v>
      </c>
      <c r="BR275" s="568"/>
      <c r="BS275" s="568"/>
      <c r="BT275" s="567" t="s">
        <v>932</v>
      </c>
      <c r="BU275" s="567"/>
      <c r="BV275" s="567"/>
      <c r="BW275" s="567"/>
      <c r="BX275" s="568" t="s">
        <v>932</v>
      </c>
      <c r="BY275" s="568"/>
      <c r="BZ275" s="568"/>
      <c r="CA275" s="567" t="s">
        <v>932</v>
      </c>
      <c r="CB275" s="567"/>
      <c r="CC275" s="567"/>
      <c r="CD275" s="567"/>
      <c r="CE275" s="568">
        <v>1</v>
      </c>
      <c r="CF275" s="568"/>
      <c r="CG275" s="568"/>
      <c r="CH275" s="567" t="s">
        <v>932</v>
      </c>
      <c r="CI275" s="567"/>
      <c r="CJ275" s="567"/>
      <c r="CK275" s="567"/>
      <c r="CL275" s="568" t="s">
        <v>932</v>
      </c>
      <c r="CM275" s="568"/>
      <c r="CN275" s="568"/>
    </row>
    <row r="276" hidden="1" customHeight="1" spans="1:92">
      <c r="A276" s="569"/>
      <c r="B276" s="570"/>
      <c r="C276" s="571"/>
      <c r="D276" s="572"/>
      <c r="E276" s="573"/>
      <c r="F276" s="574"/>
      <c r="G276" s="575"/>
      <c r="H276" s="576"/>
      <c r="I276" s="577"/>
      <c r="J276" s="578"/>
      <c r="K276" s="578"/>
      <c r="L276" s="578"/>
      <c r="M276" s="578"/>
      <c r="N276" s="578"/>
      <c r="O276" s="578"/>
      <c r="P276" s="578"/>
      <c r="Q276" s="578"/>
      <c r="R276" s="578"/>
      <c r="S276" s="578"/>
      <c r="T276" s="578"/>
      <c r="U276" s="578"/>
      <c r="V276" s="578"/>
      <c r="W276" s="578"/>
      <c r="X276" s="578"/>
      <c r="Y276" s="578"/>
      <c r="Z276" s="578"/>
      <c r="AA276" s="579"/>
      <c r="AB276" s="580"/>
      <c r="AC276" s="581"/>
      <c r="AD276" s="582"/>
      <c r="AE276" s="583"/>
      <c r="AF276" s="584"/>
      <c r="AG276" s="553">
        <v>0</v>
      </c>
      <c r="AH276" s="554"/>
      <c r="AI276" s="555" t="e">
        <v>#N/A</v>
      </c>
      <c r="AJ276" s="556"/>
      <c r="AK276" s="556"/>
      <c r="AL276" s="556"/>
      <c r="AM276" s="556"/>
      <c r="AN276" s="556"/>
      <c r="AO276" s="556"/>
      <c r="AP276" s="556"/>
      <c r="AQ276" s="556"/>
      <c r="AR276" s="556"/>
      <c r="AS276" s="556"/>
      <c r="AT276" s="556"/>
      <c r="AU276" s="556"/>
      <c r="AV276" s="557"/>
      <c r="AW276" s="558">
        <v>0</v>
      </c>
      <c r="AX276" s="559"/>
      <c r="AY276" s="560"/>
      <c r="AZ276" s="585"/>
      <c r="BA276" s="586"/>
      <c r="BB276" s="587"/>
      <c r="BC276" s="558">
        <v>0</v>
      </c>
      <c r="BD276" s="559"/>
      <c r="BE276" s="560"/>
      <c r="BF276" s="558">
        <v>182.49</v>
      </c>
      <c r="BG276" s="559"/>
      <c r="BH276" s="560"/>
      <c r="BI276" s="564">
        <v>0</v>
      </c>
      <c r="BJ276" s="565"/>
      <c r="BK276" s="565"/>
      <c r="BL276" s="566"/>
      <c r="BM276" s="567" t="s">
        <v>932</v>
      </c>
      <c r="BN276" s="567"/>
      <c r="BO276" s="567"/>
      <c r="BP276" s="567"/>
      <c r="BQ276" s="568" t="s">
        <v>932</v>
      </c>
      <c r="BR276" s="568"/>
      <c r="BS276" s="568"/>
      <c r="BT276" s="567" t="s">
        <v>932</v>
      </c>
      <c r="BU276" s="567"/>
      <c r="BV276" s="567"/>
      <c r="BW276" s="567"/>
      <c r="BX276" s="568" t="s">
        <v>932</v>
      </c>
      <c r="BY276" s="568"/>
      <c r="BZ276" s="568"/>
      <c r="CA276" s="567" t="s">
        <v>932</v>
      </c>
      <c r="CB276" s="567"/>
      <c r="CC276" s="567"/>
      <c r="CD276" s="567"/>
      <c r="CE276" s="568">
        <v>1</v>
      </c>
      <c r="CF276" s="568"/>
      <c r="CG276" s="568"/>
      <c r="CH276" s="567" t="s">
        <v>932</v>
      </c>
      <c r="CI276" s="567"/>
      <c r="CJ276" s="567"/>
      <c r="CK276" s="567"/>
      <c r="CL276" s="568" t="s">
        <v>932</v>
      </c>
      <c r="CM276" s="568"/>
      <c r="CN276" s="568"/>
    </row>
    <row r="277" hidden="1" customHeight="1" spans="1:92">
      <c r="A277" s="569"/>
      <c r="B277" s="570"/>
      <c r="C277" s="571"/>
      <c r="D277" s="572"/>
      <c r="E277" s="573"/>
      <c r="F277" s="574"/>
      <c r="G277" s="575"/>
      <c r="H277" s="576"/>
      <c r="I277" s="577"/>
      <c r="J277" s="578"/>
      <c r="K277" s="578"/>
      <c r="L277" s="578"/>
      <c r="M277" s="578"/>
      <c r="N277" s="578"/>
      <c r="O277" s="578"/>
      <c r="P277" s="578"/>
      <c r="Q277" s="578"/>
      <c r="R277" s="578"/>
      <c r="S277" s="578"/>
      <c r="T277" s="578"/>
      <c r="U277" s="578"/>
      <c r="V277" s="578"/>
      <c r="W277" s="578"/>
      <c r="X277" s="578"/>
      <c r="Y277" s="578"/>
      <c r="Z277" s="578"/>
      <c r="AA277" s="579"/>
      <c r="AB277" s="580"/>
      <c r="AC277" s="581"/>
      <c r="AD277" s="582"/>
      <c r="AE277" s="583"/>
      <c r="AF277" s="584"/>
      <c r="AG277" s="553">
        <v>0</v>
      </c>
      <c r="AH277" s="554"/>
      <c r="AI277" s="555" t="e">
        <v>#N/A</v>
      </c>
      <c r="AJ277" s="556"/>
      <c r="AK277" s="556"/>
      <c r="AL277" s="556"/>
      <c r="AM277" s="556"/>
      <c r="AN277" s="556"/>
      <c r="AO277" s="556"/>
      <c r="AP277" s="556"/>
      <c r="AQ277" s="556"/>
      <c r="AR277" s="556"/>
      <c r="AS277" s="556"/>
      <c r="AT277" s="556"/>
      <c r="AU277" s="556"/>
      <c r="AV277" s="557"/>
      <c r="AW277" s="558">
        <v>0</v>
      </c>
      <c r="AX277" s="559"/>
      <c r="AY277" s="560"/>
      <c r="AZ277" s="585"/>
      <c r="BA277" s="586"/>
      <c r="BB277" s="587"/>
      <c r="BC277" s="558">
        <v>0</v>
      </c>
      <c r="BD277" s="559"/>
      <c r="BE277" s="560"/>
      <c r="BF277" s="558">
        <v>182.49</v>
      </c>
      <c r="BG277" s="559"/>
      <c r="BH277" s="560"/>
      <c r="BI277" s="564">
        <v>0</v>
      </c>
      <c r="BJ277" s="565"/>
      <c r="BK277" s="565"/>
      <c r="BL277" s="566"/>
      <c r="BM277" s="567" t="s">
        <v>932</v>
      </c>
      <c r="BN277" s="567"/>
      <c r="BO277" s="567"/>
      <c r="BP277" s="567"/>
      <c r="BQ277" s="568" t="s">
        <v>932</v>
      </c>
      <c r="BR277" s="568"/>
      <c r="BS277" s="568"/>
      <c r="BT277" s="567" t="s">
        <v>932</v>
      </c>
      <c r="BU277" s="567"/>
      <c r="BV277" s="567"/>
      <c r="BW277" s="567"/>
      <c r="BX277" s="568" t="s">
        <v>932</v>
      </c>
      <c r="BY277" s="568"/>
      <c r="BZ277" s="568"/>
      <c r="CA277" s="567" t="s">
        <v>932</v>
      </c>
      <c r="CB277" s="567"/>
      <c r="CC277" s="567"/>
      <c r="CD277" s="567"/>
      <c r="CE277" s="568">
        <v>1</v>
      </c>
      <c r="CF277" s="568"/>
      <c r="CG277" s="568"/>
      <c r="CH277" s="567" t="s">
        <v>932</v>
      </c>
      <c r="CI277" s="567"/>
      <c r="CJ277" s="567"/>
      <c r="CK277" s="567"/>
      <c r="CL277" s="568" t="s">
        <v>932</v>
      </c>
      <c r="CM277" s="568"/>
      <c r="CN277" s="568"/>
    </row>
    <row r="278" hidden="1" customHeight="1" spans="1:92">
      <c r="A278" s="569"/>
      <c r="B278" s="570"/>
      <c r="C278" s="571"/>
      <c r="D278" s="572"/>
      <c r="E278" s="573"/>
      <c r="F278" s="574"/>
      <c r="G278" s="575"/>
      <c r="H278" s="576"/>
      <c r="I278" s="577"/>
      <c r="J278" s="578"/>
      <c r="K278" s="578"/>
      <c r="L278" s="578"/>
      <c r="M278" s="578"/>
      <c r="N278" s="578"/>
      <c r="O278" s="578"/>
      <c r="P278" s="578"/>
      <c r="Q278" s="578"/>
      <c r="R278" s="578"/>
      <c r="S278" s="578"/>
      <c r="T278" s="578"/>
      <c r="U278" s="578"/>
      <c r="V278" s="578"/>
      <c r="W278" s="578"/>
      <c r="X278" s="578"/>
      <c r="Y278" s="578"/>
      <c r="Z278" s="578"/>
      <c r="AA278" s="579"/>
      <c r="AB278" s="580"/>
      <c r="AC278" s="581"/>
      <c r="AD278" s="582"/>
      <c r="AE278" s="583"/>
      <c r="AF278" s="584"/>
      <c r="AG278" s="553">
        <v>0</v>
      </c>
      <c r="AH278" s="554"/>
      <c r="AI278" s="555" t="e">
        <v>#N/A</v>
      </c>
      <c r="AJ278" s="556"/>
      <c r="AK278" s="556"/>
      <c r="AL278" s="556"/>
      <c r="AM278" s="556"/>
      <c r="AN278" s="556"/>
      <c r="AO278" s="556"/>
      <c r="AP278" s="556"/>
      <c r="AQ278" s="556"/>
      <c r="AR278" s="556"/>
      <c r="AS278" s="556"/>
      <c r="AT278" s="556"/>
      <c r="AU278" s="556"/>
      <c r="AV278" s="557"/>
      <c r="AW278" s="558">
        <v>0</v>
      </c>
      <c r="AX278" s="559"/>
      <c r="AY278" s="560"/>
      <c r="AZ278" s="585"/>
      <c r="BA278" s="586"/>
      <c r="BB278" s="587"/>
      <c r="BC278" s="558">
        <v>0</v>
      </c>
      <c r="BD278" s="559"/>
      <c r="BE278" s="560"/>
      <c r="BF278" s="558">
        <v>182.49</v>
      </c>
      <c r="BG278" s="559"/>
      <c r="BH278" s="560"/>
      <c r="BI278" s="564">
        <v>0</v>
      </c>
      <c r="BJ278" s="565"/>
      <c r="BK278" s="565"/>
      <c r="BL278" s="566"/>
      <c r="BM278" s="567" t="s">
        <v>932</v>
      </c>
      <c r="BN278" s="567"/>
      <c r="BO278" s="567"/>
      <c r="BP278" s="567"/>
      <c r="BQ278" s="568" t="s">
        <v>932</v>
      </c>
      <c r="BR278" s="568"/>
      <c r="BS278" s="568"/>
      <c r="BT278" s="567" t="s">
        <v>932</v>
      </c>
      <c r="BU278" s="567"/>
      <c r="BV278" s="567"/>
      <c r="BW278" s="567"/>
      <c r="BX278" s="568" t="s">
        <v>932</v>
      </c>
      <c r="BY278" s="568"/>
      <c r="BZ278" s="568"/>
      <c r="CA278" s="567" t="s">
        <v>932</v>
      </c>
      <c r="CB278" s="567"/>
      <c r="CC278" s="567"/>
      <c r="CD278" s="567"/>
      <c r="CE278" s="568">
        <v>1</v>
      </c>
      <c r="CF278" s="568"/>
      <c r="CG278" s="568"/>
      <c r="CH278" s="567" t="s">
        <v>932</v>
      </c>
      <c r="CI278" s="567"/>
      <c r="CJ278" s="567"/>
      <c r="CK278" s="567"/>
      <c r="CL278" s="568" t="s">
        <v>932</v>
      </c>
      <c r="CM278" s="568"/>
      <c r="CN278" s="568"/>
    </row>
    <row r="279" hidden="1" customHeight="1" spans="1:92">
      <c r="A279" s="588"/>
      <c r="B279" s="589"/>
      <c r="C279" s="590"/>
      <c r="D279" s="591"/>
      <c r="E279" s="592"/>
      <c r="F279" s="593"/>
      <c r="G279" s="594"/>
      <c r="H279" s="595"/>
      <c r="I279" s="596"/>
      <c r="J279" s="597"/>
      <c r="K279" s="597"/>
      <c r="L279" s="597"/>
      <c r="M279" s="597"/>
      <c r="N279" s="597"/>
      <c r="O279" s="597"/>
      <c r="P279" s="597"/>
      <c r="Q279" s="597"/>
      <c r="R279" s="597"/>
      <c r="S279" s="597"/>
      <c r="T279" s="597"/>
      <c r="U279" s="597"/>
      <c r="V279" s="597"/>
      <c r="W279" s="597"/>
      <c r="X279" s="597"/>
      <c r="Y279" s="597"/>
      <c r="Z279" s="597"/>
      <c r="AA279" s="598"/>
      <c r="AB279" s="599"/>
      <c r="AC279" s="600"/>
      <c r="AD279" s="601"/>
      <c r="AE279" s="602"/>
      <c r="AF279" s="603"/>
      <c r="AG279" s="553">
        <v>0</v>
      </c>
      <c r="AH279" s="554"/>
      <c r="AI279" s="555" t="e">
        <v>#N/A</v>
      </c>
      <c r="AJ279" s="556"/>
      <c r="AK279" s="556"/>
      <c r="AL279" s="556"/>
      <c r="AM279" s="556"/>
      <c r="AN279" s="556"/>
      <c r="AO279" s="556"/>
      <c r="AP279" s="556"/>
      <c r="AQ279" s="556"/>
      <c r="AR279" s="556"/>
      <c r="AS279" s="556"/>
      <c r="AT279" s="556"/>
      <c r="AU279" s="556"/>
      <c r="AV279" s="557"/>
      <c r="AW279" s="558">
        <v>0</v>
      </c>
      <c r="AX279" s="559"/>
      <c r="AY279" s="560"/>
      <c r="AZ279" s="604"/>
      <c r="BA279" s="605"/>
      <c r="BB279" s="606"/>
      <c r="BC279" s="558">
        <v>0</v>
      </c>
      <c r="BD279" s="559"/>
      <c r="BE279" s="560"/>
      <c r="BF279" s="558">
        <v>182.49</v>
      </c>
      <c r="BG279" s="559"/>
      <c r="BH279" s="560"/>
      <c r="BI279" s="564">
        <v>0</v>
      </c>
      <c r="BJ279" s="565"/>
      <c r="BK279" s="565"/>
      <c r="BL279" s="566"/>
      <c r="BM279" s="567" t="s">
        <v>932</v>
      </c>
      <c r="BN279" s="567"/>
      <c r="BO279" s="567"/>
      <c r="BP279" s="567"/>
      <c r="BQ279" s="568" t="s">
        <v>932</v>
      </c>
      <c r="BR279" s="568"/>
      <c r="BS279" s="568"/>
      <c r="BT279" s="567" t="s">
        <v>932</v>
      </c>
      <c r="BU279" s="567"/>
      <c r="BV279" s="567"/>
      <c r="BW279" s="567"/>
      <c r="BX279" s="568" t="s">
        <v>932</v>
      </c>
      <c r="BY279" s="568"/>
      <c r="BZ279" s="568"/>
      <c r="CA279" s="567" t="s">
        <v>932</v>
      </c>
      <c r="CB279" s="567"/>
      <c r="CC279" s="567"/>
      <c r="CD279" s="567"/>
      <c r="CE279" s="568">
        <v>1</v>
      </c>
      <c r="CF279" s="568"/>
      <c r="CG279" s="568"/>
      <c r="CH279" s="567" t="s">
        <v>932</v>
      </c>
      <c r="CI279" s="567"/>
      <c r="CJ279" s="567"/>
      <c r="CK279" s="567"/>
      <c r="CL279" s="568" t="s">
        <v>932</v>
      </c>
      <c r="CM279" s="568"/>
      <c r="CN279" s="568"/>
    </row>
    <row r="280" customHeight="1" spans="1:92">
      <c r="A280" s="540" t="s">
        <v>975</v>
      </c>
      <c r="B280" s="541"/>
      <c r="C280" s="89"/>
      <c r="D280" s="91"/>
      <c r="E280" s="90"/>
      <c r="F280" s="542">
        <v>3108000</v>
      </c>
      <c r="G280" s="543"/>
      <c r="H280" s="544"/>
      <c r="I280" s="545" t="s">
        <v>110</v>
      </c>
      <c r="J280" s="546"/>
      <c r="K280" s="546"/>
      <c r="L280" s="546"/>
      <c r="M280" s="546"/>
      <c r="N280" s="546"/>
      <c r="O280" s="546"/>
      <c r="P280" s="546"/>
      <c r="Q280" s="546"/>
      <c r="R280" s="546"/>
      <c r="S280" s="546"/>
      <c r="T280" s="546"/>
      <c r="U280" s="546"/>
      <c r="V280" s="546"/>
      <c r="W280" s="546"/>
      <c r="X280" s="546"/>
      <c r="Y280" s="546"/>
      <c r="Z280" s="546"/>
      <c r="AA280" s="547"/>
      <c r="AB280" s="548" t="s">
        <v>7</v>
      </c>
      <c r="AC280" s="549"/>
      <c r="AD280" s="550">
        <v>4</v>
      </c>
      <c r="AE280" s="551"/>
      <c r="AF280" s="552"/>
      <c r="AG280" s="553" t="s">
        <v>1074</v>
      </c>
      <c r="AH280" s="554"/>
      <c r="AI280" s="555" t="s">
        <v>1075</v>
      </c>
      <c r="AJ280" s="556"/>
      <c r="AK280" s="556"/>
      <c r="AL280" s="556"/>
      <c r="AM280" s="556"/>
      <c r="AN280" s="556"/>
      <c r="AO280" s="556"/>
      <c r="AP280" s="556"/>
      <c r="AQ280" s="556"/>
      <c r="AR280" s="556"/>
      <c r="AS280" s="556"/>
      <c r="AT280" s="556"/>
      <c r="AU280" s="556"/>
      <c r="AV280" s="557"/>
      <c r="AW280" s="558">
        <v>0.06024</v>
      </c>
      <c r="AX280" s="559"/>
      <c r="AY280" s="560"/>
      <c r="AZ280" s="561">
        <v>1</v>
      </c>
      <c r="BA280" s="562"/>
      <c r="BB280" s="563"/>
      <c r="BC280" s="558">
        <v>0.24096</v>
      </c>
      <c r="BD280" s="559"/>
      <c r="BE280" s="560"/>
      <c r="BF280" s="558">
        <v>182.49</v>
      </c>
      <c r="BG280" s="559"/>
      <c r="BH280" s="560"/>
      <c r="BI280" s="564">
        <v>0.00132040111786947</v>
      </c>
      <c r="BJ280" s="565"/>
      <c r="BK280" s="565"/>
      <c r="BL280" s="566"/>
      <c r="BM280" s="567" t="s">
        <v>932</v>
      </c>
      <c r="BN280" s="567"/>
      <c r="BO280" s="567"/>
      <c r="BP280" s="567"/>
      <c r="BQ280" s="568" t="s">
        <v>932</v>
      </c>
      <c r="BR280" s="568"/>
      <c r="BS280" s="568"/>
      <c r="BT280" s="567" t="s">
        <v>932</v>
      </c>
      <c r="BU280" s="567"/>
      <c r="BV280" s="567"/>
      <c r="BW280" s="567"/>
      <c r="BX280" s="568" t="s">
        <v>932</v>
      </c>
      <c r="BY280" s="568"/>
      <c r="BZ280" s="568"/>
      <c r="CA280" s="567">
        <v>0.00132040111786947</v>
      </c>
      <c r="CB280" s="567"/>
      <c r="CC280" s="567"/>
      <c r="CD280" s="567"/>
      <c r="CE280" s="568">
        <v>1</v>
      </c>
      <c r="CF280" s="568"/>
      <c r="CG280" s="568"/>
      <c r="CH280" s="567" t="s">
        <v>932</v>
      </c>
      <c r="CI280" s="567"/>
      <c r="CJ280" s="567"/>
      <c r="CK280" s="567"/>
      <c r="CL280" s="568" t="s">
        <v>932</v>
      </c>
      <c r="CM280" s="568"/>
      <c r="CN280" s="568"/>
    </row>
    <row r="281" customHeight="1" spans="1:92">
      <c r="A281" s="569"/>
      <c r="B281" s="570"/>
      <c r="C281" s="571"/>
      <c r="D281" s="572"/>
      <c r="E281" s="573"/>
      <c r="F281" s="574"/>
      <c r="G281" s="575"/>
      <c r="H281" s="576"/>
      <c r="I281" s="577"/>
      <c r="J281" s="578"/>
      <c r="K281" s="578"/>
      <c r="L281" s="578"/>
      <c r="M281" s="578"/>
      <c r="N281" s="578"/>
      <c r="O281" s="578"/>
      <c r="P281" s="578"/>
      <c r="Q281" s="578"/>
      <c r="R281" s="578"/>
      <c r="S281" s="578"/>
      <c r="T281" s="578"/>
      <c r="U281" s="578"/>
      <c r="V281" s="578"/>
      <c r="W281" s="578"/>
      <c r="X281" s="578"/>
      <c r="Y281" s="578"/>
      <c r="Z281" s="578"/>
      <c r="AA281" s="579"/>
      <c r="AB281" s="580"/>
      <c r="AC281" s="581"/>
      <c r="AD281" s="582"/>
      <c r="AE281" s="583"/>
      <c r="AF281" s="584"/>
      <c r="AG281" s="553" t="s">
        <v>1076</v>
      </c>
      <c r="AH281" s="554"/>
      <c r="AI281" s="555" t="s">
        <v>1077</v>
      </c>
      <c r="AJ281" s="556"/>
      <c r="AK281" s="556"/>
      <c r="AL281" s="556"/>
      <c r="AM281" s="556"/>
      <c r="AN281" s="556"/>
      <c r="AO281" s="556"/>
      <c r="AP281" s="556"/>
      <c r="AQ281" s="556"/>
      <c r="AR281" s="556"/>
      <c r="AS281" s="556"/>
      <c r="AT281" s="556"/>
      <c r="AU281" s="556"/>
      <c r="AV281" s="557"/>
      <c r="AW281" s="558">
        <v>0.06024</v>
      </c>
      <c r="AX281" s="559"/>
      <c r="AY281" s="560"/>
      <c r="AZ281" s="585"/>
      <c r="BA281" s="586"/>
      <c r="BB281" s="587"/>
      <c r="BC281" s="558">
        <v>0.24096</v>
      </c>
      <c r="BD281" s="559"/>
      <c r="BE281" s="560"/>
      <c r="BF281" s="558">
        <v>182.49</v>
      </c>
      <c r="BG281" s="559"/>
      <c r="BH281" s="560"/>
      <c r="BI281" s="564">
        <v>0.00132040111786947</v>
      </c>
      <c r="BJ281" s="565"/>
      <c r="BK281" s="565"/>
      <c r="BL281" s="566"/>
      <c r="BM281" s="567" t="s">
        <v>932</v>
      </c>
      <c r="BN281" s="567"/>
      <c r="BO281" s="567"/>
      <c r="BP281" s="567"/>
      <c r="BQ281" s="568" t="s">
        <v>932</v>
      </c>
      <c r="BR281" s="568"/>
      <c r="BS281" s="568"/>
      <c r="BT281" s="567" t="s">
        <v>932</v>
      </c>
      <c r="BU281" s="567"/>
      <c r="BV281" s="567"/>
      <c r="BW281" s="567"/>
      <c r="BX281" s="568" t="s">
        <v>932</v>
      </c>
      <c r="BY281" s="568"/>
      <c r="BZ281" s="568"/>
      <c r="CA281" s="567">
        <v>0.00132040111786947</v>
      </c>
      <c r="CB281" s="567"/>
      <c r="CC281" s="567"/>
      <c r="CD281" s="567"/>
      <c r="CE281" s="568">
        <v>1</v>
      </c>
      <c r="CF281" s="568"/>
      <c r="CG281" s="568"/>
      <c r="CH281" s="567" t="s">
        <v>932</v>
      </c>
      <c r="CI281" s="567"/>
      <c r="CJ281" s="567"/>
      <c r="CK281" s="567"/>
      <c r="CL281" s="568" t="s">
        <v>932</v>
      </c>
      <c r="CM281" s="568"/>
      <c r="CN281" s="568"/>
    </row>
    <row r="282" hidden="1" customHeight="1" spans="1:92">
      <c r="A282" s="569"/>
      <c r="B282" s="570"/>
      <c r="C282" s="571"/>
      <c r="D282" s="572"/>
      <c r="E282" s="573"/>
      <c r="F282" s="574"/>
      <c r="G282" s="575"/>
      <c r="H282" s="576"/>
      <c r="I282" s="577"/>
      <c r="J282" s="578"/>
      <c r="K282" s="578"/>
      <c r="L282" s="578"/>
      <c r="M282" s="578"/>
      <c r="N282" s="578"/>
      <c r="O282" s="578"/>
      <c r="P282" s="578"/>
      <c r="Q282" s="578"/>
      <c r="R282" s="578"/>
      <c r="S282" s="578"/>
      <c r="T282" s="578"/>
      <c r="U282" s="578"/>
      <c r="V282" s="578"/>
      <c r="W282" s="578"/>
      <c r="X282" s="578"/>
      <c r="Y282" s="578"/>
      <c r="Z282" s="578"/>
      <c r="AA282" s="579"/>
      <c r="AB282" s="580"/>
      <c r="AC282" s="581"/>
      <c r="AD282" s="582"/>
      <c r="AE282" s="583"/>
      <c r="AF282" s="584"/>
      <c r="AG282" s="553">
        <v>0</v>
      </c>
      <c r="AH282" s="554"/>
      <c r="AI282" s="555" t="e">
        <v>#N/A</v>
      </c>
      <c r="AJ282" s="556"/>
      <c r="AK282" s="556"/>
      <c r="AL282" s="556"/>
      <c r="AM282" s="556"/>
      <c r="AN282" s="556"/>
      <c r="AO282" s="556"/>
      <c r="AP282" s="556"/>
      <c r="AQ282" s="556"/>
      <c r="AR282" s="556"/>
      <c r="AS282" s="556"/>
      <c r="AT282" s="556"/>
      <c r="AU282" s="556"/>
      <c r="AV282" s="557"/>
      <c r="AW282" s="558">
        <v>0</v>
      </c>
      <c r="AX282" s="559"/>
      <c r="AY282" s="560"/>
      <c r="AZ282" s="585"/>
      <c r="BA282" s="586"/>
      <c r="BB282" s="587"/>
      <c r="BC282" s="558">
        <v>0</v>
      </c>
      <c r="BD282" s="559"/>
      <c r="BE282" s="560"/>
      <c r="BF282" s="558">
        <v>182.49</v>
      </c>
      <c r="BG282" s="559"/>
      <c r="BH282" s="560"/>
      <c r="BI282" s="564">
        <v>0</v>
      </c>
      <c r="BJ282" s="565"/>
      <c r="BK282" s="565"/>
      <c r="BL282" s="566"/>
      <c r="BM282" s="567" t="s">
        <v>932</v>
      </c>
      <c r="BN282" s="567"/>
      <c r="BO282" s="567"/>
      <c r="BP282" s="567"/>
      <c r="BQ282" s="568" t="s">
        <v>932</v>
      </c>
      <c r="BR282" s="568"/>
      <c r="BS282" s="568"/>
      <c r="BT282" s="567" t="s">
        <v>932</v>
      </c>
      <c r="BU282" s="567"/>
      <c r="BV282" s="567"/>
      <c r="BW282" s="567"/>
      <c r="BX282" s="568" t="s">
        <v>932</v>
      </c>
      <c r="BY282" s="568"/>
      <c r="BZ282" s="568"/>
      <c r="CA282" s="567" t="s">
        <v>932</v>
      </c>
      <c r="CB282" s="567"/>
      <c r="CC282" s="567"/>
      <c r="CD282" s="567"/>
      <c r="CE282" s="568">
        <v>1</v>
      </c>
      <c r="CF282" s="568"/>
      <c r="CG282" s="568"/>
      <c r="CH282" s="567" t="s">
        <v>932</v>
      </c>
      <c r="CI282" s="567"/>
      <c r="CJ282" s="567"/>
      <c r="CK282" s="567"/>
      <c r="CL282" s="568" t="s">
        <v>932</v>
      </c>
      <c r="CM282" s="568"/>
      <c r="CN282" s="568"/>
    </row>
    <row r="283" hidden="1" customHeight="1" spans="1:92">
      <c r="A283" s="569"/>
      <c r="B283" s="570"/>
      <c r="C283" s="571"/>
      <c r="D283" s="572"/>
      <c r="E283" s="573"/>
      <c r="F283" s="574"/>
      <c r="G283" s="575"/>
      <c r="H283" s="576"/>
      <c r="I283" s="577"/>
      <c r="J283" s="578"/>
      <c r="K283" s="578"/>
      <c r="L283" s="578"/>
      <c r="M283" s="578"/>
      <c r="N283" s="578"/>
      <c r="O283" s="578"/>
      <c r="P283" s="578"/>
      <c r="Q283" s="578"/>
      <c r="R283" s="578"/>
      <c r="S283" s="578"/>
      <c r="T283" s="578"/>
      <c r="U283" s="578"/>
      <c r="V283" s="578"/>
      <c r="W283" s="578"/>
      <c r="X283" s="578"/>
      <c r="Y283" s="578"/>
      <c r="Z283" s="578"/>
      <c r="AA283" s="579"/>
      <c r="AB283" s="580"/>
      <c r="AC283" s="581"/>
      <c r="AD283" s="582"/>
      <c r="AE283" s="583"/>
      <c r="AF283" s="584"/>
      <c r="AG283" s="553">
        <v>0</v>
      </c>
      <c r="AH283" s="554"/>
      <c r="AI283" s="555" t="e">
        <v>#N/A</v>
      </c>
      <c r="AJ283" s="556"/>
      <c r="AK283" s="556"/>
      <c r="AL283" s="556"/>
      <c r="AM283" s="556"/>
      <c r="AN283" s="556"/>
      <c r="AO283" s="556"/>
      <c r="AP283" s="556"/>
      <c r="AQ283" s="556"/>
      <c r="AR283" s="556"/>
      <c r="AS283" s="556"/>
      <c r="AT283" s="556"/>
      <c r="AU283" s="556"/>
      <c r="AV283" s="557"/>
      <c r="AW283" s="558">
        <v>0</v>
      </c>
      <c r="AX283" s="559"/>
      <c r="AY283" s="560"/>
      <c r="AZ283" s="585"/>
      <c r="BA283" s="586"/>
      <c r="BB283" s="587"/>
      <c r="BC283" s="558">
        <v>0</v>
      </c>
      <c r="BD283" s="559"/>
      <c r="BE283" s="560"/>
      <c r="BF283" s="558">
        <v>182.49</v>
      </c>
      <c r="BG283" s="559"/>
      <c r="BH283" s="560"/>
      <c r="BI283" s="564">
        <v>0</v>
      </c>
      <c r="BJ283" s="565"/>
      <c r="BK283" s="565"/>
      <c r="BL283" s="566"/>
      <c r="BM283" s="567" t="s">
        <v>932</v>
      </c>
      <c r="BN283" s="567"/>
      <c r="BO283" s="567"/>
      <c r="BP283" s="567"/>
      <c r="BQ283" s="568" t="s">
        <v>932</v>
      </c>
      <c r="BR283" s="568"/>
      <c r="BS283" s="568"/>
      <c r="BT283" s="567" t="s">
        <v>932</v>
      </c>
      <c r="BU283" s="567"/>
      <c r="BV283" s="567"/>
      <c r="BW283" s="567"/>
      <c r="BX283" s="568" t="s">
        <v>932</v>
      </c>
      <c r="BY283" s="568"/>
      <c r="BZ283" s="568"/>
      <c r="CA283" s="567" t="s">
        <v>932</v>
      </c>
      <c r="CB283" s="567"/>
      <c r="CC283" s="567"/>
      <c r="CD283" s="567"/>
      <c r="CE283" s="568">
        <v>1</v>
      </c>
      <c r="CF283" s="568"/>
      <c r="CG283" s="568"/>
      <c r="CH283" s="567" t="s">
        <v>932</v>
      </c>
      <c r="CI283" s="567"/>
      <c r="CJ283" s="567"/>
      <c r="CK283" s="567"/>
      <c r="CL283" s="568" t="s">
        <v>932</v>
      </c>
      <c r="CM283" s="568"/>
      <c r="CN283" s="568"/>
    </row>
    <row r="284" hidden="1" customHeight="1" spans="1:92">
      <c r="A284" s="569"/>
      <c r="B284" s="570"/>
      <c r="C284" s="571"/>
      <c r="D284" s="572"/>
      <c r="E284" s="573"/>
      <c r="F284" s="574"/>
      <c r="G284" s="575"/>
      <c r="H284" s="576"/>
      <c r="I284" s="577"/>
      <c r="J284" s="578"/>
      <c r="K284" s="578"/>
      <c r="L284" s="578"/>
      <c r="M284" s="578"/>
      <c r="N284" s="578"/>
      <c r="O284" s="578"/>
      <c r="P284" s="578"/>
      <c r="Q284" s="578"/>
      <c r="R284" s="578"/>
      <c r="S284" s="578"/>
      <c r="T284" s="578"/>
      <c r="U284" s="578"/>
      <c r="V284" s="578"/>
      <c r="W284" s="578"/>
      <c r="X284" s="578"/>
      <c r="Y284" s="578"/>
      <c r="Z284" s="578"/>
      <c r="AA284" s="579"/>
      <c r="AB284" s="580"/>
      <c r="AC284" s="581"/>
      <c r="AD284" s="582"/>
      <c r="AE284" s="583"/>
      <c r="AF284" s="584"/>
      <c r="AG284" s="553">
        <v>0</v>
      </c>
      <c r="AH284" s="554"/>
      <c r="AI284" s="555" t="e">
        <v>#N/A</v>
      </c>
      <c r="AJ284" s="556"/>
      <c r="AK284" s="556"/>
      <c r="AL284" s="556"/>
      <c r="AM284" s="556"/>
      <c r="AN284" s="556"/>
      <c r="AO284" s="556"/>
      <c r="AP284" s="556"/>
      <c r="AQ284" s="556"/>
      <c r="AR284" s="556"/>
      <c r="AS284" s="556"/>
      <c r="AT284" s="556"/>
      <c r="AU284" s="556"/>
      <c r="AV284" s="557"/>
      <c r="AW284" s="558">
        <v>0</v>
      </c>
      <c r="AX284" s="559"/>
      <c r="AY284" s="560"/>
      <c r="AZ284" s="585"/>
      <c r="BA284" s="586"/>
      <c r="BB284" s="587"/>
      <c r="BC284" s="558">
        <v>0</v>
      </c>
      <c r="BD284" s="559"/>
      <c r="BE284" s="560"/>
      <c r="BF284" s="558">
        <v>182.49</v>
      </c>
      <c r="BG284" s="559"/>
      <c r="BH284" s="560"/>
      <c r="BI284" s="564">
        <v>0</v>
      </c>
      <c r="BJ284" s="565"/>
      <c r="BK284" s="565"/>
      <c r="BL284" s="566"/>
      <c r="BM284" s="567" t="s">
        <v>932</v>
      </c>
      <c r="BN284" s="567"/>
      <c r="BO284" s="567"/>
      <c r="BP284" s="567"/>
      <c r="BQ284" s="568" t="s">
        <v>932</v>
      </c>
      <c r="BR284" s="568"/>
      <c r="BS284" s="568"/>
      <c r="BT284" s="567" t="s">
        <v>932</v>
      </c>
      <c r="BU284" s="567"/>
      <c r="BV284" s="567"/>
      <c r="BW284" s="567"/>
      <c r="BX284" s="568" t="s">
        <v>932</v>
      </c>
      <c r="BY284" s="568"/>
      <c r="BZ284" s="568"/>
      <c r="CA284" s="567" t="s">
        <v>932</v>
      </c>
      <c r="CB284" s="567"/>
      <c r="CC284" s="567"/>
      <c r="CD284" s="567"/>
      <c r="CE284" s="568">
        <v>1</v>
      </c>
      <c r="CF284" s="568"/>
      <c r="CG284" s="568"/>
      <c r="CH284" s="567" t="s">
        <v>932</v>
      </c>
      <c r="CI284" s="567"/>
      <c r="CJ284" s="567"/>
      <c r="CK284" s="567"/>
      <c r="CL284" s="568" t="s">
        <v>932</v>
      </c>
      <c r="CM284" s="568"/>
      <c r="CN284" s="568"/>
    </row>
    <row r="285" hidden="1" customHeight="1" spans="1:92">
      <c r="A285" s="569"/>
      <c r="B285" s="570"/>
      <c r="C285" s="571"/>
      <c r="D285" s="572"/>
      <c r="E285" s="573"/>
      <c r="F285" s="574"/>
      <c r="G285" s="575"/>
      <c r="H285" s="576"/>
      <c r="I285" s="577"/>
      <c r="J285" s="578"/>
      <c r="K285" s="578"/>
      <c r="L285" s="578"/>
      <c r="M285" s="578"/>
      <c r="N285" s="578"/>
      <c r="O285" s="578"/>
      <c r="P285" s="578"/>
      <c r="Q285" s="578"/>
      <c r="R285" s="578"/>
      <c r="S285" s="578"/>
      <c r="T285" s="578"/>
      <c r="U285" s="578"/>
      <c r="V285" s="578"/>
      <c r="W285" s="578"/>
      <c r="X285" s="578"/>
      <c r="Y285" s="578"/>
      <c r="Z285" s="578"/>
      <c r="AA285" s="579"/>
      <c r="AB285" s="580"/>
      <c r="AC285" s="581"/>
      <c r="AD285" s="582"/>
      <c r="AE285" s="583"/>
      <c r="AF285" s="584"/>
      <c r="AG285" s="553">
        <v>0</v>
      </c>
      <c r="AH285" s="554"/>
      <c r="AI285" s="555" t="e">
        <v>#N/A</v>
      </c>
      <c r="AJ285" s="556"/>
      <c r="AK285" s="556"/>
      <c r="AL285" s="556"/>
      <c r="AM285" s="556"/>
      <c r="AN285" s="556"/>
      <c r="AO285" s="556"/>
      <c r="AP285" s="556"/>
      <c r="AQ285" s="556"/>
      <c r="AR285" s="556"/>
      <c r="AS285" s="556"/>
      <c r="AT285" s="556"/>
      <c r="AU285" s="556"/>
      <c r="AV285" s="557"/>
      <c r="AW285" s="558">
        <v>0</v>
      </c>
      <c r="AX285" s="559"/>
      <c r="AY285" s="560"/>
      <c r="AZ285" s="585"/>
      <c r="BA285" s="586"/>
      <c r="BB285" s="587"/>
      <c r="BC285" s="558">
        <v>0</v>
      </c>
      <c r="BD285" s="559"/>
      <c r="BE285" s="560"/>
      <c r="BF285" s="558">
        <v>182.49</v>
      </c>
      <c r="BG285" s="559"/>
      <c r="BH285" s="560"/>
      <c r="BI285" s="564">
        <v>0</v>
      </c>
      <c r="BJ285" s="565"/>
      <c r="BK285" s="565"/>
      <c r="BL285" s="566"/>
      <c r="BM285" s="567" t="s">
        <v>932</v>
      </c>
      <c r="BN285" s="567"/>
      <c r="BO285" s="567"/>
      <c r="BP285" s="567"/>
      <c r="BQ285" s="568" t="s">
        <v>932</v>
      </c>
      <c r="BR285" s="568"/>
      <c r="BS285" s="568"/>
      <c r="BT285" s="567" t="s">
        <v>932</v>
      </c>
      <c r="BU285" s="567"/>
      <c r="BV285" s="567"/>
      <c r="BW285" s="567"/>
      <c r="BX285" s="568" t="s">
        <v>932</v>
      </c>
      <c r="BY285" s="568"/>
      <c r="BZ285" s="568"/>
      <c r="CA285" s="567" t="s">
        <v>932</v>
      </c>
      <c r="CB285" s="567"/>
      <c r="CC285" s="567"/>
      <c r="CD285" s="567"/>
      <c r="CE285" s="568">
        <v>1</v>
      </c>
      <c r="CF285" s="568"/>
      <c r="CG285" s="568"/>
      <c r="CH285" s="567" t="s">
        <v>932</v>
      </c>
      <c r="CI285" s="567"/>
      <c r="CJ285" s="567"/>
      <c r="CK285" s="567"/>
      <c r="CL285" s="568" t="s">
        <v>932</v>
      </c>
      <c r="CM285" s="568"/>
      <c r="CN285" s="568"/>
    </row>
    <row r="286" hidden="1" customHeight="1" spans="1:92">
      <c r="A286" s="569"/>
      <c r="B286" s="570"/>
      <c r="C286" s="571"/>
      <c r="D286" s="572"/>
      <c r="E286" s="573"/>
      <c r="F286" s="574"/>
      <c r="G286" s="575"/>
      <c r="H286" s="576"/>
      <c r="I286" s="577"/>
      <c r="J286" s="578"/>
      <c r="K286" s="578"/>
      <c r="L286" s="578"/>
      <c r="M286" s="578"/>
      <c r="N286" s="578"/>
      <c r="O286" s="578"/>
      <c r="P286" s="578"/>
      <c r="Q286" s="578"/>
      <c r="R286" s="578"/>
      <c r="S286" s="578"/>
      <c r="T286" s="578"/>
      <c r="U286" s="578"/>
      <c r="V286" s="578"/>
      <c r="W286" s="578"/>
      <c r="X286" s="578"/>
      <c r="Y286" s="578"/>
      <c r="Z286" s="578"/>
      <c r="AA286" s="579"/>
      <c r="AB286" s="580"/>
      <c r="AC286" s="581"/>
      <c r="AD286" s="582"/>
      <c r="AE286" s="583"/>
      <c r="AF286" s="584"/>
      <c r="AG286" s="553">
        <v>0</v>
      </c>
      <c r="AH286" s="554"/>
      <c r="AI286" s="555" t="e">
        <v>#N/A</v>
      </c>
      <c r="AJ286" s="556"/>
      <c r="AK286" s="556"/>
      <c r="AL286" s="556"/>
      <c r="AM286" s="556"/>
      <c r="AN286" s="556"/>
      <c r="AO286" s="556"/>
      <c r="AP286" s="556"/>
      <c r="AQ286" s="556"/>
      <c r="AR286" s="556"/>
      <c r="AS286" s="556"/>
      <c r="AT286" s="556"/>
      <c r="AU286" s="556"/>
      <c r="AV286" s="557"/>
      <c r="AW286" s="558">
        <v>0</v>
      </c>
      <c r="AX286" s="559"/>
      <c r="AY286" s="560"/>
      <c r="AZ286" s="585"/>
      <c r="BA286" s="586"/>
      <c r="BB286" s="587"/>
      <c r="BC286" s="558">
        <v>0</v>
      </c>
      <c r="BD286" s="559"/>
      <c r="BE286" s="560"/>
      <c r="BF286" s="558">
        <v>182.49</v>
      </c>
      <c r="BG286" s="559"/>
      <c r="BH286" s="560"/>
      <c r="BI286" s="564">
        <v>0</v>
      </c>
      <c r="BJ286" s="565"/>
      <c r="BK286" s="565"/>
      <c r="BL286" s="566"/>
      <c r="BM286" s="567" t="s">
        <v>932</v>
      </c>
      <c r="BN286" s="567"/>
      <c r="BO286" s="567"/>
      <c r="BP286" s="567"/>
      <c r="BQ286" s="568" t="s">
        <v>932</v>
      </c>
      <c r="BR286" s="568"/>
      <c r="BS286" s="568"/>
      <c r="BT286" s="567" t="s">
        <v>932</v>
      </c>
      <c r="BU286" s="567"/>
      <c r="BV286" s="567"/>
      <c r="BW286" s="567"/>
      <c r="BX286" s="568" t="s">
        <v>932</v>
      </c>
      <c r="BY286" s="568"/>
      <c r="BZ286" s="568"/>
      <c r="CA286" s="567" t="s">
        <v>932</v>
      </c>
      <c r="CB286" s="567"/>
      <c r="CC286" s="567"/>
      <c r="CD286" s="567"/>
      <c r="CE286" s="568">
        <v>1</v>
      </c>
      <c r="CF286" s="568"/>
      <c r="CG286" s="568"/>
      <c r="CH286" s="567" t="s">
        <v>932</v>
      </c>
      <c r="CI286" s="567"/>
      <c r="CJ286" s="567"/>
      <c r="CK286" s="567"/>
      <c r="CL286" s="568" t="s">
        <v>932</v>
      </c>
      <c r="CM286" s="568"/>
      <c r="CN286" s="568"/>
    </row>
    <row r="287" hidden="1" customHeight="1" spans="1:92">
      <c r="A287" s="588"/>
      <c r="B287" s="589"/>
      <c r="C287" s="590"/>
      <c r="D287" s="591"/>
      <c r="E287" s="592"/>
      <c r="F287" s="593"/>
      <c r="G287" s="594"/>
      <c r="H287" s="595"/>
      <c r="I287" s="596"/>
      <c r="J287" s="597"/>
      <c r="K287" s="597"/>
      <c r="L287" s="597"/>
      <c r="M287" s="597"/>
      <c r="N287" s="597"/>
      <c r="O287" s="597"/>
      <c r="P287" s="597"/>
      <c r="Q287" s="597"/>
      <c r="R287" s="597"/>
      <c r="S287" s="597"/>
      <c r="T287" s="597"/>
      <c r="U287" s="597"/>
      <c r="V287" s="597"/>
      <c r="W287" s="597"/>
      <c r="X287" s="597"/>
      <c r="Y287" s="597"/>
      <c r="Z287" s="597"/>
      <c r="AA287" s="598"/>
      <c r="AB287" s="599"/>
      <c r="AC287" s="600"/>
      <c r="AD287" s="601"/>
      <c r="AE287" s="602"/>
      <c r="AF287" s="603"/>
      <c r="AG287" s="553">
        <v>0</v>
      </c>
      <c r="AH287" s="554"/>
      <c r="AI287" s="555" t="e">
        <v>#N/A</v>
      </c>
      <c r="AJ287" s="556"/>
      <c r="AK287" s="556"/>
      <c r="AL287" s="556"/>
      <c r="AM287" s="556"/>
      <c r="AN287" s="556"/>
      <c r="AO287" s="556"/>
      <c r="AP287" s="556"/>
      <c r="AQ287" s="556"/>
      <c r="AR287" s="556"/>
      <c r="AS287" s="556"/>
      <c r="AT287" s="556"/>
      <c r="AU287" s="556"/>
      <c r="AV287" s="557"/>
      <c r="AW287" s="558">
        <v>0</v>
      </c>
      <c r="AX287" s="559"/>
      <c r="AY287" s="560"/>
      <c r="AZ287" s="604"/>
      <c r="BA287" s="605"/>
      <c r="BB287" s="606"/>
      <c r="BC287" s="558">
        <v>0</v>
      </c>
      <c r="BD287" s="559"/>
      <c r="BE287" s="560"/>
      <c r="BF287" s="558">
        <v>182.49</v>
      </c>
      <c r="BG287" s="559"/>
      <c r="BH287" s="560"/>
      <c r="BI287" s="564">
        <v>0</v>
      </c>
      <c r="BJ287" s="565"/>
      <c r="BK287" s="565"/>
      <c r="BL287" s="566"/>
      <c r="BM287" s="567" t="s">
        <v>932</v>
      </c>
      <c r="BN287" s="567"/>
      <c r="BO287" s="567"/>
      <c r="BP287" s="567"/>
      <c r="BQ287" s="568" t="s">
        <v>932</v>
      </c>
      <c r="BR287" s="568"/>
      <c r="BS287" s="568"/>
      <c r="BT287" s="567" t="s">
        <v>932</v>
      </c>
      <c r="BU287" s="567"/>
      <c r="BV287" s="567"/>
      <c r="BW287" s="567"/>
      <c r="BX287" s="568" t="s">
        <v>932</v>
      </c>
      <c r="BY287" s="568"/>
      <c r="BZ287" s="568"/>
      <c r="CA287" s="567" t="s">
        <v>932</v>
      </c>
      <c r="CB287" s="567"/>
      <c r="CC287" s="567"/>
      <c r="CD287" s="567"/>
      <c r="CE287" s="568">
        <v>1</v>
      </c>
      <c r="CF287" s="568"/>
      <c r="CG287" s="568"/>
      <c r="CH287" s="567" t="s">
        <v>932</v>
      </c>
      <c r="CI287" s="567"/>
      <c r="CJ287" s="567"/>
      <c r="CK287" s="567"/>
      <c r="CL287" s="568" t="s">
        <v>932</v>
      </c>
      <c r="CM287" s="568"/>
      <c r="CN287" s="568"/>
    </row>
    <row r="288" hidden="1" customHeight="1" spans="1:92">
      <c r="A288" s="540" t="s">
        <v>976</v>
      </c>
      <c r="B288" s="541"/>
      <c r="C288" s="89"/>
      <c r="D288" s="91"/>
      <c r="E288" s="90"/>
      <c r="F288" s="542">
        <v>407819</v>
      </c>
      <c r="G288" s="543"/>
      <c r="H288" s="544"/>
      <c r="I288" s="545" t="s">
        <v>100</v>
      </c>
      <c r="J288" s="546"/>
      <c r="K288" s="546"/>
      <c r="L288" s="546"/>
      <c r="M288" s="546"/>
      <c r="N288" s="546"/>
      <c r="O288" s="546"/>
      <c r="P288" s="546"/>
      <c r="Q288" s="546"/>
      <c r="R288" s="546"/>
      <c r="S288" s="546"/>
      <c r="T288" s="546"/>
      <c r="U288" s="546"/>
      <c r="V288" s="546"/>
      <c r="W288" s="546"/>
      <c r="X288" s="546"/>
      <c r="Y288" s="546"/>
      <c r="Z288" s="546"/>
      <c r="AA288" s="547"/>
      <c r="AB288" s="548" t="s">
        <v>101</v>
      </c>
      <c r="AC288" s="549"/>
      <c r="AD288" s="550">
        <v>262.45</v>
      </c>
      <c r="AE288" s="551"/>
      <c r="AF288" s="552"/>
      <c r="AG288" s="553">
        <v>0</v>
      </c>
      <c r="AH288" s="554"/>
      <c r="AI288" s="555" t="e">
        <v>#N/A</v>
      </c>
      <c r="AJ288" s="556"/>
      <c r="AK288" s="556"/>
      <c r="AL288" s="556"/>
      <c r="AM288" s="556"/>
      <c r="AN288" s="556"/>
      <c r="AO288" s="556"/>
      <c r="AP288" s="556"/>
      <c r="AQ288" s="556"/>
      <c r="AR288" s="556"/>
      <c r="AS288" s="556"/>
      <c r="AT288" s="556"/>
      <c r="AU288" s="556"/>
      <c r="AV288" s="557"/>
      <c r="AW288" s="558">
        <v>0</v>
      </c>
      <c r="AX288" s="559"/>
      <c r="AY288" s="560"/>
      <c r="AZ288" s="561">
        <v>1</v>
      </c>
      <c r="BA288" s="562"/>
      <c r="BB288" s="563"/>
      <c r="BC288" s="558">
        <v>0</v>
      </c>
      <c r="BD288" s="559"/>
      <c r="BE288" s="560"/>
      <c r="BF288" s="558">
        <v>182.49</v>
      </c>
      <c r="BG288" s="559"/>
      <c r="BH288" s="560"/>
      <c r="BI288" s="564">
        <v>0</v>
      </c>
      <c r="BJ288" s="565"/>
      <c r="BK288" s="565"/>
      <c r="BL288" s="566"/>
      <c r="BM288" s="567" t="s">
        <v>932</v>
      </c>
      <c r="BN288" s="567"/>
      <c r="BO288" s="567"/>
      <c r="BP288" s="567"/>
      <c r="BQ288" s="568" t="s">
        <v>932</v>
      </c>
      <c r="BR288" s="568"/>
      <c r="BS288" s="568"/>
      <c r="BT288" s="567" t="s">
        <v>932</v>
      </c>
      <c r="BU288" s="567"/>
      <c r="BV288" s="567"/>
      <c r="BW288" s="567"/>
      <c r="BX288" s="568" t="s">
        <v>932</v>
      </c>
      <c r="BY288" s="568"/>
      <c r="BZ288" s="568"/>
      <c r="CA288" s="567" t="s">
        <v>932</v>
      </c>
      <c r="CB288" s="567"/>
      <c r="CC288" s="567"/>
      <c r="CD288" s="567"/>
      <c r="CE288" s="568">
        <v>1</v>
      </c>
      <c r="CF288" s="568"/>
      <c r="CG288" s="568"/>
      <c r="CH288" s="567" t="s">
        <v>932</v>
      </c>
      <c r="CI288" s="567"/>
      <c r="CJ288" s="567"/>
      <c r="CK288" s="567"/>
      <c r="CL288" s="568" t="s">
        <v>932</v>
      </c>
      <c r="CM288" s="568"/>
      <c r="CN288" s="568"/>
    </row>
    <row r="289" hidden="1" customHeight="1" spans="1:92">
      <c r="A289" s="569"/>
      <c r="B289" s="570"/>
      <c r="C289" s="571"/>
      <c r="D289" s="572"/>
      <c r="E289" s="573"/>
      <c r="F289" s="574"/>
      <c r="G289" s="575"/>
      <c r="H289" s="576"/>
      <c r="I289" s="577"/>
      <c r="J289" s="578"/>
      <c r="K289" s="578"/>
      <c r="L289" s="578"/>
      <c r="M289" s="578"/>
      <c r="N289" s="578"/>
      <c r="O289" s="578"/>
      <c r="P289" s="578"/>
      <c r="Q289" s="578"/>
      <c r="R289" s="578"/>
      <c r="S289" s="578"/>
      <c r="T289" s="578"/>
      <c r="U289" s="578"/>
      <c r="V289" s="578"/>
      <c r="W289" s="578"/>
      <c r="X289" s="578"/>
      <c r="Y289" s="578"/>
      <c r="Z289" s="578"/>
      <c r="AA289" s="579"/>
      <c r="AB289" s="580"/>
      <c r="AC289" s="581"/>
      <c r="AD289" s="582"/>
      <c r="AE289" s="583"/>
      <c r="AF289" s="584"/>
      <c r="AG289" s="553">
        <v>0</v>
      </c>
      <c r="AH289" s="554"/>
      <c r="AI289" s="555" t="e">
        <v>#N/A</v>
      </c>
      <c r="AJ289" s="556"/>
      <c r="AK289" s="556"/>
      <c r="AL289" s="556"/>
      <c r="AM289" s="556"/>
      <c r="AN289" s="556"/>
      <c r="AO289" s="556"/>
      <c r="AP289" s="556"/>
      <c r="AQ289" s="556"/>
      <c r="AR289" s="556"/>
      <c r="AS289" s="556"/>
      <c r="AT289" s="556"/>
      <c r="AU289" s="556"/>
      <c r="AV289" s="557"/>
      <c r="AW289" s="558">
        <v>0</v>
      </c>
      <c r="AX289" s="559"/>
      <c r="AY289" s="560"/>
      <c r="AZ289" s="585"/>
      <c r="BA289" s="586"/>
      <c r="BB289" s="587"/>
      <c r="BC289" s="558">
        <v>0</v>
      </c>
      <c r="BD289" s="559"/>
      <c r="BE289" s="560"/>
      <c r="BF289" s="558">
        <v>182.49</v>
      </c>
      <c r="BG289" s="559"/>
      <c r="BH289" s="560"/>
      <c r="BI289" s="564">
        <v>0</v>
      </c>
      <c r="BJ289" s="565"/>
      <c r="BK289" s="565"/>
      <c r="BL289" s="566"/>
      <c r="BM289" s="567" t="s">
        <v>932</v>
      </c>
      <c r="BN289" s="567"/>
      <c r="BO289" s="567"/>
      <c r="BP289" s="567"/>
      <c r="BQ289" s="568" t="s">
        <v>932</v>
      </c>
      <c r="BR289" s="568"/>
      <c r="BS289" s="568"/>
      <c r="BT289" s="567" t="s">
        <v>932</v>
      </c>
      <c r="BU289" s="567"/>
      <c r="BV289" s="567"/>
      <c r="BW289" s="567"/>
      <c r="BX289" s="568" t="s">
        <v>932</v>
      </c>
      <c r="BY289" s="568"/>
      <c r="BZ289" s="568"/>
      <c r="CA289" s="567" t="s">
        <v>932</v>
      </c>
      <c r="CB289" s="567"/>
      <c r="CC289" s="567"/>
      <c r="CD289" s="567"/>
      <c r="CE289" s="568">
        <v>1</v>
      </c>
      <c r="CF289" s="568"/>
      <c r="CG289" s="568"/>
      <c r="CH289" s="567" t="s">
        <v>932</v>
      </c>
      <c r="CI289" s="567"/>
      <c r="CJ289" s="567"/>
      <c r="CK289" s="567"/>
      <c r="CL289" s="568" t="s">
        <v>932</v>
      </c>
      <c r="CM289" s="568"/>
      <c r="CN289" s="568"/>
    </row>
    <row r="290" hidden="1" customHeight="1" spans="1:92">
      <c r="A290" s="569"/>
      <c r="B290" s="570"/>
      <c r="C290" s="571"/>
      <c r="D290" s="572"/>
      <c r="E290" s="573"/>
      <c r="F290" s="574"/>
      <c r="G290" s="575"/>
      <c r="H290" s="576"/>
      <c r="I290" s="577"/>
      <c r="J290" s="578"/>
      <c r="K290" s="578"/>
      <c r="L290" s="578"/>
      <c r="M290" s="578"/>
      <c r="N290" s="578"/>
      <c r="O290" s="578"/>
      <c r="P290" s="578"/>
      <c r="Q290" s="578"/>
      <c r="R290" s="578"/>
      <c r="S290" s="578"/>
      <c r="T290" s="578"/>
      <c r="U290" s="578"/>
      <c r="V290" s="578"/>
      <c r="W290" s="578"/>
      <c r="X290" s="578"/>
      <c r="Y290" s="578"/>
      <c r="Z290" s="578"/>
      <c r="AA290" s="579"/>
      <c r="AB290" s="580"/>
      <c r="AC290" s="581"/>
      <c r="AD290" s="582"/>
      <c r="AE290" s="583"/>
      <c r="AF290" s="584"/>
      <c r="AG290" s="553">
        <v>0</v>
      </c>
      <c r="AH290" s="554"/>
      <c r="AI290" s="555" t="e">
        <v>#N/A</v>
      </c>
      <c r="AJ290" s="556"/>
      <c r="AK290" s="556"/>
      <c r="AL290" s="556"/>
      <c r="AM290" s="556"/>
      <c r="AN290" s="556"/>
      <c r="AO290" s="556"/>
      <c r="AP290" s="556"/>
      <c r="AQ290" s="556"/>
      <c r="AR290" s="556"/>
      <c r="AS290" s="556"/>
      <c r="AT290" s="556"/>
      <c r="AU290" s="556"/>
      <c r="AV290" s="557"/>
      <c r="AW290" s="558">
        <v>0</v>
      </c>
      <c r="AX290" s="559"/>
      <c r="AY290" s="560"/>
      <c r="AZ290" s="585"/>
      <c r="BA290" s="586"/>
      <c r="BB290" s="587"/>
      <c r="BC290" s="558">
        <v>0</v>
      </c>
      <c r="BD290" s="559"/>
      <c r="BE290" s="560"/>
      <c r="BF290" s="558">
        <v>182.49</v>
      </c>
      <c r="BG290" s="559"/>
      <c r="BH290" s="560"/>
      <c r="BI290" s="564">
        <v>0</v>
      </c>
      <c r="BJ290" s="565"/>
      <c r="BK290" s="565"/>
      <c r="BL290" s="566"/>
      <c r="BM290" s="567" t="s">
        <v>932</v>
      </c>
      <c r="BN290" s="567"/>
      <c r="BO290" s="567"/>
      <c r="BP290" s="567"/>
      <c r="BQ290" s="568" t="s">
        <v>932</v>
      </c>
      <c r="BR290" s="568"/>
      <c r="BS290" s="568"/>
      <c r="BT290" s="567" t="s">
        <v>932</v>
      </c>
      <c r="BU290" s="567"/>
      <c r="BV290" s="567"/>
      <c r="BW290" s="567"/>
      <c r="BX290" s="568" t="s">
        <v>932</v>
      </c>
      <c r="BY290" s="568"/>
      <c r="BZ290" s="568"/>
      <c r="CA290" s="567" t="s">
        <v>932</v>
      </c>
      <c r="CB290" s="567"/>
      <c r="CC290" s="567"/>
      <c r="CD290" s="567"/>
      <c r="CE290" s="568">
        <v>1</v>
      </c>
      <c r="CF290" s="568"/>
      <c r="CG290" s="568"/>
      <c r="CH290" s="567" t="s">
        <v>932</v>
      </c>
      <c r="CI290" s="567"/>
      <c r="CJ290" s="567"/>
      <c r="CK290" s="567"/>
      <c r="CL290" s="568" t="s">
        <v>932</v>
      </c>
      <c r="CM290" s="568"/>
      <c r="CN290" s="568"/>
    </row>
    <row r="291" hidden="1" customHeight="1" spans="1:92">
      <c r="A291" s="569"/>
      <c r="B291" s="570"/>
      <c r="C291" s="571"/>
      <c r="D291" s="572"/>
      <c r="E291" s="573"/>
      <c r="F291" s="574"/>
      <c r="G291" s="575"/>
      <c r="H291" s="576"/>
      <c r="I291" s="577"/>
      <c r="J291" s="578"/>
      <c r="K291" s="578"/>
      <c r="L291" s="578"/>
      <c r="M291" s="578"/>
      <c r="N291" s="578"/>
      <c r="O291" s="578"/>
      <c r="P291" s="578"/>
      <c r="Q291" s="578"/>
      <c r="R291" s="578"/>
      <c r="S291" s="578"/>
      <c r="T291" s="578"/>
      <c r="U291" s="578"/>
      <c r="V291" s="578"/>
      <c r="W291" s="578"/>
      <c r="X291" s="578"/>
      <c r="Y291" s="578"/>
      <c r="Z291" s="578"/>
      <c r="AA291" s="579"/>
      <c r="AB291" s="580"/>
      <c r="AC291" s="581"/>
      <c r="AD291" s="582"/>
      <c r="AE291" s="583"/>
      <c r="AF291" s="584"/>
      <c r="AG291" s="553">
        <v>0</v>
      </c>
      <c r="AH291" s="554"/>
      <c r="AI291" s="555" t="e">
        <v>#N/A</v>
      </c>
      <c r="AJ291" s="556"/>
      <c r="AK291" s="556"/>
      <c r="AL291" s="556"/>
      <c r="AM291" s="556"/>
      <c r="AN291" s="556"/>
      <c r="AO291" s="556"/>
      <c r="AP291" s="556"/>
      <c r="AQ291" s="556"/>
      <c r="AR291" s="556"/>
      <c r="AS291" s="556"/>
      <c r="AT291" s="556"/>
      <c r="AU291" s="556"/>
      <c r="AV291" s="557"/>
      <c r="AW291" s="558">
        <v>0</v>
      </c>
      <c r="AX291" s="559"/>
      <c r="AY291" s="560"/>
      <c r="AZ291" s="585"/>
      <c r="BA291" s="586"/>
      <c r="BB291" s="587"/>
      <c r="BC291" s="558">
        <v>0</v>
      </c>
      <c r="BD291" s="559"/>
      <c r="BE291" s="560"/>
      <c r="BF291" s="558">
        <v>182.49</v>
      </c>
      <c r="BG291" s="559"/>
      <c r="BH291" s="560"/>
      <c r="BI291" s="564">
        <v>0</v>
      </c>
      <c r="BJ291" s="565"/>
      <c r="BK291" s="565"/>
      <c r="BL291" s="566"/>
      <c r="BM291" s="567" t="s">
        <v>932</v>
      </c>
      <c r="BN291" s="567"/>
      <c r="BO291" s="567"/>
      <c r="BP291" s="567"/>
      <c r="BQ291" s="568" t="s">
        <v>932</v>
      </c>
      <c r="BR291" s="568"/>
      <c r="BS291" s="568"/>
      <c r="BT291" s="567" t="s">
        <v>932</v>
      </c>
      <c r="BU291" s="567"/>
      <c r="BV291" s="567"/>
      <c r="BW291" s="567"/>
      <c r="BX291" s="568" t="s">
        <v>932</v>
      </c>
      <c r="BY291" s="568"/>
      <c r="BZ291" s="568"/>
      <c r="CA291" s="567" t="s">
        <v>932</v>
      </c>
      <c r="CB291" s="567"/>
      <c r="CC291" s="567"/>
      <c r="CD291" s="567"/>
      <c r="CE291" s="568">
        <v>1</v>
      </c>
      <c r="CF291" s="568"/>
      <c r="CG291" s="568"/>
      <c r="CH291" s="567" t="s">
        <v>932</v>
      </c>
      <c r="CI291" s="567"/>
      <c r="CJ291" s="567"/>
      <c r="CK291" s="567"/>
      <c r="CL291" s="568" t="s">
        <v>932</v>
      </c>
      <c r="CM291" s="568"/>
      <c r="CN291" s="568"/>
    </row>
    <row r="292" hidden="1" customHeight="1" spans="1:92">
      <c r="A292" s="569"/>
      <c r="B292" s="570"/>
      <c r="C292" s="571"/>
      <c r="D292" s="572"/>
      <c r="E292" s="573"/>
      <c r="F292" s="574"/>
      <c r="G292" s="575"/>
      <c r="H292" s="576"/>
      <c r="I292" s="577"/>
      <c r="J292" s="578"/>
      <c r="K292" s="578"/>
      <c r="L292" s="578"/>
      <c r="M292" s="578"/>
      <c r="N292" s="578"/>
      <c r="O292" s="578"/>
      <c r="P292" s="578"/>
      <c r="Q292" s="578"/>
      <c r="R292" s="578"/>
      <c r="S292" s="578"/>
      <c r="T292" s="578"/>
      <c r="U292" s="578"/>
      <c r="V292" s="578"/>
      <c r="W292" s="578"/>
      <c r="X292" s="578"/>
      <c r="Y292" s="578"/>
      <c r="Z292" s="578"/>
      <c r="AA292" s="579"/>
      <c r="AB292" s="580"/>
      <c r="AC292" s="581"/>
      <c r="AD292" s="582"/>
      <c r="AE292" s="583"/>
      <c r="AF292" s="584"/>
      <c r="AG292" s="553">
        <v>0</v>
      </c>
      <c r="AH292" s="554"/>
      <c r="AI292" s="555" t="e">
        <v>#N/A</v>
      </c>
      <c r="AJ292" s="556"/>
      <c r="AK292" s="556"/>
      <c r="AL292" s="556"/>
      <c r="AM292" s="556"/>
      <c r="AN292" s="556"/>
      <c r="AO292" s="556"/>
      <c r="AP292" s="556"/>
      <c r="AQ292" s="556"/>
      <c r="AR292" s="556"/>
      <c r="AS292" s="556"/>
      <c r="AT292" s="556"/>
      <c r="AU292" s="556"/>
      <c r="AV292" s="557"/>
      <c r="AW292" s="558">
        <v>0</v>
      </c>
      <c r="AX292" s="559"/>
      <c r="AY292" s="560"/>
      <c r="AZ292" s="585"/>
      <c r="BA292" s="586"/>
      <c r="BB292" s="587"/>
      <c r="BC292" s="558">
        <v>0</v>
      </c>
      <c r="BD292" s="559"/>
      <c r="BE292" s="560"/>
      <c r="BF292" s="558">
        <v>182.49</v>
      </c>
      <c r="BG292" s="559"/>
      <c r="BH292" s="560"/>
      <c r="BI292" s="564">
        <v>0</v>
      </c>
      <c r="BJ292" s="565"/>
      <c r="BK292" s="565"/>
      <c r="BL292" s="566"/>
      <c r="BM292" s="567" t="s">
        <v>932</v>
      </c>
      <c r="BN292" s="567"/>
      <c r="BO292" s="567"/>
      <c r="BP292" s="567"/>
      <c r="BQ292" s="568" t="s">
        <v>932</v>
      </c>
      <c r="BR292" s="568"/>
      <c r="BS292" s="568"/>
      <c r="BT292" s="567" t="s">
        <v>932</v>
      </c>
      <c r="BU292" s="567"/>
      <c r="BV292" s="567"/>
      <c r="BW292" s="567"/>
      <c r="BX292" s="568" t="s">
        <v>932</v>
      </c>
      <c r="BY292" s="568"/>
      <c r="BZ292" s="568"/>
      <c r="CA292" s="567" t="s">
        <v>932</v>
      </c>
      <c r="CB292" s="567"/>
      <c r="CC292" s="567"/>
      <c r="CD292" s="567"/>
      <c r="CE292" s="568">
        <v>1</v>
      </c>
      <c r="CF292" s="568"/>
      <c r="CG292" s="568"/>
      <c r="CH292" s="567" t="s">
        <v>932</v>
      </c>
      <c r="CI292" s="567"/>
      <c r="CJ292" s="567"/>
      <c r="CK292" s="567"/>
      <c r="CL292" s="568" t="s">
        <v>932</v>
      </c>
      <c r="CM292" s="568"/>
      <c r="CN292" s="568"/>
    </row>
    <row r="293" hidden="1" customHeight="1" spans="1:92">
      <c r="A293" s="569"/>
      <c r="B293" s="570"/>
      <c r="C293" s="571"/>
      <c r="D293" s="572"/>
      <c r="E293" s="573"/>
      <c r="F293" s="574"/>
      <c r="G293" s="575"/>
      <c r="H293" s="576"/>
      <c r="I293" s="577"/>
      <c r="J293" s="578"/>
      <c r="K293" s="578"/>
      <c r="L293" s="578"/>
      <c r="M293" s="578"/>
      <c r="N293" s="578"/>
      <c r="O293" s="578"/>
      <c r="P293" s="578"/>
      <c r="Q293" s="578"/>
      <c r="R293" s="578"/>
      <c r="S293" s="578"/>
      <c r="T293" s="578"/>
      <c r="U293" s="578"/>
      <c r="V293" s="578"/>
      <c r="W293" s="578"/>
      <c r="X293" s="578"/>
      <c r="Y293" s="578"/>
      <c r="Z293" s="578"/>
      <c r="AA293" s="579"/>
      <c r="AB293" s="580"/>
      <c r="AC293" s="581"/>
      <c r="AD293" s="582"/>
      <c r="AE293" s="583"/>
      <c r="AF293" s="584"/>
      <c r="AG293" s="553">
        <v>0</v>
      </c>
      <c r="AH293" s="554"/>
      <c r="AI293" s="555" t="e">
        <v>#N/A</v>
      </c>
      <c r="AJ293" s="556"/>
      <c r="AK293" s="556"/>
      <c r="AL293" s="556"/>
      <c r="AM293" s="556"/>
      <c r="AN293" s="556"/>
      <c r="AO293" s="556"/>
      <c r="AP293" s="556"/>
      <c r="AQ293" s="556"/>
      <c r="AR293" s="556"/>
      <c r="AS293" s="556"/>
      <c r="AT293" s="556"/>
      <c r="AU293" s="556"/>
      <c r="AV293" s="557"/>
      <c r="AW293" s="558">
        <v>0</v>
      </c>
      <c r="AX293" s="559"/>
      <c r="AY293" s="560"/>
      <c r="AZ293" s="585"/>
      <c r="BA293" s="586"/>
      <c r="BB293" s="587"/>
      <c r="BC293" s="558">
        <v>0</v>
      </c>
      <c r="BD293" s="559"/>
      <c r="BE293" s="560"/>
      <c r="BF293" s="558">
        <v>182.49</v>
      </c>
      <c r="BG293" s="559"/>
      <c r="BH293" s="560"/>
      <c r="BI293" s="564">
        <v>0</v>
      </c>
      <c r="BJ293" s="565"/>
      <c r="BK293" s="565"/>
      <c r="BL293" s="566"/>
      <c r="BM293" s="567" t="s">
        <v>932</v>
      </c>
      <c r="BN293" s="567"/>
      <c r="BO293" s="567"/>
      <c r="BP293" s="567"/>
      <c r="BQ293" s="568" t="s">
        <v>932</v>
      </c>
      <c r="BR293" s="568"/>
      <c r="BS293" s="568"/>
      <c r="BT293" s="567" t="s">
        <v>932</v>
      </c>
      <c r="BU293" s="567"/>
      <c r="BV293" s="567"/>
      <c r="BW293" s="567"/>
      <c r="BX293" s="568" t="s">
        <v>932</v>
      </c>
      <c r="BY293" s="568"/>
      <c r="BZ293" s="568"/>
      <c r="CA293" s="567" t="s">
        <v>932</v>
      </c>
      <c r="CB293" s="567"/>
      <c r="CC293" s="567"/>
      <c r="CD293" s="567"/>
      <c r="CE293" s="568">
        <v>1</v>
      </c>
      <c r="CF293" s="568"/>
      <c r="CG293" s="568"/>
      <c r="CH293" s="567" t="s">
        <v>932</v>
      </c>
      <c r="CI293" s="567"/>
      <c r="CJ293" s="567"/>
      <c r="CK293" s="567"/>
      <c r="CL293" s="568" t="s">
        <v>932</v>
      </c>
      <c r="CM293" s="568"/>
      <c r="CN293" s="568"/>
    </row>
    <row r="294" hidden="1" customHeight="1" spans="1:92">
      <c r="A294" s="569"/>
      <c r="B294" s="570"/>
      <c r="C294" s="571"/>
      <c r="D294" s="572"/>
      <c r="E294" s="573"/>
      <c r="F294" s="574"/>
      <c r="G294" s="575"/>
      <c r="H294" s="576"/>
      <c r="I294" s="577"/>
      <c r="J294" s="578"/>
      <c r="K294" s="578"/>
      <c r="L294" s="578"/>
      <c r="M294" s="578"/>
      <c r="N294" s="578"/>
      <c r="O294" s="578"/>
      <c r="P294" s="578"/>
      <c r="Q294" s="578"/>
      <c r="R294" s="578"/>
      <c r="S294" s="578"/>
      <c r="T294" s="578"/>
      <c r="U294" s="578"/>
      <c r="V294" s="578"/>
      <c r="W294" s="578"/>
      <c r="X294" s="578"/>
      <c r="Y294" s="578"/>
      <c r="Z294" s="578"/>
      <c r="AA294" s="579"/>
      <c r="AB294" s="580"/>
      <c r="AC294" s="581"/>
      <c r="AD294" s="582"/>
      <c r="AE294" s="583"/>
      <c r="AF294" s="584"/>
      <c r="AG294" s="553">
        <v>0</v>
      </c>
      <c r="AH294" s="554"/>
      <c r="AI294" s="555" t="e">
        <v>#N/A</v>
      </c>
      <c r="AJ294" s="556"/>
      <c r="AK294" s="556"/>
      <c r="AL294" s="556"/>
      <c r="AM294" s="556"/>
      <c r="AN294" s="556"/>
      <c r="AO294" s="556"/>
      <c r="AP294" s="556"/>
      <c r="AQ294" s="556"/>
      <c r="AR294" s="556"/>
      <c r="AS294" s="556"/>
      <c r="AT294" s="556"/>
      <c r="AU294" s="556"/>
      <c r="AV294" s="557"/>
      <c r="AW294" s="558">
        <v>0</v>
      </c>
      <c r="AX294" s="559"/>
      <c r="AY294" s="560"/>
      <c r="AZ294" s="585"/>
      <c r="BA294" s="586"/>
      <c r="BB294" s="587"/>
      <c r="BC294" s="558">
        <v>0</v>
      </c>
      <c r="BD294" s="559"/>
      <c r="BE294" s="560"/>
      <c r="BF294" s="558">
        <v>182.49</v>
      </c>
      <c r="BG294" s="559"/>
      <c r="BH294" s="560"/>
      <c r="BI294" s="564">
        <v>0</v>
      </c>
      <c r="BJ294" s="565"/>
      <c r="BK294" s="565"/>
      <c r="BL294" s="566"/>
      <c r="BM294" s="567" t="s">
        <v>932</v>
      </c>
      <c r="BN294" s="567"/>
      <c r="BO294" s="567"/>
      <c r="BP294" s="567"/>
      <c r="BQ294" s="568" t="s">
        <v>932</v>
      </c>
      <c r="BR294" s="568"/>
      <c r="BS294" s="568"/>
      <c r="BT294" s="567" t="s">
        <v>932</v>
      </c>
      <c r="BU294" s="567"/>
      <c r="BV294" s="567"/>
      <c r="BW294" s="567"/>
      <c r="BX294" s="568" t="s">
        <v>932</v>
      </c>
      <c r="BY294" s="568"/>
      <c r="BZ294" s="568"/>
      <c r="CA294" s="567" t="s">
        <v>932</v>
      </c>
      <c r="CB294" s="567"/>
      <c r="CC294" s="567"/>
      <c r="CD294" s="567"/>
      <c r="CE294" s="568">
        <v>1</v>
      </c>
      <c r="CF294" s="568"/>
      <c r="CG294" s="568"/>
      <c r="CH294" s="567" t="s">
        <v>932</v>
      </c>
      <c r="CI294" s="567"/>
      <c r="CJ294" s="567"/>
      <c r="CK294" s="567"/>
      <c r="CL294" s="568" t="s">
        <v>932</v>
      </c>
      <c r="CM294" s="568"/>
      <c r="CN294" s="568"/>
    </row>
    <row r="295" hidden="1" customHeight="1" spans="1:92">
      <c r="A295" s="588"/>
      <c r="B295" s="589"/>
      <c r="C295" s="590"/>
      <c r="D295" s="591"/>
      <c r="E295" s="592"/>
      <c r="F295" s="593"/>
      <c r="G295" s="594"/>
      <c r="H295" s="595"/>
      <c r="I295" s="596"/>
      <c r="J295" s="597"/>
      <c r="K295" s="597"/>
      <c r="L295" s="597"/>
      <c r="M295" s="597"/>
      <c r="N295" s="597"/>
      <c r="O295" s="597"/>
      <c r="P295" s="597"/>
      <c r="Q295" s="597"/>
      <c r="R295" s="597"/>
      <c r="S295" s="597"/>
      <c r="T295" s="597"/>
      <c r="U295" s="597"/>
      <c r="V295" s="597"/>
      <c r="W295" s="597"/>
      <c r="X295" s="597"/>
      <c r="Y295" s="597"/>
      <c r="Z295" s="597"/>
      <c r="AA295" s="598"/>
      <c r="AB295" s="599"/>
      <c r="AC295" s="600"/>
      <c r="AD295" s="601"/>
      <c r="AE295" s="602"/>
      <c r="AF295" s="603"/>
      <c r="AG295" s="553">
        <v>0</v>
      </c>
      <c r="AH295" s="554"/>
      <c r="AI295" s="555" t="e">
        <v>#N/A</v>
      </c>
      <c r="AJ295" s="556"/>
      <c r="AK295" s="556"/>
      <c r="AL295" s="556"/>
      <c r="AM295" s="556"/>
      <c r="AN295" s="556"/>
      <c r="AO295" s="556"/>
      <c r="AP295" s="556"/>
      <c r="AQ295" s="556"/>
      <c r="AR295" s="556"/>
      <c r="AS295" s="556"/>
      <c r="AT295" s="556"/>
      <c r="AU295" s="556"/>
      <c r="AV295" s="557"/>
      <c r="AW295" s="558">
        <v>0</v>
      </c>
      <c r="AX295" s="559"/>
      <c r="AY295" s="560"/>
      <c r="AZ295" s="604"/>
      <c r="BA295" s="605"/>
      <c r="BB295" s="606"/>
      <c r="BC295" s="558">
        <v>0</v>
      </c>
      <c r="BD295" s="559"/>
      <c r="BE295" s="560"/>
      <c r="BF295" s="558">
        <v>182.49</v>
      </c>
      <c r="BG295" s="559"/>
      <c r="BH295" s="560"/>
      <c r="BI295" s="564">
        <v>0</v>
      </c>
      <c r="BJ295" s="565"/>
      <c r="BK295" s="565"/>
      <c r="BL295" s="566"/>
      <c r="BM295" s="567" t="s">
        <v>932</v>
      </c>
      <c r="BN295" s="567"/>
      <c r="BO295" s="567"/>
      <c r="BP295" s="567"/>
      <c r="BQ295" s="568" t="s">
        <v>932</v>
      </c>
      <c r="BR295" s="568"/>
      <c r="BS295" s="568"/>
      <c r="BT295" s="567" t="s">
        <v>932</v>
      </c>
      <c r="BU295" s="567"/>
      <c r="BV295" s="567"/>
      <c r="BW295" s="567"/>
      <c r="BX295" s="568" t="s">
        <v>932</v>
      </c>
      <c r="BY295" s="568"/>
      <c r="BZ295" s="568"/>
      <c r="CA295" s="567" t="s">
        <v>932</v>
      </c>
      <c r="CB295" s="567"/>
      <c r="CC295" s="567"/>
      <c r="CD295" s="567"/>
      <c r="CE295" s="568">
        <v>1</v>
      </c>
      <c r="CF295" s="568"/>
      <c r="CG295" s="568"/>
      <c r="CH295" s="567" t="s">
        <v>932</v>
      </c>
      <c r="CI295" s="567"/>
      <c r="CJ295" s="567"/>
      <c r="CK295" s="567"/>
      <c r="CL295" s="568" t="s">
        <v>932</v>
      </c>
      <c r="CM295" s="568"/>
      <c r="CN295" s="568"/>
    </row>
    <row r="296" customHeight="1" spans="1:92">
      <c r="A296" s="540" t="s">
        <v>977</v>
      </c>
      <c r="B296" s="541"/>
      <c r="C296" s="89"/>
      <c r="D296" s="91"/>
      <c r="E296" s="90"/>
      <c r="F296" s="542">
        <v>5502109</v>
      </c>
      <c r="G296" s="543"/>
      <c r="H296" s="544"/>
      <c r="I296" s="545" t="s">
        <v>98</v>
      </c>
      <c r="J296" s="546"/>
      <c r="K296" s="546"/>
      <c r="L296" s="546"/>
      <c r="M296" s="546"/>
      <c r="N296" s="546"/>
      <c r="O296" s="546"/>
      <c r="P296" s="546"/>
      <c r="Q296" s="546"/>
      <c r="R296" s="546"/>
      <c r="S296" s="546"/>
      <c r="T296" s="546"/>
      <c r="U296" s="546"/>
      <c r="V296" s="546"/>
      <c r="W296" s="546"/>
      <c r="X296" s="546"/>
      <c r="Y296" s="546"/>
      <c r="Z296" s="546"/>
      <c r="AA296" s="547"/>
      <c r="AB296" s="548" t="s">
        <v>99</v>
      </c>
      <c r="AC296" s="549"/>
      <c r="AD296" s="550">
        <v>59.36</v>
      </c>
      <c r="AE296" s="551"/>
      <c r="AF296" s="552"/>
      <c r="AG296" s="553" t="s">
        <v>1056</v>
      </c>
      <c r="AH296" s="554"/>
      <c r="AI296" s="555" t="s">
        <v>1057</v>
      </c>
      <c r="AJ296" s="556"/>
      <c r="AK296" s="556"/>
      <c r="AL296" s="556"/>
      <c r="AM296" s="556"/>
      <c r="AN296" s="556"/>
      <c r="AO296" s="556"/>
      <c r="AP296" s="556"/>
      <c r="AQ296" s="556"/>
      <c r="AR296" s="556"/>
      <c r="AS296" s="556"/>
      <c r="AT296" s="556"/>
      <c r="AU296" s="556"/>
      <c r="AV296" s="557"/>
      <c r="AW296" s="558">
        <v>4</v>
      </c>
      <c r="AX296" s="559"/>
      <c r="AY296" s="560"/>
      <c r="AZ296" s="561">
        <v>230.19</v>
      </c>
      <c r="BA296" s="562"/>
      <c r="BB296" s="563"/>
      <c r="BC296" s="558">
        <v>1.03149572092619</v>
      </c>
      <c r="BD296" s="559"/>
      <c r="BE296" s="560"/>
      <c r="BF296" s="558">
        <v>182.49</v>
      </c>
      <c r="BG296" s="559"/>
      <c r="BH296" s="560"/>
      <c r="BI296" s="564">
        <v>0.0056523410648594</v>
      </c>
      <c r="BJ296" s="565"/>
      <c r="BK296" s="565"/>
      <c r="BL296" s="566"/>
      <c r="BM296" s="567" t="s">
        <v>932</v>
      </c>
      <c r="BN296" s="567"/>
      <c r="BO296" s="567"/>
      <c r="BP296" s="567"/>
      <c r="BQ296" s="568" t="s">
        <v>932</v>
      </c>
      <c r="BR296" s="568"/>
      <c r="BS296" s="568"/>
      <c r="BT296" s="567" t="s">
        <v>932</v>
      </c>
      <c r="BU296" s="567"/>
      <c r="BV296" s="567"/>
      <c r="BW296" s="567"/>
      <c r="BX296" s="568" t="s">
        <v>932</v>
      </c>
      <c r="BY296" s="568"/>
      <c r="BZ296" s="568"/>
      <c r="CA296" s="567">
        <v>0.0056523410648594</v>
      </c>
      <c r="CB296" s="567"/>
      <c r="CC296" s="567"/>
      <c r="CD296" s="567"/>
      <c r="CE296" s="568">
        <v>1</v>
      </c>
      <c r="CF296" s="568"/>
      <c r="CG296" s="568"/>
      <c r="CH296" s="567" t="s">
        <v>932</v>
      </c>
      <c r="CI296" s="567"/>
      <c r="CJ296" s="567"/>
      <c r="CK296" s="567"/>
      <c r="CL296" s="568" t="s">
        <v>932</v>
      </c>
      <c r="CM296" s="568"/>
      <c r="CN296" s="568"/>
    </row>
    <row r="297" customHeight="1" spans="1:92">
      <c r="A297" s="569"/>
      <c r="B297" s="570"/>
      <c r="C297" s="571"/>
      <c r="D297" s="572"/>
      <c r="E297" s="573"/>
      <c r="F297" s="574"/>
      <c r="G297" s="575"/>
      <c r="H297" s="576"/>
      <c r="I297" s="577"/>
      <c r="J297" s="578"/>
      <c r="K297" s="578"/>
      <c r="L297" s="578"/>
      <c r="M297" s="578"/>
      <c r="N297" s="578"/>
      <c r="O297" s="578"/>
      <c r="P297" s="578"/>
      <c r="Q297" s="578"/>
      <c r="R297" s="578"/>
      <c r="S297" s="578"/>
      <c r="T297" s="578"/>
      <c r="U297" s="578"/>
      <c r="V297" s="578"/>
      <c r="W297" s="578"/>
      <c r="X297" s="578"/>
      <c r="Y297" s="578"/>
      <c r="Z297" s="578"/>
      <c r="AA297" s="579"/>
      <c r="AB297" s="580"/>
      <c r="AC297" s="581"/>
      <c r="AD297" s="582"/>
      <c r="AE297" s="583"/>
      <c r="AF297" s="584"/>
      <c r="AG297" s="553" t="s">
        <v>1058</v>
      </c>
      <c r="AH297" s="554"/>
      <c r="AI297" s="555" t="s">
        <v>1059</v>
      </c>
      <c r="AJ297" s="556"/>
      <c r="AK297" s="556"/>
      <c r="AL297" s="556"/>
      <c r="AM297" s="556"/>
      <c r="AN297" s="556"/>
      <c r="AO297" s="556"/>
      <c r="AP297" s="556"/>
      <c r="AQ297" s="556"/>
      <c r="AR297" s="556"/>
      <c r="AS297" s="556"/>
      <c r="AT297" s="556"/>
      <c r="AU297" s="556"/>
      <c r="AV297" s="557"/>
      <c r="AW297" s="558">
        <v>1</v>
      </c>
      <c r="AX297" s="559"/>
      <c r="AY297" s="560"/>
      <c r="AZ297" s="585"/>
      <c r="BA297" s="586"/>
      <c r="BB297" s="587"/>
      <c r="BC297" s="558">
        <v>0.257873930231548</v>
      </c>
      <c r="BD297" s="559"/>
      <c r="BE297" s="560"/>
      <c r="BF297" s="558">
        <v>182.49</v>
      </c>
      <c r="BG297" s="559"/>
      <c r="BH297" s="560"/>
      <c r="BI297" s="564">
        <v>0.00141308526621485</v>
      </c>
      <c r="BJ297" s="565"/>
      <c r="BK297" s="565"/>
      <c r="BL297" s="566"/>
      <c r="BM297" s="567" t="s">
        <v>932</v>
      </c>
      <c r="BN297" s="567"/>
      <c r="BO297" s="567"/>
      <c r="BP297" s="567"/>
      <c r="BQ297" s="568" t="s">
        <v>932</v>
      </c>
      <c r="BR297" s="568"/>
      <c r="BS297" s="568"/>
      <c r="BT297" s="567" t="s">
        <v>932</v>
      </c>
      <c r="BU297" s="567"/>
      <c r="BV297" s="567"/>
      <c r="BW297" s="567"/>
      <c r="BX297" s="568" t="s">
        <v>932</v>
      </c>
      <c r="BY297" s="568"/>
      <c r="BZ297" s="568"/>
      <c r="CA297" s="567">
        <v>0.00141308526621485</v>
      </c>
      <c r="CB297" s="567"/>
      <c r="CC297" s="567"/>
      <c r="CD297" s="567"/>
      <c r="CE297" s="568">
        <v>1</v>
      </c>
      <c r="CF297" s="568"/>
      <c r="CG297" s="568"/>
      <c r="CH297" s="567" t="s">
        <v>932</v>
      </c>
      <c r="CI297" s="567"/>
      <c r="CJ297" s="567"/>
      <c r="CK297" s="567"/>
      <c r="CL297" s="568" t="s">
        <v>932</v>
      </c>
      <c r="CM297" s="568"/>
      <c r="CN297" s="568"/>
    </row>
    <row r="298" hidden="1" customHeight="1" spans="1:92">
      <c r="A298" s="569"/>
      <c r="B298" s="570"/>
      <c r="C298" s="571"/>
      <c r="D298" s="572"/>
      <c r="E298" s="573"/>
      <c r="F298" s="574"/>
      <c r="G298" s="575"/>
      <c r="H298" s="576"/>
      <c r="I298" s="577"/>
      <c r="J298" s="578"/>
      <c r="K298" s="578"/>
      <c r="L298" s="578"/>
      <c r="M298" s="578"/>
      <c r="N298" s="578"/>
      <c r="O298" s="578"/>
      <c r="P298" s="578"/>
      <c r="Q298" s="578"/>
      <c r="R298" s="578"/>
      <c r="S298" s="578"/>
      <c r="T298" s="578"/>
      <c r="U298" s="578"/>
      <c r="V298" s="578"/>
      <c r="W298" s="578"/>
      <c r="X298" s="578"/>
      <c r="Y298" s="578"/>
      <c r="Z298" s="578"/>
      <c r="AA298" s="579"/>
      <c r="AB298" s="580"/>
      <c r="AC298" s="581"/>
      <c r="AD298" s="582"/>
      <c r="AE298" s="583"/>
      <c r="AF298" s="584"/>
      <c r="AG298" s="553">
        <v>0</v>
      </c>
      <c r="AH298" s="554"/>
      <c r="AI298" s="555" t="e">
        <v>#N/A</v>
      </c>
      <c r="AJ298" s="556"/>
      <c r="AK298" s="556"/>
      <c r="AL298" s="556"/>
      <c r="AM298" s="556"/>
      <c r="AN298" s="556"/>
      <c r="AO298" s="556"/>
      <c r="AP298" s="556"/>
      <c r="AQ298" s="556"/>
      <c r="AR298" s="556"/>
      <c r="AS298" s="556"/>
      <c r="AT298" s="556"/>
      <c r="AU298" s="556"/>
      <c r="AV298" s="557"/>
      <c r="AW298" s="558">
        <v>0</v>
      </c>
      <c r="AX298" s="559"/>
      <c r="AY298" s="560"/>
      <c r="AZ298" s="585"/>
      <c r="BA298" s="586"/>
      <c r="BB298" s="587"/>
      <c r="BC298" s="558">
        <v>0</v>
      </c>
      <c r="BD298" s="559"/>
      <c r="BE298" s="560"/>
      <c r="BF298" s="558">
        <v>182.49</v>
      </c>
      <c r="BG298" s="559"/>
      <c r="BH298" s="560"/>
      <c r="BI298" s="564">
        <v>0</v>
      </c>
      <c r="BJ298" s="565"/>
      <c r="BK298" s="565"/>
      <c r="BL298" s="566"/>
      <c r="BM298" s="567" t="s">
        <v>932</v>
      </c>
      <c r="BN298" s="567"/>
      <c r="BO298" s="567"/>
      <c r="BP298" s="567"/>
      <c r="BQ298" s="568" t="s">
        <v>932</v>
      </c>
      <c r="BR298" s="568"/>
      <c r="BS298" s="568"/>
      <c r="BT298" s="567" t="s">
        <v>932</v>
      </c>
      <c r="BU298" s="567"/>
      <c r="BV298" s="567"/>
      <c r="BW298" s="567"/>
      <c r="BX298" s="568" t="s">
        <v>932</v>
      </c>
      <c r="BY298" s="568"/>
      <c r="BZ298" s="568"/>
      <c r="CA298" s="567" t="s">
        <v>932</v>
      </c>
      <c r="CB298" s="567"/>
      <c r="CC298" s="567"/>
      <c r="CD298" s="567"/>
      <c r="CE298" s="568">
        <v>1</v>
      </c>
      <c r="CF298" s="568"/>
      <c r="CG298" s="568"/>
      <c r="CH298" s="567" t="s">
        <v>932</v>
      </c>
      <c r="CI298" s="567"/>
      <c r="CJ298" s="567"/>
      <c r="CK298" s="567"/>
      <c r="CL298" s="568" t="s">
        <v>932</v>
      </c>
      <c r="CM298" s="568"/>
      <c r="CN298" s="568"/>
    </row>
    <row r="299" hidden="1" customHeight="1" spans="1:92">
      <c r="A299" s="569"/>
      <c r="B299" s="570"/>
      <c r="C299" s="571"/>
      <c r="D299" s="572"/>
      <c r="E299" s="573"/>
      <c r="F299" s="574"/>
      <c r="G299" s="575"/>
      <c r="H299" s="576"/>
      <c r="I299" s="577"/>
      <c r="J299" s="578"/>
      <c r="K299" s="578"/>
      <c r="L299" s="578"/>
      <c r="M299" s="578"/>
      <c r="N299" s="578"/>
      <c r="O299" s="578"/>
      <c r="P299" s="578"/>
      <c r="Q299" s="578"/>
      <c r="R299" s="578"/>
      <c r="S299" s="578"/>
      <c r="T299" s="578"/>
      <c r="U299" s="578"/>
      <c r="V299" s="578"/>
      <c r="W299" s="578"/>
      <c r="X299" s="578"/>
      <c r="Y299" s="578"/>
      <c r="Z299" s="578"/>
      <c r="AA299" s="579"/>
      <c r="AB299" s="580"/>
      <c r="AC299" s="581"/>
      <c r="AD299" s="582"/>
      <c r="AE299" s="583"/>
      <c r="AF299" s="584"/>
      <c r="AG299" s="553">
        <v>0</v>
      </c>
      <c r="AH299" s="554"/>
      <c r="AI299" s="555" t="e">
        <v>#N/A</v>
      </c>
      <c r="AJ299" s="556"/>
      <c r="AK299" s="556"/>
      <c r="AL299" s="556"/>
      <c r="AM299" s="556"/>
      <c r="AN299" s="556"/>
      <c r="AO299" s="556"/>
      <c r="AP299" s="556"/>
      <c r="AQ299" s="556"/>
      <c r="AR299" s="556"/>
      <c r="AS299" s="556"/>
      <c r="AT299" s="556"/>
      <c r="AU299" s="556"/>
      <c r="AV299" s="557"/>
      <c r="AW299" s="558">
        <v>0</v>
      </c>
      <c r="AX299" s="559"/>
      <c r="AY299" s="560"/>
      <c r="AZ299" s="585"/>
      <c r="BA299" s="586"/>
      <c r="BB299" s="587"/>
      <c r="BC299" s="558">
        <v>0</v>
      </c>
      <c r="BD299" s="559"/>
      <c r="BE299" s="560"/>
      <c r="BF299" s="558">
        <v>182.49</v>
      </c>
      <c r="BG299" s="559"/>
      <c r="BH299" s="560"/>
      <c r="BI299" s="564">
        <v>0</v>
      </c>
      <c r="BJ299" s="565"/>
      <c r="BK299" s="565"/>
      <c r="BL299" s="566"/>
      <c r="BM299" s="567" t="s">
        <v>932</v>
      </c>
      <c r="BN299" s="567"/>
      <c r="BO299" s="567"/>
      <c r="BP299" s="567"/>
      <c r="BQ299" s="568" t="s">
        <v>932</v>
      </c>
      <c r="BR299" s="568"/>
      <c r="BS299" s="568"/>
      <c r="BT299" s="567" t="s">
        <v>932</v>
      </c>
      <c r="BU299" s="567"/>
      <c r="BV299" s="567"/>
      <c r="BW299" s="567"/>
      <c r="BX299" s="568" t="s">
        <v>932</v>
      </c>
      <c r="BY299" s="568"/>
      <c r="BZ299" s="568"/>
      <c r="CA299" s="567" t="s">
        <v>932</v>
      </c>
      <c r="CB299" s="567"/>
      <c r="CC299" s="567"/>
      <c r="CD299" s="567"/>
      <c r="CE299" s="568">
        <v>1</v>
      </c>
      <c r="CF299" s="568"/>
      <c r="CG299" s="568"/>
      <c r="CH299" s="567" t="s">
        <v>932</v>
      </c>
      <c r="CI299" s="567"/>
      <c r="CJ299" s="567"/>
      <c r="CK299" s="567"/>
      <c r="CL299" s="568" t="s">
        <v>932</v>
      </c>
      <c r="CM299" s="568"/>
      <c r="CN299" s="568"/>
    </row>
    <row r="300" hidden="1" customHeight="1" spans="1:92">
      <c r="A300" s="569"/>
      <c r="B300" s="570"/>
      <c r="C300" s="571"/>
      <c r="D300" s="572"/>
      <c r="E300" s="573"/>
      <c r="F300" s="574"/>
      <c r="G300" s="575"/>
      <c r="H300" s="576"/>
      <c r="I300" s="577"/>
      <c r="J300" s="578"/>
      <c r="K300" s="578"/>
      <c r="L300" s="578"/>
      <c r="M300" s="578"/>
      <c r="N300" s="578"/>
      <c r="O300" s="578"/>
      <c r="P300" s="578"/>
      <c r="Q300" s="578"/>
      <c r="R300" s="578"/>
      <c r="S300" s="578"/>
      <c r="T300" s="578"/>
      <c r="U300" s="578"/>
      <c r="V300" s="578"/>
      <c r="W300" s="578"/>
      <c r="X300" s="578"/>
      <c r="Y300" s="578"/>
      <c r="Z300" s="578"/>
      <c r="AA300" s="579"/>
      <c r="AB300" s="580"/>
      <c r="AC300" s="581"/>
      <c r="AD300" s="582"/>
      <c r="AE300" s="583"/>
      <c r="AF300" s="584"/>
      <c r="AG300" s="553">
        <v>0</v>
      </c>
      <c r="AH300" s="554"/>
      <c r="AI300" s="555" t="e">
        <v>#N/A</v>
      </c>
      <c r="AJ300" s="556"/>
      <c r="AK300" s="556"/>
      <c r="AL300" s="556"/>
      <c r="AM300" s="556"/>
      <c r="AN300" s="556"/>
      <c r="AO300" s="556"/>
      <c r="AP300" s="556"/>
      <c r="AQ300" s="556"/>
      <c r="AR300" s="556"/>
      <c r="AS300" s="556"/>
      <c r="AT300" s="556"/>
      <c r="AU300" s="556"/>
      <c r="AV300" s="557"/>
      <c r="AW300" s="558">
        <v>0</v>
      </c>
      <c r="AX300" s="559"/>
      <c r="AY300" s="560"/>
      <c r="AZ300" s="585"/>
      <c r="BA300" s="586"/>
      <c r="BB300" s="587"/>
      <c r="BC300" s="558">
        <v>0</v>
      </c>
      <c r="BD300" s="559"/>
      <c r="BE300" s="560"/>
      <c r="BF300" s="558">
        <v>182.49</v>
      </c>
      <c r="BG300" s="559"/>
      <c r="BH300" s="560"/>
      <c r="BI300" s="564">
        <v>0</v>
      </c>
      <c r="BJ300" s="565"/>
      <c r="BK300" s="565"/>
      <c r="BL300" s="566"/>
      <c r="BM300" s="567" t="s">
        <v>932</v>
      </c>
      <c r="BN300" s="567"/>
      <c r="BO300" s="567"/>
      <c r="BP300" s="567"/>
      <c r="BQ300" s="568" t="s">
        <v>932</v>
      </c>
      <c r="BR300" s="568"/>
      <c r="BS300" s="568"/>
      <c r="BT300" s="567" t="s">
        <v>932</v>
      </c>
      <c r="BU300" s="567"/>
      <c r="BV300" s="567"/>
      <c r="BW300" s="567"/>
      <c r="BX300" s="568" t="s">
        <v>932</v>
      </c>
      <c r="BY300" s="568"/>
      <c r="BZ300" s="568"/>
      <c r="CA300" s="567" t="s">
        <v>932</v>
      </c>
      <c r="CB300" s="567"/>
      <c r="CC300" s="567"/>
      <c r="CD300" s="567"/>
      <c r="CE300" s="568">
        <v>1</v>
      </c>
      <c r="CF300" s="568"/>
      <c r="CG300" s="568"/>
      <c r="CH300" s="567" t="s">
        <v>932</v>
      </c>
      <c r="CI300" s="567"/>
      <c r="CJ300" s="567"/>
      <c r="CK300" s="567"/>
      <c r="CL300" s="568" t="s">
        <v>932</v>
      </c>
      <c r="CM300" s="568"/>
      <c r="CN300" s="568"/>
    </row>
    <row r="301" hidden="1" customHeight="1" spans="1:92">
      <c r="A301" s="569"/>
      <c r="B301" s="570"/>
      <c r="C301" s="571"/>
      <c r="D301" s="572"/>
      <c r="E301" s="573"/>
      <c r="F301" s="574"/>
      <c r="G301" s="575"/>
      <c r="H301" s="576"/>
      <c r="I301" s="577"/>
      <c r="J301" s="578"/>
      <c r="K301" s="578"/>
      <c r="L301" s="578"/>
      <c r="M301" s="578"/>
      <c r="N301" s="578"/>
      <c r="O301" s="578"/>
      <c r="P301" s="578"/>
      <c r="Q301" s="578"/>
      <c r="R301" s="578"/>
      <c r="S301" s="578"/>
      <c r="T301" s="578"/>
      <c r="U301" s="578"/>
      <c r="V301" s="578"/>
      <c r="W301" s="578"/>
      <c r="X301" s="578"/>
      <c r="Y301" s="578"/>
      <c r="Z301" s="578"/>
      <c r="AA301" s="579"/>
      <c r="AB301" s="580"/>
      <c r="AC301" s="581"/>
      <c r="AD301" s="582"/>
      <c r="AE301" s="583"/>
      <c r="AF301" s="584"/>
      <c r="AG301" s="553">
        <v>0</v>
      </c>
      <c r="AH301" s="554"/>
      <c r="AI301" s="555" t="e">
        <v>#N/A</v>
      </c>
      <c r="AJ301" s="556"/>
      <c r="AK301" s="556"/>
      <c r="AL301" s="556"/>
      <c r="AM301" s="556"/>
      <c r="AN301" s="556"/>
      <c r="AO301" s="556"/>
      <c r="AP301" s="556"/>
      <c r="AQ301" s="556"/>
      <c r="AR301" s="556"/>
      <c r="AS301" s="556"/>
      <c r="AT301" s="556"/>
      <c r="AU301" s="556"/>
      <c r="AV301" s="557"/>
      <c r="AW301" s="558">
        <v>0</v>
      </c>
      <c r="AX301" s="559"/>
      <c r="AY301" s="560"/>
      <c r="AZ301" s="585"/>
      <c r="BA301" s="586"/>
      <c r="BB301" s="587"/>
      <c r="BC301" s="558">
        <v>0</v>
      </c>
      <c r="BD301" s="559"/>
      <c r="BE301" s="560"/>
      <c r="BF301" s="558">
        <v>182.49</v>
      </c>
      <c r="BG301" s="559"/>
      <c r="BH301" s="560"/>
      <c r="BI301" s="564">
        <v>0</v>
      </c>
      <c r="BJ301" s="565"/>
      <c r="BK301" s="565"/>
      <c r="BL301" s="566"/>
      <c r="BM301" s="567" t="s">
        <v>932</v>
      </c>
      <c r="BN301" s="567"/>
      <c r="BO301" s="567"/>
      <c r="BP301" s="567"/>
      <c r="BQ301" s="568" t="s">
        <v>932</v>
      </c>
      <c r="BR301" s="568"/>
      <c r="BS301" s="568"/>
      <c r="BT301" s="567" t="s">
        <v>932</v>
      </c>
      <c r="BU301" s="567"/>
      <c r="BV301" s="567"/>
      <c r="BW301" s="567"/>
      <c r="BX301" s="568" t="s">
        <v>932</v>
      </c>
      <c r="BY301" s="568"/>
      <c r="BZ301" s="568"/>
      <c r="CA301" s="567" t="s">
        <v>932</v>
      </c>
      <c r="CB301" s="567"/>
      <c r="CC301" s="567"/>
      <c r="CD301" s="567"/>
      <c r="CE301" s="568">
        <v>1</v>
      </c>
      <c r="CF301" s="568"/>
      <c r="CG301" s="568"/>
      <c r="CH301" s="567" t="s">
        <v>932</v>
      </c>
      <c r="CI301" s="567"/>
      <c r="CJ301" s="567"/>
      <c r="CK301" s="567"/>
      <c r="CL301" s="568" t="s">
        <v>932</v>
      </c>
      <c r="CM301" s="568"/>
      <c r="CN301" s="568"/>
    </row>
    <row r="302" hidden="1" customHeight="1" spans="1:92">
      <c r="A302" s="569"/>
      <c r="B302" s="570"/>
      <c r="C302" s="571"/>
      <c r="D302" s="572"/>
      <c r="E302" s="573"/>
      <c r="F302" s="574"/>
      <c r="G302" s="575"/>
      <c r="H302" s="576"/>
      <c r="I302" s="577"/>
      <c r="J302" s="578"/>
      <c r="K302" s="578"/>
      <c r="L302" s="578"/>
      <c r="M302" s="578"/>
      <c r="N302" s="578"/>
      <c r="O302" s="578"/>
      <c r="P302" s="578"/>
      <c r="Q302" s="578"/>
      <c r="R302" s="578"/>
      <c r="S302" s="578"/>
      <c r="T302" s="578"/>
      <c r="U302" s="578"/>
      <c r="V302" s="578"/>
      <c r="W302" s="578"/>
      <c r="X302" s="578"/>
      <c r="Y302" s="578"/>
      <c r="Z302" s="578"/>
      <c r="AA302" s="579"/>
      <c r="AB302" s="580"/>
      <c r="AC302" s="581"/>
      <c r="AD302" s="582"/>
      <c r="AE302" s="583"/>
      <c r="AF302" s="584"/>
      <c r="AG302" s="553">
        <v>0</v>
      </c>
      <c r="AH302" s="554"/>
      <c r="AI302" s="555" t="e">
        <v>#N/A</v>
      </c>
      <c r="AJ302" s="556"/>
      <c r="AK302" s="556"/>
      <c r="AL302" s="556"/>
      <c r="AM302" s="556"/>
      <c r="AN302" s="556"/>
      <c r="AO302" s="556"/>
      <c r="AP302" s="556"/>
      <c r="AQ302" s="556"/>
      <c r="AR302" s="556"/>
      <c r="AS302" s="556"/>
      <c r="AT302" s="556"/>
      <c r="AU302" s="556"/>
      <c r="AV302" s="557"/>
      <c r="AW302" s="558">
        <v>0</v>
      </c>
      <c r="AX302" s="559"/>
      <c r="AY302" s="560"/>
      <c r="AZ302" s="585"/>
      <c r="BA302" s="586"/>
      <c r="BB302" s="587"/>
      <c r="BC302" s="558">
        <v>0</v>
      </c>
      <c r="BD302" s="559"/>
      <c r="BE302" s="560"/>
      <c r="BF302" s="558">
        <v>182.49</v>
      </c>
      <c r="BG302" s="559"/>
      <c r="BH302" s="560"/>
      <c r="BI302" s="564">
        <v>0</v>
      </c>
      <c r="BJ302" s="565"/>
      <c r="BK302" s="565"/>
      <c r="BL302" s="566"/>
      <c r="BM302" s="567" t="s">
        <v>932</v>
      </c>
      <c r="BN302" s="567"/>
      <c r="BO302" s="567"/>
      <c r="BP302" s="567"/>
      <c r="BQ302" s="568" t="s">
        <v>932</v>
      </c>
      <c r="BR302" s="568"/>
      <c r="BS302" s="568"/>
      <c r="BT302" s="567" t="s">
        <v>932</v>
      </c>
      <c r="BU302" s="567"/>
      <c r="BV302" s="567"/>
      <c r="BW302" s="567"/>
      <c r="BX302" s="568" t="s">
        <v>932</v>
      </c>
      <c r="BY302" s="568"/>
      <c r="BZ302" s="568"/>
      <c r="CA302" s="567" t="s">
        <v>932</v>
      </c>
      <c r="CB302" s="567"/>
      <c r="CC302" s="567"/>
      <c r="CD302" s="567"/>
      <c r="CE302" s="568">
        <v>1</v>
      </c>
      <c r="CF302" s="568"/>
      <c r="CG302" s="568"/>
      <c r="CH302" s="567" t="s">
        <v>932</v>
      </c>
      <c r="CI302" s="567"/>
      <c r="CJ302" s="567"/>
      <c r="CK302" s="567"/>
      <c r="CL302" s="568" t="s">
        <v>932</v>
      </c>
      <c r="CM302" s="568"/>
      <c r="CN302" s="568"/>
    </row>
    <row r="303" hidden="1" customHeight="1" spans="1:92">
      <c r="A303" s="588"/>
      <c r="B303" s="589"/>
      <c r="C303" s="590"/>
      <c r="D303" s="591"/>
      <c r="E303" s="592"/>
      <c r="F303" s="593"/>
      <c r="G303" s="594"/>
      <c r="H303" s="595"/>
      <c r="I303" s="596"/>
      <c r="J303" s="597"/>
      <c r="K303" s="597"/>
      <c r="L303" s="597"/>
      <c r="M303" s="597"/>
      <c r="N303" s="597"/>
      <c r="O303" s="597"/>
      <c r="P303" s="597"/>
      <c r="Q303" s="597"/>
      <c r="R303" s="597"/>
      <c r="S303" s="597"/>
      <c r="T303" s="597"/>
      <c r="U303" s="597"/>
      <c r="V303" s="597"/>
      <c r="W303" s="597"/>
      <c r="X303" s="597"/>
      <c r="Y303" s="597"/>
      <c r="Z303" s="597"/>
      <c r="AA303" s="598"/>
      <c r="AB303" s="599"/>
      <c r="AC303" s="600"/>
      <c r="AD303" s="601"/>
      <c r="AE303" s="602"/>
      <c r="AF303" s="603"/>
      <c r="AG303" s="553">
        <v>0</v>
      </c>
      <c r="AH303" s="554"/>
      <c r="AI303" s="555" t="e">
        <v>#N/A</v>
      </c>
      <c r="AJ303" s="556"/>
      <c r="AK303" s="556"/>
      <c r="AL303" s="556"/>
      <c r="AM303" s="556"/>
      <c r="AN303" s="556"/>
      <c r="AO303" s="556"/>
      <c r="AP303" s="556"/>
      <c r="AQ303" s="556"/>
      <c r="AR303" s="556"/>
      <c r="AS303" s="556"/>
      <c r="AT303" s="556"/>
      <c r="AU303" s="556"/>
      <c r="AV303" s="557"/>
      <c r="AW303" s="558">
        <v>0</v>
      </c>
      <c r="AX303" s="559"/>
      <c r="AY303" s="560"/>
      <c r="AZ303" s="604"/>
      <c r="BA303" s="605"/>
      <c r="BB303" s="606"/>
      <c r="BC303" s="558">
        <v>0</v>
      </c>
      <c r="BD303" s="559"/>
      <c r="BE303" s="560"/>
      <c r="BF303" s="558">
        <v>182.49</v>
      </c>
      <c r="BG303" s="559"/>
      <c r="BH303" s="560"/>
      <c r="BI303" s="564">
        <v>0</v>
      </c>
      <c r="BJ303" s="565"/>
      <c r="BK303" s="565"/>
      <c r="BL303" s="566"/>
      <c r="BM303" s="567" t="s">
        <v>932</v>
      </c>
      <c r="BN303" s="567"/>
      <c r="BO303" s="567"/>
      <c r="BP303" s="567"/>
      <c r="BQ303" s="568" t="s">
        <v>932</v>
      </c>
      <c r="BR303" s="568"/>
      <c r="BS303" s="568"/>
      <c r="BT303" s="567" t="s">
        <v>932</v>
      </c>
      <c r="BU303" s="567"/>
      <c r="BV303" s="567"/>
      <c r="BW303" s="567"/>
      <c r="BX303" s="568" t="s">
        <v>932</v>
      </c>
      <c r="BY303" s="568"/>
      <c r="BZ303" s="568"/>
      <c r="CA303" s="567" t="s">
        <v>932</v>
      </c>
      <c r="CB303" s="567"/>
      <c r="CC303" s="567"/>
      <c r="CD303" s="567"/>
      <c r="CE303" s="568">
        <v>1</v>
      </c>
      <c r="CF303" s="568"/>
      <c r="CG303" s="568"/>
      <c r="CH303" s="567" t="s">
        <v>932</v>
      </c>
      <c r="CI303" s="567"/>
      <c r="CJ303" s="567"/>
      <c r="CK303" s="567"/>
      <c r="CL303" s="568" t="s">
        <v>932</v>
      </c>
      <c r="CM303" s="568"/>
      <c r="CN303" s="568"/>
    </row>
    <row r="304" customHeight="1" spans="1:92">
      <c r="A304" s="540" t="s">
        <v>978</v>
      </c>
      <c r="B304" s="541"/>
      <c r="C304" s="89"/>
      <c r="D304" s="91"/>
      <c r="E304" s="90"/>
      <c r="F304" s="542">
        <v>1100657</v>
      </c>
      <c r="G304" s="543"/>
      <c r="H304" s="544"/>
      <c r="I304" s="545" t="s">
        <v>114</v>
      </c>
      <c r="J304" s="546"/>
      <c r="K304" s="546"/>
      <c r="L304" s="546"/>
      <c r="M304" s="546"/>
      <c r="N304" s="546"/>
      <c r="O304" s="546"/>
      <c r="P304" s="546"/>
      <c r="Q304" s="546"/>
      <c r="R304" s="546"/>
      <c r="S304" s="546"/>
      <c r="T304" s="546"/>
      <c r="U304" s="546"/>
      <c r="V304" s="546"/>
      <c r="W304" s="546"/>
      <c r="X304" s="546"/>
      <c r="Y304" s="546"/>
      <c r="Z304" s="546"/>
      <c r="AA304" s="547"/>
      <c r="AB304" s="548" t="s">
        <v>99</v>
      </c>
      <c r="AC304" s="549"/>
      <c r="AD304" s="550">
        <v>4.8</v>
      </c>
      <c r="AE304" s="551"/>
      <c r="AF304" s="552"/>
      <c r="AG304" s="553" t="s">
        <v>1080</v>
      </c>
      <c r="AH304" s="554"/>
      <c r="AI304" s="555" t="s">
        <v>1081</v>
      </c>
      <c r="AJ304" s="556"/>
      <c r="AK304" s="556"/>
      <c r="AL304" s="556"/>
      <c r="AM304" s="556"/>
      <c r="AN304" s="556"/>
      <c r="AO304" s="556"/>
      <c r="AP304" s="556"/>
      <c r="AQ304" s="556"/>
      <c r="AR304" s="556"/>
      <c r="AS304" s="556"/>
      <c r="AT304" s="556"/>
      <c r="AU304" s="556"/>
      <c r="AV304" s="557"/>
      <c r="AW304" s="558">
        <v>1</v>
      </c>
      <c r="AX304" s="559"/>
      <c r="AY304" s="560"/>
      <c r="AZ304" s="561">
        <v>9</v>
      </c>
      <c r="BA304" s="562"/>
      <c r="BB304" s="563"/>
      <c r="BC304" s="558">
        <v>0.533333333333333</v>
      </c>
      <c r="BD304" s="559"/>
      <c r="BE304" s="560"/>
      <c r="BF304" s="558">
        <v>182.49</v>
      </c>
      <c r="BG304" s="559"/>
      <c r="BH304" s="560"/>
      <c r="BI304" s="564">
        <v>0.00292253456810419</v>
      </c>
      <c r="BJ304" s="565"/>
      <c r="BK304" s="565"/>
      <c r="BL304" s="566"/>
      <c r="BM304" s="567" t="s">
        <v>932</v>
      </c>
      <c r="BN304" s="567"/>
      <c r="BO304" s="567"/>
      <c r="BP304" s="567"/>
      <c r="BQ304" s="568" t="s">
        <v>932</v>
      </c>
      <c r="BR304" s="568"/>
      <c r="BS304" s="568"/>
      <c r="BT304" s="567" t="s">
        <v>932</v>
      </c>
      <c r="BU304" s="567"/>
      <c r="BV304" s="567"/>
      <c r="BW304" s="567"/>
      <c r="BX304" s="568" t="s">
        <v>932</v>
      </c>
      <c r="BY304" s="568"/>
      <c r="BZ304" s="568"/>
      <c r="CA304" s="567">
        <v>0.00292253456810419</v>
      </c>
      <c r="CB304" s="567"/>
      <c r="CC304" s="567"/>
      <c r="CD304" s="567"/>
      <c r="CE304" s="568">
        <v>1</v>
      </c>
      <c r="CF304" s="568"/>
      <c r="CG304" s="568"/>
      <c r="CH304" s="567" t="s">
        <v>932</v>
      </c>
      <c r="CI304" s="567"/>
      <c r="CJ304" s="567"/>
      <c r="CK304" s="567"/>
      <c r="CL304" s="568" t="s">
        <v>932</v>
      </c>
      <c r="CM304" s="568"/>
      <c r="CN304" s="568"/>
    </row>
    <row r="305" hidden="1" customHeight="1" spans="1:92">
      <c r="A305" s="569"/>
      <c r="B305" s="570"/>
      <c r="C305" s="571"/>
      <c r="D305" s="572"/>
      <c r="E305" s="573"/>
      <c r="F305" s="574"/>
      <c r="G305" s="575"/>
      <c r="H305" s="576"/>
      <c r="I305" s="577"/>
      <c r="J305" s="578"/>
      <c r="K305" s="578"/>
      <c r="L305" s="578"/>
      <c r="M305" s="578"/>
      <c r="N305" s="578"/>
      <c r="O305" s="578"/>
      <c r="P305" s="578"/>
      <c r="Q305" s="578"/>
      <c r="R305" s="578"/>
      <c r="S305" s="578"/>
      <c r="T305" s="578"/>
      <c r="U305" s="578"/>
      <c r="V305" s="578"/>
      <c r="W305" s="578"/>
      <c r="X305" s="578"/>
      <c r="Y305" s="578"/>
      <c r="Z305" s="578"/>
      <c r="AA305" s="579"/>
      <c r="AB305" s="580"/>
      <c r="AC305" s="581"/>
      <c r="AD305" s="582"/>
      <c r="AE305" s="583"/>
      <c r="AF305" s="584"/>
      <c r="AG305" s="553">
        <v>0</v>
      </c>
      <c r="AH305" s="554"/>
      <c r="AI305" s="555" t="e">
        <v>#N/A</v>
      </c>
      <c r="AJ305" s="556"/>
      <c r="AK305" s="556"/>
      <c r="AL305" s="556"/>
      <c r="AM305" s="556"/>
      <c r="AN305" s="556"/>
      <c r="AO305" s="556"/>
      <c r="AP305" s="556"/>
      <c r="AQ305" s="556"/>
      <c r="AR305" s="556"/>
      <c r="AS305" s="556"/>
      <c r="AT305" s="556"/>
      <c r="AU305" s="556"/>
      <c r="AV305" s="557"/>
      <c r="AW305" s="558">
        <v>0</v>
      </c>
      <c r="AX305" s="559"/>
      <c r="AY305" s="560"/>
      <c r="AZ305" s="585"/>
      <c r="BA305" s="586"/>
      <c r="BB305" s="587"/>
      <c r="BC305" s="558">
        <v>0</v>
      </c>
      <c r="BD305" s="559"/>
      <c r="BE305" s="560"/>
      <c r="BF305" s="558">
        <v>182.49</v>
      </c>
      <c r="BG305" s="559"/>
      <c r="BH305" s="560"/>
      <c r="BI305" s="564">
        <v>0</v>
      </c>
      <c r="BJ305" s="565"/>
      <c r="BK305" s="565"/>
      <c r="BL305" s="566"/>
      <c r="BM305" s="567" t="s">
        <v>932</v>
      </c>
      <c r="BN305" s="567"/>
      <c r="BO305" s="567"/>
      <c r="BP305" s="567"/>
      <c r="BQ305" s="568" t="s">
        <v>932</v>
      </c>
      <c r="BR305" s="568"/>
      <c r="BS305" s="568"/>
      <c r="BT305" s="567" t="s">
        <v>932</v>
      </c>
      <c r="BU305" s="567"/>
      <c r="BV305" s="567"/>
      <c r="BW305" s="567"/>
      <c r="BX305" s="568" t="s">
        <v>932</v>
      </c>
      <c r="BY305" s="568"/>
      <c r="BZ305" s="568"/>
      <c r="CA305" s="567" t="s">
        <v>932</v>
      </c>
      <c r="CB305" s="567"/>
      <c r="CC305" s="567"/>
      <c r="CD305" s="567"/>
      <c r="CE305" s="568">
        <v>1</v>
      </c>
      <c r="CF305" s="568"/>
      <c r="CG305" s="568"/>
      <c r="CH305" s="567" t="s">
        <v>932</v>
      </c>
      <c r="CI305" s="567"/>
      <c r="CJ305" s="567"/>
      <c r="CK305" s="567"/>
      <c r="CL305" s="568" t="s">
        <v>932</v>
      </c>
      <c r="CM305" s="568"/>
      <c r="CN305" s="568"/>
    </row>
    <row r="306" hidden="1" customHeight="1" spans="1:92">
      <c r="A306" s="569"/>
      <c r="B306" s="570"/>
      <c r="C306" s="571"/>
      <c r="D306" s="572"/>
      <c r="E306" s="573"/>
      <c r="F306" s="574"/>
      <c r="G306" s="575"/>
      <c r="H306" s="576"/>
      <c r="I306" s="577"/>
      <c r="J306" s="578"/>
      <c r="K306" s="578"/>
      <c r="L306" s="578"/>
      <c r="M306" s="578"/>
      <c r="N306" s="578"/>
      <c r="O306" s="578"/>
      <c r="P306" s="578"/>
      <c r="Q306" s="578"/>
      <c r="R306" s="578"/>
      <c r="S306" s="578"/>
      <c r="T306" s="578"/>
      <c r="U306" s="578"/>
      <c r="V306" s="578"/>
      <c r="W306" s="578"/>
      <c r="X306" s="578"/>
      <c r="Y306" s="578"/>
      <c r="Z306" s="578"/>
      <c r="AA306" s="579"/>
      <c r="AB306" s="580"/>
      <c r="AC306" s="581"/>
      <c r="AD306" s="582"/>
      <c r="AE306" s="583"/>
      <c r="AF306" s="584"/>
      <c r="AG306" s="553">
        <v>0</v>
      </c>
      <c r="AH306" s="554"/>
      <c r="AI306" s="555" t="e">
        <v>#N/A</v>
      </c>
      <c r="AJ306" s="556"/>
      <c r="AK306" s="556"/>
      <c r="AL306" s="556"/>
      <c r="AM306" s="556"/>
      <c r="AN306" s="556"/>
      <c r="AO306" s="556"/>
      <c r="AP306" s="556"/>
      <c r="AQ306" s="556"/>
      <c r="AR306" s="556"/>
      <c r="AS306" s="556"/>
      <c r="AT306" s="556"/>
      <c r="AU306" s="556"/>
      <c r="AV306" s="557"/>
      <c r="AW306" s="558">
        <v>0</v>
      </c>
      <c r="AX306" s="559"/>
      <c r="AY306" s="560"/>
      <c r="AZ306" s="585"/>
      <c r="BA306" s="586"/>
      <c r="BB306" s="587"/>
      <c r="BC306" s="558">
        <v>0</v>
      </c>
      <c r="BD306" s="559"/>
      <c r="BE306" s="560"/>
      <c r="BF306" s="558">
        <v>182.49</v>
      </c>
      <c r="BG306" s="559"/>
      <c r="BH306" s="560"/>
      <c r="BI306" s="564">
        <v>0</v>
      </c>
      <c r="BJ306" s="565"/>
      <c r="BK306" s="565"/>
      <c r="BL306" s="566"/>
      <c r="BM306" s="567" t="s">
        <v>932</v>
      </c>
      <c r="BN306" s="567"/>
      <c r="BO306" s="567"/>
      <c r="BP306" s="567"/>
      <c r="BQ306" s="568" t="s">
        <v>932</v>
      </c>
      <c r="BR306" s="568"/>
      <c r="BS306" s="568"/>
      <c r="BT306" s="567" t="s">
        <v>932</v>
      </c>
      <c r="BU306" s="567"/>
      <c r="BV306" s="567"/>
      <c r="BW306" s="567"/>
      <c r="BX306" s="568" t="s">
        <v>932</v>
      </c>
      <c r="BY306" s="568"/>
      <c r="BZ306" s="568"/>
      <c r="CA306" s="567" t="s">
        <v>932</v>
      </c>
      <c r="CB306" s="567"/>
      <c r="CC306" s="567"/>
      <c r="CD306" s="567"/>
      <c r="CE306" s="568">
        <v>1</v>
      </c>
      <c r="CF306" s="568"/>
      <c r="CG306" s="568"/>
      <c r="CH306" s="567" t="s">
        <v>932</v>
      </c>
      <c r="CI306" s="567"/>
      <c r="CJ306" s="567"/>
      <c r="CK306" s="567"/>
      <c r="CL306" s="568" t="s">
        <v>932</v>
      </c>
      <c r="CM306" s="568"/>
      <c r="CN306" s="568"/>
    </row>
    <row r="307" hidden="1" customHeight="1" spans="1:92">
      <c r="A307" s="569"/>
      <c r="B307" s="570"/>
      <c r="C307" s="571"/>
      <c r="D307" s="572"/>
      <c r="E307" s="573"/>
      <c r="F307" s="574"/>
      <c r="G307" s="575"/>
      <c r="H307" s="576"/>
      <c r="I307" s="577"/>
      <c r="J307" s="578"/>
      <c r="K307" s="578"/>
      <c r="L307" s="578"/>
      <c r="M307" s="578"/>
      <c r="N307" s="578"/>
      <c r="O307" s="578"/>
      <c r="P307" s="578"/>
      <c r="Q307" s="578"/>
      <c r="R307" s="578"/>
      <c r="S307" s="578"/>
      <c r="T307" s="578"/>
      <c r="U307" s="578"/>
      <c r="V307" s="578"/>
      <c r="W307" s="578"/>
      <c r="X307" s="578"/>
      <c r="Y307" s="578"/>
      <c r="Z307" s="578"/>
      <c r="AA307" s="579"/>
      <c r="AB307" s="580"/>
      <c r="AC307" s="581"/>
      <c r="AD307" s="582"/>
      <c r="AE307" s="583"/>
      <c r="AF307" s="584"/>
      <c r="AG307" s="553">
        <v>0</v>
      </c>
      <c r="AH307" s="554"/>
      <c r="AI307" s="555" t="e">
        <v>#N/A</v>
      </c>
      <c r="AJ307" s="556"/>
      <c r="AK307" s="556"/>
      <c r="AL307" s="556"/>
      <c r="AM307" s="556"/>
      <c r="AN307" s="556"/>
      <c r="AO307" s="556"/>
      <c r="AP307" s="556"/>
      <c r="AQ307" s="556"/>
      <c r="AR307" s="556"/>
      <c r="AS307" s="556"/>
      <c r="AT307" s="556"/>
      <c r="AU307" s="556"/>
      <c r="AV307" s="557"/>
      <c r="AW307" s="558">
        <v>0</v>
      </c>
      <c r="AX307" s="559"/>
      <c r="AY307" s="560"/>
      <c r="AZ307" s="585"/>
      <c r="BA307" s="586"/>
      <c r="BB307" s="587"/>
      <c r="BC307" s="558">
        <v>0</v>
      </c>
      <c r="BD307" s="559"/>
      <c r="BE307" s="560"/>
      <c r="BF307" s="558">
        <v>182.49</v>
      </c>
      <c r="BG307" s="559"/>
      <c r="BH307" s="560"/>
      <c r="BI307" s="564">
        <v>0</v>
      </c>
      <c r="BJ307" s="565"/>
      <c r="BK307" s="565"/>
      <c r="BL307" s="566"/>
      <c r="BM307" s="567" t="s">
        <v>932</v>
      </c>
      <c r="BN307" s="567"/>
      <c r="BO307" s="567"/>
      <c r="BP307" s="567"/>
      <c r="BQ307" s="568" t="s">
        <v>932</v>
      </c>
      <c r="BR307" s="568"/>
      <c r="BS307" s="568"/>
      <c r="BT307" s="567" t="s">
        <v>932</v>
      </c>
      <c r="BU307" s="567"/>
      <c r="BV307" s="567"/>
      <c r="BW307" s="567"/>
      <c r="BX307" s="568" t="s">
        <v>932</v>
      </c>
      <c r="BY307" s="568"/>
      <c r="BZ307" s="568"/>
      <c r="CA307" s="567" t="s">
        <v>932</v>
      </c>
      <c r="CB307" s="567"/>
      <c r="CC307" s="567"/>
      <c r="CD307" s="567"/>
      <c r="CE307" s="568">
        <v>1</v>
      </c>
      <c r="CF307" s="568"/>
      <c r="CG307" s="568"/>
      <c r="CH307" s="567" t="s">
        <v>932</v>
      </c>
      <c r="CI307" s="567"/>
      <c r="CJ307" s="567"/>
      <c r="CK307" s="567"/>
      <c r="CL307" s="568" t="s">
        <v>932</v>
      </c>
      <c r="CM307" s="568"/>
      <c r="CN307" s="568"/>
    </row>
    <row r="308" hidden="1" customHeight="1" spans="1:92">
      <c r="A308" s="569"/>
      <c r="B308" s="570"/>
      <c r="C308" s="571"/>
      <c r="D308" s="572"/>
      <c r="E308" s="573"/>
      <c r="F308" s="574"/>
      <c r="G308" s="575"/>
      <c r="H308" s="576"/>
      <c r="I308" s="577"/>
      <c r="J308" s="578"/>
      <c r="K308" s="578"/>
      <c r="L308" s="578"/>
      <c r="M308" s="578"/>
      <c r="N308" s="578"/>
      <c r="O308" s="578"/>
      <c r="P308" s="578"/>
      <c r="Q308" s="578"/>
      <c r="R308" s="578"/>
      <c r="S308" s="578"/>
      <c r="T308" s="578"/>
      <c r="U308" s="578"/>
      <c r="V308" s="578"/>
      <c r="W308" s="578"/>
      <c r="X308" s="578"/>
      <c r="Y308" s="578"/>
      <c r="Z308" s="578"/>
      <c r="AA308" s="579"/>
      <c r="AB308" s="580"/>
      <c r="AC308" s="581"/>
      <c r="AD308" s="582"/>
      <c r="AE308" s="583"/>
      <c r="AF308" s="584"/>
      <c r="AG308" s="553">
        <v>0</v>
      </c>
      <c r="AH308" s="554"/>
      <c r="AI308" s="555" t="e">
        <v>#N/A</v>
      </c>
      <c r="AJ308" s="556"/>
      <c r="AK308" s="556"/>
      <c r="AL308" s="556"/>
      <c r="AM308" s="556"/>
      <c r="AN308" s="556"/>
      <c r="AO308" s="556"/>
      <c r="AP308" s="556"/>
      <c r="AQ308" s="556"/>
      <c r="AR308" s="556"/>
      <c r="AS308" s="556"/>
      <c r="AT308" s="556"/>
      <c r="AU308" s="556"/>
      <c r="AV308" s="557"/>
      <c r="AW308" s="558">
        <v>0</v>
      </c>
      <c r="AX308" s="559"/>
      <c r="AY308" s="560"/>
      <c r="AZ308" s="585"/>
      <c r="BA308" s="586"/>
      <c r="BB308" s="587"/>
      <c r="BC308" s="558">
        <v>0</v>
      </c>
      <c r="BD308" s="559"/>
      <c r="BE308" s="560"/>
      <c r="BF308" s="558">
        <v>182.49</v>
      </c>
      <c r="BG308" s="559"/>
      <c r="BH308" s="560"/>
      <c r="BI308" s="564">
        <v>0</v>
      </c>
      <c r="BJ308" s="565"/>
      <c r="BK308" s="565"/>
      <c r="BL308" s="566"/>
      <c r="BM308" s="567" t="s">
        <v>932</v>
      </c>
      <c r="BN308" s="567"/>
      <c r="BO308" s="567"/>
      <c r="BP308" s="567"/>
      <c r="BQ308" s="568" t="s">
        <v>932</v>
      </c>
      <c r="BR308" s="568"/>
      <c r="BS308" s="568"/>
      <c r="BT308" s="567" t="s">
        <v>932</v>
      </c>
      <c r="BU308" s="567"/>
      <c r="BV308" s="567"/>
      <c r="BW308" s="567"/>
      <c r="BX308" s="568" t="s">
        <v>932</v>
      </c>
      <c r="BY308" s="568"/>
      <c r="BZ308" s="568"/>
      <c r="CA308" s="567" t="s">
        <v>932</v>
      </c>
      <c r="CB308" s="567"/>
      <c r="CC308" s="567"/>
      <c r="CD308" s="567"/>
      <c r="CE308" s="568">
        <v>1</v>
      </c>
      <c r="CF308" s="568"/>
      <c r="CG308" s="568"/>
      <c r="CH308" s="567" t="s">
        <v>932</v>
      </c>
      <c r="CI308" s="567"/>
      <c r="CJ308" s="567"/>
      <c r="CK308" s="567"/>
      <c r="CL308" s="568" t="s">
        <v>932</v>
      </c>
      <c r="CM308" s="568"/>
      <c r="CN308" s="568"/>
    </row>
    <row r="309" hidden="1" customHeight="1" spans="1:92">
      <c r="A309" s="569"/>
      <c r="B309" s="570"/>
      <c r="C309" s="571"/>
      <c r="D309" s="572"/>
      <c r="E309" s="573"/>
      <c r="F309" s="574"/>
      <c r="G309" s="575"/>
      <c r="H309" s="576"/>
      <c r="I309" s="577"/>
      <c r="J309" s="578"/>
      <c r="K309" s="578"/>
      <c r="L309" s="578"/>
      <c r="M309" s="578"/>
      <c r="N309" s="578"/>
      <c r="O309" s="578"/>
      <c r="P309" s="578"/>
      <c r="Q309" s="578"/>
      <c r="R309" s="578"/>
      <c r="S309" s="578"/>
      <c r="T309" s="578"/>
      <c r="U309" s="578"/>
      <c r="V309" s="578"/>
      <c r="W309" s="578"/>
      <c r="X309" s="578"/>
      <c r="Y309" s="578"/>
      <c r="Z309" s="578"/>
      <c r="AA309" s="579"/>
      <c r="AB309" s="580"/>
      <c r="AC309" s="581"/>
      <c r="AD309" s="582"/>
      <c r="AE309" s="583"/>
      <c r="AF309" s="584"/>
      <c r="AG309" s="553">
        <v>0</v>
      </c>
      <c r="AH309" s="554"/>
      <c r="AI309" s="555" t="e">
        <v>#N/A</v>
      </c>
      <c r="AJ309" s="556"/>
      <c r="AK309" s="556"/>
      <c r="AL309" s="556"/>
      <c r="AM309" s="556"/>
      <c r="AN309" s="556"/>
      <c r="AO309" s="556"/>
      <c r="AP309" s="556"/>
      <c r="AQ309" s="556"/>
      <c r="AR309" s="556"/>
      <c r="AS309" s="556"/>
      <c r="AT309" s="556"/>
      <c r="AU309" s="556"/>
      <c r="AV309" s="557"/>
      <c r="AW309" s="558">
        <v>0</v>
      </c>
      <c r="AX309" s="559"/>
      <c r="AY309" s="560"/>
      <c r="AZ309" s="585"/>
      <c r="BA309" s="586"/>
      <c r="BB309" s="587"/>
      <c r="BC309" s="558">
        <v>0</v>
      </c>
      <c r="BD309" s="559"/>
      <c r="BE309" s="560"/>
      <c r="BF309" s="558">
        <v>182.49</v>
      </c>
      <c r="BG309" s="559"/>
      <c r="BH309" s="560"/>
      <c r="BI309" s="564">
        <v>0</v>
      </c>
      <c r="BJ309" s="565"/>
      <c r="BK309" s="565"/>
      <c r="BL309" s="566"/>
      <c r="BM309" s="567" t="s">
        <v>932</v>
      </c>
      <c r="BN309" s="567"/>
      <c r="BO309" s="567"/>
      <c r="BP309" s="567"/>
      <c r="BQ309" s="568" t="s">
        <v>932</v>
      </c>
      <c r="BR309" s="568"/>
      <c r="BS309" s="568"/>
      <c r="BT309" s="567" t="s">
        <v>932</v>
      </c>
      <c r="BU309" s="567"/>
      <c r="BV309" s="567"/>
      <c r="BW309" s="567"/>
      <c r="BX309" s="568" t="s">
        <v>932</v>
      </c>
      <c r="BY309" s="568"/>
      <c r="BZ309" s="568"/>
      <c r="CA309" s="567" t="s">
        <v>932</v>
      </c>
      <c r="CB309" s="567"/>
      <c r="CC309" s="567"/>
      <c r="CD309" s="567"/>
      <c r="CE309" s="568">
        <v>1</v>
      </c>
      <c r="CF309" s="568"/>
      <c r="CG309" s="568"/>
      <c r="CH309" s="567" t="s">
        <v>932</v>
      </c>
      <c r="CI309" s="567"/>
      <c r="CJ309" s="567"/>
      <c r="CK309" s="567"/>
      <c r="CL309" s="568" t="s">
        <v>932</v>
      </c>
      <c r="CM309" s="568"/>
      <c r="CN309" s="568"/>
    </row>
    <row r="310" hidden="1" customHeight="1" spans="1:92">
      <c r="A310" s="569"/>
      <c r="B310" s="570"/>
      <c r="C310" s="571"/>
      <c r="D310" s="572"/>
      <c r="E310" s="573"/>
      <c r="F310" s="574"/>
      <c r="G310" s="575"/>
      <c r="H310" s="576"/>
      <c r="I310" s="577"/>
      <c r="J310" s="578"/>
      <c r="K310" s="578"/>
      <c r="L310" s="578"/>
      <c r="M310" s="578"/>
      <c r="N310" s="578"/>
      <c r="O310" s="578"/>
      <c r="P310" s="578"/>
      <c r="Q310" s="578"/>
      <c r="R310" s="578"/>
      <c r="S310" s="578"/>
      <c r="T310" s="578"/>
      <c r="U310" s="578"/>
      <c r="V310" s="578"/>
      <c r="W310" s="578"/>
      <c r="X310" s="578"/>
      <c r="Y310" s="578"/>
      <c r="Z310" s="578"/>
      <c r="AA310" s="579"/>
      <c r="AB310" s="580"/>
      <c r="AC310" s="581"/>
      <c r="AD310" s="582"/>
      <c r="AE310" s="583"/>
      <c r="AF310" s="584"/>
      <c r="AG310" s="553">
        <v>0</v>
      </c>
      <c r="AH310" s="554"/>
      <c r="AI310" s="555" t="e">
        <v>#N/A</v>
      </c>
      <c r="AJ310" s="556"/>
      <c r="AK310" s="556"/>
      <c r="AL310" s="556"/>
      <c r="AM310" s="556"/>
      <c r="AN310" s="556"/>
      <c r="AO310" s="556"/>
      <c r="AP310" s="556"/>
      <c r="AQ310" s="556"/>
      <c r="AR310" s="556"/>
      <c r="AS310" s="556"/>
      <c r="AT310" s="556"/>
      <c r="AU310" s="556"/>
      <c r="AV310" s="557"/>
      <c r="AW310" s="558">
        <v>0</v>
      </c>
      <c r="AX310" s="559"/>
      <c r="AY310" s="560"/>
      <c r="AZ310" s="585"/>
      <c r="BA310" s="586"/>
      <c r="BB310" s="587"/>
      <c r="BC310" s="558">
        <v>0</v>
      </c>
      <c r="BD310" s="559"/>
      <c r="BE310" s="560"/>
      <c r="BF310" s="558">
        <v>182.49</v>
      </c>
      <c r="BG310" s="559"/>
      <c r="BH310" s="560"/>
      <c r="BI310" s="564">
        <v>0</v>
      </c>
      <c r="BJ310" s="565"/>
      <c r="BK310" s="565"/>
      <c r="BL310" s="566"/>
      <c r="BM310" s="567" t="s">
        <v>932</v>
      </c>
      <c r="BN310" s="567"/>
      <c r="BO310" s="567"/>
      <c r="BP310" s="567"/>
      <c r="BQ310" s="568" t="s">
        <v>932</v>
      </c>
      <c r="BR310" s="568"/>
      <c r="BS310" s="568"/>
      <c r="BT310" s="567" t="s">
        <v>932</v>
      </c>
      <c r="BU310" s="567"/>
      <c r="BV310" s="567"/>
      <c r="BW310" s="567"/>
      <c r="BX310" s="568" t="s">
        <v>932</v>
      </c>
      <c r="BY310" s="568"/>
      <c r="BZ310" s="568"/>
      <c r="CA310" s="567" t="s">
        <v>932</v>
      </c>
      <c r="CB310" s="567"/>
      <c r="CC310" s="567"/>
      <c r="CD310" s="567"/>
      <c r="CE310" s="568">
        <v>1</v>
      </c>
      <c r="CF310" s="568"/>
      <c r="CG310" s="568"/>
      <c r="CH310" s="567" t="s">
        <v>932</v>
      </c>
      <c r="CI310" s="567"/>
      <c r="CJ310" s="567"/>
      <c r="CK310" s="567"/>
      <c r="CL310" s="568" t="s">
        <v>932</v>
      </c>
      <c r="CM310" s="568"/>
      <c r="CN310" s="568"/>
    </row>
    <row r="311" hidden="1" customHeight="1" spans="1:92">
      <c r="A311" s="588"/>
      <c r="B311" s="589"/>
      <c r="C311" s="590"/>
      <c r="D311" s="591"/>
      <c r="E311" s="592"/>
      <c r="F311" s="593"/>
      <c r="G311" s="594"/>
      <c r="H311" s="595"/>
      <c r="I311" s="596"/>
      <c r="J311" s="597"/>
      <c r="K311" s="597"/>
      <c r="L311" s="597"/>
      <c r="M311" s="597"/>
      <c r="N311" s="597"/>
      <c r="O311" s="597"/>
      <c r="P311" s="597"/>
      <c r="Q311" s="597"/>
      <c r="R311" s="597"/>
      <c r="S311" s="597"/>
      <c r="T311" s="597"/>
      <c r="U311" s="597"/>
      <c r="V311" s="597"/>
      <c r="W311" s="597"/>
      <c r="X311" s="597"/>
      <c r="Y311" s="597"/>
      <c r="Z311" s="597"/>
      <c r="AA311" s="598"/>
      <c r="AB311" s="599"/>
      <c r="AC311" s="600"/>
      <c r="AD311" s="601"/>
      <c r="AE311" s="602"/>
      <c r="AF311" s="603"/>
      <c r="AG311" s="553">
        <v>0</v>
      </c>
      <c r="AH311" s="554"/>
      <c r="AI311" s="555" t="e">
        <v>#N/A</v>
      </c>
      <c r="AJ311" s="556"/>
      <c r="AK311" s="556"/>
      <c r="AL311" s="556"/>
      <c r="AM311" s="556"/>
      <c r="AN311" s="556"/>
      <c r="AO311" s="556"/>
      <c r="AP311" s="556"/>
      <c r="AQ311" s="556"/>
      <c r="AR311" s="556"/>
      <c r="AS311" s="556"/>
      <c r="AT311" s="556"/>
      <c r="AU311" s="556"/>
      <c r="AV311" s="557"/>
      <c r="AW311" s="558">
        <v>0</v>
      </c>
      <c r="AX311" s="559"/>
      <c r="AY311" s="560"/>
      <c r="AZ311" s="604"/>
      <c r="BA311" s="605"/>
      <c r="BB311" s="606"/>
      <c r="BC311" s="558">
        <v>0</v>
      </c>
      <c r="BD311" s="559"/>
      <c r="BE311" s="560"/>
      <c r="BF311" s="558">
        <v>182.49</v>
      </c>
      <c r="BG311" s="559"/>
      <c r="BH311" s="560"/>
      <c r="BI311" s="564">
        <v>0</v>
      </c>
      <c r="BJ311" s="565"/>
      <c r="BK311" s="565"/>
      <c r="BL311" s="566"/>
      <c r="BM311" s="567" t="s">
        <v>932</v>
      </c>
      <c r="BN311" s="567"/>
      <c r="BO311" s="567"/>
      <c r="BP311" s="567"/>
      <c r="BQ311" s="568" t="s">
        <v>932</v>
      </c>
      <c r="BR311" s="568"/>
      <c r="BS311" s="568"/>
      <c r="BT311" s="567" t="s">
        <v>932</v>
      </c>
      <c r="BU311" s="567"/>
      <c r="BV311" s="567"/>
      <c r="BW311" s="567"/>
      <c r="BX311" s="568" t="s">
        <v>932</v>
      </c>
      <c r="BY311" s="568"/>
      <c r="BZ311" s="568"/>
      <c r="CA311" s="567" t="s">
        <v>932</v>
      </c>
      <c r="CB311" s="567"/>
      <c r="CC311" s="567"/>
      <c r="CD311" s="567"/>
      <c r="CE311" s="568">
        <v>1</v>
      </c>
      <c r="CF311" s="568"/>
      <c r="CG311" s="568"/>
      <c r="CH311" s="567" t="s">
        <v>932</v>
      </c>
      <c r="CI311" s="567"/>
      <c r="CJ311" s="567"/>
      <c r="CK311" s="567"/>
      <c r="CL311" s="568" t="s">
        <v>932</v>
      </c>
      <c r="CM311" s="568"/>
      <c r="CN311" s="568"/>
    </row>
    <row r="312" hidden="1" customHeight="1" spans="1:92">
      <c r="A312" s="540" t="s">
        <v>979</v>
      </c>
      <c r="B312" s="541"/>
      <c r="C312" s="89"/>
      <c r="D312" s="91"/>
      <c r="E312" s="90"/>
      <c r="F312" s="542" t="s">
        <v>119</v>
      </c>
      <c r="G312" s="543"/>
      <c r="H312" s="544"/>
      <c r="I312" s="545" t="s">
        <v>120</v>
      </c>
      <c r="J312" s="546"/>
      <c r="K312" s="546"/>
      <c r="L312" s="546"/>
      <c r="M312" s="546"/>
      <c r="N312" s="546"/>
      <c r="O312" s="546"/>
      <c r="P312" s="546"/>
      <c r="Q312" s="546"/>
      <c r="R312" s="546"/>
      <c r="S312" s="546"/>
      <c r="T312" s="546"/>
      <c r="U312" s="546"/>
      <c r="V312" s="546"/>
      <c r="W312" s="546"/>
      <c r="X312" s="546"/>
      <c r="Y312" s="546"/>
      <c r="Z312" s="546"/>
      <c r="AA312" s="547"/>
      <c r="AB312" s="548" t="s">
        <v>82</v>
      </c>
      <c r="AC312" s="549"/>
      <c r="AD312" s="550">
        <v>5</v>
      </c>
      <c r="AE312" s="551"/>
      <c r="AF312" s="552"/>
      <c r="AG312" s="553">
        <v>0</v>
      </c>
      <c r="AH312" s="554"/>
      <c r="AI312" s="555" t="e">
        <v>#N/A</v>
      </c>
      <c r="AJ312" s="556"/>
      <c r="AK312" s="556"/>
      <c r="AL312" s="556"/>
      <c r="AM312" s="556"/>
      <c r="AN312" s="556"/>
      <c r="AO312" s="556"/>
      <c r="AP312" s="556"/>
      <c r="AQ312" s="556"/>
      <c r="AR312" s="556"/>
      <c r="AS312" s="556"/>
      <c r="AT312" s="556"/>
      <c r="AU312" s="556"/>
      <c r="AV312" s="557"/>
      <c r="AW312" s="558">
        <v>0</v>
      </c>
      <c r="AX312" s="559"/>
      <c r="AY312" s="560"/>
      <c r="AZ312" s="561">
        <v>1</v>
      </c>
      <c r="BA312" s="562"/>
      <c r="BB312" s="563"/>
      <c r="BC312" s="558">
        <v>0</v>
      </c>
      <c r="BD312" s="559"/>
      <c r="BE312" s="560"/>
      <c r="BF312" s="558">
        <v>182.49</v>
      </c>
      <c r="BG312" s="559"/>
      <c r="BH312" s="560"/>
      <c r="BI312" s="564">
        <v>0</v>
      </c>
      <c r="BJ312" s="565"/>
      <c r="BK312" s="565"/>
      <c r="BL312" s="566"/>
      <c r="BM312" s="567" t="s">
        <v>932</v>
      </c>
      <c r="BN312" s="567"/>
      <c r="BO312" s="567"/>
      <c r="BP312" s="567"/>
      <c r="BQ312" s="568" t="s">
        <v>932</v>
      </c>
      <c r="BR312" s="568"/>
      <c r="BS312" s="568"/>
      <c r="BT312" s="567" t="s">
        <v>932</v>
      </c>
      <c r="BU312" s="567"/>
      <c r="BV312" s="567"/>
      <c r="BW312" s="567"/>
      <c r="BX312" s="568" t="s">
        <v>932</v>
      </c>
      <c r="BY312" s="568"/>
      <c r="BZ312" s="568"/>
      <c r="CA312" s="567" t="s">
        <v>932</v>
      </c>
      <c r="CB312" s="567"/>
      <c r="CC312" s="567"/>
      <c r="CD312" s="567"/>
      <c r="CE312" s="568">
        <v>1</v>
      </c>
      <c r="CF312" s="568"/>
      <c r="CG312" s="568"/>
      <c r="CH312" s="567" t="s">
        <v>932</v>
      </c>
      <c r="CI312" s="567"/>
      <c r="CJ312" s="567"/>
      <c r="CK312" s="567"/>
      <c r="CL312" s="568" t="s">
        <v>932</v>
      </c>
      <c r="CM312" s="568"/>
      <c r="CN312" s="568"/>
    </row>
    <row r="313" hidden="1" customHeight="1" spans="1:92">
      <c r="A313" s="569"/>
      <c r="B313" s="570"/>
      <c r="C313" s="571"/>
      <c r="D313" s="572"/>
      <c r="E313" s="573"/>
      <c r="F313" s="574"/>
      <c r="G313" s="575"/>
      <c r="H313" s="576"/>
      <c r="I313" s="577"/>
      <c r="J313" s="578"/>
      <c r="K313" s="578"/>
      <c r="L313" s="578"/>
      <c r="M313" s="578"/>
      <c r="N313" s="578"/>
      <c r="O313" s="578"/>
      <c r="P313" s="578"/>
      <c r="Q313" s="578"/>
      <c r="R313" s="578"/>
      <c r="S313" s="578"/>
      <c r="T313" s="578"/>
      <c r="U313" s="578"/>
      <c r="V313" s="578"/>
      <c r="W313" s="578"/>
      <c r="X313" s="578"/>
      <c r="Y313" s="578"/>
      <c r="Z313" s="578"/>
      <c r="AA313" s="579"/>
      <c r="AB313" s="580"/>
      <c r="AC313" s="581"/>
      <c r="AD313" s="582"/>
      <c r="AE313" s="583"/>
      <c r="AF313" s="584"/>
      <c r="AG313" s="553">
        <v>0</v>
      </c>
      <c r="AH313" s="554"/>
      <c r="AI313" s="555" t="e">
        <v>#N/A</v>
      </c>
      <c r="AJ313" s="556"/>
      <c r="AK313" s="556"/>
      <c r="AL313" s="556"/>
      <c r="AM313" s="556"/>
      <c r="AN313" s="556"/>
      <c r="AO313" s="556"/>
      <c r="AP313" s="556"/>
      <c r="AQ313" s="556"/>
      <c r="AR313" s="556"/>
      <c r="AS313" s="556"/>
      <c r="AT313" s="556"/>
      <c r="AU313" s="556"/>
      <c r="AV313" s="557"/>
      <c r="AW313" s="558">
        <v>0</v>
      </c>
      <c r="AX313" s="559"/>
      <c r="AY313" s="560"/>
      <c r="AZ313" s="585"/>
      <c r="BA313" s="586"/>
      <c r="BB313" s="587"/>
      <c r="BC313" s="558">
        <v>0</v>
      </c>
      <c r="BD313" s="559"/>
      <c r="BE313" s="560"/>
      <c r="BF313" s="558">
        <v>182.49</v>
      </c>
      <c r="BG313" s="559"/>
      <c r="BH313" s="560"/>
      <c r="BI313" s="564">
        <v>0</v>
      </c>
      <c r="BJ313" s="565"/>
      <c r="BK313" s="565"/>
      <c r="BL313" s="566"/>
      <c r="BM313" s="567" t="s">
        <v>932</v>
      </c>
      <c r="BN313" s="567"/>
      <c r="BO313" s="567"/>
      <c r="BP313" s="567"/>
      <c r="BQ313" s="568" t="s">
        <v>932</v>
      </c>
      <c r="BR313" s="568"/>
      <c r="BS313" s="568"/>
      <c r="BT313" s="567" t="s">
        <v>932</v>
      </c>
      <c r="BU313" s="567"/>
      <c r="BV313" s="567"/>
      <c r="BW313" s="567"/>
      <c r="BX313" s="568" t="s">
        <v>932</v>
      </c>
      <c r="BY313" s="568"/>
      <c r="BZ313" s="568"/>
      <c r="CA313" s="567" t="s">
        <v>932</v>
      </c>
      <c r="CB313" s="567"/>
      <c r="CC313" s="567"/>
      <c r="CD313" s="567"/>
      <c r="CE313" s="568">
        <v>1</v>
      </c>
      <c r="CF313" s="568"/>
      <c r="CG313" s="568"/>
      <c r="CH313" s="567" t="s">
        <v>932</v>
      </c>
      <c r="CI313" s="567"/>
      <c r="CJ313" s="567"/>
      <c r="CK313" s="567"/>
      <c r="CL313" s="568" t="s">
        <v>932</v>
      </c>
      <c r="CM313" s="568"/>
      <c r="CN313" s="568"/>
    </row>
    <row r="314" hidden="1" customHeight="1" spans="1:92">
      <c r="A314" s="569"/>
      <c r="B314" s="570"/>
      <c r="C314" s="571"/>
      <c r="D314" s="572"/>
      <c r="E314" s="573"/>
      <c r="F314" s="574"/>
      <c r="G314" s="575"/>
      <c r="H314" s="576"/>
      <c r="I314" s="577"/>
      <c r="J314" s="578"/>
      <c r="K314" s="578"/>
      <c r="L314" s="578"/>
      <c r="M314" s="578"/>
      <c r="N314" s="578"/>
      <c r="O314" s="578"/>
      <c r="P314" s="578"/>
      <c r="Q314" s="578"/>
      <c r="R314" s="578"/>
      <c r="S314" s="578"/>
      <c r="T314" s="578"/>
      <c r="U314" s="578"/>
      <c r="V314" s="578"/>
      <c r="W314" s="578"/>
      <c r="X314" s="578"/>
      <c r="Y314" s="578"/>
      <c r="Z314" s="578"/>
      <c r="AA314" s="579"/>
      <c r="AB314" s="580"/>
      <c r="AC314" s="581"/>
      <c r="AD314" s="582"/>
      <c r="AE314" s="583"/>
      <c r="AF314" s="584"/>
      <c r="AG314" s="553">
        <v>0</v>
      </c>
      <c r="AH314" s="554"/>
      <c r="AI314" s="555" t="e">
        <v>#N/A</v>
      </c>
      <c r="AJ314" s="556"/>
      <c r="AK314" s="556"/>
      <c r="AL314" s="556"/>
      <c r="AM314" s="556"/>
      <c r="AN314" s="556"/>
      <c r="AO314" s="556"/>
      <c r="AP314" s="556"/>
      <c r="AQ314" s="556"/>
      <c r="AR314" s="556"/>
      <c r="AS314" s="556"/>
      <c r="AT314" s="556"/>
      <c r="AU314" s="556"/>
      <c r="AV314" s="557"/>
      <c r="AW314" s="558">
        <v>0</v>
      </c>
      <c r="AX314" s="559"/>
      <c r="AY314" s="560"/>
      <c r="AZ314" s="585"/>
      <c r="BA314" s="586"/>
      <c r="BB314" s="587"/>
      <c r="BC314" s="558">
        <v>0</v>
      </c>
      <c r="BD314" s="559"/>
      <c r="BE314" s="560"/>
      <c r="BF314" s="558">
        <v>182.49</v>
      </c>
      <c r="BG314" s="559"/>
      <c r="BH314" s="560"/>
      <c r="BI314" s="564">
        <v>0</v>
      </c>
      <c r="BJ314" s="565"/>
      <c r="BK314" s="565"/>
      <c r="BL314" s="566"/>
      <c r="BM314" s="567" t="s">
        <v>932</v>
      </c>
      <c r="BN314" s="567"/>
      <c r="BO314" s="567"/>
      <c r="BP314" s="567"/>
      <c r="BQ314" s="568" t="s">
        <v>932</v>
      </c>
      <c r="BR314" s="568"/>
      <c r="BS314" s="568"/>
      <c r="BT314" s="567" t="s">
        <v>932</v>
      </c>
      <c r="BU314" s="567"/>
      <c r="BV314" s="567"/>
      <c r="BW314" s="567"/>
      <c r="BX314" s="568" t="s">
        <v>932</v>
      </c>
      <c r="BY314" s="568"/>
      <c r="BZ314" s="568"/>
      <c r="CA314" s="567" t="s">
        <v>932</v>
      </c>
      <c r="CB314" s="567"/>
      <c r="CC314" s="567"/>
      <c r="CD314" s="567"/>
      <c r="CE314" s="568">
        <v>1</v>
      </c>
      <c r="CF314" s="568"/>
      <c r="CG314" s="568"/>
      <c r="CH314" s="567" t="s">
        <v>932</v>
      </c>
      <c r="CI314" s="567"/>
      <c r="CJ314" s="567"/>
      <c r="CK314" s="567"/>
      <c r="CL314" s="568" t="s">
        <v>932</v>
      </c>
      <c r="CM314" s="568"/>
      <c r="CN314" s="568"/>
    </row>
    <row r="315" hidden="1" customHeight="1" spans="1:92">
      <c r="A315" s="569"/>
      <c r="B315" s="570"/>
      <c r="C315" s="571"/>
      <c r="D315" s="572"/>
      <c r="E315" s="573"/>
      <c r="F315" s="574"/>
      <c r="G315" s="575"/>
      <c r="H315" s="576"/>
      <c r="I315" s="577"/>
      <c r="J315" s="578"/>
      <c r="K315" s="578"/>
      <c r="L315" s="578"/>
      <c r="M315" s="578"/>
      <c r="N315" s="578"/>
      <c r="O315" s="578"/>
      <c r="P315" s="578"/>
      <c r="Q315" s="578"/>
      <c r="R315" s="578"/>
      <c r="S315" s="578"/>
      <c r="T315" s="578"/>
      <c r="U315" s="578"/>
      <c r="V315" s="578"/>
      <c r="W315" s="578"/>
      <c r="X315" s="578"/>
      <c r="Y315" s="578"/>
      <c r="Z315" s="578"/>
      <c r="AA315" s="579"/>
      <c r="AB315" s="580"/>
      <c r="AC315" s="581"/>
      <c r="AD315" s="582"/>
      <c r="AE315" s="583"/>
      <c r="AF315" s="584"/>
      <c r="AG315" s="553">
        <v>0</v>
      </c>
      <c r="AH315" s="554"/>
      <c r="AI315" s="555" t="e">
        <v>#N/A</v>
      </c>
      <c r="AJ315" s="556"/>
      <c r="AK315" s="556"/>
      <c r="AL315" s="556"/>
      <c r="AM315" s="556"/>
      <c r="AN315" s="556"/>
      <c r="AO315" s="556"/>
      <c r="AP315" s="556"/>
      <c r="AQ315" s="556"/>
      <c r="AR315" s="556"/>
      <c r="AS315" s="556"/>
      <c r="AT315" s="556"/>
      <c r="AU315" s="556"/>
      <c r="AV315" s="557"/>
      <c r="AW315" s="558">
        <v>0</v>
      </c>
      <c r="AX315" s="559"/>
      <c r="AY315" s="560"/>
      <c r="AZ315" s="585"/>
      <c r="BA315" s="586"/>
      <c r="BB315" s="587"/>
      <c r="BC315" s="558">
        <v>0</v>
      </c>
      <c r="BD315" s="559"/>
      <c r="BE315" s="560"/>
      <c r="BF315" s="558">
        <v>182.49</v>
      </c>
      <c r="BG315" s="559"/>
      <c r="BH315" s="560"/>
      <c r="BI315" s="564">
        <v>0</v>
      </c>
      <c r="BJ315" s="565"/>
      <c r="BK315" s="565"/>
      <c r="BL315" s="566"/>
      <c r="BM315" s="567" t="s">
        <v>932</v>
      </c>
      <c r="BN315" s="567"/>
      <c r="BO315" s="567"/>
      <c r="BP315" s="567"/>
      <c r="BQ315" s="568" t="s">
        <v>932</v>
      </c>
      <c r="BR315" s="568"/>
      <c r="BS315" s="568"/>
      <c r="BT315" s="567" t="s">
        <v>932</v>
      </c>
      <c r="BU315" s="567"/>
      <c r="BV315" s="567"/>
      <c r="BW315" s="567"/>
      <c r="BX315" s="568" t="s">
        <v>932</v>
      </c>
      <c r="BY315" s="568"/>
      <c r="BZ315" s="568"/>
      <c r="CA315" s="567" t="s">
        <v>932</v>
      </c>
      <c r="CB315" s="567"/>
      <c r="CC315" s="567"/>
      <c r="CD315" s="567"/>
      <c r="CE315" s="568">
        <v>1</v>
      </c>
      <c r="CF315" s="568"/>
      <c r="CG315" s="568"/>
      <c r="CH315" s="567" t="s">
        <v>932</v>
      </c>
      <c r="CI315" s="567"/>
      <c r="CJ315" s="567"/>
      <c r="CK315" s="567"/>
      <c r="CL315" s="568" t="s">
        <v>932</v>
      </c>
      <c r="CM315" s="568"/>
      <c r="CN315" s="568"/>
    </row>
    <row r="316" hidden="1" customHeight="1" spans="1:92">
      <c r="A316" s="569"/>
      <c r="B316" s="570"/>
      <c r="C316" s="571"/>
      <c r="D316" s="572"/>
      <c r="E316" s="573"/>
      <c r="F316" s="574"/>
      <c r="G316" s="575"/>
      <c r="H316" s="576"/>
      <c r="I316" s="577"/>
      <c r="J316" s="578"/>
      <c r="K316" s="578"/>
      <c r="L316" s="578"/>
      <c r="M316" s="578"/>
      <c r="N316" s="578"/>
      <c r="O316" s="578"/>
      <c r="P316" s="578"/>
      <c r="Q316" s="578"/>
      <c r="R316" s="578"/>
      <c r="S316" s="578"/>
      <c r="T316" s="578"/>
      <c r="U316" s="578"/>
      <c r="V316" s="578"/>
      <c r="W316" s="578"/>
      <c r="X316" s="578"/>
      <c r="Y316" s="578"/>
      <c r="Z316" s="578"/>
      <c r="AA316" s="579"/>
      <c r="AB316" s="580"/>
      <c r="AC316" s="581"/>
      <c r="AD316" s="582"/>
      <c r="AE316" s="583"/>
      <c r="AF316" s="584"/>
      <c r="AG316" s="553">
        <v>0</v>
      </c>
      <c r="AH316" s="554"/>
      <c r="AI316" s="555" t="e">
        <v>#N/A</v>
      </c>
      <c r="AJ316" s="556"/>
      <c r="AK316" s="556"/>
      <c r="AL316" s="556"/>
      <c r="AM316" s="556"/>
      <c r="AN316" s="556"/>
      <c r="AO316" s="556"/>
      <c r="AP316" s="556"/>
      <c r="AQ316" s="556"/>
      <c r="AR316" s="556"/>
      <c r="AS316" s="556"/>
      <c r="AT316" s="556"/>
      <c r="AU316" s="556"/>
      <c r="AV316" s="557"/>
      <c r="AW316" s="558">
        <v>0</v>
      </c>
      <c r="AX316" s="559"/>
      <c r="AY316" s="560"/>
      <c r="AZ316" s="585"/>
      <c r="BA316" s="586"/>
      <c r="BB316" s="587"/>
      <c r="BC316" s="558">
        <v>0</v>
      </c>
      <c r="BD316" s="559"/>
      <c r="BE316" s="560"/>
      <c r="BF316" s="558">
        <v>182.49</v>
      </c>
      <c r="BG316" s="559"/>
      <c r="BH316" s="560"/>
      <c r="BI316" s="564">
        <v>0</v>
      </c>
      <c r="BJ316" s="565"/>
      <c r="BK316" s="565"/>
      <c r="BL316" s="566"/>
      <c r="BM316" s="567" t="s">
        <v>932</v>
      </c>
      <c r="BN316" s="567"/>
      <c r="BO316" s="567"/>
      <c r="BP316" s="567"/>
      <c r="BQ316" s="568" t="s">
        <v>932</v>
      </c>
      <c r="BR316" s="568"/>
      <c r="BS316" s="568"/>
      <c r="BT316" s="567" t="s">
        <v>932</v>
      </c>
      <c r="BU316" s="567"/>
      <c r="BV316" s="567"/>
      <c r="BW316" s="567"/>
      <c r="BX316" s="568" t="s">
        <v>932</v>
      </c>
      <c r="BY316" s="568"/>
      <c r="BZ316" s="568"/>
      <c r="CA316" s="567" t="s">
        <v>932</v>
      </c>
      <c r="CB316" s="567"/>
      <c r="CC316" s="567"/>
      <c r="CD316" s="567"/>
      <c r="CE316" s="568">
        <v>1</v>
      </c>
      <c r="CF316" s="568"/>
      <c r="CG316" s="568"/>
      <c r="CH316" s="567" t="s">
        <v>932</v>
      </c>
      <c r="CI316" s="567"/>
      <c r="CJ316" s="567"/>
      <c r="CK316" s="567"/>
      <c r="CL316" s="568" t="s">
        <v>932</v>
      </c>
      <c r="CM316" s="568"/>
      <c r="CN316" s="568"/>
    </row>
    <row r="317" hidden="1" customHeight="1" spans="1:92">
      <c r="A317" s="569"/>
      <c r="B317" s="570"/>
      <c r="C317" s="571"/>
      <c r="D317" s="572"/>
      <c r="E317" s="573"/>
      <c r="F317" s="574"/>
      <c r="G317" s="575"/>
      <c r="H317" s="576"/>
      <c r="I317" s="577"/>
      <c r="J317" s="578"/>
      <c r="K317" s="578"/>
      <c r="L317" s="578"/>
      <c r="M317" s="578"/>
      <c r="N317" s="578"/>
      <c r="O317" s="578"/>
      <c r="P317" s="578"/>
      <c r="Q317" s="578"/>
      <c r="R317" s="578"/>
      <c r="S317" s="578"/>
      <c r="T317" s="578"/>
      <c r="U317" s="578"/>
      <c r="V317" s="578"/>
      <c r="W317" s="578"/>
      <c r="X317" s="578"/>
      <c r="Y317" s="578"/>
      <c r="Z317" s="578"/>
      <c r="AA317" s="579"/>
      <c r="AB317" s="580"/>
      <c r="AC317" s="581"/>
      <c r="AD317" s="582"/>
      <c r="AE317" s="583"/>
      <c r="AF317" s="584"/>
      <c r="AG317" s="553">
        <v>0</v>
      </c>
      <c r="AH317" s="554"/>
      <c r="AI317" s="555" t="e">
        <v>#N/A</v>
      </c>
      <c r="AJ317" s="556"/>
      <c r="AK317" s="556"/>
      <c r="AL317" s="556"/>
      <c r="AM317" s="556"/>
      <c r="AN317" s="556"/>
      <c r="AO317" s="556"/>
      <c r="AP317" s="556"/>
      <c r="AQ317" s="556"/>
      <c r="AR317" s="556"/>
      <c r="AS317" s="556"/>
      <c r="AT317" s="556"/>
      <c r="AU317" s="556"/>
      <c r="AV317" s="557"/>
      <c r="AW317" s="558">
        <v>0</v>
      </c>
      <c r="AX317" s="559"/>
      <c r="AY317" s="560"/>
      <c r="AZ317" s="585"/>
      <c r="BA317" s="586"/>
      <c r="BB317" s="587"/>
      <c r="BC317" s="558">
        <v>0</v>
      </c>
      <c r="BD317" s="559"/>
      <c r="BE317" s="560"/>
      <c r="BF317" s="558">
        <v>182.49</v>
      </c>
      <c r="BG317" s="559"/>
      <c r="BH317" s="560"/>
      <c r="BI317" s="564">
        <v>0</v>
      </c>
      <c r="BJ317" s="565"/>
      <c r="BK317" s="565"/>
      <c r="BL317" s="566"/>
      <c r="BM317" s="567" t="s">
        <v>932</v>
      </c>
      <c r="BN317" s="567"/>
      <c r="BO317" s="567"/>
      <c r="BP317" s="567"/>
      <c r="BQ317" s="568" t="s">
        <v>932</v>
      </c>
      <c r="BR317" s="568"/>
      <c r="BS317" s="568"/>
      <c r="BT317" s="567" t="s">
        <v>932</v>
      </c>
      <c r="BU317" s="567"/>
      <c r="BV317" s="567"/>
      <c r="BW317" s="567"/>
      <c r="BX317" s="568" t="s">
        <v>932</v>
      </c>
      <c r="BY317" s="568"/>
      <c r="BZ317" s="568"/>
      <c r="CA317" s="567" t="s">
        <v>932</v>
      </c>
      <c r="CB317" s="567"/>
      <c r="CC317" s="567"/>
      <c r="CD317" s="567"/>
      <c r="CE317" s="568">
        <v>1</v>
      </c>
      <c r="CF317" s="568"/>
      <c r="CG317" s="568"/>
      <c r="CH317" s="567" t="s">
        <v>932</v>
      </c>
      <c r="CI317" s="567"/>
      <c r="CJ317" s="567"/>
      <c r="CK317" s="567"/>
      <c r="CL317" s="568" t="s">
        <v>932</v>
      </c>
      <c r="CM317" s="568"/>
      <c r="CN317" s="568"/>
    </row>
    <row r="318" hidden="1" customHeight="1" spans="1:92">
      <c r="A318" s="569"/>
      <c r="B318" s="570"/>
      <c r="C318" s="571"/>
      <c r="D318" s="572"/>
      <c r="E318" s="573"/>
      <c r="F318" s="574"/>
      <c r="G318" s="575"/>
      <c r="H318" s="576"/>
      <c r="I318" s="577"/>
      <c r="J318" s="578"/>
      <c r="K318" s="578"/>
      <c r="L318" s="578"/>
      <c r="M318" s="578"/>
      <c r="N318" s="578"/>
      <c r="O318" s="578"/>
      <c r="P318" s="578"/>
      <c r="Q318" s="578"/>
      <c r="R318" s="578"/>
      <c r="S318" s="578"/>
      <c r="T318" s="578"/>
      <c r="U318" s="578"/>
      <c r="V318" s="578"/>
      <c r="W318" s="578"/>
      <c r="X318" s="578"/>
      <c r="Y318" s="578"/>
      <c r="Z318" s="578"/>
      <c r="AA318" s="579"/>
      <c r="AB318" s="580"/>
      <c r="AC318" s="581"/>
      <c r="AD318" s="582"/>
      <c r="AE318" s="583"/>
      <c r="AF318" s="584"/>
      <c r="AG318" s="553">
        <v>0</v>
      </c>
      <c r="AH318" s="554"/>
      <c r="AI318" s="555" t="e">
        <v>#N/A</v>
      </c>
      <c r="AJ318" s="556"/>
      <c r="AK318" s="556"/>
      <c r="AL318" s="556"/>
      <c r="AM318" s="556"/>
      <c r="AN318" s="556"/>
      <c r="AO318" s="556"/>
      <c r="AP318" s="556"/>
      <c r="AQ318" s="556"/>
      <c r="AR318" s="556"/>
      <c r="AS318" s="556"/>
      <c r="AT318" s="556"/>
      <c r="AU318" s="556"/>
      <c r="AV318" s="557"/>
      <c r="AW318" s="558">
        <v>0</v>
      </c>
      <c r="AX318" s="559"/>
      <c r="AY318" s="560"/>
      <c r="AZ318" s="585"/>
      <c r="BA318" s="586"/>
      <c r="BB318" s="587"/>
      <c r="BC318" s="558">
        <v>0</v>
      </c>
      <c r="BD318" s="559"/>
      <c r="BE318" s="560"/>
      <c r="BF318" s="558">
        <v>182.49</v>
      </c>
      <c r="BG318" s="559"/>
      <c r="BH318" s="560"/>
      <c r="BI318" s="564">
        <v>0</v>
      </c>
      <c r="BJ318" s="565"/>
      <c r="BK318" s="565"/>
      <c r="BL318" s="566"/>
      <c r="BM318" s="567" t="s">
        <v>932</v>
      </c>
      <c r="BN318" s="567"/>
      <c r="BO318" s="567"/>
      <c r="BP318" s="567"/>
      <c r="BQ318" s="568" t="s">
        <v>932</v>
      </c>
      <c r="BR318" s="568"/>
      <c r="BS318" s="568"/>
      <c r="BT318" s="567" t="s">
        <v>932</v>
      </c>
      <c r="BU318" s="567"/>
      <c r="BV318" s="567"/>
      <c r="BW318" s="567"/>
      <c r="BX318" s="568" t="s">
        <v>932</v>
      </c>
      <c r="BY318" s="568"/>
      <c r="BZ318" s="568"/>
      <c r="CA318" s="567" t="s">
        <v>932</v>
      </c>
      <c r="CB318" s="567"/>
      <c r="CC318" s="567"/>
      <c r="CD318" s="567"/>
      <c r="CE318" s="568">
        <v>1</v>
      </c>
      <c r="CF318" s="568"/>
      <c r="CG318" s="568"/>
      <c r="CH318" s="567" t="s">
        <v>932</v>
      </c>
      <c r="CI318" s="567"/>
      <c r="CJ318" s="567"/>
      <c r="CK318" s="567"/>
      <c r="CL318" s="568" t="s">
        <v>932</v>
      </c>
      <c r="CM318" s="568"/>
      <c r="CN318" s="568"/>
    </row>
    <row r="319" hidden="1" customHeight="1" spans="1:92">
      <c r="A319" s="588"/>
      <c r="B319" s="589"/>
      <c r="C319" s="590"/>
      <c r="D319" s="591"/>
      <c r="E319" s="592"/>
      <c r="F319" s="593"/>
      <c r="G319" s="594"/>
      <c r="H319" s="595"/>
      <c r="I319" s="596"/>
      <c r="J319" s="597"/>
      <c r="K319" s="597"/>
      <c r="L319" s="597"/>
      <c r="M319" s="597"/>
      <c r="N319" s="597"/>
      <c r="O319" s="597"/>
      <c r="P319" s="597"/>
      <c r="Q319" s="597"/>
      <c r="R319" s="597"/>
      <c r="S319" s="597"/>
      <c r="T319" s="597"/>
      <c r="U319" s="597"/>
      <c r="V319" s="597"/>
      <c r="W319" s="597"/>
      <c r="X319" s="597"/>
      <c r="Y319" s="597"/>
      <c r="Z319" s="597"/>
      <c r="AA319" s="598"/>
      <c r="AB319" s="599"/>
      <c r="AC319" s="600"/>
      <c r="AD319" s="601"/>
      <c r="AE319" s="602"/>
      <c r="AF319" s="603"/>
      <c r="AG319" s="553">
        <v>0</v>
      </c>
      <c r="AH319" s="554"/>
      <c r="AI319" s="555" t="e">
        <v>#N/A</v>
      </c>
      <c r="AJ319" s="556"/>
      <c r="AK319" s="556"/>
      <c r="AL319" s="556"/>
      <c r="AM319" s="556"/>
      <c r="AN319" s="556"/>
      <c r="AO319" s="556"/>
      <c r="AP319" s="556"/>
      <c r="AQ319" s="556"/>
      <c r="AR319" s="556"/>
      <c r="AS319" s="556"/>
      <c r="AT319" s="556"/>
      <c r="AU319" s="556"/>
      <c r="AV319" s="557"/>
      <c r="AW319" s="558">
        <v>0</v>
      </c>
      <c r="AX319" s="559"/>
      <c r="AY319" s="560"/>
      <c r="AZ319" s="604"/>
      <c r="BA319" s="605"/>
      <c r="BB319" s="606"/>
      <c r="BC319" s="558">
        <v>0</v>
      </c>
      <c r="BD319" s="559"/>
      <c r="BE319" s="560"/>
      <c r="BF319" s="558">
        <v>182.49</v>
      </c>
      <c r="BG319" s="559"/>
      <c r="BH319" s="560"/>
      <c r="BI319" s="564">
        <v>0</v>
      </c>
      <c r="BJ319" s="565"/>
      <c r="BK319" s="565"/>
      <c r="BL319" s="566"/>
      <c r="BM319" s="567" t="s">
        <v>932</v>
      </c>
      <c r="BN319" s="567"/>
      <c r="BO319" s="567"/>
      <c r="BP319" s="567"/>
      <c r="BQ319" s="568" t="s">
        <v>932</v>
      </c>
      <c r="BR319" s="568"/>
      <c r="BS319" s="568"/>
      <c r="BT319" s="567" t="s">
        <v>932</v>
      </c>
      <c r="BU319" s="567"/>
      <c r="BV319" s="567"/>
      <c r="BW319" s="567"/>
      <c r="BX319" s="568" t="s">
        <v>932</v>
      </c>
      <c r="BY319" s="568"/>
      <c r="BZ319" s="568"/>
      <c r="CA319" s="567" t="s">
        <v>932</v>
      </c>
      <c r="CB319" s="567"/>
      <c r="CC319" s="567"/>
      <c r="CD319" s="567"/>
      <c r="CE319" s="568">
        <v>1</v>
      </c>
      <c r="CF319" s="568"/>
      <c r="CG319" s="568"/>
      <c r="CH319" s="567" t="s">
        <v>932</v>
      </c>
      <c r="CI319" s="567"/>
      <c r="CJ319" s="567"/>
      <c r="CK319" s="567"/>
      <c r="CL319" s="568" t="s">
        <v>932</v>
      </c>
      <c r="CM319" s="568"/>
      <c r="CN319" s="568"/>
    </row>
    <row r="320" hidden="1" customHeight="1" spans="1:92">
      <c r="A320" s="540" t="s">
        <v>980</v>
      </c>
      <c r="B320" s="541"/>
      <c r="C320" s="89"/>
      <c r="D320" s="91"/>
      <c r="E320" s="90"/>
      <c r="F320" s="542" t="s">
        <v>119</v>
      </c>
      <c r="G320" s="543"/>
      <c r="H320" s="544"/>
      <c r="I320" s="545" t="s">
        <v>120</v>
      </c>
      <c r="J320" s="546"/>
      <c r="K320" s="546"/>
      <c r="L320" s="546"/>
      <c r="M320" s="546"/>
      <c r="N320" s="546"/>
      <c r="O320" s="546"/>
      <c r="P320" s="546"/>
      <c r="Q320" s="546"/>
      <c r="R320" s="546"/>
      <c r="S320" s="546"/>
      <c r="T320" s="546"/>
      <c r="U320" s="546"/>
      <c r="V320" s="546"/>
      <c r="W320" s="546"/>
      <c r="X320" s="546"/>
      <c r="Y320" s="546"/>
      <c r="Z320" s="546"/>
      <c r="AA320" s="547"/>
      <c r="AB320" s="548" t="s">
        <v>82</v>
      </c>
      <c r="AC320" s="549"/>
      <c r="AD320" s="550">
        <v>5</v>
      </c>
      <c r="AE320" s="551"/>
      <c r="AF320" s="552"/>
      <c r="AG320" s="553">
        <v>0</v>
      </c>
      <c r="AH320" s="554"/>
      <c r="AI320" s="555" t="e">
        <v>#N/A</v>
      </c>
      <c r="AJ320" s="556"/>
      <c r="AK320" s="556"/>
      <c r="AL320" s="556"/>
      <c r="AM320" s="556"/>
      <c r="AN320" s="556"/>
      <c r="AO320" s="556"/>
      <c r="AP320" s="556"/>
      <c r="AQ320" s="556"/>
      <c r="AR320" s="556"/>
      <c r="AS320" s="556"/>
      <c r="AT320" s="556"/>
      <c r="AU320" s="556"/>
      <c r="AV320" s="557"/>
      <c r="AW320" s="558">
        <v>0</v>
      </c>
      <c r="AX320" s="559"/>
      <c r="AY320" s="560"/>
      <c r="AZ320" s="561">
        <v>1</v>
      </c>
      <c r="BA320" s="562"/>
      <c r="BB320" s="563"/>
      <c r="BC320" s="558">
        <v>0</v>
      </c>
      <c r="BD320" s="559"/>
      <c r="BE320" s="560"/>
      <c r="BF320" s="558">
        <v>182.49</v>
      </c>
      <c r="BG320" s="559"/>
      <c r="BH320" s="560"/>
      <c r="BI320" s="564">
        <v>0</v>
      </c>
      <c r="BJ320" s="565"/>
      <c r="BK320" s="565"/>
      <c r="BL320" s="566"/>
      <c r="BM320" s="567" t="s">
        <v>932</v>
      </c>
      <c r="BN320" s="567"/>
      <c r="BO320" s="567"/>
      <c r="BP320" s="567"/>
      <c r="BQ320" s="568" t="s">
        <v>932</v>
      </c>
      <c r="BR320" s="568"/>
      <c r="BS320" s="568"/>
      <c r="BT320" s="567" t="s">
        <v>932</v>
      </c>
      <c r="BU320" s="567"/>
      <c r="BV320" s="567"/>
      <c r="BW320" s="567"/>
      <c r="BX320" s="568" t="s">
        <v>932</v>
      </c>
      <c r="BY320" s="568"/>
      <c r="BZ320" s="568"/>
      <c r="CA320" s="567" t="s">
        <v>932</v>
      </c>
      <c r="CB320" s="567"/>
      <c r="CC320" s="567"/>
      <c r="CD320" s="567"/>
      <c r="CE320" s="568">
        <v>1</v>
      </c>
      <c r="CF320" s="568"/>
      <c r="CG320" s="568"/>
      <c r="CH320" s="567" t="s">
        <v>932</v>
      </c>
      <c r="CI320" s="567"/>
      <c r="CJ320" s="567"/>
      <c r="CK320" s="567"/>
      <c r="CL320" s="568" t="s">
        <v>932</v>
      </c>
      <c r="CM320" s="568"/>
      <c r="CN320" s="568"/>
    </row>
    <row r="321" hidden="1" customHeight="1" spans="1:92">
      <c r="A321" s="569"/>
      <c r="B321" s="570"/>
      <c r="C321" s="571"/>
      <c r="D321" s="572"/>
      <c r="E321" s="573"/>
      <c r="F321" s="574"/>
      <c r="G321" s="575"/>
      <c r="H321" s="576"/>
      <c r="I321" s="577"/>
      <c r="J321" s="578"/>
      <c r="K321" s="578"/>
      <c r="L321" s="578"/>
      <c r="M321" s="578"/>
      <c r="N321" s="578"/>
      <c r="O321" s="578"/>
      <c r="P321" s="578"/>
      <c r="Q321" s="578"/>
      <c r="R321" s="578"/>
      <c r="S321" s="578"/>
      <c r="T321" s="578"/>
      <c r="U321" s="578"/>
      <c r="V321" s="578"/>
      <c r="W321" s="578"/>
      <c r="X321" s="578"/>
      <c r="Y321" s="578"/>
      <c r="Z321" s="578"/>
      <c r="AA321" s="579"/>
      <c r="AB321" s="580"/>
      <c r="AC321" s="581"/>
      <c r="AD321" s="582"/>
      <c r="AE321" s="583"/>
      <c r="AF321" s="584"/>
      <c r="AG321" s="553">
        <v>0</v>
      </c>
      <c r="AH321" s="554"/>
      <c r="AI321" s="555" t="e">
        <v>#N/A</v>
      </c>
      <c r="AJ321" s="556"/>
      <c r="AK321" s="556"/>
      <c r="AL321" s="556"/>
      <c r="AM321" s="556"/>
      <c r="AN321" s="556"/>
      <c r="AO321" s="556"/>
      <c r="AP321" s="556"/>
      <c r="AQ321" s="556"/>
      <c r="AR321" s="556"/>
      <c r="AS321" s="556"/>
      <c r="AT321" s="556"/>
      <c r="AU321" s="556"/>
      <c r="AV321" s="557"/>
      <c r="AW321" s="558">
        <v>0</v>
      </c>
      <c r="AX321" s="559"/>
      <c r="AY321" s="560"/>
      <c r="AZ321" s="585"/>
      <c r="BA321" s="586"/>
      <c r="BB321" s="587"/>
      <c r="BC321" s="558">
        <v>0</v>
      </c>
      <c r="BD321" s="559"/>
      <c r="BE321" s="560"/>
      <c r="BF321" s="558">
        <v>182.49</v>
      </c>
      <c r="BG321" s="559"/>
      <c r="BH321" s="560"/>
      <c r="BI321" s="564">
        <v>0</v>
      </c>
      <c r="BJ321" s="565"/>
      <c r="BK321" s="565"/>
      <c r="BL321" s="566"/>
      <c r="BM321" s="567" t="s">
        <v>932</v>
      </c>
      <c r="BN321" s="567"/>
      <c r="BO321" s="567"/>
      <c r="BP321" s="567"/>
      <c r="BQ321" s="568" t="s">
        <v>932</v>
      </c>
      <c r="BR321" s="568"/>
      <c r="BS321" s="568"/>
      <c r="BT321" s="567" t="s">
        <v>932</v>
      </c>
      <c r="BU321" s="567"/>
      <c r="BV321" s="567"/>
      <c r="BW321" s="567"/>
      <c r="BX321" s="568" t="s">
        <v>932</v>
      </c>
      <c r="BY321" s="568"/>
      <c r="BZ321" s="568"/>
      <c r="CA321" s="567" t="s">
        <v>932</v>
      </c>
      <c r="CB321" s="567"/>
      <c r="CC321" s="567"/>
      <c r="CD321" s="567"/>
      <c r="CE321" s="568">
        <v>1</v>
      </c>
      <c r="CF321" s="568"/>
      <c r="CG321" s="568"/>
      <c r="CH321" s="567" t="s">
        <v>932</v>
      </c>
      <c r="CI321" s="567"/>
      <c r="CJ321" s="567"/>
      <c r="CK321" s="567"/>
      <c r="CL321" s="568" t="s">
        <v>932</v>
      </c>
      <c r="CM321" s="568"/>
      <c r="CN321" s="568"/>
    </row>
    <row r="322" hidden="1" customHeight="1" spans="1:92">
      <c r="A322" s="569"/>
      <c r="B322" s="570"/>
      <c r="C322" s="571"/>
      <c r="D322" s="572"/>
      <c r="E322" s="573"/>
      <c r="F322" s="574"/>
      <c r="G322" s="575"/>
      <c r="H322" s="576"/>
      <c r="I322" s="577"/>
      <c r="J322" s="578"/>
      <c r="K322" s="578"/>
      <c r="L322" s="578"/>
      <c r="M322" s="578"/>
      <c r="N322" s="578"/>
      <c r="O322" s="578"/>
      <c r="P322" s="578"/>
      <c r="Q322" s="578"/>
      <c r="R322" s="578"/>
      <c r="S322" s="578"/>
      <c r="T322" s="578"/>
      <c r="U322" s="578"/>
      <c r="V322" s="578"/>
      <c r="W322" s="578"/>
      <c r="X322" s="578"/>
      <c r="Y322" s="578"/>
      <c r="Z322" s="578"/>
      <c r="AA322" s="579"/>
      <c r="AB322" s="580"/>
      <c r="AC322" s="581"/>
      <c r="AD322" s="582"/>
      <c r="AE322" s="583"/>
      <c r="AF322" s="584"/>
      <c r="AG322" s="553">
        <v>0</v>
      </c>
      <c r="AH322" s="554"/>
      <c r="AI322" s="555" t="e">
        <v>#N/A</v>
      </c>
      <c r="AJ322" s="556"/>
      <c r="AK322" s="556"/>
      <c r="AL322" s="556"/>
      <c r="AM322" s="556"/>
      <c r="AN322" s="556"/>
      <c r="AO322" s="556"/>
      <c r="AP322" s="556"/>
      <c r="AQ322" s="556"/>
      <c r="AR322" s="556"/>
      <c r="AS322" s="556"/>
      <c r="AT322" s="556"/>
      <c r="AU322" s="556"/>
      <c r="AV322" s="557"/>
      <c r="AW322" s="558">
        <v>0</v>
      </c>
      <c r="AX322" s="559"/>
      <c r="AY322" s="560"/>
      <c r="AZ322" s="585"/>
      <c r="BA322" s="586"/>
      <c r="BB322" s="587"/>
      <c r="BC322" s="558">
        <v>0</v>
      </c>
      <c r="BD322" s="559"/>
      <c r="BE322" s="560"/>
      <c r="BF322" s="558">
        <v>182.49</v>
      </c>
      <c r="BG322" s="559"/>
      <c r="BH322" s="560"/>
      <c r="BI322" s="564">
        <v>0</v>
      </c>
      <c r="BJ322" s="565"/>
      <c r="BK322" s="565"/>
      <c r="BL322" s="566"/>
      <c r="BM322" s="567" t="s">
        <v>932</v>
      </c>
      <c r="BN322" s="567"/>
      <c r="BO322" s="567"/>
      <c r="BP322" s="567"/>
      <c r="BQ322" s="568" t="s">
        <v>932</v>
      </c>
      <c r="BR322" s="568"/>
      <c r="BS322" s="568"/>
      <c r="BT322" s="567" t="s">
        <v>932</v>
      </c>
      <c r="BU322" s="567"/>
      <c r="BV322" s="567"/>
      <c r="BW322" s="567"/>
      <c r="BX322" s="568" t="s">
        <v>932</v>
      </c>
      <c r="BY322" s="568"/>
      <c r="BZ322" s="568"/>
      <c r="CA322" s="567" t="s">
        <v>932</v>
      </c>
      <c r="CB322" s="567"/>
      <c r="CC322" s="567"/>
      <c r="CD322" s="567"/>
      <c r="CE322" s="568">
        <v>1</v>
      </c>
      <c r="CF322" s="568"/>
      <c r="CG322" s="568"/>
      <c r="CH322" s="567" t="s">
        <v>932</v>
      </c>
      <c r="CI322" s="567"/>
      <c r="CJ322" s="567"/>
      <c r="CK322" s="567"/>
      <c r="CL322" s="568" t="s">
        <v>932</v>
      </c>
      <c r="CM322" s="568"/>
      <c r="CN322" s="568"/>
    </row>
    <row r="323" hidden="1" customHeight="1" spans="1:92">
      <c r="A323" s="569"/>
      <c r="B323" s="570"/>
      <c r="C323" s="571"/>
      <c r="D323" s="572"/>
      <c r="E323" s="573"/>
      <c r="F323" s="574"/>
      <c r="G323" s="575"/>
      <c r="H323" s="576"/>
      <c r="I323" s="577"/>
      <c r="J323" s="578"/>
      <c r="K323" s="578"/>
      <c r="L323" s="578"/>
      <c r="M323" s="578"/>
      <c r="N323" s="578"/>
      <c r="O323" s="578"/>
      <c r="P323" s="578"/>
      <c r="Q323" s="578"/>
      <c r="R323" s="578"/>
      <c r="S323" s="578"/>
      <c r="T323" s="578"/>
      <c r="U323" s="578"/>
      <c r="V323" s="578"/>
      <c r="W323" s="578"/>
      <c r="X323" s="578"/>
      <c r="Y323" s="578"/>
      <c r="Z323" s="578"/>
      <c r="AA323" s="579"/>
      <c r="AB323" s="580"/>
      <c r="AC323" s="581"/>
      <c r="AD323" s="582"/>
      <c r="AE323" s="583"/>
      <c r="AF323" s="584"/>
      <c r="AG323" s="553">
        <v>0</v>
      </c>
      <c r="AH323" s="554"/>
      <c r="AI323" s="555" t="e">
        <v>#N/A</v>
      </c>
      <c r="AJ323" s="556"/>
      <c r="AK323" s="556"/>
      <c r="AL323" s="556"/>
      <c r="AM323" s="556"/>
      <c r="AN323" s="556"/>
      <c r="AO323" s="556"/>
      <c r="AP323" s="556"/>
      <c r="AQ323" s="556"/>
      <c r="AR323" s="556"/>
      <c r="AS323" s="556"/>
      <c r="AT323" s="556"/>
      <c r="AU323" s="556"/>
      <c r="AV323" s="557"/>
      <c r="AW323" s="558">
        <v>0</v>
      </c>
      <c r="AX323" s="559"/>
      <c r="AY323" s="560"/>
      <c r="AZ323" s="585"/>
      <c r="BA323" s="586"/>
      <c r="BB323" s="587"/>
      <c r="BC323" s="558">
        <v>0</v>
      </c>
      <c r="BD323" s="559"/>
      <c r="BE323" s="560"/>
      <c r="BF323" s="558">
        <v>182.49</v>
      </c>
      <c r="BG323" s="559"/>
      <c r="BH323" s="560"/>
      <c r="BI323" s="564">
        <v>0</v>
      </c>
      <c r="BJ323" s="565"/>
      <c r="BK323" s="565"/>
      <c r="BL323" s="566"/>
      <c r="BM323" s="567" t="s">
        <v>932</v>
      </c>
      <c r="BN323" s="567"/>
      <c r="BO323" s="567"/>
      <c r="BP323" s="567"/>
      <c r="BQ323" s="568" t="s">
        <v>932</v>
      </c>
      <c r="BR323" s="568"/>
      <c r="BS323" s="568"/>
      <c r="BT323" s="567" t="s">
        <v>932</v>
      </c>
      <c r="BU323" s="567"/>
      <c r="BV323" s="567"/>
      <c r="BW323" s="567"/>
      <c r="BX323" s="568" t="s">
        <v>932</v>
      </c>
      <c r="BY323" s="568"/>
      <c r="BZ323" s="568"/>
      <c r="CA323" s="567" t="s">
        <v>932</v>
      </c>
      <c r="CB323" s="567"/>
      <c r="CC323" s="567"/>
      <c r="CD323" s="567"/>
      <c r="CE323" s="568">
        <v>1</v>
      </c>
      <c r="CF323" s="568"/>
      <c r="CG323" s="568"/>
      <c r="CH323" s="567" t="s">
        <v>932</v>
      </c>
      <c r="CI323" s="567"/>
      <c r="CJ323" s="567"/>
      <c r="CK323" s="567"/>
      <c r="CL323" s="568" t="s">
        <v>932</v>
      </c>
      <c r="CM323" s="568"/>
      <c r="CN323" s="568"/>
    </row>
    <row r="324" hidden="1" customHeight="1" spans="1:92">
      <c r="A324" s="569"/>
      <c r="B324" s="570"/>
      <c r="C324" s="571"/>
      <c r="D324" s="572"/>
      <c r="E324" s="573"/>
      <c r="F324" s="574"/>
      <c r="G324" s="575"/>
      <c r="H324" s="576"/>
      <c r="I324" s="577"/>
      <c r="J324" s="578"/>
      <c r="K324" s="578"/>
      <c r="L324" s="578"/>
      <c r="M324" s="578"/>
      <c r="N324" s="578"/>
      <c r="O324" s="578"/>
      <c r="P324" s="578"/>
      <c r="Q324" s="578"/>
      <c r="R324" s="578"/>
      <c r="S324" s="578"/>
      <c r="T324" s="578"/>
      <c r="U324" s="578"/>
      <c r="V324" s="578"/>
      <c r="W324" s="578"/>
      <c r="X324" s="578"/>
      <c r="Y324" s="578"/>
      <c r="Z324" s="578"/>
      <c r="AA324" s="579"/>
      <c r="AB324" s="580"/>
      <c r="AC324" s="581"/>
      <c r="AD324" s="582"/>
      <c r="AE324" s="583"/>
      <c r="AF324" s="584"/>
      <c r="AG324" s="553">
        <v>0</v>
      </c>
      <c r="AH324" s="554"/>
      <c r="AI324" s="555" t="e">
        <v>#N/A</v>
      </c>
      <c r="AJ324" s="556"/>
      <c r="AK324" s="556"/>
      <c r="AL324" s="556"/>
      <c r="AM324" s="556"/>
      <c r="AN324" s="556"/>
      <c r="AO324" s="556"/>
      <c r="AP324" s="556"/>
      <c r="AQ324" s="556"/>
      <c r="AR324" s="556"/>
      <c r="AS324" s="556"/>
      <c r="AT324" s="556"/>
      <c r="AU324" s="556"/>
      <c r="AV324" s="557"/>
      <c r="AW324" s="558">
        <v>0</v>
      </c>
      <c r="AX324" s="559"/>
      <c r="AY324" s="560"/>
      <c r="AZ324" s="585"/>
      <c r="BA324" s="586"/>
      <c r="BB324" s="587"/>
      <c r="BC324" s="558">
        <v>0</v>
      </c>
      <c r="BD324" s="559"/>
      <c r="BE324" s="560"/>
      <c r="BF324" s="558">
        <v>182.49</v>
      </c>
      <c r="BG324" s="559"/>
      <c r="BH324" s="560"/>
      <c r="BI324" s="564">
        <v>0</v>
      </c>
      <c r="BJ324" s="565"/>
      <c r="BK324" s="565"/>
      <c r="BL324" s="566"/>
      <c r="BM324" s="567" t="s">
        <v>932</v>
      </c>
      <c r="BN324" s="567"/>
      <c r="BO324" s="567"/>
      <c r="BP324" s="567"/>
      <c r="BQ324" s="568" t="s">
        <v>932</v>
      </c>
      <c r="BR324" s="568"/>
      <c r="BS324" s="568"/>
      <c r="BT324" s="567" t="s">
        <v>932</v>
      </c>
      <c r="BU324" s="567"/>
      <c r="BV324" s="567"/>
      <c r="BW324" s="567"/>
      <c r="BX324" s="568" t="s">
        <v>932</v>
      </c>
      <c r="BY324" s="568"/>
      <c r="BZ324" s="568"/>
      <c r="CA324" s="567" t="s">
        <v>932</v>
      </c>
      <c r="CB324" s="567"/>
      <c r="CC324" s="567"/>
      <c r="CD324" s="567"/>
      <c r="CE324" s="568">
        <v>1</v>
      </c>
      <c r="CF324" s="568"/>
      <c r="CG324" s="568"/>
      <c r="CH324" s="567" t="s">
        <v>932</v>
      </c>
      <c r="CI324" s="567"/>
      <c r="CJ324" s="567"/>
      <c r="CK324" s="567"/>
      <c r="CL324" s="568" t="s">
        <v>932</v>
      </c>
      <c r="CM324" s="568"/>
      <c r="CN324" s="568"/>
    </row>
    <row r="325" hidden="1" customHeight="1" spans="1:92">
      <c r="A325" s="569"/>
      <c r="B325" s="570"/>
      <c r="C325" s="571"/>
      <c r="D325" s="572"/>
      <c r="E325" s="573"/>
      <c r="F325" s="574"/>
      <c r="G325" s="575"/>
      <c r="H325" s="576"/>
      <c r="I325" s="577"/>
      <c r="J325" s="578"/>
      <c r="K325" s="578"/>
      <c r="L325" s="578"/>
      <c r="M325" s="578"/>
      <c r="N325" s="578"/>
      <c r="O325" s="578"/>
      <c r="P325" s="578"/>
      <c r="Q325" s="578"/>
      <c r="R325" s="578"/>
      <c r="S325" s="578"/>
      <c r="T325" s="578"/>
      <c r="U325" s="578"/>
      <c r="V325" s="578"/>
      <c r="W325" s="578"/>
      <c r="X325" s="578"/>
      <c r="Y325" s="578"/>
      <c r="Z325" s="578"/>
      <c r="AA325" s="579"/>
      <c r="AB325" s="580"/>
      <c r="AC325" s="581"/>
      <c r="AD325" s="582"/>
      <c r="AE325" s="583"/>
      <c r="AF325" s="584"/>
      <c r="AG325" s="553">
        <v>0</v>
      </c>
      <c r="AH325" s="554"/>
      <c r="AI325" s="555" t="e">
        <v>#N/A</v>
      </c>
      <c r="AJ325" s="556"/>
      <c r="AK325" s="556"/>
      <c r="AL325" s="556"/>
      <c r="AM325" s="556"/>
      <c r="AN325" s="556"/>
      <c r="AO325" s="556"/>
      <c r="AP325" s="556"/>
      <c r="AQ325" s="556"/>
      <c r="AR325" s="556"/>
      <c r="AS325" s="556"/>
      <c r="AT325" s="556"/>
      <c r="AU325" s="556"/>
      <c r="AV325" s="557"/>
      <c r="AW325" s="558">
        <v>0</v>
      </c>
      <c r="AX325" s="559"/>
      <c r="AY325" s="560"/>
      <c r="AZ325" s="585"/>
      <c r="BA325" s="586"/>
      <c r="BB325" s="587"/>
      <c r="BC325" s="558">
        <v>0</v>
      </c>
      <c r="BD325" s="559"/>
      <c r="BE325" s="560"/>
      <c r="BF325" s="558">
        <v>182.49</v>
      </c>
      <c r="BG325" s="559"/>
      <c r="BH325" s="560"/>
      <c r="BI325" s="564">
        <v>0</v>
      </c>
      <c r="BJ325" s="565"/>
      <c r="BK325" s="565"/>
      <c r="BL325" s="566"/>
      <c r="BM325" s="567" t="s">
        <v>932</v>
      </c>
      <c r="BN325" s="567"/>
      <c r="BO325" s="567"/>
      <c r="BP325" s="567"/>
      <c r="BQ325" s="568" t="s">
        <v>932</v>
      </c>
      <c r="BR325" s="568"/>
      <c r="BS325" s="568"/>
      <c r="BT325" s="567" t="s">
        <v>932</v>
      </c>
      <c r="BU325" s="567"/>
      <c r="BV325" s="567"/>
      <c r="BW325" s="567"/>
      <c r="BX325" s="568" t="s">
        <v>932</v>
      </c>
      <c r="BY325" s="568"/>
      <c r="BZ325" s="568"/>
      <c r="CA325" s="567" t="s">
        <v>932</v>
      </c>
      <c r="CB325" s="567"/>
      <c r="CC325" s="567"/>
      <c r="CD325" s="567"/>
      <c r="CE325" s="568">
        <v>1</v>
      </c>
      <c r="CF325" s="568"/>
      <c r="CG325" s="568"/>
      <c r="CH325" s="567" t="s">
        <v>932</v>
      </c>
      <c r="CI325" s="567"/>
      <c r="CJ325" s="567"/>
      <c r="CK325" s="567"/>
      <c r="CL325" s="568" t="s">
        <v>932</v>
      </c>
      <c r="CM325" s="568"/>
      <c r="CN325" s="568"/>
    </row>
    <row r="326" hidden="1" customHeight="1" spans="1:92">
      <c r="A326" s="569"/>
      <c r="B326" s="570"/>
      <c r="C326" s="571"/>
      <c r="D326" s="572"/>
      <c r="E326" s="573"/>
      <c r="F326" s="574"/>
      <c r="G326" s="575"/>
      <c r="H326" s="576"/>
      <c r="I326" s="577"/>
      <c r="J326" s="578"/>
      <c r="K326" s="578"/>
      <c r="L326" s="578"/>
      <c r="M326" s="578"/>
      <c r="N326" s="578"/>
      <c r="O326" s="578"/>
      <c r="P326" s="578"/>
      <c r="Q326" s="578"/>
      <c r="R326" s="578"/>
      <c r="S326" s="578"/>
      <c r="T326" s="578"/>
      <c r="U326" s="578"/>
      <c r="V326" s="578"/>
      <c r="W326" s="578"/>
      <c r="X326" s="578"/>
      <c r="Y326" s="578"/>
      <c r="Z326" s="578"/>
      <c r="AA326" s="579"/>
      <c r="AB326" s="580"/>
      <c r="AC326" s="581"/>
      <c r="AD326" s="582"/>
      <c r="AE326" s="583"/>
      <c r="AF326" s="584"/>
      <c r="AG326" s="553">
        <v>0</v>
      </c>
      <c r="AH326" s="554"/>
      <c r="AI326" s="555" t="e">
        <v>#N/A</v>
      </c>
      <c r="AJ326" s="556"/>
      <c r="AK326" s="556"/>
      <c r="AL326" s="556"/>
      <c r="AM326" s="556"/>
      <c r="AN326" s="556"/>
      <c r="AO326" s="556"/>
      <c r="AP326" s="556"/>
      <c r="AQ326" s="556"/>
      <c r="AR326" s="556"/>
      <c r="AS326" s="556"/>
      <c r="AT326" s="556"/>
      <c r="AU326" s="556"/>
      <c r="AV326" s="557"/>
      <c r="AW326" s="558">
        <v>0</v>
      </c>
      <c r="AX326" s="559"/>
      <c r="AY326" s="560"/>
      <c r="AZ326" s="585"/>
      <c r="BA326" s="586"/>
      <c r="BB326" s="587"/>
      <c r="BC326" s="558">
        <v>0</v>
      </c>
      <c r="BD326" s="559"/>
      <c r="BE326" s="560"/>
      <c r="BF326" s="558">
        <v>182.49</v>
      </c>
      <c r="BG326" s="559"/>
      <c r="BH326" s="560"/>
      <c r="BI326" s="564">
        <v>0</v>
      </c>
      <c r="BJ326" s="565"/>
      <c r="BK326" s="565"/>
      <c r="BL326" s="566"/>
      <c r="BM326" s="567" t="s">
        <v>932</v>
      </c>
      <c r="BN326" s="567"/>
      <c r="BO326" s="567"/>
      <c r="BP326" s="567"/>
      <c r="BQ326" s="568" t="s">
        <v>932</v>
      </c>
      <c r="BR326" s="568"/>
      <c r="BS326" s="568"/>
      <c r="BT326" s="567" t="s">
        <v>932</v>
      </c>
      <c r="BU326" s="567"/>
      <c r="BV326" s="567"/>
      <c r="BW326" s="567"/>
      <c r="BX326" s="568" t="s">
        <v>932</v>
      </c>
      <c r="BY326" s="568"/>
      <c r="BZ326" s="568"/>
      <c r="CA326" s="567" t="s">
        <v>932</v>
      </c>
      <c r="CB326" s="567"/>
      <c r="CC326" s="567"/>
      <c r="CD326" s="567"/>
      <c r="CE326" s="568">
        <v>1</v>
      </c>
      <c r="CF326" s="568"/>
      <c r="CG326" s="568"/>
      <c r="CH326" s="567" t="s">
        <v>932</v>
      </c>
      <c r="CI326" s="567"/>
      <c r="CJ326" s="567"/>
      <c r="CK326" s="567"/>
      <c r="CL326" s="568" t="s">
        <v>932</v>
      </c>
      <c r="CM326" s="568"/>
      <c r="CN326" s="568"/>
    </row>
    <row r="327" hidden="1" customHeight="1" spans="1:92">
      <c r="A327" s="588"/>
      <c r="B327" s="589"/>
      <c r="C327" s="590"/>
      <c r="D327" s="591"/>
      <c r="E327" s="592"/>
      <c r="F327" s="593"/>
      <c r="G327" s="594"/>
      <c r="H327" s="595"/>
      <c r="I327" s="596"/>
      <c r="J327" s="597"/>
      <c r="K327" s="597"/>
      <c r="L327" s="597"/>
      <c r="M327" s="597"/>
      <c r="N327" s="597"/>
      <c r="O327" s="597"/>
      <c r="P327" s="597"/>
      <c r="Q327" s="597"/>
      <c r="R327" s="597"/>
      <c r="S327" s="597"/>
      <c r="T327" s="597"/>
      <c r="U327" s="597"/>
      <c r="V327" s="597"/>
      <c r="W327" s="597"/>
      <c r="X327" s="597"/>
      <c r="Y327" s="597"/>
      <c r="Z327" s="597"/>
      <c r="AA327" s="598"/>
      <c r="AB327" s="599"/>
      <c r="AC327" s="600"/>
      <c r="AD327" s="601"/>
      <c r="AE327" s="602"/>
      <c r="AF327" s="603"/>
      <c r="AG327" s="553">
        <v>0</v>
      </c>
      <c r="AH327" s="554"/>
      <c r="AI327" s="555" t="e">
        <v>#N/A</v>
      </c>
      <c r="AJ327" s="556"/>
      <c r="AK327" s="556"/>
      <c r="AL327" s="556"/>
      <c r="AM327" s="556"/>
      <c r="AN327" s="556"/>
      <c r="AO327" s="556"/>
      <c r="AP327" s="556"/>
      <c r="AQ327" s="556"/>
      <c r="AR327" s="556"/>
      <c r="AS327" s="556"/>
      <c r="AT327" s="556"/>
      <c r="AU327" s="556"/>
      <c r="AV327" s="557"/>
      <c r="AW327" s="558">
        <v>0</v>
      </c>
      <c r="AX327" s="559"/>
      <c r="AY327" s="560"/>
      <c r="AZ327" s="604"/>
      <c r="BA327" s="605"/>
      <c r="BB327" s="606"/>
      <c r="BC327" s="558">
        <v>0</v>
      </c>
      <c r="BD327" s="559"/>
      <c r="BE327" s="560"/>
      <c r="BF327" s="558">
        <v>182.49</v>
      </c>
      <c r="BG327" s="559"/>
      <c r="BH327" s="560"/>
      <c r="BI327" s="564">
        <v>0</v>
      </c>
      <c r="BJ327" s="565"/>
      <c r="BK327" s="565"/>
      <c r="BL327" s="566"/>
      <c r="BM327" s="567" t="s">
        <v>932</v>
      </c>
      <c r="BN327" s="567"/>
      <c r="BO327" s="567"/>
      <c r="BP327" s="567"/>
      <c r="BQ327" s="568" t="s">
        <v>932</v>
      </c>
      <c r="BR327" s="568"/>
      <c r="BS327" s="568"/>
      <c r="BT327" s="567" t="s">
        <v>932</v>
      </c>
      <c r="BU327" s="567"/>
      <c r="BV327" s="567"/>
      <c r="BW327" s="567"/>
      <c r="BX327" s="568" t="s">
        <v>932</v>
      </c>
      <c r="BY327" s="568"/>
      <c r="BZ327" s="568"/>
      <c r="CA327" s="567" t="s">
        <v>932</v>
      </c>
      <c r="CB327" s="567"/>
      <c r="CC327" s="567"/>
      <c r="CD327" s="567"/>
      <c r="CE327" s="568">
        <v>1</v>
      </c>
      <c r="CF327" s="568"/>
      <c r="CG327" s="568"/>
      <c r="CH327" s="567" t="s">
        <v>932</v>
      </c>
      <c r="CI327" s="567"/>
      <c r="CJ327" s="567"/>
      <c r="CK327" s="567"/>
      <c r="CL327" s="568" t="s">
        <v>932</v>
      </c>
      <c r="CM327" s="568"/>
      <c r="CN327" s="568"/>
    </row>
    <row r="328" customHeight="1" spans="1:92">
      <c r="A328" s="540" t="s">
        <v>981</v>
      </c>
      <c r="B328" s="541"/>
      <c r="C328" s="89"/>
      <c r="D328" s="91"/>
      <c r="E328" s="90"/>
      <c r="F328" s="542">
        <v>1107900</v>
      </c>
      <c r="G328" s="543"/>
      <c r="H328" s="544"/>
      <c r="I328" s="545" t="s">
        <v>108</v>
      </c>
      <c r="J328" s="546"/>
      <c r="K328" s="546"/>
      <c r="L328" s="546"/>
      <c r="M328" s="546"/>
      <c r="N328" s="546"/>
      <c r="O328" s="546"/>
      <c r="P328" s="546"/>
      <c r="Q328" s="546"/>
      <c r="R328" s="546"/>
      <c r="S328" s="546"/>
      <c r="T328" s="546"/>
      <c r="U328" s="546"/>
      <c r="V328" s="546"/>
      <c r="W328" s="546"/>
      <c r="X328" s="546"/>
      <c r="Y328" s="546"/>
      <c r="Z328" s="546"/>
      <c r="AA328" s="547"/>
      <c r="AB328" s="548" t="s">
        <v>99</v>
      </c>
      <c r="AC328" s="549"/>
      <c r="AD328" s="550">
        <v>0.12</v>
      </c>
      <c r="AE328" s="551"/>
      <c r="AF328" s="552"/>
      <c r="AG328" s="553" t="s">
        <v>1066</v>
      </c>
      <c r="AH328" s="554"/>
      <c r="AI328" s="555" t="s">
        <v>1067</v>
      </c>
      <c r="AJ328" s="556"/>
      <c r="AK328" s="556"/>
      <c r="AL328" s="556"/>
      <c r="AM328" s="556"/>
      <c r="AN328" s="556"/>
      <c r="AO328" s="556"/>
      <c r="AP328" s="556"/>
      <c r="AQ328" s="556"/>
      <c r="AR328" s="556"/>
      <c r="AS328" s="556"/>
      <c r="AT328" s="556"/>
      <c r="AU328" s="556"/>
      <c r="AV328" s="557"/>
      <c r="AW328" s="558">
        <v>1</v>
      </c>
      <c r="AX328" s="559"/>
      <c r="AY328" s="560"/>
      <c r="AZ328" s="561">
        <v>3.853</v>
      </c>
      <c r="BA328" s="562"/>
      <c r="BB328" s="563"/>
      <c r="BC328" s="558">
        <v>0.0311445626784324</v>
      </c>
      <c r="BD328" s="559"/>
      <c r="BE328" s="560"/>
      <c r="BF328" s="558">
        <v>182.49</v>
      </c>
      <c r="BG328" s="559"/>
      <c r="BH328" s="560"/>
      <c r="BI328" s="564">
        <v>0.000170664489442887</v>
      </c>
      <c r="BJ328" s="565"/>
      <c r="BK328" s="565"/>
      <c r="BL328" s="566"/>
      <c r="BM328" s="567" t="s">
        <v>932</v>
      </c>
      <c r="BN328" s="567"/>
      <c r="BO328" s="567"/>
      <c r="BP328" s="567"/>
      <c r="BQ328" s="568" t="s">
        <v>932</v>
      </c>
      <c r="BR328" s="568"/>
      <c r="BS328" s="568"/>
      <c r="BT328" s="567" t="s">
        <v>932</v>
      </c>
      <c r="BU328" s="567"/>
      <c r="BV328" s="567"/>
      <c r="BW328" s="567"/>
      <c r="BX328" s="568" t="s">
        <v>932</v>
      </c>
      <c r="BY328" s="568"/>
      <c r="BZ328" s="568"/>
      <c r="CA328" s="567">
        <v>0.000170664489442887</v>
      </c>
      <c r="CB328" s="567"/>
      <c r="CC328" s="567"/>
      <c r="CD328" s="567"/>
      <c r="CE328" s="568">
        <v>1</v>
      </c>
      <c r="CF328" s="568"/>
      <c r="CG328" s="568"/>
      <c r="CH328" s="567" t="s">
        <v>932</v>
      </c>
      <c r="CI328" s="567"/>
      <c r="CJ328" s="567"/>
      <c r="CK328" s="567"/>
      <c r="CL328" s="568" t="s">
        <v>932</v>
      </c>
      <c r="CM328" s="568"/>
      <c r="CN328" s="568"/>
    </row>
    <row r="329" customHeight="1" spans="1:92">
      <c r="A329" s="569"/>
      <c r="B329" s="570"/>
      <c r="C329" s="571"/>
      <c r="D329" s="572"/>
      <c r="E329" s="573"/>
      <c r="F329" s="574"/>
      <c r="G329" s="575"/>
      <c r="H329" s="576"/>
      <c r="I329" s="577"/>
      <c r="J329" s="578"/>
      <c r="K329" s="578"/>
      <c r="L329" s="578"/>
      <c r="M329" s="578"/>
      <c r="N329" s="578"/>
      <c r="O329" s="578"/>
      <c r="P329" s="578"/>
      <c r="Q329" s="578"/>
      <c r="R329" s="578"/>
      <c r="S329" s="578"/>
      <c r="T329" s="578"/>
      <c r="U329" s="578"/>
      <c r="V329" s="578"/>
      <c r="W329" s="578"/>
      <c r="X329" s="578"/>
      <c r="Y329" s="578"/>
      <c r="Z329" s="578"/>
      <c r="AA329" s="579"/>
      <c r="AB329" s="580"/>
      <c r="AC329" s="581"/>
      <c r="AD329" s="582"/>
      <c r="AE329" s="583"/>
      <c r="AF329" s="584"/>
      <c r="AG329" s="553" t="s">
        <v>1068</v>
      </c>
      <c r="AH329" s="554"/>
      <c r="AI329" s="555" t="s">
        <v>1069</v>
      </c>
      <c r="AJ329" s="556"/>
      <c r="AK329" s="556"/>
      <c r="AL329" s="556"/>
      <c r="AM329" s="556"/>
      <c r="AN329" s="556"/>
      <c r="AO329" s="556"/>
      <c r="AP329" s="556"/>
      <c r="AQ329" s="556"/>
      <c r="AR329" s="556"/>
      <c r="AS329" s="556"/>
      <c r="AT329" s="556"/>
      <c r="AU329" s="556"/>
      <c r="AV329" s="557"/>
      <c r="AW329" s="558">
        <v>1</v>
      </c>
      <c r="AX329" s="559"/>
      <c r="AY329" s="560"/>
      <c r="AZ329" s="585"/>
      <c r="BA329" s="586"/>
      <c r="BB329" s="587"/>
      <c r="BC329" s="558">
        <v>0.0311445626784324</v>
      </c>
      <c r="BD329" s="559"/>
      <c r="BE329" s="560"/>
      <c r="BF329" s="558">
        <v>182.49</v>
      </c>
      <c r="BG329" s="559"/>
      <c r="BH329" s="560"/>
      <c r="BI329" s="564">
        <v>0.000170664489442887</v>
      </c>
      <c r="BJ329" s="565"/>
      <c r="BK329" s="565"/>
      <c r="BL329" s="566"/>
      <c r="BM329" s="567" t="s">
        <v>932</v>
      </c>
      <c r="BN329" s="567"/>
      <c r="BO329" s="567"/>
      <c r="BP329" s="567"/>
      <c r="BQ329" s="568" t="s">
        <v>932</v>
      </c>
      <c r="BR329" s="568"/>
      <c r="BS329" s="568"/>
      <c r="BT329" s="567" t="s">
        <v>932</v>
      </c>
      <c r="BU329" s="567"/>
      <c r="BV329" s="567"/>
      <c r="BW329" s="567"/>
      <c r="BX329" s="568" t="s">
        <v>932</v>
      </c>
      <c r="BY329" s="568"/>
      <c r="BZ329" s="568"/>
      <c r="CA329" s="567">
        <v>0.000170664489442887</v>
      </c>
      <c r="CB329" s="567"/>
      <c r="CC329" s="567"/>
      <c r="CD329" s="567"/>
      <c r="CE329" s="568">
        <v>1</v>
      </c>
      <c r="CF329" s="568"/>
      <c r="CG329" s="568"/>
      <c r="CH329" s="567" t="s">
        <v>932</v>
      </c>
      <c r="CI329" s="567"/>
      <c r="CJ329" s="567"/>
      <c r="CK329" s="567"/>
      <c r="CL329" s="568" t="s">
        <v>932</v>
      </c>
      <c r="CM329" s="568"/>
      <c r="CN329" s="568"/>
    </row>
    <row r="330" customHeight="1" spans="1:92">
      <c r="A330" s="569"/>
      <c r="B330" s="570"/>
      <c r="C330" s="571"/>
      <c r="D330" s="572"/>
      <c r="E330" s="573"/>
      <c r="F330" s="574"/>
      <c r="G330" s="575"/>
      <c r="H330" s="576"/>
      <c r="I330" s="577"/>
      <c r="J330" s="578"/>
      <c r="K330" s="578"/>
      <c r="L330" s="578"/>
      <c r="M330" s="578"/>
      <c r="N330" s="578"/>
      <c r="O330" s="578"/>
      <c r="P330" s="578"/>
      <c r="Q330" s="578"/>
      <c r="R330" s="578"/>
      <c r="S330" s="578"/>
      <c r="T330" s="578"/>
      <c r="U330" s="578"/>
      <c r="V330" s="578"/>
      <c r="W330" s="578"/>
      <c r="X330" s="578"/>
      <c r="Y330" s="578"/>
      <c r="Z330" s="578"/>
      <c r="AA330" s="579"/>
      <c r="AB330" s="580"/>
      <c r="AC330" s="581"/>
      <c r="AD330" s="582"/>
      <c r="AE330" s="583"/>
      <c r="AF330" s="584"/>
      <c r="AG330" s="553" t="s">
        <v>1070</v>
      </c>
      <c r="AH330" s="554"/>
      <c r="AI330" s="555" t="s">
        <v>1071</v>
      </c>
      <c r="AJ330" s="556"/>
      <c r="AK330" s="556"/>
      <c r="AL330" s="556"/>
      <c r="AM330" s="556"/>
      <c r="AN330" s="556"/>
      <c r="AO330" s="556"/>
      <c r="AP330" s="556"/>
      <c r="AQ330" s="556"/>
      <c r="AR330" s="556"/>
      <c r="AS330" s="556"/>
      <c r="AT330" s="556"/>
      <c r="AU330" s="556"/>
      <c r="AV330" s="557"/>
      <c r="AW330" s="558">
        <v>4</v>
      </c>
      <c r="AX330" s="559"/>
      <c r="AY330" s="560"/>
      <c r="AZ330" s="585"/>
      <c r="BA330" s="586"/>
      <c r="BB330" s="587"/>
      <c r="BC330" s="558">
        <v>0.12457825071373</v>
      </c>
      <c r="BD330" s="559"/>
      <c r="BE330" s="560"/>
      <c r="BF330" s="558">
        <v>182.49</v>
      </c>
      <c r="BG330" s="559"/>
      <c r="BH330" s="560"/>
      <c r="BI330" s="564">
        <v>0.000682657957771547</v>
      </c>
      <c r="BJ330" s="565"/>
      <c r="BK330" s="565"/>
      <c r="BL330" s="566"/>
      <c r="BM330" s="567" t="s">
        <v>932</v>
      </c>
      <c r="BN330" s="567"/>
      <c r="BO330" s="567"/>
      <c r="BP330" s="567"/>
      <c r="BQ330" s="568" t="s">
        <v>932</v>
      </c>
      <c r="BR330" s="568"/>
      <c r="BS330" s="568"/>
      <c r="BT330" s="567" t="s">
        <v>932</v>
      </c>
      <c r="BU330" s="567"/>
      <c r="BV330" s="567"/>
      <c r="BW330" s="567"/>
      <c r="BX330" s="568" t="s">
        <v>932</v>
      </c>
      <c r="BY330" s="568"/>
      <c r="BZ330" s="568"/>
      <c r="CA330" s="567">
        <v>0.000682657957771547</v>
      </c>
      <c r="CB330" s="567"/>
      <c r="CC330" s="567"/>
      <c r="CD330" s="567"/>
      <c r="CE330" s="568">
        <v>1</v>
      </c>
      <c r="CF330" s="568"/>
      <c r="CG330" s="568"/>
      <c r="CH330" s="567" t="s">
        <v>932</v>
      </c>
      <c r="CI330" s="567"/>
      <c r="CJ330" s="567"/>
      <c r="CK330" s="567"/>
      <c r="CL330" s="568" t="s">
        <v>932</v>
      </c>
      <c r="CM330" s="568"/>
      <c r="CN330" s="568"/>
    </row>
    <row r="331" customHeight="1" spans="1:92">
      <c r="A331" s="569"/>
      <c r="B331" s="570"/>
      <c r="C331" s="571"/>
      <c r="D331" s="572"/>
      <c r="E331" s="573"/>
      <c r="F331" s="574"/>
      <c r="G331" s="575"/>
      <c r="H331" s="576"/>
      <c r="I331" s="577"/>
      <c r="J331" s="578"/>
      <c r="K331" s="578"/>
      <c r="L331" s="578"/>
      <c r="M331" s="578"/>
      <c r="N331" s="578"/>
      <c r="O331" s="578"/>
      <c r="P331" s="578"/>
      <c r="Q331" s="578"/>
      <c r="R331" s="578"/>
      <c r="S331" s="578"/>
      <c r="T331" s="578"/>
      <c r="U331" s="578"/>
      <c r="V331" s="578"/>
      <c r="W331" s="578"/>
      <c r="X331" s="578"/>
      <c r="Y331" s="578"/>
      <c r="Z331" s="578"/>
      <c r="AA331" s="579"/>
      <c r="AB331" s="580"/>
      <c r="AC331" s="581"/>
      <c r="AD331" s="582"/>
      <c r="AE331" s="583"/>
      <c r="AF331" s="584"/>
      <c r="AG331" s="553" t="s">
        <v>1072</v>
      </c>
      <c r="AH331" s="554"/>
      <c r="AI331" s="555" t="s">
        <v>1073</v>
      </c>
      <c r="AJ331" s="556"/>
      <c r="AK331" s="556"/>
      <c r="AL331" s="556"/>
      <c r="AM331" s="556"/>
      <c r="AN331" s="556"/>
      <c r="AO331" s="556"/>
      <c r="AP331" s="556"/>
      <c r="AQ331" s="556"/>
      <c r="AR331" s="556"/>
      <c r="AS331" s="556"/>
      <c r="AT331" s="556"/>
      <c r="AU331" s="556"/>
      <c r="AV331" s="557"/>
      <c r="AW331" s="558">
        <v>3</v>
      </c>
      <c r="AX331" s="559"/>
      <c r="AY331" s="560"/>
      <c r="AZ331" s="585"/>
      <c r="BA331" s="586"/>
      <c r="BB331" s="587"/>
      <c r="BC331" s="558">
        <v>0.0934336880352972</v>
      </c>
      <c r="BD331" s="559"/>
      <c r="BE331" s="560"/>
      <c r="BF331" s="558">
        <v>182.49</v>
      </c>
      <c r="BG331" s="559"/>
      <c r="BH331" s="560"/>
      <c r="BI331" s="564">
        <v>0.00051199346832866</v>
      </c>
      <c r="BJ331" s="565"/>
      <c r="BK331" s="565"/>
      <c r="BL331" s="566"/>
      <c r="BM331" s="567" t="s">
        <v>932</v>
      </c>
      <c r="BN331" s="567"/>
      <c r="BO331" s="567"/>
      <c r="BP331" s="567"/>
      <c r="BQ331" s="568" t="s">
        <v>932</v>
      </c>
      <c r="BR331" s="568"/>
      <c r="BS331" s="568"/>
      <c r="BT331" s="567" t="s">
        <v>932</v>
      </c>
      <c r="BU331" s="567"/>
      <c r="BV331" s="567"/>
      <c r="BW331" s="567"/>
      <c r="BX331" s="568" t="s">
        <v>932</v>
      </c>
      <c r="BY331" s="568"/>
      <c r="BZ331" s="568"/>
      <c r="CA331" s="567">
        <v>0.00051199346832866</v>
      </c>
      <c r="CB331" s="567"/>
      <c r="CC331" s="567"/>
      <c r="CD331" s="567"/>
      <c r="CE331" s="568">
        <v>1</v>
      </c>
      <c r="CF331" s="568"/>
      <c r="CG331" s="568"/>
      <c r="CH331" s="567" t="s">
        <v>932</v>
      </c>
      <c r="CI331" s="567"/>
      <c r="CJ331" s="567"/>
      <c r="CK331" s="567"/>
      <c r="CL331" s="568" t="s">
        <v>932</v>
      </c>
      <c r="CM331" s="568"/>
      <c r="CN331" s="568"/>
    </row>
    <row r="332" hidden="1" customHeight="1" spans="1:92">
      <c r="A332" s="569"/>
      <c r="B332" s="570"/>
      <c r="C332" s="571"/>
      <c r="D332" s="572"/>
      <c r="E332" s="573"/>
      <c r="F332" s="574"/>
      <c r="G332" s="575"/>
      <c r="H332" s="576"/>
      <c r="I332" s="577"/>
      <c r="J332" s="578"/>
      <c r="K332" s="578"/>
      <c r="L332" s="578"/>
      <c r="M332" s="578"/>
      <c r="N332" s="578"/>
      <c r="O332" s="578"/>
      <c r="P332" s="578"/>
      <c r="Q332" s="578"/>
      <c r="R332" s="578"/>
      <c r="S332" s="578"/>
      <c r="T332" s="578"/>
      <c r="U332" s="578"/>
      <c r="V332" s="578"/>
      <c r="W332" s="578"/>
      <c r="X332" s="578"/>
      <c r="Y332" s="578"/>
      <c r="Z332" s="578"/>
      <c r="AA332" s="579"/>
      <c r="AB332" s="580"/>
      <c r="AC332" s="581"/>
      <c r="AD332" s="582"/>
      <c r="AE332" s="583"/>
      <c r="AF332" s="584"/>
      <c r="AG332" s="553">
        <v>0</v>
      </c>
      <c r="AH332" s="554"/>
      <c r="AI332" s="555" t="e">
        <v>#N/A</v>
      </c>
      <c r="AJ332" s="556"/>
      <c r="AK332" s="556"/>
      <c r="AL332" s="556"/>
      <c r="AM332" s="556"/>
      <c r="AN332" s="556"/>
      <c r="AO332" s="556"/>
      <c r="AP332" s="556"/>
      <c r="AQ332" s="556"/>
      <c r="AR332" s="556"/>
      <c r="AS332" s="556"/>
      <c r="AT332" s="556"/>
      <c r="AU332" s="556"/>
      <c r="AV332" s="557"/>
      <c r="AW332" s="558">
        <v>0</v>
      </c>
      <c r="AX332" s="559"/>
      <c r="AY332" s="560"/>
      <c r="AZ332" s="585"/>
      <c r="BA332" s="586"/>
      <c r="BB332" s="587"/>
      <c r="BC332" s="558">
        <v>0</v>
      </c>
      <c r="BD332" s="559"/>
      <c r="BE332" s="560"/>
      <c r="BF332" s="558">
        <v>182.49</v>
      </c>
      <c r="BG332" s="559"/>
      <c r="BH332" s="560"/>
      <c r="BI332" s="564">
        <v>0</v>
      </c>
      <c r="BJ332" s="565"/>
      <c r="BK332" s="565"/>
      <c r="BL332" s="566"/>
      <c r="BM332" s="567" t="s">
        <v>932</v>
      </c>
      <c r="BN332" s="567"/>
      <c r="BO332" s="567"/>
      <c r="BP332" s="567"/>
      <c r="BQ332" s="568" t="s">
        <v>932</v>
      </c>
      <c r="BR332" s="568"/>
      <c r="BS332" s="568"/>
      <c r="BT332" s="567" t="s">
        <v>932</v>
      </c>
      <c r="BU332" s="567"/>
      <c r="BV332" s="567"/>
      <c r="BW332" s="567"/>
      <c r="BX332" s="568" t="s">
        <v>932</v>
      </c>
      <c r="BY332" s="568"/>
      <c r="BZ332" s="568"/>
      <c r="CA332" s="567" t="s">
        <v>932</v>
      </c>
      <c r="CB332" s="567"/>
      <c r="CC332" s="567"/>
      <c r="CD332" s="567"/>
      <c r="CE332" s="568">
        <v>1</v>
      </c>
      <c r="CF332" s="568"/>
      <c r="CG332" s="568"/>
      <c r="CH332" s="567" t="s">
        <v>932</v>
      </c>
      <c r="CI332" s="567"/>
      <c r="CJ332" s="567"/>
      <c r="CK332" s="567"/>
      <c r="CL332" s="568" t="s">
        <v>932</v>
      </c>
      <c r="CM332" s="568"/>
      <c r="CN332" s="568"/>
    </row>
    <row r="333" hidden="1" customHeight="1" spans="1:92">
      <c r="A333" s="569"/>
      <c r="B333" s="570"/>
      <c r="C333" s="571"/>
      <c r="D333" s="572"/>
      <c r="E333" s="573"/>
      <c r="F333" s="574"/>
      <c r="G333" s="575"/>
      <c r="H333" s="576"/>
      <c r="I333" s="577"/>
      <c r="J333" s="578"/>
      <c r="K333" s="578"/>
      <c r="L333" s="578"/>
      <c r="M333" s="578"/>
      <c r="N333" s="578"/>
      <c r="O333" s="578"/>
      <c r="P333" s="578"/>
      <c r="Q333" s="578"/>
      <c r="R333" s="578"/>
      <c r="S333" s="578"/>
      <c r="T333" s="578"/>
      <c r="U333" s="578"/>
      <c r="V333" s="578"/>
      <c r="W333" s="578"/>
      <c r="X333" s="578"/>
      <c r="Y333" s="578"/>
      <c r="Z333" s="578"/>
      <c r="AA333" s="579"/>
      <c r="AB333" s="580"/>
      <c r="AC333" s="581"/>
      <c r="AD333" s="582"/>
      <c r="AE333" s="583"/>
      <c r="AF333" s="584"/>
      <c r="AG333" s="553">
        <v>0</v>
      </c>
      <c r="AH333" s="554"/>
      <c r="AI333" s="555" t="e">
        <v>#N/A</v>
      </c>
      <c r="AJ333" s="556"/>
      <c r="AK333" s="556"/>
      <c r="AL333" s="556"/>
      <c r="AM333" s="556"/>
      <c r="AN333" s="556"/>
      <c r="AO333" s="556"/>
      <c r="AP333" s="556"/>
      <c r="AQ333" s="556"/>
      <c r="AR333" s="556"/>
      <c r="AS333" s="556"/>
      <c r="AT333" s="556"/>
      <c r="AU333" s="556"/>
      <c r="AV333" s="557"/>
      <c r="AW333" s="558">
        <v>0</v>
      </c>
      <c r="AX333" s="559"/>
      <c r="AY333" s="560"/>
      <c r="AZ333" s="585"/>
      <c r="BA333" s="586"/>
      <c r="BB333" s="587"/>
      <c r="BC333" s="558">
        <v>0</v>
      </c>
      <c r="BD333" s="559"/>
      <c r="BE333" s="560"/>
      <c r="BF333" s="558">
        <v>182.49</v>
      </c>
      <c r="BG333" s="559"/>
      <c r="BH333" s="560"/>
      <c r="BI333" s="564">
        <v>0</v>
      </c>
      <c r="BJ333" s="565"/>
      <c r="BK333" s="565"/>
      <c r="BL333" s="566"/>
      <c r="BM333" s="567" t="s">
        <v>932</v>
      </c>
      <c r="BN333" s="567"/>
      <c r="BO333" s="567"/>
      <c r="BP333" s="567"/>
      <c r="BQ333" s="568" t="s">
        <v>932</v>
      </c>
      <c r="BR333" s="568"/>
      <c r="BS333" s="568"/>
      <c r="BT333" s="567" t="s">
        <v>932</v>
      </c>
      <c r="BU333" s="567"/>
      <c r="BV333" s="567"/>
      <c r="BW333" s="567"/>
      <c r="BX333" s="568" t="s">
        <v>932</v>
      </c>
      <c r="BY333" s="568"/>
      <c r="BZ333" s="568"/>
      <c r="CA333" s="567" t="s">
        <v>932</v>
      </c>
      <c r="CB333" s="567"/>
      <c r="CC333" s="567"/>
      <c r="CD333" s="567"/>
      <c r="CE333" s="568">
        <v>1</v>
      </c>
      <c r="CF333" s="568"/>
      <c r="CG333" s="568"/>
      <c r="CH333" s="567" t="s">
        <v>932</v>
      </c>
      <c r="CI333" s="567"/>
      <c r="CJ333" s="567"/>
      <c r="CK333" s="567"/>
      <c r="CL333" s="568" t="s">
        <v>932</v>
      </c>
      <c r="CM333" s="568"/>
      <c r="CN333" s="568"/>
    </row>
    <row r="334" hidden="1" customHeight="1" spans="1:92">
      <c r="A334" s="569"/>
      <c r="B334" s="570"/>
      <c r="C334" s="571"/>
      <c r="D334" s="572"/>
      <c r="E334" s="573"/>
      <c r="F334" s="574"/>
      <c r="G334" s="575"/>
      <c r="H334" s="576"/>
      <c r="I334" s="577"/>
      <c r="J334" s="578"/>
      <c r="K334" s="578"/>
      <c r="L334" s="578"/>
      <c r="M334" s="578"/>
      <c r="N334" s="578"/>
      <c r="O334" s="578"/>
      <c r="P334" s="578"/>
      <c r="Q334" s="578"/>
      <c r="R334" s="578"/>
      <c r="S334" s="578"/>
      <c r="T334" s="578"/>
      <c r="U334" s="578"/>
      <c r="V334" s="578"/>
      <c r="W334" s="578"/>
      <c r="X334" s="578"/>
      <c r="Y334" s="578"/>
      <c r="Z334" s="578"/>
      <c r="AA334" s="579"/>
      <c r="AB334" s="580"/>
      <c r="AC334" s="581"/>
      <c r="AD334" s="582"/>
      <c r="AE334" s="583"/>
      <c r="AF334" s="584"/>
      <c r="AG334" s="553">
        <v>0</v>
      </c>
      <c r="AH334" s="554"/>
      <c r="AI334" s="555" t="e">
        <v>#N/A</v>
      </c>
      <c r="AJ334" s="556"/>
      <c r="AK334" s="556"/>
      <c r="AL334" s="556"/>
      <c r="AM334" s="556"/>
      <c r="AN334" s="556"/>
      <c r="AO334" s="556"/>
      <c r="AP334" s="556"/>
      <c r="AQ334" s="556"/>
      <c r="AR334" s="556"/>
      <c r="AS334" s="556"/>
      <c r="AT334" s="556"/>
      <c r="AU334" s="556"/>
      <c r="AV334" s="557"/>
      <c r="AW334" s="558">
        <v>0</v>
      </c>
      <c r="AX334" s="559"/>
      <c r="AY334" s="560"/>
      <c r="AZ334" s="585"/>
      <c r="BA334" s="586"/>
      <c r="BB334" s="587"/>
      <c r="BC334" s="558">
        <v>0</v>
      </c>
      <c r="BD334" s="559"/>
      <c r="BE334" s="560"/>
      <c r="BF334" s="558">
        <v>182.49</v>
      </c>
      <c r="BG334" s="559"/>
      <c r="BH334" s="560"/>
      <c r="BI334" s="564">
        <v>0</v>
      </c>
      <c r="BJ334" s="565"/>
      <c r="BK334" s="565"/>
      <c r="BL334" s="566"/>
      <c r="BM334" s="567" t="s">
        <v>932</v>
      </c>
      <c r="BN334" s="567"/>
      <c r="BO334" s="567"/>
      <c r="BP334" s="567"/>
      <c r="BQ334" s="568" t="s">
        <v>932</v>
      </c>
      <c r="BR334" s="568"/>
      <c r="BS334" s="568"/>
      <c r="BT334" s="567" t="s">
        <v>932</v>
      </c>
      <c r="BU334" s="567"/>
      <c r="BV334" s="567"/>
      <c r="BW334" s="567"/>
      <c r="BX334" s="568" t="s">
        <v>932</v>
      </c>
      <c r="BY334" s="568"/>
      <c r="BZ334" s="568"/>
      <c r="CA334" s="567" t="s">
        <v>932</v>
      </c>
      <c r="CB334" s="567"/>
      <c r="CC334" s="567"/>
      <c r="CD334" s="567"/>
      <c r="CE334" s="568">
        <v>1</v>
      </c>
      <c r="CF334" s="568"/>
      <c r="CG334" s="568"/>
      <c r="CH334" s="567" t="s">
        <v>932</v>
      </c>
      <c r="CI334" s="567"/>
      <c r="CJ334" s="567"/>
      <c r="CK334" s="567"/>
      <c r="CL334" s="568" t="s">
        <v>932</v>
      </c>
      <c r="CM334" s="568"/>
      <c r="CN334" s="568"/>
    </row>
    <row r="335" hidden="1" customHeight="1" spans="1:92">
      <c r="A335" s="588"/>
      <c r="B335" s="589"/>
      <c r="C335" s="590"/>
      <c r="D335" s="591"/>
      <c r="E335" s="592"/>
      <c r="F335" s="593"/>
      <c r="G335" s="594"/>
      <c r="H335" s="595"/>
      <c r="I335" s="596"/>
      <c r="J335" s="597"/>
      <c r="K335" s="597"/>
      <c r="L335" s="597"/>
      <c r="M335" s="597"/>
      <c r="N335" s="597"/>
      <c r="O335" s="597"/>
      <c r="P335" s="597"/>
      <c r="Q335" s="597"/>
      <c r="R335" s="597"/>
      <c r="S335" s="597"/>
      <c r="T335" s="597"/>
      <c r="U335" s="597"/>
      <c r="V335" s="597"/>
      <c r="W335" s="597"/>
      <c r="X335" s="597"/>
      <c r="Y335" s="597"/>
      <c r="Z335" s="597"/>
      <c r="AA335" s="598"/>
      <c r="AB335" s="599"/>
      <c r="AC335" s="600"/>
      <c r="AD335" s="601"/>
      <c r="AE335" s="602"/>
      <c r="AF335" s="603"/>
      <c r="AG335" s="553">
        <v>0</v>
      </c>
      <c r="AH335" s="554"/>
      <c r="AI335" s="555" t="e">
        <v>#N/A</v>
      </c>
      <c r="AJ335" s="556"/>
      <c r="AK335" s="556"/>
      <c r="AL335" s="556"/>
      <c r="AM335" s="556"/>
      <c r="AN335" s="556"/>
      <c r="AO335" s="556"/>
      <c r="AP335" s="556"/>
      <c r="AQ335" s="556"/>
      <c r="AR335" s="556"/>
      <c r="AS335" s="556"/>
      <c r="AT335" s="556"/>
      <c r="AU335" s="556"/>
      <c r="AV335" s="557"/>
      <c r="AW335" s="558">
        <v>0</v>
      </c>
      <c r="AX335" s="559"/>
      <c r="AY335" s="560"/>
      <c r="AZ335" s="604"/>
      <c r="BA335" s="605"/>
      <c r="BB335" s="606"/>
      <c r="BC335" s="558">
        <v>0</v>
      </c>
      <c r="BD335" s="559"/>
      <c r="BE335" s="560"/>
      <c r="BF335" s="558">
        <v>182.49</v>
      </c>
      <c r="BG335" s="559"/>
      <c r="BH335" s="560"/>
      <c r="BI335" s="564">
        <v>0</v>
      </c>
      <c r="BJ335" s="565"/>
      <c r="BK335" s="565"/>
      <c r="BL335" s="566"/>
      <c r="BM335" s="567" t="s">
        <v>932</v>
      </c>
      <c r="BN335" s="567"/>
      <c r="BO335" s="567"/>
      <c r="BP335" s="567"/>
      <c r="BQ335" s="568" t="s">
        <v>932</v>
      </c>
      <c r="BR335" s="568"/>
      <c r="BS335" s="568"/>
      <c r="BT335" s="567" t="s">
        <v>932</v>
      </c>
      <c r="BU335" s="567"/>
      <c r="BV335" s="567"/>
      <c r="BW335" s="567"/>
      <c r="BX335" s="568" t="s">
        <v>932</v>
      </c>
      <c r="BY335" s="568"/>
      <c r="BZ335" s="568"/>
      <c r="CA335" s="567" t="s">
        <v>932</v>
      </c>
      <c r="CB335" s="567"/>
      <c r="CC335" s="567"/>
      <c r="CD335" s="567"/>
      <c r="CE335" s="568">
        <v>1</v>
      </c>
      <c r="CF335" s="568"/>
      <c r="CG335" s="568"/>
      <c r="CH335" s="567" t="s">
        <v>932</v>
      </c>
      <c r="CI335" s="567"/>
      <c r="CJ335" s="567"/>
      <c r="CK335" s="567"/>
      <c r="CL335" s="568" t="s">
        <v>932</v>
      </c>
      <c r="CM335" s="568"/>
      <c r="CN335" s="568"/>
    </row>
    <row r="336" customHeight="1" spans="1:92">
      <c r="A336" s="540" t="s">
        <v>982</v>
      </c>
      <c r="B336" s="541"/>
      <c r="C336" s="89"/>
      <c r="D336" s="91"/>
      <c r="E336" s="90"/>
      <c r="F336" s="542">
        <v>3108000</v>
      </c>
      <c r="G336" s="543"/>
      <c r="H336" s="544"/>
      <c r="I336" s="545" t="s">
        <v>110</v>
      </c>
      <c r="J336" s="546"/>
      <c r="K336" s="546"/>
      <c r="L336" s="546"/>
      <c r="M336" s="546"/>
      <c r="N336" s="546"/>
      <c r="O336" s="546"/>
      <c r="P336" s="546"/>
      <c r="Q336" s="546"/>
      <c r="R336" s="546"/>
      <c r="S336" s="546"/>
      <c r="T336" s="546"/>
      <c r="U336" s="546"/>
      <c r="V336" s="546"/>
      <c r="W336" s="546"/>
      <c r="X336" s="546"/>
      <c r="Y336" s="546"/>
      <c r="Z336" s="546"/>
      <c r="AA336" s="547"/>
      <c r="AB336" s="548" t="s">
        <v>7</v>
      </c>
      <c r="AC336" s="549"/>
      <c r="AD336" s="550">
        <v>1.01</v>
      </c>
      <c r="AE336" s="551"/>
      <c r="AF336" s="552"/>
      <c r="AG336" s="553" t="s">
        <v>1074</v>
      </c>
      <c r="AH336" s="554"/>
      <c r="AI336" s="555" t="s">
        <v>1075</v>
      </c>
      <c r="AJ336" s="556"/>
      <c r="AK336" s="556"/>
      <c r="AL336" s="556"/>
      <c r="AM336" s="556"/>
      <c r="AN336" s="556"/>
      <c r="AO336" s="556"/>
      <c r="AP336" s="556"/>
      <c r="AQ336" s="556"/>
      <c r="AR336" s="556"/>
      <c r="AS336" s="556"/>
      <c r="AT336" s="556"/>
      <c r="AU336" s="556"/>
      <c r="AV336" s="557"/>
      <c r="AW336" s="558">
        <v>0.06024</v>
      </c>
      <c r="AX336" s="559"/>
      <c r="AY336" s="560"/>
      <c r="AZ336" s="561">
        <v>1</v>
      </c>
      <c r="BA336" s="562"/>
      <c r="BB336" s="563"/>
      <c r="BC336" s="558">
        <v>0.0608424</v>
      </c>
      <c r="BD336" s="559"/>
      <c r="BE336" s="560"/>
      <c r="BF336" s="558">
        <v>182.49</v>
      </c>
      <c r="BG336" s="559"/>
      <c r="BH336" s="560"/>
      <c r="BI336" s="564">
        <v>0.000333401282262042</v>
      </c>
      <c r="BJ336" s="565"/>
      <c r="BK336" s="565"/>
      <c r="BL336" s="566"/>
      <c r="BM336" s="567" t="s">
        <v>932</v>
      </c>
      <c r="BN336" s="567"/>
      <c r="BO336" s="567"/>
      <c r="BP336" s="567"/>
      <c r="BQ336" s="568" t="s">
        <v>932</v>
      </c>
      <c r="BR336" s="568"/>
      <c r="BS336" s="568"/>
      <c r="BT336" s="567" t="s">
        <v>932</v>
      </c>
      <c r="BU336" s="567"/>
      <c r="BV336" s="567"/>
      <c r="BW336" s="567"/>
      <c r="BX336" s="568" t="s">
        <v>932</v>
      </c>
      <c r="BY336" s="568"/>
      <c r="BZ336" s="568"/>
      <c r="CA336" s="567">
        <v>0.000333401282262042</v>
      </c>
      <c r="CB336" s="567"/>
      <c r="CC336" s="567"/>
      <c r="CD336" s="567"/>
      <c r="CE336" s="568">
        <v>1</v>
      </c>
      <c r="CF336" s="568"/>
      <c r="CG336" s="568"/>
      <c r="CH336" s="567" t="s">
        <v>932</v>
      </c>
      <c r="CI336" s="567"/>
      <c r="CJ336" s="567"/>
      <c r="CK336" s="567"/>
      <c r="CL336" s="568" t="s">
        <v>932</v>
      </c>
      <c r="CM336" s="568"/>
      <c r="CN336" s="568"/>
    </row>
    <row r="337" customHeight="1" spans="1:92">
      <c r="A337" s="569"/>
      <c r="B337" s="570"/>
      <c r="C337" s="571"/>
      <c r="D337" s="572"/>
      <c r="E337" s="573"/>
      <c r="F337" s="574"/>
      <c r="G337" s="575"/>
      <c r="H337" s="576"/>
      <c r="I337" s="577"/>
      <c r="J337" s="578"/>
      <c r="K337" s="578"/>
      <c r="L337" s="578"/>
      <c r="M337" s="578"/>
      <c r="N337" s="578"/>
      <c r="O337" s="578"/>
      <c r="P337" s="578"/>
      <c r="Q337" s="578"/>
      <c r="R337" s="578"/>
      <c r="S337" s="578"/>
      <c r="T337" s="578"/>
      <c r="U337" s="578"/>
      <c r="V337" s="578"/>
      <c r="W337" s="578"/>
      <c r="X337" s="578"/>
      <c r="Y337" s="578"/>
      <c r="Z337" s="578"/>
      <c r="AA337" s="579"/>
      <c r="AB337" s="580"/>
      <c r="AC337" s="581"/>
      <c r="AD337" s="582"/>
      <c r="AE337" s="583"/>
      <c r="AF337" s="584"/>
      <c r="AG337" s="553" t="s">
        <v>1076</v>
      </c>
      <c r="AH337" s="554"/>
      <c r="AI337" s="555" t="s">
        <v>1077</v>
      </c>
      <c r="AJ337" s="556"/>
      <c r="AK337" s="556"/>
      <c r="AL337" s="556"/>
      <c r="AM337" s="556"/>
      <c r="AN337" s="556"/>
      <c r="AO337" s="556"/>
      <c r="AP337" s="556"/>
      <c r="AQ337" s="556"/>
      <c r="AR337" s="556"/>
      <c r="AS337" s="556"/>
      <c r="AT337" s="556"/>
      <c r="AU337" s="556"/>
      <c r="AV337" s="557"/>
      <c r="AW337" s="558">
        <v>0.06024</v>
      </c>
      <c r="AX337" s="559"/>
      <c r="AY337" s="560"/>
      <c r="AZ337" s="585"/>
      <c r="BA337" s="586"/>
      <c r="BB337" s="587"/>
      <c r="BC337" s="558">
        <v>0.0608424</v>
      </c>
      <c r="BD337" s="559"/>
      <c r="BE337" s="560"/>
      <c r="BF337" s="558">
        <v>182.49</v>
      </c>
      <c r="BG337" s="559"/>
      <c r="BH337" s="560"/>
      <c r="BI337" s="564">
        <v>0.000333401282262042</v>
      </c>
      <c r="BJ337" s="565"/>
      <c r="BK337" s="565"/>
      <c r="BL337" s="566"/>
      <c r="BM337" s="567" t="s">
        <v>932</v>
      </c>
      <c r="BN337" s="567"/>
      <c r="BO337" s="567"/>
      <c r="BP337" s="567"/>
      <c r="BQ337" s="568" t="s">
        <v>932</v>
      </c>
      <c r="BR337" s="568"/>
      <c r="BS337" s="568"/>
      <c r="BT337" s="567" t="s">
        <v>932</v>
      </c>
      <c r="BU337" s="567"/>
      <c r="BV337" s="567"/>
      <c r="BW337" s="567"/>
      <c r="BX337" s="568" t="s">
        <v>932</v>
      </c>
      <c r="BY337" s="568"/>
      <c r="BZ337" s="568"/>
      <c r="CA337" s="567">
        <v>0.000333401282262042</v>
      </c>
      <c r="CB337" s="567"/>
      <c r="CC337" s="567"/>
      <c r="CD337" s="567"/>
      <c r="CE337" s="568">
        <v>1</v>
      </c>
      <c r="CF337" s="568"/>
      <c r="CG337" s="568"/>
      <c r="CH337" s="567" t="s">
        <v>932</v>
      </c>
      <c r="CI337" s="567"/>
      <c r="CJ337" s="567"/>
      <c r="CK337" s="567"/>
      <c r="CL337" s="568" t="s">
        <v>932</v>
      </c>
      <c r="CM337" s="568"/>
      <c r="CN337" s="568"/>
    </row>
    <row r="338" hidden="1" customHeight="1" spans="1:92">
      <c r="A338" s="569"/>
      <c r="B338" s="570"/>
      <c r="C338" s="571"/>
      <c r="D338" s="572"/>
      <c r="E338" s="573"/>
      <c r="F338" s="574"/>
      <c r="G338" s="575"/>
      <c r="H338" s="576"/>
      <c r="I338" s="577"/>
      <c r="J338" s="578"/>
      <c r="K338" s="578"/>
      <c r="L338" s="578"/>
      <c r="M338" s="578"/>
      <c r="N338" s="578"/>
      <c r="O338" s="578"/>
      <c r="P338" s="578"/>
      <c r="Q338" s="578"/>
      <c r="R338" s="578"/>
      <c r="S338" s="578"/>
      <c r="T338" s="578"/>
      <c r="U338" s="578"/>
      <c r="V338" s="578"/>
      <c r="W338" s="578"/>
      <c r="X338" s="578"/>
      <c r="Y338" s="578"/>
      <c r="Z338" s="578"/>
      <c r="AA338" s="579"/>
      <c r="AB338" s="580"/>
      <c r="AC338" s="581"/>
      <c r="AD338" s="582"/>
      <c r="AE338" s="583"/>
      <c r="AF338" s="584"/>
      <c r="AG338" s="553">
        <v>0</v>
      </c>
      <c r="AH338" s="554"/>
      <c r="AI338" s="555" t="e">
        <v>#N/A</v>
      </c>
      <c r="AJ338" s="556"/>
      <c r="AK338" s="556"/>
      <c r="AL338" s="556"/>
      <c r="AM338" s="556"/>
      <c r="AN338" s="556"/>
      <c r="AO338" s="556"/>
      <c r="AP338" s="556"/>
      <c r="AQ338" s="556"/>
      <c r="AR338" s="556"/>
      <c r="AS338" s="556"/>
      <c r="AT338" s="556"/>
      <c r="AU338" s="556"/>
      <c r="AV338" s="557"/>
      <c r="AW338" s="558">
        <v>0</v>
      </c>
      <c r="AX338" s="559"/>
      <c r="AY338" s="560"/>
      <c r="AZ338" s="585"/>
      <c r="BA338" s="586"/>
      <c r="BB338" s="587"/>
      <c r="BC338" s="558">
        <v>0</v>
      </c>
      <c r="BD338" s="559"/>
      <c r="BE338" s="560"/>
      <c r="BF338" s="558">
        <v>182.49</v>
      </c>
      <c r="BG338" s="559"/>
      <c r="BH338" s="560"/>
      <c r="BI338" s="564">
        <v>0</v>
      </c>
      <c r="BJ338" s="565"/>
      <c r="BK338" s="565"/>
      <c r="BL338" s="566"/>
      <c r="BM338" s="567" t="s">
        <v>932</v>
      </c>
      <c r="BN338" s="567"/>
      <c r="BO338" s="567"/>
      <c r="BP338" s="567"/>
      <c r="BQ338" s="568" t="s">
        <v>932</v>
      </c>
      <c r="BR338" s="568"/>
      <c r="BS338" s="568"/>
      <c r="BT338" s="567" t="s">
        <v>932</v>
      </c>
      <c r="BU338" s="567"/>
      <c r="BV338" s="567"/>
      <c r="BW338" s="567"/>
      <c r="BX338" s="568" t="s">
        <v>932</v>
      </c>
      <c r="BY338" s="568"/>
      <c r="BZ338" s="568"/>
      <c r="CA338" s="567" t="s">
        <v>932</v>
      </c>
      <c r="CB338" s="567"/>
      <c r="CC338" s="567"/>
      <c r="CD338" s="567"/>
      <c r="CE338" s="568">
        <v>1</v>
      </c>
      <c r="CF338" s="568"/>
      <c r="CG338" s="568"/>
      <c r="CH338" s="567" t="s">
        <v>932</v>
      </c>
      <c r="CI338" s="567"/>
      <c r="CJ338" s="567"/>
      <c r="CK338" s="567"/>
      <c r="CL338" s="568" t="s">
        <v>932</v>
      </c>
      <c r="CM338" s="568"/>
      <c r="CN338" s="568"/>
    </row>
    <row r="339" hidden="1" customHeight="1" spans="1:92">
      <c r="A339" s="569"/>
      <c r="B339" s="570"/>
      <c r="C339" s="571"/>
      <c r="D339" s="572"/>
      <c r="E339" s="573"/>
      <c r="F339" s="574"/>
      <c r="G339" s="575"/>
      <c r="H339" s="576"/>
      <c r="I339" s="577"/>
      <c r="J339" s="578"/>
      <c r="K339" s="578"/>
      <c r="L339" s="578"/>
      <c r="M339" s="578"/>
      <c r="N339" s="578"/>
      <c r="O339" s="578"/>
      <c r="P339" s="578"/>
      <c r="Q339" s="578"/>
      <c r="R339" s="578"/>
      <c r="S339" s="578"/>
      <c r="T339" s="578"/>
      <c r="U339" s="578"/>
      <c r="V339" s="578"/>
      <c r="W339" s="578"/>
      <c r="X339" s="578"/>
      <c r="Y339" s="578"/>
      <c r="Z339" s="578"/>
      <c r="AA339" s="579"/>
      <c r="AB339" s="580"/>
      <c r="AC339" s="581"/>
      <c r="AD339" s="582"/>
      <c r="AE339" s="583"/>
      <c r="AF339" s="584"/>
      <c r="AG339" s="553">
        <v>0</v>
      </c>
      <c r="AH339" s="554"/>
      <c r="AI339" s="555" t="e">
        <v>#N/A</v>
      </c>
      <c r="AJ339" s="556"/>
      <c r="AK339" s="556"/>
      <c r="AL339" s="556"/>
      <c r="AM339" s="556"/>
      <c r="AN339" s="556"/>
      <c r="AO339" s="556"/>
      <c r="AP339" s="556"/>
      <c r="AQ339" s="556"/>
      <c r="AR339" s="556"/>
      <c r="AS339" s="556"/>
      <c r="AT339" s="556"/>
      <c r="AU339" s="556"/>
      <c r="AV339" s="557"/>
      <c r="AW339" s="558">
        <v>0</v>
      </c>
      <c r="AX339" s="559"/>
      <c r="AY339" s="560"/>
      <c r="AZ339" s="585"/>
      <c r="BA339" s="586"/>
      <c r="BB339" s="587"/>
      <c r="BC339" s="558">
        <v>0</v>
      </c>
      <c r="BD339" s="559"/>
      <c r="BE339" s="560"/>
      <c r="BF339" s="558">
        <v>182.49</v>
      </c>
      <c r="BG339" s="559"/>
      <c r="BH339" s="560"/>
      <c r="BI339" s="564">
        <v>0</v>
      </c>
      <c r="BJ339" s="565"/>
      <c r="BK339" s="565"/>
      <c r="BL339" s="566"/>
      <c r="BM339" s="567" t="s">
        <v>932</v>
      </c>
      <c r="BN339" s="567"/>
      <c r="BO339" s="567"/>
      <c r="BP339" s="567"/>
      <c r="BQ339" s="568" t="s">
        <v>932</v>
      </c>
      <c r="BR339" s="568"/>
      <c r="BS339" s="568"/>
      <c r="BT339" s="567" t="s">
        <v>932</v>
      </c>
      <c r="BU339" s="567"/>
      <c r="BV339" s="567"/>
      <c r="BW339" s="567"/>
      <c r="BX339" s="568" t="s">
        <v>932</v>
      </c>
      <c r="BY339" s="568"/>
      <c r="BZ339" s="568"/>
      <c r="CA339" s="567" t="s">
        <v>932</v>
      </c>
      <c r="CB339" s="567"/>
      <c r="CC339" s="567"/>
      <c r="CD339" s="567"/>
      <c r="CE339" s="568">
        <v>1</v>
      </c>
      <c r="CF339" s="568"/>
      <c r="CG339" s="568"/>
      <c r="CH339" s="567" t="s">
        <v>932</v>
      </c>
      <c r="CI339" s="567"/>
      <c r="CJ339" s="567"/>
      <c r="CK339" s="567"/>
      <c r="CL339" s="568" t="s">
        <v>932</v>
      </c>
      <c r="CM339" s="568"/>
      <c r="CN339" s="568"/>
    </row>
    <row r="340" hidden="1" customHeight="1" spans="1:92">
      <c r="A340" s="569"/>
      <c r="B340" s="570"/>
      <c r="C340" s="571"/>
      <c r="D340" s="572"/>
      <c r="E340" s="573"/>
      <c r="F340" s="574"/>
      <c r="G340" s="575"/>
      <c r="H340" s="576"/>
      <c r="I340" s="577"/>
      <c r="J340" s="578"/>
      <c r="K340" s="578"/>
      <c r="L340" s="578"/>
      <c r="M340" s="578"/>
      <c r="N340" s="578"/>
      <c r="O340" s="578"/>
      <c r="P340" s="578"/>
      <c r="Q340" s="578"/>
      <c r="R340" s="578"/>
      <c r="S340" s="578"/>
      <c r="T340" s="578"/>
      <c r="U340" s="578"/>
      <c r="V340" s="578"/>
      <c r="W340" s="578"/>
      <c r="X340" s="578"/>
      <c r="Y340" s="578"/>
      <c r="Z340" s="578"/>
      <c r="AA340" s="579"/>
      <c r="AB340" s="580"/>
      <c r="AC340" s="581"/>
      <c r="AD340" s="582"/>
      <c r="AE340" s="583"/>
      <c r="AF340" s="584"/>
      <c r="AG340" s="553">
        <v>0</v>
      </c>
      <c r="AH340" s="554"/>
      <c r="AI340" s="555" t="e">
        <v>#N/A</v>
      </c>
      <c r="AJ340" s="556"/>
      <c r="AK340" s="556"/>
      <c r="AL340" s="556"/>
      <c r="AM340" s="556"/>
      <c r="AN340" s="556"/>
      <c r="AO340" s="556"/>
      <c r="AP340" s="556"/>
      <c r="AQ340" s="556"/>
      <c r="AR340" s="556"/>
      <c r="AS340" s="556"/>
      <c r="AT340" s="556"/>
      <c r="AU340" s="556"/>
      <c r="AV340" s="557"/>
      <c r="AW340" s="558">
        <v>0</v>
      </c>
      <c r="AX340" s="559"/>
      <c r="AY340" s="560"/>
      <c r="AZ340" s="585"/>
      <c r="BA340" s="586"/>
      <c r="BB340" s="587"/>
      <c r="BC340" s="558">
        <v>0</v>
      </c>
      <c r="BD340" s="559"/>
      <c r="BE340" s="560"/>
      <c r="BF340" s="558">
        <v>182.49</v>
      </c>
      <c r="BG340" s="559"/>
      <c r="BH340" s="560"/>
      <c r="BI340" s="564">
        <v>0</v>
      </c>
      <c r="BJ340" s="565"/>
      <c r="BK340" s="565"/>
      <c r="BL340" s="566"/>
      <c r="BM340" s="567" t="s">
        <v>932</v>
      </c>
      <c r="BN340" s="567"/>
      <c r="BO340" s="567"/>
      <c r="BP340" s="567"/>
      <c r="BQ340" s="568" t="s">
        <v>932</v>
      </c>
      <c r="BR340" s="568"/>
      <c r="BS340" s="568"/>
      <c r="BT340" s="567" t="s">
        <v>932</v>
      </c>
      <c r="BU340" s="567"/>
      <c r="BV340" s="567"/>
      <c r="BW340" s="567"/>
      <c r="BX340" s="568" t="s">
        <v>932</v>
      </c>
      <c r="BY340" s="568"/>
      <c r="BZ340" s="568"/>
      <c r="CA340" s="567" t="s">
        <v>932</v>
      </c>
      <c r="CB340" s="567"/>
      <c r="CC340" s="567"/>
      <c r="CD340" s="567"/>
      <c r="CE340" s="568">
        <v>1</v>
      </c>
      <c r="CF340" s="568"/>
      <c r="CG340" s="568"/>
      <c r="CH340" s="567" t="s">
        <v>932</v>
      </c>
      <c r="CI340" s="567"/>
      <c r="CJ340" s="567"/>
      <c r="CK340" s="567"/>
      <c r="CL340" s="568" t="s">
        <v>932</v>
      </c>
      <c r="CM340" s="568"/>
      <c r="CN340" s="568"/>
    </row>
    <row r="341" hidden="1" customHeight="1" spans="1:92">
      <c r="A341" s="569"/>
      <c r="B341" s="570"/>
      <c r="C341" s="571"/>
      <c r="D341" s="572"/>
      <c r="E341" s="573"/>
      <c r="F341" s="574"/>
      <c r="G341" s="575"/>
      <c r="H341" s="576"/>
      <c r="I341" s="577"/>
      <c r="J341" s="578"/>
      <c r="K341" s="578"/>
      <c r="L341" s="578"/>
      <c r="M341" s="578"/>
      <c r="N341" s="578"/>
      <c r="O341" s="578"/>
      <c r="P341" s="578"/>
      <c r="Q341" s="578"/>
      <c r="R341" s="578"/>
      <c r="S341" s="578"/>
      <c r="T341" s="578"/>
      <c r="U341" s="578"/>
      <c r="V341" s="578"/>
      <c r="W341" s="578"/>
      <c r="X341" s="578"/>
      <c r="Y341" s="578"/>
      <c r="Z341" s="578"/>
      <c r="AA341" s="579"/>
      <c r="AB341" s="580"/>
      <c r="AC341" s="581"/>
      <c r="AD341" s="582"/>
      <c r="AE341" s="583"/>
      <c r="AF341" s="584"/>
      <c r="AG341" s="553">
        <v>0</v>
      </c>
      <c r="AH341" s="554"/>
      <c r="AI341" s="555" t="e">
        <v>#N/A</v>
      </c>
      <c r="AJ341" s="556"/>
      <c r="AK341" s="556"/>
      <c r="AL341" s="556"/>
      <c r="AM341" s="556"/>
      <c r="AN341" s="556"/>
      <c r="AO341" s="556"/>
      <c r="AP341" s="556"/>
      <c r="AQ341" s="556"/>
      <c r="AR341" s="556"/>
      <c r="AS341" s="556"/>
      <c r="AT341" s="556"/>
      <c r="AU341" s="556"/>
      <c r="AV341" s="557"/>
      <c r="AW341" s="558">
        <v>0</v>
      </c>
      <c r="AX341" s="559"/>
      <c r="AY341" s="560"/>
      <c r="AZ341" s="585"/>
      <c r="BA341" s="586"/>
      <c r="BB341" s="587"/>
      <c r="BC341" s="558">
        <v>0</v>
      </c>
      <c r="BD341" s="559"/>
      <c r="BE341" s="560"/>
      <c r="BF341" s="558">
        <v>182.49</v>
      </c>
      <c r="BG341" s="559"/>
      <c r="BH341" s="560"/>
      <c r="BI341" s="564">
        <v>0</v>
      </c>
      <c r="BJ341" s="565"/>
      <c r="BK341" s="565"/>
      <c r="BL341" s="566"/>
      <c r="BM341" s="567" t="s">
        <v>932</v>
      </c>
      <c r="BN341" s="567"/>
      <c r="BO341" s="567"/>
      <c r="BP341" s="567"/>
      <c r="BQ341" s="568" t="s">
        <v>932</v>
      </c>
      <c r="BR341" s="568"/>
      <c r="BS341" s="568"/>
      <c r="BT341" s="567" t="s">
        <v>932</v>
      </c>
      <c r="BU341" s="567"/>
      <c r="BV341" s="567"/>
      <c r="BW341" s="567"/>
      <c r="BX341" s="568" t="s">
        <v>932</v>
      </c>
      <c r="BY341" s="568"/>
      <c r="BZ341" s="568"/>
      <c r="CA341" s="567" t="s">
        <v>932</v>
      </c>
      <c r="CB341" s="567"/>
      <c r="CC341" s="567"/>
      <c r="CD341" s="567"/>
      <c r="CE341" s="568">
        <v>1</v>
      </c>
      <c r="CF341" s="568"/>
      <c r="CG341" s="568"/>
      <c r="CH341" s="567" t="s">
        <v>932</v>
      </c>
      <c r="CI341" s="567"/>
      <c r="CJ341" s="567"/>
      <c r="CK341" s="567"/>
      <c r="CL341" s="568" t="s">
        <v>932</v>
      </c>
      <c r="CM341" s="568"/>
      <c r="CN341" s="568"/>
    </row>
    <row r="342" hidden="1" customHeight="1" spans="1:92">
      <c r="A342" s="569"/>
      <c r="B342" s="570"/>
      <c r="C342" s="571"/>
      <c r="D342" s="572"/>
      <c r="E342" s="573"/>
      <c r="F342" s="574"/>
      <c r="G342" s="575"/>
      <c r="H342" s="576"/>
      <c r="I342" s="577"/>
      <c r="J342" s="578"/>
      <c r="K342" s="578"/>
      <c r="L342" s="578"/>
      <c r="M342" s="578"/>
      <c r="N342" s="578"/>
      <c r="O342" s="578"/>
      <c r="P342" s="578"/>
      <c r="Q342" s="578"/>
      <c r="R342" s="578"/>
      <c r="S342" s="578"/>
      <c r="T342" s="578"/>
      <c r="U342" s="578"/>
      <c r="V342" s="578"/>
      <c r="W342" s="578"/>
      <c r="X342" s="578"/>
      <c r="Y342" s="578"/>
      <c r="Z342" s="578"/>
      <c r="AA342" s="579"/>
      <c r="AB342" s="580"/>
      <c r="AC342" s="581"/>
      <c r="AD342" s="582"/>
      <c r="AE342" s="583"/>
      <c r="AF342" s="584"/>
      <c r="AG342" s="553">
        <v>0</v>
      </c>
      <c r="AH342" s="554"/>
      <c r="AI342" s="555" t="e">
        <v>#N/A</v>
      </c>
      <c r="AJ342" s="556"/>
      <c r="AK342" s="556"/>
      <c r="AL342" s="556"/>
      <c r="AM342" s="556"/>
      <c r="AN342" s="556"/>
      <c r="AO342" s="556"/>
      <c r="AP342" s="556"/>
      <c r="AQ342" s="556"/>
      <c r="AR342" s="556"/>
      <c r="AS342" s="556"/>
      <c r="AT342" s="556"/>
      <c r="AU342" s="556"/>
      <c r="AV342" s="557"/>
      <c r="AW342" s="558">
        <v>0</v>
      </c>
      <c r="AX342" s="559"/>
      <c r="AY342" s="560"/>
      <c r="AZ342" s="585"/>
      <c r="BA342" s="586"/>
      <c r="BB342" s="587"/>
      <c r="BC342" s="558">
        <v>0</v>
      </c>
      <c r="BD342" s="559"/>
      <c r="BE342" s="560"/>
      <c r="BF342" s="558">
        <v>182.49</v>
      </c>
      <c r="BG342" s="559"/>
      <c r="BH342" s="560"/>
      <c r="BI342" s="564">
        <v>0</v>
      </c>
      <c r="BJ342" s="565"/>
      <c r="BK342" s="565"/>
      <c r="BL342" s="566"/>
      <c r="BM342" s="567" t="s">
        <v>932</v>
      </c>
      <c r="BN342" s="567"/>
      <c r="BO342" s="567"/>
      <c r="BP342" s="567"/>
      <c r="BQ342" s="568" t="s">
        <v>932</v>
      </c>
      <c r="BR342" s="568"/>
      <c r="BS342" s="568"/>
      <c r="BT342" s="567" t="s">
        <v>932</v>
      </c>
      <c r="BU342" s="567"/>
      <c r="BV342" s="567"/>
      <c r="BW342" s="567"/>
      <c r="BX342" s="568" t="s">
        <v>932</v>
      </c>
      <c r="BY342" s="568"/>
      <c r="BZ342" s="568"/>
      <c r="CA342" s="567" t="s">
        <v>932</v>
      </c>
      <c r="CB342" s="567"/>
      <c r="CC342" s="567"/>
      <c r="CD342" s="567"/>
      <c r="CE342" s="568">
        <v>1</v>
      </c>
      <c r="CF342" s="568"/>
      <c r="CG342" s="568"/>
      <c r="CH342" s="567" t="s">
        <v>932</v>
      </c>
      <c r="CI342" s="567"/>
      <c r="CJ342" s="567"/>
      <c r="CK342" s="567"/>
      <c r="CL342" s="568" t="s">
        <v>932</v>
      </c>
      <c r="CM342" s="568"/>
      <c r="CN342" s="568"/>
    </row>
    <row r="343" hidden="1" customHeight="1" spans="1:92">
      <c r="A343" s="588"/>
      <c r="B343" s="589"/>
      <c r="C343" s="590"/>
      <c r="D343" s="591"/>
      <c r="E343" s="592"/>
      <c r="F343" s="593"/>
      <c r="G343" s="594"/>
      <c r="H343" s="595"/>
      <c r="I343" s="596"/>
      <c r="J343" s="597"/>
      <c r="K343" s="597"/>
      <c r="L343" s="597"/>
      <c r="M343" s="597"/>
      <c r="N343" s="597"/>
      <c r="O343" s="597"/>
      <c r="P343" s="597"/>
      <c r="Q343" s="597"/>
      <c r="R343" s="597"/>
      <c r="S343" s="597"/>
      <c r="T343" s="597"/>
      <c r="U343" s="597"/>
      <c r="V343" s="597"/>
      <c r="W343" s="597"/>
      <c r="X343" s="597"/>
      <c r="Y343" s="597"/>
      <c r="Z343" s="597"/>
      <c r="AA343" s="598"/>
      <c r="AB343" s="599"/>
      <c r="AC343" s="600"/>
      <c r="AD343" s="601"/>
      <c r="AE343" s="602"/>
      <c r="AF343" s="603"/>
      <c r="AG343" s="553">
        <v>0</v>
      </c>
      <c r="AH343" s="554"/>
      <c r="AI343" s="555" t="e">
        <v>#N/A</v>
      </c>
      <c r="AJ343" s="556"/>
      <c r="AK343" s="556"/>
      <c r="AL343" s="556"/>
      <c r="AM343" s="556"/>
      <c r="AN343" s="556"/>
      <c r="AO343" s="556"/>
      <c r="AP343" s="556"/>
      <c r="AQ343" s="556"/>
      <c r="AR343" s="556"/>
      <c r="AS343" s="556"/>
      <c r="AT343" s="556"/>
      <c r="AU343" s="556"/>
      <c r="AV343" s="557"/>
      <c r="AW343" s="558">
        <v>0</v>
      </c>
      <c r="AX343" s="559"/>
      <c r="AY343" s="560"/>
      <c r="AZ343" s="604"/>
      <c r="BA343" s="605"/>
      <c r="BB343" s="606"/>
      <c r="BC343" s="558">
        <v>0</v>
      </c>
      <c r="BD343" s="559"/>
      <c r="BE343" s="560"/>
      <c r="BF343" s="558">
        <v>182.49</v>
      </c>
      <c r="BG343" s="559"/>
      <c r="BH343" s="560"/>
      <c r="BI343" s="564">
        <v>0</v>
      </c>
      <c r="BJ343" s="565"/>
      <c r="BK343" s="565"/>
      <c r="BL343" s="566"/>
      <c r="BM343" s="567" t="s">
        <v>932</v>
      </c>
      <c r="BN343" s="567"/>
      <c r="BO343" s="567"/>
      <c r="BP343" s="567"/>
      <c r="BQ343" s="568" t="s">
        <v>932</v>
      </c>
      <c r="BR343" s="568"/>
      <c r="BS343" s="568"/>
      <c r="BT343" s="567" t="s">
        <v>932</v>
      </c>
      <c r="BU343" s="567"/>
      <c r="BV343" s="567"/>
      <c r="BW343" s="567"/>
      <c r="BX343" s="568" t="s">
        <v>932</v>
      </c>
      <c r="BY343" s="568"/>
      <c r="BZ343" s="568"/>
      <c r="CA343" s="567" t="s">
        <v>932</v>
      </c>
      <c r="CB343" s="567"/>
      <c r="CC343" s="567"/>
      <c r="CD343" s="567"/>
      <c r="CE343" s="568">
        <v>1</v>
      </c>
      <c r="CF343" s="568"/>
      <c r="CG343" s="568"/>
      <c r="CH343" s="567" t="s">
        <v>932</v>
      </c>
      <c r="CI343" s="567"/>
      <c r="CJ343" s="567"/>
      <c r="CK343" s="567"/>
      <c r="CL343" s="568" t="s">
        <v>932</v>
      </c>
      <c r="CM343" s="568"/>
      <c r="CN343" s="568"/>
    </row>
    <row r="344" hidden="1" customHeight="1" spans="1:92">
      <c r="A344" s="540" t="s">
        <v>983</v>
      </c>
      <c r="B344" s="541"/>
      <c r="C344" s="89"/>
      <c r="D344" s="91"/>
      <c r="E344" s="90"/>
      <c r="F344" s="542">
        <v>407819</v>
      </c>
      <c r="G344" s="543"/>
      <c r="H344" s="544"/>
      <c r="I344" s="545" t="s">
        <v>100</v>
      </c>
      <c r="J344" s="546"/>
      <c r="K344" s="546"/>
      <c r="L344" s="546"/>
      <c r="M344" s="546"/>
      <c r="N344" s="546"/>
      <c r="O344" s="546"/>
      <c r="P344" s="546"/>
      <c r="Q344" s="546"/>
      <c r="R344" s="546"/>
      <c r="S344" s="546"/>
      <c r="T344" s="546"/>
      <c r="U344" s="546"/>
      <c r="V344" s="546"/>
      <c r="W344" s="546"/>
      <c r="X344" s="546"/>
      <c r="Y344" s="546"/>
      <c r="Z344" s="546"/>
      <c r="AA344" s="547"/>
      <c r="AB344" s="548" t="s">
        <v>101</v>
      </c>
      <c r="AC344" s="549"/>
      <c r="AD344" s="550">
        <v>166.5</v>
      </c>
      <c r="AE344" s="551"/>
      <c r="AF344" s="552"/>
      <c r="AG344" s="553">
        <v>0</v>
      </c>
      <c r="AH344" s="554"/>
      <c r="AI344" s="555" t="e">
        <v>#N/A</v>
      </c>
      <c r="AJ344" s="556"/>
      <c r="AK344" s="556"/>
      <c r="AL344" s="556"/>
      <c r="AM344" s="556"/>
      <c r="AN344" s="556"/>
      <c r="AO344" s="556"/>
      <c r="AP344" s="556"/>
      <c r="AQ344" s="556"/>
      <c r="AR344" s="556"/>
      <c r="AS344" s="556"/>
      <c r="AT344" s="556"/>
      <c r="AU344" s="556"/>
      <c r="AV344" s="557"/>
      <c r="AW344" s="558">
        <v>0</v>
      </c>
      <c r="AX344" s="559"/>
      <c r="AY344" s="560"/>
      <c r="AZ344" s="561">
        <v>1</v>
      </c>
      <c r="BA344" s="562"/>
      <c r="BB344" s="563"/>
      <c r="BC344" s="558">
        <v>0</v>
      </c>
      <c r="BD344" s="559"/>
      <c r="BE344" s="560"/>
      <c r="BF344" s="558">
        <v>182.49</v>
      </c>
      <c r="BG344" s="559"/>
      <c r="BH344" s="560"/>
      <c r="BI344" s="564">
        <v>0</v>
      </c>
      <c r="BJ344" s="565"/>
      <c r="BK344" s="565"/>
      <c r="BL344" s="566"/>
      <c r="BM344" s="567" t="s">
        <v>932</v>
      </c>
      <c r="BN344" s="567"/>
      <c r="BO344" s="567"/>
      <c r="BP344" s="567"/>
      <c r="BQ344" s="568" t="s">
        <v>932</v>
      </c>
      <c r="BR344" s="568"/>
      <c r="BS344" s="568"/>
      <c r="BT344" s="567" t="s">
        <v>932</v>
      </c>
      <c r="BU344" s="567"/>
      <c r="BV344" s="567"/>
      <c r="BW344" s="567"/>
      <c r="BX344" s="568" t="s">
        <v>932</v>
      </c>
      <c r="BY344" s="568"/>
      <c r="BZ344" s="568"/>
      <c r="CA344" s="567" t="s">
        <v>932</v>
      </c>
      <c r="CB344" s="567"/>
      <c r="CC344" s="567"/>
      <c r="CD344" s="567"/>
      <c r="CE344" s="568">
        <v>1</v>
      </c>
      <c r="CF344" s="568"/>
      <c r="CG344" s="568"/>
      <c r="CH344" s="567" t="s">
        <v>932</v>
      </c>
      <c r="CI344" s="567"/>
      <c r="CJ344" s="567"/>
      <c r="CK344" s="567"/>
      <c r="CL344" s="568" t="s">
        <v>932</v>
      </c>
      <c r="CM344" s="568"/>
      <c r="CN344" s="568"/>
    </row>
    <row r="345" hidden="1" customHeight="1" spans="1:92">
      <c r="A345" s="569"/>
      <c r="B345" s="570"/>
      <c r="C345" s="571"/>
      <c r="D345" s="572"/>
      <c r="E345" s="573"/>
      <c r="F345" s="574"/>
      <c r="G345" s="575"/>
      <c r="H345" s="576"/>
      <c r="I345" s="577"/>
      <c r="J345" s="578"/>
      <c r="K345" s="578"/>
      <c r="L345" s="578"/>
      <c r="M345" s="578"/>
      <c r="N345" s="578"/>
      <c r="O345" s="578"/>
      <c r="P345" s="578"/>
      <c r="Q345" s="578"/>
      <c r="R345" s="578"/>
      <c r="S345" s="578"/>
      <c r="T345" s="578"/>
      <c r="U345" s="578"/>
      <c r="V345" s="578"/>
      <c r="W345" s="578"/>
      <c r="X345" s="578"/>
      <c r="Y345" s="578"/>
      <c r="Z345" s="578"/>
      <c r="AA345" s="579"/>
      <c r="AB345" s="580"/>
      <c r="AC345" s="581"/>
      <c r="AD345" s="582"/>
      <c r="AE345" s="583"/>
      <c r="AF345" s="584"/>
      <c r="AG345" s="553">
        <v>0</v>
      </c>
      <c r="AH345" s="554"/>
      <c r="AI345" s="555" t="e">
        <v>#N/A</v>
      </c>
      <c r="AJ345" s="556"/>
      <c r="AK345" s="556"/>
      <c r="AL345" s="556"/>
      <c r="AM345" s="556"/>
      <c r="AN345" s="556"/>
      <c r="AO345" s="556"/>
      <c r="AP345" s="556"/>
      <c r="AQ345" s="556"/>
      <c r="AR345" s="556"/>
      <c r="AS345" s="556"/>
      <c r="AT345" s="556"/>
      <c r="AU345" s="556"/>
      <c r="AV345" s="557"/>
      <c r="AW345" s="558">
        <v>0</v>
      </c>
      <c r="AX345" s="559"/>
      <c r="AY345" s="560"/>
      <c r="AZ345" s="585"/>
      <c r="BA345" s="586"/>
      <c r="BB345" s="587"/>
      <c r="BC345" s="558">
        <v>0</v>
      </c>
      <c r="BD345" s="559"/>
      <c r="BE345" s="560"/>
      <c r="BF345" s="558">
        <v>182.49</v>
      </c>
      <c r="BG345" s="559"/>
      <c r="BH345" s="560"/>
      <c r="BI345" s="564">
        <v>0</v>
      </c>
      <c r="BJ345" s="565"/>
      <c r="BK345" s="565"/>
      <c r="BL345" s="566"/>
      <c r="BM345" s="567" t="s">
        <v>932</v>
      </c>
      <c r="BN345" s="567"/>
      <c r="BO345" s="567"/>
      <c r="BP345" s="567"/>
      <c r="BQ345" s="568" t="s">
        <v>932</v>
      </c>
      <c r="BR345" s="568"/>
      <c r="BS345" s="568"/>
      <c r="BT345" s="567" t="s">
        <v>932</v>
      </c>
      <c r="BU345" s="567"/>
      <c r="BV345" s="567"/>
      <c r="BW345" s="567"/>
      <c r="BX345" s="568" t="s">
        <v>932</v>
      </c>
      <c r="BY345" s="568"/>
      <c r="BZ345" s="568"/>
      <c r="CA345" s="567" t="s">
        <v>932</v>
      </c>
      <c r="CB345" s="567"/>
      <c r="CC345" s="567"/>
      <c r="CD345" s="567"/>
      <c r="CE345" s="568">
        <v>1</v>
      </c>
      <c r="CF345" s="568"/>
      <c r="CG345" s="568"/>
      <c r="CH345" s="567" t="s">
        <v>932</v>
      </c>
      <c r="CI345" s="567"/>
      <c r="CJ345" s="567"/>
      <c r="CK345" s="567"/>
      <c r="CL345" s="568" t="s">
        <v>932</v>
      </c>
      <c r="CM345" s="568"/>
      <c r="CN345" s="568"/>
    </row>
    <row r="346" hidden="1" customHeight="1" spans="1:92">
      <c r="A346" s="569"/>
      <c r="B346" s="570"/>
      <c r="C346" s="571"/>
      <c r="D346" s="572"/>
      <c r="E346" s="573"/>
      <c r="F346" s="574"/>
      <c r="G346" s="575"/>
      <c r="H346" s="576"/>
      <c r="I346" s="577"/>
      <c r="J346" s="578"/>
      <c r="K346" s="578"/>
      <c r="L346" s="578"/>
      <c r="M346" s="578"/>
      <c r="N346" s="578"/>
      <c r="O346" s="578"/>
      <c r="P346" s="578"/>
      <c r="Q346" s="578"/>
      <c r="R346" s="578"/>
      <c r="S346" s="578"/>
      <c r="T346" s="578"/>
      <c r="U346" s="578"/>
      <c r="V346" s="578"/>
      <c r="W346" s="578"/>
      <c r="X346" s="578"/>
      <c r="Y346" s="578"/>
      <c r="Z346" s="578"/>
      <c r="AA346" s="579"/>
      <c r="AB346" s="580"/>
      <c r="AC346" s="581"/>
      <c r="AD346" s="582"/>
      <c r="AE346" s="583"/>
      <c r="AF346" s="584"/>
      <c r="AG346" s="553">
        <v>0</v>
      </c>
      <c r="AH346" s="554"/>
      <c r="AI346" s="555" t="e">
        <v>#N/A</v>
      </c>
      <c r="AJ346" s="556"/>
      <c r="AK346" s="556"/>
      <c r="AL346" s="556"/>
      <c r="AM346" s="556"/>
      <c r="AN346" s="556"/>
      <c r="AO346" s="556"/>
      <c r="AP346" s="556"/>
      <c r="AQ346" s="556"/>
      <c r="AR346" s="556"/>
      <c r="AS346" s="556"/>
      <c r="AT346" s="556"/>
      <c r="AU346" s="556"/>
      <c r="AV346" s="557"/>
      <c r="AW346" s="558">
        <v>0</v>
      </c>
      <c r="AX346" s="559"/>
      <c r="AY346" s="560"/>
      <c r="AZ346" s="585"/>
      <c r="BA346" s="586"/>
      <c r="BB346" s="587"/>
      <c r="BC346" s="558">
        <v>0</v>
      </c>
      <c r="BD346" s="559"/>
      <c r="BE346" s="560"/>
      <c r="BF346" s="558">
        <v>182.49</v>
      </c>
      <c r="BG346" s="559"/>
      <c r="BH346" s="560"/>
      <c r="BI346" s="564">
        <v>0</v>
      </c>
      <c r="BJ346" s="565"/>
      <c r="BK346" s="565"/>
      <c r="BL346" s="566"/>
      <c r="BM346" s="567" t="s">
        <v>932</v>
      </c>
      <c r="BN346" s="567"/>
      <c r="BO346" s="567"/>
      <c r="BP346" s="567"/>
      <c r="BQ346" s="568" t="s">
        <v>932</v>
      </c>
      <c r="BR346" s="568"/>
      <c r="BS346" s="568"/>
      <c r="BT346" s="567" t="s">
        <v>932</v>
      </c>
      <c r="BU346" s="567"/>
      <c r="BV346" s="567"/>
      <c r="BW346" s="567"/>
      <c r="BX346" s="568" t="s">
        <v>932</v>
      </c>
      <c r="BY346" s="568"/>
      <c r="BZ346" s="568"/>
      <c r="CA346" s="567" t="s">
        <v>932</v>
      </c>
      <c r="CB346" s="567"/>
      <c r="CC346" s="567"/>
      <c r="CD346" s="567"/>
      <c r="CE346" s="568">
        <v>1</v>
      </c>
      <c r="CF346" s="568"/>
      <c r="CG346" s="568"/>
      <c r="CH346" s="567" t="s">
        <v>932</v>
      </c>
      <c r="CI346" s="567"/>
      <c r="CJ346" s="567"/>
      <c r="CK346" s="567"/>
      <c r="CL346" s="568" t="s">
        <v>932</v>
      </c>
      <c r="CM346" s="568"/>
      <c r="CN346" s="568"/>
    </row>
    <row r="347" hidden="1" customHeight="1" spans="1:92">
      <c r="A347" s="569"/>
      <c r="B347" s="570"/>
      <c r="C347" s="571"/>
      <c r="D347" s="572"/>
      <c r="E347" s="573"/>
      <c r="F347" s="574"/>
      <c r="G347" s="575"/>
      <c r="H347" s="576"/>
      <c r="I347" s="577"/>
      <c r="J347" s="578"/>
      <c r="K347" s="578"/>
      <c r="L347" s="578"/>
      <c r="M347" s="578"/>
      <c r="N347" s="578"/>
      <c r="O347" s="578"/>
      <c r="P347" s="578"/>
      <c r="Q347" s="578"/>
      <c r="R347" s="578"/>
      <c r="S347" s="578"/>
      <c r="T347" s="578"/>
      <c r="U347" s="578"/>
      <c r="V347" s="578"/>
      <c r="W347" s="578"/>
      <c r="X347" s="578"/>
      <c r="Y347" s="578"/>
      <c r="Z347" s="578"/>
      <c r="AA347" s="579"/>
      <c r="AB347" s="580"/>
      <c r="AC347" s="581"/>
      <c r="AD347" s="582"/>
      <c r="AE347" s="583"/>
      <c r="AF347" s="584"/>
      <c r="AG347" s="553">
        <v>0</v>
      </c>
      <c r="AH347" s="554"/>
      <c r="AI347" s="555" t="e">
        <v>#N/A</v>
      </c>
      <c r="AJ347" s="556"/>
      <c r="AK347" s="556"/>
      <c r="AL347" s="556"/>
      <c r="AM347" s="556"/>
      <c r="AN347" s="556"/>
      <c r="AO347" s="556"/>
      <c r="AP347" s="556"/>
      <c r="AQ347" s="556"/>
      <c r="AR347" s="556"/>
      <c r="AS347" s="556"/>
      <c r="AT347" s="556"/>
      <c r="AU347" s="556"/>
      <c r="AV347" s="557"/>
      <c r="AW347" s="558">
        <v>0</v>
      </c>
      <c r="AX347" s="559"/>
      <c r="AY347" s="560"/>
      <c r="AZ347" s="585"/>
      <c r="BA347" s="586"/>
      <c r="BB347" s="587"/>
      <c r="BC347" s="558">
        <v>0</v>
      </c>
      <c r="BD347" s="559"/>
      <c r="BE347" s="560"/>
      <c r="BF347" s="558">
        <v>182.49</v>
      </c>
      <c r="BG347" s="559"/>
      <c r="BH347" s="560"/>
      <c r="BI347" s="564">
        <v>0</v>
      </c>
      <c r="BJ347" s="565"/>
      <c r="BK347" s="565"/>
      <c r="BL347" s="566"/>
      <c r="BM347" s="567" t="s">
        <v>932</v>
      </c>
      <c r="BN347" s="567"/>
      <c r="BO347" s="567"/>
      <c r="BP347" s="567"/>
      <c r="BQ347" s="568" t="s">
        <v>932</v>
      </c>
      <c r="BR347" s="568"/>
      <c r="BS347" s="568"/>
      <c r="BT347" s="567" t="s">
        <v>932</v>
      </c>
      <c r="BU347" s="567"/>
      <c r="BV347" s="567"/>
      <c r="BW347" s="567"/>
      <c r="BX347" s="568" t="s">
        <v>932</v>
      </c>
      <c r="BY347" s="568"/>
      <c r="BZ347" s="568"/>
      <c r="CA347" s="567" t="s">
        <v>932</v>
      </c>
      <c r="CB347" s="567"/>
      <c r="CC347" s="567"/>
      <c r="CD347" s="567"/>
      <c r="CE347" s="568">
        <v>1</v>
      </c>
      <c r="CF347" s="568"/>
      <c r="CG347" s="568"/>
      <c r="CH347" s="567" t="s">
        <v>932</v>
      </c>
      <c r="CI347" s="567"/>
      <c r="CJ347" s="567"/>
      <c r="CK347" s="567"/>
      <c r="CL347" s="568" t="s">
        <v>932</v>
      </c>
      <c r="CM347" s="568"/>
      <c r="CN347" s="568"/>
    </row>
    <row r="348" hidden="1" customHeight="1" spans="1:92">
      <c r="A348" s="569"/>
      <c r="B348" s="570"/>
      <c r="C348" s="571"/>
      <c r="D348" s="572"/>
      <c r="E348" s="573"/>
      <c r="F348" s="574"/>
      <c r="G348" s="575"/>
      <c r="H348" s="576"/>
      <c r="I348" s="577"/>
      <c r="J348" s="578"/>
      <c r="K348" s="578"/>
      <c r="L348" s="578"/>
      <c r="M348" s="578"/>
      <c r="N348" s="578"/>
      <c r="O348" s="578"/>
      <c r="P348" s="578"/>
      <c r="Q348" s="578"/>
      <c r="R348" s="578"/>
      <c r="S348" s="578"/>
      <c r="T348" s="578"/>
      <c r="U348" s="578"/>
      <c r="V348" s="578"/>
      <c r="W348" s="578"/>
      <c r="X348" s="578"/>
      <c r="Y348" s="578"/>
      <c r="Z348" s="578"/>
      <c r="AA348" s="579"/>
      <c r="AB348" s="580"/>
      <c r="AC348" s="581"/>
      <c r="AD348" s="582"/>
      <c r="AE348" s="583"/>
      <c r="AF348" s="584"/>
      <c r="AG348" s="553">
        <v>0</v>
      </c>
      <c r="AH348" s="554"/>
      <c r="AI348" s="555" t="e">
        <v>#N/A</v>
      </c>
      <c r="AJ348" s="556"/>
      <c r="AK348" s="556"/>
      <c r="AL348" s="556"/>
      <c r="AM348" s="556"/>
      <c r="AN348" s="556"/>
      <c r="AO348" s="556"/>
      <c r="AP348" s="556"/>
      <c r="AQ348" s="556"/>
      <c r="AR348" s="556"/>
      <c r="AS348" s="556"/>
      <c r="AT348" s="556"/>
      <c r="AU348" s="556"/>
      <c r="AV348" s="557"/>
      <c r="AW348" s="558">
        <v>0</v>
      </c>
      <c r="AX348" s="559"/>
      <c r="AY348" s="560"/>
      <c r="AZ348" s="585"/>
      <c r="BA348" s="586"/>
      <c r="BB348" s="587"/>
      <c r="BC348" s="558">
        <v>0</v>
      </c>
      <c r="BD348" s="559"/>
      <c r="BE348" s="560"/>
      <c r="BF348" s="558">
        <v>182.49</v>
      </c>
      <c r="BG348" s="559"/>
      <c r="BH348" s="560"/>
      <c r="BI348" s="564">
        <v>0</v>
      </c>
      <c r="BJ348" s="565"/>
      <c r="BK348" s="565"/>
      <c r="BL348" s="566"/>
      <c r="BM348" s="567" t="s">
        <v>932</v>
      </c>
      <c r="BN348" s="567"/>
      <c r="BO348" s="567"/>
      <c r="BP348" s="567"/>
      <c r="BQ348" s="568" t="s">
        <v>932</v>
      </c>
      <c r="BR348" s="568"/>
      <c r="BS348" s="568"/>
      <c r="BT348" s="567" t="s">
        <v>932</v>
      </c>
      <c r="BU348" s="567"/>
      <c r="BV348" s="567"/>
      <c r="BW348" s="567"/>
      <c r="BX348" s="568" t="s">
        <v>932</v>
      </c>
      <c r="BY348" s="568"/>
      <c r="BZ348" s="568"/>
      <c r="CA348" s="567" t="s">
        <v>932</v>
      </c>
      <c r="CB348" s="567"/>
      <c r="CC348" s="567"/>
      <c r="CD348" s="567"/>
      <c r="CE348" s="568">
        <v>1</v>
      </c>
      <c r="CF348" s="568"/>
      <c r="CG348" s="568"/>
      <c r="CH348" s="567" t="s">
        <v>932</v>
      </c>
      <c r="CI348" s="567"/>
      <c r="CJ348" s="567"/>
      <c r="CK348" s="567"/>
      <c r="CL348" s="568" t="s">
        <v>932</v>
      </c>
      <c r="CM348" s="568"/>
      <c r="CN348" s="568"/>
    </row>
    <row r="349" hidden="1" customHeight="1" spans="1:92">
      <c r="A349" s="569"/>
      <c r="B349" s="570"/>
      <c r="C349" s="571"/>
      <c r="D349" s="572"/>
      <c r="E349" s="573"/>
      <c r="F349" s="574"/>
      <c r="G349" s="575"/>
      <c r="H349" s="576"/>
      <c r="I349" s="577"/>
      <c r="J349" s="578"/>
      <c r="K349" s="578"/>
      <c r="L349" s="578"/>
      <c r="M349" s="578"/>
      <c r="N349" s="578"/>
      <c r="O349" s="578"/>
      <c r="P349" s="578"/>
      <c r="Q349" s="578"/>
      <c r="R349" s="578"/>
      <c r="S349" s="578"/>
      <c r="T349" s="578"/>
      <c r="U349" s="578"/>
      <c r="V349" s="578"/>
      <c r="W349" s="578"/>
      <c r="X349" s="578"/>
      <c r="Y349" s="578"/>
      <c r="Z349" s="578"/>
      <c r="AA349" s="579"/>
      <c r="AB349" s="580"/>
      <c r="AC349" s="581"/>
      <c r="AD349" s="582"/>
      <c r="AE349" s="583"/>
      <c r="AF349" s="584"/>
      <c r="AG349" s="553">
        <v>0</v>
      </c>
      <c r="AH349" s="554"/>
      <c r="AI349" s="555" t="e">
        <v>#N/A</v>
      </c>
      <c r="AJ349" s="556"/>
      <c r="AK349" s="556"/>
      <c r="AL349" s="556"/>
      <c r="AM349" s="556"/>
      <c r="AN349" s="556"/>
      <c r="AO349" s="556"/>
      <c r="AP349" s="556"/>
      <c r="AQ349" s="556"/>
      <c r="AR349" s="556"/>
      <c r="AS349" s="556"/>
      <c r="AT349" s="556"/>
      <c r="AU349" s="556"/>
      <c r="AV349" s="557"/>
      <c r="AW349" s="558">
        <v>0</v>
      </c>
      <c r="AX349" s="559"/>
      <c r="AY349" s="560"/>
      <c r="AZ349" s="585"/>
      <c r="BA349" s="586"/>
      <c r="BB349" s="587"/>
      <c r="BC349" s="558">
        <v>0</v>
      </c>
      <c r="BD349" s="559"/>
      <c r="BE349" s="560"/>
      <c r="BF349" s="558">
        <v>182.49</v>
      </c>
      <c r="BG349" s="559"/>
      <c r="BH349" s="560"/>
      <c r="BI349" s="564">
        <v>0</v>
      </c>
      <c r="BJ349" s="565"/>
      <c r="BK349" s="565"/>
      <c r="BL349" s="566"/>
      <c r="BM349" s="567" t="s">
        <v>932</v>
      </c>
      <c r="BN349" s="567"/>
      <c r="BO349" s="567"/>
      <c r="BP349" s="567"/>
      <c r="BQ349" s="568" t="s">
        <v>932</v>
      </c>
      <c r="BR349" s="568"/>
      <c r="BS349" s="568"/>
      <c r="BT349" s="567" t="s">
        <v>932</v>
      </c>
      <c r="BU349" s="567"/>
      <c r="BV349" s="567"/>
      <c r="BW349" s="567"/>
      <c r="BX349" s="568" t="s">
        <v>932</v>
      </c>
      <c r="BY349" s="568"/>
      <c r="BZ349" s="568"/>
      <c r="CA349" s="567" t="s">
        <v>932</v>
      </c>
      <c r="CB349" s="567"/>
      <c r="CC349" s="567"/>
      <c r="CD349" s="567"/>
      <c r="CE349" s="568">
        <v>1</v>
      </c>
      <c r="CF349" s="568"/>
      <c r="CG349" s="568"/>
      <c r="CH349" s="567" t="s">
        <v>932</v>
      </c>
      <c r="CI349" s="567"/>
      <c r="CJ349" s="567"/>
      <c r="CK349" s="567"/>
      <c r="CL349" s="568" t="s">
        <v>932</v>
      </c>
      <c r="CM349" s="568"/>
      <c r="CN349" s="568"/>
    </row>
    <row r="350" hidden="1" customHeight="1" spans="1:92">
      <c r="A350" s="569"/>
      <c r="B350" s="570"/>
      <c r="C350" s="571"/>
      <c r="D350" s="572"/>
      <c r="E350" s="573"/>
      <c r="F350" s="574"/>
      <c r="G350" s="575"/>
      <c r="H350" s="576"/>
      <c r="I350" s="577"/>
      <c r="J350" s="578"/>
      <c r="K350" s="578"/>
      <c r="L350" s="578"/>
      <c r="M350" s="578"/>
      <c r="N350" s="578"/>
      <c r="O350" s="578"/>
      <c r="P350" s="578"/>
      <c r="Q350" s="578"/>
      <c r="R350" s="578"/>
      <c r="S350" s="578"/>
      <c r="T350" s="578"/>
      <c r="U350" s="578"/>
      <c r="V350" s="578"/>
      <c r="W350" s="578"/>
      <c r="X350" s="578"/>
      <c r="Y350" s="578"/>
      <c r="Z350" s="578"/>
      <c r="AA350" s="579"/>
      <c r="AB350" s="580"/>
      <c r="AC350" s="581"/>
      <c r="AD350" s="582"/>
      <c r="AE350" s="583"/>
      <c r="AF350" s="584"/>
      <c r="AG350" s="553">
        <v>0</v>
      </c>
      <c r="AH350" s="554"/>
      <c r="AI350" s="555" t="e">
        <v>#N/A</v>
      </c>
      <c r="AJ350" s="556"/>
      <c r="AK350" s="556"/>
      <c r="AL350" s="556"/>
      <c r="AM350" s="556"/>
      <c r="AN350" s="556"/>
      <c r="AO350" s="556"/>
      <c r="AP350" s="556"/>
      <c r="AQ350" s="556"/>
      <c r="AR350" s="556"/>
      <c r="AS350" s="556"/>
      <c r="AT350" s="556"/>
      <c r="AU350" s="556"/>
      <c r="AV350" s="557"/>
      <c r="AW350" s="558">
        <v>0</v>
      </c>
      <c r="AX350" s="559"/>
      <c r="AY350" s="560"/>
      <c r="AZ350" s="585"/>
      <c r="BA350" s="586"/>
      <c r="BB350" s="587"/>
      <c r="BC350" s="558">
        <v>0</v>
      </c>
      <c r="BD350" s="559"/>
      <c r="BE350" s="560"/>
      <c r="BF350" s="558">
        <v>182.49</v>
      </c>
      <c r="BG350" s="559"/>
      <c r="BH350" s="560"/>
      <c r="BI350" s="564">
        <v>0</v>
      </c>
      <c r="BJ350" s="565"/>
      <c r="BK350" s="565"/>
      <c r="BL350" s="566"/>
      <c r="BM350" s="567" t="s">
        <v>932</v>
      </c>
      <c r="BN350" s="567"/>
      <c r="BO350" s="567"/>
      <c r="BP350" s="567"/>
      <c r="BQ350" s="568" t="s">
        <v>932</v>
      </c>
      <c r="BR350" s="568"/>
      <c r="BS350" s="568"/>
      <c r="BT350" s="567" t="s">
        <v>932</v>
      </c>
      <c r="BU350" s="567"/>
      <c r="BV350" s="567"/>
      <c r="BW350" s="567"/>
      <c r="BX350" s="568" t="s">
        <v>932</v>
      </c>
      <c r="BY350" s="568"/>
      <c r="BZ350" s="568"/>
      <c r="CA350" s="567" t="s">
        <v>932</v>
      </c>
      <c r="CB350" s="567"/>
      <c r="CC350" s="567"/>
      <c r="CD350" s="567"/>
      <c r="CE350" s="568">
        <v>1</v>
      </c>
      <c r="CF350" s="568"/>
      <c r="CG350" s="568"/>
      <c r="CH350" s="567" t="s">
        <v>932</v>
      </c>
      <c r="CI350" s="567"/>
      <c r="CJ350" s="567"/>
      <c r="CK350" s="567"/>
      <c r="CL350" s="568" t="s">
        <v>932</v>
      </c>
      <c r="CM350" s="568"/>
      <c r="CN350" s="568"/>
    </row>
    <row r="351" hidden="1" customHeight="1" spans="1:92">
      <c r="A351" s="588"/>
      <c r="B351" s="589"/>
      <c r="C351" s="590"/>
      <c r="D351" s="591"/>
      <c r="E351" s="592"/>
      <c r="F351" s="593"/>
      <c r="G351" s="594"/>
      <c r="H351" s="595"/>
      <c r="I351" s="596"/>
      <c r="J351" s="597"/>
      <c r="K351" s="597"/>
      <c r="L351" s="597"/>
      <c r="M351" s="597"/>
      <c r="N351" s="597"/>
      <c r="O351" s="597"/>
      <c r="P351" s="597"/>
      <c r="Q351" s="597"/>
      <c r="R351" s="597"/>
      <c r="S351" s="597"/>
      <c r="T351" s="597"/>
      <c r="U351" s="597"/>
      <c r="V351" s="597"/>
      <c r="W351" s="597"/>
      <c r="X351" s="597"/>
      <c r="Y351" s="597"/>
      <c r="Z351" s="597"/>
      <c r="AA351" s="598"/>
      <c r="AB351" s="599"/>
      <c r="AC351" s="600"/>
      <c r="AD351" s="601"/>
      <c r="AE351" s="602"/>
      <c r="AF351" s="603"/>
      <c r="AG351" s="553">
        <v>0</v>
      </c>
      <c r="AH351" s="554"/>
      <c r="AI351" s="555" t="e">
        <v>#N/A</v>
      </c>
      <c r="AJ351" s="556"/>
      <c r="AK351" s="556"/>
      <c r="AL351" s="556"/>
      <c r="AM351" s="556"/>
      <c r="AN351" s="556"/>
      <c r="AO351" s="556"/>
      <c r="AP351" s="556"/>
      <c r="AQ351" s="556"/>
      <c r="AR351" s="556"/>
      <c r="AS351" s="556"/>
      <c r="AT351" s="556"/>
      <c r="AU351" s="556"/>
      <c r="AV351" s="557"/>
      <c r="AW351" s="558">
        <v>0</v>
      </c>
      <c r="AX351" s="559"/>
      <c r="AY351" s="560"/>
      <c r="AZ351" s="604"/>
      <c r="BA351" s="605"/>
      <c r="BB351" s="606"/>
      <c r="BC351" s="558">
        <v>0</v>
      </c>
      <c r="BD351" s="559"/>
      <c r="BE351" s="560"/>
      <c r="BF351" s="558">
        <v>182.49</v>
      </c>
      <c r="BG351" s="559"/>
      <c r="BH351" s="560"/>
      <c r="BI351" s="564">
        <v>0</v>
      </c>
      <c r="BJ351" s="565"/>
      <c r="BK351" s="565"/>
      <c r="BL351" s="566"/>
      <c r="BM351" s="567" t="s">
        <v>932</v>
      </c>
      <c r="BN351" s="567"/>
      <c r="BO351" s="567"/>
      <c r="BP351" s="567"/>
      <c r="BQ351" s="568" t="s">
        <v>932</v>
      </c>
      <c r="BR351" s="568"/>
      <c r="BS351" s="568"/>
      <c r="BT351" s="567" t="s">
        <v>932</v>
      </c>
      <c r="BU351" s="567"/>
      <c r="BV351" s="567"/>
      <c r="BW351" s="567"/>
      <c r="BX351" s="568" t="s">
        <v>932</v>
      </c>
      <c r="BY351" s="568"/>
      <c r="BZ351" s="568"/>
      <c r="CA351" s="567" t="s">
        <v>932</v>
      </c>
      <c r="CB351" s="567"/>
      <c r="CC351" s="567"/>
      <c r="CD351" s="567"/>
      <c r="CE351" s="568">
        <v>1</v>
      </c>
      <c r="CF351" s="568"/>
      <c r="CG351" s="568"/>
      <c r="CH351" s="567" t="s">
        <v>932</v>
      </c>
      <c r="CI351" s="567"/>
      <c r="CJ351" s="567"/>
      <c r="CK351" s="567"/>
      <c r="CL351" s="568" t="s">
        <v>932</v>
      </c>
      <c r="CM351" s="568"/>
      <c r="CN351" s="568"/>
    </row>
    <row r="352" customHeight="1" spans="1:92">
      <c r="A352" s="540" t="s">
        <v>984</v>
      </c>
      <c r="B352" s="541"/>
      <c r="C352" s="89"/>
      <c r="D352" s="91"/>
      <c r="E352" s="90"/>
      <c r="F352" s="542">
        <v>1100657</v>
      </c>
      <c r="G352" s="543"/>
      <c r="H352" s="544"/>
      <c r="I352" s="545" t="s">
        <v>114</v>
      </c>
      <c r="J352" s="546"/>
      <c r="K352" s="546"/>
      <c r="L352" s="546"/>
      <c r="M352" s="546"/>
      <c r="N352" s="546"/>
      <c r="O352" s="546"/>
      <c r="P352" s="546"/>
      <c r="Q352" s="546"/>
      <c r="R352" s="546"/>
      <c r="S352" s="546"/>
      <c r="T352" s="546"/>
      <c r="U352" s="546"/>
      <c r="V352" s="546"/>
      <c r="W352" s="546"/>
      <c r="X352" s="546"/>
      <c r="Y352" s="546"/>
      <c r="Z352" s="546"/>
      <c r="AA352" s="547"/>
      <c r="AB352" s="548" t="s">
        <v>99</v>
      </c>
      <c r="AC352" s="549"/>
      <c r="AD352" s="550">
        <v>0.12</v>
      </c>
      <c r="AE352" s="551"/>
      <c r="AF352" s="552"/>
      <c r="AG352" s="553" t="s">
        <v>1080</v>
      </c>
      <c r="AH352" s="554"/>
      <c r="AI352" s="555" t="s">
        <v>1081</v>
      </c>
      <c r="AJ352" s="556"/>
      <c r="AK352" s="556"/>
      <c r="AL352" s="556"/>
      <c r="AM352" s="556"/>
      <c r="AN352" s="556"/>
      <c r="AO352" s="556"/>
      <c r="AP352" s="556"/>
      <c r="AQ352" s="556"/>
      <c r="AR352" s="556"/>
      <c r="AS352" s="556"/>
      <c r="AT352" s="556"/>
      <c r="AU352" s="556"/>
      <c r="AV352" s="557"/>
      <c r="AW352" s="558">
        <v>1</v>
      </c>
      <c r="AX352" s="559"/>
      <c r="AY352" s="560"/>
      <c r="AZ352" s="561">
        <v>9</v>
      </c>
      <c r="BA352" s="562"/>
      <c r="BB352" s="563"/>
      <c r="BC352" s="558">
        <v>0.0133333333333333</v>
      </c>
      <c r="BD352" s="559"/>
      <c r="BE352" s="560"/>
      <c r="BF352" s="558">
        <v>182.49</v>
      </c>
      <c r="BG352" s="559"/>
      <c r="BH352" s="560"/>
      <c r="BI352" s="564">
        <v>7.30633642026047e-5</v>
      </c>
      <c r="BJ352" s="565"/>
      <c r="BK352" s="565"/>
      <c r="BL352" s="566"/>
      <c r="BM352" s="567" t="s">
        <v>932</v>
      </c>
      <c r="BN352" s="567"/>
      <c r="BO352" s="567"/>
      <c r="BP352" s="567"/>
      <c r="BQ352" s="568" t="s">
        <v>932</v>
      </c>
      <c r="BR352" s="568"/>
      <c r="BS352" s="568"/>
      <c r="BT352" s="567" t="s">
        <v>932</v>
      </c>
      <c r="BU352" s="567"/>
      <c r="BV352" s="567"/>
      <c r="BW352" s="567"/>
      <c r="BX352" s="568" t="s">
        <v>932</v>
      </c>
      <c r="BY352" s="568"/>
      <c r="BZ352" s="568"/>
      <c r="CA352" s="567">
        <v>7.30633642026047e-5</v>
      </c>
      <c r="CB352" s="567"/>
      <c r="CC352" s="567"/>
      <c r="CD352" s="567"/>
      <c r="CE352" s="568">
        <v>1</v>
      </c>
      <c r="CF352" s="568"/>
      <c r="CG352" s="568"/>
      <c r="CH352" s="567" t="s">
        <v>932</v>
      </c>
      <c r="CI352" s="567"/>
      <c r="CJ352" s="567"/>
      <c r="CK352" s="567"/>
      <c r="CL352" s="568" t="s">
        <v>932</v>
      </c>
      <c r="CM352" s="568"/>
      <c r="CN352" s="568"/>
    </row>
    <row r="353" hidden="1" customHeight="1" spans="1:92">
      <c r="A353" s="569"/>
      <c r="B353" s="570"/>
      <c r="C353" s="571"/>
      <c r="D353" s="572"/>
      <c r="E353" s="573"/>
      <c r="F353" s="574"/>
      <c r="G353" s="575"/>
      <c r="H353" s="576"/>
      <c r="I353" s="577"/>
      <c r="J353" s="578"/>
      <c r="K353" s="578"/>
      <c r="L353" s="578"/>
      <c r="M353" s="578"/>
      <c r="N353" s="578"/>
      <c r="O353" s="578"/>
      <c r="P353" s="578"/>
      <c r="Q353" s="578"/>
      <c r="R353" s="578"/>
      <c r="S353" s="578"/>
      <c r="T353" s="578"/>
      <c r="U353" s="578"/>
      <c r="V353" s="578"/>
      <c r="W353" s="578"/>
      <c r="X353" s="578"/>
      <c r="Y353" s="578"/>
      <c r="Z353" s="578"/>
      <c r="AA353" s="579"/>
      <c r="AB353" s="580"/>
      <c r="AC353" s="581"/>
      <c r="AD353" s="582"/>
      <c r="AE353" s="583"/>
      <c r="AF353" s="584"/>
      <c r="AG353" s="553">
        <v>0</v>
      </c>
      <c r="AH353" s="554"/>
      <c r="AI353" s="555" t="e">
        <v>#N/A</v>
      </c>
      <c r="AJ353" s="556"/>
      <c r="AK353" s="556"/>
      <c r="AL353" s="556"/>
      <c r="AM353" s="556"/>
      <c r="AN353" s="556"/>
      <c r="AO353" s="556"/>
      <c r="AP353" s="556"/>
      <c r="AQ353" s="556"/>
      <c r="AR353" s="556"/>
      <c r="AS353" s="556"/>
      <c r="AT353" s="556"/>
      <c r="AU353" s="556"/>
      <c r="AV353" s="557"/>
      <c r="AW353" s="558">
        <v>0</v>
      </c>
      <c r="AX353" s="559"/>
      <c r="AY353" s="560"/>
      <c r="AZ353" s="585"/>
      <c r="BA353" s="586"/>
      <c r="BB353" s="587"/>
      <c r="BC353" s="558">
        <v>0</v>
      </c>
      <c r="BD353" s="559"/>
      <c r="BE353" s="560"/>
      <c r="BF353" s="558">
        <v>182.49</v>
      </c>
      <c r="BG353" s="559"/>
      <c r="BH353" s="560"/>
      <c r="BI353" s="564">
        <v>0</v>
      </c>
      <c r="BJ353" s="565"/>
      <c r="BK353" s="565"/>
      <c r="BL353" s="566"/>
      <c r="BM353" s="567" t="s">
        <v>932</v>
      </c>
      <c r="BN353" s="567"/>
      <c r="BO353" s="567"/>
      <c r="BP353" s="567"/>
      <c r="BQ353" s="568" t="s">
        <v>932</v>
      </c>
      <c r="BR353" s="568"/>
      <c r="BS353" s="568"/>
      <c r="BT353" s="567" t="s">
        <v>932</v>
      </c>
      <c r="BU353" s="567"/>
      <c r="BV353" s="567"/>
      <c r="BW353" s="567"/>
      <c r="BX353" s="568" t="s">
        <v>932</v>
      </c>
      <c r="BY353" s="568"/>
      <c r="BZ353" s="568"/>
      <c r="CA353" s="567" t="s">
        <v>932</v>
      </c>
      <c r="CB353" s="567"/>
      <c r="CC353" s="567"/>
      <c r="CD353" s="567"/>
      <c r="CE353" s="568">
        <v>1</v>
      </c>
      <c r="CF353" s="568"/>
      <c r="CG353" s="568"/>
      <c r="CH353" s="567" t="s">
        <v>932</v>
      </c>
      <c r="CI353" s="567"/>
      <c r="CJ353" s="567"/>
      <c r="CK353" s="567"/>
      <c r="CL353" s="568" t="s">
        <v>932</v>
      </c>
      <c r="CM353" s="568"/>
      <c r="CN353" s="568"/>
    </row>
    <row r="354" hidden="1" customHeight="1" spans="1:92">
      <c r="A354" s="569"/>
      <c r="B354" s="570"/>
      <c r="C354" s="571"/>
      <c r="D354" s="572"/>
      <c r="E354" s="573"/>
      <c r="F354" s="574"/>
      <c r="G354" s="575"/>
      <c r="H354" s="576"/>
      <c r="I354" s="577"/>
      <c r="J354" s="578"/>
      <c r="K354" s="578"/>
      <c r="L354" s="578"/>
      <c r="M354" s="578"/>
      <c r="N354" s="578"/>
      <c r="O354" s="578"/>
      <c r="P354" s="578"/>
      <c r="Q354" s="578"/>
      <c r="R354" s="578"/>
      <c r="S354" s="578"/>
      <c r="T354" s="578"/>
      <c r="U354" s="578"/>
      <c r="V354" s="578"/>
      <c r="W354" s="578"/>
      <c r="X354" s="578"/>
      <c r="Y354" s="578"/>
      <c r="Z354" s="578"/>
      <c r="AA354" s="579"/>
      <c r="AB354" s="580"/>
      <c r="AC354" s="581"/>
      <c r="AD354" s="582"/>
      <c r="AE354" s="583"/>
      <c r="AF354" s="584"/>
      <c r="AG354" s="553">
        <v>0</v>
      </c>
      <c r="AH354" s="554"/>
      <c r="AI354" s="555" t="e">
        <v>#N/A</v>
      </c>
      <c r="AJ354" s="556"/>
      <c r="AK354" s="556"/>
      <c r="AL354" s="556"/>
      <c r="AM354" s="556"/>
      <c r="AN354" s="556"/>
      <c r="AO354" s="556"/>
      <c r="AP354" s="556"/>
      <c r="AQ354" s="556"/>
      <c r="AR354" s="556"/>
      <c r="AS354" s="556"/>
      <c r="AT354" s="556"/>
      <c r="AU354" s="556"/>
      <c r="AV354" s="557"/>
      <c r="AW354" s="558">
        <v>0</v>
      </c>
      <c r="AX354" s="559"/>
      <c r="AY354" s="560"/>
      <c r="AZ354" s="585"/>
      <c r="BA354" s="586"/>
      <c r="BB354" s="587"/>
      <c r="BC354" s="558">
        <v>0</v>
      </c>
      <c r="BD354" s="559"/>
      <c r="BE354" s="560"/>
      <c r="BF354" s="558">
        <v>182.49</v>
      </c>
      <c r="BG354" s="559"/>
      <c r="BH354" s="560"/>
      <c r="BI354" s="564">
        <v>0</v>
      </c>
      <c r="BJ354" s="565"/>
      <c r="BK354" s="565"/>
      <c r="BL354" s="566"/>
      <c r="BM354" s="567" t="s">
        <v>932</v>
      </c>
      <c r="BN354" s="567"/>
      <c r="BO354" s="567"/>
      <c r="BP354" s="567"/>
      <c r="BQ354" s="568" t="s">
        <v>932</v>
      </c>
      <c r="BR354" s="568"/>
      <c r="BS354" s="568"/>
      <c r="BT354" s="567" t="s">
        <v>932</v>
      </c>
      <c r="BU354" s="567"/>
      <c r="BV354" s="567"/>
      <c r="BW354" s="567"/>
      <c r="BX354" s="568" t="s">
        <v>932</v>
      </c>
      <c r="BY354" s="568"/>
      <c r="BZ354" s="568"/>
      <c r="CA354" s="567" t="s">
        <v>932</v>
      </c>
      <c r="CB354" s="567"/>
      <c r="CC354" s="567"/>
      <c r="CD354" s="567"/>
      <c r="CE354" s="568">
        <v>1</v>
      </c>
      <c r="CF354" s="568"/>
      <c r="CG354" s="568"/>
      <c r="CH354" s="567" t="s">
        <v>932</v>
      </c>
      <c r="CI354" s="567"/>
      <c r="CJ354" s="567"/>
      <c r="CK354" s="567"/>
      <c r="CL354" s="568" t="s">
        <v>932</v>
      </c>
      <c r="CM354" s="568"/>
      <c r="CN354" s="568"/>
    </row>
    <row r="355" hidden="1" customHeight="1" spans="1:92">
      <c r="A355" s="569"/>
      <c r="B355" s="570"/>
      <c r="C355" s="571"/>
      <c r="D355" s="572"/>
      <c r="E355" s="573"/>
      <c r="F355" s="574"/>
      <c r="G355" s="575"/>
      <c r="H355" s="576"/>
      <c r="I355" s="577"/>
      <c r="J355" s="578"/>
      <c r="K355" s="578"/>
      <c r="L355" s="578"/>
      <c r="M355" s="578"/>
      <c r="N355" s="578"/>
      <c r="O355" s="578"/>
      <c r="P355" s="578"/>
      <c r="Q355" s="578"/>
      <c r="R355" s="578"/>
      <c r="S355" s="578"/>
      <c r="T355" s="578"/>
      <c r="U355" s="578"/>
      <c r="V355" s="578"/>
      <c r="W355" s="578"/>
      <c r="X355" s="578"/>
      <c r="Y355" s="578"/>
      <c r="Z355" s="578"/>
      <c r="AA355" s="579"/>
      <c r="AB355" s="580"/>
      <c r="AC355" s="581"/>
      <c r="AD355" s="582"/>
      <c r="AE355" s="583"/>
      <c r="AF355" s="584"/>
      <c r="AG355" s="553">
        <v>0</v>
      </c>
      <c r="AH355" s="554"/>
      <c r="AI355" s="555" t="e">
        <v>#N/A</v>
      </c>
      <c r="AJ355" s="556"/>
      <c r="AK355" s="556"/>
      <c r="AL355" s="556"/>
      <c r="AM355" s="556"/>
      <c r="AN355" s="556"/>
      <c r="AO355" s="556"/>
      <c r="AP355" s="556"/>
      <c r="AQ355" s="556"/>
      <c r="AR355" s="556"/>
      <c r="AS355" s="556"/>
      <c r="AT355" s="556"/>
      <c r="AU355" s="556"/>
      <c r="AV355" s="557"/>
      <c r="AW355" s="558">
        <v>0</v>
      </c>
      <c r="AX355" s="559"/>
      <c r="AY355" s="560"/>
      <c r="AZ355" s="585"/>
      <c r="BA355" s="586"/>
      <c r="BB355" s="587"/>
      <c r="BC355" s="558">
        <v>0</v>
      </c>
      <c r="BD355" s="559"/>
      <c r="BE355" s="560"/>
      <c r="BF355" s="558">
        <v>182.49</v>
      </c>
      <c r="BG355" s="559"/>
      <c r="BH355" s="560"/>
      <c r="BI355" s="564">
        <v>0</v>
      </c>
      <c r="BJ355" s="565"/>
      <c r="BK355" s="565"/>
      <c r="BL355" s="566"/>
      <c r="BM355" s="567" t="s">
        <v>932</v>
      </c>
      <c r="BN355" s="567"/>
      <c r="BO355" s="567"/>
      <c r="BP355" s="567"/>
      <c r="BQ355" s="568" t="s">
        <v>932</v>
      </c>
      <c r="BR355" s="568"/>
      <c r="BS355" s="568"/>
      <c r="BT355" s="567" t="s">
        <v>932</v>
      </c>
      <c r="BU355" s="567"/>
      <c r="BV355" s="567"/>
      <c r="BW355" s="567"/>
      <c r="BX355" s="568" t="s">
        <v>932</v>
      </c>
      <c r="BY355" s="568"/>
      <c r="BZ355" s="568"/>
      <c r="CA355" s="567" t="s">
        <v>932</v>
      </c>
      <c r="CB355" s="567"/>
      <c r="CC355" s="567"/>
      <c r="CD355" s="567"/>
      <c r="CE355" s="568">
        <v>1</v>
      </c>
      <c r="CF355" s="568"/>
      <c r="CG355" s="568"/>
      <c r="CH355" s="567" t="s">
        <v>932</v>
      </c>
      <c r="CI355" s="567"/>
      <c r="CJ355" s="567"/>
      <c r="CK355" s="567"/>
      <c r="CL355" s="568" t="s">
        <v>932</v>
      </c>
      <c r="CM355" s="568"/>
      <c r="CN355" s="568"/>
    </row>
    <row r="356" hidden="1" customHeight="1" spans="1:92">
      <c r="A356" s="569"/>
      <c r="B356" s="570"/>
      <c r="C356" s="571"/>
      <c r="D356" s="572"/>
      <c r="E356" s="573"/>
      <c r="F356" s="574"/>
      <c r="G356" s="575"/>
      <c r="H356" s="576"/>
      <c r="I356" s="577"/>
      <c r="J356" s="578"/>
      <c r="K356" s="578"/>
      <c r="L356" s="578"/>
      <c r="M356" s="578"/>
      <c r="N356" s="578"/>
      <c r="O356" s="578"/>
      <c r="P356" s="578"/>
      <c r="Q356" s="578"/>
      <c r="R356" s="578"/>
      <c r="S356" s="578"/>
      <c r="T356" s="578"/>
      <c r="U356" s="578"/>
      <c r="V356" s="578"/>
      <c r="W356" s="578"/>
      <c r="X356" s="578"/>
      <c r="Y356" s="578"/>
      <c r="Z356" s="578"/>
      <c r="AA356" s="579"/>
      <c r="AB356" s="580"/>
      <c r="AC356" s="581"/>
      <c r="AD356" s="582"/>
      <c r="AE356" s="583"/>
      <c r="AF356" s="584"/>
      <c r="AG356" s="553">
        <v>0</v>
      </c>
      <c r="AH356" s="554"/>
      <c r="AI356" s="555" t="e">
        <v>#N/A</v>
      </c>
      <c r="AJ356" s="556"/>
      <c r="AK356" s="556"/>
      <c r="AL356" s="556"/>
      <c r="AM356" s="556"/>
      <c r="AN356" s="556"/>
      <c r="AO356" s="556"/>
      <c r="AP356" s="556"/>
      <c r="AQ356" s="556"/>
      <c r="AR356" s="556"/>
      <c r="AS356" s="556"/>
      <c r="AT356" s="556"/>
      <c r="AU356" s="556"/>
      <c r="AV356" s="557"/>
      <c r="AW356" s="558">
        <v>0</v>
      </c>
      <c r="AX356" s="559"/>
      <c r="AY356" s="560"/>
      <c r="AZ356" s="585"/>
      <c r="BA356" s="586"/>
      <c r="BB356" s="587"/>
      <c r="BC356" s="558">
        <v>0</v>
      </c>
      <c r="BD356" s="559"/>
      <c r="BE356" s="560"/>
      <c r="BF356" s="558">
        <v>182.49</v>
      </c>
      <c r="BG356" s="559"/>
      <c r="BH356" s="560"/>
      <c r="BI356" s="564">
        <v>0</v>
      </c>
      <c r="BJ356" s="565"/>
      <c r="BK356" s="565"/>
      <c r="BL356" s="566"/>
      <c r="BM356" s="567" t="s">
        <v>932</v>
      </c>
      <c r="BN356" s="567"/>
      <c r="BO356" s="567"/>
      <c r="BP356" s="567"/>
      <c r="BQ356" s="568" t="s">
        <v>932</v>
      </c>
      <c r="BR356" s="568"/>
      <c r="BS356" s="568"/>
      <c r="BT356" s="567" t="s">
        <v>932</v>
      </c>
      <c r="BU356" s="567"/>
      <c r="BV356" s="567"/>
      <c r="BW356" s="567"/>
      <c r="BX356" s="568" t="s">
        <v>932</v>
      </c>
      <c r="BY356" s="568"/>
      <c r="BZ356" s="568"/>
      <c r="CA356" s="567" t="s">
        <v>932</v>
      </c>
      <c r="CB356" s="567"/>
      <c r="CC356" s="567"/>
      <c r="CD356" s="567"/>
      <c r="CE356" s="568">
        <v>1</v>
      </c>
      <c r="CF356" s="568"/>
      <c r="CG356" s="568"/>
      <c r="CH356" s="567" t="s">
        <v>932</v>
      </c>
      <c r="CI356" s="567"/>
      <c r="CJ356" s="567"/>
      <c r="CK356" s="567"/>
      <c r="CL356" s="568" t="s">
        <v>932</v>
      </c>
      <c r="CM356" s="568"/>
      <c r="CN356" s="568"/>
    </row>
    <row r="357" hidden="1" customHeight="1" spans="1:92">
      <c r="A357" s="569"/>
      <c r="B357" s="570"/>
      <c r="C357" s="571"/>
      <c r="D357" s="572"/>
      <c r="E357" s="573"/>
      <c r="F357" s="574"/>
      <c r="G357" s="575"/>
      <c r="H357" s="576"/>
      <c r="I357" s="577"/>
      <c r="J357" s="578"/>
      <c r="K357" s="578"/>
      <c r="L357" s="578"/>
      <c r="M357" s="578"/>
      <c r="N357" s="578"/>
      <c r="O357" s="578"/>
      <c r="P357" s="578"/>
      <c r="Q357" s="578"/>
      <c r="R357" s="578"/>
      <c r="S357" s="578"/>
      <c r="T357" s="578"/>
      <c r="U357" s="578"/>
      <c r="V357" s="578"/>
      <c r="W357" s="578"/>
      <c r="X357" s="578"/>
      <c r="Y357" s="578"/>
      <c r="Z357" s="578"/>
      <c r="AA357" s="579"/>
      <c r="AB357" s="580"/>
      <c r="AC357" s="581"/>
      <c r="AD357" s="582"/>
      <c r="AE357" s="583"/>
      <c r="AF357" s="584"/>
      <c r="AG357" s="553">
        <v>0</v>
      </c>
      <c r="AH357" s="554"/>
      <c r="AI357" s="555" t="e">
        <v>#N/A</v>
      </c>
      <c r="AJ357" s="556"/>
      <c r="AK357" s="556"/>
      <c r="AL357" s="556"/>
      <c r="AM357" s="556"/>
      <c r="AN357" s="556"/>
      <c r="AO357" s="556"/>
      <c r="AP357" s="556"/>
      <c r="AQ357" s="556"/>
      <c r="AR357" s="556"/>
      <c r="AS357" s="556"/>
      <c r="AT357" s="556"/>
      <c r="AU357" s="556"/>
      <c r="AV357" s="557"/>
      <c r="AW357" s="558">
        <v>0</v>
      </c>
      <c r="AX357" s="559"/>
      <c r="AY357" s="560"/>
      <c r="AZ357" s="585"/>
      <c r="BA357" s="586"/>
      <c r="BB357" s="587"/>
      <c r="BC357" s="558">
        <v>0</v>
      </c>
      <c r="BD357" s="559"/>
      <c r="BE357" s="560"/>
      <c r="BF357" s="558">
        <v>182.49</v>
      </c>
      <c r="BG357" s="559"/>
      <c r="BH357" s="560"/>
      <c r="BI357" s="564">
        <v>0</v>
      </c>
      <c r="BJ357" s="565"/>
      <c r="BK357" s="565"/>
      <c r="BL357" s="566"/>
      <c r="BM357" s="567" t="s">
        <v>932</v>
      </c>
      <c r="BN357" s="567"/>
      <c r="BO357" s="567"/>
      <c r="BP357" s="567"/>
      <c r="BQ357" s="568" t="s">
        <v>932</v>
      </c>
      <c r="BR357" s="568"/>
      <c r="BS357" s="568"/>
      <c r="BT357" s="567" t="s">
        <v>932</v>
      </c>
      <c r="BU357" s="567"/>
      <c r="BV357" s="567"/>
      <c r="BW357" s="567"/>
      <c r="BX357" s="568" t="s">
        <v>932</v>
      </c>
      <c r="BY357" s="568"/>
      <c r="BZ357" s="568"/>
      <c r="CA357" s="567" t="s">
        <v>932</v>
      </c>
      <c r="CB357" s="567"/>
      <c r="CC357" s="567"/>
      <c r="CD357" s="567"/>
      <c r="CE357" s="568">
        <v>1</v>
      </c>
      <c r="CF357" s="568"/>
      <c r="CG357" s="568"/>
      <c r="CH357" s="567" t="s">
        <v>932</v>
      </c>
      <c r="CI357" s="567"/>
      <c r="CJ357" s="567"/>
      <c r="CK357" s="567"/>
      <c r="CL357" s="568" t="s">
        <v>932</v>
      </c>
      <c r="CM357" s="568"/>
      <c r="CN357" s="568"/>
    </row>
    <row r="358" hidden="1" customHeight="1" spans="1:92">
      <c r="A358" s="569"/>
      <c r="B358" s="570"/>
      <c r="C358" s="571"/>
      <c r="D358" s="572"/>
      <c r="E358" s="573"/>
      <c r="F358" s="574"/>
      <c r="G358" s="575"/>
      <c r="H358" s="576"/>
      <c r="I358" s="577"/>
      <c r="J358" s="578"/>
      <c r="K358" s="578"/>
      <c r="L358" s="578"/>
      <c r="M358" s="578"/>
      <c r="N358" s="578"/>
      <c r="O358" s="578"/>
      <c r="P358" s="578"/>
      <c r="Q358" s="578"/>
      <c r="R358" s="578"/>
      <c r="S358" s="578"/>
      <c r="T358" s="578"/>
      <c r="U358" s="578"/>
      <c r="V358" s="578"/>
      <c r="W358" s="578"/>
      <c r="X358" s="578"/>
      <c r="Y358" s="578"/>
      <c r="Z358" s="578"/>
      <c r="AA358" s="579"/>
      <c r="AB358" s="580"/>
      <c r="AC358" s="581"/>
      <c r="AD358" s="582"/>
      <c r="AE358" s="583"/>
      <c r="AF358" s="584"/>
      <c r="AG358" s="553">
        <v>0</v>
      </c>
      <c r="AH358" s="554"/>
      <c r="AI358" s="555" t="e">
        <v>#N/A</v>
      </c>
      <c r="AJ358" s="556"/>
      <c r="AK358" s="556"/>
      <c r="AL358" s="556"/>
      <c r="AM358" s="556"/>
      <c r="AN358" s="556"/>
      <c r="AO358" s="556"/>
      <c r="AP358" s="556"/>
      <c r="AQ358" s="556"/>
      <c r="AR358" s="556"/>
      <c r="AS358" s="556"/>
      <c r="AT358" s="556"/>
      <c r="AU358" s="556"/>
      <c r="AV358" s="557"/>
      <c r="AW358" s="558">
        <v>0</v>
      </c>
      <c r="AX358" s="559"/>
      <c r="AY358" s="560"/>
      <c r="AZ358" s="585"/>
      <c r="BA358" s="586"/>
      <c r="BB358" s="587"/>
      <c r="BC358" s="558">
        <v>0</v>
      </c>
      <c r="BD358" s="559"/>
      <c r="BE358" s="560"/>
      <c r="BF358" s="558">
        <v>182.49</v>
      </c>
      <c r="BG358" s="559"/>
      <c r="BH358" s="560"/>
      <c r="BI358" s="564">
        <v>0</v>
      </c>
      <c r="BJ358" s="565"/>
      <c r="BK358" s="565"/>
      <c r="BL358" s="566"/>
      <c r="BM358" s="567" t="s">
        <v>932</v>
      </c>
      <c r="BN358" s="567"/>
      <c r="BO358" s="567"/>
      <c r="BP358" s="567"/>
      <c r="BQ358" s="568" t="s">
        <v>932</v>
      </c>
      <c r="BR358" s="568"/>
      <c r="BS358" s="568"/>
      <c r="BT358" s="567" t="s">
        <v>932</v>
      </c>
      <c r="BU358" s="567"/>
      <c r="BV358" s="567"/>
      <c r="BW358" s="567"/>
      <c r="BX358" s="568" t="s">
        <v>932</v>
      </c>
      <c r="BY358" s="568"/>
      <c r="BZ358" s="568"/>
      <c r="CA358" s="567" t="s">
        <v>932</v>
      </c>
      <c r="CB358" s="567"/>
      <c r="CC358" s="567"/>
      <c r="CD358" s="567"/>
      <c r="CE358" s="568">
        <v>1</v>
      </c>
      <c r="CF358" s="568"/>
      <c r="CG358" s="568"/>
      <c r="CH358" s="567" t="s">
        <v>932</v>
      </c>
      <c r="CI358" s="567"/>
      <c r="CJ358" s="567"/>
      <c r="CK358" s="567"/>
      <c r="CL358" s="568" t="s">
        <v>932</v>
      </c>
      <c r="CM358" s="568"/>
      <c r="CN358" s="568"/>
    </row>
    <row r="359" hidden="1" customHeight="1" spans="1:92">
      <c r="A359" s="588"/>
      <c r="B359" s="589"/>
      <c r="C359" s="590"/>
      <c r="D359" s="591"/>
      <c r="E359" s="592"/>
      <c r="F359" s="593"/>
      <c r="G359" s="594"/>
      <c r="H359" s="595"/>
      <c r="I359" s="596"/>
      <c r="J359" s="597"/>
      <c r="K359" s="597"/>
      <c r="L359" s="597"/>
      <c r="M359" s="597"/>
      <c r="N359" s="597"/>
      <c r="O359" s="597"/>
      <c r="P359" s="597"/>
      <c r="Q359" s="597"/>
      <c r="R359" s="597"/>
      <c r="S359" s="597"/>
      <c r="T359" s="597"/>
      <c r="U359" s="597"/>
      <c r="V359" s="597"/>
      <c r="W359" s="597"/>
      <c r="X359" s="597"/>
      <c r="Y359" s="597"/>
      <c r="Z359" s="597"/>
      <c r="AA359" s="598"/>
      <c r="AB359" s="599"/>
      <c r="AC359" s="600"/>
      <c r="AD359" s="601"/>
      <c r="AE359" s="602"/>
      <c r="AF359" s="603"/>
      <c r="AG359" s="553">
        <v>0</v>
      </c>
      <c r="AH359" s="554"/>
      <c r="AI359" s="555" t="e">
        <v>#N/A</v>
      </c>
      <c r="AJ359" s="556"/>
      <c r="AK359" s="556"/>
      <c r="AL359" s="556"/>
      <c r="AM359" s="556"/>
      <c r="AN359" s="556"/>
      <c r="AO359" s="556"/>
      <c r="AP359" s="556"/>
      <c r="AQ359" s="556"/>
      <c r="AR359" s="556"/>
      <c r="AS359" s="556"/>
      <c r="AT359" s="556"/>
      <c r="AU359" s="556"/>
      <c r="AV359" s="557"/>
      <c r="AW359" s="558">
        <v>0</v>
      </c>
      <c r="AX359" s="559"/>
      <c r="AY359" s="560"/>
      <c r="AZ359" s="604"/>
      <c r="BA359" s="605"/>
      <c r="BB359" s="606"/>
      <c r="BC359" s="558">
        <v>0</v>
      </c>
      <c r="BD359" s="559"/>
      <c r="BE359" s="560"/>
      <c r="BF359" s="558">
        <v>182.49</v>
      </c>
      <c r="BG359" s="559"/>
      <c r="BH359" s="560"/>
      <c r="BI359" s="564">
        <v>0</v>
      </c>
      <c r="BJ359" s="565"/>
      <c r="BK359" s="565"/>
      <c r="BL359" s="566"/>
      <c r="BM359" s="567" t="s">
        <v>932</v>
      </c>
      <c r="BN359" s="567"/>
      <c r="BO359" s="567"/>
      <c r="BP359" s="567"/>
      <c r="BQ359" s="568" t="s">
        <v>932</v>
      </c>
      <c r="BR359" s="568"/>
      <c r="BS359" s="568"/>
      <c r="BT359" s="567" t="s">
        <v>932</v>
      </c>
      <c r="BU359" s="567"/>
      <c r="BV359" s="567"/>
      <c r="BW359" s="567"/>
      <c r="BX359" s="568" t="s">
        <v>932</v>
      </c>
      <c r="BY359" s="568"/>
      <c r="BZ359" s="568"/>
      <c r="CA359" s="567" t="s">
        <v>932</v>
      </c>
      <c r="CB359" s="567"/>
      <c r="CC359" s="567"/>
      <c r="CD359" s="567"/>
      <c r="CE359" s="568">
        <v>1</v>
      </c>
      <c r="CF359" s="568"/>
      <c r="CG359" s="568"/>
      <c r="CH359" s="567" t="s">
        <v>932</v>
      </c>
      <c r="CI359" s="567"/>
      <c r="CJ359" s="567"/>
      <c r="CK359" s="567"/>
      <c r="CL359" s="568" t="s">
        <v>932</v>
      </c>
      <c r="CM359" s="568"/>
      <c r="CN359" s="568"/>
    </row>
    <row r="360" customHeight="1" spans="1:92">
      <c r="A360" s="540" t="s">
        <v>985</v>
      </c>
      <c r="B360" s="541"/>
      <c r="C360" s="89"/>
      <c r="D360" s="91"/>
      <c r="E360" s="90"/>
      <c r="F360" s="542">
        <v>1107900</v>
      </c>
      <c r="G360" s="543"/>
      <c r="H360" s="544"/>
      <c r="I360" s="545" t="s">
        <v>108</v>
      </c>
      <c r="J360" s="546"/>
      <c r="K360" s="546"/>
      <c r="L360" s="546"/>
      <c r="M360" s="546"/>
      <c r="N360" s="546"/>
      <c r="O360" s="546"/>
      <c r="P360" s="546"/>
      <c r="Q360" s="546"/>
      <c r="R360" s="546"/>
      <c r="S360" s="546"/>
      <c r="T360" s="546"/>
      <c r="U360" s="546"/>
      <c r="V360" s="546"/>
      <c r="W360" s="546"/>
      <c r="X360" s="546"/>
      <c r="Y360" s="546"/>
      <c r="Z360" s="546"/>
      <c r="AA360" s="547"/>
      <c r="AB360" s="548" t="s">
        <v>99</v>
      </c>
      <c r="AC360" s="549"/>
      <c r="AD360" s="550">
        <v>15.75</v>
      </c>
      <c r="AE360" s="551"/>
      <c r="AF360" s="552"/>
      <c r="AG360" s="553" t="s">
        <v>1066</v>
      </c>
      <c r="AH360" s="554"/>
      <c r="AI360" s="555" t="s">
        <v>1067</v>
      </c>
      <c r="AJ360" s="556"/>
      <c r="AK360" s="556"/>
      <c r="AL360" s="556"/>
      <c r="AM360" s="556"/>
      <c r="AN360" s="556"/>
      <c r="AO360" s="556"/>
      <c r="AP360" s="556"/>
      <c r="AQ360" s="556"/>
      <c r="AR360" s="556"/>
      <c r="AS360" s="556"/>
      <c r="AT360" s="556"/>
      <c r="AU360" s="556"/>
      <c r="AV360" s="557"/>
      <c r="AW360" s="558">
        <v>1</v>
      </c>
      <c r="AX360" s="559"/>
      <c r="AY360" s="560"/>
      <c r="AZ360" s="561">
        <v>3.853</v>
      </c>
      <c r="BA360" s="562"/>
      <c r="BB360" s="563"/>
      <c r="BC360" s="558">
        <v>4.08772385154425</v>
      </c>
      <c r="BD360" s="559"/>
      <c r="BE360" s="560"/>
      <c r="BF360" s="558">
        <v>182.49</v>
      </c>
      <c r="BG360" s="559"/>
      <c r="BH360" s="560"/>
      <c r="BI360" s="564">
        <v>0.0223997142393789</v>
      </c>
      <c r="BJ360" s="565"/>
      <c r="BK360" s="565"/>
      <c r="BL360" s="566"/>
      <c r="BM360" s="567" t="s">
        <v>932</v>
      </c>
      <c r="BN360" s="567"/>
      <c r="BO360" s="567"/>
      <c r="BP360" s="567"/>
      <c r="BQ360" s="568" t="s">
        <v>932</v>
      </c>
      <c r="BR360" s="568"/>
      <c r="BS360" s="568"/>
      <c r="BT360" s="567" t="s">
        <v>932</v>
      </c>
      <c r="BU360" s="567"/>
      <c r="BV360" s="567"/>
      <c r="BW360" s="567"/>
      <c r="BX360" s="568" t="s">
        <v>932</v>
      </c>
      <c r="BY360" s="568"/>
      <c r="BZ360" s="568"/>
      <c r="CA360" s="567" t="s">
        <v>932</v>
      </c>
      <c r="CB360" s="567"/>
      <c r="CC360" s="567"/>
      <c r="CD360" s="567"/>
      <c r="CE360" s="568" t="s">
        <v>932</v>
      </c>
      <c r="CF360" s="568"/>
      <c r="CG360" s="568"/>
      <c r="CH360" s="567">
        <v>0.0223997142393789</v>
      </c>
      <c r="CI360" s="567"/>
      <c r="CJ360" s="567"/>
      <c r="CK360" s="567"/>
      <c r="CL360" s="568">
        <v>1</v>
      </c>
      <c r="CM360" s="568"/>
      <c r="CN360" s="568"/>
    </row>
    <row r="361" customHeight="1" spans="1:92">
      <c r="A361" s="569"/>
      <c r="B361" s="570"/>
      <c r="C361" s="571"/>
      <c r="D361" s="572"/>
      <c r="E361" s="573"/>
      <c r="F361" s="574"/>
      <c r="G361" s="575"/>
      <c r="H361" s="576"/>
      <c r="I361" s="577"/>
      <c r="J361" s="578"/>
      <c r="K361" s="578"/>
      <c r="L361" s="578"/>
      <c r="M361" s="578"/>
      <c r="N361" s="578"/>
      <c r="O361" s="578"/>
      <c r="P361" s="578"/>
      <c r="Q361" s="578"/>
      <c r="R361" s="578"/>
      <c r="S361" s="578"/>
      <c r="T361" s="578"/>
      <c r="U361" s="578"/>
      <c r="V361" s="578"/>
      <c r="W361" s="578"/>
      <c r="X361" s="578"/>
      <c r="Y361" s="578"/>
      <c r="Z361" s="578"/>
      <c r="AA361" s="579"/>
      <c r="AB361" s="580"/>
      <c r="AC361" s="581"/>
      <c r="AD361" s="582"/>
      <c r="AE361" s="583"/>
      <c r="AF361" s="584"/>
      <c r="AG361" s="553" t="s">
        <v>1068</v>
      </c>
      <c r="AH361" s="554"/>
      <c r="AI361" s="555" t="s">
        <v>1069</v>
      </c>
      <c r="AJ361" s="556"/>
      <c r="AK361" s="556"/>
      <c r="AL361" s="556"/>
      <c r="AM361" s="556"/>
      <c r="AN361" s="556"/>
      <c r="AO361" s="556"/>
      <c r="AP361" s="556"/>
      <c r="AQ361" s="556"/>
      <c r="AR361" s="556"/>
      <c r="AS361" s="556"/>
      <c r="AT361" s="556"/>
      <c r="AU361" s="556"/>
      <c r="AV361" s="557"/>
      <c r="AW361" s="558">
        <v>1</v>
      </c>
      <c r="AX361" s="559"/>
      <c r="AY361" s="560"/>
      <c r="AZ361" s="585"/>
      <c r="BA361" s="586"/>
      <c r="BB361" s="587"/>
      <c r="BC361" s="558">
        <v>4.08772385154425</v>
      </c>
      <c r="BD361" s="559"/>
      <c r="BE361" s="560"/>
      <c r="BF361" s="558">
        <v>182.49</v>
      </c>
      <c r="BG361" s="559"/>
      <c r="BH361" s="560"/>
      <c r="BI361" s="564">
        <v>0.0223997142393789</v>
      </c>
      <c r="BJ361" s="565"/>
      <c r="BK361" s="565"/>
      <c r="BL361" s="566"/>
      <c r="BM361" s="567" t="s">
        <v>932</v>
      </c>
      <c r="BN361" s="567"/>
      <c r="BO361" s="567"/>
      <c r="BP361" s="567"/>
      <c r="BQ361" s="568" t="s">
        <v>932</v>
      </c>
      <c r="BR361" s="568"/>
      <c r="BS361" s="568"/>
      <c r="BT361" s="567" t="s">
        <v>932</v>
      </c>
      <c r="BU361" s="567"/>
      <c r="BV361" s="567"/>
      <c r="BW361" s="567"/>
      <c r="BX361" s="568" t="s">
        <v>932</v>
      </c>
      <c r="BY361" s="568"/>
      <c r="BZ361" s="568"/>
      <c r="CA361" s="567" t="s">
        <v>932</v>
      </c>
      <c r="CB361" s="567"/>
      <c r="CC361" s="567"/>
      <c r="CD361" s="567"/>
      <c r="CE361" s="568" t="s">
        <v>932</v>
      </c>
      <c r="CF361" s="568"/>
      <c r="CG361" s="568"/>
      <c r="CH361" s="567">
        <v>0.0223997142393789</v>
      </c>
      <c r="CI361" s="567"/>
      <c r="CJ361" s="567"/>
      <c r="CK361" s="567"/>
      <c r="CL361" s="568">
        <v>1</v>
      </c>
      <c r="CM361" s="568"/>
      <c r="CN361" s="568"/>
    </row>
    <row r="362" customHeight="1" spans="1:92">
      <c r="A362" s="569"/>
      <c r="B362" s="570"/>
      <c r="C362" s="571"/>
      <c r="D362" s="572"/>
      <c r="E362" s="573"/>
      <c r="F362" s="574"/>
      <c r="G362" s="575"/>
      <c r="H362" s="576"/>
      <c r="I362" s="577"/>
      <c r="J362" s="578"/>
      <c r="K362" s="578"/>
      <c r="L362" s="578"/>
      <c r="M362" s="578"/>
      <c r="N362" s="578"/>
      <c r="O362" s="578"/>
      <c r="P362" s="578"/>
      <c r="Q362" s="578"/>
      <c r="R362" s="578"/>
      <c r="S362" s="578"/>
      <c r="T362" s="578"/>
      <c r="U362" s="578"/>
      <c r="V362" s="578"/>
      <c r="W362" s="578"/>
      <c r="X362" s="578"/>
      <c r="Y362" s="578"/>
      <c r="Z362" s="578"/>
      <c r="AA362" s="579"/>
      <c r="AB362" s="580"/>
      <c r="AC362" s="581"/>
      <c r="AD362" s="582"/>
      <c r="AE362" s="583"/>
      <c r="AF362" s="584"/>
      <c r="AG362" s="553" t="s">
        <v>1070</v>
      </c>
      <c r="AH362" s="554"/>
      <c r="AI362" s="555" t="s">
        <v>1071</v>
      </c>
      <c r="AJ362" s="556"/>
      <c r="AK362" s="556"/>
      <c r="AL362" s="556"/>
      <c r="AM362" s="556"/>
      <c r="AN362" s="556"/>
      <c r="AO362" s="556"/>
      <c r="AP362" s="556"/>
      <c r="AQ362" s="556"/>
      <c r="AR362" s="556"/>
      <c r="AS362" s="556"/>
      <c r="AT362" s="556"/>
      <c r="AU362" s="556"/>
      <c r="AV362" s="557"/>
      <c r="AW362" s="558">
        <v>4</v>
      </c>
      <c r="AX362" s="559"/>
      <c r="AY362" s="560"/>
      <c r="AZ362" s="585"/>
      <c r="BA362" s="586"/>
      <c r="BB362" s="587"/>
      <c r="BC362" s="558">
        <v>16.350895406177</v>
      </c>
      <c r="BD362" s="559"/>
      <c r="BE362" s="560"/>
      <c r="BF362" s="558">
        <v>182.49</v>
      </c>
      <c r="BG362" s="559"/>
      <c r="BH362" s="560"/>
      <c r="BI362" s="564">
        <v>0.0895988569575155</v>
      </c>
      <c r="BJ362" s="565"/>
      <c r="BK362" s="565"/>
      <c r="BL362" s="566"/>
      <c r="BM362" s="567" t="s">
        <v>932</v>
      </c>
      <c r="BN362" s="567"/>
      <c r="BO362" s="567"/>
      <c r="BP362" s="567"/>
      <c r="BQ362" s="568" t="s">
        <v>932</v>
      </c>
      <c r="BR362" s="568"/>
      <c r="BS362" s="568"/>
      <c r="BT362" s="567" t="s">
        <v>932</v>
      </c>
      <c r="BU362" s="567"/>
      <c r="BV362" s="567"/>
      <c r="BW362" s="567"/>
      <c r="BX362" s="568" t="s">
        <v>932</v>
      </c>
      <c r="BY362" s="568"/>
      <c r="BZ362" s="568"/>
      <c r="CA362" s="567" t="s">
        <v>932</v>
      </c>
      <c r="CB362" s="567"/>
      <c r="CC362" s="567"/>
      <c r="CD362" s="567"/>
      <c r="CE362" s="568" t="s">
        <v>932</v>
      </c>
      <c r="CF362" s="568"/>
      <c r="CG362" s="568"/>
      <c r="CH362" s="567">
        <v>0.0895988569575155</v>
      </c>
      <c r="CI362" s="567"/>
      <c r="CJ362" s="567"/>
      <c r="CK362" s="567"/>
      <c r="CL362" s="568">
        <v>1</v>
      </c>
      <c r="CM362" s="568"/>
      <c r="CN362" s="568"/>
    </row>
    <row r="363" customHeight="1" spans="1:92">
      <c r="A363" s="569"/>
      <c r="B363" s="570"/>
      <c r="C363" s="571"/>
      <c r="D363" s="572"/>
      <c r="E363" s="573"/>
      <c r="F363" s="574"/>
      <c r="G363" s="575"/>
      <c r="H363" s="576"/>
      <c r="I363" s="577"/>
      <c r="J363" s="578"/>
      <c r="K363" s="578"/>
      <c r="L363" s="578"/>
      <c r="M363" s="578"/>
      <c r="N363" s="578"/>
      <c r="O363" s="578"/>
      <c r="P363" s="578"/>
      <c r="Q363" s="578"/>
      <c r="R363" s="578"/>
      <c r="S363" s="578"/>
      <c r="T363" s="578"/>
      <c r="U363" s="578"/>
      <c r="V363" s="578"/>
      <c r="W363" s="578"/>
      <c r="X363" s="578"/>
      <c r="Y363" s="578"/>
      <c r="Z363" s="578"/>
      <c r="AA363" s="579"/>
      <c r="AB363" s="580"/>
      <c r="AC363" s="581"/>
      <c r="AD363" s="582"/>
      <c r="AE363" s="583"/>
      <c r="AF363" s="584"/>
      <c r="AG363" s="553" t="s">
        <v>1072</v>
      </c>
      <c r="AH363" s="554"/>
      <c r="AI363" s="555" t="s">
        <v>1073</v>
      </c>
      <c r="AJ363" s="556"/>
      <c r="AK363" s="556"/>
      <c r="AL363" s="556"/>
      <c r="AM363" s="556"/>
      <c r="AN363" s="556"/>
      <c r="AO363" s="556"/>
      <c r="AP363" s="556"/>
      <c r="AQ363" s="556"/>
      <c r="AR363" s="556"/>
      <c r="AS363" s="556"/>
      <c r="AT363" s="556"/>
      <c r="AU363" s="556"/>
      <c r="AV363" s="557"/>
      <c r="AW363" s="558">
        <v>3</v>
      </c>
      <c r="AX363" s="559"/>
      <c r="AY363" s="560"/>
      <c r="AZ363" s="585"/>
      <c r="BA363" s="586"/>
      <c r="BB363" s="587"/>
      <c r="BC363" s="558">
        <v>12.2631715546328</v>
      </c>
      <c r="BD363" s="559"/>
      <c r="BE363" s="560"/>
      <c r="BF363" s="558">
        <v>182.49</v>
      </c>
      <c r="BG363" s="559"/>
      <c r="BH363" s="560"/>
      <c r="BI363" s="564">
        <v>0.0671991427181366</v>
      </c>
      <c r="BJ363" s="565"/>
      <c r="BK363" s="565"/>
      <c r="BL363" s="566"/>
      <c r="BM363" s="567" t="s">
        <v>932</v>
      </c>
      <c r="BN363" s="567"/>
      <c r="BO363" s="567"/>
      <c r="BP363" s="567"/>
      <c r="BQ363" s="568" t="s">
        <v>932</v>
      </c>
      <c r="BR363" s="568"/>
      <c r="BS363" s="568"/>
      <c r="BT363" s="567" t="s">
        <v>932</v>
      </c>
      <c r="BU363" s="567"/>
      <c r="BV363" s="567"/>
      <c r="BW363" s="567"/>
      <c r="BX363" s="568" t="s">
        <v>932</v>
      </c>
      <c r="BY363" s="568"/>
      <c r="BZ363" s="568"/>
      <c r="CA363" s="567" t="s">
        <v>932</v>
      </c>
      <c r="CB363" s="567"/>
      <c r="CC363" s="567"/>
      <c r="CD363" s="567"/>
      <c r="CE363" s="568" t="s">
        <v>932</v>
      </c>
      <c r="CF363" s="568"/>
      <c r="CG363" s="568"/>
      <c r="CH363" s="567">
        <v>0.0671991427181366</v>
      </c>
      <c r="CI363" s="567"/>
      <c r="CJ363" s="567"/>
      <c r="CK363" s="567"/>
      <c r="CL363" s="568">
        <v>1</v>
      </c>
      <c r="CM363" s="568"/>
      <c r="CN363" s="568"/>
    </row>
    <row r="364" hidden="1" customHeight="1" spans="1:92">
      <c r="A364" s="569"/>
      <c r="B364" s="570"/>
      <c r="C364" s="571"/>
      <c r="D364" s="572"/>
      <c r="E364" s="573"/>
      <c r="F364" s="574"/>
      <c r="G364" s="575"/>
      <c r="H364" s="576"/>
      <c r="I364" s="577"/>
      <c r="J364" s="578"/>
      <c r="K364" s="578"/>
      <c r="L364" s="578"/>
      <c r="M364" s="578"/>
      <c r="N364" s="578"/>
      <c r="O364" s="578"/>
      <c r="P364" s="578"/>
      <c r="Q364" s="578"/>
      <c r="R364" s="578"/>
      <c r="S364" s="578"/>
      <c r="T364" s="578"/>
      <c r="U364" s="578"/>
      <c r="V364" s="578"/>
      <c r="W364" s="578"/>
      <c r="X364" s="578"/>
      <c r="Y364" s="578"/>
      <c r="Z364" s="578"/>
      <c r="AA364" s="579"/>
      <c r="AB364" s="580"/>
      <c r="AC364" s="581"/>
      <c r="AD364" s="582"/>
      <c r="AE364" s="583"/>
      <c r="AF364" s="584"/>
      <c r="AG364" s="553">
        <v>0</v>
      </c>
      <c r="AH364" s="554"/>
      <c r="AI364" s="555" t="e">
        <v>#N/A</v>
      </c>
      <c r="AJ364" s="556"/>
      <c r="AK364" s="556"/>
      <c r="AL364" s="556"/>
      <c r="AM364" s="556"/>
      <c r="AN364" s="556"/>
      <c r="AO364" s="556"/>
      <c r="AP364" s="556"/>
      <c r="AQ364" s="556"/>
      <c r="AR364" s="556"/>
      <c r="AS364" s="556"/>
      <c r="AT364" s="556"/>
      <c r="AU364" s="556"/>
      <c r="AV364" s="557"/>
      <c r="AW364" s="558">
        <v>0</v>
      </c>
      <c r="AX364" s="559"/>
      <c r="AY364" s="560"/>
      <c r="AZ364" s="585"/>
      <c r="BA364" s="586"/>
      <c r="BB364" s="587"/>
      <c r="BC364" s="558">
        <v>0</v>
      </c>
      <c r="BD364" s="559"/>
      <c r="BE364" s="560"/>
      <c r="BF364" s="558">
        <v>182.49</v>
      </c>
      <c r="BG364" s="559"/>
      <c r="BH364" s="560"/>
      <c r="BI364" s="564">
        <v>0</v>
      </c>
      <c r="BJ364" s="565"/>
      <c r="BK364" s="565"/>
      <c r="BL364" s="566"/>
      <c r="BM364" s="567" t="s">
        <v>932</v>
      </c>
      <c r="BN364" s="567"/>
      <c r="BO364" s="567"/>
      <c r="BP364" s="567"/>
      <c r="BQ364" s="568" t="s">
        <v>932</v>
      </c>
      <c r="BR364" s="568"/>
      <c r="BS364" s="568"/>
      <c r="BT364" s="567" t="s">
        <v>932</v>
      </c>
      <c r="BU364" s="567"/>
      <c r="BV364" s="567"/>
      <c r="BW364" s="567"/>
      <c r="BX364" s="568" t="s">
        <v>932</v>
      </c>
      <c r="BY364" s="568"/>
      <c r="BZ364" s="568"/>
      <c r="CA364" s="567" t="s">
        <v>932</v>
      </c>
      <c r="CB364" s="567"/>
      <c r="CC364" s="567"/>
      <c r="CD364" s="567"/>
      <c r="CE364" s="568" t="s">
        <v>932</v>
      </c>
      <c r="CF364" s="568"/>
      <c r="CG364" s="568"/>
      <c r="CH364" s="567" t="s">
        <v>932</v>
      </c>
      <c r="CI364" s="567"/>
      <c r="CJ364" s="567"/>
      <c r="CK364" s="567"/>
      <c r="CL364" s="568">
        <v>1</v>
      </c>
      <c r="CM364" s="568"/>
      <c r="CN364" s="568"/>
    </row>
    <row r="365" hidden="1" customHeight="1" spans="1:92">
      <c r="A365" s="569"/>
      <c r="B365" s="570"/>
      <c r="C365" s="571"/>
      <c r="D365" s="572"/>
      <c r="E365" s="573"/>
      <c r="F365" s="574"/>
      <c r="G365" s="575"/>
      <c r="H365" s="576"/>
      <c r="I365" s="577"/>
      <c r="J365" s="578"/>
      <c r="K365" s="578"/>
      <c r="L365" s="578"/>
      <c r="M365" s="578"/>
      <c r="N365" s="578"/>
      <c r="O365" s="578"/>
      <c r="P365" s="578"/>
      <c r="Q365" s="578"/>
      <c r="R365" s="578"/>
      <c r="S365" s="578"/>
      <c r="T365" s="578"/>
      <c r="U365" s="578"/>
      <c r="V365" s="578"/>
      <c r="W365" s="578"/>
      <c r="X365" s="578"/>
      <c r="Y365" s="578"/>
      <c r="Z365" s="578"/>
      <c r="AA365" s="579"/>
      <c r="AB365" s="580"/>
      <c r="AC365" s="581"/>
      <c r="AD365" s="582"/>
      <c r="AE365" s="583"/>
      <c r="AF365" s="584"/>
      <c r="AG365" s="553">
        <v>0</v>
      </c>
      <c r="AH365" s="554"/>
      <c r="AI365" s="555" t="e">
        <v>#N/A</v>
      </c>
      <c r="AJ365" s="556"/>
      <c r="AK365" s="556"/>
      <c r="AL365" s="556"/>
      <c r="AM365" s="556"/>
      <c r="AN365" s="556"/>
      <c r="AO365" s="556"/>
      <c r="AP365" s="556"/>
      <c r="AQ365" s="556"/>
      <c r="AR365" s="556"/>
      <c r="AS365" s="556"/>
      <c r="AT365" s="556"/>
      <c r="AU365" s="556"/>
      <c r="AV365" s="557"/>
      <c r="AW365" s="558">
        <v>0</v>
      </c>
      <c r="AX365" s="559"/>
      <c r="AY365" s="560"/>
      <c r="AZ365" s="585"/>
      <c r="BA365" s="586"/>
      <c r="BB365" s="587"/>
      <c r="BC365" s="558">
        <v>0</v>
      </c>
      <c r="BD365" s="559"/>
      <c r="BE365" s="560"/>
      <c r="BF365" s="558">
        <v>182.49</v>
      </c>
      <c r="BG365" s="559"/>
      <c r="BH365" s="560"/>
      <c r="BI365" s="564">
        <v>0</v>
      </c>
      <c r="BJ365" s="565"/>
      <c r="BK365" s="565"/>
      <c r="BL365" s="566"/>
      <c r="BM365" s="567" t="s">
        <v>932</v>
      </c>
      <c r="BN365" s="567"/>
      <c r="BO365" s="567"/>
      <c r="BP365" s="567"/>
      <c r="BQ365" s="568" t="s">
        <v>932</v>
      </c>
      <c r="BR365" s="568"/>
      <c r="BS365" s="568"/>
      <c r="BT365" s="567" t="s">
        <v>932</v>
      </c>
      <c r="BU365" s="567"/>
      <c r="BV365" s="567"/>
      <c r="BW365" s="567"/>
      <c r="BX365" s="568" t="s">
        <v>932</v>
      </c>
      <c r="BY365" s="568"/>
      <c r="BZ365" s="568"/>
      <c r="CA365" s="567" t="s">
        <v>932</v>
      </c>
      <c r="CB365" s="567"/>
      <c r="CC365" s="567"/>
      <c r="CD365" s="567"/>
      <c r="CE365" s="568" t="s">
        <v>932</v>
      </c>
      <c r="CF365" s="568"/>
      <c r="CG365" s="568"/>
      <c r="CH365" s="567" t="s">
        <v>932</v>
      </c>
      <c r="CI365" s="567"/>
      <c r="CJ365" s="567"/>
      <c r="CK365" s="567"/>
      <c r="CL365" s="568">
        <v>1</v>
      </c>
      <c r="CM365" s="568"/>
      <c r="CN365" s="568"/>
    </row>
    <row r="366" hidden="1" customHeight="1" spans="1:92">
      <c r="A366" s="569"/>
      <c r="B366" s="570"/>
      <c r="C366" s="571"/>
      <c r="D366" s="572"/>
      <c r="E366" s="573"/>
      <c r="F366" s="574"/>
      <c r="G366" s="575"/>
      <c r="H366" s="576"/>
      <c r="I366" s="577"/>
      <c r="J366" s="578"/>
      <c r="K366" s="578"/>
      <c r="L366" s="578"/>
      <c r="M366" s="578"/>
      <c r="N366" s="578"/>
      <c r="O366" s="578"/>
      <c r="P366" s="578"/>
      <c r="Q366" s="578"/>
      <c r="R366" s="578"/>
      <c r="S366" s="578"/>
      <c r="T366" s="578"/>
      <c r="U366" s="578"/>
      <c r="V366" s="578"/>
      <c r="W366" s="578"/>
      <c r="X366" s="578"/>
      <c r="Y366" s="578"/>
      <c r="Z366" s="578"/>
      <c r="AA366" s="579"/>
      <c r="AB366" s="580"/>
      <c r="AC366" s="581"/>
      <c r="AD366" s="582"/>
      <c r="AE366" s="583"/>
      <c r="AF366" s="584"/>
      <c r="AG366" s="553">
        <v>0</v>
      </c>
      <c r="AH366" s="554"/>
      <c r="AI366" s="555" t="e">
        <v>#N/A</v>
      </c>
      <c r="AJ366" s="556"/>
      <c r="AK366" s="556"/>
      <c r="AL366" s="556"/>
      <c r="AM366" s="556"/>
      <c r="AN366" s="556"/>
      <c r="AO366" s="556"/>
      <c r="AP366" s="556"/>
      <c r="AQ366" s="556"/>
      <c r="AR366" s="556"/>
      <c r="AS366" s="556"/>
      <c r="AT366" s="556"/>
      <c r="AU366" s="556"/>
      <c r="AV366" s="557"/>
      <c r="AW366" s="558">
        <v>0</v>
      </c>
      <c r="AX366" s="559"/>
      <c r="AY366" s="560"/>
      <c r="AZ366" s="585"/>
      <c r="BA366" s="586"/>
      <c r="BB366" s="587"/>
      <c r="BC366" s="558">
        <v>0</v>
      </c>
      <c r="BD366" s="559"/>
      <c r="BE366" s="560"/>
      <c r="BF366" s="558">
        <v>182.49</v>
      </c>
      <c r="BG366" s="559"/>
      <c r="BH366" s="560"/>
      <c r="BI366" s="564">
        <v>0</v>
      </c>
      <c r="BJ366" s="565"/>
      <c r="BK366" s="565"/>
      <c r="BL366" s="566"/>
      <c r="BM366" s="567" t="s">
        <v>932</v>
      </c>
      <c r="BN366" s="567"/>
      <c r="BO366" s="567"/>
      <c r="BP366" s="567"/>
      <c r="BQ366" s="568" t="s">
        <v>932</v>
      </c>
      <c r="BR366" s="568"/>
      <c r="BS366" s="568"/>
      <c r="BT366" s="567" t="s">
        <v>932</v>
      </c>
      <c r="BU366" s="567"/>
      <c r="BV366" s="567"/>
      <c r="BW366" s="567"/>
      <c r="BX366" s="568" t="s">
        <v>932</v>
      </c>
      <c r="BY366" s="568"/>
      <c r="BZ366" s="568"/>
      <c r="CA366" s="567" t="s">
        <v>932</v>
      </c>
      <c r="CB366" s="567"/>
      <c r="CC366" s="567"/>
      <c r="CD366" s="567"/>
      <c r="CE366" s="568" t="s">
        <v>932</v>
      </c>
      <c r="CF366" s="568"/>
      <c r="CG366" s="568"/>
      <c r="CH366" s="567" t="s">
        <v>932</v>
      </c>
      <c r="CI366" s="567"/>
      <c r="CJ366" s="567"/>
      <c r="CK366" s="567"/>
      <c r="CL366" s="568">
        <v>1</v>
      </c>
      <c r="CM366" s="568"/>
      <c r="CN366" s="568"/>
    </row>
    <row r="367" hidden="1" customHeight="1" spans="1:92">
      <c r="A367" s="588"/>
      <c r="B367" s="589"/>
      <c r="C367" s="590"/>
      <c r="D367" s="591"/>
      <c r="E367" s="592"/>
      <c r="F367" s="593"/>
      <c r="G367" s="594"/>
      <c r="H367" s="595"/>
      <c r="I367" s="596"/>
      <c r="J367" s="597"/>
      <c r="K367" s="597"/>
      <c r="L367" s="597"/>
      <c r="M367" s="597"/>
      <c r="N367" s="597"/>
      <c r="O367" s="597"/>
      <c r="P367" s="597"/>
      <c r="Q367" s="597"/>
      <c r="R367" s="597"/>
      <c r="S367" s="597"/>
      <c r="T367" s="597"/>
      <c r="U367" s="597"/>
      <c r="V367" s="597"/>
      <c r="W367" s="597"/>
      <c r="X367" s="597"/>
      <c r="Y367" s="597"/>
      <c r="Z367" s="597"/>
      <c r="AA367" s="598"/>
      <c r="AB367" s="599"/>
      <c r="AC367" s="600"/>
      <c r="AD367" s="601"/>
      <c r="AE367" s="602"/>
      <c r="AF367" s="603"/>
      <c r="AG367" s="553">
        <v>0</v>
      </c>
      <c r="AH367" s="554"/>
      <c r="AI367" s="555" t="e">
        <v>#N/A</v>
      </c>
      <c r="AJ367" s="556"/>
      <c r="AK367" s="556"/>
      <c r="AL367" s="556"/>
      <c r="AM367" s="556"/>
      <c r="AN367" s="556"/>
      <c r="AO367" s="556"/>
      <c r="AP367" s="556"/>
      <c r="AQ367" s="556"/>
      <c r="AR367" s="556"/>
      <c r="AS367" s="556"/>
      <c r="AT367" s="556"/>
      <c r="AU367" s="556"/>
      <c r="AV367" s="557"/>
      <c r="AW367" s="558">
        <v>0</v>
      </c>
      <c r="AX367" s="559"/>
      <c r="AY367" s="560"/>
      <c r="AZ367" s="604"/>
      <c r="BA367" s="605"/>
      <c r="BB367" s="606"/>
      <c r="BC367" s="558">
        <v>0</v>
      </c>
      <c r="BD367" s="559"/>
      <c r="BE367" s="560"/>
      <c r="BF367" s="558">
        <v>182.49</v>
      </c>
      <c r="BG367" s="559"/>
      <c r="BH367" s="560"/>
      <c r="BI367" s="564">
        <v>0</v>
      </c>
      <c r="BJ367" s="565"/>
      <c r="BK367" s="565"/>
      <c r="BL367" s="566"/>
      <c r="BM367" s="567" t="s">
        <v>932</v>
      </c>
      <c r="BN367" s="567"/>
      <c r="BO367" s="567"/>
      <c r="BP367" s="567"/>
      <c r="BQ367" s="568" t="s">
        <v>932</v>
      </c>
      <c r="BR367" s="568"/>
      <c r="BS367" s="568"/>
      <c r="BT367" s="567" t="s">
        <v>932</v>
      </c>
      <c r="BU367" s="567"/>
      <c r="BV367" s="567"/>
      <c r="BW367" s="567"/>
      <c r="BX367" s="568" t="s">
        <v>932</v>
      </c>
      <c r="BY367" s="568"/>
      <c r="BZ367" s="568"/>
      <c r="CA367" s="567" t="s">
        <v>932</v>
      </c>
      <c r="CB367" s="567"/>
      <c r="CC367" s="567"/>
      <c r="CD367" s="567"/>
      <c r="CE367" s="568" t="s">
        <v>932</v>
      </c>
      <c r="CF367" s="568"/>
      <c r="CG367" s="568"/>
      <c r="CH367" s="567" t="s">
        <v>932</v>
      </c>
      <c r="CI367" s="567"/>
      <c r="CJ367" s="567"/>
      <c r="CK367" s="567"/>
      <c r="CL367" s="568">
        <v>1</v>
      </c>
      <c r="CM367" s="568"/>
      <c r="CN367" s="568"/>
    </row>
    <row r="368" customHeight="1" spans="1:92">
      <c r="A368" s="540" t="s">
        <v>986</v>
      </c>
      <c r="B368" s="541"/>
      <c r="C368" s="89"/>
      <c r="D368" s="91"/>
      <c r="E368" s="90"/>
      <c r="F368" s="542">
        <v>3108000</v>
      </c>
      <c r="G368" s="543"/>
      <c r="H368" s="544"/>
      <c r="I368" s="545" t="s">
        <v>110</v>
      </c>
      <c r="J368" s="546"/>
      <c r="K368" s="546"/>
      <c r="L368" s="546"/>
      <c r="M368" s="546"/>
      <c r="N368" s="546"/>
      <c r="O368" s="546"/>
      <c r="P368" s="546"/>
      <c r="Q368" s="546"/>
      <c r="R368" s="546"/>
      <c r="S368" s="546"/>
      <c r="T368" s="546"/>
      <c r="U368" s="546"/>
      <c r="V368" s="546"/>
      <c r="W368" s="546"/>
      <c r="X368" s="546"/>
      <c r="Y368" s="546"/>
      <c r="Z368" s="546"/>
      <c r="AA368" s="547"/>
      <c r="AB368" s="548" t="s">
        <v>7</v>
      </c>
      <c r="AC368" s="549"/>
      <c r="AD368" s="550">
        <v>6.6</v>
      </c>
      <c r="AE368" s="551"/>
      <c r="AF368" s="552"/>
      <c r="AG368" s="553" t="s">
        <v>1074</v>
      </c>
      <c r="AH368" s="554"/>
      <c r="AI368" s="555" t="s">
        <v>1075</v>
      </c>
      <c r="AJ368" s="556"/>
      <c r="AK368" s="556"/>
      <c r="AL368" s="556"/>
      <c r="AM368" s="556"/>
      <c r="AN368" s="556"/>
      <c r="AO368" s="556"/>
      <c r="AP368" s="556"/>
      <c r="AQ368" s="556"/>
      <c r="AR368" s="556"/>
      <c r="AS368" s="556"/>
      <c r="AT368" s="556"/>
      <c r="AU368" s="556"/>
      <c r="AV368" s="557"/>
      <c r="AW368" s="558">
        <v>0.06024</v>
      </c>
      <c r="AX368" s="559"/>
      <c r="AY368" s="560"/>
      <c r="AZ368" s="561">
        <v>1</v>
      </c>
      <c r="BA368" s="562"/>
      <c r="BB368" s="563"/>
      <c r="BC368" s="558">
        <v>0.397584</v>
      </c>
      <c r="BD368" s="559"/>
      <c r="BE368" s="560"/>
      <c r="BF368" s="558">
        <v>182.49</v>
      </c>
      <c r="BG368" s="559"/>
      <c r="BH368" s="560"/>
      <c r="BI368" s="564">
        <v>0.00217866184448463</v>
      </c>
      <c r="BJ368" s="565"/>
      <c r="BK368" s="565"/>
      <c r="BL368" s="566"/>
      <c r="BM368" s="567" t="s">
        <v>932</v>
      </c>
      <c r="BN368" s="567"/>
      <c r="BO368" s="567"/>
      <c r="BP368" s="567"/>
      <c r="BQ368" s="568" t="s">
        <v>932</v>
      </c>
      <c r="BR368" s="568"/>
      <c r="BS368" s="568"/>
      <c r="BT368" s="567" t="s">
        <v>932</v>
      </c>
      <c r="BU368" s="567"/>
      <c r="BV368" s="567"/>
      <c r="BW368" s="567"/>
      <c r="BX368" s="568" t="s">
        <v>932</v>
      </c>
      <c r="BY368" s="568"/>
      <c r="BZ368" s="568"/>
      <c r="CA368" s="567" t="s">
        <v>932</v>
      </c>
      <c r="CB368" s="567"/>
      <c r="CC368" s="567"/>
      <c r="CD368" s="567"/>
      <c r="CE368" s="568" t="s">
        <v>932</v>
      </c>
      <c r="CF368" s="568"/>
      <c r="CG368" s="568"/>
      <c r="CH368" s="567">
        <v>0.00217866184448463</v>
      </c>
      <c r="CI368" s="567"/>
      <c r="CJ368" s="567"/>
      <c r="CK368" s="567"/>
      <c r="CL368" s="568">
        <v>1</v>
      </c>
      <c r="CM368" s="568"/>
      <c r="CN368" s="568"/>
    </row>
    <row r="369" customHeight="1" spans="1:92">
      <c r="A369" s="569"/>
      <c r="B369" s="570"/>
      <c r="C369" s="571"/>
      <c r="D369" s="572"/>
      <c r="E369" s="573"/>
      <c r="F369" s="574"/>
      <c r="G369" s="575"/>
      <c r="H369" s="576"/>
      <c r="I369" s="577"/>
      <c r="J369" s="578"/>
      <c r="K369" s="578"/>
      <c r="L369" s="578"/>
      <c r="M369" s="578"/>
      <c r="N369" s="578"/>
      <c r="O369" s="578"/>
      <c r="P369" s="578"/>
      <c r="Q369" s="578"/>
      <c r="R369" s="578"/>
      <c r="S369" s="578"/>
      <c r="T369" s="578"/>
      <c r="U369" s="578"/>
      <c r="V369" s="578"/>
      <c r="W369" s="578"/>
      <c r="X369" s="578"/>
      <c r="Y369" s="578"/>
      <c r="Z369" s="578"/>
      <c r="AA369" s="579"/>
      <c r="AB369" s="580"/>
      <c r="AC369" s="581"/>
      <c r="AD369" s="582"/>
      <c r="AE369" s="583"/>
      <c r="AF369" s="584"/>
      <c r="AG369" s="553" t="s">
        <v>1076</v>
      </c>
      <c r="AH369" s="554"/>
      <c r="AI369" s="555" t="s">
        <v>1077</v>
      </c>
      <c r="AJ369" s="556"/>
      <c r="AK369" s="556"/>
      <c r="AL369" s="556"/>
      <c r="AM369" s="556"/>
      <c r="AN369" s="556"/>
      <c r="AO369" s="556"/>
      <c r="AP369" s="556"/>
      <c r="AQ369" s="556"/>
      <c r="AR369" s="556"/>
      <c r="AS369" s="556"/>
      <c r="AT369" s="556"/>
      <c r="AU369" s="556"/>
      <c r="AV369" s="557"/>
      <c r="AW369" s="558">
        <v>0.06024</v>
      </c>
      <c r="AX369" s="559"/>
      <c r="AY369" s="560"/>
      <c r="AZ369" s="585"/>
      <c r="BA369" s="586"/>
      <c r="BB369" s="587"/>
      <c r="BC369" s="558">
        <v>0.397584</v>
      </c>
      <c r="BD369" s="559"/>
      <c r="BE369" s="560"/>
      <c r="BF369" s="558">
        <v>182.49</v>
      </c>
      <c r="BG369" s="559"/>
      <c r="BH369" s="560"/>
      <c r="BI369" s="564">
        <v>0.00217866184448463</v>
      </c>
      <c r="BJ369" s="565"/>
      <c r="BK369" s="565"/>
      <c r="BL369" s="566"/>
      <c r="BM369" s="567" t="s">
        <v>932</v>
      </c>
      <c r="BN369" s="567"/>
      <c r="BO369" s="567"/>
      <c r="BP369" s="567"/>
      <c r="BQ369" s="568" t="s">
        <v>932</v>
      </c>
      <c r="BR369" s="568"/>
      <c r="BS369" s="568"/>
      <c r="BT369" s="567" t="s">
        <v>932</v>
      </c>
      <c r="BU369" s="567"/>
      <c r="BV369" s="567"/>
      <c r="BW369" s="567"/>
      <c r="BX369" s="568" t="s">
        <v>932</v>
      </c>
      <c r="BY369" s="568"/>
      <c r="BZ369" s="568"/>
      <c r="CA369" s="567" t="s">
        <v>932</v>
      </c>
      <c r="CB369" s="567"/>
      <c r="CC369" s="567"/>
      <c r="CD369" s="567"/>
      <c r="CE369" s="568" t="s">
        <v>932</v>
      </c>
      <c r="CF369" s="568"/>
      <c r="CG369" s="568"/>
      <c r="CH369" s="567">
        <v>0.00217866184448463</v>
      </c>
      <c r="CI369" s="567"/>
      <c r="CJ369" s="567"/>
      <c r="CK369" s="567"/>
      <c r="CL369" s="568">
        <v>1</v>
      </c>
      <c r="CM369" s="568"/>
      <c r="CN369" s="568"/>
    </row>
    <row r="370" hidden="1" customHeight="1" spans="1:92">
      <c r="A370" s="569"/>
      <c r="B370" s="570"/>
      <c r="C370" s="571"/>
      <c r="D370" s="572"/>
      <c r="E370" s="573"/>
      <c r="F370" s="574"/>
      <c r="G370" s="575"/>
      <c r="H370" s="576"/>
      <c r="I370" s="577"/>
      <c r="J370" s="578"/>
      <c r="K370" s="578"/>
      <c r="L370" s="578"/>
      <c r="M370" s="578"/>
      <c r="N370" s="578"/>
      <c r="O370" s="578"/>
      <c r="P370" s="578"/>
      <c r="Q370" s="578"/>
      <c r="R370" s="578"/>
      <c r="S370" s="578"/>
      <c r="T370" s="578"/>
      <c r="U370" s="578"/>
      <c r="V370" s="578"/>
      <c r="W370" s="578"/>
      <c r="X370" s="578"/>
      <c r="Y370" s="578"/>
      <c r="Z370" s="578"/>
      <c r="AA370" s="579"/>
      <c r="AB370" s="580"/>
      <c r="AC370" s="581"/>
      <c r="AD370" s="582"/>
      <c r="AE370" s="583"/>
      <c r="AF370" s="584"/>
      <c r="AG370" s="553">
        <v>0</v>
      </c>
      <c r="AH370" s="554"/>
      <c r="AI370" s="555" t="e">
        <v>#N/A</v>
      </c>
      <c r="AJ370" s="556"/>
      <c r="AK370" s="556"/>
      <c r="AL370" s="556"/>
      <c r="AM370" s="556"/>
      <c r="AN370" s="556"/>
      <c r="AO370" s="556"/>
      <c r="AP370" s="556"/>
      <c r="AQ370" s="556"/>
      <c r="AR370" s="556"/>
      <c r="AS370" s="556"/>
      <c r="AT370" s="556"/>
      <c r="AU370" s="556"/>
      <c r="AV370" s="557"/>
      <c r="AW370" s="558">
        <v>0</v>
      </c>
      <c r="AX370" s="559"/>
      <c r="AY370" s="560"/>
      <c r="AZ370" s="585"/>
      <c r="BA370" s="586"/>
      <c r="BB370" s="587"/>
      <c r="BC370" s="558">
        <v>0</v>
      </c>
      <c r="BD370" s="559"/>
      <c r="BE370" s="560"/>
      <c r="BF370" s="558">
        <v>182.49</v>
      </c>
      <c r="BG370" s="559"/>
      <c r="BH370" s="560"/>
      <c r="BI370" s="564">
        <v>0</v>
      </c>
      <c r="BJ370" s="565"/>
      <c r="BK370" s="565"/>
      <c r="BL370" s="566"/>
      <c r="BM370" s="567" t="s">
        <v>932</v>
      </c>
      <c r="BN370" s="567"/>
      <c r="BO370" s="567"/>
      <c r="BP370" s="567"/>
      <c r="BQ370" s="568" t="s">
        <v>932</v>
      </c>
      <c r="BR370" s="568"/>
      <c r="BS370" s="568"/>
      <c r="BT370" s="567" t="s">
        <v>932</v>
      </c>
      <c r="BU370" s="567"/>
      <c r="BV370" s="567"/>
      <c r="BW370" s="567"/>
      <c r="BX370" s="568" t="s">
        <v>932</v>
      </c>
      <c r="BY370" s="568"/>
      <c r="BZ370" s="568"/>
      <c r="CA370" s="567" t="s">
        <v>932</v>
      </c>
      <c r="CB370" s="567"/>
      <c r="CC370" s="567"/>
      <c r="CD370" s="567"/>
      <c r="CE370" s="568" t="s">
        <v>932</v>
      </c>
      <c r="CF370" s="568"/>
      <c r="CG370" s="568"/>
      <c r="CH370" s="567" t="s">
        <v>932</v>
      </c>
      <c r="CI370" s="567"/>
      <c r="CJ370" s="567"/>
      <c r="CK370" s="567"/>
      <c r="CL370" s="568">
        <v>1</v>
      </c>
      <c r="CM370" s="568"/>
      <c r="CN370" s="568"/>
    </row>
    <row r="371" hidden="1" customHeight="1" spans="1:92">
      <c r="A371" s="569"/>
      <c r="B371" s="570"/>
      <c r="C371" s="571"/>
      <c r="D371" s="572"/>
      <c r="E371" s="573"/>
      <c r="F371" s="574"/>
      <c r="G371" s="575"/>
      <c r="H371" s="576"/>
      <c r="I371" s="577"/>
      <c r="J371" s="578"/>
      <c r="K371" s="578"/>
      <c r="L371" s="578"/>
      <c r="M371" s="578"/>
      <c r="N371" s="578"/>
      <c r="O371" s="578"/>
      <c r="P371" s="578"/>
      <c r="Q371" s="578"/>
      <c r="R371" s="578"/>
      <c r="S371" s="578"/>
      <c r="T371" s="578"/>
      <c r="U371" s="578"/>
      <c r="V371" s="578"/>
      <c r="W371" s="578"/>
      <c r="X371" s="578"/>
      <c r="Y371" s="578"/>
      <c r="Z371" s="578"/>
      <c r="AA371" s="579"/>
      <c r="AB371" s="580"/>
      <c r="AC371" s="581"/>
      <c r="AD371" s="582"/>
      <c r="AE371" s="583"/>
      <c r="AF371" s="584"/>
      <c r="AG371" s="553">
        <v>0</v>
      </c>
      <c r="AH371" s="554"/>
      <c r="AI371" s="555" t="e">
        <v>#N/A</v>
      </c>
      <c r="AJ371" s="556"/>
      <c r="AK371" s="556"/>
      <c r="AL371" s="556"/>
      <c r="AM371" s="556"/>
      <c r="AN371" s="556"/>
      <c r="AO371" s="556"/>
      <c r="AP371" s="556"/>
      <c r="AQ371" s="556"/>
      <c r="AR371" s="556"/>
      <c r="AS371" s="556"/>
      <c r="AT371" s="556"/>
      <c r="AU371" s="556"/>
      <c r="AV371" s="557"/>
      <c r="AW371" s="558">
        <v>0</v>
      </c>
      <c r="AX371" s="559"/>
      <c r="AY371" s="560"/>
      <c r="AZ371" s="585"/>
      <c r="BA371" s="586"/>
      <c r="BB371" s="587"/>
      <c r="BC371" s="558">
        <v>0</v>
      </c>
      <c r="BD371" s="559"/>
      <c r="BE371" s="560"/>
      <c r="BF371" s="558">
        <v>182.49</v>
      </c>
      <c r="BG371" s="559"/>
      <c r="BH371" s="560"/>
      <c r="BI371" s="564">
        <v>0</v>
      </c>
      <c r="BJ371" s="565"/>
      <c r="BK371" s="565"/>
      <c r="BL371" s="566"/>
      <c r="BM371" s="567" t="s">
        <v>932</v>
      </c>
      <c r="BN371" s="567"/>
      <c r="BO371" s="567"/>
      <c r="BP371" s="567"/>
      <c r="BQ371" s="568" t="s">
        <v>932</v>
      </c>
      <c r="BR371" s="568"/>
      <c r="BS371" s="568"/>
      <c r="BT371" s="567" t="s">
        <v>932</v>
      </c>
      <c r="BU371" s="567"/>
      <c r="BV371" s="567"/>
      <c r="BW371" s="567"/>
      <c r="BX371" s="568" t="s">
        <v>932</v>
      </c>
      <c r="BY371" s="568"/>
      <c r="BZ371" s="568"/>
      <c r="CA371" s="567" t="s">
        <v>932</v>
      </c>
      <c r="CB371" s="567"/>
      <c r="CC371" s="567"/>
      <c r="CD371" s="567"/>
      <c r="CE371" s="568" t="s">
        <v>932</v>
      </c>
      <c r="CF371" s="568"/>
      <c r="CG371" s="568"/>
      <c r="CH371" s="567" t="s">
        <v>932</v>
      </c>
      <c r="CI371" s="567"/>
      <c r="CJ371" s="567"/>
      <c r="CK371" s="567"/>
      <c r="CL371" s="568">
        <v>1</v>
      </c>
      <c r="CM371" s="568"/>
      <c r="CN371" s="568"/>
    </row>
    <row r="372" hidden="1" customHeight="1" spans="1:92">
      <c r="A372" s="569"/>
      <c r="B372" s="570"/>
      <c r="C372" s="571"/>
      <c r="D372" s="572"/>
      <c r="E372" s="573"/>
      <c r="F372" s="574"/>
      <c r="G372" s="575"/>
      <c r="H372" s="576"/>
      <c r="I372" s="577"/>
      <c r="J372" s="578"/>
      <c r="K372" s="578"/>
      <c r="L372" s="578"/>
      <c r="M372" s="578"/>
      <c r="N372" s="578"/>
      <c r="O372" s="578"/>
      <c r="P372" s="578"/>
      <c r="Q372" s="578"/>
      <c r="R372" s="578"/>
      <c r="S372" s="578"/>
      <c r="T372" s="578"/>
      <c r="U372" s="578"/>
      <c r="V372" s="578"/>
      <c r="W372" s="578"/>
      <c r="X372" s="578"/>
      <c r="Y372" s="578"/>
      <c r="Z372" s="578"/>
      <c r="AA372" s="579"/>
      <c r="AB372" s="580"/>
      <c r="AC372" s="581"/>
      <c r="AD372" s="582"/>
      <c r="AE372" s="583"/>
      <c r="AF372" s="584"/>
      <c r="AG372" s="553">
        <v>0</v>
      </c>
      <c r="AH372" s="554"/>
      <c r="AI372" s="555" t="e">
        <v>#N/A</v>
      </c>
      <c r="AJ372" s="556"/>
      <c r="AK372" s="556"/>
      <c r="AL372" s="556"/>
      <c r="AM372" s="556"/>
      <c r="AN372" s="556"/>
      <c r="AO372" s="556"/>
      <c r="AP372" s="556"/>
      <c r="AQ372" s="556"/>
      <c r="AR372" s="556"/>
      <c r="AS372" s="556"/>
      <c r="AT372" s="556"/>
      <c r="AU372" s="556"/>
      <c r="AV372" s="557"/>
      <c r="AW372" s="558">
        <v>0</v>
      </c>
      <c r="AX372" s="559"/>
      <c r="AY372" s="560"/>
      <c r="AZ372" s="585"/>
      <c r="BA372" s="586"/>
      <c r="BB372" s="587"/>
      <c r="BC372" s="558">
        <v>0</v>
      </c>
      <c r="BD372" s="559"/>
      <c r="BE372" s="560"/>
      <c r="BF372" s="558">
        <v>182.49</v>
      </c>
      <c r="BG372" s="559"/>
      <c r="BH372" s="560"/>
      <c r="BI372" s="564">
        <v>0</v>
      </c>
      <c r="BJ372" s="565"/>
      <c r="BK372" s="565"/>
      <c r="BL372" s="566"/>
      <c r="BM372" s="567" t="s">
        <v>932</v>
      </c>
      <c r="BN372" s="567"/>
      <c r="BO372" s="567"/>
      <c r="BP372" s="567"/>
      <c r="BQ372" s="568" t="s">
        <v>932</v>
      </c>
      <c r="BR372" s="568"/>
      <c r="BS372" s="568"/>
      <c r="BT372" s="567" t="s">
        <v>932</v>
      </c>
      <c r="BU372" s="567"/>
      <c r="BV372" s="567"/>
      <c r="BW372" s="567"/>
      <c r="BX372" s="568" t="s">
        <v>932</v>
      </c>
      <c r="BY372" s="568"/>
      <c r="BZ372" s="568"/>
      <c r="CA372" s="567" t="s">
        <v>932</v>
      </c>
      <c r="CB372" s="567"/>
      <c r="CC372" s="567"/>
      <c r="CD372" s="567"/>
      <c r="CE372" s="568" t="s">
        <v>932</v>
      </c>
      <c r="CF372" s="568"/>
      <c r="CG372" s="568"/>
      <c r="CH372" s="567" t="s">
        <v>932</v>
      </c>
      <c r="CI372" s="567"/>
      <c r="CJ372" s="567"/>
      <c r="CK372" s="567"/>
      <c r="CL372" s="568">
        <v>1</v>
      </c>
      <c r="CM372" s="568"/>
      <c r="CN372" s="568"/>
    </row>
    <row r="373" hidden="1" customHeight="1" spans="1:92">
      <c r="A373" s="569"/>
      <c r="B373" s="570"/>
      <c r="C373" s="571"/>
      <c r="D373" s="572"/>
      <c r="E373" s="573"/>
      <c r="F373" s="574"/>
      <c r="G373" s="575"/>
      <c r="H373" s="576"/>
      <c r="I373" s="577"/>
      <c r="J373" s="578"/>
      <c r="K373" s="578"/>
      <c r="L373" s="578"/>
      <c r="M373" s="578"/>
      <c r="N373" s="578"/>
      <c r="O373" s="578"/>
      <c r="P373" s="578"/>
      <c r="Q373" s="578"/>
      <c r="R373" s="578"/>
      <c r="S373" s="578"/>
      <c r="T373" s="578"/>
      <c r="U373" s="578"/>
      <c r="V373" s="578"/>
      <c r="W373" s="578"/>
      <c r="X373" s="578"/>
      <c r="Y373" s="578"/>
      <c r="Z373" s="578"/>
      <c r="AA373" s="579"/>
      <c r="AB373" s="580"/>
      <c r="AC373" s="581"/>
      <c r="AD373" s="582"/>
      <c r="AE373" s="583"/>
      <c r="AF373" s="584"/>
      <c r="AG373" s="553">
        <v>0</v>
      </c>
      <c r="AH373" s="554"/>
      <c r="AI373" s="555" t="e">
        <v>#N/A</v>
      </c>
      <c r="AJ373" s="556"/>
      <c r="AK373" s="556"/>
      <c r="AL373" s="556"/>
      <c r="AM373" s="556"/>
      <c r="AN373" s="556"/>
      <c r="AO373" s="556"/>
      <c r="AP373" s="556"/>
      <c r="AQ373" s="556"/>
      <c r="AR373" s="556"/>
      <c r="AS373" s="556"/>
      <c r="AT373" s="556"/>
      <c r="AU373" s="556"/>
      <c r="AV373" s="557"/>
      <c r="AW373" s="558">
        <v>0</v>
      </c>
      <c r="AX373" s="559"/>
      <c r="AY373" s="560"/>
      <c r="AZ373" s="585"/>
      <c r="BA373" s="586"/>
      <c r="BB373" s="587"/>
      <c r="BC373" s="558">
        <v>0</v>
      </c>
      <c r="BD373" s="559"/>
      <c r="BE373" s="560"/>
      <c r="BF373" s="558">
        <v>182.49</v>
      </c>
      <c r="BG373" s="559"/>
      <c r="BH373" s="560"/>
      <c r="BI373" s="564">
        <v>0</v>
      </c>
      <c r="BJ373" s="565"/>
      <c r="BK373" s="565"/>
      <c r="BL373" s="566"/>
      <c r="BM373" s="567" t="s">
        <v>932</v>
      </c>
      <c r="BN373" s="567"/>
      <c r="BO373" s="567"/>
      <c r="BP373" s="567"/>
      <c r="BQ373" s="568" t="s">
        <v>932</v>
      </c>
      <c r="BR373" s="568"/>
      <c r="BS373" s="568"/>
      <c r="BT373" s="567" t="s">
        <v>932</v>
      </c>
      <c r="BU373" s="567"/>
      <c r="BV373" s="567"/>
      <c r="BW373" s="567"/>
      <c r="BX373" s="568" t="s">
        <v>932</v>
      </c>
      <c r="BY373" s="568"/>
      <c r="BZ373" s="568"/>
      <c r="CA373" s="567" t="s">
        <v>932</v>
      </c>
      <c r="CB373" s="567"/>
      <c r="CC373" s="567"/>
      <c r="CD373" s="567"/>
      <c r="CE373" s="568" t="s">
        <v>932</v>
      </c>
      <c r="CF373" s="568"/>
      <c r="CG373" s="568"/>
      <c r="CH373" s="567" t="s">
        <v>932</v>
      </c>
      <c r="CI373" s="567"/>
      <c r="CJ373" s="567"/>
      <c r="CK373" s="567"/>
      <c r="CL373" s="568">
        <v>1</v>
      </c>
      <c r="CM373" s="568"/>
      <c r="CN373" s="568"/>
    </row>
    <row r="374" hidden="1" customHeight="1" spans="1:92">
      <c r="A374" s="569"/>
      <c r="B374" s="570"/>
      <c r="C374" s="571"/>
      <c r="D374" s="572"/>
      <c r="E374" s="573"/>
      <c r="F374" s="574"/>
      <c r="G374" s="575"/>
      <c r="H374" s="576"/>
      <c r="I374" s="577"/>
      <c r="J374" s="578"/>
      <c r="K374" s="578"/>
      <c r="L374" s="578"/>
      <c r="M374" s="578"/>
      <c r="N374" s="578"/>
      <c r="O374" s="578"/>
      <c r="P374" s="578"/>
      <c r="Q374" s="578"/>
      <c r="R374" s="578"/>
      <c r="S374" s="578"/>
      <c r="T374" s="578"/>
      <c r="U374" s="578"/>
      <c r="V374" s="578"/>
      <c r="W374" s="578"/>
      <c r="X374" s="578"/>
      <c r="Y374" s="578"/>
      <c r="Z374" s="578"/>
      <c r="AA374" s="579"/>
      <c r="AB374" s="580"/>
      <c r="AC374" s="581"/>
      <c r="AD374" s="582"/>
      <c r="AE374" s="583"/>
      <c r="AF374" s="584"/>
      <c r="AG374" s="553">
        <v>0</v>
      </c>
      <c r="AH374" s="554"/>
      <c r="AI374" s="555" t="e">
        <v>#N/A</v>
      </c>
      <c r="AJ374" s="556"/>
      <c r="AK374" s="556"/>
      <c r="AL374" s="556"/>
      <c r="AM374" s="556"/>
      <c r="AN374" s="556"/>
      <c r="AO374" s="556"/>
      <c r="AP374" s="556"/>
      <c r="AQ374" s="556"/>
      <c r="AR374" s="556"/>
      <c r="AS374" s="556"/>
      <c r="AT374" s="556"/>
      <c r="AU374" s="556"/>
      <c r="AV374" s="557"/>
      <c r="AW374" s="558">
        <v>0</v>
      </c>
      <c r="AX374" s="559"/>
      <c r="AY374" s="560"/>
      <c r="AZ374" s="585"/>
      <c r="BA374" s="586"/>
      <c r="BB374" s="587"/>
      <c r="BC374" s="558">
        <v>0</v>
      </c>
      <c r="BD374" s="559"/>
      <c r="BE374" s="560"/>
      <c r="BF374" s="558">
        <v>182.49</v>
      </c>
      <c r="BG374" s="559"/>
      <c r="BH374" s="560"/>
      <c r="BI374" s="564">
        <v>0</v>
      </c>
      <c r="BJ374" s="565"/>
      <c r="BK374" s="565"/>
      <c r="BL374" s="566"/>
      <c r="BM374" s="567" t="s">
        <v>932</v>
      </c>
      <c r="BN374" s="567"/>
      <c r="BO374" s="567"/>
      <c r="BP374" s="567"/>
      <c r="BQ374" s="568" t="s">
        <v>932</v>
      </c>
      <c r="BR374" s="568"/>
      <c r="BS374" s="568"/>
      <c r="BT374" s="567" t="s">
        <v>932</v>
      </c>
      <c r="BU374" s="567"/>
      <c r="BV374" s="567"/>
      <c r="BW374" s="567"/>
      <c r="BX374" s="568" t="s">
        <v>932</v>
      </c>
      <c r="BY374" s="568"/>
      <c r="BZ374" s="568"/>
      <c r="CA374" s="567" t="s">
        <v>932</v>
      </c>
      <c r="CB374" s="567"/>
      <c r="CC374" s="567"/>
      <c r="CD374" s="567"/>
      <c r="CE374" s="568" t="s">
        <v>932</v>
      </c>
      <c r="CF374" s="568"/>
      <c r="CG374" s="568"/>
      <c r="CH374" s="567" t="s">
        <v>932</v>
      </c>
      <c r="CI374" s="567"/>
      <c r="CJ374" s="567"/>
      <c r="CK374" s="567"/>
      <c r="CL374" s="568">
        <v>1</v>
      </c>
      <c r="CM374" s="568"/>
      <c r="CN374" s="568"/>
    </row>
    <row r="375" hidden="1" customHeight="1" spans="1:92">
      <c r="A375" s="588"/>
      <c r="B375" s="589"/>
      <c r="C375" s="590"/>
      <c r="D375" s="591"/>
      <c r="E375" s="592"/>
      <c r="F375" s="593"/>
      <c r="G375" s="594"/>
      <c r="H375" s="595"/>
      <c r="I375" s="596"/>
      <c r="J375" s="597"/>
      <c r="K375" s="597"/>
      <c r="L375" s="597"/>
      <c r="M375" s="597"/>
      <c r="N375" s="597"/>
      <c r="O375" s="597"/>
      <c r="P375" s="597"/>
      <c r="Q375" s="597"/>
      <c r="R375" s="597"/>
      <c r="S375" s="597"/>
      <c r="T375" s="597"/>
      <c r="U375" s="597"/>
      <c r="V375" s="597"/>
      <c r="W375" s="597"/>
      <c r="X375" s="597"/>
      <c r="Y375" s="597"/>
      <c r="Z375" s="597"/>
      <c r="AA375" s="598"/>
      <c r="AB375" s="599"/>
      <c r="AC375" s="600"/>
      <c r="AD375" s="601"/>
      <c r="AE375" s="602"/>
      <c r="AF375" s="603"/>
      <c r="AG375" s="553">
        <v>0</v>
      </c>
      <c r="AH375" s="554"/>
      <c r="AI375" s="555" t="e">
        <v>#N/A</v>
      </c>
      <c r="AJ375" s="556"/>
      <c r="AK375" s="556"/>
      <c r="AL375" s="556"/>
      <c r="AM375" s="556"/>
      <c r="AN375" s="556"/>
      <c r="AO375" s="556"/>
      <c r="AP375" s="556"/>
      <c r="AQ375" s="556"/>
      <c r="AR375" s="556"/>
      <c r="AS375" s="556"/>
      <c r="AT375" s="556"/>
      <c r="AU375" s="556"/>
      <c r="AV375" s="557"/>
      <c r="AW375" s="558">
        <v>0</v>
      </c>
      <c r="AX375" s="559"/>
      <c r="AY375" s="560"/>
      <c r="AZ375" s="604"/>
      <c r="BA375" s="605"/>
      <c r="BB375" s="606"/>
      <c r="BC375" s="558">
        <v>0</v>
      </c>
      <c r="BD375" s="559"/>
      <c r="BE375" s="560"/>
      <c r="BF375" s="558">
        <v>182.49</v>
      </c>
      <c r="BG375" s="559"/>
      <c r="BH375" s="560"/>
      <c r="BI375" s="564">
        <v>0</v>
      </c>
      <c r="BJ375" s="565"/>
      <c r="BK375" s="565"/>
      <c r="BL375" s="566"/>
      <c r="BM375" s="567" t="s">
        <v>932</v>
      </c>
      <c r="BN375" s="567"/>
      <c r="BO375" s="567"/>
      <c r="BP375" s="567"/>
      <c r="BQ375" s="568" t="s">
        <v>932</v>
      </c>
      <c r="BR375" s="568"/>
      <c r="BS375" s="568"/>
      <c r="BT375" s="567" t="s">
        <v>932</v>
      </c>
      <c r="BU375" s="567"/>
      <c r="BV375" s="567"/>
      <c r="BW375" s="567"/>
      <c r="BX375" s="568" t="s">
        <v>932</v>
      </c>
      <c r="BY375" s="568"/>
      <c r="BZ375" s="568"/>
      <c r="CA375" s="567" t="s">
        <v>932</v>
      </c>
      <c r="CB375" s="567"/>
      <c r="CC375" s="567"/>
      <c r="CD375" s="567"/>
      <c r="CE375" s="568" t="s">
        <v>932</v>
      </c>
      <c r="CF375" s="568"/>
      <c r="CG375" s="568"/>
      <c r="CH375" s="567" t="s">
        <v>932</v>
      </c>
      <c r="CI375" s="567"/>
      <c r="CJ375" s="567"/>
      <c r="CK375" s="567"/>
      <c r="CL375" s="568">
        <v>1</v>
      </c>
      <c r="CM375" s="568"/>
      <c r="CN375" s="568"/>
    </row>
    <row r="376" hidden="1" customHeight="1" spans="1:92">
      <c r="A376" s="540" t="s">
        <v>987</v>
      </c>
      <c r="B376" s="541"/>
      <c r="C376" s="89"/>
      <c r="D376" s="91"/>
      <c r="E376" s="90"/>
      <c r="F376" s="542">
        <v>407819</v>
      </c>
      <c r="G376" s="543"/>
      <c r="H376" s="544"/>
      <c r="I376" s="545" t="s">
        <v>100</v>
      </c>
      <c r="J376" s="546"/>
      <c r="K376" s="546"/>
      <c r="L376" s="546"/>
      <c r="M376" s="546"/>
      <c r="N376" s="546"/>
      <c r="O376" s="546"/>
      <c r="P376" s="546"/>
      <c r="Q376" s="546"/>
      <c r="R376" s="546"/>
      <c r="S376" s="546"/>
      <c r="T376" s="546"/>
      <c r="U376" s="546"/>
      <c r="V376" s="546"/>
      <c r="W376" s="546"/>
      <c r="X376" s="546"/>
      <c r="Y376" s="546"/>
      <c r="Z376" s="546"/>
      <c r="AA376" s="547"/>
      <c r="AB376" s="548" t="s">
        <v>101</v>
      </c>
      <c r="AC376" s="549"/>
      <c r="AD376" s="550">
        <v>1050.4</v>
      </c>
      <c r="AE376" s="551"/>
      <c r="AF376" s="552"/>
      <c r="AG376" s="553">
        <v>0</v>
      </c>
      <c r="AH376" s="554"/>
      <c r="AI376" s="555" t="e">
        <v>#N/A</v>
      </c>
      <c r="AJ376" s="556"/>
      <c r="AK376" s="556"/>
      <c r="AL376" s="556"/>
      <c r="AM376" s="556"/>
      <c r="AN376" s="556"/>
      <c r="AO376" s="556"/>
      <c r="AP376" s="556"/>
      <c r="AQ376" s="556"/>
      <c r="AR376" s="556"/>
      <c r="AS376" s="556"/>
      <c r="AT376" s="556"/>
      <c r="AU376" s="556"/>
      <c r="AV376" s="557"/>
      <c r="AW376" s="558">
        <v>0</v>
      </c>
      <c r="AX376" s="559"/>
      <c r="AY376" s="560"/>
      <c r="AZ376" s="561">
        <v>1</v>
      </c>
      <c r="BA376" s="562"/>
      <c r="BB376" s="563"/>
      <c r="BC376" s="558">
        <v>0</v>
      </c>
      <c r="BD376" s="559"/>
      <c r="BE376" s="560"/>
      <c r="BF376" s="558">
        <v>182.49</v>
      </c>
      <c r="BG376" s="559"/>
      <c r="BH376" s="560"/>
      <c r="BI376" s="564">
        <v>0</v>
      </c>
      <c r="BJ376" s="565"/>
      <c r="BK376" s="565"/>
      <c r="BL376" s="566"/>
      <c r="BM376" s="567" t="s">
        <v>932</v>
      </c>
      <c r="BN376" s="567"/>
      <c r="BO376" s="567"/>
      <c r="BP376" s="567"/>
      <c r="BQ376" s="568" t="s">
        <v>932</v>
      </c>
      <c r="BR376" s="568"/>
      <c r="BS376" s="568"/>
      <c r="BT376" s="567" t="s">
        <v>932</v>
      </c>
      <c r="BU376" s="567"/>
      <c r="BV376" s="567"/>
      <c r="BW376" s="567"/>
      <c r="BX376" s="568" t="s">
        <v>932</v>
      </c>
      <c r="BY376" s="568"/>
      <c r="BZ376" s="568"/>
      <c r="CA376" s="567" t="s">
        <v>932</v>
      </c>
      <c r="CB376" s="567"/>
      <c r="CC376" s="567"/>
      <c r="CD376" s="567"/>
      <c r="CE376" s="568" t="s">
        <v>932</v>
      </c>
      <c r="CF376" s="568"/>
      <c r="CG376" s="568"/>
      <c r="CH376" s="567" t="s">
        <v>932</v>
      </c>
      <c r="CI376" s="567"/>
      <c r="CJ376" s="567"/>
      <c r="CK376" s="567"/>
      <c r="CL376" s="568">
        <v>1</v>
      </c>
      <c r="CM376" s="568"/>
      <c r="CN376" s="568"/>
    </row>
    <row r="377" hidden="1" customHeight="1" spans="1:92">
      <c r="A377" s="569"/>
      <c r="B377" s="570"/>
      <c r="C377" s="571"/>
      <c r="D377" s="572"/>
      <c r="E377" s="573"/>
      <c r="F377" s="574"/>
      <c r="G377" s="575"/>
      <c r="H377" s="576"/>
      <c r="I377" s="577"/>
      <c r="J377" s="578"/>
      <c r="K377" s="578"/>
      <c r="L377" s="578"/>
      <c r="M377" s="578"/>
      <c r="N377" s="578"/>
      <c r="O377" s="578"/>
      <c r="P377" s="578"/>
      <c r="Q377" s="578"/>
      <c r="R377" s="578"/>
      <c r="S377" s="578"/>
      <c r="T377" s="578"/>
      <c r="U377" s="578"/>
      <c r="V377" s="578"/>
      <c r="W377" s="578"/>
      <c r="X377" s="578"/>
      <c r="Y377" s="578"/>
      <c r="Z377" s="578"/>
      <c r="AA377" s="579"/>
      <c r="AB377" s="580"/>
      <c r="AC377" s="581"/>
      <c r="AD377" s="582"/>
      <c r="AE377" s="583"/>
      <c r="AF377" s="584"/>
      <c r="AG377" s="553">
        <v>0</v>
      </c>
      <c r="AH377" s="554"/>
      <c r="AI377" s="555" t="e">
        <v>#N/A</v>
      </c>
      <c r="AJ377" s="556"/>
      <c r="AK377" s="556"/>
      <c r="AL377" s="556"/>
      <c r="AM377" s="556"/>
      <c r="AN377" s="556"/>
      <c r="AO377" s="556"/>
      <c r="AP377" s="556"/>
      <c r="AQ377" s="556"/>
      <c r="AR377" s="556"/>
      <c r="AS377" s="556"/>
      <c r="AT377" s="556"/>
      <c r="AU377" s="556"/>
      <c r="AV377" s="557"/>
      <c r="AW377" s="558">
        <v>0</v>
      </c>
      <c r="AX377" s="559"/>
      <c r="AY377" s="560"/>
      <c r="AZ377" s="585"/>
      <c r="BA377" s="586"/>
      <c r="BB377" s="587"/>
      <c r="BC377" s="558">
        <v>0</v>
      </c>
      <c r="BD377" s="559"/>
      <c r="BE377" s="560"/>
      <c r="BF377" s="558">
        <v>182.49</v>
      </c>
      <c r="BG377" s="559"/>
      <c r="BH377" s="560"/>
      <c r="BI377" s="564">
        <v>0</v>
      </c>
      <c r="BJ377" s="565"/>
      <c r="BK377" s="565"/>
      <c r="BL377" s="566"/>
      <c r="BM377" s="567" t="s">
        <v>932</v>
      </c>
      <c r="BN377" s="567"/>
      <c r="BO377" s="567"/>
      <c r="BP377" s="567"/>
      <c r="BQ377" s="568" t="s">
        <v>932</v>
      </c>
      <c r="BR377" s="568"/>
      <c r="BS377" s="568"/>
      <c r="BT377" s="567" t="s">
        <v>932</v>
      </c>
      <c r="BU377" s="567"/>
      <c r="BV377" s="567"/>
      <c r="BW377" s="567"/>
      <c r="BX377" s="568" t="s">
        <v>932</v>
      </c>
      <c r="BY377" s="568"/>
      <c r="BZ377" s="568"/>
      <c r="CA377" s="567" t="s">
        <v>932</v>
      </c>
      <c r="CB377" s="567"/>
      <c r="CC377" s="567"/>
      <c r="CD377" s="567"/>
      <c r="CE377" s="568" t="s">
        <v>932</v>
      </c>
      <c r="CF377" s="568"/>
      <c r="CG377" s="568"/>
      <c r="CH377" s="567" t="s">
        <v>932</v>
      </c>
      <c r="CI377" s="567"/>
      <c r="CJ377" s="567"/>
      <c r="CK377" s="567"/>
      <c r="CL377" s="568">
        <v>1</v>
      </c>
      <c r="CM377" s="568"/>
      <c r="CN377" s="568"/>
    </row>
    <row r="378" hidden="1" customHeight="1" spans="1:92">
      <c r="A378" s="569"/>
      <c r="B378" s="570"/>
      <c r="C378" s="571"/>
      <c r="D378" s="572"/>
      <c r="E378" s="573"/>
      <c r="F378" s="574"/>
      <c r="G378" s="575"/>
      <c r="H378" s="576"/>
      <c r="I378" s="577"/>
      <c r="J378" s="578"/>
      <c r="K378" s="578"/>
      <c r="L378" s="578"/>
      <c r="M378" s="578"/>
      <c r="N378" s="578"/>
      <c r="O378" s="578"/>
      <c r="P378" s="578"/>
      <c r="Q378" s="578"/>
      <c r="R378" s="578"/>
      <c r="S378" s="578"/>
      <c r="T378" s="578"/>
      <c r="U378" s="578"/>
      <c r="V378" s="578"/>
      <c r="W378" s="578"/>
      <c r="X378" s="578"/>
      <c r="Y378" s="578"/>
      <c r="Z378" s="578"/>
      <c r="AA378" s="579"/>
      <c r="AB378" s="580"/>
      <c r="AC378" s="581"/>
      <c r="AD378" s="582"/>
      <c r="AE378" s="583"/>
      <c r="AF378" s="584"/>
      <c r="AG378" s="553">
        <v>0</v>
      </c>
      <c r="AH378" s="554"/>
      <c r="AI378" s="555" t="e">
        <v>#N/A</v>
      </c>
      <c r="AJ378" s="556"/>
      <c r="AK378" s="556"/>
      <c r="AL378" s="556"/>
      <c r="AM378" s="556"/>
      <c r="AN378" s="556"/>
      <c r="AO378" s="556"/>
      <c r="AP378" s="556"/>
      <c r="AQ378" s="556"/>
      <c r="AR378" s="556"/>
      <c r="AS378" s="556"/>
      <c r="AT378" s="556"/>
      <c r="AU378" s="556"/>
      <c r="AV378" s="557"/>
      <c r="AW378" s="558">
        <v>0</v>
      </c>
      <c r="AX378" s="559"/>
      <c r="AY378" s="560"/>
      <c r="AZ378" s="585"/>
      <c r="BA378" s="586"/>
      <c r="BB378" s="587"/>
      <c r="BC378" s="558">
        <v>0</v>
      </c>
      <c r="BD378" s="559"/>
      <c r="BE378" s="560"/>
      <c r="BF378" s="558">
        <v>182.49</v>
      </c>
      <c r="BG378" s="559"/>
      <c r="BH378" s="560"/>
      <c r="BI378" s="564">
        <v>0</v>
      </c>
      <c r="BJ378" s="565"/>
      <c r="BK378" s="565"/>
      <c r="BL378" s="566"/>
      <c r="BM378" s="567" t="s">
        <v>932</v>
      </c>
      <c r="BN378" s="567"/>
      <c r="BO378" s="567"/>
      <c r="BP378" s="567"/>
      <c r="BQ378" s="568" t="s">
        <v>932</v>
      </c>
      <c r="BR378" s="568"/>
      <c r="BS378" s="568"/>
      <c r="BT378" s="567" t="s">
        <v>932</v>
      </c>
      <c r="BU378" s="567"/>
      <c r="BV378" s="567"/>
      <c r="BW378" s="567"/>
      <c r="BX378" s="568" t="s">
        <v>932</v>
      </c>
      <c r="BY378" s="568"/>
      <c r="BZ378" s="568"/>
      <c r="CA378" s="567" t="s">
        <v>932</v>
      </c>
      <c r="CB378" s="567"/>
      <c r="CC378" s="567"/>
      <c r="CD378" s="567"/>
      <c r="CE378" s="568" t="s">
        <v>932</v>
      </c>
      <c r="CF378" s="568"/>
      <c r="CG378" s="568"/>
      <c r="CH378" s="567" t="s">
        <v>932</v>
      </c>
      <c r="CI378" s="567"/>
      <c r="CJ378" s="567"/>
      <c r="CK378" s="567"/>
      <c r="CL378" s="568">
        <v>1</v>
      </c>
      <c r="CM378" s="568"/>
      <c r="CN378" s="568"/>
    </row>
    <row r="379" hidden="1" customHeight="1" spans="1:92">
      <c r="A379" s="569"/>
      <c r="B379" s="570"/>
      <c r="C379" s="571"/>
      <c r="D379" s="572"/>
      <c r="E379" s="573"/>
      <c r="F379" s="574"/>
      <c r="G379" s="575"/>
      <c r="H379" s="576"/>
      <c r="I379" s="577"/>
      <c r="J379" s="578"/>
      <c r="K379" s="578"/>
      <c r="L379" s="578"/>
      <c r="M379" s="578"/>
      <c r="N379" s="578"/>
      <c r="O379" s="578"/>
      <c r="P379" s="578"/>
      <c r="Q379" s="578"/>
      <c r="R379" s="578"/>
      <c r="S379" s="578"/>
      <c r="T379" s="578"/>
      <c r="U379" s="578"/>
      <c r="V379" s="578"/>
      <c r="W379" s="578"/>
      <c r="X379" s="578"/>
      <c r="Y379" s="578"/>
      <c r="Z379" s="578"/>
      <c r="AA379" s="579"/>
      <c r="AB379" s="580"/>
      <c r="AC379" s="581"/>
      <c r="AD379" s="582"/>
      <c r="AE379" s="583"/>
      <c r="AF379" s="584"/>
      <c r="AG379" s="553">
        <v>0</v>
      </c>
      <c r="AH379" s="554"/>
      <c r="AI379" s="555" t="e">
        <v>#N/A</v>
      </c>
      <c r="AJ379" s="556"/>
      <c r="AK379" s="556"/>
      <c r="AL379" s="556"/>
      <c r="AM379" s="556"/>
      <c r="AN379" s="556"/>
      <c r="AO379" s="556"/>
      <c r="AP379" s="556"/>
      <c r="AQ379" s="556"/>
      <c r="AR379" s="556"/>
      <c r="AS379" s="556"/>
      <c r="AT379" s="556"/>
      <c r="AU379" s="556"/>
      <c r="AV379" s="557"/>
      <c r="AW379" s="558">
        <v>0</v>
      </c>
      <c r="AX379" s="559"/>
      <c r="AY379" s="560"/>
      <c r="AZ379" s="585"/>
      <c r="BA379" s="586"/>
      <c r="BB379" s="587"/>
      <c r="BC379" s="558">
        <v>0</v>
      </c>
      <c r="BD379" s="559"/>
      <c r="BE379" s="560"/>
      <c r="BF379" s="558">
        <v>182.49</v>
      </c>
      <c r="BG379" s="559"/>
      <c r="BH379" s="560"/>
      <c r="BI379" s="564">
        <v>0</v>
      </c>
      <c r="BJ379" s="565"/>
      <c r="BK379" s="565"/>
      <c r="BL379" s="566"/>
      <c r="BM379" s="567" t="s">
        <v>932</v>
      </c>
      <c r="BN379" s="567"/>
      <c r="BO379" s="567"/>
      <c r="BP379" s="567"/>
      <c r="BQ379" s="568" t="s">
        <v>932</v>
      </c>
      <c r="BR379" s="568"/>
      <c r="BS379" s="568"/>
      <c r="BT379" s="567" t="s">
        <v>932</v>
      </c>
      <c r="BU379" s="567"/>
      <c r="BV379" s="567"/>
      <c r="BW379" s="567"/>
      <c r="BX379" s="568" t="s">
        <v>932</v>
      </c>
      <c r="BY379" s="568"/>
      <c r="BZ379" s="568"/>
      <c r="CA379" s="567" t="s">
        <v>932</v>
      </c>
      <c r="CB379" s="567"/>
      <c r="CC379" s="567"/>
      <c r="CD379" s="567"/>
      <c r="CE379" s="568" t="s">
        <v>932</v>
      </c>
      <c r="CF379" s="568"/>
      <c r="CG379" s="568"/>
      <c r="CH379" s="567" t="s">
        <v>932</v>
      </c>
      <c r="CI379" s="567"/>
      <c r="CJ379" s="567"/>
      <c r="CK379" s="567"/>
      <c r="CL379" s="568">
        <v>1</v>
      </c>
      <c r="CM379" s="568"/>
      <c r="CN379" s="568"/>
    </row>
    <row r="380" hidden="1" customHeight="1" spans="1:92">
      <c r="A380" s="569"/>
      <c r="B380" s="570"/>
      <c r="C380" s="571"/>
      <c r="D380" s="572"/>
      <c r="E380" s="573"/>
      <c r="F380" s="574"/>
      <c r="G380" s="575"/>
      <c r="H380" s="576"/>
      <c r="I380" s="577"/>
      <c r="J380" s="578"/>
      <c r="K380" s="578"/>
      <c r="L380" s="578"/>
      <c r="M380" s="578"/>
      <c r="N380" s="578"/>
      <c r="O380" s="578"/>
      <c r="P380" s="578"/>
      <c r="Q380" s="578"/>
      <c r="R380" s="578"/>
      <c r="S380" s="578"/>
      <c r="T380" s="578"/>
      <c r="U380" s="578"/>
      <c r="V380" s="578"/>
      <c r="W380" s="578"/>
      <c r="X380" s="578"/>
      <c r="Y380" s="578"/>
      <c r="Z380" s="578"/>
      <c r="AA380" s="579"/>
      <c r="AB380" s="580"/>
      <c r="AC380" s="581"/>
      <c r="AD380" s="582"/>
      <c r="AE380" s="583"/>
      <c r="AF380" s="584"/>
      <c r="AG380" s="553">
        <v>0</v>
      </c>
      <c r="AH380" s="554"/>
      <c r="AI380" s="555" t="e">
        <v>#N/A</v>
      </c>
      <c r="AJ380" s="556"/>
      <c r="AK380" s="556"/>
      <c r="AL380" s="556"/>
      <c r="AM380" s="556"/>
      <c r="AN380" s="556"/>
      <c r="AO380" s="556"/>
      <c r="AP380" s="556"/>
      <c r="AQ380" s="556"/>
      <c r="AR380" s="556"/>
      <c r="AS380" s="556"/>
      <c r="AT380" s="556"/>
      <c r="AU380" s="556"/>
      <c r="AV380" s="557"/>
      <c r="AW380" s="558">
        <v>0</v>
      </c>
      <c r="AX380" s="559"/>
      <c r="AY380" s="560"/>
      <c r="AZ380" s="585"/>
      <c r="BA380" s="586"/>
      <c r="BB380" s="587"/>
      <c r="BC380" s="558">
        <v>0</v>
      </c>
      <c r="BD380" s="559"/>
      <c r="BE380" s="560"/>
      <c r="BF380" s="558">
        <v>182.49</v>
      </c>
      <c r="BG380" s="559"/>
      <c r="BH380" s="560"/>
      <c r="BI380" s="564">
        <v>0</v>
      </c>
      <c r="BJ380" s="565"/>
      <c r="BK380" s="565"/>
      <c r="BL380" s="566"/>
      <c r="BM380" s="567" t="s">
        <v>932</v>
      </c>
      <c r="BN380" s="567"/>
      <c r="BO380" s="567"/>
      <c r="BP380" s="567"/>
      <c r="BQ380" s="568" t="s">
        <v>932</v>
      </c>
      <c r="BR380" s="568"/>
      <c r="BS380" s="568"/>
      <c r="BT380" s="567" t="s">
        <v>932</v>
      </c>
      <c r="BU380" s="567"/>
      <c r="BV380" s="567"/>
      <c r="BW380" s="567"/>
      <c r="BX380" s="568" t="s">
        <v>932</v>
      </c>
      <c r="BY380" s="568"/>
      <c r="BZ380" s="568"/>
      <c r="CA380" s="567" t="s">
        <v>932</v>
      </c>
      <c r="CB380" s="567"/>
      <c r="CC380" s="567"/>
      <c r="CD380" s="567"/>
      <c r="CE380" s="568" t="s">
        <v>932</v>
      </c>
      <c r="CF380" s="568"/>
      <c r="CG380" s="568"/>
      <c r="CH380" s="567" t="s">
        <v>932</v>
      </c>
      <c r="CI380" s="567"/>
      <c r="CJ380" s="567"/>
      <c r="CK380" s="567"/>
      <c r="CL380" s="568">
        <v>1</v>
      </c>
      <c r="CM380" s="568"/>
      <c r="CN380" s="568"/>
    </row>
    <row r="381" hidden="1" customHeight="1" spans="1:92">
      <c r="A381" s="569"/>
      <c r="B381" s="570"/>
      <c r="C381" s="571"/>
      <c r="D381" s="572"/>
      <c r="E381" s="573"/>
      <c r="F381" s="574"/>
      <c r="G381" s="575"/>
      <c r="H381" s="576"/>
      <c r="I381" s="577"/>
      <c r="J381" s="578"/>
      <c r="K381" s="578"/>
      <c r="L381" s="578"/>
      <c r="M381" s="578"/>
      <c r="N381" s="578"/>
      <c r="O381" s="578"/>
      <c r="P381" s="578"/>
      <c r="Q381" s="578"/>
      <c r="R381" s="578"/>
      <c r="S381" s="578"/>
      <c r="T381" s="578"/>
      <c r="U381" s="578"/>
      <c r="V381" s="578"/>
      <c r="W381" s="578"/>
      <c r="X381" s="578"/>
      <c r="Y381" s="578"/>
      <c r="Z381" s="578"/>
      <c r="AA381" s="579"/>
      <c r="AB381" s="580"/>
      <c r="AC381" s="581"/>
      <c r="AD381" s="582"/>
      <c r="AE381" s="583"/>
      <c r="AF381" s="584"/>
      <c r="AG381" s="553">
        <v>0</v>
      </c>
      <c r="AH381" s="554"/>
      <c r="AI381" s="555" t="e">
        <v>#N/A</v>
      </c>
      <c r="AJ381" s="556"/>
      <c r="AK381" s="556"/>
      <c r="AL381" s="556"/>
      <c r="AM381" s="556"/>
      <c r="AN381" s="556"/>
      <c r="AO381" s="556"/>
      <c r="AP381" s="556"/>
      <c r="AQ381" s="556"/>
      <c r="AR381" s="556"/>
      <c r="AS381" s="556"/>
      <c r="AT381" s="556"/>
      <c r="AU381" s="556"/>
      <c r="AV381" s="557"/>
      <c r="AW381" s="558">
        <v>0</v>
      </c>
      <c r="AX381" s="559"/>
      <c r="AY381" s="560"/>
      <c r="AZ381" s="585"/>
      <c r="BA381" s="586"/>
      <c r="BB381" s="587"/>
      <c r="BC381" s="558">
        <v>0</v>
      </c>
      <c r="BD381" s="559"/>
      <c r="BE381" s="560"/>
      <c r="BF381" s="558">
        <v>182.49</v>
      </c>
      <c r="BG381" s="559"/>
      <c r="BH381" s="560"/>
      <c r="BI381" s="564">
        <v>0</v>
      </c>
      <c r="BJ381" s="565"/>
      <c r="BK381" s="565"/>
      <c r="BL381" s="566"/>
      <c r="BM381" s="567" t="s">
        <v>932</v>
      </c>
      <c r="BN381" s="567"/>
      <c r="BO381" s="567"/>
      <c r="BP381" s="567"/>
      <c r="BQ381" s="568" t="s">
        <v>932</v>
      </c>
      <c r="BR381" s="568"/>
      <c r="BS381" s="568"/>
      <c r="BT381" s="567" t="s">
        <v>932</v>
      </c>
      <c r="BU381" s="567"/>
      <c r="BV381" s="567"/>
      <c r="BW381" s="567"/>
      <c r="BX381" s="568" t="s">
        <v>932</v>
      </c>
      <c r="BY381" s="568"/>
      <c r="BZ381" s="568"/>
      <c r="CA381" s="567" t="s">
        <v>932</v>
      </c>
      <c r="CB381" s="567"/>
      <c r="CC381" s="567"/>
      <c r="CD381" s="567"/>
      <c r="CE381" s="568" t="s">
        <v>932</v>
      </c>
      <c r="CF381" s="568"/>
      <c r="CG381" s="568"/>
      <c r="CH381" s="567" t="s">
        <v>932</v>
      </c>
      <c r="CI381" s="567"/>
      <c r="CJ381" s="567"/>
      <c r="CK381" s="567"/>
      <c r="CL381" s="568">
        <v>1</v>
      </c>
      <c r="CM381" s="568"/>
      <c r="CN381" s="568"/>
    </row>
    <row r="382" hidden="1" customHeight="1" spans="1:92">
      <c r="A382" s="569"/>
      <c r="B382" s="570"/>
      <c r="C382" s="571"/>
      <c r="D382" s="572"/>
      <c r="E382" s="573"/>
      <c r="F382" s="574"/>
      <c r="G382" s="575"/>
      <c r="H382" s="576"/>
      <c r="I382" s="577"/>
      <c r="J382" s="578"/>
      <c r="K382" s="578"/>
      <c r="L382" s="578"/>
      <c r="M382" s="578"/>
      <c r="N382" s="578"/>
      <c r="O382" s="578"/>
      <c r="P382" s="578"/>
      <c r="Q382" s="578"/>
      <c r="R382" s="578"/>
      <c r="S382" s="578"/>
      <c r="T382" s="578"/>
      <c r="U382" s="578"/>
      <c r="V382" s="578"/>
      <c r="W382" s="578"/>
      <c r="X382" s="578"/>
      <c r="Y382" s="578"/>
      <c r="Z382" s="578"/>
      <c r="AA382" s="579"/>
      <c r="AB382" s="580"/>
      <c r="AC382" s="581"/>
      <c r="AD382" s="582"/>
      <c r="AE382" s="583"/>
      <c r="AF382" s="584"/>
      <c r="AG382" s="553">
        <v>0</v>
      </c>
      <c r="AH382" s="554"/>
      <c r="AI382" s="555" t="e">
        <v>#N/A</v>
      </c>
      <c r="AJ382" s="556"/>
      <c r="AK382" s="556"/>
      <c r="AL382" s="556"/>
      <c r="AM382" s="556"/>
      <c r="AN382" s="556"/>
      <c r="AO382" s="556"/>
      <c r="AP382" s="556"/>
      <c r="AQ382" s="556"/>
      <c r="AR382" s="556"/>
      <c r="AS382" s="556"/>
      <c r="AT382" s="556"/>
      <c r="AU382" s="556"/>
      <c r="AV382" s="557"/>
      <c r="AW382" s="558">
        <v>0</v>
      </c>
      <c r="AX382" s="559"/>
      <c r="AY382" s="560"/>
      <c r="AZ382" s="585"/>
      <c r="BA382" s="586"/>
      <c r="BB382" s="587"/>
      <c r="BC382" s="558">
        <v>0</v>
      </c>
      <c r="BD382" s="559"/>
      <c r="BE382" s="560"/>
      <c r="BF382" s="558">
        <v>182.49</v>
      </c>
      <c r="BG382" s="559"/>
      <c r="BH382" s="560"/>
      <c r="BI382" s="564">
        <v>0</v>
      </c>
      <c r="BJ382" s="565"/>
      <c r="BK382" s="565"/>
      <c r="BL382" s="566"/>
      <c r="BM382" s="567" t="s">
        <v>932</v>
      </c>
      <c r="BN382" s="567"/>
      <c r="BO382" s="567"/>
      <c r="BP382" s="567"/>
      <c r="BQ382" s="568" t="s">
        <v>932</v>
      </c>
      <c r="BR382" s="568"/>
      <c r="BS382" s="568"/>
      <c r="BT382" s="567" t="s">
        <v>932</v>
      </c>
      <c r="BU382" s="567"/>
      <c r="BV382" s="567"/>
      <c r="BW382" s="567"/>
      <c r="BX382" s="568" t="s">
        <v>932</v>
      </c>
      <c r="BY382" s="568"/>
      <c r="BZ382" s="568"/>
      <c r="CA382" s="567" t="s">
        <v>932</v>
      </c>
      <c r="CB382" s="567"/>
      <c r="CC382" s="567"/>
      <c r="CD382" s="567"/>
      <c r="CE382" s="568" t="s">
        <v>932</v>
      </c>
      <c r="CF382" s="568"/>
      <c r="CG382" s="568"/>
      <c r="CH382" s="567" t="s">
        <v>932</v>
      </c>
      <c r="CI382" s="567"/>
      <c r="CJ382" s="567"/>
      <c r="CK382" s="567"/>
      <c r="CL382" s="568">
        <v>1</v>
      </c>
      <c r="CM382" s="568"/>
      <c r="CN382" s="568"/>
    </row>
    <row r="383" hidden="1" customHeight="1" spans="1:92">
      <c r="A383" s="588"/>
      <c r="B383" s="589"/>
      <c r="C383" s="590"/>
      <c r="D383" s="591"/>
      <c r="E383" s="592"/>
      <c r="F383" s="593"/>
      <c r="G383" s="594"/>
      <c r="H383" s="595"/>
      <c r="I383" s="596"/>
      <c r="J383" s="597"/>
      <c r="K383" s="597"/>
      <c r="L383" s="597"/>
      <c r="M383" s="597"/>
      <c r="N383" s="597"/>
      <c r="O383" s="597"/>
      <c r="P383" s="597"/>
      <c r="Q383" s="597"/>
      <c r="R383" s="597"/>
      <c r="S383" s="597"/>
      <c r="T383" s="597"/>
      <c r="U383" s="597"/>
      <c r="V383" s="597"/>
      <c r="W383" s="597"/>
      <c r="X383" s="597"/>
      <c r="Y383" s="597"/>
      <c r="Z383" s="597"/>
      <c r="AA383" s="598"/>
      <c r="AB383" s="599"/>
      <c r="AC383" s="600"/>
      <c r="AD383" s="601"/>
      <c r="AE383" s="602"/>
      <c r="AF383" s="603"/>
      <c r="AG383" s="553">
        <v>0</v>
      </c>
      <c r="AH383" s="554"/>
      <c r="AI383" s="555" t="e">
        <v>#N/A</v>
      </c>
      <c r="AJ383" s="556"/>
      <c r="AK383" s="556"/>
      <c r="AL383" s="556"/>
      <c r="AM383" s="556"/>
      <c r="AN383" s="556"/>
      <c r="AO383" s="556"/>
      <c r="AP383" s="556"/>
      <c r="AQ383" s="556"/>
      <c r="AR383" s="556"/>
      <c r="AS383" s="556"/>
      <c r="AT383" s="556"/>
      <c r="AU383" s="556"/>
      <c r="AV383" s="557"/>
      <c r="AW383" s="558">
        <v>0</v>
      </c>
      <c r="AX383" s="559"/>
      <c r="AY383" s="560"/>
      <c r="AZ383" s="604"/>
      <c r="BA383" s="605"/>
      <c r="BB383" s="606"/>
      <c r="BC383" s="558">
        <v>0</v>
      </c>
      <c r="BD383" s="559"/>
      <c r="BE383" s="560"/>
      <c r="BF383" s="558">
        <v>182.49</v>
      </c>
      <c r="BG383" s="559"/>
      <c r="BH383" s="560"/>
      <c r="BI383" s="564">
        <v>0</v>
      </c>
      <c r="BJ383" s="565"/>
      <c r="BK383" s="565"/>
      <c r="BL383" s="566"/>
      <c r="BM383" s="567" t="s">
        <v>932</v>
      </c>
      <c r="BN383" s="567"/>
      <c r="BO383" s="567"/>
      <c r="BP383" s="567"/>
      <c r="BQ383" s="568" t="s">
        <v>932</v>
      </c>
      <c r="BR383" s="568"/>
      <c r="BS383" s="568"/>
      <c r="BT383" s="567" t="s">
        <v>932</v>
      </c>
      <c r="BU383" s="567"/>
      <c r="BV383" s="567"/>
      <c r="BW383" s="567"/>
      <c r="BX383" s="568" t="s">
        <v>932</v>
      </c>
      <c r="BY383" s="568"/>
      <c r="BZ383" s="568"/>
      <c r="CA383" s="567" t="s">
        <v>932</v>
      </c>
      <c r="CB383" s="567"/>
      <c r="CC383" s="567"/>
      <c r="CD383" s="567"/>
      <c r="CE383" s="568" t="s">
        <v>932</v>
      </c>
      <c r="CF383" s="568"/>
      <c r="CG383" s="568"/>
      <c r="CH383" s="567" t="s">
        <v>932</v>
      </c>
      <c r="CI383" s="567"/>
      <c r="CJ383" s="567"/>
      <c r="CK383" s="567"/>
      <c r="CL383" s="568">
        <v>1</v>
      </c>
      <c r="CM383" s="568"/>
      <c r="CN383" s="568"/>
    </row>
    <row r="384" customHeight="1" spans="1:92">
      <c r="A384" s="540" t="s">
        <v>988</v>
      </c>
      <c r="B384" s="541"/>
      <c r="C384" s="89"/>
      <c r="D384" s="91"/>
      <c r="E384" s="90"/>
      <c r="F384" s="542">
        <v>1100657</v>
      </c>
      <c r="G384" s="543"/>
      <c r="H384" s="544"/>
      <c r="I384" s="545" t="s">
        <v>114</v>
      </c>
      <c r="J384" s="546"/>
      <c r="K384" s="546"/>
      <c r="L384" s="546"/>
      <c r="M384" s="546"/>
      <c r="N384" s="546"/>
      <c r="O384" s="546"/>
      <c r="P384" s="546"/>
      <c r="Q384" s="546"/>
      <c r="R384" s="546"/>
      <c r="S384" s="546"/>
      <c r="T384" s="546"/>
      <c r="U384" s="546"/>
      <c r="V384" s="546"/>
      <c r="W384" s="546"/>
      <c r="X384" s="546"/>
      <c r="Y384" s="546"/>
      <c r="Z384" s="546"/>
      <c r="AA384" s="547"/>
      <c r="AB384" s="548" t="s">
        <v>99</v>
      </c>
      <c r="AC384" s="549"/>
      <c r="AD384" s="550">
        <v>15.75</v>
      </c>
      <c r="AE384" s="551"/>
      <c r="AF384" s="552"/>
      <c r="AG384" s="553" t="s">
        <v>1080</v>
      </c>
      <c r="AH384" s="554"/>
      <c r="AI384" s="555" t="s">
        <v>1081</v>
      </c>
      <c r="AJ384" s="556"/>
      <c r="AK384" s="556"/>
      <c r="AL384" s="556"/>
      <c r="AM384" s="556"/>
      <c r="AN384" s="556"/>
      <c r="AO384" s="556"/>
      <c r="AP384" s="556"/>
      <c r="AQ384" s="556"/>
      <c r="AR384" s="556"/>
      <c r="AS384" s="556"/>
      <c r="AT384" s="556"/>
      <c r="AU384" s="556"/>
      <c r="AV384" s="557"/>
      <c r="AW384" s="558">
        <v>1</v>
      </c>
      <c r="AX384" s="559"/>
      <c r="AY384" s="560"/>
      <c r="AZ384" s="561">
        <v>9</v>
      </c>
      <c r="BA384" s="562"/>
      <c r="BB384" s="563"/>
      <c r="BC384" s="558">
        <v>1.75</v>
      </c>
      <c r="BD384" s="559"/>
      <c r="BE384" s="560"/>
      <c r="BF384" s="558">
        <v>182.49</v>
      </c>
      <c r="BG384" s="559"/>
      <c r="BH384" s="560"/>
      <c r="BI384" s="564">
        <v>0.00958956655159187</v>
      </c>
      <c r="BJ384" s="565"/>
      <c r="BK384" s="565"/>
      <c r="BL384" s="566"/>
      <c r="BM384" s="567" t="s">
        <v>932</v>
      </c>
      <c r="BN384" s="567"/>
      <c r="BO384" s="567"/>
      <c r="BP384" s="567"/>
      <c r="BQ384" s="568" t="s">
        <v>932</v>
      </c>
      <c r="BR384" s="568"/>
      <c r="BS384" s="568"/>
      <c r="BT384" s="567" t="s">
        <v>932</v>
      </c>
      <c r="BU384" s="567"/>
      <c r="BV384" s="567"/>
      <c r="BW384" s="567"/>
      <c r="BX384" s="568" t="s">
        <v>932</v>
      </c>
      <c r="BY384" s="568"/>
      <c r="BZ384" s="568"/>
      <c r="CA384" s="567" t="s">
        <v>932</v>
      </c>
      <c r="CB384" s="567"/>
      <c r="CC384" s="567"/>
      <c r="CD384" s="567"/>
      <c r="CE384" s="568" t="s">
        <v>932</v>
      </c>
      <c r="CF384" s="568"/>
      <c r="CG384" s="568"/>
      <c r="CH384" s="567">
        <v>0.00958956655159187</v>
      </c>
      <c r="CI384" s="567"/>
      <c r="CJ384" s="567"/>
      <c r="CK384" s="567"/>
      <c r="CL384" s="568">
        <v>1</v>
      </c>
      <c r="CM384" s="568"/>
      <c r="CN384" s="568"/>
    </row>
    <row r="385" hidden="1" customHeight="1" spans="1:92">
      <c r="A385" s="569"/>
      <c r="B385" s="570"/>
      <c r="C385" s="571"/>
      <c r="D385" s="572"/>
      <c r="E385" s="573"/>
      <c r="F385" s="574"/>
      <c r="G385" s="575"/>
      <c r="H385" s="576"/>
      <c r="I385" s="577"/>
      <c r="J385" s="578"/>
      <c r="K385" s="578"/>
      <c r="L385" s="578"/>
      <c r="M385" s="578"/>
      <c r="N385" s="578"/>
      <c r="O385" s="578"/>
      <c r="P385" s="578"/>
      <c r="Q385" s="578"/>
      <c r="R385" s="578"/>
      <c r="S385" s="578"/>
      <c r="T385" s="578"/>
      <c r="U385" s="578"/>
      <c r="V385" s="578"/>
      <c r="W385" s="578"/>
      <c r="X385" s="578"/>
      <c r="Y385" s="578"/>
      <c r="Z385" s="578"/>
      <c r="AA385" s="579"/>
      <c r="AB385" s="580"/>
      <c r="AC385" s="581"/>
      <c r="AD385" s="582"/>
      <c r="AE385" s="583"/>
      <c r="AF385" s="584"/>
      <c r="AG385" s="553">
        <v>0</v>
      </c>
      <c r="AH385" s="554"/>
      <c r="AI385" s="555" t="e">
        <v>#N/A</v>
      </c>
      <c r="AJ385" s="556"/>
      <c r="AK385" s="556"/>
      <c r="AL385" s="556"/>
      <c r="AM385" s="556"/>
      <c r="AN385" s="556"/>
      <c r="AO385" s="556"/>
      <c r="AP385" s="556"/>
      <c r="AQ385" s="556"/>
      <c r="AR385" s="556"/>
      <c r="AS385" s="556"/>
      <c r="AT385" s="556"/>
      <c r="AU385" s="556"/>
      <c r="AV385" s="557"/>
      <c r="AW385" s="558">
        <v>0</v>
      </c>
      <c r="AX385" s="559"/>
      <c r="AY385" s="560"/>
      <c r="AZ385" s="585"/>
      <c r="BA385" s="586"/>
      <c r="BB385" s="587"/>
      <c r="BC385" s="558">
        <v>0</v>
      </c>
      <c r="BD385" s="559"/>
      <c r="BE385" s="560"/>
      <c r="BF385" s="558">
        <v>182.49</v>
      </c>
      <c r="BG385" s="559"/>
      <c r="BH385" s="560"/>
      <c r="BI385" s="564">
        <v>0</v>
      </c>
      <c r="BJ385" s="565"/>
      <c r="BK385" s="565"/>
      <c r="BL385" s="566"/>
      <c r="BM385" s="567" t="s">
        <v>932</v>
      </c>
      <c r="BN385" s="567"/>
      <c r="BO385" s="567"/>
      <c r="BP385" s="567"/>
      <c r="BQ385" s="568" t="s">
        <v>932</v>
      </c>
      <c r="BR385" s="568"/>
      <c r="BS385" s="568"/>
      <c r="BT385" s="567" t="s">
        <v>932</v>
      </c>
      <c r="BU385" s="567"/>
      <c r="BV385" s="567"/>
      <c r="BW385" s="567"/>
      <c r="BX385" s="568" t="s">
        <v>932</v>
      </c>
      <c r="BY385" s="568"/>
      <c r="BZ385" s="568"/>
      <c r="CA385" s="567" t="s">
        <v>932</v>
      </c>
      <c r="CB385" s="567"/>
      <c r="CC385" s="567"/>
      <c r="CD385" s="567"/>
      <c r="CE385" s="568" t="s">
        <v>932</v>
      </c>
      <c r="CF385" s="568"/>
      <c r="CG385" s="568"/>
      <c r="CH385" s="567" t="s">
        <v>932</v>
      </c>
      <c r="CI385" s="567"/>
      <c r="CJ385" s="567"/>
      <c r="CK385" s="567"/>
      <c r="CL385" s="568">
        <v>1</v>
      </c>
      <c r="CM385" s="568"/>
      <c r="CN385" s="568"/>
    </row>
    <row r="386" hidden="1" customHeight="1" spans="1:92">
      <c r="A386" s="569"/>
      <c r="B386" s="570"/>
      <c r="C386" s="571"/>
      <c r="D386" s="572"/>
      <c r="E386" s="573"/>
      <c r="F386" s="574"/>
      <c r="G386" s="575"/>
      <c r="H386" s="576"/>
      <c r="I386" s="577"/>
      <c r="J386" s="578"/>
      <c r="K386" s="578"/>
      <c r="L386" s="578"/>
      <c r="M386" s="578"/>
      <c r="N386" s="578"/>
      <c r="O386" s="578"/>
      <c r="P386" s="578"/>
      <c r="Q386" s="578"/>
      <c r="R386" s="578"/>
      <c r="S386" s="578"/>
      <c r="T386" s="578"/>
      <c r="U386" s="578"/>
      <c r="V386" s="578"/>
      <c r="W386" s="578"/>
      <c r="X386" s="578"/>
      <c r="Y386" s="578"/>
      <c r="Z386" s="578"/>
      <c r="AA386" s="579"/>
      <c r="AB386" s="580"/>
      <c r="AC386" s="581"/>
      <c r="AD386" s="582"/>
      <c r="AE386" s="583"/>
      <c r="AF386" s="584"/>
      <c r="AG386" s="553">
        <v>0</v>
      </c>
      <c r="AH386" s="554"/>
      <c r="AI386" s="555" t="e">
        <v>#N/A</v>
      </c>
      <c r="AJ386" s="556"/>
      <c r="AK386" s="556"/>
      <c r="AL386" s="556"/>
      <c r="AM386" s="556"/>
      <c r="AN386" s="556"/>
      <c r="AO386" s="556"/>
      <c r="AP386" s="556"/>
      <c r="AQ386" s="556"/>
      <c r="AR386" s="556"/>
      <c r="AS386" s="556"/>
      <c r="AT386" s="556"/>
      <c r="AU386" s="556"/>
      <c r="AV386" s="557"/>
      <c r="AW386" s="558">
        <v>0</v>
      </c>
      <c r="AX386" s="559"/>
      <c r="AY386" s="560"/>
      <c r="AZ386" s="585"/>
      <c r="BA386" s="586"/>
      <c r="BB386" s="587"/>
      <c r="BC386" s="558">
        <v>0</v>
      </c>
      <c r="BD386" s="559"/>
      <c r="BE386" s="560"/>
      <c r="BF386" s="558">
        <v>182.49</v>
      </c>
      <c r="BG386" s="559"/>
      <c r="BH386" s="560"/>
      <c r="BI386" s="564">
        <v>0</v>
      </c>
      <c r="BJ386" s="565"/>
      <c r="BK386" s="565"/>
      <c r="BL386" s="566"/>
      <c r="BM386" s="567" t="s">
        <v>932</v>
      </c>
      <c r="BN386" s="567"/>
      <c r="BO386" s="567"/>
      <c r="BP386" s="567"/>
      <c r="BQ386" s="568" t="s">
        <v>932</v>
      </c>
      <c r="BR386" s="568"/>
      <c r="BS386" s="568"/>
      <c r="BT386" s="567" t="s">
        <v>932</v>
      </c>
      <c r="BU386" s="567"/>
      <c r="BV386" s="567"/>
      <c r="BW386" s="567"/>
      <c r="BX386" s="568" t="s">
        <v>932</v>
      </c>
      <c r="BY386" s="568"/>
      <c r="BZ386" s="568"/>
      <c r="CA386" s="567" t="s">
        <v>932</v>
      </c>
      <c r="CB386" s="567"/>
      <c r="CC386" s="567"/>
      <c r="CD386" s="567"/>
      <c r="CE386" s="568" t="s">
        <v>932</v>
      </c>
      <c r="CF386" s="568"/>
      <c r="CG386" s="568"/>
      <c r="CH386" s="567" t="s">
        <v>932</v>
      </c>
      <c r="CI386" s="567"/>
      <c r="CJ386" s="567"/>
      <c r="CK386" s="567"/>
      <c r="CL386" s="568">
        <v>1</v>
      </c>
      <c r="CM386" s="568"/>
      <c r="CN386" s="568"/>
    </row>
    <row r="387" hidden="1" customHeight="1" spans="1:92">
      <c r="A387" s="569"/>
      <c r="B387" s="570"/>
      <c r="C387" s="571"/>
      <c r="D387" s="572"/>
      <c r="E387" s="573"/>
      <c r="F387" s="574"/>
      <c r="G387" s="575"/>
      <c r="H387" s="576"/>
      <c r="I387" s="577"/>
      <c r="J387" s="578"/>
      <c r="K387" s="578"/>
      <c r="L387" s="578"/>
      <c r="M387" s="578"/>
      <c r="N387" s="578"/>
      <c r="O387" s="578"/>
      <c r="P387" s="578"/>
      <c r="Q387" s="578"/>
      <c r="R387" s="578"/>
      <c r="S387" s="578"/>
      <c r="T387" s="578"/>
      <c r="U387" s="578"/>
      <c r="V387" s="578"/>
      <c r="W387" s="578"/>
      <c r="X387" s="578"/>
      <c r="Y387" s="578"/>
      <c r="Z387" s="578"/>
      <c r="AA387" s="579"/>
      <c r="AB387" s="580"/>
      <c r="AC387" s="581"/>
      <c r="AD387" s="582"/>
      <c r="AE387" s="583"/>
      <c r="AF387" s="584"/>
      <c r="AG387" s="553">
        <v>0</v>
      </c>
      <c r="AH387" s="554"/>
      <c r="AI387" s="555" t="e">
        <v>#N/A</v>
      </c>
      <c r="AJ387" s="556"/>
      <c r="AK387" s="556"/>
      <c r="AL387" s="556"/>
      <c r="AM387" s="556"/>
      <c r="AN387" s="556"/>
      <c r="AO387" s="556"/>
      <c r="AP387" s="556"/>
      <c r="AQ387" s="556"/>
      <c r="AR387" s="556"/>
      <c r="AS387" s="556"/>
      <c r="AT387" s="556"/>
      <c r="AU387" s="556"/>
      <c r="AV387" s="557"/>
      <c r="AW387" s="558">
        <v>0</v>
      </c>
      <c r="AX387" s="559"/>
      <c r="AY387" s="560"/>
      <c r="AZ387" s="585"/>
      <c r="BA387" s="586"/>
      <c r="BB387" s="587"/>
      <c r="BC387" s="558">
        <v>0</v>
      </c>
      <c r="BD387" s="559"/>
      <c r="BE387" s="560"/>
      <c r="BF387" s="558">
        <v>182.49</v>
      </c>
      <c r="BG387" s="559"/>
      <c r="BH387" s="560"/>
      <c r="BI387" s="564">
        <v>0</v>
      </c>
      <c r="BJ387" s="565"/>
      <c r="BK387" s="565"/>
      <c r="BL387" s="566"/>
      <c r="BM387" s="567" t="s">
        <v>932</v>
      </c>
      <c r="BN387" s="567"/>
      <c r="BO387" s="567"/>
      <c r="BP387" s="567"/>
      <c r="BQ387" s="568" t="s">
        <v>932</v>
      </c>
      <c r="BR387" s="568"/>
      <c r="BS387" s="568"/>
      <c r="BT387" s="567" t="s">
        <v>932</v>
      </c>
      <c r="BU387" s="567"/>
      <c r="BV387" s="567"/>
      <c r="BW387" s="567"/>
      <c r="BX387" s="568" t="s">
        <v>932</v>
      </c>
      <c r="BY387" s="568"/>
      <c r="BZ387" s="568"/>
      <c r="CA387" s="567" t="s">
        <v>932</v>
      </c>
      <c r="CB387" s="567"/>
      <c r="CC387" s="567"/>
      <c r="CD387" s="567"/>
      <c r="CE387" s="568" t="s">
        <v>932</v>
      </c>
      <c r="CF387" s="568"/>
      <c r="CG387" s="568"/>
      <c r="CH387" s="567" t="s">
        <v>932</v>
      </c>
      <c r="CI387" s="567"/>
      <c r="CJ387" s="567"/>
      <c r="CK387" s="567"/>
      <c r="CL387" s="568">
        <v>1</v>
      </c>
      <c r="CM387" s="568"/>
      <c r="CN387" s="568"/>
    </row>
    <row r="388" hidden="1" customHeight="1" spans="1:92">
      <c r="A388" s="569"/>
      <c r="B388" s="570"/>
      <c r="C388" s="571"/>
      <c r="D388" s="572"/>
      <c r="E388" s="573"/>
      <c r="F388" s="574"/>
      <c r="G388" s="575"/>
      <c r="H388" s="576"/>
      <c r="I388" s="577"/>
      <c r="J388" s="578"/>
      <c r="K388" s="578"/>
      <c r="L388" s="578"/>
      <c r="M388" s="578"/>
      <c r="N388" s="578"/>
      <c r="O388" s="578"/>
      <c r="P388" s="578"/>
      <c r="Q388" s="578"/>
      <c r="R388" s="578"/>
      <c r="S388" s="578"/>
      <c r="T388" s="578"/>
      <c r="U388" s="578"/>
      <c r="V388" s="578"/>
      <c r="W388" s="578"/>
      <c r="X388" s="578"/>
      <c r="Y388" s="578"/>
      <c r="Z388" s="578"/>
      <c r="AA388" s="579"/>
      <c r="AB388" s="580"/>
      <c r="AC388" s="581"/>
      <c r="AD388" s="582"/>
      <c r="AE388" s="583"/>
      <c r="AF388" s="584"/>
      <c r="AG388" s="553">
        <v>0</v>
      </c>
      <c r="AH388" s="554"/>
      <c r="AI388" s="555" t="e">
        <v>#N/A</v>
      </c>
      <c r="AJ388" s="556"/>
      <c r="AK388" s="556"/>
      <c r="AL388" s="556"/>
      <c r="AM388" s="556"/>
      <c r="AN388" s="556"/>
      <c r="AO388" s="556"/>
      <c r="AP388" s="556"/>
      <c r="AQ388" s="556"/>
      <c r="AR388" s="556"/>
      <c r="AS388" s="556"/>
      <c r="AT388" s="556"/>
      <c r="AU388" s="556"/>
      <c r="AV388" s="557"/>
      <c r="AW388" s="558">
        <v>0</v>
      </c>
      <c r="AX388" s="559"/>
      <c r="AY388" s="560"/>
      <c r="AZ388" s="585"/>
      <c r="BA388" s="586"/>
      <c r="BB388" s="587"/>
      <c r="BC388" s="558">
        <v>0</v>
      </c>
      <c r="BD388" s="559"/>
      <c r="BE388" s="560"/>
      <c r="BF388" s="558">
        <v>182.49</v>
      </c>
      <c r="BG388" s="559"/>
      <c r="BH388" s="560"/>
      <c r="BI388" s="564">
        <v>0</v>
      </c>
      <c r="BJ388" s="565"/>
      <c r="BK388" s="565"/>
      <c r="BL388" s="566"/>
      <c r="BM388" s="567" t="s">
        <v>932</v>
      </c>
      <c r="BN388" s="567"/>
      <c r="BO388" s="567"/>
      <c r="BP388" s="567"/>
      <c r="BQ388" s="568" t="s">
        <v>932</v>
      </c>
      <c r="BR388" s="568"/>
      <c r="BS388" s="568"/>
      <c r="BT388" s="567" t="s">
        <v>932</v>
      </c>
      <c r="BU388" s="567"/>
      <c r="BV388" s="567"/>
      <c r="BW388" s="567"/>
      <c r="BX388" s="568" t="s">
        <v>932</v>
      </c>
      <c r="BY388" s="568"/>
      <c r="BZ388" s="568"/>
      <c r="CA388" s="567" t="s">
        <v>932</v>
      </c>
      <c r="CB388" s="567"/>
      <c r="CC388" s="567"/>
      <c r="CD388" s="567"/>
      <c r="CE388" s="568" t="s">
        <v>932</v>
      </c>
      <c r="CF388" s="568"/>
      <c r="CG388" s="568"/>
      <c r="CH388" s="567" t="s">
        <v>932</v>
      </c>
      <c r="CI388" s="567"/>
      <c r="CJ388" s="567"/>
      <c r="CK388" s="567"/>
      <c r="CL388" s="568">
        <v>1</v>
      </c>
      <c r="CM388" s="568"/>
      <c r="CN388" s="568"/>
    </row>
    <row r="389" hidden="1" customHeight="1" spans="1:92">
      <c r="A389" s="569"/>
      <c r="B389" s="570"/>
      <c r="C389" s="571"/>
      <c r="D389" s="572"/>
      <c r="E389" s="573"/>
      <c r="F389" s="574"/>
      <c r="G389" s="575"/>
      <c r="H389" s="576"/>
      <c r="I389" s="577"/>
      <c r="J389" s="578"/>
      <c r="K389" s="578"/>
      <c r="L389" s="578"/>
      <c r="M389" s="578"/>
      <c r="N389" s="578"/>
      <c r="O389" s="578"/>
      <c r="P389" s="578"/>
      <c r="Q389" s="578"/>
      <c r="R389" s="578"/>
      <c r="S389" s="578"/>
      <c r="T389" s="578"/>
      <c r="U389" s="578"/>
      <c r="V389" s="578"/>
      <c r="W389" s="578"/>
      <c r="X389" s="578"/>
      <c r="Y389" s="578"/>
      <c r="Z389" s="578"/>
      <c r="AA389" s="579"/>
      <c r="AB389" s="580"/>
      <c r="AC389" s="581"/>
      <c r="AD389" s="582"/>
      <c r="AE389" s="583"/>
      <c r="AF389" s="584"/>
      <c r="AG389" s="553">
        <v>0</v>
      </c>
      <c r="AH389" s="554"/>
      <c r="AI389" s="555" t="e">
        <v>#N/A</v>
      </c>
      <c r="AJ389" s="556"/>
      <c r="AK389" s="556"/>
      <c r="AL389" s="556"/>
      <c r="AM389" s="556"/>
      <c r="AN389" s="556"/>
      <c r="AO389" s="556"/>
      <c r="AP389" s="556"/>
      <c r="AQ389" s="556"/>
      <c r="AR389" s="556"/>
      <c r="AS389" s="556"/>
      <c r="AT389" s="556"/>
      <c r="AU389" s="556"/>
      <c r="AV389" s="557"/>
      <c r="AW389" s="558">
        <v>0</v>
      </c>
      <c r="AX389" s="559"/>
      <c r="AY389" s="560"/>
      <c r="AZ389" s="585"/>
      <c r="BA389" s="586"/>
      <c r="BB389" s="587"/>
      <c r="BC389" s="558">
        <v>0</v>
      </c>
      <c r="BD389" s="559"/>
      <c r="BE389" s="560"/>
      <c r="BF389" s="558">
        <v>182.49</v>
      </c>
      <c r="BG389" s="559"/>
      <c r="BH389" s="560"/>
      <c r="BI389" s="564">
        <v>0</v>
      </c>
      <c r="BJ389" s="565"/>
      <c r="BK389" s="565"/>
      <c r="BL389" s="566"/>
      <c r="BM389" s="567" t="s">
        <v>932</v>
      </c>
      <c r="BN389" s="567"/>
      <c r="BO389" s="567"/>
      <c r="BP389" s="567"/>
      <c r="BQ389" s="568" t="s">
        <v>932</v>
      </c>
      <c r="BR389" s="568"/>
      <c r="BS389" s="568"/>
      <c r="BT389" s="567" t="s">
        <v>932</v>
      </c>
      <c r="BU389" s="567"/>
      <c r="BV389" s="567"/>
      <c r="BW389" s="567"/>
      <c r="BX389" s="568" t="s">
        <v>932</v>
      </c>
      <c r="BY389" s="568"/>
      <c r="BZ389" s="568"/>
      <c r="CA389" s="567" t="s">
        <v>932</v>
      </c>
      <c r="CB389" s="567"/>
      <c r="CC389" s="567"/>
      <c r="CD389" s="567"/>
      <c r="CE389" s="568" t="s">
        <v>932</v>
      </c>
      <c r="CF389" s="568"/>
      <c r="CG389" s="568"/>
      <c r="CH389" s="567" t="s">
        <v>932</v>
      </c>
      <c r="CI389" s="567"/>
      <c r="CJ389" s="567"/>
      <c r="CK389" s="567"/>
      <c r="CL389" s="568">
        <v>1</v>
      </c>
      <c r="CM389" s="568"/>
      <c r="CN389" s="568"/>
    </row>
    <row r="390" hidden="1" customHeight="1" spans="1:92">
      <c r="A390" s="569"/>
      <c r="B390" s="570"/>
      <c r="C390" s="571"/>
      <c r="D390" s="572"/>
      <c r="E390" s="573"/>
      <c r="F390" s="574"/>
      <c r="G390" s="575"/>
      <c r="H390" s="576"/>
      <c r="I390" s="577"/>
      <c r="J390" s="578"/>
      <c r="K390" s="578"/>
      <c r="L390" s="578"/>
      <c r="M390" s="578"/>
      <c r="N390" s="578"/>
      <c r="O390" s="578"/>
      <c r="P390" s="578"/>
      <c r="Q390" s="578"/>
      <c r="R390" s="578"/>
      <c r="S390" s="578"/>
      <c r="T390" s="578"/>
      <c r="U390" s="578"/>
      <c r="V390" s="578"/>
      <c r="W390" s="578"/>
      <c r="X390" s="578"/>
      <c r="Y390" s="578"/>
      <c r="Z390" s="578"/>
      <c r="AA390" s="579"/>
      <c r="AB390" s="580"/>
      <c r="AC390" s="581"/>
      <c r="AD390" s="582"/>
      <c r="AE390" s="583"/>
      <c r="AF390" s="584"/>
      <c r="AG390" s="553">
        <v>0</v>
      </c>
      <c r="AH390" s="554"/>
      <c r="AI390" s="555" t="e">
        <v>#N/A</v>
      </c>
      <c r="AJ390" s="556"/>
      <c r="AK390" s="556"/>
      <c r="AL390" s="556"/>
      <c r="AM390" s="556"/>
      <c r="AN390" s="556"/>
      <c r="AO390" s="556"/>
      <c r="AP390" s="556"/>
      <c r="AQ390" s="556"/>
      <c r="AR390" s="556"/>
      <c r="AS390" s="556"/>
      <c r="AT390" s="556"/>
      <c r="AU390" s="556"/>
      <c r="AV390" s="557"/>
      <c r="AW390" s="558">
        <v>0</v>
      </c>
      <c r="AX390" s="559"/>
      <c r="AY390" s="560"/>
      <c r="AZ390" s="585"/>
      <c r="BA390" s="586"/>
      <c r="BB390" s="587"/>
      <c r="BC390" s="558">
        <v>0</v>
      </c>
      <c r="BD390" s="559"/>
      <c r="BE390" s="560"/>
      <c r="BF390" s="558">
        <v>182.49</v>
      </c>
      <c r="BG390" s="559"/>
      <c r="BH390" s="560"/>
      <c r="BI390" s="564">
        <v>0</v>
      </c>
      <c r="BJ390" s="565"/>
      <c r="BK390" s="565"/>
      <c r="BL390" s="566"/>
      <c r="BM390" s="567" t="s">
        <v>932</v>
      </c>
      <c r="BN390" s="567"/>
      <c r="BO390" s="567"/>
      <c r="BP390" s="567"/>
      <c r="BQ390" s="568" t="s">
        <v>932</v>
      </c>
      <c r="BR390" s="568"/>
      <c r="BS390" s="568"/>
      <c r="BT390" s="567" t="s">
        <v>932</v>
      </c>
      <c r="BU390" s="567"/>
      <c r="BV390" s="567"/>
      <c r="BW390" s="567"/>
      <c r="BX390" s="568" t="s">
        <v>932</v>
      </c>
      <c r="BY390" s="568"/>
      <c r="BZ390" s="568"/>
      <c r="CA390" s="567" t="s">
        <v>932</v>
      </c>
      <c r="CB390" s="567"/>
      <c r="CC390" s="567"/>
      <c r="CD390" s="567"/>
      <c r="CE390" s="568" t="s">
        <v>932</v>
      </c>
      <c r="CF390" s="568"/>
      <c r="CG390" s="568"/>
      <c r="CH390" s="567" t="s">
        <v>932</v>
      </c>
      <c r="CI390" s="567"/>
      <c r="CJ390" s="567"/>
      <c r="CK390" s="567"/>
      <c r="CL390" s="568">
        <v>1</v>
      </c>
      <c r="CM390" s="568"/>
      <c r="CN390" s="568"/>
    </row>
    <row r="391" hidden="1" customHeight="1" spans="1:92">
      <c r="A391" s="588"/>
      <c r="B391" s="589"/>
      <c r="C391" s="590"/>
      <c r="D391" s="591"/>
      <c r="E391" s="592"/>
      <c r="F391" s="593"/>
      <c r="G391" s="594"/>
      <c r="H391" s="595"/>
      <c r="I391" s="596"/>
      <c r="J391" s="597"/>
      <c r="K391" s="597"/>
      <c r="L391" s="597"/>
      <c r="M391" s="597"/>
      <c r="N391" s="597"/>
      <c r="O391" s="597"/>
      <c r="P391" s="597"/>
      <c r="Q391" s="597"/>
      <c r="R391" s="597"/>
      <c r="S391" s="597"/>
      <c r="T391" s="597"/>
      <c r="U391" s="597"/>
      <c r="V391" s="597"/>
      <c r="W391" s="597"/>
      <c r="X391" s="597"/>
      <c r="Y391" s="597"/>
      <c r="Z391" s="597"/>
      <c r="AA391" s="598"/>
      <c r="AB391" s="599"/>
      <c r="AC391" s="600"/>
      <c r="AD391" s="601"/>
      <c r="AE391" s="602"/>
      <c r="AF391" s="603"/>
      <c r="AG391" s="553">
        <v>0</v>
      </c>
      <c r="AH391" s="554"/>
      <c r="AI391" s="555" t="e">
        <v>#N/A</v>
      </c>
      <c r="AJ391" s="556"/>
      <c r="AK391" s="556"/>
      <c r="AL391" s="556"/>
      <c r="AM391" s="556"/>
      <c r="AN391" s="556"/>
      <c r="AO391" s="556"/>
      <c r="AP391" s="556"/>
      <c r="AQ391" s="556"/>
      <c r="AR391" s="556"/>
      <c r="AS391" s="556"/>
      <c r="AT391" s="556"/>
      <c r="AU391" s="556"/>
      <c r="AV391" s="557"/>
      <c r="AW391" s="558">
        <v>0</v>
      </c>
      <c r="AX391" s="559"/>
      <c r="AY391" s="560"/>
      <c r="AZ391" s="604"/>
      <c r="BA391" s="605"/>
      <c r="BB391" s="606"/>
      <c r="BC391" s="558">
        <v>0</v>
      </c>
      <c r="BD391" s="559"/>
      <c r="BE391" s="560"/>
      <c r="BF391" s="558">
        <v>182.49</v>
      </c>
      <c r="BG391" s="559"/>
      <c r="BH391" s="560"/>
      <c r="BI391" s="564">
        <v>0</v>
      </c>
      <c r="BJ391" s="565"/>
      <c r="BK391" s="565"/>
      <c r="BL391" s="566"/>
      <c r="BM391" s="567" t="s">
        <v>932</v>
      </c>
      <c r="BN391" s="567"/>
      <c r="BO391" s="567"/>
      <c r="BP391" s="567"/>
      <c r="BQ391" s="568" t="s">
        <v>932</v>
      </c>
      <c r="BR391" s="568"/>
      <c r="BS391" s="568"/>
      <c r="BT391" s="567" t="s">
        <v>932</v>
      </c>
      <c r="BU391" s="567"/>
      <c r="BV391" s="567"/>
      <c r="BW391" s="567"/>
      <c r="BX391" s="568" t="s">
        <v>932</v>
      </c>
      <c r="BY391" s="568"/>
      <c r="BZ391" s="568"/>
      <c r="CA391" s="567" t="s">
        <v>932</v>
      </c>
      <c r="CB391" s="567"/>
      <c r="CC391" s="567"/>
      <c r="CD391" s="567"/>
      <c r="CE391" s="568" t="s">
        <v>932</v>
      </c>
      <c r="CF391" s="568"/>
      <c r="CG391" s="568"/>
      <c r="CH391" s="567" t="s">
        <v>932</v>
      </c>
      <c r="CI391" s="567"/>
      <c r="CJ391" s="567"/>
      <c r="CK391" s="567"/>
      <c r="CL391" s="568">
        <v>1</v>
      </c>
      <c r="CM391" s="568"/>
      <c r="CN391" s="568"/>
    </row>
    <row r="392" customHeight="1" spans="1:92">
      <c r="A392" s="540" t="s">
        <v>989</v>
      </c>
      <c r="B392" s="541"/>
      <c r="C392" s="89"/>
      <c r="D392" s="91"/>
      <c r="E392" s="90"/>
      <c r="F392" s="542">
        <v>1107900</v>
      </c>
      <c r="G392" s="543"/>
      <c r="H392" s="544"/>
      <c r="I392" s="545" t="s">
        <v>108</v>
      </c>
      <c r="J392" s="546"/>
      <c r="K392" s="546"/>
      <c r="L392" s="546"/>
      <c r="M392" s="546"/>
      <c r="N392" s="546"/>
      <c r="O392" s="546"/>
      <c r="P392" s="546"/>
      <c r="Q392" s="546"/>
      <c r="R392" s="546"/>
      <c r="S392" s="546"/>
      <c r="T392" s="546"/>
      <c r="U392" s="546"/>
      <c r="V392" s="546"/>
      <c r="W392" s="546"/>
      <c r="X392" s="546"/>
      <c r="Y392" s="546"/>
      <c r="Z392" s="546"/>
      <c r="AA392" s="547"/>
      <c r="AB392" s="548" t="s">
        <v>99</v>
      </c>
      <c r="AC392" s="549"/>
      <c r="AD392" s="550">
        <v>6.76</v>
      </c>
      <c r="AE392" s="551"/>
      <c r="AF392" s="552"/>
      <c r="AG392" s="553" t="s">
        <v>1066</v>
      </c>
      <c r="AH392" s="554"/>
      <c r="AI392" s="555" t="s">
        <v>1067</v>
      </c>
      <c r="AJ392" s="556"/>
      <c r="AK392" s="556"/>
      <c r="AL392" s="556"/>
      <c r="AM392" s="556"/>
      <c r="AN392" s="556"/>
      <c r="AO392" s="556"/>
      <c r="AP392" s="556"/>
      <c r="AQ392" s="556"/>
      <c r="AR392" s="556"/>
      <c r="AS392" s="556"/>
      <c r="AT392" s="556"/>
      <c r="AU392" s="556"/>
      <c r="AV392" s="557"/>
      <c r="AW392" s="558">
        <v>1</v>
      </c>
      <c r="AX392" s="559"/>
      <c r="AY392" s="560"/>
      <c r="AZ392" s="561">
        <v>3.853</v>
      </c>
      <c r="BA392" s="562"/>
      <c r="BB392" s="563"/>
      <c r="BC392" s="558">
        <v>1.75447703088502</v>
      </c>
      <c r="BD392" s="559"/>
      <c r="BE392" s="560"/>
      <c r="BF392" s="558">
        <v>182.49</v>
      </c>
      <c r="BG392" s="559"/>
      <c r="BH392" s="560"/>
      <c r="BI392" s="564">
        <v>0.00961409957194928</v>
      </c>
      <c r="BJ392" s="565"/>
      <c r="BK392" s="565"/>
      <c r="BL392" s="566"/>
      <c r="BM392" s="567" t="s">
        <v>932</v>
      </c>
      <c r="BN392" s="567"/>
      <c r="BO392" s="567"/>
      <c r="BP392" s="567"/>
      <c r="BQ392" s="568" t="s">
        <v>932</v>
      </c>
      <c r="BR392" s="568"/>
      <c r="BS392" s="568"/>
      <c r="BT392" s="567" t="s">
        <v>932</v>
      </c>
      <c r="BU392" s="567"/>
      <c r="BV392" s="567"/>
      <c r="BW392" s="567"/>
      <c r="BX392" s="568" t="s">
        <v>932</v>
      </c>
      <c r="BY392" s="568"/>
      <c r="BZ392" s="568"/>
      <c r="CA392" s="567">
        <v>0.00961409957194928</v>
      </c>
      <c r="CB392" s="567"/>
      <c r="CC392" s="567"/>
      <c r="CD392" s="567"/>
      <c r="CE392" s="568">
        <v>1</v>
      </c>
      <c r="CF392" s="568"/>
      <c r="CG392" s="568"/>
      <c r="CH392" s="567" t="s">
        <v>932</v>
      </c>
      <c r="CI392" s="567"/>
      <c r="CJ392" s="567"/>
      <c r="CK392" s="567"/>
      <c r="CL392" s="568" t="s">
        <v>932</v>
      </c>
      <c r="CM392" s="568"/>
      <c r="CN392" s="568"/>
    </row>
    <row r="393" customHeight="1" spans="1:92">
      <c r="A393" s="569"/>
      <c r="B393" s="570"/>
      <c r="C393" s="571"/>
      <c r="D393" s="572"/>
      <c r="E393" s="573"/>
      <c r="F393" s="574"/>
      <c r="G393" s="575"/>
      <c r="H393" s="576"/>
      <c r="I393" s="577"/>
      <c r="J393" s="578"/>
      <c r="K393" s="578"/>
      <c r="L393" s="578"/>
      <c r="M393" s="578"/>
      <c r="N393" s="578"/>
      <c r="O393" s="578"/>
      <c r="P393" s="578"/>
      <c r="Q393" s="578"/>
      <c r="R393" s="578"/>
      <c r="S393" s="578"/>
      <c r="T393" s="578"/>
      <c r="U393" s="578"/>
      <c r="V393" s="578"/>
      <c r="W393" s="578"/>
      <c r="X393" s="578"/>
      <c r="Y393" s="578"/>
      <c r="Z393" s="578"/>
      <c r="AA393" s="579"/>
      <c r="AB393" s="580"/>
      <c r="AC393" s="581"/>
      <c r="AD393" s="582"/>
      <c r="AE393" s="583"/>
      <c r="AF393" s="584"/>
      <c r="AG393" s="553" t="s">
        <v>1068</v>
      </c>
      <c r="AH393" s="554"/>
      <c r="AI393" s="555" t="s">
        <v>1069</v>
      </c>
      <c r="AJ393" s="556"/>
      <c r="AK393" s="556"/>
      <c r="AL393" s="556"/>
      <c r="AM393" s="556"/>
      <c r="AN393" s="556"/>
      <c r="AO393" s="556"/>
      <c r="AP393" s="556"/>
      <c r="AQ393" s="556"/>
      <c r="AR393" s="556"/>
      <c r="AS393" s="556"/>
      <c r="AT393" s="556"/>
      <c r="AU393" s="556"/>
      <c r="AV393" s="557"/>
      <c r="AW393" s="558">
        <v>1</v>
      </c>
      <c r="AX393" s="559"/>
      <c r="AY393" s="560"/>
      <c r="AZ393" s="585"/>
      <c r="BA393" s="586"/>
      <c r="BB393" s="587"/>
      <c r="BC393" s="558">
        <v>1.75447703088502</v>
      </c>
      <c r="BD393" s="559"/>
      <c r="BE393" s="560"/>
      <c r="BF393" s="558">
        <v>182.49</v>
      </c>
      <c r="BG393" s="559"/>
      <c r="BH393" s="560"/>
      <c r="BI393" s="564">
        <v>0.00961409957194928</v>
      </c>
      <c r="BJ393" s="565"/>
      <c r="BK393" s="565"/>
      <c r="BL393" s="566"/>
      <c r="BM393" s="567" t="s">
        <v>932</v>
      </c>
      <c r="BN393" s="567"/>
      <c r="BO393" s="567"/>
      <c r="BP393" s="567"/>
      <c r="BQ393" s="568" t="s">
        <v>932</v>
      </c>
      <c r="BR393" s="568"/>
      <c r="BS393" s="568"/>
      <c r="BT393" s="567" t="s">
        <v>932</v>
      </c>
      <c r="BU393" s="567"/>
      <c r="BV393" s="567"/>
      <c r="BW393" s="567"/>
      <c r="BX393" s="568" t="s">
        <v>932</v>
      </c>
      <c r="BY393" s="568"/>
      <c r="BZ393" s="568"/>
      <c r="CA393" s="567">
        <v>0.00961409957194928</v>
      </c>
      <c r="CB393" s="567"/>
      <c r="CC393" s="567"/>
      <c r="CD393" s="567"/>
      <c r="CE393" s="568">
        <v>1</v>
      </c>
      <c r="CF393" s="568"/>
      <c r="CG393" s="568"/>
      <c r="CH393" s="567" t="s">
        <v>932</v>
      </c>
      <c r="CI393" s="567"/>
      <c r="CJ393" s="567"/>
      <c r="CK393" s="567"/>
      <c r="CL393" s="568" t="s">
        <v>932</v>
      </c>
      <c r="CM393" s="568"/>
      <c r="CN393" s="568"/>
    </row>
    <row r="394" customHeight="1" spans="1:92">
      <c r="A394" s="569"/>
      <c r="B394" s="570"/>
      <c r="C394" s="571"/>
      <c r="D394" s="572"/>
      <c r="E394" s="573"/>
      <c r="F394" s="574"/>
      <c r="G394" s="575"/>
      <c r="H394" s="576"/>
      <c r="I394" s="577"/>
      <c r="J394" s="578"/>
      <c r="K394" s="578"/>
      <c r="L394" s="578"/>
      <c r="M394" s="578"/>
      <c r="N394" s="578"/>
      <c r="O394" s="578"/>
      <c r="P394" s="578"/>
      <c r="Q394" s="578"/>
      <c r="R394" s="578"/>
      <c r="S394" s="578"/>
      <c r="T394" s="578"/>
      <c r="U394" s="578"/>
      <c r="V394" s="578"/>
      <c r="W394" s="578"/>
      <c r="X394" s="578"/>
      <c r="Y394" s="578"/>
      <c r="Z394" s="578"/>
      <c r="AA394" s="579"/>
      <c r="AB394" s="580"/>
      <c r="AC394" s="581"/>
      <c r="AD394" s="582"/>
      <c r="AE394" s="583"/>
      <c r="AF394" s="584"/>
      <c r="AG394" s="553" t="s">
        <v>1070</v>
      </c>
      <c r="AH394" s="554"/>
      <c r="AI394" s="555" t="s">
        <v>1071</v>
      </c>
      <c r="AJ394" s="556"/>
      <c r="AK394" s="556"/>
      <c r="AL394" s="556"/>
      <c r="AM394" s="556"/>
      <c r="AN394" s="556"/>
      <c r="AO394" s="556"/>
      <c r="AP394" s="556"/>
      <c r="AQ394" s="556"/>
      <c r="AR394" s="556"/>
      <c r="AS394" s="556"/>
      <c r="AT394" s="556"/>
      <c r="AU394" s="556"/>
      <c r="AV394" s="557"/>
      <c r="AW394" s="558">
        <v>4</v>
      </c>
      <c r="AX394" s="559"/>
      <c r="AY394" s="560"/>
      <c r="AZ394" s="585"/>
      <c r="BA394" s="586"/>
      <c r="BB394" s="587"/>
      <c r="BC394" s="558">
        <v>7.0179081235401</v>
      </c>
      <c r="BD394" s="559"/>
      <c r="BE394" s="560"/>
      <c r="BF394" s="558">
        <v>182.49</v>
      </c>
      <c r="BG394" s="559"/>
      <c r="BH394" s="560"/>
      <c r="BI394" s="564">
        <v>0.0384563982877971</v>
      </c>
      <c r="BJ394" s="565"/>
      <c r="BK394" s="565"/>
      <c r="BL394" s="566"/>
      <c r="BM394" s="567" t="s">
        <v>932</v>
      </c>
      <c r="BN394" s="567"/>
      <c r="BO394" s="567"/>
      <c r="BP394" s="567"/>
      <c r="BQ394" s="568" t="s">
        <v>932</v>
      </c>
      <c r="BR394" s="568"/>
      <c r="BS394" s="568"/>
      <c r="BT394" s="567" t="s">
        <v>932</v>
      </c>
      <c r="BU394" s="567"/>
      <c r="BV394" s="567"/>
      <c r="BW394" s="567"/>
      <c r="BX394" s="568" t="s">
        <v>932</v>
      </c>
      <c r="BY394" s="568"/>
      <c r="BZ394" s="568"/>
      <c r="CA394" s="567">
        <v>0.0384563982877971</v>
      </c>
      <c r="CB394" s="567"/>
      <c r="CC394" s="567"/>
      <c r="CD394" s="567"/>
      <c r="CE394" s="568">
        <v>1</v>
      </c>
      <c r="CF394" s="568"/>
      <c r="CG394" s="568"/>
      <c r="CH394" s="567" t="s">
        <v>932</v>
      </c>
      <c r="CI394" s="567"/>
      <c r="CJ394" s="567"/>
      <c r="CK394" s="567"/>
      <c r="CL394" s="568" t="s">
        <v>932</v>
      </c>
      <c r="CM394" s="568"/>
      <c r="CN394" s="568"/>
    </row>
    <row r="395" customHeight="1" spans="1:92">
      <c r="A395" s="569"/>
      <c r="B395" s="570"/>
      <c r="C395" s="571"/>
      <c r="D395" s="572"/>
      <c r="E395" s="573"/>
      <c r="F395" s="574"/>
      <c r="G395" s="575"/>
      <c r="H395" s="576"/>
      <c r="I395" s="577"/>
      <c r="J395" s="578"/>
      <c r="K395" s="578"/>
      <c r="L395" s="578"/>
      <c r="M395" s="578"/>
      <c r="N395" s="578"/>
      <c r="O395" s="578"/>
      <c r="P395" s="578"/>
      <c r="Q395" s="578"/>
      <c r="R395" s="578"/>
      <c r="S395" s="578"/>
      <c r="T395" s="578"/>
      <c r="U395" s="578"/>
      <c r="V395" s="578"/>
      <c r="W395" s="578"/>
      <c r="X395" s="578"/>
      <c r="Y395" s="578"/>
      <c r="Z395" s="578"/>
      <c r="AA395" s="579"/>
      <c r="AB395" s="580"/>
      <c r="AC395" s="581"/>
      <c r="AD395" s="582"/>
      <c r="AE395" s="583"/>
      <c r="AF395" s="584"/>
      <c r="AG395" s="553" t="s">
        <v>1072</v>
      </c>
      <c r="AH395" s="554"/>
      <c r="AI395" s="555" t="s">
        <v>1073</v>
      </c>
      <c r="AJ395" s="556"/>
      <c r="AK395" s="556"/>
      <c r="AL395" s="556"/>
      <c r="AM395" s="556"/>
      <c r="AN395" s="556"/>
      <c r="AO395" s="556"/>
      <c r="AP395" s="556"/>
      <c r="AQ395" s="556"/>
      <c r="AR395" s="556"/>
      <c r="AS395" s="556"/>
      <c r="AT395" s="556"/>
      <c r="AU395" s="556"/>
      <c r="AV395" s="557"/>
      <c r="AW395" s="558">
        <v>3</v>
      </c>
      <c r="AX395" s="559"/>
      <c r="AY395" s="560"/>
      <c r="AZ395" s="585"/>
      <c r="BA395" s="586"/>
      <c r="BB395" s="587"/>
      <c r="BC395" s="558">
        <v>5.26343109265507</v>
      </c>
      <c r="BD395" s="559"/>
      <c r="BE395" s="560"/>
      <c r="BF395" s="558">
        <v>182.49</v>
      </c>
      <c r="BG395" s="559"/>
      <c r="BH395" s="560"/>
      <c r="BI395" s="564">
        <v>0.0288422987158478</v>
      </c>
      <c r="BJ395" s="565"/>
      <c r="BK395" s="565"/>
      <c r="BL395" s="566"/>
      <c r="BM395" s="567" t="s">
        <v>932</v>
      </c>
      <c r="BN395" s="567"/>
      <c r="BO395" s="567"/>
      <c r="BP395" s="567"/>
      <c r="BQ395" s="568" t="s">
        <v>932</v>
      </c>
      <c r="BR395" s="568"/>
      <c r="BS395" s="568"/>
      <c r="BT395" s="567" t="s">
        <v>932</v>
      </c>
      <c r="BU395" s="567"/>
      <c r="BV395" s="567"/>
      <c r="BW395" s="567"/>
      <c r="BX395" s="568" t="s">
        <v>932</v>
      </c>
      <c r="BY395" s="568"/>
      <c r="BZ395" s="568"/>
      <c r="CA395" s="567">
        <v>0.0288422987158478</v>
      </c>
      <c r="CB395" s="567"/>
      <c r="CC395" s="567"/>
      <c r="CD395" s="567"/>
      <c r="CE395" s="568">
        <v>1</v>
      </c>
      <c r="CF395" s="568"/>
      <c r="CG395" s="568"/>
      <c r="CH395" s="567" t="s">
        <v>932</v>
      </c>
      <c r="CI395" s="567"/>
      <c r="CJ395" s="567"/>
      <c r="CK395" s="567"/>
      <c r="CL395" s="568" t="s">
        <v>932</v>
      </c>
      <c r="CM395" s="568"/>
      <c r="CN395" s="568"/>
    </row>
    <row r="396" hidden="1" customHeight="1" spans="1:92">
      <c r="A396" s="569"/>
      <c r="B396" s="570"/>
      <c r="C396" s="571"/>
      <c r="D396" s="572"/>
      <c r="E396" s="573"/>
      <c r="F396" s="574"/>
      <c r="G396" s="575"/>
      <c r="H396" s="576"/>
      <c r="I396" s="577"/>
      <c r="J396" s="578"/>
      <c r="K396" s="578"/>
      <c r="L396" s="578"/>
      <c r="M396" s="578"/>
      <c r="N396" s="578"/>
      <c r="O396" s="578"/>
      <c r="P396" s="578"/>
      <c r="Q396" s="578"/>
      <c r="R396" s="578"/>
      <c r="S396" s="578"/>
      <c r="T396" s="578"/>
      <c r="U396" s="578"/>
      <c r="V396" s="578"/>
      <c r="W396" s="578"/>
      <c r="X396" s="578"/>
      <c r="Y396" s="578"/>
      <c r="Z396" s="578"/>
      <c r="AA396" s="579"/>
      <c r="AB396" s="580"/>
      <c r="AC396" s="581"/>
      <c r="AD396" s="582"/>
      <c r="AE396" s="583"/>
      <c r="AF396" s="584"/>
      <c r="AG396" s="553">
        <v>0</v>
      </c>
      <c r="AH396" s="554"/>
      <c r="AI396" s="555" t="e">
        <v>#N/A</v>
      </c>
      <c r="AJ396" s="556"/>
      <c r="AK396" s="556"/>
      <c r="AL396" s="556"/>
      <c r="AM396" s="556"/>
      <c r="AN396" s="556"/>
      <c r="AO396" s="556"/>
      <c r="AP396" s="556"/>
      <c r="AQ396" s="556"/>
      <c r="AR396" s="556"/>
      <c r="AS396" s="556"/>
      <c r="AT396" s="556"/>
      <c r="AU396" s="556"/>
      <c r="AV396" s="557"/>
      <c r="AW396" s="558">
        <v>0</v>
      </c>
      <c r="AX396" s="559"/>
      <c r="AY396" s="560"/>
      <c r="AZ396" s="585"/>
      <c r="BA396" s="586"/>
      <c r="BB396" s="587"/>
      <c r="BC396" s="558">
        <v>0</v>
      </c>
      <c r="BD396" s="559"/>
      <c r="BE396" s="560"/>
      <c r="BF396" s="558">
        <v>182.49</v>
      </c>
      <c r="BG396" s="559"/>
      <c r="BH396" s="560"/>
      <c r="BI396" s="564">
        <v>0</v>
      </c>
      <c r="BJ396" s="565"/>
      <c r="BK396" s="565"/>
      <c r="BL396" s="566"/>
      <c r="BM396" s="567" t="s">
        <v>932</v>
      </c>
      <c r="BN396" s="567"/>
      <c r="BO396" s="567"/>
      <c r="BP396" s="567"/>
      <c r="BQ396" s="568" t="s">
        <v>932</v>
      </c>
      <c r="BR396" s="568"/>
      <c r="BS396" s="568"/>
      <c r="BT396" s="567" t="s">
        <v>932</v>
      </c>
      <c r="BU396" s="567"/>
      <c r="BV396" s="567"/>
      <c r="BW396" s="567"/>
      <c r="BX396" s="568" t="s">
        <v>932</v>
      </c>
      <c r="BY396" s="568"/>
      <c r="BZ396" s="568"/>
      <c r="CA396" s="567" t="s">
        <v>932</v>
      </c>
      <c r="CB396" s="567"/>
      <c r="CC396" s="567"/>
      <c r="CD396" s="567"/>
      <c r="CE396" s="568">
        <v>1</v>
      </c>
      <c r="CF396" s="568"/>
      <c r="CG396" s="568"/>
      <c r="CH396" s="567" t="s">
        <v>932</v>
      </c>
      <c r="CI396" s="567"/>
      <c r="CJ396" s="567"/>
      <c r="CK396" s="567"/>
      <c r="CL396" s="568" t="s">
        <v>932</v>
      </c>
      <c r="CM396" s="568"/>
      <c r="CN396" s="568"/>
    </row>
    <row r="397" hidden="1" customHeight="1" spans="1:92">
      <c r="A397" s="569"/>
      <c r="B397" s="570"/>
      <c r="C397" s="571"/>
      <c r="D397" s="572"/>
      <c r="E397" s="573"/>
      <c r="F397" s="574"/>
      <c r="G397" s="575"/>
      <c r="H397" s="576"/>
      <c r="I397" s="577"/>
      <c r="J397" s="578"/>
      <c r="K397" s="578"/>
      <c r="L397" s="578"/>
      <c r="M397" s="578"/>
      <c r="N397" s="578"/>
      <c r="O397" s="578"/>
      <c r="P397" s="578"/>
      <c r="Q397" s="578"/>
      <c r="R397" s="578"/>
      <c r="S397" s="578"/>
      <c r="T397" s="578"/>
      <c r="U397" s="578"/>
      <c r="V397" s="578"/>
      <c r="W397" s="578"/>
      <c r="X397" s="578"/>
      <c r="Y397" s="578"/>
      <c r="Z397" s="578"/>
      <c r="AA397" s="579"/>
      <c r="AB397" s="580"/>
      <c r="AC397" s="581"/>
      <c r="AD397" s="582"/>
      <c r="AE397" s="583"/>
      <c r="AF397" s="584"/>
      <c r="AG397" s="553">
        <v>0</v>
      </c>
      <c r="AH397" s="554"/>
      <c r="AI397" s="555" t="e">
        <v>#N/A</v>
      </c>
      <c r="AJ397" s="556"/>
      <c r="AK397" s="556"/>
      <c r="AL397" s="556"/>
      <c r="AM397" s="556"/>
      <c r="AN397" s="556"/>
      <c r="AO397" s="556"/>
      <c r="AP397" s="556"/>
      <c r="AQ397" s="556"/>
      <c r="AR397" s="556"/>
      <c r="AS397" s="556"/>
      <c r="AT397" s="556"/>
      <c r="AU397" s="556"/>
      <c r="AV397" s="557"/>
      <c r="AW397" s="558">
        <v>0</v>
      </c>
      <c r="AX397" s="559"/>
      <c r="AY397" s="560"/>
      <c r="AZ397" s="585"/>
      <c r="BA397" s="586"/>
      <c r="BB397" s="587"/>
      <c r="BC397" s="558">
        <v>0</v>
      </c>
      <c r="BD397" s="559"/>
      <c r="BE397" s="560"/>
      <c r="BF397" s="558">
        <v>182.49</v>
      </c>
      <c r="BG397" s="559"/>
      <c r="BH397" s="560"/>
      <c r="BI397" s="564">
        <v>0</v>
      </c>
      <c r="BJ397" s="565"/>
      <c r="BK397" s="565"/>
      <c r="BL397" s="566"/>
      <c r="BM397" s="567" t="s">
        <v>932</v>
      </c>
      <c r="BN397" s="567"/>
      <c r="BO397" s="567"/>
      <c r="BP397" s="567"/>
      <c r="BQ397" s="568" t="s">
        <v>932</v>
      </c>
      <c r="BR397" s="568"/>
      <c r="BS397" s="568"/>
      <c r="BT397" s="567" t="s">
        <v>932</v>
      </c>
      <c r="BU397" s="567"/>
      <c r="BV397" s="567"/>
      <c r="BW397" s="567"/>
      <c r="BX397" s="568" t="s">
        <v>932</v>
      </c>
      <c r="BY397" s="568"/>
      <c r="BZ397" s="568"/>
      <c r="CA397" s="567" t="s">
        <v>932</v>
      </c>
      <c r="CB397" s="567"/>
      <c r="CC397" s="567"/>
      <c r="CD397" s="567"/>
      <c r="CE397" s="568">
        <v>1</v>
      </c>
      <c r="CF397" s="568"/>
      <c r="CG397" s="568"/>
      <c r="CH397" s="567" t="s">
        <v>932</v>
      </c>
      <c r="CI397" s="567"/>
      <c r="CJ397" s="567"/>
      <c r="CK397" s="567"/>
      <c r="CL397" s="568" t="s">
        <v>932</v>
      </c>
      <c r="CM397" s="568"/>
      <c r="CN397" s="568"/>
    </row>
    <row r="398" hidden="1" customHeight="1" spans="1:92">
      <c r="A398" s="569"/>
      <c r="B398" s="570"/>
      <c r="C398" s="571"/>
      <c r="D398" s="572"/>
      <c r="E398" s="573"/>
      <c r="F398" s="574"/>
      <c r="G398" s="575"/>
      <c r="H398" s="576"/>
      <c r="I398" s="577"/>
      <c r="J398" s="578"/>
      <c r="K398" s="578"/>
      <c r="L398" s="578"/>
      <c r="M398" s="578"/>
      <c r="N398" s="578"/>
      <c r="O398" s="578"/>
      <c r="P398" s="578"/>
      <c r="Q398" s="578"/>
      <c r="R398" s="578"/>
      <c r="S398" s="578"/>
      <c r="T398" s="578"/>
      <c r="U398" s="578"/>
      <c r="V398" s="578"/>
      <c r="W398" s="578"/>
      <c r="X398" s="578"/>
      <c r="Y398" s="578"/>
      <c r="Z398" s="578"/>
      <c r="AA398" s="579"/>
      <c r="AB398" s="580"/>
      <c r="AC398" s="581"/>
      <c r="AD398" s="582"/>
      <c r="AE398" s="583"/>
      <c r="AF398" s="584"/>
      <c r="AG398" s="553">
        <v>0</v>
      </c>
      <c r="AH398" s="554"/>
      <c r="AI398" s="555" t="e">
        <v>#N/A</v>
      </c>
      <c r="AJ398" s="556"/>
      <c r="AK398" s="556"/>
      <c r="AL398" s="556"/>
      <c r="AM398" s="556"/>
      <c r="AN398" s="556"/>
      <c r="AO398" s="556"/>
      <c r="AP398" s="556"/>
      <c r="AQ398" s="556"/>
      <c r="AR398" s="556"/>
      <c r="AS398" s="556"/>
      <c r="AT398" s="556"/>
      <c r="AU398" s="556"/>
      <c r="AV398" s="557"/>
      <c r="AW398" s="558">
        <v>0</v>
      </c>
      <c r="AX398" s="559"/>
      <c r="AY398" s="560"/>
      <c r="AZ398" s="585"/>
      <c r="BA398" s="586"/>
      <c r="BB398" s="587"/>
      <c r="BC398" s="558">
        <v>0</v>
      </c>
      <c r="BD398" s="559"/>
      <c r="BE398" s="560"/>
      <c r="BF398" s="558">
        <v>182.49</v>
      </c>
      <c r="BG398" s="559"/>
      <c r="BH398" s="560"/>
      <c r="BI398" s="564">
        <v>0</v>
      </c>
      <c r="BJ398" s="565"/>
      <c r="BK398" s="565"/>
      <c r="BL398" s="566"/>
      <c r="BM398" s="567" t="s">
        <v>932</v>
      </c>
      <c r="BN398" s="567"/>
      <c r="BO398" s="567"/>
      <c r="BP398" s="567"/>
      <c r="BQ398" s="568" t="s">
        <v>932</v>
      </c>
      <c r="BR398" s="568"/>
      <c r="BS398" s="568"/>
      <c r="BT398" s="567" t="s">
        <v>932</v>
      </c>
      <c r="BU398" s="567"/>
      <c r="BV398" s="567"/>
      <c r="BW398" s="567"/>
      <c r="BX398" s="568" t="s">
        <v>932</v>
      </c>
      <c r="BY398" s="568"/>
      <c r="BZ398" s="568"/>
      <c r="CA398" s="567" t="s">
        <v>932</v>
      </c>
      <c r="CB398" s="567"/>
      <c r="CC398" s="567"/>
      <c r="CD398" s="567"/>
      <c r="CE398" s="568">
        <v>1</v>
      </c>
      <c r="CF398" s="568"/>
      <c r="CG398" s="568"/>
      <c r="CH398" s="567" t="s">
        <v>932</v>
      </c>
      <c r="CI398" s="567"/>
      <c r="CJ398" s="567"/>
      <c r="CK398" s="567"/>
      <c r="CL398" s="568" t="s">
        <v>932</v>
      </c>
      <c r="CM398" s="568"/>
      <c r="CN398" s="568"/>
    </row>
    <row r="399" hidden="1" customHeight="1" spans="1:92">
      <c r="A399" s="588"/>
      <c r="B399" s="589"/>
      <c r="C399" s="590"/>
      <c r="D399" s="591"/>
      <c r="E399" s="592"/>
      <c r="F399" s="593"/>
      <c r="G399" s="594"/>
      <c r="H399" s="595"/>
      <c r="I399" s="596"/>
      <c r="J399" s="597"/>
      <c r="K399" s="597"/>
      <c r="L399" s="597"/>
      <c r="M399" s="597"/>
      <c r="N399" s="597"/>
      <c r="O399" s="597"/>
      <c r="P399" s="597"/>
      <c r="Q399" s="597"/>
      <c r="R399" s="597"/>
      <c r="S399" s="597"/>
      <c r="T399" s="597"/>
      <c r="U399" s="597"/>
      <c r="V399" s="597"/>
      <c r="W399" s="597"/>
      <c r="X399" s="597"/>
      <c r="Y399" s="597"/>
      <c r="Z399" s="597"/>
      <c r="AA399" s="598"/>
      <c r="AB399" s="599"/>
      <c r="AC399" s="600"/>
      <c r="AD399" s="601"/>
      <c r="AE399" s="602"/>
      <c r="AF399" s="603"/>
      <c r="AG399" s="553">
        <v>0</v>
      </c>
      <c r="AH399" s="554"/>
      <c r="AI399" s="555" t="e">
        <v>#N/A</v>
      </c>
      <c r="AJ399" s="556"/>
      <c r="AK399" s="556"/>
      <c r="AL399" s="556"/>
      <c r="AM399" s="556"/>
      <c r="AN399" s="556"/>
      <c r="AO399" s="556"/>
      <c r="AP399" s="556"/>
      <c r="AQ399" s="556"/>
      <c r="AR399" s="556"/>
      <c r="AS399" s="556"/>
      <c r="AT399" s="556"/>
      <c r="AU399" s="556"/>
      <c r="AV399" s="557"/>
      <c r="AW399" s="558">
        <v>0</v>
      </c>
      <c r="AX399" s="559"/>
      <c r="AY399" s="560"/>
      <c r="AZ399" s="604"/>
      <c r="BA399" s="605"/>
      <c r="BB399" s="606"/>
      <c r="BC399" s="558">
        <v>0</v>
      </c>
      <c r="BD399" s="559"/>
      <c r="BE399" s="560"/>
      <c r="BF399" s="558">
        <v>182.49</v>
      </c>
      <c r="BG399" s="559"/>
      <c r="BH399" s="560"/>
      <c r="BI399" s="564">
        <v>0</v>
      </c>
      <c r="BJ399" s="565"/>
      <c r="BK399" s="565"/>
      <c r="BL399" s="566"/>
      <c r="BM399" s="567" t="s">
        <v>932</v>
      </c>
      <c r="BN399" s="567"/>
      <c r="BO399" s="567"/>
      <c r="BP399" s="567"/>
      <c r="BQ399" s="568" t="s">
        <v>932</v>
      </c>
      <c r="BR399" s="568"/>
      <c r="BS399" s="568"/>
      <c r="BT399" s="567" t="s">
        <v>932</v>
      </c>
      <c r="BU399" s="567"/>
      <c r="BV399" s="567"/>
      <c r="BW399" s="567"/>
      <c r="BX399" s="568" t="s">
        <v>932</v>
      </c>
      <c r="BY399" s="568"/>
      <c r="BZ399" s="568"/>
      <c r="CA399" s="567" t="s">
        <v>932</v>
      </c>
      <c r="CB399" s="567"/>
      <c r="CC399" s="567"/>
      <c r="CD399" s="567"/>
      <c r="CE399" s="568">
        <v>1</v>
      </c>
      <c r="CF399" s="568"/>
      <c r="CG399" s="568"/>
      <c r="CH399" s="567" t="s">
        <v>932</v>
      </c>
      <c r="CI399" s="567"/>
      <c r="CJ399" s="567"/>
      <c r="CK399" s="567"/>
      <c r="CL399" s="568" t="s">
        <v>932</v>
      </c>
      <c r="CM399" s="568"/>
      <c r="CN399" s="568"/>
    </row>
    <row r="400" customHeight="1" spans="1:92">
      <c r="A400" s="540" t="s">
        <v>990</v>
      </c>
      <c r="B400" s="541"/>
      <c r="C400" s="89"/>
      <c r="D400" s="91"/>
      <c r="E400" s="90"/>
      <c r="F400" s="542">
        <v>3108000</v>
      </c>
      <c r="G400" s="543"/>
      <c r="H400" s="544"/>
      <c r="I400" s="545" t="s">
        <v>110</v>
      </c>
      <c r="J400" s="546"/>
      <c r="K400" s="546"/>
      <c r="L400" s="546"/>
      <c r="M400" s="546"/>
      <c r="N400" s="546"/>
      <c r="O400" s="546"/>
      <c r="P400" s="546"/>
      <c r="Q400" s="546"/>
      <c r="R400" s="546"/>
      <c r="S400" s="546"/>
      <c r="T400" s="546"/>
      <c r="U400" s="546"/>
      <c r="V400" s="546"/>
      <c r="W400" s="546"/>
      <c r="X400" s="546"/>
      <c r="Y400" s="546"/>
      <c r="Z400" s="546"/>
      <c r="AA400" s="547"/>
      <c r="AB400" s="548" t="s">
        <v>7</v>
      </c>
      <c r="AC400" s="549"/>
      <c r="AD400" s="550">
        <v>34.23</v>
      </c>
      <c r="AE400" s="551"/>
      <c r="AF400" s="552"/>
      <c r="AG400" s="553" t="s">
        <v>1074</v>
      </c>
      <c r="AH400" s="554"/>
      <c r="AI400" s="555" t="s">
        <v>1075</v>
      </c>
      <c r="AJ400" s="556"/>
      <c r="AK400" s="556"/>
      <c r="AL400" s="556"/>
      <c r="AM400" s="556"/>
      <c r="AN400" s="556"/>
      <c r="AO400" s="556"/>
      <c r="AP400" s="556"/>
      <c r="AQ400" s="556"/>
      <c r="AR400" s="556"/>
      <c r="AS400" s="556"/>
      <c r="AT400" s="556"/>
      <c r="AU400" s="556"/>
      <c r="AV400" s="557"/>
      <c r="AW400" s="558">
        <v>0.06024</v>
      </c>
      <c r="AX400" s="559"/>
      <c r="AY400" s="560"/>
      <c r="AZ400" s="561">
        <v>1</v>
      </c>
      <c r="BA400" s="562"/>
      <c r="BB400" s="563"/>
      <c r="BC400" s="558">
        <v>2.0620152</v>
      </c>
      <c r="BD400" s="559"/>
      <c r="BE400" s="560"/>
      <c r="BF400" s="558">
        <v>182.49</v>
      </c>
      <c r="BG400" s="559"/>
      <c r="BH400" s="560"/>
      <c r="BI400" s="564">
        <v>0.011299332566168</v>
      </c>
      <c r="BJ400" s="565"/>
      <c r="BK400" s="565"/>
      <c r="BL400" s="566"/>
      <c r="BM400" s="567" t="s">
        <v>932</v>
      </c>
      <c r="BN400" s="567"/>
      <c r="BO400" s="567"/>
      <c r="BP400" s="567"/>
      <c r="BQ400" s="568" t="s">
        <v>932</v>
      </c>
      <c r="BR400" s="568"/>
      <c r="BS400" s="568"/>
      <c r="BT400" s="567" t="s">
        <v>932</v>
      </c>
      <c r="BU400" s="567"/>
      <c r="BV400" s="567"/>
      <c r="BW400" s="567"/>
      <c r="BX400" s="568" t="s">
        <v>932</v>
      </c>
      <c r="BY400" s="568"/>
      <c r="BZ400" s="568"/>
      <c r="CA400" s="567">
        <v>0.011299332566168</v>
      </c>
      <c r="CB400" s="567"/>
      <c r="CC400" s="567"/>
      <c r="CD400" s="567"/>
      <c r="CE400" s="568">
        <v>1</v>
      </c>
      <c r="CF400" s="568"/>
      <c r="CG400" s="568"/>
      <c r="CH400" s="567" t="s">
        <v>932</v>
      </c>
      <c r="CI400" s="567"/>
      <c r="CJ400" s="567"/>
      <c r="CK400" s="567"/>
      <c r="CL400" s="568" t="s">
        <v>932</v>
      </c>
      <c r="CM400" s="568"/>
      <c r="CN400" s="568"/>
    </row>
    <row r="401" customHeight="1" spans="1:92">
      <c r="A401" s="569"/>
      <c r="B401" s="570"/>
      <c r="C401" s="571"/>
      <c r="D401" s="572"/>
      <c r="E401" s="573"/>
      <c r="F401" s="574"/>
      <c r="G401" s="575"/>
      <c r="H401" s="576"/>
      <c r="I401" s="577"/>
      <c r="J401" s="578"/>
      <c r="K401" s="578"/>
      <c r="L401" s="578"/>
      <c r="M401" s="578"/>
      <c r="N401" s="578"/>
      <c r="O401" s="578"/>
      <c r="P401" s="578"/>
      <c r="Q401" s="578"/>
      <c r="R401" s="578"/>
      <c r="S401" s="578"/>
      <c r="T401" s="578"/>
      <c r="U401" s="578"/>
      <c r="V401" s="578"/>
      <c r="W401" s="578"/>
      <c r="X401" s="578"/>
      <c r="Y401" s="578"/>
      <c r="Z401" s="578"/>
      <c r="AA401" s="579"/>
      <c r="AB401" s="580"/>
      <c r="AC401" s="581"/>
      <c r="AD401" s="582"/>
      <c r="AE401" s="583"/>
      <c r="AF401" s="584"/>
      <c r="AG401" s="553" t="s">
        <v>1076</v>
      </c>
      <c r="AH401" s="554"/>
      <c r="AI401" s="555" t="s">
        <v>1077</v>
      </c>
      <c r="AJ401" s="556"/>
      <c r="AK401" s="556"/>
      <c r="AL401" s="556"/>
      <c r="AM401" s="556"/>
      <c r="AN401" s="556"/>
      <c r="AO401" s="556"/>
      <c r="AP401" s="556"/>
      <c r="AQ401" s="556"/>
      <c r="AR401" s="556"/>
      <c r="AS401" s="556"/>
      <c r="AT401" s="556"/>
      <c r="AU401" s="556"/>
      <c r="AV401" s="557"/>
      <c r="AW401" s="558">
        <v>0.06024</v>
      </c>
      <c r="AX401" s="559"/>
      <c r="AY401" s="560"/>
      <c r="AZ401" s="585"/>
      <c r="BA401" s="586"/>
      <c r="BB401" s="587"/>
      <c r="BC401" s="558">
        <v>2.0620152</v>
      </c>
      <c r="BD401" s="559"/>
      <c r="BE401" s="560"/>
      <c r="BF401" s="558">
        <v>182.49</v>
      </c>
      <c r="BG401" s="559"/>
      <c r="BH401" s="560"/>
      <c r="BI401" s="564">
        <v>0.011299332566168</v>
      </c>
      <c r="BJ401" s="565"/>
      <c r="BK401" s="565"/>
      <c r="BL401" s="566"/>
      <c r="BM401" s="567" t="s">
        <v>932</v>
      </c>
      <c r="BN401" s="567"/>
      <c r="BO401" s="567"/>
      <c r="BP401" s="567"/>
      <c r="BQ401" s="568" t="s">
        <v>932</v>
      </c>
      <c r="BR401" s="568"/>
      <c r="BS401" s="568"/>
      <c r="BT401" s="567" t="s">
        <v>932</v>
      </c>
      <c r="BU401" s="567"/>
      <c r="BV401" s="567"/>
      <c r="BW401" s="567"/>
      <c r="BX401" s="568" t="s">
        <v>932</v>
      </c>
      <c r="BY401" s="568"/>
      <c r="BZ401" s="568"/>
      <c r="CA401" s="567">
        <v>0.011299332566168</v>
      </c>
      <c r="CB401" s="567"/>
      <c r="CC401" s="567"/>
      <c r="CD401" s="567"/>
      <c r="CE401" s="568">
        <v>1</v>
      </c>
      <c r="CF401" s="568"/>
      <c r="CG401" s="568"/>
      <c r="CH401" s="567" t="s">
        <v>932</v>
      </c>
      <c r="CI401" s="567"/>
      <c r="CJ401" s="567"/>
      <c r="CK401" s="567"/>
      <c r="CL401" s="568" t="s">
        <v>932</v>
      </c>
      <c r="CM401" s="568"/>
      <c r="CN401" s="568"/>
    </row>
    <row r="402" hidden="1" customHeight="1" spans="1:92">
      <c r="A402" s="569"/>
      <c r="B402" s="570"/>
      <c r="C402" s="571"/>
      <c r="D402" s="572"/>
      <c r="E402" s="573"/>
      <c r="F402" s="574"/>
      <c r="G402" s="575"/>
      <c r="H402" s="576"/>
      <c r="I402" s="577"/>
      <c r="J402" s="578"/>
      <c r="K402" s="578"/>
      <c r="L402" s="578"/>
      <c r="M402" s="578"/>
      <c r="N402" s="578"/>
      <c r="O402" s="578"/>
      <c r="P402" s="578"/>
      <c r="Q402" s="578"/>
      <c r="R402" s="578"/>
      <c r="S402" s="578"/>
      <c r="T402" s="578"/>
      <c r="U402" s="578"/>
      <c r="V402" s="578"/>
      <c r="W402" s="578"/>
      <c r="X402" s="578"/>
      <c r="Y402" s="578"/>
      <c r="Z402" s="578"/>
      <c r="AA402" s="579"/>
      <c r="AB402" s="580"/>
      <c r="AC402" s="581"/>
      <c r="AD402" s="582"/>
      <c r="AE402" s="583"/>
      <c r="AF402" s="584"/>
      <c r="AG402" s="553">
        <v>0</v>
      </c>
      <c r="AH402" s="554"/>
      <c r="AI402" s="555" t="e">
        <v>#N/A</v>
      </c>
      <c r="AJ402" s="556"/>
      <c r="AK402" s="556"/>
      <c r="AL402" s="556"/>
      <c r="AM402" s="556"/>
      <c r="AN402" s="556"/>
      <c r="AO402" s="556"/>
      <c r="AP402" s="556"/>
      <c r="AQ402" s="556"/>
      <c r="AR402" s="556"/>
      <c r="AS402" s="556"/>
      <c r="AT402" s="556"/>
      <c r="AU402" s="556"/>
      <c r="AV402" s="557"/>
      <c r="AW402" s="558">
        <v>0</v>
      </c>
      <c r="AX402" s="559"/>
      <c r="AY402" s="560"/>
      <c r="AZ402" s="585"/>
      <c r="BA402" s="586"/>
      <c r="BB402" s="587"/>
      <c r="BC402" s="558">
        <v>0</v>
      </c>
      <c r="BD402" s="559"/>
      <c r="BE402" s="560"/>
      <c r="BF402" s="558">
        <v>182.49</v>
      </c>
      <c r="BG402" s="559"/>
      <c r="BH402" s="560"/>
      <c r="BI402" s="564">
        <v>0</v>
      </c>
      <c r="BJ402" s="565"/>
      <c r="BK402" s="565"/>
      <c r="BL402" s="566"/>
      <c r="BM402" s="567" t="s">
        <v>932</v>
      </c>
      <c r="BN402" s="567"/>
      <c r="BO402" s="567"/>
      <c r="BP402" s="567"/>
      <c r="BQ402" s="568" t="s">
        <v>932</v>
      </c>
      <c r="BR402" s="568"/>
      <c r="BS402" s="568"/>
      <c r="BT402" s="567" t="s">
        <v>932</v>
      </c>
      <c r="BU402" s="567"/>
      <c r="BV402" s="567"/>
      <c r="BW402" s="567"/>
      <c r="BX402" s="568" t="s">
        <v>932</v>
      </c>
      <c r="BY402" s="568"/>
      <c r="BZ402" s="568"/>
      <c r="CA402" s="567" t="s">
        <v>932</v>
      </c>
      <c r="CB402" s="567"/>
      <c r="CC402" s="567"/>
      <c r="CD402" s="567"/>
      <c r="CE402" s="568">
        <v>1</v>
      </c>
      <c r="CF402" s="568"/>
      <c r="CG402" s="568"/>
      <c r="CH402" s="567" t="s">
        <v>932</v>
      </c>
      <c r="CI402" s="567"/>
      <c r="CJ402" s="567"/>
      <c r="CK402" s="567"/>
      <c r="CL402" s="568" t="s">
        <v>932</v>
      </c>
      <c r="CM402" s="568"/>
      <c r="CN402" s="568"/>
    </row>
    <row r="403" hidden="1" customHeight="1" spans="1:92">
      <c r="A403" s="569"/>
      <c r="B403" s="570"/>
      <c r="C403" s="571"/>
      <c r="D403" s="572"/>
      <c r="E403" s="573"/>
      <c r="F403" s="574"/>
      <c r="G403" s="575"/>
      <c r="H403" s="576"/>
      <c r="I403" s="577"/>
      <c r="J403" s="578"/>
      <c r="K403" s="578"/>
      <c r="L403" s="578"/>
      <c r="M403" s="578"/>
      <c r="N403" s="578"/>
      <c r="O403" s="578"/>
      <c r="P403" s="578"/>
      <c r="Q403" s="578"/>
      <c r="R403" s="578"/>
      <c r="S403" s="578"/>
      <c r="T403" s="578"/>
      <c r="U403" s="578"/>
      <c r="V403" s="578"/>
      <c r="W403" s="578"/>
      <c r="X403" s="578"/>
      <c r="Y403" s="578"/>
      <c r="Z403" s="578"/>
      <c r="AA403" s="579"/>
      <c r="AB403" s="580"/>
      <c r="AC403" s="581"/>
      <c r="AD403" s="582"/>
      <c r="AE403" s="583"/>
      <c r="AF403" s="584"/>
      <c r="AG403" s="553">
        <v>0</v>
      </c>
      <c r="AH403" s="554"/>
      <c r="AI403" s="555" t="e">
        <v>#N/A</v>
      </c>
      <c r="AJ403" s="556"/>
      <c r="AK403" s="556"/>
      <c r="AL403" s="556"/>
      <c r="AM403" s="556"/>
      <c r="AN403" s="556"/>
      <c r="AO403" s="556"/>
      <c r="AP403" s="556"/>
      <c r="AQ403" s="556"/>
      <c r="AR403" s="556"/>
      <c r="AS403" s="556"/>
      <c r="AT403" s="556"/>
      <c r="AU403" s="556"/>
      <c r="AV403" s="557"/>
      <c r="AW403" s="558">
        <v>0</v>
      </c>
      <c r="AX403" s="559"/>
      <c r="AY403" s="560"/>
      <c r="AZ403" s="585"/>
      <c r="BA403" s="586"/>
      <c r="BB403" s="587"/>
      <c r="BC403" s="558">
        <v>0</v>
      </c>
      <c r="BD403" s="559"/>
      <c r="BE403" s="560"/>
      <c r="BF403" s="558">
        <v>182.49</v>
      </c>
      <c r="BG403" s="559"/>
      <c r="BH403" s="560"/>
      <c r="BI403" s="564">
        <v>0</v>
      </c>
      <c r="BJ403" s="565"/>
      <c r="BK403" s="565"/>
      <c r="BL403" s="566"/>
      <c r="BM403" s="567" t="s">
        <v>932</v>
      </c>
      <c r="BN403" s="567"/>
      <c r="BO403" s="567"/>
      <c r="BP403" s="567"/>
      <c r="BQ403" s="568" t="s">
        <v>932</v>
      </c>
      <c r="BR403" s="568"/>
      <c r="BS403" s="568"/>
      <c r="BT403" s="567" t="s">
        <v>932</v>
      </c>
      <c r="BU403" s="567"/>
      <c r="BV403" s="567"/>
      <c r="BW403" s="567"/>
      <c r="BX403" s="568" t="s">
        <v>932</v>
      </c>
      <c r="BY403" s="568"/>
      <c r="BZ403" s="568"/>
      <c r="CA403" s="567" t="s">
        <v>932</v>
      </c>
      <c r="CB403" s="567"/>
      <c r="CC403" s="567"/>
      <c r="CD403" s="567"/>
      <c r="CE403" s="568">
        <v>1</v>
      </c>
      <c r="CF403" s="568"/>
      <c r="CG403" s="568"/>
      <c r="CH403" s="567" t="s">
        <v>932</v>
      </c>
      <c r="CI403" s="567"/>
      <c r="CJ403" s="567"/>
      <c r="CK403" s="567"/>
      <c r="CL403" s="568" t="s">
        <v>932</v>
      </c>
      <c r="CM403" s="568"/>
      <c r="CN403" s="568"/>
    </row>
    <row r="404" hidden="1" customHeight="1" spans="1:92">
      <c r="A404" s="569"/>
      <c r="B404" s="570"/>
      <c r="C404" s="571"/>
      <c r="D404" s="572"/>
      <c r="E404" s="573"/>
      <c r="F404" s="574"/>
      <c r="G404" s="575"/>
      <c r="H404" s="576"/>
      <c r="I404" s="577"/>
      <c r="J404" s="578"/>
      <c r="K404" s="578"/>
      <c r="L404" s="578"/>
      <c r="M404" s="578"/>
      <c r="N404" s="578"/>
      <c r="O404" s="578"/>
      <c r="P404" s="578"/>
      <c r="Q404" s="578"/>
      <c r="R404" s="578"/>
      <c r="S404" s="578"/>
      <c r="T404" s="578"/>
      <c r="U404" s="578"/>
      <c r="V404" s="578"/>
      <c r="W404" s="578"/>
      <c r="X404" s="578"/>
      <c r="Y404" s="578"/>
      <c r="Z404" s="578"/>
      <c r="AA404" s="579"/>
      <c r="AB404" s="580"/>
      <c r="AC404" s="581"/>
      <c r="AD404" s="582"/>
      <c r="AE404" s="583"/>
      <c r="AF404" s="584"/>
      <c r="AG404" s="553">
        <v>0</v>
      </c>
      <c r="AH404" s="554"/>
      <c r="AI404" s="555" t="e">
        <v>#N/A</v>
      </c>
      <c r="AJ404" s="556"/>
      <c r="AK404" s="556"/>
      <c r="AL404" s="556"/>
      <c r="AM404" s="556"/>
      <c r="AN404" s="556"/>
      <c r="AO404" s="556"/>
      <c r="AP404" s="556"/>
      <c r="AQ404" s="556"/>
      <c r="AR404" s="556"/>
      <c r="AS404" s="556"/>
      <c r="AT404" s="556"/>
      <c r="AU404" s="556"/>
      <c r="AV404" s="557"/>
      <c r="AW404" s="558">
        <v>0</v>
      </c>
      <c r="AX404" s="559"/>
      <c r="AY404" s="560"/>
      <c r="AZ404" s="585"/>
      <c r="BA404" s="586"/>
      <c r="BB404" s="587"/>
      <c r="BC404" s="558">
        <v>0</v>
      </c>
      <c r="BD404" s="559"/>
      <c r="BE404" s="560"/>
      <c r="BF404" s="558">
        <v>182.49</v>
      </c>
      <c r="BG404" s="559"/>
      <c r="BH404" s="560"/>
      <c r="BI404" s="564">
        <v>0</v>
      </c>
      <c r="BJ404" s="565"/>
      <c r="BK404" s="565"/>
      <c r="BL404" s="566"/>
      <c r="BM404" s="567" t="s">
        <v>932</v>
      </c>
      <c r="BN404" s="567"/>
      <c r="BO404" s="567"/>
      <c r="BP404" s="567"/>
      <c r="BQ404" s="568" t="s">
        <v>932</v>
      </c>
      <c r="BR404" s="568"/>
      <c r="BS404" s="568"/>
      <c r="BT404" s="567" t="s">
        <v>932</v>
      </c>
      <c r="BU404" s="567"/>
      <c r="BV404" s="567"/>
      <c r="BW404" s="567"/>
      <c r="BX404" s="568" t="s">
        <v>932</v>
      </c>
      <c r="BY404" s="568"/>
      <c r="BZ404" s="568"/>
      <c r="CA404" s="567" t="s">
        <v>932</v>
      </c>
      <c r="CB404" s="567"/>
      <c r="CC404" s="567"/>
      <c r="CD404" s="567"/>
      <c r="CE404" s="568">
        <v>1</v>
      </c>
      <c r="CF404" s="568"/>
      <c r="CG404" s="568"/>
      <c r="CH404" s="567" t="s">
        <v>932</v>
      </c>
      <c r="CI404" s="567"/>
      <c r="CJ404" s="567"/>
      <c r="CK404" s="567"/>
      <c r="CL404" s="568" t="s">
        <v>932</v>
      </c>
      <c r="CM404" s="568"/>
      <c r="CN404" s="568"/>
    </row>
    <row r="405" hidden="1" customHeight="1" spans="1:92">
      <c r="A405" s="569"/>
      <c r="B405" s="570"/>
      <c r="C405" s="571"/>
      <c r="D405" s="572"/>
      <c r="E405" s="573"/>
      <c r="F405" s="574"/>
      <c r="G405" s="575"/>
      <c r="H405" s="576"/>
      <c r="I405" s="577"/>
      <c r="J405" s="578"/>
      <c r="K405" s="578"/>
      <c r="L405" s="578"/>
      <c r="M405" s="578"/>
      <c r="N405" s="578"/>
      <c r="O405" s="578"/>
      <c r="P405" s="578"/>
      <c r="Q405" s="578"/>
      <c r="R405" s="578"/>
      <c r="S405" s="578"/>
      <c r="T405" s="578"/>
      <c r="U405" s="578"/>
      <c r="V405" s="578"/>
      <c r="W405" s="578"/>
      <c r="X405" s="578"/>
      <c r="Y405" s="578"/>
      <c r="Z405" s="578"/>
      <c r="AA405" s="579"/>
      <c r="AB405" s="580"/>
      <c r="AC405" s="581"/>
      <c r="AD405" s="582"/>
      <c r="AE405" s="583"/>
      <c r="AF405" s="584"/>
      <c r="AG405" s="553">
        <v>0</v>
      </c>
      <c r="AH405" s="554"/>
      <c r="AI405" s="555" t="e">
        <v>#N/A</v>
      </c>
      <c r="AJ405" s="556"/>
      <c r="AK405" s="556"/>
      <c r="AL405" s="556"/>
      <c r="AM405" s="556"/>
      <c r="AN405" s="556"/>
      <c r="AO405" s="556"/>
      <c r="AP405" s="556"/>
      <c r="AQ405" s="556"/>
      <c r="AR405" s="556"/>
      <c r="AS405" s="556"/>
      <c r="AT405" s="556"/>
      <c r="AU405" s="556"/>
      <c r="AV405" s="557"/>
      <c r="AW405" s="558">
        <v>0</v>
      </c>
      <c r="AX405" s="559"/>
      <c r="AY405" s="560"/>
      <c r="AZ405" s="585"/>
      <c r="BA405" s="586"/>
      <c r="BB405" s="587"/>
      <c r="BC405" s="558">
        <v>0</v>
      </c>
      <c r="BD405" s="559"/>
      <c r="BE405" s="560"/>
      <c r="BF405" s="558">
        <v>182.49</v>
      </c>
      <c r="BG405" s="559"/>
      <c r="BH405" s="560"/>
      <c r="BI405" s="564">
        <v>0</v>
      </c>
      <c r="BJ405" s="565"/>
      <c r="BK405" s="565"/>
      <c r="BL405" s="566"/>
      <c r="BM405" s="567" t="s">
        <v>932</v>
      </c>
      <c r="BN405" s="567"/>
      <c r="BO405" s="567"/>
      <c r="BP405" s="567"/>
      <c r="BQ405" s="568" t="s">
        <v>932</v>
      </c>
      <c r="BR405" s="568"/>
      <c r="BS405" s="568"/>
      <c r="BT405" s="567" t="s">
        <v>932</v>
      </c>
      <c r="BU405" s="567"/>
      <c r="BV405" s="567"/>
      <c r="BW405" s="567"/>
      <c r="BX405" s="568" t="s">
        <v>932</v>
      </c>
      <c r="BY405" s="568"/>
      <c r="BZ405" s="568"/>
      <c r="CA405" s="567" t="s">
        <v>932</v>
      </c>
      <c r="CB405" s="567"/>
      <c r="CC405" s="567"/>
      <c r="CD405" s="567"/>
      <c r="CE405" s="568">
        <v>1</v>
      </c>
      <c r="CF405" s="568"/>
      <c r="CG405" s="568"/>
      <c r="CH405" s="567" t="s">
        <v>932</v>
      </c>
      <c r="CI405" s="567"/>
      <c r="CJ405" s="567"/>
      <c r="CK405" s="567"/>
      <c r="CL405" s="568" t="s">
        <v>932</v>
      </c>
      <c r="CM405" s="568"/>
      <c r="CN405" s="568"/>
    </row>
    <row r="406" hidden="1" customHeight="1" spans="1:92">
      <c r="A406" s="569"/>
      <c r="B406" s="570"/>
      <c r="C406" s="571"/>
      <c r="D406" s="572"/>
      <c r="E406" s="573"/>
      <c r="F406" s="574"/>
      <c r="G406" s="575"/>
      <c r="H406" s="576"/>
      <c r="I406" s="577"/>
      <c r="J406" s="578"/>
      <c r="K406" s="578"/>
      <c r="L406" s="578"/>
      <c r="M406" s="578"/>
      <c r="N406" s="578"/>
      <c r="O406" s="578"/>
      <c r="P406" s="578"/>
      <c r="Q406" s="578"/>
      <c r="R406" s="578"/>
      <c r="S406" s="578"/>
      <c r="T406" s="578"/>
      <c r="U406" s="578"/>
      <c r="V406" s="578"/>
      <c r="W406" s="578"/>
      <c r="X406" s="578"/>
      <c r="Y406" s="578"/>
      <c r="Z406" s="578"/>
      <c r="AA406" s="579"/>
      <c r="AB406" s="580"/>
      <c r="AC406" s="581"/>
      <c r="AD406" s="582"/>
      <c r="AE406" s="583"/>
      <c r="AF406" s="584"/>
      <c r="AG406" s="553">
        <v>0</v>
      </c>
      <c r="AH406" s="554"/>
      <c r="AI406" s="555" t="e">
        <v>#N/A</v>
      </c>
      <c r="AJ406" s="556"/>
      <c r="AK406" s="556"/>
      <c r="AL406" s="556"/>
      <c r="AM406" s="556"/>
      <c r="AN406" s="556"/>
      <c r="AO406" s="556"/>
      <c r="AP406" s="556"/>
      <c r="AQ406" s="556"/>
      <c r="AR406" s="556"/>
      <c r="AS406" s="556"/>
      <c r="AT406" s="556"/>
      <c r="AU406" s="556"/>
      <c r="AV406" s="557"/>
      <c r="AW406" s="558">
        <v>0</v>
      </c>
      <c r="AX406" s="559"/>
      <c r="AY406" s="560"/>
      <c r="AZ406" s="585"/>
      <c r="BA406" s="586"/>
      <c r="BB406" s="587"/>
      <c r="BC406" s="558">
        <v>0</v>
      </c>
      <c r="BD406" s="559"/>
      <c r="BE406" s="560"/>
      <c r="BF406" s="558">
        <v>182.49</v>
      </c>
      <c r="BG406" s="559"/>
      <c r="BH406" s="560"/>
      <c r="BI406" s="564">
        <v>0</v>
      </c>
      <c r="BJ406" s="565"/>
      <c r="BK406" s="565"/>
      <c r="BL406" s="566"/>
      <c r="BM406" s="567" t="s">
        <v>932</v>
      </c>
      <c r="BN406" s="567"/>
      <c r="BO406" s="567"/>
      <c r="BP406" s="567"/>
      <c r="BQ406" s="568" t="s">
        <v>932</v>
      </c>
      <c r="BR406" s="568"/>
      <c r="BS406" s="568"/>
      <c r="BT406" s="567" t="s">
        <v>932</v>
      </c>
      <c r="BU406" s="567"/>
      <c r="BV406" s="567"/>
      <c r="BW406" s="567"/>
      <c r="BX406" s="568" t="s">
        <v>932</v>
      </c>
      <c r="BY406" s="568"/>
      <c r="BZ406" s="568"/>
      <c r="CA406" s="567" t="s">
        <v>932</v>
      </c>
      <c r="CB406" s="567"/>
      <c r="CC406" s="567"/>
      <c r="CD406" s="567"/>
      <c r="CE406" s="568">
        <v>1</v>
      </c>
      <c r="CF406" s="568"/>
      <c r="CG406" s="568"/>
      <c r="CH406" s="567" t="s">
        <v>932</v>
      </c>
      <c r="CI406" s="567"/>
      <c r="CJ406" s="567"/>
      <c r="CK406" s="567"/>
      <c r="CL406" s="568" t="s">
        <v>932</v>
      </c>
      <c r="CM406" s="568"/>
      <c r="CN406" s="568"/>
    </row>
    <row r="407" hidden="1" customHeight="1" spans="1:92">
      <c r="A407" s="588"/>
      <c r="B407" s="589"/>
      <c r="C407" s="590"/>
      <c r="D407" s="591"/>
      <c r="E407" s="592"/>
      <c r="F407" s="593"/>
      <c r="G407" s="594"/>
      <c r="H407" s="595"/>
      <c r="I407" s="596"/>
      <c r="J407" s="597"/>
      <c r="K407" s="597"/>
      <c r="L407" s="597"/>
      <c r="M407" s="597"/>
      <c r="N407" s="597"/>
      <c r="O407" s="597"/>
      <c r="P407" s="597"/>
      <c r="Q407" s="597"/>
      <c r="R407" s="597"/>
      <c r="S407" s="597"/>
      <c r="T407" s="597"/>
      <c r="U407" s="597"/>
      <c r="V407" s="597"/>
      <c r="W407" s="597"/>
      <c r="X407" s="597"/>
      <c r="Y407" s="597"/>
      <c r="Z407" s="597"/>
      <c r="AA407" s="598"/>
      <c r="AB407" s="599"/>
      <c r="AC407" s="600"/>
      <c r="AD407" s="601"/>
      <c r="AE407" s="602"/>
      <c r="AF407" s="603"/>
      <c r="AG407" s="553">
        <v>0</v>
      </c>
      <c r="AH407" s="554"/>
      <c r="AI407" s="555" t="e">
        <v>#N/A</v>
      </c>
      <c r="AJ407" s="556"/>
      <c r="AK407" s="556"/>
      <c r="AL407" s="556"/>
      <c r="AM407" s="556"/>
      <c r="AN407" s="556"/>
      <c r="AO407" s="556"/>
      <c r="AP407" s="556"/>
      <c r="AQ407" s="556"/>
      <c r="AR407" s="556"/>
      <c r="AS407" s="556"/>
      <c r="AT407" s="556"/>
      <c r="AU407" s="556"/>
      <c r="AV407" s="557"/>
      <c r="AW407" s="558">
        <v>0</v>
      </c>
      <c r="AX407" s="559"/>
      <c r="AY407" s="560"/>
      <c r="AZ407" s="604"/>
      <c r="BA407" s="605"/>
      <c r="BB407" s="606"/>
      <c r="BC407" s="558">
        <v>0</v>
      </c>
      <c r="BD407" s="559"/>
      <c r="BE407" s="560"/>
      <c r="BF407" s="558">
        <v>182.49</v>
      </c>
      <c r="BG407" s="559"/>
      <c r="BH407" s="560"/>
      <c r="BI407" s="564">
        <v>0</v>
      </c>
      <c r="BJ407" s="565"/>
      <c r="BK407" s="565"/>
      <c r="BL407" s="566"/>
      <c r="BM407" s="567" t="s">
        <v>932</v>
      </c>
      <c r="BN407" s="567"/>
      <c r="BO407" s="567"/>
      <c r="BP407" s="567"/>
      <c r="BQ407" s="568" t="s">
        <v>932</v>
      </c>
      <c r="BR407" s="568"/>
      <c r="BS407" s="568"/>
      <c r="BT407" s="567" t="s">
        <v>932</v>
      </c>
      <c r="BU407" s="567"/>
      <c r="BV407" s="567"/>
      <c r="BW407" s="567"/>
      <c r="BX407" s="568" t="s">
        <v>932</v>
      </c>
      <c r="BY407" s="568"/>
      <c r="BZ407" s="568"/>
      <c r="CA407" s="567" t="s">
        <v>932</v>
      </c>
      <c r="CB407" s="567"/>
      <c r="CC407" s="567"/>
      <c r="CD407" s="567"/>
      <c r="CE407" s="568">
        <v>1</v>
      </c>
      <c r="CF407" s="568"/>
      <c r="CG407" s="568"/>
      <c r="CH407" s="567" t="s">
        <v>932</v>
      </c>
      <c r="CI407" s="567"/>
      <c r="CJ407" s="567"/>
      <c r="CK407" s="567"/>
      <c r="CL407" s="568" t="s">
        <v>932</v>
      </c>
      <c r="CM407" s="568"/>
      <c r="CN407" s="568"/>
    </row>
    <row r="408" hidden="1" customHeight="1" spans="1:92">
      <c r="A408" s="540" t="s">
        <v>991</v>
      </c>
      <c r="B408" s="541"/>
      <c r="C408" s="89"/>
      <c r="D408" s="91"/>
      <c r="E408" s="90"/>
      <c r="F408" s="542">
        <v>407819</v>
      </c>
      <c r="G408" s="543"/>
      <c r="H408" s="544"/>
      <c r="I408" s="545" t="s">
        <v>100</v>
      </c>
      <c r="J408" s="546"/>
      <c r="K408" s="546"/>
      <c r="L408" s="546"/>
      <c r="M408" s="546"/>
      <c r="N408" s="546"/>
      <c r="O408" s="546"/>
      <c r="P408" s="546"/>
      <c r="Q408" s="546"/>
      <c r="R408" s="546"/>
      <c r="S408" s="546"/>
      <c r="T408" s="546"/>
      <c r="U408" s="546"/>
      <c r="V408" s="546"/>
      <c r="W408" s="546"/>
      <c r="X408" s="546"/>
      <c r="Y408" s="546"/>
      <c r="Z408" s="546"/>
      <c r="AA408" s="547"/>
      <c r="AB408" s="548" t="s">
        <v>101</v>
      </c>
      <c r="AC408" s="549"/>
      <c r="AD408" s="550">
        <v>285.9</v>
      </c>
      <c r="AE408" s="551"/>
      <c r="AF408" s="552"/>
      <c r="AG408" s="553">
        <v>0</v>
      </c>
      <c r="AH408" s="554"/>
      <c r="AI408" s="555" t="e">
        <v>#N/A</v>
      </c>
      <c r="AJ408" s="556"/>
      <c r="AK408" s="556"/>
      <c r="AL408" s="556"/>
      <c r="AM408" s="556"/>
      <c r="AN408" s="556"/>
      <c r="AO408" s="556"/>
      <c r="AP408" s="556"/>
      <c r="AQ408" s="556"/>
      <c r="AR408" s="556"/>
      <c r="AS408" s="556"/>
      <c r="AT408" s="556"/>
      <c r="AU408" s="556"/>
      <c r="AV408" s="557"/>
      <c r="AW408" s="558">
        <v>0</v>
      </c>
      <c r="AX408" s="559"/>
      <c r="AY408" s="560"/>
      <c r="AZ408" s="561">
        <v>1</v>
      </c>
      <c r="BA408" s="562"/>
      <c r="BB408" s="563"/>
      <c r="BC408" s="558">
        <v>0</v>
      </c>
      <c r="BD408" s="559"/>
      <c r="BE408" s="560"/>
      <c r="BF408" s="558">
        <v>182.49</v>
      </c>
      <c r="BG408" s="559"/>
      <c r="BH408" s="560"/>
      <c r="BI408" s="564">
        <v>0</v>
      </c>
      <c r="BJ408" s="565"/>
      <c r="BK408" s="565"/>
      <c r="BL408" s="566"/>
      <c r="BM408" s="567" t="s">
        <v>932</v>
      </c>
      <c r="BN408" s="567"/>
      <c r="BO408" s="567"/>
      <c r="BP408" s="567"/>
      <c r="BQ408" s="568" t="s">
        <v>932</v>
      </c>
      <c r="BR408" s="568"/>
      <c r="BS408" s="568"/>
      <c r="BT408" s="567" t="s">
        <v>932</v>
      </c>
      <c r="BU408" s="567"/>
      <c r="BV408" s="567"/>
      <c r="BW408" s="567"/>
      <c r="BX408" s="568" t="s">
        <v>932</v>
      </c>
      <c r="BY408" s="568"/>
      <c r="BZ408" s="568"/>
      <c r="CA408" s="567" t="s">
        <v>932</v>
      </c>
      <c r="CB408" s="567"/>
      <c r="CC408" s="567"/>
      <c r="CD408" s="567"/>
      <c r="CE408" s="568">
        <v>1</v>
      </c>
      <c r="CF408" s="568"/>
      <c r="CG408" s="568"/>
      <c r="CH408" s="567" t="s">
        <v>932</v>
      </c>
      <c r="CI408" s="567"/>
      <c r="CJ408" s="567"/>
      <c r="CK408" s="567"/>
      <c r="CL408" s="568" t="s">
        <v>932</v>
      </c>
      <c r="CM408" s="568"/>
      <c r="CN408" s="568"/>
    </row>
    <row r="409" hidden="1" customHeight="1" spans="1:92">
      <c r="A409" s="569"/>
      <c r="B409" s="570"/>
      <c r="C409" s="571"/>
      <c r="D409" s="572"/>
      <c r="E409" s="573"/>
      <c r="F409" s="574"/>
      <c r="G409" s="575"/>
      <c r="H409" s="576"/>
      <c r="I409" s="577"/>
      <c r="J409" s="578"/>
      <c r="K409" s="578"/>
      <c r="L409" s="578"/>
      <c r="M409" s="578"/>
      <c r="N409" s="578"/>
      <c r="O409" s="578"/>
      <c r="P409" s="578"/>
      <c r="Q409" s="578"/>
      <c r="R409" s="578"/>
      <c r="S409" s="578"/>
      <c r="T409" s="578"/>
      <c r="U409" s="578"/>
      <c r="V409" s="578"/>
      <c r="W409" s="578"/>
      <c r="X409" s="578"/>
      <c r="Y409" s="578"/>
      <c r="Z409" s="578"/>
      <c r="AA409" s="579"/>
      <c r="AB409" s="580"/>
      <c r="AC409" s="581"/>
      <c r="AD409" s="582"/>
      <c r="AE409" s="583"/>
      <c r="AF409" s="584"/>
      <c r="AG409" s="553">
        <v>0</v>
      </c>
      <c r="AH409" s="554"/>
      <c r="AI409" s="555" t="e">
        <v>#N/A</v>
      </c>
      <c r="AJ409" s="556"/>
      <c r="AK409" s="556"/>
      <c r="AL409" s="556"/>
      <c r="AM409" s="556"/>
      <c r="AN409" s="556"/>
      <c r="AO409" s="556"/>
      <c r="AP409" s="556"/>
      <c r="AQ409" s="556"/>
      <c r="AR409" s="556"/>
      <c r="AS409" s="556"/>
      <c r="AT409" s="556"/>
      <c r="AU409" s="556"/>
      <c r="AV409" s="557"/>
      <c r="AW409" s="558">
        <v>0</v>
      </c>
      <c r="AX409" s="559"/>
      <c r="AY409" s="560"/>
      <c r="AZ409" s="585"/>
      <c r="BA409" s="586"/>
      <c r="BB409" s="587"/>
      <c r="BC409" s="558">
        <v>0</v>
      </c>
      <c r="BD409" s="559"/>
      <c r="BE409" s="560"/>
      <c r="BF409" s="558">
        <v>182.49</v>
      </c>
      <c r="BG409" s="559"/>
      <c r="BH409" s="560"/>
      <c r="BI409" s="564">
        <v>0</v>
      </c>
      <c r="BJ409" s="565"/>
      <c r="BK409" s="565"/>
      <c r="BL409" s="566"/>
      <c r="BM409" s="567" t="s">
        <v>932</v>
      </c>
      <c r="BN409" s="567"/>
      <c r="BO409" s="567"/>
      <c r="BP409" s="567"/>
      <c r="BQ409" s="568" t="s">
        <v>932</v>
      </c>
      <c r="BR409" s="568"/>
      <c r="BS409" s="568"/>
      <c r="BT409" s="567" t="s">
        <v>932</v>
      </c>
      <c r="BU409" s="567"/>
      <c r="BV409" s="567"/>
      <c r="BW409" s="567"/>
      <c r="BX409" s="568" t="s">
        <v>932</v>
      </c>
      <c r="BY409" s="568"/>
      <c r="BZ409" s="568"/>
      <c r="CA409" s="567" t="s">
        <v>932</v>
      </c>
      <c r="CB409" s="567"/>
      <c r="CC409" s="567"/>
      <c r="CD409" s="567"/>
      <c r="CE409" s="568">
        <v>1</v>
      </c>
      <c r="CF409" s="568"/>
      <c r="CG409" s="568"/>
      <c r="CH409" s="567" t="s">
        <v>932</v>
      </c>
      <c r="CI409" s="567"/>
      <c r="CJ409" s="567"/>
      <c r="CK409" s="567"/>
      <c r="CL409" s="568" t="s">
        <v>932</v>
      </c>
      <c r="CM409" s="568"/>
      <c r="CN409" s="568"/>
    </row>
    <row r="410" hidden="1" customHeight="1" spans="1:92">
      <c r="A410" s="569"/>
      <c r="B410" s="570"/>
      <c r="C410" s="571"/>
      <c r="D410" s="572"/>
      <c r="E410" s="573"/>
      <c r="F410" s="574"/>
      <c r="G410" s="575"/>
      <c r="H410" s="576"/>
      <c r="I410" s="577"/>
      <c r="J410" s="578"/>
      <c r="K410" s="578"/>
      <c r="L410" s="578"/>
      <c r="M410" s="578"/>
      <c r="N410" s="578"/>
      <c r="O410" s="578"/>
      <c r="P410" s="578"/>
      <c r="Q410" s="578"/>
      <c r="R410" s="578"/>
      <c r="S410" s="578"/>
      <c r="T410" s="578"/>
      <c r="U410" s="578"/>
      <c r="V410" s="578"/>
      <c r="W410" s="578"/>
      <c r="X410" s="578"/>
      <c r="Y410" s="578"/>
      <c r="Z410" s="578"/>
      <c r="AA410" s="579"/>
      <c r="AB410" s="580"/>
      <c r="AC410" s="581"/>
      <c r="AD410" s="582"/>
      <c r="AE410" s="583"/>
      <c r="AF410" s="584"/>
      <c r="AG410" s="553">
        <v>0</v>
      </c>
      <c r="AH410" s="554"/>
      <c r="AI410" s="555" t="e">
        <v>#N/A</v>
      </c>
      <c r="AJ410" s="556"/>
      <c r="AK410" s="556"/>
      <c r="AL410" s="556"/>
      <c r="AM410" s="556"/>
      <c r="AN410" s="556"/>
      <c r="AO410" s="556"/>
      <c r="AP410" s="556"/>
      <c r="AQ410" s="556"/>
      <c r="AR410" s="556"/>
      <c r="AS410" s="556"/>
      <c r="AT410" s="556"/>
      <c r="AU410" s="556"/>
      <c r="AV410" s="557"/>
      <c r="AW410" s="558">
        <v>0</v>
      </c>
      <c r="AX410" s="559"/>
      <c r="AY410" s="560"/>
      <c r="AZ410" s="585"/>
      <c r="BA410" s="586"/>
      <c r="BB410" s="587"/>
      <c r="BC410" s="558">
        <v>0</v>
      </c>
      <c r="BD410" s="559"/>
      <c r="BE410" s="560"/>
      <c r="BF410" s="558">
        <v>182.49</v>
      </c>
      <c r="BG410" s="559"/>
      <c r="BH410" s="560"/>
      <c r="BI410" s="564">
        <v>0</v>
      </c>
      <c r="BJ410" s="565"/>
      <c r="BK410" s="565"/>
      <c r="BL410" s="566"/>
      <c r="BM410" s="567" t="s">
        <v>932</v>
      </c>
      <c r="BN410" s="567"/>
      <c r="BO410" s="567"/>
      <c r="BP410" s="567"/>
      <c r="BQ410" s="568" t="s">
        <v>932</v>
      </c>
      <c r="BR410" s="568"/>
      <c r="BS410" s="568"/>
      <c r="BT410" s="567" t="s">
        <v>932</v>
      </c>
      <c r="BU410" s="567"/>
      <c r="BV410" s="567"/>
      <c r="BW410" s="567"/>
      <c r="BX410" s="568" t="s">
        <v>932</v>
      </c>
      <c r="BY410" s="568"/>
      <c r="BZ410" s="568"/>
      <c r="CA410" s="567" t="s">
        <v>932</v>
      </c>
      <c r="CB410" s="567"/>
      <c r="CC410" s="567"/>
      <c r="CD410" s="567"/>
      <c r="CE410" s="568">
        <v>1</v>
      </c>
      <c r="CF410" s="568"/>
      <c r="CG410" s="568"/>
      <c r="CH410" s="567" t="s">
        <v>932</v>
      </c>
      <c r="CI410" s="567"/>
      <c r="CJ410" s="567"/>
      <c r="CK410" s="567"/>
      <c r="CL410" s="568" t="s">
        <v>932</v>
      </c>
      <c r="CM410" s="568"/>
      <c r="CN410" s="568"/>
    </row>
    <row r="411" hidden="1" customHeight="1" spans="1:92">
      <c r="A411" s="569"/>
      <c r="B411" s="570"/>
      <c r="C411" s="571"/>
      <c r="D411" s="572"/>
      <c r="E411" s="573"/>
      <c r="F411" s="574"/>
      <c r="G411" s="575"/>
      <c r="H411" s="576"/>
      <c r="I411" s="577"/>
      <c r="J411" s="578"/>
      <c r="K411" s="578"/>
      <c r="L411" s="578"/>
      <c r="M411" s="578"/>
      <c r="N411" s="578"/>
      <c r="O411" s="578"/>
      <c r="P411" s="578"/>
      <c r="Q411" s="578"/>
      <c r="R411" s="578"/>
      <c r="S411" s="578"/>
      <c r="T411" s="578"/>
      <c r="U411" s="578"/>
      <c r="V411" s="578"/>
      <c r="W411" s="578"/>
      <c r="X411" s="578"/>
      <c r="Y411" s="578"/>
      <c r="Z411" s="578"/>
      <c r="AA411" s="579"/>
      <c r="AB411" s="580"/>
      <c r="AC411" s="581"/>
      <c r="AD411" s="582"/>
      <c r="AE411" s="583"/>
      <c r="AF411" s="584"/>
      <c r="AG411" s="553">
        <v>0</v>
      </c>
      <c r="AH411" s="554"/>
      <c r="AI411" s="555" t="e">
        <v>#N/A</v>
      </c>
      <c r="AJ411" s="556"/>
      <c r="AK411" s="556"/>
      <c r="AL411" s="556"/>
      <c r="AM411" s="556"/>
      <c r="AN411" s="556"/>
      <c r="AO411" s="556"/>
      <c r="AP411" s="556"/>
      <c r="AQ411" s="556"/>
      <c r="AR411" s="556"/>
      <c r="AS411" s="556"/>
      <c r="AT411" s="556"/>
      <c r="AU411" s="556"/>
      <c r="AV411" s="557"/>
      <c r="AW411" s="558">
        <v>0</v>
      </c>
      <c r="AX411" s="559"/>
      <c r="AY411" s="560"/>
      <c r="AZ411" s="585"/>
      <c r="BA411" s="586"/>
      <c r="BB411" s="587"/>
      <c r="BC411" s="558">
        <v>0</v>
      </c>
      <c r="BD411" s="559"/>
      <c r="BE411" s="560"/>
      <c r="BF411" s="558">
        <v>182.49</v>
      </c>
      <c r="BG411" s="559"/>
      <c r="BH411" s="560"/>
      <c r="BI411" s="564">
        <v>0</v>
      </c>
      <c r="BJ411" s="565"/>
      <c r="BK411" s="565"/>
      <c r="BL411" s="566"/>
      <c r="BM411" s="567" t="s">
        <v>932</v>
      </c>
      <c r="BN411" s="567"/>
      <c r="BO411" s="567"/>
      <c r="BP411" s="567"/>
      <c r="BQ411" s="568" t="s">
        <v>932</v>
      </c>
      <c r="BR411" s="568"/>
      <c r="BS411" s="568"/>
      <c r="BT411" s="567" t="s">
        <v>932</v>
      </c>
      <c r="BU411" s="567"/>
      <c r="BV411" s="567"/>
      <c r="BW411" s="567"/>
      <c r="BX411" s="568" t="s">
        <v>932</v>
      </c>
      <c r="BY411" s="568"/>
      <c r="BZ411" s="568"/>
      <c r="CA411" s="567" t="s">
        <v>932</v>
      </c>
      <c r="CB411" s="567"/>
      <c r="CC411" s="567"/>
      <c r="CD411" s="567"/>
      <c r="CE411" s="568">
        <v>1</v>
      </c>
      <c r="CF411" s="568"/>
      <c r="CG411" s="568"/>
      <c r="CH411" s="567" t="s">
        <v>932</v>
      </c>
      <c r="CI411" s="567"/>
      <c r="CJ411" s="567"/>
      <c r="CK411" s="567"/>
      <c r="CL411" s="568" t="s">
        <v>932</v>
      </c>
      <c r="CM411" s="568"/>
      <c r="CN411" s="568"/>
    </row>
    <row r="412" hidden="1" customHeight="1" spans="1:92">
      <c r="A412" s="569"/>
      <c r="B412" s="570"/>
      <c r="C412" s="571"/>
      <c r="D412" s="572"/>
      <c r="E412" s="573"/>
      <c r="F412" s="574"/>
      <c r="G412" s="575"/>
      <c r="H412" s="576"/>
      <c r="I412" s="577"/>
      <c r="J412" s="578"/>
      <c r="K412" s="578"/>
      <c r="L412" s="578"/>
      <c r="M412" s="578"/>
      <c r="N412" s="578"/>
      <c r="O412" s="578"/>
      <c r="P412" s="578"/>
      <c r="Q412" s="578"/>
      <c r="R412" s="578"/>
      <c r="S412" s="578"/>
      <c r="T412" s="578"/>
      <c r="U412" s="578"/>
      <c r="V412" s="578"/>
      <c r="W412" s="578"/>
      <c r="X412" s="578"/>
      <c r="Y412" s="578"/>
      <c r="Z412" s="578"/>
      <c r="AA412" s="579"/>
      <c r="AB412" s="580"/>
      <c r="AC412" s="581"/>
      <c r="AD412" s="582"/>
      <c r="AE412" s="583"/>
      <c r="AF412" s="584"/>
      <c r="AG412" s="553">
        <v>0</v>
      </c>
      <c r="AH412" s="554"/>
      <c r="AI412" s="555" t="e">
        <v>#N/A</v>
      </c>
      <c r="AJ412" s="556"/>
      <c r="AK412" s="556"/>
      <c r="AL412" s="556"/>
      <c r="AM412" s="556"/>
      <c r="AN412" s="556"/>
      <c r="AO412" s="556"/>
      <c r="AP412" s="556"/>
      <c r="AQ412" s="556"/>
      <c r="AR412" s="556"/>
      <c r="AS412" s="556"/>
      <c r="AT412" s="556"/>
      <c r="AU412" s="556"/>
      <c r="AV412" s="557"/>
      <c r="AW412" s="558">
        <v>0</v>
      </c>
      <c r="AX412" s="559"/>
      <c r="AY412" s="560"/>
      <c r="AZ412" s="585"/>
      <c r="BA412" s="586"/>
      <c r="BB412" s="587"/>
      <c r="BC412" s="558">
        <v>0</v>
      </c>
      <c r="BD412" s="559"/>
      <c r="BE412" s="560"/>
      <c r="BF412" s="558">
        <v>182.49</v>
      </c>
      <c r="BG412" s="559"/>
      <c r="BH412" s="560"/>
      <c r="BI412" s="564">
        <v>0</v>
      </c>
      <c r="BJ412" s="565"/>
      <c r="BK412" s="565"/>
      <c r="BL412" s="566"/>
      <c r="BM412" s="567" t="s">
        <v>932</v>
      </c>
      <c r="BN412" s="567"/>
      <c r="BO412" s="567"/>
      <c r="BP412" s="567"/>
      <c r="BQ412" s="568" t="s">
        <v>932</v>
      </c>
      <c r="BR412" s="568"/>
      <c r="BS412" s="568"/>
      <c r="BT412" s="567" t="s">
        <v>932</v>
      </c>
      <c r="BU412" s="567"/>
      <c r="BV412" s="567"/>
      <c r="BW412" s="567"/>
      <c r="BX412" s="568" t="s">
        <v>932</v>
      </c>
      <c r="BY412" s="568"/>
      <c r="BZ412" s="568"/>
      <c r="CA412" s="567" t="s">
        <v>932</v>
      </c>
      <c r="CB412" s="567"/>
      <c r="CC412" s="567"/>
      <c r="CD412" s="567"/>
      <c r="CE412" s="568">
        <v>1</v>
      </c>
      <c r="CF412" s="568"/>
      <c r="CG412" s="568"/>
      <c r="CH412" s="567" t="s">
        <v>932</v>
      </c>
      <c r="CI412" s="567"/>
      <c r="CJ412" s="567"/>
      <c r="CK412" s="567"/>
      <c r="CL412" s="568" t="s">
        <v>932</v>
      </c>
      <c r="CM412" s="568"/>
      <c r="CN412" s="568"/>
    </row>
    <row r="413" hidden="1" customHeight="1" spans="1:92">
      <c r="A413" s="569"/>
      <c r="B413" s="570"/>
      <c r="C413" s="571"/>
      <c r="D413" s="572"/>
      <c r="E413" s="573"/>
      <c r="F413" s="574"/>
      <c r="G413" s="575"/>
      <c r="H413" s="576"/>
      <c r="I413" s="577"/>
      <c r="J413" s="578"/>
      <c r="K413" s="578"/>
      <c r="L413" s="578"/>
      <c r="M413" s="578"/>
      <c r="N413" s="578"/>
      <c r="O413" s="578"/>
      <c r="P413" s="578"/>
      <c r="Q413" s="578"/>
      <c r="R413" s="578"/>
      <c r="S413" s="578"/>
      <c r="T413" s="578"/>
      <c r="U413" s="578"/>
      <c r="V413" s="578"/>
      <c r="W413" s="578"/>
      <c r="X413" s="578"/>
      <c r="Y413" s="578"/>
      <c r="Z413" s="578"/>
      <c r="AA413" s="579"/>
      <c r="AB413" s="580"/>
      <c r="AC413" s="581"/>
      <c r="AD413" s="582"/>
      <c r="AE413" s="583"/>
      <c r="AF413" s="584"/>
      <c r="AG413" s="553">
        <v>0</v>
      </c>
      <c r="AH413" s="554"/>
      <c r="AI413" s="555" t="e">
        <v>#N/A</v>
      </c>
      <c r="AJ413" s="556"/>
      <c r="AK413" s="556"/>
      <c r="AL413" s="556"/>
      <c r="AM413" s="556"/>
      <c r="AN413" s="556"/>
      <c r="AO413" s="556"/>
      <c r="AP413" s="556"/>
      <c r="AQ413" s="556"/>
      <c r="AR413" s="556"/>
      <c r="AS413" s="556"/>
      <c r="AT413" s="556"/>
      <c r="AU413" s="556"/>
      <c r="AV413" s="557"/>
      <c r="AW413" s="558">
        <v>0</v>
      </c>
      <c r="AX413" s="559"/>
      <c r="AY413" s="560"/>
      <c r="AZ413" s="585"/>
      <c r="BA413" s="586"/>
      <c r="BB413" s="587"/>
      <c r="BC413" s="558">
        <v>0</v>
      </c>
      <c r="BD413" s="559"/>
      <c r="BE413" s="560"/>
      <c r="BF413" s="558">
        <v>182.49</v>
      </c>
      <c r="BG413" s="559"/>
      <c r="BH413" s="560"/>
      <c r="BI413" s="564">
        <v>0</v>
      </c>
      <c r="BJ413" s="565"/>
      <c r="BK413" s="565"/>
      <c r="BL413" s="566"/>
      <c r="BM413" s="567" t="s">
        <v>932</v>
      </c>
      <c r="BN413" s="567"/>
      <c r="BO413" s="567"/>
      <c r="BP413" s="567"/>
      <c r="BQ413" s="568" t="s">
        <v>932</v>
      </c>
      <c r="BR413" s="568"/>
      <c r="BS413" s="568"/>
      <c r="BT413" s="567" t="s">
        <v>932</v>
      </c>
      <c r="BU413" s="567"/>
      <c r="BV413" s="567"/>
      <c r="BW413" s="567"/>
      <c r="BX413" s="568" t="s">
        <v>932</v>
      </c>
      <c r="BY413" s="568"/>
      <c r="BZ413" s="568"/>
      <c r="CA413" s="567" t="s">
        <v>932</v>
      </c>
      <c r="CB413" s="567"/>
      <c r="CC413" s="567"/>
      <c r="CD413" s="567"/>
      <c r="CE413" s="568">
        <v>1</v>
      </c>
      <c r="CF413" s="568"/>
      <c r="CG413" s="568"/>
      <c r="CH413" s="567" t="s">
        <v>932</v>
      </c>
      <c r="CI413" s="567"/>
      <c r="CJ413" s="567"/>
      <c r="CK413" s="567"/>
      <c r="CL413" s="568" t="s">
        <v>932</v>
      </c>
      <c r="CM413" s="568"/>
      <c r="CN413" s="568"/>
    </row>
    <row r="414" hidden="1" customHeight="1" spans="1:92">
      <c r="A414" s="569"/>
      <c r="B414" s="570"/>
      <c r="C414" s="571"/>
      <c r="D414" s="572"/>
      <c r="E414" s="573"/>
      <c r="F414" s="574"/>
      <c r="G414" s="575"/>
      <c r="H414" s="576"/>
      <c r="I414" s="577"/>
      <c r="J414" s="578"/>
      <c r="K414" s="578"/>
      <c r="L414" s="578"/>
      <c r="M414" s="578"/>
      <c r="N414" s="578"/>
      <c r="O414" s="578"/>
      <c r="P414" s="578"/>
      <c r="Q414" s="578"/>
      <c r="R414" s="578"/>
      <c r="S414" s="578"/>
      <c r="T414" s="578"/>
      <c r="U414" s="578"/>
      <c r="V414" s="578"/>
      <c r="W414" s="578"/>
      <c r="X414" s="578"/>
      <c r="Y414" s="578"/>
      <c r="Z414" s="578"/>
      <c r="AA414" s="579"/>
      <c r="AB414" s="580"/>
      <c r="AC414" s="581"/>
      <c r="AD414" s="582"/>
      <c r="AE414" s="583"/>
      <c r="AF414" s="584"/>
      <c r="AG414" s="553">
        <v>0</v>
      </c>
      <c r="AH414" s="554"/>
      <c r="AI414" s="555" t="e">
        <v>#N/A</v>
      </c>
      <c r="AJ414" s="556"/>
      <c r="AK414" s="556"/>
      <c r="AL414" s="556"/>
      <c r="AM414" s="556"/>
      <c r="AN414" s="556"/>
      <c r="AO414" s="556"/>
      <c r="AP414" s="556"/>
      <c r="AQ414" s="556"/>
      <c r="AR414" s="556"/>
      <c r="AS414" s="556"/>
      <c r="AT414" s="556"/>
      <c r="AU414" s="556"/>
      <c r="AV414" s="557"/>
      <c r="AW414" s="558">
        <v>0</v>
      </c>
      <c r="AX414" s="559"/>
      <c r="AY414" s="560"/>
      <c r="AZ414" s="585"/>
      <c r="BA414" s="586"/>
      <c r="BB414" s="587"/>
      <c r="BC414" s="558">
        <v>0</v>
      </c>
      <c r="BD414" s="559"/>
      <c r="BE414" s="560"/>
      <c r="BF414" s="558">
        <v>182.49</v>
      </c>
      <c r="BG414" s="559"/>
      <c r="BH414" s="560"/>
      <c r="BI414" s="564">
        <v>0</v>
      </c>
      <c r="BJ414" s="565"/>
      <c r="BK414" s="565"/>
      <c r="BL414" s="566"/>
      <c r="BM414" s="567" t="s">
        <v>932</v>
      </c>
      <c r="BN414" s="567"/>
      <c r="BO414" s="567"/>
      <c r="BP414" s="567"/>
      <c r="BQ414" s="568" t="s">
        <v>932</v>
      </c>
      <c r="BR414" s="568"/>
      <c r="BS414" s="568"/>
      <c r="BT414" s="567" t="s">
        <v>932</v>
      </c>
      <c r="BU414" s="567"/>
      <c r="BV414" s="567"/>
      <c r="BW414" s="567"/>
      <c r="BX414" s="568" t="s">
        <v>932</v>
      </c>
      <c r="BY414" s="568"/>
      <c r="BZ414" s="568"/>
      <c r="CA414" s="567" t="s">
        <v>932</v>
      </c>
      <c r="CB414" s="567"/>
      <c r="CC414" s="567"/>
      <c r="CD414" s="567"/>
      <c r="CE414" s="568">
        <v>1</v>
      </c>
      <c r="CF414" s="568"/>
      <c r="CG414" s="568"/>
      <c r="CH414" s="567" t="s">
        <v>932</v>
      </c>
      <c r="CI414" s="567"/>
      <c r="CJ414" s="567"/>
      <c r="CK414" s="567"/>
      <c r="CL414" s="568" t="s">
        <v>932</v>
      </c>
      <c r="CM414" s="568"/>
      <c r="CN414" s="568"/>
    </row>
    <row r="415" hidden="1" customHeight="1" spans="1:92">
      <c r="A415" s="588"/>
      <c r="B415" s="589"/>
      <c r="C415" s="590"/>
      <c r="D415" s="591"/>
      <c r="E415" s="592"/>
      <c r="F415" s="593"/>
      <c r="G415" s="594"/>
      <c r="H415" s="595"/>
      <c r="I415" s="596"/>
      <c r="J415" s="597"/>
      <c r="K415" s="597"/>
      <c r="L415" s="597"/>
      <c r="M415" s="597"/>
      <c r="N415" s="597"/>
      <c r="O415" s="597"/>
      <c r="P415" s="597"/>
      <c r="Q415" s="597"/>
      <c r="R415" s="597"/>
      <c r="S415" s="597"/>
      <c r="T415" s="597"/>
      <c r="U415" s="597"/>
      <c r="V415" s="597"/>
      <c r="W415" s="597"/>
      <c r="X415" s="597"/>
      <c r="Y415" s="597"/>
      <c r="Z415" s="597"/>
      <c r="AA415" s="598"/>
      <c r="AB415" s="599"/>
      <c r="AC415" s="600"/>
      <c r="AD415" s="601"/>
      <c r="AE415" s="602"/>
      <c r="AF415" s="603"/>
      <c r="AG415" s="553">
        <v>0</v>
      </c>
      <c r="AH415" s="554"/>
      <c r="AI415" s="555" t="e">
        <v>#N/A</v>
      </c>
      <c r="AJ415" s="556"/>
      <c r="AK415" s="556"/>
      <c r="AL415" s="556"/>
      <c r="AM415" s="556"/>
      <c r="AN415" s="556"/>
      <c r="AO415" s="556"/>
      <c r="AP415" s="556"/>
      <c r="AQ415" s="556"/>
      <c r="AR415" s="556"/>
      <c r="AS415" s="556"/>
      <c r="AT415" s="556"/>
      <c r="AU415" s="556"/>
      <c r="AV415" s="557"/>
      <c r="AW415" s="558">
        <v>0</v>
      </c>
      <c r="AX415" s="559"/>
      <c r="AY415" s="560"/>
      <c r="AZ415" s="604"/>
      <c r="BA415" s="605"/>
      <c r="BB415" s="606"/>
      <c r="BC415" s="558">
        <v>0</v>
      </c>
      <c r="BD415" s="559"/>
      <c r="BE415" s="560"/>
      <c r="BF415" s="558">
        <v>182.49</v>
      </c>
      <c r="BG415" s="559"/>
      <c r="BH415" s="560"/>
      <c r="BI415" s="564">
        <v>0</v>
      </c>
      <c r="BJ415" s="565"/>
      <c r="BK415" s="565"/>
      <c r="BL415" s="566"/>
      <c r="BM415" s="567" t="s">
        <v>932</v>
      </c>
      <c r="BN415" s="567"/>
      <c r="BO415" s="567"/>
      <c r="BP415" s="567"/>
      <c r="BQ415" s="568" t="s">
        <v>932</v>
      </c>
      <c r="BR415" s="568"/>
      <c r="BS415" s="568"/>
      <c r="BT415" s="567" t="s">
        <v>932</v>
      </c>
      <c r="BU415" s="567"/>
      <c r="BV415" s="567"/>
      <c r="BW415" s="567"/>
      <c r="BX415" s="568" t="s">
        <v>932</v>
      </c>
      <c r="BY415" s="568"/>
      <c r="BZ415" s="568"/>
      <c r="CA415" s="567" t="s">
        <v>932</v>
      </c>
      <c r="CB415" s="567"/>
      <c r="CC415" s="567"/>
      <c r="CD415" s="567"/>
      <c r="CE415" s="568">
        <v>1</v>
      </c>
      <c r="CF415" s="568"/>
      <c r="CG415" s="568"/>
      <c r="CH415" s="567" t="s">
        <v>932</v>
      </c>
      <c r="CI415" s="567"/>
      <c r="CJ415" s="567"/>
      <c r="CK415" s="567"/>
      <c r="CL415" s="568" t="s">
        <v>932</v>
      </c>
      <c r="CM415" s="568"/>
      <c r="CN415" s="568"/>
    </row>
    <row r="416" customHeight="1" spans="1:92">
      <c r="A416" s="540" t="s">
        <v>992</v>
      </c>
      <c r="B416" s="541"/>
      <c r="C416" s="89"/>
      <c r="D416" s="91"/>
      <c r="E416" s="90"/>
      <c r="F416" s="542">
        <v>1100657</v>
      </c>
      <c r="G416" s="543"/>
      <c r="H416" s="544"/>
      <c r="I416" s="545" t="s">
        <v>114</v>
      </c>
      <c r="J416" s="546"/>
      <c r="K416" s="546"/>
      <c r="L416" s="546"/>
      <c r="M416" s="546"/>
      <c r="N416" s="546"/>
      <c r="O416" s="546"/>
      <c r="P416" s="546"/>
      <c r="Q416" s="546"/>
      <c r="R416" s="546"/>
      <c r="S416" s="546"/>
      <c r="T416" s="546"/>
      <c r="U416" s="546"/>
      <c r="V416" s="546"/>
      <c r="W416" s="546"/>
      <c r="X416" s="546"/>
      <c r="Y416" s="546"/>
      <c r="Z416" s="546"/>
      <c r="AA416" s="547"/>
      <c r="AB416" s="548" t="s">
        <v>99</v>
      </c>
      <c r="AC416" s="549"/>
      <c r="AD416" s="550">
        <v>6.76</v>
      </c>
      <c r="AE416" s="551"/>
      <c r="AF416" s="552"/>
      <c r="AG416" s="553" t="s">
        <v>1080</v>
      </c>
      <c r="AH416" s="554"/>
      <c r="AI416" s="555" t="s">
        <v>1081</v>
      </c>
      <c r="AJ416" s="556"/>
      <c r="AK416" s="556"/>
      <c r="AL416" s="556"/>
      <c r="AM416" s="556"/>
      <c r="AN416" s="556"/>
      <c r="AO416" s="556"/>
      <c r="AP416" s="556"/>
      <c r="AQ416" s="556"/>
      <c r="AR416" s="556"/>
      <c r="AS416" s="556"/>
      <c r="AT416" s="556"/>
      <c r="AU416" s="556"/>
      <c r="AV416" s="557"/>
      <c r="AW416" s="558">
        <v>1</v>
      </c>
      <c r="AX416" s="559"/>
      <c r="AY416" s="560"/>
      <c r="AZ416" s="561">
        <v>9</v>
      </c>
      <c r="BA416" s="562"/>
      <c r="BB416" s="563"/>
      <c r="BC416" s="558">
        <v>0.751111111111111</v>
      </c>
      <c r="BD416" s="559"/>
      <c r="BE416" s="560"/>
      <c r="BF416" s="558">
        <v>182.49</v>
      </c>
      <c r="BG416" s="559"/>
      <c r="BH416" s="560"/>
      <c r="BI416" s="564">
        <v>0.00411590285008006</v>
      </c>
      <c r="BJ416" s="565"/>
      <c r="BK416" s="565"/>
      <c r="BL416" s="566"/>
      <c r="BM416" s="567" t="s">
        <v>932</v>
      </c>
      <c r="BN416" s="567"/>
      <c r="BO416" s="567"/>
      <c r="BP416" s="567"/>
      <c r="BQ416" s="568" t="s">
        <v>932</v>
      </c>
      <c r="BR416" s="568"/>
      <c r="BS416" s="568"/>
      <c r="BT416" s="567" t="s">
        <v>932</v>
      </c>
      <c r="BU416" s="567"/>
      <c r="BV416" s="567"/>
      <c r="BW416" s="567"/>
      <c r="BX416" s="568" t="s">
        <v>932</v>
      </c>
      <c r="BY416" s="568"/>
      <c r="BZ416" s="568"/>
      <c r="CA416" s="567">
        <v>0.00411590285008006</v>
      </c>
      <c r="CB416" s="567"/>
      <c r="CC416" s="567"/>
      <c r="CD416" s="567"/>
      <c r="CE416" s="568">
        <v>1</v>
      </c>
      <c r="CF416" s="568"/>
      <c r="CG416" s="568"/>
      <c r="CH416" s="567" t="s">
        <v>932</v>
      </c>
      <c r="CI416" s="567"/>
      <c r="CJ416" s="567"/>
      <c r="CK416" s="567"/>
      <c r="CL416" s="568" t="s">
        <v>932</v>
      </c>
      <c r="CM416" s="568"/>
      <c r="CN416" s="568"/>
    </row>
    <row r="417" hidden="1" customHeight="1" spans="1:92">
      <c r="A417" s="569"/>
      <c r="B417" s="570"/>
      <c r="C417" s="571"/>
      <c r="D417" s="572"/>
      <c r="E417" s="573"/>
      <c r="F417" s="574"/>
      <c r="G417" s="575"/>
      <c r="H417" s="576"/>
      <c r="I417" s="577"/>
      <c r="J417" s="578"/>
      <c r="K417" s="578"/>
      <c r="L417" s="578"/>
      <c r="M417" s="578"/>
      <c r="N417" s="578"/>
      <c r="O417" s="578"/>
      <c r="P417" s="578"/>
      <c r="Q417" s="578"/>
      <c r="R417" s="578"/>
      <c r="S417" s="578"/>
      <c r="T417" s="578"/>
      <c r="U417" s="578"/>
      <c r="V417" s="578"/>
      <c r="W417" s="578"/>
      <c r="X417" s="578"/>
      <c r="Y417" s="578"/>
      <c r="Z417" s="578"/>
      <c r="AA417" s="579"/>
      <c r="AB417" s="580"/>
      <c r="AC417" s="581"/>
      <c r="AD417" s="582"/>
      <c r="AE417" s="583"/>
      <c r="AF417" s="584"/>
      <c r="AG417" s="553">
        <v>0</v>
      </c>
      <c r="AH417" s="554"/>
      <c r="AI417" s="555" t="e">
        <v>#N/A</v>
      </c>
      <c r="AJ417" s="556"/>
      <c r="AK417" s="556"/>
      <c r="AL417" s="556"/>
      <c r="AM417" s="556"/>
      <c r="AN417" s="556"/>
      <c r="AO417" s="556"/>
      <c r="AP417" s="556"/>
      <c r="AQ417" s="556"/>
      <c r="AR417" s="556"/>
      <c r="AS417" s="556"/>
      <c r="AT417" s="556"/>
      <c r="AU417" s="556"/>
      <c r="AV417" s="557"/>
      <c r="AW417" s="558">
        <v>0</v>
      </c>
      <c r="AX417" s="559"/>
      <c r="AY417" s="560"/>
      <c r="AZ417" s="585"/>
      <c r="BA417" s="586"/>
      <c r="BB417" s="587"/>
      <c r="BC417" s="558">
        <v>0</v>
      </c>
      <c r="BD417" s="559"/>
      <c r="BE417" s="560"/>
      <c r="BF417" s="558">
        <v>182.49</v>
      </c>
      <c r="BG417" s="559"/>
      <c r="BH417" s="560"/>
      <c r="BI417" s="564">
        <v>0</v>
      </c>
      <c r="BJ417" s="565"/>
      <c r="BK417" s="565"/>
      <c r="BL417" s="566"/>
      <c r="BM417" s="567" t="s">
        <v>932</v>
      </c>
      <c r="BN417" s="567"/>
      <c r="BO417" s="567"/>
      <c r="BP417" s="567"/>
      <c r="BQ417" s="568" t="s">
        <v>932</v>
      </c>
      <c r="BR417" s="568"/>
      <c r="BS417" s="568"/>
      <c r="BT417" s="567" t="s">
        <v>932</v>
      </c>
      <c r="BU417" s="567"/>
      <c r="BV417" s="567"/>
      <c r="BW417" s="567"/>
      <c r="BX417" s="568" t="s">
        <v>932</v>
      </c>
      <c r="BY417" s="568"/>
      <c r="BZ417" s="568"/>
      <c r="CA417" s="567" t="s">
        <v>932</v>
      </c>
      <c r="CB417" s="567"/>
      <c r="CC417" s="567"/>
      <c r="CD417" s="567"/>
      <c r="CE417" s="568">
        <v>1</v>
      </c>
      <c r="CF417" s="568"/>
      <c r="CG417" s="568"/>
      <c r="CH417" s="567" t="s">
        <v>932</v>
      </c>
      <c r="CI417" s="567"/>
      <c r="CJ417" s="567"/>
      <c r="CK417" s="567"/>
      <c r="CL417" s="568" t="s">
        <v>932</v>
      </c>
      <c r="CM417" s="568"/>
      <c r="CN417" s="568"/>
    </row>
    <row r="418" hidden="1" customHeight="1" spans="1:92">
      <c r="A418" s="569"/>
      <c r="B418" s="570"/>
      <c r="C418" s="571"/>
      <c r="D418" s="572"/>
      <c r="E418" s="573"/>
      <c r="F418" s="574"/>
      <c r="G418" s="575"/>
      <c r="H418" s="576"/>
      <c r="I418" s="577"/>
      <c r="J418" s="578"/>
      <c r="K418" s="578"/>
      <c r="L418" s="578"/>
      <c r="M418" s="578"/>
      <c r="N418" s="578"/>
      <c r="O418" s="578"/>
      <c r="P418" s="578"/>
      <c r="Q418" s="578"/>
      <c r="R418" s="578"/>
      <c r="S418" s="578"/>
      <c r="T418" s="578"/>
      <c r="U418" s="578"/>
      <c r="V418" s="578"/>
      <c r="W418" s="578"/>
      <c r="X418" s="578"/>
      <c r="Y418" s="578"/>
      <c r="Z418" s="578"/>
      <c r="AA418" s="579"/>
      <c r="AB418" s="580"/>
      <c r="AC418" s="581"/>
      <c r="AD418" s="582"/>
      <c r="AE418" s="583"/>
      <c r="AF418" s="584"/>
      <c r="AG418" s="553">
        <v>0</v>
      </c>
      <c r="AH418" s="554"/>
      <c r="AI418" s="555" t="e">
        <v>#N/A</v>
      </c>
      <c r="AJ418" s="556"/>
      <c r="AK418" s="556"/>
      <c r="AL418" s="556"/>
      <c r="AM418" s="556"/>
      <c r="AN418" s="556"/>
      <c r="AO418" s="556"/>
      <c r="AP418" s="556"/>
      <c r="AQ418" s="556"/>
      <c r="AR418" s="556"/>
      <c r="AS418" s="556"/>
      <c r="AT418" s="556"/>
      <c r="AU418" s="556"/>
      <c r="AV418" s="557"/>
      <c r="AW418" s="558">
        <v>0</v>
      </c>
      <c r="AX418" s="559"/>
      <c r="AY418" s="560"/>
      <c r="AZ418" s="585"/>
      <c r="BA418" s="586"/>
      <c r="BB418" s="587"/>
      <c r="BC418" s="558">
        <v>0</v>
      </c>
      <c r="BD418" s="559"/>
      <c r="BE418" s="560"/>
      <c r="BF418" s="558">
        <v>182.49</v>
      </c>
      <c r="BG418" s="559"/>
      <c r="BH418" s="560"/>
      <c r="BI418" s="564">
        <v>0</v>
      </c>
      <c r="BJ418" s="565"/>
      <c r="BK418" s="565"/>
      <c r="BL418" s="566"/>
      <c r="BM418" s="567" t="s">
        <v>932</v>
      </c>
      <c r="BN418" s="567"/>
      <c r="BO418" s="567"/>
      <c r="BP418" s="567"/>
      <c r="BQ418" s="568" t="s">
        <v>932</v>
      </c>
      <c r="BR418" s="568"/>
      <c r="BS418" s="568"/>
      <c r="BT418" s="567" t="s">
        <v>932</v>
      </c>
      <c r="BU418" s="567"/>
      <c r="BV418" s="567"/>
      <c r="BW418" s="567"/>
      <c r="BX418" s="568" t="s">
        <v>932</v>
      </c>
      <c r="BY418" s="568"/>
      <c r="BZ418" s="568"/>
      <c r="CA418" s="567" t="s">
        <v>932</v>
      </c>
      <c r="CB418" s="567"/>
      <c r="CC418" s="567"/>
      <c r="CD418" s="567"/>
      <c r="CE418" s="568">
        <v>1</v>
      </c>
      <c r="CF418" s="568"/>
      <c r="CG418" s="568"/>
      <c r="CH418" s="567" t="s">
        <v>932</v>
      </c>
      <c r="CI418" s="567"/>
      <c r="CJ418" s="567"/>
      <c r="CK418" s="567"/>
      <c r="CL418" s="568" t="s">
        <v>932</v>
      </c>
      <c r="CM418" s="568"/>
      <c r="CN418" s="568"/>
    </row>
    <row r="419" hidden="1" customHeight="1" spans="1:92">
      <c r="A419" s="569"/>
      <c r="B419" s="570"/>
      <c r="C419" s="571"/>
      <c r="D419" s="572"/>
      <c r="E419" s="573"/>
      <c r="F419" s="574"/>
      <c r="G419" s="575"/>
      <c r="H419" s="576"/>
      <c r="I419" s="577"/>
      <c r="J419" s="578"/>
      <c r="K419" s="578"/>
      <c r="L419" s="578"/>
      <c r="M419" s="578"/>
      <c r="N419" s="578"/>
      <c r="O419" s="578"/>
      <c r="P419" s="578"/>
      <c r="Q419" s="578"/>
      <c r="R419" s="578"/>
      <c r="S419" s="578"/>
      <c r="T419" s="578"/>
      <c r="U419" s="578"/>
      <c r="V419" s="578"/>
      <c r="W419" s="578"/>
      <c r="X419" s="578"/>
      <c r="Y419" s="578"/>
      <c r="Z419" s="578"/>
      <c r="AA419" s="579"/>
      <c r="AB419" s="580"/>
      <c r="AC419" s="581"/>
      <c r="AD419" s="582"/>
      <c r="AE419" s="583"/>
      <c r="AF419" s="584"/>
      <c r="AG419" s="553">
        <v>0</v>
      </c>
      <c r="AH419" s="554"/>
      <c r="AI419" s="555" t="e">
        <v>#N/A</v>
      </c>
      <c r="AJ419" s="556"/>
      <c r="AK419" s="556"/>
      <c r="AL419" s="556"/>
      <c r="AM419" s="556"/>
      <c r="AN419" s="556"/>
      <c r="AO419" s="556"/>
      <c r="AP419" s="556"/>
      <c r="AQ419" s="556"/>
      <c r="AR419" s="556"/>
      <c r="AS419" s="556"/>
      <c r="AT419" s="556"/>
      <c r="AU419" s="556"/>
      <c r="AV419" s="557"/>
      <c r="AW419" s="558">
        <v>0</v>
      </c>
      <c r="AX419" s="559"/>
      <c r="AY419" s="560"/>
      <c r="AZ419" s="585"/>
      <c r="BA419" s="586"/>
      <c r="BB419" s="587"/>
      <c r="BC419" s="558">
        <v>0</v>
      </c>
      <c r="BD419" s="559"/>
      <c r="BE419" s="560"/>
      <c r="BF419" s="558">
        <v>182.49</v>
      </c>
      <c r="BG419" s="559"/>
      <c r="BH419" s="560"/>
      <c r="BI419" s="564">
        <v>0</v>
      </c>
      <c r="BJ419" s="565"/>
      <c r="BK419" s="565"/>
      <c r="BL419" s="566"/>
      <c r="BM419" s="567" t="s">
        <v>932</v>
      </c>
      <c r="BN419" s="567"/>
      <c r="BO419" s="567"/>
      <c r="BP419" s="567"/>
      <c r="BQ419" s="568" t="s">
        <v>932</v>
      </c>
      <c r="BR419" s="568"/>
      <c r="BS419" s="568"/>
      <c r="BT419" s="567" t="s">
        <v>932</v>
      </c>
      <c r="BU419" s="567"/>
      <c r="BV419" s="567"/>
      <c r="BW419" s="567"/>
      <c r="BX419" s="568" t="s">
        <v>932</v>
      </c>
      <c r="BY419" s="568"/>
      <c r="BZ419" s="568"/>
      <c r="CA419" s="567" t="s">
        <v>932</v>
      </c>
      <c r="CB419" s="567"/>
      <c r="CC419" s="567"/>
      <c r="CD419" s="567"/>
      <c r="CE419" s="568">
        <v>1</v>
      </c>
      <c r="CF419" s="568"/>
      <c r="CG419" s="568"/>
      <c r="CH419" s="567" t="s">
        <v>932</v>
      </c>
      <c r="CI419" s="567"/>
      <c r="CJ419" s="567"/>
      <c r="CK419" s="567"/>
      <c r="CL419" s="568" t="s">
        <v>932</v>
      </c>
      <c r="CM419" s="568"/>
      <c r="CN419" s="568"/>
    </row>
    <row r="420" hidden="1" customHeight="1" spans="1:92">
      <c r="A420" s="569"/>
      <c r="B420" s="570"/>
      <c r="C420" s="571"/>
      <c r="D420" s="572"/>
      <c r="E420" s="573"/>
      <c r="F420" s="574"/>
      <c r="G420" s="575"/>
      <c r="H420" s="576"/>
      <c r="I420" s="577"/>
      <c r="J420" s="578"/>
      <c r="K420" s="578"/>
      <c r="L420" s="578"/>
      <c r="M420" s="578"/>
      <c r="N420" s="578"/>
      <c r="O420" s="578"/>
      <c r="P420" s="578"/>
      <c r="Q420" s="578"/>
      <c r="R420" s="578"/>
      <c r="S420" s="578"/>
      <c r="T420" s="578"/>
      <c r="U420" s="578"/>
      <c r="V420" s="578"/>
      <c r="W420" s="578"/>
      <c r="X420" s="578"/>
      <c r="Y420" s="578"/>
      <c r="Z420" s="578"/>
      <c r="AA420" s="579"/>
      <c r="AB420" s="580"/>
      <c r="AC420" s="581"/>
      <c r="AD420" s="582"/>
      <c r="AE420" s="583"/>
      <c r="AF420" s="584"/>
      <c r="AG420" s="553">
        <v>0</v>
      </c>
      <c r="AH420" s="554"/>
      <c r="AI420" s="555" t="e">
        <v>#N/A</v>
      </c>
      <c r="AJ420" s="556"/>
      <c r="AK420" s="556"/>
      <c r="AL420" s="556"/>
      <c r="AM420" s="556"/>
      <c r="AN420" s="556"/>
      <c r="AO420" s="556"/>
      <c r="AP420" s="556"/>
      <c r="AQ420" s="556"/>
      <c r="AR420" s="556"/>
      <c r="AS420" s="556"/>
      <c r="AT420" s="556"/>
      <c r="AU420" s="556"/>
      <c r="AV420" s="557"/>
      <c r="AW420" s="558">
        <v>0</v>
      </c>
      <c r="AX420" s="559"/>
      <c r="AY420" s="560"/>
      <c r="AZ420" s="585"/>
      <c r="BA420" s="586"/>
      <c r="BB420" s="587"/>
      <c r="BC420" s="558">
        <v>0</v>
      </c>
      <c r="BD420" s="559"/>
      <c r="BE420" s="560"/>
      <c r="BF420" s="558">
        <v>182.49</v>
      </c>
      <c r="BG420" s="559"/>
      <c r="BH420" s="560"/>
      <c r="BI420" s="564">
        <v>0</v>
      </c>
      <c r="BJ420" s="565"/>
      <c r="BK420" s="565"/>
      <c r="BL420" s="566"/>
      <c r="BM420" s="567" t="s">
        <v>932</v>
      </c>
      <c r="BN420" s="567"/>
      <c r="BO420" s="567"/>
      <c r="BP420" s="567"/>
      <c r="BQ420" s="568" t="s">
        <v>932</v>
      </c>
      <c r="BR420" s="568"/>
      <c r="BS420" s="568"/>
      <c r="BT420" s="567" t="s">
        <v>932</v>
      </c>
      <c r="BU420" s="567"/>
      <c r="BV420" s="567"/>
      <c r="BW420" s="567"/>
      <c r="BX420" s="568" t="s">
        <v>932</v>
      </c>
      <c r="BY420" s="568"/>
      <c r="BZ420" s="568"/>
      <c r="CA420" s="567" t="s">
        <v>932</v>
      </c>
      <c r="CB420" s="567"/>
      <c r="CC420" s="567"/>
      <c r="CD420" s="567"/>
      <c r="CE420" s="568">
        <v>1</v>
      </c>
      <c r="CF420" s="568"/>
      <c r="CG420" s="568"/>
      <c r="CH420" s="567" t="s">
        <v>932</v>
      </c>
      <c r="CI420" s="567"/>
      <c r="CJ420" s="567"/>
      <c r="CK420" s="567"/>
      <c r="CL420" s="568" t="s">
        <v>932</v>
      </c>
      <c r="CM420" s="568"/>
      <c r="CN420" s="568"/>
    </row>
    <row r="421" hidden="1" customHeight="1" spans="1:92">
      <c r="A421" s="569"/>
      <c r="B421" s="570"/>
      <c r="C421" s="571"/>
      <c r="D421" s="572"/>
      <c r="E421" s="573"/>
      <c r="F421" s="574"/>
      <c r="G421" s="575"/>
      <c r="H421" s="576"/>
      <c r="I421" s="577"/>
      <c r="J421" s="578"/>
      <c r="K421" s="578"/>
      <c r="L421" s="578"/>
      <c r="M421" s="578"/>
      <c r="N421" s="578"/>
      <c r="O421" s="578"/>
      <c r="P421" s="578"/>
      <c r="Q421" s="578"/>
      <c r="R421" s="578"/>
      <c r="S421" s="578"/>
      <c r="T421" s="578"/>
      <c r="U421" s="578"/>
      <c r="V421" s="578"/>
      <c r="W421" s="578"/>
      <c r="X421" s="578"/>
      <c r="Y421" s="578"/>
      <c r="Z421" s="578"/>
      <c r="AA421" s="579"/>
      <c r="AB421" s="580"/>
      <c r="AC421" s="581"/>
      <c r="AD421" s="582"/>
      <c r="AE421" s="583"/>
      <c r="AF421" s="584"/>
      <c r="AG421" s="553">
        <v>0</v>
      </c>
      <c r="AH421" s="554"/>
      <c r="AI421" s="555" t="e">
        <v>#N/A</v>
      </c>
      <c r="AJ421" s="556"/>
      <c r="AK421" s="556"/>
      <c r="AL421" s="556"/>
      <c r="AM421" s="556"/>
      <c r="AN421" s="556"/>
      <c r="AO421" s="556"/>
      <c r="AP421" s="556"/>
      <c r="AQ421" s="556"/>
      <c r="AR421" s="556"/>
      <c r="AS421" s="556"/>
      <c r="AT421" s="556"/>
      <c r="AU421" s="556"/>
      <c r="AV421" s="557"/>
      <c r="AW421" s="558">
        <v>0</v>
      </c>
      <c r="AX421" s="559"/>
      <c r="AY421" s="560"/>
      <c r="AZ421" s="585"/>
      <c r="BA421" s="586"/>
      <c r="BB421" s="587"/>
      <c r="BC421" s="558">
        <v>0</v>
      </c>
      <c r="BD421" s="559"/>
      <c r="BE421" s="560"/>
      <c r="BF421" s="558">
        <v>182.49</v>
      </c>
      <c r="BG421" s="559"/>
      <c r="BH421" s="560"/>
      <c r="BI421" s="564">
        <v>0</v>
      </c>
      <c r="BJ421" s="565"/>
      <c r="BK421" s="565"/>
      <c r="BL421" s="566"/>
      <c r="BM421" s="567" t="s">
        <v>932</v>
      </c>
      <c r="BN421" s="567"/>
      <c r="BO421" s="567"/>
      <c r="BP421" s="567"/>
      <c r="BQ421" s="568" t="s">
        <v>932</v>
      </c>
      <c r="BR421" s="568"/>
      <c r="BS421" s="568"/>
      <c r="BT421" s="567" t="s">
        <v>932</v>
      </c>
      <c r="BU421" s="567"/>
      <c r="BV421" s="567"/>
      <c r="BW421" s="567"/>
      <c r="BX421" s="568" t="s">
        <v>932</v>
      </c>
      <c r="BY421" s="568"/>
      <c r="BZ421" s="568"/>
      <c r="CA421" s="567" t="s">
        <v>932</v>
      </c>
      <c r="CB421" s="567"/>
      <c r="CC421" s="567"/>
      <c r="CD421" s="567"/>
      <c r="CE421" s="568">
        <v>1</v>
      </c>
      <c r="CF421" s="568"/>
      <c r="CG421" s="568"/>
      <c r="CH421" s="567" t="s">
        <v>932</v>
      </c>
      <c r="CI421" s="567"/>
      <c r="CJ421" s="567"/>
      <c r="CK421" s="567"/>
      <c r="CL421" s="568" t="s">
        <v>932</v>
      </c>
      <c r="CM421" s="568"/>
      <c r="CN421" s="568"/>
    </row>
    <row r="422" hidden="1" customHeight="1" spans="1:92">
      <c r="A422" s="569"/>
      <c r="B422" s="570"/>
      <c r="C422" s="571"/>
      <c r="D422" s="572"/>
      <c r="E422" s="573"/>
      <c r="F422" s="574"/>
      <c r="G422" s="575"/>
      <c r="H422" s="576"/>
      <c r="I422" s="577"/>
      <c r="J422" s="578"/>
      <c r="K422" s="578"/>
      <c r="L422" s="578"/>
      <c r="M422" s="578"/>
      <c r="N422" s="578"/>
      <c r="O422" s="578"/>
      <c r="P422" s="578"/>
      <c r="Q422" s="578"/>
      <c r="R422" s="578"/>
      <c r="S422" s="578"/>
      <c r="T422" s="578"/>
      <c r="U422" s="578"/>
      <c r="V422" s="578"/>
      <c r="W422" s="578"/>
      <c r="X422" s="578"/>
      <c r="Y422" s="578"/>
      <c r="Z422" s="578"/>
      <c r="AA422" s="579"/>
      <c r="AB422" s="580"/>
      <c r="AC422" s="581"/>
      <c r="AD422" s="582"/>
      <c r="AE422" s="583"/>
      <c r="AF422" s="584"/>
      <c r="AG422" s="553">
        <v>0</v>
      </c>
      <c r="AH422" s="554"/>
      <c r="AI422" s="555" t="e">
        <v>#N/A</v>
      </c>
      <c r="AJ422" s="556"/>
      <c r="AK422" s="556"/>
      <c r="AL422" s="556"/>
      <c r="AM422" s="556"/>
      <c r="AN422" s="556"/>
      <c r="AO422" s="556"/>
      <c r="AP422" s="556"/>
      <c r="AQ422" s="556"/>
      <c r="AR422" s="556"/>
      <c r="AS422" s="556"/>
      <c r="AT422" s="556"/>
      <c r="AU422" s="556"/>
      <c r="AV422" s="557"/>
      <c r="AW422" s="558">
        <v>0</v>
      </c>
      <c r="AX422" s="559"/>
      <c r="AY422" s="560"/>
      <c r="AZ422" s="585"/>
      <c r="BA422" s="586"/>
      <c r="BB422" s="587"/>
      <c r="BC422" s="558">
        <v>0</v>
      </c>
      <c r="BD422" s="559"/>
      <c r="BE422" s="560"/>
      <c r="BF422" s="558">
        <v>182.49</v>
      </c>
      <c r="BG422" s="559"/>
      <c r="BH422" s="560"/>
      <c r="BI422" s="564">
        <v>0</v>
      </c>
      <c r="BJ422" s="565"/>
      <c r="BK422" s="565"/>
      <c r="BL422" s="566"/>
      <c r="BM422" s="567" t="s">
        <v>932</v>
      </c>
      <c r="BN422" s="567"/>
      <c r="BO422" s="567"/>
      <c r="BP422" s="567"/>
      <c r="BQ422" s="568" t="s">
        <v>932</v>
      </c>
      <c r="BR422" s="568"/>
      <c r="BS422" s="568"/>
      <c r="BT422" s="567" t="s">
        <v>932</v>
      </c>
      <c r="BU422" s="567"/>
      <c r="BV422" s="567"/>
      <c r="BW422" s="567"/>
      <c r="BX422" s="568" t="s">
        <v>932</v>
      </c>
      <c r="BY422" s="568"/>
      <c r="BZ422" s="568"/>
      <c r="CA422" s="567" t="s">
        <v>932</v>
      </c>
      <c r="CB422" s="567"/>
      <c r="CC422" s="567"/>
      <c r="CD422" s="567"/>
      <c r="CE422" s="568">
        <v>1</v>
      </c>
      <c r="CF422" s="568"/>
      <c r="CG422" s="568"/>
      <c r="CH422" s="567" t="s">
        <v>932</v>
      </c>
      <c r="CI422" s="567"/>
      <c r="CJ422" s="567"/>
      <c r="CK422" s="567"/>
      <c r="CL422" s="568" t="s">
        <v>932</v>
      </c>
      <c r="CM422" s="568"/>
      <c r="CN422" s="568"/>
    </row>
    <row r="423" hidden="1" customHeight="1" spans="1:92">
      <c r="A423" s="588"/>
      <c r="B423" s="589"/>
      <c r="C423" s="590"/>
      <c r="D423" s="591"/>
      <c r="E423" s="592"/>
      <c r="F423" s="593"/>
      <c r="G423" s="594"/>
      <c r="H423" s="595"/>
      <c r="I423" s="596"/>
      <c r="J423" s="597"/>
      <c r="K423" s="597"/>
      <c r="L423" s="597"/>
      <c r="M423" s="597"/>
      <c r="N423" s="597"/>
      <c r="O423" s="597"/>
      <c r="P423" s="597"/>
      <c r="Q423" s="597"/>
      <c r="R423" s="597"/>
      <c r="S423" s="597"/>
      <c r="T423" s="597"/>
      <c r="U423" s="597"/>
      <c r="V423" s="597"/>
      <c r="W423" s="597"/>
      <c r="X423" s="597"/>
      <c r="Y423" s="597"/>
      <c r="Z423" s="597"/>
      <c r="AA423" s="598"/>
      <c r="AB423" s="599"/>
      <c r="AC423" s="600"/>
      <c r="AD423" s="601"/>
      <c r="AE423" s="602"/>
      <c r="AF423" s="603"/>
      <c r="AG423" s="553">
        <v>0</v>
      </c>
      <c r="AH423" s="554"/>
      <c r="AI423" s="555" t="e">
        <v>#N/A</v>
      </c>
      <c r="AJ423" s="556"/>
      <c r="AK423" s="556"/>
      <c r="AL423" s="556"/>
      <c r="AM423" s="556"/>
      <c r="AN423" s="556"/>
      <c r="AO423" s="556"/>
      <c r="AP423" s="556"/>
      <c r="AQ423" s="556"/>
      <c r="AR423" s="556"/>
      <c r="AS423" s="556"/>
      <c r="AT423" s="556"/>
      <c r="AU423" s="556"/>
      <c r="AV423" s="557"/>
      <c r="AW423" s="558">
        <v>0</v>
      </c>
      <c r="AX423" s="559"/>
      <c r="AY423" s="560"/>
      <c r="AZ423" s="604"/>
      <c r="BA423" s="605"/>
      <c r="BB423" s="606"/>
      <c r="BC423" s="558">
        <v>0</v>
      </c>
      <c r="BD423" s="559"/>
      <c r="BE423" s="560"/>
      <c r="BF423" s="558">
        <v>182.49</v>
      </c>
      <c r="BG423" s="559"/>
      <c r="BH423" s="560"/>
      <c r="BI423" s="564">
        <v>0</v>
      </c>
      <c r="BJ423" s="565"/>
      <c r="BK423" s="565"/>
      <c r="BL423" s="566"/>
      <c r="BM423" s="567" t="s">
        <v>932</v>
      </c>
      <c r="BN423" s="567"/>
      <c r="BO423" s="567"/>
      <c r="BP423" s="567"/>
      <c r="BQ423" s="568" t="s">
        <v>932</v>
      </c>
      <c r="BR423" s="568"/>
      <c r="BS423" s="568"/>
      <c r="BT423" s="567" t="s">
        <v>932</v>
      </c>
      <c r="BU423" s="567"/>
      <c r="BV423" s="567"/>
      <c r="BW423" s="567"/>
      <c r="BX423" s="568" t="s">
        <v>932</v>
      </c>
      <c r="BY423" s="568"/>
      <c r="BZ423" s="568"/>
      <c r="CA423" s="567" t="s">
        <v>932</v>
      </c>
      <c r="CB423" s="567"/>
      <c r="CC423" s="567"/>
      <c r="CD423" s="567"/>
      <c r="CE423" s="568">
        <v>1</v>
      </c>
      <c r="CF423" s="568"/>
      <c r="CG423" s="568"/>
      <c r="CH423" s="567" t="s">
        <v>932</v>
      </c>
      <c r="CI423" s="567"/>
      <c r="CJ423" s="567"/>
      <c r="CK423" s="567"/>
      <c r="CL423" s="568" t="s">
        <v>932</v>
      </c>
      <c r="CM423" s="568"/>
      <c r="CN423" s="568"/>
    </row>
    <row r="424" customHeight="1" spans="1:92">
      <c r="A424" s="540" t="s">
        <v>993</v>
      </c>
      <c r="B424" s="541"/>
      <c r="C424" s="89"/>
      <c r="D424" s="91"/>
      <c r="E424" s="90"/>
      <c r="F424" s="542">
        <v>1107900</v>
      </c>
      <c r="G424" s="543"/>
      <c r="H424" s="544"/>
      <c r="I424" s="545" t="s">
        <v>108</v>
      </c>
      <c r="J424" s="546"/>
      <c r="K424" s="546"/>
      <c r="L424" s="546"/>
      <c r="M424" s="546"/>
      <c r="N424" s="546"/>
      <c r="O424" s="546"/>
      <c r="P424" s="546"/>
      <c r="Q424" s="546"/>
      <c r="R424" s="546"/>
      <c r="S424" s="546"/>
      <c r="T424" s="546"/>
      <c r="U424" s="546"/>
      <c r="V424" s="546"/>
      <c r="W424" s="546"/>
      <c r="X424" s="546"/>
      <c r="Y424" s="546"/>
      <c r="Z424" s="546"/>
      <c r="AA424" s="547"/>
      <c r="AB424" s="548" t="s">
        <v>99</v>
      </c>
      <c r="AC424" s="549"/>
      <c r="AD424" s="550">
        <v>3.15</v>
      </c>
      <c r="AE424" s="551"/>
      <c r="AF424" s="552"/>
      <c r="AG424" s="553" t="s">
        <v>1066</v>
      </c>
      <c r="AH424" s="554"/>
      <c r="AI424" s="555" t="s">
        <v>1067</v>
      </c>
      <c r="AJ424" s="556"/>
      <c r="AK424" s="556"/>
      <c r="AL424" s="556"/>
      <c r="AM424" s="556"/>
      <c r="AN424" s="556"/>
      <c r="AO424" s="556"/>
      <c r="AP424" s="556"/>
      <c r="AQ424" s="556"/>
      <c r="AR424" s="556"/>
      <c r="AS424" s="556"/>
      <c r="AT424" s="556"/>
      <c r="AU424" s="556"/>
      <c r="AV424" s="557"/>
      <c r="AW424" s="558">
        <v>1</v>
      </c>
      <c r="AX424" s="559"/>
      <c r="AY424" s="560"/>
      <c r="AZ424" s="561">
        <v>3.853</v>
      </c>
      <c r="BA424" s="562"/>
      <c r="BB424" s="563"/>
      <c r="BC424" s="558">
        <v>0.81754477030885</v>
      </c>
      <c r="BD424" s="559"/>
      <c r="BE424" s="560"/>
      <c r="BF424" s="558">
        <v>182.49</v>
      </c>
      <c r="BG424" s="559"/>
      <c r="BH424" s="560"/>
      <c r="BI424" s="564">
        <v>0.00447994284787577</v>
      </c>
      <c r="BJ424" s="565"/>
      <c r="BK424" s="565"/>
      <c r="BL424" s="566"/>
      <c r="BM424" s="567" t="s">
        <v>932</v>
      </c>
      <c r="BN424" s="567"/>
      <c r="BO424" s="567"/>
      <c r="BP424" s="567"/>
      <c r="BQ424" s="568" t="s">
        <v>932</v>
      </c>
      <c r="BR424" s="568"/>
      <c r="BS424" s="568"/>
      <c r="BT424" s="567" t="s">
        <v>932</v>
      </c>
      <c r="BU424" s="567"/>
      <c r="BV424" s="567"/>
      <c r="BW424" s="567"/>
      <c r="BX424" s="568" t="s">
        <v>932</v>
      </c>
      <c r="BY424" s="568"/>
      <c r="BZ424" s="568"/>
      <c r="CA424" s="567" t="s">
        <v>932</v>
      </c>
      <c r="CB424" s="567"/>
      <c r="CC424" s="567"/>
      <c r="CD424" s="567"/>
      <c r="CE424" s="568" t="s">
        <v>932</v>
      </c>
      <c r="CF424" s="568"/>
      <c r="CG424" s="568"/>
      <c r="CH424" s="567">
        <v>0.00447994284787577</v>
      </c>
      <c r="CI424" s="567"/>
      <c r="CJ424" s="567"/>
      <c r="CK424" s="567"/>
      <c r="CL424" s="568">
        <v>1</v>
      </c>
      <c r="CM424" s="568"/>
      <c r="CN424" s="568"/>
    </row>
    <row r="425" customHeight="1" spans="1:92">
      <c r="A425" s="569"/>
      <c r="B425" s="570"/>
      <c r="C425" s="571"/>
      <c r="D425" s="572"/>
      <c r="E425" s="573"/>
      <c r="F425" s="574"/>
      <c r="G425" s="575"/>
      <c r="H425" s="576"/>
      <c r="I425" s="577"/>
      <c r="J425" s="578"/>
      <c r="K425" s="578"/>
      <c r="L425" s="578"/>
      <c r="M425" s="578"/>
      <c r="N425" s="578"/>
      <c r="O425" s="578"/>
      <c r="P425" s="578"/>
      <c r="Q425" s="578"/>
      <c r="R425" s="578"/>
      <c r="S425" s="578"/>
      <c r="T425" s="578"/>
      <c r="U425" s="578"/>
      <c r="V425" s="578"/>
      <c r="W425" s="578"/>
      <c r="X425" s="578"/>
      <c r="Y425" s="578"/>
      <c r="Z425" s="578"/>
      <c r="AA425" s="579"/>
      <c r="AB425" s="580"/>
      <c r="AC425" s="581"/>
      <c r="AD425" s="582"/>
      <c r="AE425" s="583"/>
      <c r="AF425" s="584"/>
      <c r="AG425" s="553" t="s">
        <v>1068</v>
      </c>
      <c r="AH425" s="554"/>
      <c r="AI425" s="555" t="s">
        <v>1069</v>
      </c>
      <c r="AJ425" s="556"/>
      <c r="AK425" s="556"/>
      <c r="AL425" s="556"/>
      <c r="AM425" s="556"/>
      <c r="AN425" s="556"/>
      <c r="AO425" s="556"/>
      <c r="AP425" s="556"/>
      <c r="AQ425" s="556"/>
      <c r="AR425" s="556"/>
      <c r="AS425" s="556"/>
      <c r="AT425" s="556"/>
      <c r="AU425" s="556"/>
      <c r="AV425" s="557"/>
      <c r="AW425" s="558">
        <v>1</v>
      </c>
      <c r="AX425" s="559"/>
      <c r="AY425" s="560"/>
      <c r="AZ425" s="585"/>
      <c r="BA425" s="586"/>
      <c r="BB425" s="587"/>
      <c r="BC425" s="558">
        <v>0.81754477030885</v>
      </c>
      <c r="BD425" s="559"/>
      <c r="BE425" s="560"/>
      <c r="BF425" s="558">
        <v>182.49</v>
      </c>
      <c r="BG425" s="559"/>
      <c r="BH425" s="560"/>
      <c r="BI425" s="564">
        <v>0.00447994284787577</v>
      </c>
      <c r="BJ425" s="565"/>
      <c r="BK425" s="565"/>
      <c r="BL425" s="566"/>
      <c r="BM425" s="567" t="s">
        <v>932</v>
      </c>
      <c r="BN425" s="567"/>
      <c r="BO425" s="567"/>
      <c r="BP425" s="567"/>
      <c r="BQ425" s="568" t="s">
        <v>932</v>
      </c>
      <c r="BR425" s="568"/>
      <c r="BS425" s="568"/>
      <c r="BT425" s="567" t="s">
        <v>932</v>
      </c>
      <c r="BU425" s="567"/>
      <c r="BV425" s="567"/>
      <c r="BW425" s="567"/>
      <c r="BX425" s="568" t="s">
        <v>932</v>
      </c>
      <c r="BY425" s="568"/>
      <c r="BZ425" s="568"/>
      <c r="CA425" s="567" t="s">
        <v>932</v>
      </c>
      <c r="CB425" s="567"/>
      <c r="CC425" s="567"/>
      <c r="CD425" s="567"/>
      <c r="CE425" s="568" t="s">
        <v>932</v>
      </c>
      <c r="CF425" s="568"/>
      <c r="CG425" s="568"/>
      <c r="CH425" s="567">
        <v>0.00447994284787577</v>
      </c>
      <c r="CI425" s="567"/>
      <c r="CJ425" s="567"/>
      <c r="CK425" s="567"/>
      <c r="CL425" s="568">
        <v>1</v>
      </c>
      <c r="CM425" s="568"/>
      <c r="CN425" s="568"/>
    </row>
    <row r="426" customHeight="1" spans="1:92">
      <c r="A426" s="569"/>
      <c r="B426" s="570"/>
      <c r="C426" s="571"/>
      <c r="D426" s="572"/>
      <c r="E426" s="573"/>
      <c r="F426" s="574"/>
      <c r="G426" s="575"/>
      <c r="H426" s="576"/>
      <c r="I426" s="577"/>
      <c r="J426" s="578"/>
      <c r="K426" s="578"/>
      <c r="L426" s="578"/>
      <c r="M426" s="578"/>
      <c r="N426" s="578"/>
      <c r="O426" s="578"/>
      <c r="P426" s="578"/>
      <c r="Q426" s="578"/>
      <c r="R426" s="578"/>
      <c r="S426" s="578"/>
      <c r="T426" s="578"/>
      <c r="U426" s="578"/>
      <c r="V426" s="578"/>
      <c r="W426" s="578"/>
      <c r="X426" s="578"/>
      <c r="Y426" s="578"/>
      <c r="Z426" s="578"/>
      <c r="AA426" s="579"/>
      <c r="AB426" s="580"/>
      <c r="AC426" s="581"/>
      <c r="AD426" s="582"/>
      <c r="AE426" s="583"/>
      <c r="AF426" s="584"/>
      <c r="AG426" s="553" t="s">
        <v>1070</v>
      </c>
      <c r="AH426" s="554"/>
      <c r="AI426" s="555" t="s">
        <v>1071</v>
      </c>
      <c r="AJ426" s="556"/>
      <c r="AK426" s="556"/>
      <c r="AL426" s="556"/>
      <c r="AM426" s="556"/>
      <c r="AN426" s="556"/>
      <c r="AO426" s="556"/>
      <c r="AP426" s="556"/>
      <c r="AQ426" s="556"/>
      <c r="AR426" s="556"/>
      <c r="AS426" s="556"/>
      <c r="AT426" s="556"/>
      <c r="AU426" s="556"/>
      <c r="AV426" s="557"/>
      <c r="AW426" s="558">
        <v>4</v>
      </c>
      <c r="AX426" s="559"/>
      <c r="AY426" s="560"/>
      <c r="AZ426" s="585"/>
      <c r="BA426" s="586"/>
      <c r="BB426" s="587"/>
      <c r="BC426" s="558">
        <v>3.2701790812354</v>
      </c>
      <c r="BD426" s="559"/>
      <c r="BE426" s="560"/>
      <c r="BF426" s="558">
        <v>182.49</v>
      </c>
      <c r="BG426" s="559"/>
      <c r="BH426" s="560"/>
      <c r="BI426" s="564">
        <v>0.0179197713915031</v>
      </c>
      <c r="BJ426" s="565"/>
      <c r="BK426" s="565"/>
      <c r="BL426" s="566"/>
      <c r="BM426" s="567" t="s">
        <v>932</v>
      </c>
      <c r="BN426" s="567"/>
      <c r="BO426" s="567"/>
      <c r="BP426" s="567"/>
      <c r="BQ426" s="568" t="s">
        <v>932</v>
      </c>
      <c r="BR426" s="568"/>
      <c r="BS426" s="568"/>
      <c r="BT426" s="567" t="s">
        <v>932</v>
      </c>
      <c r="BU426" s="567"/>
      <c r="BV426" s="567"/>
      <c r="BW426" s="567"/>
      <c r="BX426" s="568" t="s">
        <v>932</v>
      </c>
      <c r="BY426" s="568"/>
      <c r="BZ426" s="568"/>
      <c r="CA426" s="567" t="s">
        <v>932</v>
      </c>
      <c r="CB426" s="567"/>
      <c r="CC426" s="567"/>
      <c r="CD426" s="567"/>
      <c r="CE426" s="568" t="s">
        <v>932</v>
      </c>
      <c r="CF426" s="568"/>
      <c r="CG426" s="568"/>
      <c r="CH426" s="567">
        <v>0.0179197713915031</v>
      </c>
      <c r="CI426" s="567"/>
      <c r="CJ426" s="567"/>
      <c r="CK426" s="567"/>
      <c r="CL426" s="568">
        <v>1</v>
      </c>
      <c r="CM426" s="568"/>
      <c r="CN426" s="568"/>
    </row>
    <row r="427" customHeight="1" spans="1:92">
      <c r="A427" s="569"/>
      <c r="B427" s="570"/>
      <c r="C427" s="571"/>
      <c r="D427" s="572"/>
      <c r="E427" s="573"/>
      <c r="F427" s="574"/>
      <c r="G427" s="575"/>
      <c r="H427" s="576"/>
      <c r="I427" s="577"/>
      <c r="J427" s="578"/>
      <c r="K427" s="578"/>
      <c r="L427" s="578"/>
      <c r="M427" s="578"/>
      <c r="N427" s="578"/>
      <c r="O427" s="578"/>
      <c r="P427" s="578"/>
      <c r="Q427" s="578"/>
      <c r="R427" s="578"/>
      <c r="S427" s="578"/>
      <c r="T427" s="578"/>
      <c r="U427" s="578"/>
      <c r="V427" s="578"/>
      <c r="W427" s="578"/>
      <c r="X427" s="578"/>
      <c r="Y427" s="578"/>
      <c r="Z427" s="578"/>
      <c r="AA427" s="579"/>
      <c r="AB427" s="580"/>
      <c r="AC427" s="581"/>
      <c r="AD427" s="582"/>
      <c r="AE427" s="583"/>
      <c r="AF427" s="584"/>
      <c r="AG427" s="553" t="s">
        <v>1072</v>
      </c>
      <c r="AH427" s="554"/>
      <c r="AI427" s="555" t="s">
        <v>1073</v>
      </c>
      <c r="AJ427" s="556"/>
      <c r="AK427" s="556"/>
      <c r="AL427" s="556"/>
      <c r="AM427" s="556"/>
      <c r="AN427" s="556"/>
      <c r="AO427" s="556"/>
      <c r="AP427" s="556"/>
      <c r="AQ427" s="556"/>
      <c r="AR427" s="556"/>
      <c r="AS427" s="556"/>
      <c r="AT427" s="556"/>
      <c r="AU427" s="556"/>
      <c r="AV427" s="557"/>
      <c r="AW427" s="558">
        <v>3</v>
      </c>
      <c r="AX427" s="559"/>
      <c r="AY427" s="560"/>
      <c r="AZ427" s="585"/>
      <c r="BA427" s="586"/>
      <c r="BB427" s="587"/>
      <c r="BC427" s="558">
        <v>2.45263431092655</v>
      </c>
      <c r="BD427" s="559"/>
      <c r="BE427" s="560"/>
      <c r="BF427" s="558">
        <v>182.49</v>
      </c>
      <c r="BG427" s="559"/>
      <c r="BH427" s="560"/>
      <c r="BI427" s="564">
        <v>0.0134398285436273</v>
      </c>
      <c r="BJ427" s="565"/>
      <c r="BK427" s="565"/>
      <c r="BL427" s="566"/>
      <c r="BM427" s="567" t="s">
        <v>932</v>
      </c>
      <c r="BN427" s="567"/>
      <c r="BO427" s="567"/>
      <c r="BP427" s="567"/>
      <c r="BQ427" s="568" t="s">
        <v>932</v>
      </c>
      <c r="BR427" s="568"/>
      <c r="BS427" s="568"/>
      <c r="BT427" s="567" t="s">
        <v>932</v>
      </c>
      <c r="BU427" s="567"/>
      <c r="BV427" s="567"/>
      <c r="BW427" s="567"/>
      <c r="BX427" s="568" t="s">
        <v>932</v>
      </c>
      <c r="BY427" s="568"/>
      <c r="BZ427" s="568"/>
      <c r="CA427" s="567" t="s">
        <v>932</v>
      </c>
      <c r="CB427" s="567"/>
      <c r="CC427" s="567"/>
      <c r="CD427" s="567"/>
      <c r="CE427" s="568" t="s">
        <v>932</v>
      </c>
      <c r="CF427" s="568"/>
      <c r="CG427" s="568"/>
      <c r="CH427" s="567">
        <v>0.0134398285436273</v>
      </c>
      <c r="CI427" s="567"/>
      <c r="CJ427" s="567"/>
      <c r="CK427" s="567"/>
      <c r="CL427" s="568">
        <v>1</v>
      </c>
      <c r="CM427" s="568"/>
      <c r="CN427" s="568"/>
    </row>
    <row r="428" hidden="1" customHeight="1" spans="1:92">
      <c r="A428" s="569"/>
      <c r="B428" s="570"/>
      <c r="C428" s="571"/>
      <c r="D428" s="572"/>
      <c r="E428" s="573"/>
      <c r="F428" s="574"/>
      <c r="G428" s="575"/>
      <c r="H428" s="576"/>
      <c r="I428" s="577"/>
      <c r="J428" s="578"/>
      <c r="K428" s="578"/>
      <c r="L428" s="578"/>
      <c r="M428" s="578"/>
      <c r="N428" s="578"/>
      <c r="O428" s="578"/>
      <c r="P428" s="578"/>
      <c r="Q428" s="578"/>
      <c r="R428" s="578"/>
      <c r="S428" s="578"/>
      <c r="T428" s="578"/>
      <c r="U428" s="578"/>
      <c r="V428" s="578"/>
      <c r="W428" s="578"/>
      <c r="X428" s="578"/>
      <c r="Y428" s="578"/>
      <c r="Z428" s="578"/>
      <c r="AA428" s="579"/>
      <c r="AB428" s="580"/>
      <c r="AC428" s="581"/>
      <c r="AD428" s="582"/>
      <c r="AE428" s="583"/>
      <c r="AF428" s="584"/>
      <c r="AG428" s="553">
        <v>0</v>
      </c>
      <c r="AH428" s="554"/>
      <c r="AI428" s="555" t="e">
        <v>#N/A</v>
      </c>
      <c r="AJ428" s="556"/>
      <c r="AK428" s="556"/>
      <c r="AL428" s="556"/>
      <c r="AM428" s="556"/>
      <c r="AN428" s="556"/>
      <c r="AO428" s="556"/>
      <c r="AP428" s="556"/>
      <c r="AQ428" s="556"/>
      <c r="AR428" s="556"/>
      <c r="AS428" s="556"/>
      <c r="AT428" s="556"/>
      <c r="AU428" s="556"/>
      <c r="AV428" s="557"/>
      <c r="AW428" s="558">
        <v>0</v>
      </c>
      <c r="AX428" s="559"/>
      <c r="AY428" s="560"/>
      <c r="AZ428" s="585"/>
      <c r="BA428" s="586"/>
      <c r="BB428" s="587"/>
      <c r="BC428" s="558">
        <v>0</v>
      </c>
      <c r="BD428" s="559"/>
      <c r="BE428" s="560"/>
      <c r="BF428" s="558">
        <v>182.49</v>
      </c>
      <c r="BG428" s="559"/>
      <c r="BH428" s="560"/>
      <c r="BI428" s="564">
        <v>0</v>
      </c>
      <c r="BJ428" s="565"/>
      <c r="BK428" s="565"/>
      <c r="BL428" s="566"/>
      <c r="BM428" s="567" t="s">
        <v>932</v>
      </c>
      <c r="BN428" s="567"/>
      <c r="BO428" s="567"/>
      <c r="BP428" s="567"/>
      <c r="BQ428" s="568" t="s">
        <v>932</v>
      </c>
      <c r="BR428" s="568"/>
      <c r="BS428" s="568"/>
      <c r="BT428" s="567" t="s">
        <v>932</v>
      </c>
      <c r="BU428" s="567"/>
      <c r="BV428" s="567"/>
      <c r="BW428" s="567"/>
      <c r="BX428" s="568" t="s">
        <v>932</v>
      </c>
      <c r="BY428" s="568"/>
      <c r="BZ428" s="568"/>
      <c r="CA428" s="567" t="s">
        <v>932</v>
      </c>
      <c r="CB428" s="567"/>
      <c r="CC428" s="567"/>
      <c r="CD428" s="567"/>
      <c r="CE428" s="568" t="s">
        <v>932</v>
      </c>
      <c r="CF428" s="568"/>
      <c r="CG428" s="568"/>
      <c r="CH428" s="567" t="s">
        <v>932</v>
      </c>
      <c r="CI428" s="567"/>
      <c r="CJ428" s="567"/>
      <c r="CK428" s="567"/>
      <c r="CL428" s="568">
        <v>1</v>
      </c>
      <c r="CM428" s="568"/>
      <c r="CN428" s="568"/>
    </row>
    <row r="429" hidden="1" customHeight="1" spans="1:92">
      <c r="A429" s="569"/>
      <c r="B429" s="570"/>
      <c r="C429" s="571"/>
      <c r="D429" s="572"/>
      <c r="E429" s="573"/>
      <c r="F429" s="574"/>
      <c r="G429" s="575"/>
      <c r="H429" s="576"/>
      <c r="I429" s="577"/>
      <c r="J429" s="578"/>
      <c r="K429" s="578"/>
      <c r="L429" s="578"/>
      <c r="M429" s="578"/>
      <c r="N429" s="578"/>
      <c r="O429" s="578"/>
      <c r="P429" s="578"/>
      <c r="Q429" s="578"/>
      <c r="R429" s="578"/>
      <c r="S429" s="578"/>
      <c r="T429" s="578"/>
      <c r="U429" s="578"/>
      <c r="V429" s="578"/>
      <c r="W429" s="578"/>
      <c r="X429" s="578"/>
      <c r="Y429" s="578"/>
      <c r="Z429" s="578"/>
      <c r="AA429" s="579"/>
      <c r="AB429" s="580"/>
      <c r="AC429" s="581"/>
      <c r="AD429" s="582"/>
      <c r="AE429" s="583"/>
      <c r="AF429" s="584"/>
      <c r="AG429" s="553">
        <v>0</v>
      </c>
      <c r="AH429" s="554"/>
      <c r="AI429" s="555" t="e">
        <v>#N/A</v>
      </c>
      <c r="AJ429" s="556"/>
      <c r="AK429" s="556"/>
      <c r="AL429" s="556"/>
      <c r="AM429" s="556"/>
      <c r="AN429" s="556"/>
      <c r="AO429" s="556"/>
      <c r="AP429" s="556"/>
      <c r="AQ429" s="556"/>
      <c r="AR429" s="556"/>
      <c r="AS429" s="556"/>
      <c r="AT429" s="556"/>
      <c r="AU429" s="556"/>
      <c r="AV429" s="557"/>
      <c r="AW429" s="558">
        <v>0</v>
      </c>
      <c r="AX429" s="559"/>
      <c r="AY429" s="560"/>
      <c r="AZ429" s="585"/>
      <c r="BA429" s="586"/>
      <c r="BB429" s="587"/>
      <c r="BC429" s="558">
        <v>0</v>
      </c>
      <c r="BD429" s="559"/>
      <c r="BE429" s="560"/>
      <c r="BF429" s="558">
        <v>182.49</v>
      </c>
      <c r="BG429" s="559"/>
      <c r="BH429" s="560"/>
      <c r="BI429" s="564">
        <v>0</v>
      </c>
      <c r="BJ429" s="565"/>
      <c r="BK429" s="565"/>
      <c r="BL429" s="566"/>
      <c r="BM429" s="567" t="s">
        <v>932</v>
      </c>
      <c r="BN429" s="567"/>
      <c r="BO429" s="567"/>
      <c r="BP429" s="567"/>
      <c r="BQ429" s="568" t="s">
        <v>932</v>
      </c>
      <c r="BR429" s="568"/>
      <c r="BS429" s="568"/>
      <c r="BT429" s="567" t="s">
        <v>932</v>
      </c>
      <c r="BU429" s="567"/>
      <c r="BV429" s="567"/>
      <c r="BW429" s="567"/>
      <c r="BX429" s="568" t="s">
        <v>932</v>
      </c>
      <c r="BY429" s="568"/>
      <c r="BZ429" s="568"/>
      <c r="CA429" s="567" t="s">
        <v>932</v>
      </c>
      <c r="CB429" s="567"/>
      <c r="CC429" s="567"/>
      <c r="CD429" s="567"/>
      <c r="CE429" s="568" t="s">
        <v>932</v>
      </c>
      <c r="CF429" s="568"/>
      <c r="CG429" s="568"/>
      <c r="CH429" s="567" t="s">
        <v>932</v>
      </c>
      <c r="CI429" s="567"/>
      <c r="CJ429" s="567"/>
      <c r="CK429" s="567"/>
      <c r="CL429" s="568">
        <v>1</v>
      </c>
      <c r="CM429" s="568"/>
      <c r="CN429" s="568"/>
    </row>
    <row r="430" hidden="1" customHeight="1" spans="1:92">
      <c r="A430" s="569"/>
      <c r="B430" s="570"/>
      <c r="C430" s="571"/>
      <c r="D430" s="572"/>
      <c r="E430" s="573"/>
      <c r="F430" s="574"/>
      <c r="G430" s="575"/>
      <c r="H430" s="576"/>
      <c r="I430" s="577"/>
      <c r="J430" s="578"/>
      <c r="K430" s="578"/>
      <c r="L430" s="578"/>
      <c r="M430" s="578"/>
      <c r="N430" s="578"/>
      <c r="O430" s="578"/>
      <c r="P430" s="578"/>
      <c r="Q430" s="578"/>
      <c r="R430" s="578"/>
      <c r="S430" s="578"/>
      <c r="T430" s="578"/>
      <c r="U430" s="578"/>
      <c r="V430" s="578"/>
      <c r="W430" s="578"/>
      <c r="X430" s="578"/>
      <c r="Y430" s="578"/>
      <c r="Z430" s="578"/>
      <c r="AA430" s="579"/>
      <c r="AB430" s="580"/>
      <c r="AC430" s="581"/>
      <c r="AD430" s="582"/>
      <c r="AE430" s="583"/>
      <c r="AF430" s="584"/>
      <c r="AG430" s="553">
        <v>0</v>
      </c>
      <c r="AH430" s="554"/>
      <c r="AI430" s="555" t="e">
        <v>#N/A</v>
      </c>
      <c r="AJ430" s="556"/>
      <c r="AK430" s="556"/>
      <c r="AL430" s="556"/>
      <c r="AM430" s="556"/>
      <c r="AN430" s="556"/>
      <c r="AO430" s="556"/>
      <c r="AP430" s="556"/>
      <c r="AQ430" s="556"/>
      <c r="AR430" s="556"/>
      <c r="AS430" s="556"/>
      <c r="AT430" s="556"/>
      <c r="AU430" s="556"/>
      <c r="AV430" s="557"/>
      <c r="AW430" s="558">
        <v>0</v>
      </c>
      <c r="AX430" s="559"/>
      <c r="AY430" s="560"/>
      <c r="AZ430" s="585"/>
      <c r="BA430" s="586"/>
      <c r="BB430" s="587"/>
      <c r="BC430" s="558">
        <v>0</v>
      </c>
      <c r="BD430" s="559"/>
      <c r="BE430" s="560"/>
      <c r="BF430" s="558">
        <v>182.49</v>
      </c>
      <c r="BG430" s="559"/>
      <c r="BH430" s="560"/>
      <c r="BI430" s="564">
        <v>0</v>
      </c>
      <c r="BJ430" s="565"/>
      <c r="BK430" s="565"/>
      <c r="BL430" s="566"/>
      <c r="BM430" s="567" t="s">
        <v>932</v>
      </c>
      <c r="BN430" s="567"/>
      <c r="BO430" s="567"/>
      <c r="BP430" s="567"/>
      <c r="BQ430" s="568" t="s">
        <v>932</v>
      </c>
      <c r="BR430" s="568"/>
      <c r="BS430" s="568"/>
      <c r="BT430" s="567" t="s">
        <v>932</v>
      </c>
      <c r="BU430" s="567"/>
      <c r="BV430" s="567"/>
      <c r="BW430" s="567"/>
      <c r="BX430" s="568" t="s">
        <v>932</v>
      </c>
      <c r="BY430" s="568"/>
      <c r="BZ430" s="568"/>
      <c r="CA430" s="567" t="s">
        <v>932</v>
      </c>
      <c r="CB430" s="567"/>
      <c r="CC430" s="567"/>
      <c r="CD430" s="567"/>
      <c r="CE430" s="568" t="s">
        <v>932</v>
      </c>
      <c r="CF430" s="568"/>
      <c r="CG430" s="568"/>
      <c r="CH430" s="567" t="s">
        <v>932</v>
      </c>
      <c r="CI430" s="567"/>
      <c r="CJ430" s="567"/>
      <c r="CK430" s="567"/>
      <c r="CL430" s="568">
        <v>1</v>
      </c>
      <c r="CM430" s="568"/>
      <c r="CN430" s="568"/>
    </row>
    <row r="431" hidden="1" customHeight="1" spans="1:92">
      <c r="A431" s="588"/>
      <c r="B431" s="589"/>
      <c r="C431" s="590"/>
      <c r="D431" s="591"/>
      <c r="E431" s="592"/>
      <c r="F431" s="593"/>
      <c r="G431" s="594"/>
      <c r="H431" s="595"/>
      <c r="I431" s="596"/>
      <c r="J431" s="597"/>
      <c r="K431" s="597"/>
      <c r="L431" s="597"/>
      <c r="M431" s="597"/>
      <c r="N431" s="597"/>
      <c r="O431" s="597"/>
      <c r="P431" s="597"/>
      <c r="Q431" s="597"/>
      <c r="R431" s="597"/>
      <c r="S431" s="597"/>
      <c r="T431" s="597"/>
      <c r="U431" s="597"/>
      <c r="V431" s="597"/>
      <c r="W431" s="597"/>
      <c r="X431" s="597"/>
      <c r="Y431" s="597"/>
      <c r="Z431" s="597"/>
      <c r="AA431" s="598"/>
      <c r="AB431" s="599"/>
      <c r="AC431" s="600"/>
      <c r="AD431" s="601"/>
      <c r="AE431" s="602"/>
      <c r="AF431" s="603"/>
      <c r="AG431" s="553">
        <v>0</v>
      </c>
      <c r="AH431" s="554"/>
      <c r="AI431" s="555" t="e">
        <v>#N/A</v>
      </c>
      <c r="AJ431" s="556"/>
      <c r="AK431" s="556"/>
      <c r="AL431" s="556"/>
      <c r="AM431" s="556"/>
      <c r="AN431" s="556"/>
      <c r="AO431" s="556"/>
      <c r="AP431" s="556"/>
      <c r="AQ431" s="556"/>
      <c r="AR431" s="556"/>
      <c r="AS431" s="556"/>
      <c r="AT431" s="556"/>
      <c r="AU431" s="556"/>
      <c r="AV431" s="557"/>
      <c r="AW431" s="558">
        <v>0</v>
      </c>
      <c r="AX431" s="559"/>
      <c r="AY431" s="560"/>
      <c r="AZ431" s="604"/>
      <c r="BA431" s="605"/>
      <c r="BB431" s="606"/>
      <c r="BC431" s="558">
        <v>0</v>
      </c>
      <c r="BD431" s="559"/>
      <c r="BE431" s="560"/>
      <c r="BF431" s="558">
        <v>182.49</v>
      </c>
      <c r="BG431" s="559"/>
      <c r="BH431" s="560"/>
      <c r="BI431" s="564">
        <v>0</v>
      </c>
      <c r="BJ431" s="565"/>
      <c r="BK431" s="565"/>
      <c r="BL431" s="566"/>
      <c r="BM431" s="567" t="s">
        <v>932</v>
      </c>
      <c r="BN431" s="567"/>
      <c r="BO431" s="567"/>
      <c r="BP431" s="567"/>
      <c r="BQ431" s="568" t="s">
        <v>932</v>
      </c>
      <c r="BR431" s="568"/>
      <c r="BS431" s="568"/>
      <c r="BT431" s="567" t="s">
        <v>932</v>
      </c>
      <c r="BU431" s="567"/>
      <c r="BV431" s="567"/>
      <c r="BW431" s="567"/>
      <c r="BX431" s="568" t="s">
        <v>932</v>
      </c>
      <c r="BY431" s="568"/>
      <c r="BZ431" s="568"/>
      <c r="CA431" s="567" t="s">
        <v>932</v>
      </c>
      <c r="CB431" s="567"/>
      <c r="CC431" s="567"/>
      <c r="CD431" s="567"/>
      <c r="CE431" s="568" t="s">
        <v>932</v>
      </c>
      <c r="CF431" s="568"/>
      <c r="CG431" s="568"/>
      <c r="CH431" s="567" t="s">
        <v>932</v>
      </c>
      <c r="CI431" s="567"/>
      <c r="CJ431" s="567"/>
      <c r="CK431" s="567"/>
      <c r="CL431" s="568">
        <v>1</v>
      </c>
      <c r="CM431" s="568"/>
      <c r="CN431" s="568"/>
    </row>
    <row r="432" customHeight="1" spans="1:92">
      <c r="A432" s="540" t="s">
        <v>994</v>
      </c>
      <c r="B432" s="541"/>
      <c r="C432" s="89"/>
      <c r="D432" s="91"/>
      <c r="E432" s="90"/>
      <c r="F432" s="542">
        <v>3108000</v>
      </c>
      <c r="G432" s="543"/>
      <c r="H432" s="544"/>
      <c r="I432" s="545" t="s">
        <v>110</v>
      </c>
      <c r="J432" s="546"/>
      <c r="K432" s="546"/>
      <c r="L432" s="546"/>
      <c r="M432" s="546"/>
      <c r="N432" s="546"/>
      <c r="O432" s="546"/>
      <c r="P432" s="546"/>
      <c r="Q432" s="546"/>
      <c r="R432" s="546"/>
      <c r="S432" s="546"/>
      <c r="T432" s="546"/>
      <c r="U432" s="546"/>
      <c r="V432" s="546"/>
      <c r="W432" s="546"/>
      <c r="X432" s="546"/>
      <c r="Y432" s="546"/>
      <c r="Z432" s="546"/>
      <c r="AA432" s="547"/>
      <c r="AB432" s="548" t="s">
        <v>7</v>
      </c>
      <c r="AC432" s="549"/>
      <c r="AD432" s="550">
        <v>28.64</v>
      </c>
      <c r="AE432" s="551"/>
      <c r="AF432" s="552"/>
      <c r="AG432" s="553" t="s">
        <v>1074</v>
      </c>
      <c r="AH432" s="554"/>
      <c r="AI432" s="555" t="s">
        <v>1075</v>
      </c>
      <c r="AJ432" s="556"/>
      <c r="AK432" s="556"/>
      <c r="AL432" s="556"/>
      <c r="AM432" s="556"/>
      <c r="AN432" s="556"/>
      <c r="AO432" s="556"/>
      <c r="AP432" s="556"/>
      <c r="AQ432" s="556"/>
      <c r="AR432" s="556"/>
      <c r="AS432" s="556"/>
      <c r="AT432" s="556"/>
      <c r="AU432" s="556"/>
      <c r="AV432" s="557"/>
      <c r="AW432" s="558">
        <v>0.06024</v>
      </c>
      <c r="AX432" s="559"/>
      <c r="AY432" s="560"/>
      <c r="AZ432" s="561">
        <v>1</v>
      </c>
      <c r="BA432" s="562"/>
      <c r="BB432" s="563"/>
      <c r="BC432" s="558">
        <v>1.7252736</v>
      </c>
      <c r="BD432" s="559"/>
      <c r="BE432" s="560"/>
      <c r="BF432" s="558">
        <v>182.49</v>
      </c>
      <c r="BG432" s="559"/>
      <c r="BH432" s="560"/>
      <c r="BI432" s="564">
        <v>0.00945407200394542</v>
      </c>
      <c r="BJ432" s="565"/>
      <c r="BK432" s="565"/>
      <c r="BL432" s="566"/>
      <c r="BM432" s="567" t="s">
        <v>932</v>
      </c>
      <c r="BN432" s="567"/>
      <c r="BO432" s="567"/>
      <c r="BP432" s="567"/>
      <c r="BQ432" s="568" t="s">
        <v>932</v>
      </c>
      <c r="BR432" s="568"/>
      <c r="BS432" s="568"/>
      <c r="BT432" s="567" t="s">
        <v>932</v>
      </c>
      <c r="BU432" s="567"/>
      <c r="BV432" s="567"/>
      <c r="BW432" s="567"/>
      <c r="BX432" s="568" t="s">
        <v>932</v>
      </c>
      <c r="BY432" s="568"/>
      <c r="BZ432" s="568"/>
      <c r="CA432" s="567" t="s">
        <v>932</v>
      </c>
      <c r="CB432" s="567"/>
      <c r="CC432" s="567"/>
      <c r="CD432" s="567"/>
      <c r="CE432" s="568" t="s">
        <v>932</v>
      </c>
      <c r="CF432" s="568"/>
      <c r="CG432" s="568"/>
      <c r="CH432" s="567">
        <v>0.00945407200394542</v>
      </c>
      <c r="CI432" s="567"/>
      <c r="CJ432" s="567"/>
      <c r="CK432" s="567"/>
      <c r="CL432" s="568">
        <v>1</v>
      </c>
      <c r="CM432" s="568"/>
      <c r="CN432" s="568"/>
    </row>
    <row r="433" customHeight="1" spans="1:92">
      <c r="A433" s="569"/>
      <c r="B433" s="570"/>
      <c r="C433" s="571"/>
      <c r="D433" s="572"/>
      <c r="E433" s="573"/>
      <c r="F433" s="574"/>
      <c r="G433" s="575"/>
      <c r="H433" s="576"/>
      <c r="I433" s="577"/>
      <c r="J433" s="578"/>
      <c r="K433" s="578"/>
      <c r="L433" s="578"/>
      <c r="M433" s="578"/>
      <c r="N433" s="578"/>
      <c r="O433" s="578"/>
      <c r="P433" s="578"/>
      <c r="Q433" s="578"/>
      <c r="R433" s="578"/>
      <c r="S433" s="578"/>
      <c r="T433" s="578"/>
      <c r="U433" s="578"/>
      <c r="V433" s="578"/>
      <c r="W433" s="578"/>
      <c r="X433" s="578"/>
      <c r="Y433" s="578"/>
      <c r="Z433" s="578"/>
      <c r="AA433" s="579"/>
      <c r="AB433" s="580"/>
      <c r="AC433" s="581"/>
      <c r="AD433" s="582"/>
      <c r="AE433" s="583"/>
      <c r="AF433" s="584"/>
      <c r="AG433" s="553" t="s">
        <v>1076</v>
      </c>
      <c r="AH433" s="554"/>
      <c r="AI433" s="555" t="s">
        <v>1077</v>
      </c>
      <c r="AJ433" s="556"/>
      <c r="AK433" s="556"/>
      <c r="AL433" s="556"/>
      <c r="AM433" s="556"/>
      <c r="AN433" s="556"/>
      <c r="AO433" s="556"/>
      <c r="AP433" s="556"/>
      <c r="AQ433" s="556"/>
      <c r="AR433" s="556"/>
      <c r="AS433" s="556"/>
      <c r="AT433" s="556"/>
      <c r="AU433" s="556"/>
      <c r="AV433" s="557"/>
      <c r="AW433" s="558">
        <v>0.06024</v>
      </c>
      <c r="AX433" s="559"/>
      <c r="AY433" s="560"/>
      <c r="AZ433" s="585"/>
      <c r="BA433" s="586"/>
      <c r="BB433" s="587"/>
      <c r="BC433" s="558">
        <v>1.7252736</v>
      </c>
      <c r="BD433" s="559"/>
      <c r="BE433" s="560"/>
      <c r="BF433" s="558">
        <v>182.49</v>
      </c>
      <c r="BG433" s="559"/>
      <c r="BH433" s="560"/>
      <c r="BI433" s="564">
        <v>0.00945407200394542</v>
      </c>
      <c r="BJ433" s="565"/>
      <c r="BK433" s="565"/>
      <c r="BL433" s="566"/>
      <c r="BM433" s="567" t="s">
        <v>932</v>
      </c>
      <c r="BN433" s="567"/>
      <c r="BO433" s="567"/>
      <c r="BP433" s="567"/>
      <c r="BQ433" s="568" t="s">
        <v>932</v>
      </c>
      <c r="BR433" s="568"/>
      <c r="BS433" s="568"/>
      <c r="BT433" s="567" t="s">
        <v>932</v>
      </c>
      <c r="BU433" s="567"/>
      <c r="BV433" s="567"/>
      <c r="BW433" s="567"/>
      <c r="BX433" s="568" t="s">
        <v>932</v>
      </c>
      <c r="BY433" s="568"/>
      <c r="BZ433" s="568"/>
      <c r="CA433" s="567" t="s">
        <v>932</v>
      </c>
      <c r="CB433" s="567"/>
      <c r="CC433" s="567"/>
      <c r="CD433" s="567"/>
      <c r="CE433" s="568" t="s">
        <v>932</v>
      </c>
      <c r="CF433" s="568"/>
      <c r="CG433" s="568"/>
      <c r="CH433" s="567">
        <v>0.00945407200394542</v>
      </c>
      <c r="CI433" s="567"/>
      <c r="CJ433" s="567"/>
      <c r="CK433" s="567"/>
      <c r="CL433" s="568">
        <v>1</v>
      </c>
      <c r="CM433" s="568"/>
      <c r="CN433" s="568"/>
    </row>
    <row r="434" hidden="1" customHeight="1" spans="1:92">
      <c r="A434" s="569"/>
      <c r="B434" s="570"/>
      <c r="C434" s="571"/>
      <c r="D434" s="572"/>
      <c r="E434" s="573"/>
      <c r="F434" s="574"/>
      <c r="G434" s="575"/>
      <c r="H434" s="576"/>
      <c r="I434" s="577"/>
      <c r="J434" s="578"/>
      <c r="K434" s="578"/>
      <c r="L434" s="578"/>
      <c r="M434" s="578"/>
      <c r="N434" s="578"/>
      <c r="O434" s="578"/>
      <c r="P434" s="578"/>
      <c r="Q434" s="578"/>
      <c r="R434" s="578"/>
      <c r="S434" s="578"/>
      <c r="T434" s="578"/>
      <c r="U434" s="578"/>
      <c r="V434" s="578"/>
      <c r="W434" s="578"/>
      <c r="X434" s="578"/>
      <c r="Y434" s="578"/>
      <c r="Z434" s="578"/>
      <c r="AA434" s="579"/>
      <c r="AB434" s="580"/>
      <c r="AC434" s="581"/>
      <c r="AD434" s="582"/>
      <c r="AE434" s="583"/>
      <c r="AF434" s="584"/>
      <c r="AG434" s="553">
        <v>0</v>
      </c>
      <c r="AH434" s="554"/>
      <c r="AI434" s="555" t="e">
        <v>#N/A</v>
      </c>
      <c r="AJ434" s="556"/>
      <c r="AK434" s="556"/>
      <c r="AL434" s="556"/>
      <c r="AM434" s="556"/>
      <c r="AN434" s="556"/>
      <c r="AO434" s="556"/>
      <c r="AP434" s="556"/>
      <c r="AQ434" s="556"/>
      <c r="AR434" s="556"/>
      <c r="AS434" s="556"/>
      <c r="AT434" s="556"/>
      <c r="AU434" s="556"/>
      <c r="AV434" s="557"/>
      <c r="AW434" s="558">
        <v>0</v>
      </c>
      <c r="AX434" s="559"/>
      <c r="AY434" s="560"/>
      <c r="AZ434" s="585"/>
      <c r="BA434" s="586"/>
      <c r="BB434" s="587"/>
      <c r="BC434" s="558">
        <v>0</v>
      </c>
      <c r="BD434" s="559"/>
      <c r="BE434" s="560"/>
      <c r="BF434" s="558">
        <v>182.49</v>
      </c>
      <c r="BG434" s="559"/>
      <c r="BH434" s="560"/>
      <c r="BI434" s="564">
        <v>0</v>
      </c>
      <c r="BJ434" s="565"/>
      <c r="BK434" s="565"/>
      <c r="BL434" s="566"/>
      <c r="BM434" s="567" t="s">
        <v>932</v>
      </c>
      <c r="BN434" s="567"/>
      <c r="BO434" s="567"/>
      <c r="BP434" s="567"/>
      <c r="BQ434" s="568" t="s">
        <v>932</v>
      </c>
      <c r="BR434" s="568"/>
      <c r="BS434" s="568"/>
      <c r="BT434" s="567" t="s">
        <v>932</v>
      </c>
      <c r="BU434" s="567"/>
      <c r="BV434" s="567"/>
      <c r="BW434" s="567"/>
      <c r="BX434" s="568" t="s">
        <v>932</v>
      </c>
      <c r="BY434" s="568"/>
      <c r="BZ434" s="568"/>
      <c r="CA434" s="567" t="s">
        <v>932</v>
      </c>
      <c r="CB434" s="567"/>
      <c r="CC434" s="567"/>
      <c r="CD434" s="567"/>
      <c r="CE434" s="568" t="s">
        <v>932</v>
      </c>
      <c r="CF434" s="568"/>
      <c r="CG434" s="568"/>
      <c r="CH434" s="567" t="s">
        <v>932</v>
      </c>
      <c r="CI434" s="567"/>
      <c r="CJ434" s="567"/>
      <c r="CK434" s="567"/>
      <c r="CL434" s="568">
        <v>1</v>
      </c>
      <c r="CM434" s="568"/>
      <c r="CN434" s="568"/>
    </row>
    <row r="435" hidden="1" customHeight="1" spans="1:92">
      <c r="A435" s="569"/>
      <c r="B435" s="570"/>
      <c r="C435" s="571"/>
      <c r="D435" s="572"/>
      <c r="E435" s="573"/>
      <c r="F435" s="574"/>
      <c r="G435" s="575"/>
      <c r="H435" s="576"/>
      <c r="I435" s="577"/>
      <c r="J435" s="578"/>
      <c r="K435" s="578"/>
      <c r="L435" s="578"/>
      <c r="M435" s="578"/>
      <c r="N435" s="578"/>
      <c r="O435" s="578"/>
      <c r="P435" s="578"/>
      <c r="Q435" s="578"/>
      <c r="R435" s="578"/>
      <c r="S435" s="578"/>
      <c r="T435" s="578"/>
      <c r="U435" s="578"/>
      <c r="V435" s="578"/>
      <c r="W435" s="578"/>
      <c r="X435" s="578"/>
      <c r="Y435" s="578"/>
      <c r="Z435" s="578"/>
      <c r="AA435" s="579"/>
      <c r="AB435" s="580"/>
      <c r="AC435" s="581"/>
      <c r="AD435" s="582"/>
      <c r="AE435" s="583"/>
      <c r="AF435" s="584"/>
      <c r="AG435" s="553">
        <v>0</v>
      </c>
      <c r="AH435" s="554"/>
      <c r="AI435" s="555" t="e">
        <v>#N/A</v>
      </c>
      <c r="AJ435" s="556"/>
      <c r="AK435" s="556"/>
      <c r="AL435" s="556"/>
      <c r="AM435" s="556"/>
      <c r="AN435" s="556"/>
      <c r="AO435" s="556"/>
      <c r="AP435" s="556"/>
      <c r="AQ435" s="556"/>
      <c r="AR435" s="556"/>
      <c r="AS435" s="556"/>
      <c r="AT435" s="556"/>
      <c r="AU435" s="556"/>
      <c r="AV435" s="557"/>
      <c r="AW435" s="558">
        <v>0</v>
      </c>
      <c r="AX435" s="559"/>
      <c r="AY435" s="560"/>
      <c r="AZ435" s="585"/>
      <c r="BA435" s="586"/>
      <c r="BB435" s="587"/>
      <c r="BC435" s="558">
        <v>0</v>
      </c>
      <c r="BD435" s="559"/>
      <c r="BE435" s="560"/>
      <c r="BF435" s="558">
        <v>182.49</v>
      </c>
      <c r="BG435" s="559"/>
      <c r="BH435" s="560"/>
      <c r="BI435" s="564">
        <v>0</v>
      </c>
      <c r="BJ435" s="565"/>
      <c r="BK435" s="565"/>
      <c r="BL435" s="566"/>
      <c r="BM435" s="567" t="s">
        <v>932</v>
      </c>
      <c r="BN435" s="567"/>
      <c r="BO435" s="567"/>
      <c r="BP435" s="567"/>
      <c r="BQ435" s="568" t="s">
        <v>932</v>
      </c>
      <c r="BR435" s="568"/>
      <c r="BS435" s="568"/>
      <c r="BT435" s="567" t="s">
        <v>932</v>
      </c>
      <c r="BU435" s="567"/>
      <c r="BV435" s="567"/>
      <c r="BW435" s="567"/>
      <c r="BX435" s="568" t="s">
        <v>932</v>
      </c>
      <c r="BY435" s="568"/>
      <c r="BZ435" s="568"/>
      <c r="CA435" s="567" t="s">
        <v>932</v>
      </c>
      <c r="CB435" s="567"/>
      <c r="CC435" s="567"/>
      <c r="CD435" s="567"/>
      <c r="CE435" s="568" t="s">
        <v>932</v>
      </c>
      <c r="CF435" s="568"/>
      <c r="CG435" s="568"/>
      <c r="CH435" s="567" t="s">
        <v>932</v>
      </c>
      <c r="CI435" s="567"/>
      <c r="CJ435" s="567"/>
      <c r="CK435" s="567"/>
      <c r="CL435" s="568">
        <v>1</v>
      </c>
      <c r="CM435" s="568"/>
      <c r="CN435" s="568"/>
    </row>
    <row r="436" hidden="1" customHeight="1" spans="1:92">
      <c r="A436" s="569"/>
      <c r="B436" s="570"/>
      <c r="C436" s="571"/>
      <c r="D436" s="572"/>
      <c r="E436" s="573"/>
      <c r="F436" s="574"/>
      <c r="G436" s="575"/>
      <c r="H436" s="576"/>
      <c r="I436" s="577"/>
      <c r="J436" s="578"/>
      <c r="K436" s="578"/>
      <c r="L436" s="578"/>
      <c r="M436" s="578"/>
      <c r="N436" s="578"/>
      <c r="O436" s="578"/>
      <c r="P436" s="578"/>
      <c r="Q436" s="578"/>
      <c r="R436" s="578"/>
      <c r="S436" s="578"/>
      <c r="T436" s="578"/>
      <c r="U436" s="578"/>
      <c r="V436" s="578"/>
      <c r="W436" s="578"/>
      <c r="X436" s="578"/>
      <c r="Y436" s="578"/>
      <c r="Z436" s="578"/>
      <c r="AA436" s="579"/>
      <c r="AB436" s="580"/>
      <c r="AC436" s="581"/>
      <c r="AD436" s="582"/>
      <c r="AE436" s="583"/>
      <c r="AF436" s="584"/>
      <c r="AG436" s="553">
        <v>0</v>
      </c>
      <c r="AH436" s="554"/>
      <c r="AI436" s="555" t="e">
        <v>#N/A</v>
      </c>
      <c r="AJ436" s="556"/>
      <c r="AK436" s="556"/>
      <c r="AL436" s="556"/>
      <c r="AM436" s="556"/>
      <c r="AN436" s="556"/>
      <c r="AO436" s="556"/>
      <c r="AP436" s="556"/>
      <c r="AQ436" s="556"/>
      <c r="AR436" s="556"/>
      <c r="AS436" s="556"/>
      <c r="AT436" s="556"/>
      <c r="AU436" s="556"/>
      <c r="AV436" s="557"/>
      <c r="AW436" s="558">
        <v>0</v>
      </c>
      <c r="AX436" s="559"/>
      <c r="AY436" s="560"/>
      <c r="AZ436" s="585"/>
      <c r="BA436" s="586"/>
      <c r="BB436" s="587"/>
      <c r="BC436" s="558">
        <v>0</v>
      </c>
      <c r="BD436" s="559"/>
      <c r="BE436" s="560"/>
      <c r="BF436" s="558">
        <v>182.49</v>
      </c>
      <c r="BG436" s="559"/>
      <c r="BH436" s="560"/>
      <c r="BI436" s="564">
        <v>0</v>
      </c>
      <c r="BJ436" s="565"/>
      <c r="BK436" s="565"/>
      <c r="BL436" s="566"/>
      <c r="BM436" s="567" t="s">
        <v>932</v>
      </c>
      <c r="BN436" s="567"/>
      <c r="BO436" s="567"/>
      <c r="BP436" s="567"/>
      <c r="BQ436" s="568" t="s">
        <v>932</v>
      </c>
      <c r="BR436" s="568"/>
      <c r="BS436" s="568"/>
      <c r="BT436" s="567" t="s">
        <v>932</v>
      </c>
      <c r="BU436" s="567"/>
      <c r="BV436" s="567"/>
      <c r="BW436" s="567"/>
      <c r="BX436" s="568" t="s">
        <v>932</v>
      </c>
      <c r="BY436" s="568"/>
      <c r="BZ436" s="568"/>
      <c r="CA436" s="567" t="s">
        <v>932</v>
      </c>
      <c r="CB436" s="567"/>
      <c r="CC436" s="567"/>
      <c r="CD436" s="567"/>
      <c r="CE436" s="568" t="s">
        <v>932</v>
      </c>
      <c r="CF436" s="568"/>
      <c r="CG436" s="568"/>
      <c r="CH436" s="567" t="s">
        <v>932</v>
      </c>
      <c r="CI436" s="567"/>
      <c r="CJ436" s="567"/>
      <c r="CK436" s="567"/>
      <c r="CL436" s="568">
        <v>1</v>
      </c>
      <c r="CM436" s="568"/>
      <c r="CN436" s="568"/>
    </row>
    <row r="437" hidden="1" customHeight="1" spans="1:92">
      <c r="A437" s="569"/>
      <c r="B437" s="570"/>
      <c r="C437" s="571"/>
      <c r="D437" s="572"/>
      <c r="E437" s="573"/>
      <c r="F437" s="574"/>
      <c r="G437" s="575"/>
      <c r="H437" s="576"/>
      <c r="I437" s="577"/>
      <c r="J437" s="578"/>
      <c r="K437" s="578"/>
      <c r="L437" s="578"/>
      <c r="M437" s="578"/>
      <c r="N437" s="578"/>
      <c r="O437" s="578"/>
      <c r="P437" s="578"/>
      <c r="Q437" s="578"/>
      <c r="R437" s="578"/>
      <c r="S437" s="578"/>
      <c r="T437" s="578"/>
      <c r="U437" s="578"/>
      <c r="V437" s="578"/>
      <c r="W437" s="578"/>
      <c r="X437" s="578"/>
      <c r="Y437" s="578"/>
      <c r="Z437" s="578"/>
      <c r="AA437" s="579"/>
      <c r="AB437" s="580"/>
      <c r="AC437" s="581"/>
      <c r="AD437" s="582"/>
      <c r="AE437" s="583"/>
      <c r="AF437" s="584"/>
      <c r="AG437" s="553">
        <v>0</v>
      </c>
      <c r="AH437" s="554"/>
      <c r="AI437" s="555" t="e">
        <v>#N/A</v>
      </c>
      <c r="AJ437" s="556"/>
      <c r="AK437" s="556"/>
      <c r="AL437" s="556"/>
      <c r="AM437" s="556"/>
      <c r="AN437" s="556"/>
      <c r="AO437" s="556"/>
      <c r="AP437" s="556"/>
      <c r="AQ437" s="556"/>
      <c r="AR437" s="556"/>
      <c r="AS437" s="556"/>
      <c r="AT437" s="556"/>
      <c r="AU437" s="556"/>
      <c r="AV437" s="557"/>
      <c r="AW437" s="558">
        <v>0</v>
      </c>
      <c r="AX437" s="559"/>
      <c r="AY437" s="560"/>
      <c r="AZ437" s="585"/>
      <c r="BA437" s="586"/>
      <c r="BB437" s="587"/>
      <c r="BC437" s="558">
        <v>0</v>
      </c>
      <c r="BD437" s="559"/>
      <c r="BE437" s="560"/>
      <c r="BF437" s="558">
        <v>182.49</v>
      </c>
      <c r="BG437" s="559"/>
      <c r="BH437" s="560"/>
      <c r="BI437" s="564">
        <v>0</v>
      </c>
      <c r="BJ437" s="565"/>
      <c r="BK437" s="565"/>
      <c r="BL437" s="566"/>
      <c r="BM437" s="567" t="s">
        <v>932</v>
      </c>
      <c r="BN437" s="567"/>
      <c r="BO437" s="567"/>
      <c r="BP437" s="567"/>
      <c r="BQ437" s="568" t="s">
        <v>932</v>
      </c>
      <c r="BR437" s="568"/>
      <c r="BS437" s="568"/>
      <c r="BT437" s="567" t="s">
        <v>932</v>
      </c>
      <c r="BU437" s="567"/>
      <c r="BV437" s="567"/>
      <c r="BW437" s="567"/>
      <c r="BX437" s="568" t="s">
        <v>932</v>
      </c>
      <c r="BY437" s="568"/>
      <c r="BZ437" s="568"/>
      <c r="CA437" s="567" t="s">
        <v>932</v>
      </c>
      <c r="CB437" s="567"/>
      <c r="CC437" s="567"/>
      <c r="CD437" s="567"/>
      <c r="CE437" s="568" t="s">
        <v>932</v>
      </c>
      <c r="CF437" s="568"/>
      <c r="CG437" s="568"/>
      <c r="CH437" s="567" t="s">
        <v>932</v>
      </c>
      <c r="CI437" s="567"/>
      <c r="CJ437" s="567"/>
      <c r="CK437" s="567"/>
      <c r="CL437" s="568">
        <v>1</v>
      </c>
      <c r="CM437" s="568"/>
      <c r="CN437" s="568"/>
    </row>
    <row r="438" hidden="1" customHeight="1" spans="1:92">
      <c r="A438" s="569"/>
      <c r="B438" s="570"/>
      <c r="C438" s="571"/>
      <c r="D438" s="572"/>
      <c r="E438" s="573"/>
      <c r="F438" s="574"/>
      <c r="G438" s="575"/>
      <c r="H438" s="576"/>
      <c r="I438" s="577"/>
      <c r="J438" s="578"/>
      <c r="K438" s="578"/>
      <c r="L438" s="578"/>
      <c r="M438" s="578"/>
      <c r="N438" s="578"/>
      <c r="O438" s="578"/>
      <c r="P438" s="578"/>
      <c r="Q438" s="578"/>
      <c r="R438" s="578"/>
      <c r="S438" s="578"/>
      <c r="T438" s="578"/>
      <c r="U438" s="578"/>
      <c r="V438" s="578"/>
      <c r="W438" s="578"/>
      <c r="X438" s="578"/>
      <c r="Y438" s="578"/>
      <c r="Z438" s="578"/>
      <c r="AA438" s="579"/>
      <c r="AB438" s="580"/>
      <c r="AC438" s="581"/>
      <c r="AD438" s="582"/>
      <c r="AE438" s="583"/>
      <c r="AF438" s="584"/>
      <c r="AG438" s="553">
        <v>0</v>
      </c>
      <c r="AH438" s="554"/>
      <c r="AI438" s="555" t="e">
        <v>#N/A</v>
      </c>
      <c r="AJ438" s="556"/>
      <c r="AK438" s="556"/>
      <c r="AL438" s="556"/>
      <c r="AM438" s="556"/>
      <c r="AN438" s="556"/>
      <c r="AO438" s="556"/>
      <c r="AP438" s="556"/>
      <c r="AQ438" s="556"/>
      <c r="AR438" s="556"/>
      <c r="AS438" s="556"/>
      <c r="AT438" s="556"/>
      <c r="AU438" s="556"/>
      <c r="AV438" s="557"/>
      <c r="AW438" s="558">
        <v>0</v>
      </c>
      <c r="AX438" s="559"/>
      <c r="AY438" s="560"/>
      <c r="AZ438" s="585"/>
      <c r="BA438" s="586"/>
      <c r="BB438" s="587"/>
      <c r="BC438" s="558">
        <v>0</v>
      </c>
      <c r="BD438" s="559"/>
      <c r="BE438" s="560"/>
      <c r="BF438" s="558">
        <v>182.49</v>
      </c>
      <c r="BG438" s="559"/>
      <c r="BH438" s="560"/>
      <c r="BI438" s="564">
        <v>0</v>
      </c>
      <c r="BJ438" s="565"/>
      <c r="BK438" s="565"/>
      <c r="BL438" s="566"/>
      <c r="BM438" s="567" t="s">
        <v>932</v>
      </c>
      <c r="BN438" s="567"/>
      <c r="BO438" s="567"/>
      <c r="BP438" s="567"/>
      <c r="BQ438" s="568" t="s">
        <v>932</v>
      </c>
      <c r="BR438" s="568"/>
      <c r="BS438" s="568"/>
      <c r="BT438" s="567" t="s">
        <v>932</v>
      </c>
      <c r="BU438" s="567"/>
      <c r="BV438" s="567"/>
      <c r="BW438" s="567"/>
      <c r="BX438" s="568" t="s">
        <v>932</v>
      </c>
      <c r="BY438" s="568"/>
      <c r="BZ438" s="568"/>
      <c r="CA438" s="567" t="s">
        <v>932</v>
      </c>
      <c r="CB438" s="567"/>
      <c r="CC438" s="567"/>
      <c r="CD438" s="567"/>
      <c r="CE438" s="568" t="s">
        <v>932</v>
      </c>
      <c r="CF438" s="568"/>
      <c r="CG438" s="568"/>
      <c r="CH438" s="567" t="s">
        <v>932</v>
      </c>
      <c r="CI438" s="567"/>
      <c r="CJ438" s="567"/>
      <c r="CK438" s="567"/>
      <c r="CL438" s="568">
        <v>1</v>
      </c>
      <c r="CM438" s="568"/>
      <c r="CN438" s="568"/>
    </row>
    <row r="439" hidden="1" customHeight="1" spans="1:92">
      <c r="A439" s="588"/>
      <c r="B439" s="589"/>
      <c r="C439" s="590"/>
      <c r="D439" s="591"/>
      <c r="E439" s="592"/>
      <c r="F439" s="593"/>
      <c r="G439" s="594"/>
      <c r="H439" s="595"/>
      <c r="I439" s="596"/>
      <c r="J439" s="597"/>
      <c r="K439" s="597"/>
      <c r="L439" s="597"/>
      <c r="M439" s="597"/>
      <c r="N439" s="597"/>
      <c r="O439" s="597"/>
      <c r="P439" s="597"/>
      <c r="Q439" s="597"/>
      <c r="R439" s="597"/>
      <c r="S439" s="597"/>
      <c r="T439" s="597"/>
      <c r="U439" s="597"/>
      <c r="V439" s="597"/>
      <c r="W439" s="597"/>
      <c r="X439" s="597"/>
      <c r="Y439" s="597"/>
      <c r="Z439" s="597"/>
      <c r="AA439" s="598"/>
      <c r="AB439" s="599"/>
      <c r="AC439" s="600"/>
      <c r="AD439" s="601"/>
      <c r="AE439" s="602"/>
      <c r="AF439" s="603"/>
      <c r="AG439" s="553">
        <v>0</v>
      </c>
      <c r="AH439" s="554"/>
      <c r="AI439" s="555" t="e">
        <v>#N/A</v>
      </c>
      <c r="AJ439" s="556"/>
      <c r="AK439" s="556"/>
      <c r="AL439" s="556"/>
      <c r="AM439" s="556"/>
      <c r="AN439" s="556"/>
      <c r="AO439" s="556"/>
      <c r="AP439" s="556"/>
      <c r="AQ439" s="556"/>
      <c r="AR439" s="556"/>
      <c r="AS439" s="556"/>
      <c r="AT439" s="556"/>
      <c r="AU439" s="556"/>
      <c r="AV439" s="557"/>
      <c r="AW439" s="558">
        <v>0</v>
      </c>
      <c r="AX439" s="559"/>
      <c r="AY439" s="560"/>
      <c r="AZ439" s="604"/>
      <c r="BA439" s="605"/>
      <c r="BB439" s="606"/>
      <c r="BC439" s="558">
        <v>0</v>
      </c>
      <c r="BD439" s="559"/>
      <c r="BE439" s="560"/>
      <c r="BF439" s="558">
        <v>182.49</v>
      </c>
      <c r="BG439" s="559"/>
      <c r="BH439" s="560"/>
      <c r="BI439" s="564">
        <v>0</v>
      </c>
      <c r="BJ439" s="565"/>
      <c r="BK439" s="565"/>
      <c r="BL439" s="566"/>
      <c r="BM439" s="567" t="s">
        <v>932</v>
      </c>
      <c r="BN439" s="567"/>
      <c r="BO439" s="567"/>
      <c r="BP439" s="567"/>
      <c r="BQ439" s="568" t="s">
        <v>932</v>
      </c>
      <c r="BR439" s="568"/>
      <c r="BS439" s="568"/>
      <c r="BT439" s="567" t="s">
        <v>932</v>
      </c>
      <c r="BU439" s="567"/>
      <c r="BV439" s="567"/>
      <c r="BW439" s="567"/>
      <c r="BX439" s="568" t="s">
        <v>932</v>
      </c>
      <c r="BY439" s="568"/>
      <c r="BZ439" s="568"/>
      <c r="CA439" s="567" t="s">
        <v>932</v>
      </c>
      <c r="CB439" s="567"/>
      <c r="CC439" s="567"/>
      <c r="CD439" s="567"/>
      <c r="CE439" s="568" t="s">
        <v>932</v>
      </c>
      <c r="CF439" s="568"/>
      <c r="CG439" s="568"/>
      <c r="CH439" s="567" t="s">
        <v>932</v>
      </c>
      <c r="CI439" s="567"/>
      <c r="CJ439" s="567"/>
      <c r="CK439" s="567"/>
      <c r="CL439" s="568">
        <v>1</v>
      </c>
      <c r="CM439" s="568"/>
      <c r="CN439" s="568"/>
    </row>
    <row r="440" hidden="1" customHeight="1" spans="1:92">
      <c r="A440" s="540" t="s">
        <v>995</v>
      </c>
      <c r="B440" s="541"/>
      <c r="C440" s="89"/>
      <c r="D440" s="91"/>
      <c r="E440" s="90"/>
      <c r="F440" s="542">
        <v>407819</v>
      </c>
      <c r="G440" s="543"/>
      <c r="H440" s="544"/>
      <c r="I440" s="545" t="s">
        <v>100</v>
      </c>
      <c r="J440" s="546"/>
      <c r="K440" s="546"/>
      <c r="L440" s="546"/>
      <c r="M440" s="546"/>
      <c r="N440" s="546"/>
      <c r="O440" s="546"/>
      <c r="P440" s="546"/>
      <c r="Q440" s="546"/>
      <c r="R440" s="546"/>
      <c r="S440" s="546"/>
      <c r="T440" s="546"/>
      <c r="U440" s="546"/>
      <c r="V440" s="546"/>
      <c r="W440" s="546"/>
      <c r="X440" s="546"/>
      <c r="Y440" s="546"/>
      <c r="Z440" s="546"/>
      <c r="AA440" s="547"/>
      <c r="AB440" s="548" t="s">
        <v>101</v>
      </c>
      <c r="AC440" s="549"/>
      <c r="AD440" s="550">
        <v>221</v>
      </c>
      <c r="AE440" s="551"/>
      <c r="AF440" s="552"/>
      <c r="AG440" s="553">
        <v>0</v>
      </c>
      <c r="AH440" s="554"/>
      <c r="AI440" s="555" t="e">
        <v>#N/A</v>
      </c>
      <c r="AJ440" s="556"/>
      <c r="AK440" s="556"/>
      <c r="AL440" s="556"/>
      <c r="AM440" s="556"/>
      <c r="AN440" s="556"/>
      <c r="AO440" s="556"/>
      <c r="AP440" s="556"/>
      <c r="AQ440" s="556"/>
      <c r="AR440" s="556"/>
      <c r="AS440" s="556"/>
      <c r="AT440" s="556"/>
      <c r="AU440" s="556"/>
      <c r="AV440" s="557"/>
      <c r="AW440" s="558">
        <v>0</v>
      </c>
      <c r="AX440" s="559"/>
      <c r="AY440" s="560"/>
      <c r="AZ440" s="561">
        <v>1</v>
      </c>
      <c r="BA440" s="562"/>
      <c r="BB440" s="563"/>
      <c r="BC440" s="558">
        <v>0</v>
      </c>
      <c r="BD440" s="559"/>
      <c r="BE440" s="560"/>
      <c r="BF440" s="558">
        <v>182.49</v>
      </c>
      <c r="BG440" s="559"/>
      <c r="BH440" s="560"/>
      <c r="BI440" s="564">
        <v>0</v>
      </c>
      <c r="BJ440" s="565"/>
      <c r="BK440" s="565"/>
      <c r="BL440" s="566"/>
      <c r="BM440" s="567" t="s">
        <v>932</v>
      </c>
      <c r="BN440" s="567"/>
      <c r="BO440" s="567"/>
      <c r="BP440" s="567"/>
      <c r="BQ440" s="568" t="s">
        <v>932</v>
      </c>
      <c r="BR440" s="568"/>
      <c r="BS440" s="568"/>
      <c r="BT440" s="567" t="s">
        <v>932</v>
      </c>
      <c r="BU440" s="567"/>
      <c r="BV440" s="567"/>
      <c r="BW440" s="567"/>
      <c r="BX440" s="568" t="s">
        <v>932</v>
      </c>
      <c r="BY440" s="568"/>
      <c r="BZ440" s="568"/>
      <c r="CA440" s="567" t="s">
        <v>932</v>
      </c>
      <c r="CB440" s="567"/>
      <c r="CC440" s="567"/>
      <c r="CD440" s="567"/>
      <c r="CE440" s="568" t="s">
        <v>932</v>
      </c>
      <c r="CF440" s="568"/>
      <c r="CG440" s="568"/>
      <c r="CH440" s="567" t="s">
        <v>932</v>
      </c>
      <c r="CI440" s="567"/>
      <c r="CJ440" s="567"/>
      <c r="CK440" s="567"/>
      <c r="CL440" s="568">
        <v>1</v>
      </c>
      <c r="CM440" s="568"/>
      <c r="CN440" s="568"/>
    </row>
    <row r="441" hidden="1" customHeight="1" spans="1:92">
      <c r="A441" s="569"/>
      <c r="B441" s="570"/>
      <c r="C441" s="571"/>
      <c r="D441" s="572"/>
      <c r="E441" s="573"/>
      <c r="F441" s="574"/>
      <c r="G441" s="575"/>
      <c r="H441" s="576"/>
      <c r="I441" s="577"/>
      <c r="J441" s="578"/>
      <c r="K441" s="578"/>
      <c r="L441" s="578"/>
      <c r="M441" s="578"/>
      <c r="N441" s="578"/>
      <c r="O441" s="578"/>
      <c r="P441" s="578"/>
      <c r="Q441" s="578"/>
      <c r="R441" s="578"/>
      <c r="S441" s="578"/>
      <c r="T441" s="578"/>
      <c r="U441" s="578"/>
      <c r="V441" s="578"/>
      <c r="W441" s="578"/>
      <c r="X441" s="578"/>
      <c r="Y441" s="578"/>
      <c r="Z441" s="578"/>
      <c r="AA441" s="579"/>
      <c r="AB441" s="580"/>
      <c r="AC441" s="581"/>
      <c r="AD441" s="582"/>
      <c r="AE441" s="583"/>
      <c r="AF441" s="584"/>
      <c r="AG441" s="553">
        <v>0</v>
      </c>
      <c r="AH441" s="554"/>
      <c r="AI441" s="555" t="e">
        <v>#N/A</v>
      </c>
      <c r="AJ441" s="556"/>
      <c r="AK441" s="556"/>
      <c r="AL441" s="556"/>
      <c r="AM441" s="556"/>
      <c r="AN441" s="556"/>
      <c r="AO441" s="556"/>
      <c r="AP441" s="556"/>
      <c r="AQ441" s="556"/>
      <c r="AR441" s="556"/>
      <c r="AS441" s="556"/>
      <c r="AT441" s="556"/>
      <c r="AU441" s="556"/>
      <c r="AV441" s="557"/>
      <c r="AW441" s="558">
        <v>0</v>
      </c>
      <c r="AX441" s="559"/>
      <c r="AY441" s="560"/>
      <c r="AZ441" s="585"/>
      <c r="BA441" s="586"/>
      <c r="BB441" s="587"/>
      <c r="BC441" s="558">
        <v>0</v>
      </c>
      <c r="BD441" s="559"/>
      <c r="BE441" s="560"/>
      <c r="BF441" s="558">
        <v>182.49</v>
      </c>
      <c r="BG441" s="559"/>
      <c r="BH441" s="560"/>
      <c r="BI441" s="564">
        <v>0</v>
      </c>
      <c r="BJ441" s="565"/>
      <c r="BK441" s="565"/>
      <c r="BL441" s="566"/>
      <c r="BM441" s="567" t="s">
        <v>932</v>
      </c>
      <c r="BN441" s="567"/>
      <c r="BO441" s="567"/>
      <c r="BP441" s="567"/>
      <c r="BQ441" s="568" t="s">
        <v>932</v>
      </c>
      <c r="BR441" s="568"/>
      <c r="BS441" s="568"/>
      <c r="BT441" s="567" t="s">
        <v>932</v>
      </c>
      <c r="BU441" s="567"/>
      <c r="BV441" s="567"/>
      <c r="BW441" s="567"/>
      <c r="BX441" s="568" t="s">
        <v>932</v>
      </c>
      <c r="BY441" s="568"/>
      <c r="BZ441" s="568"/>
      <c r="CA441" s="567" t="s">
        <v>932</v>
      </c>
      <c r="CB441" s="567"/>
      <c r="CC441" s="567"/>
      <c r="CD441" s="567"/>
      <c r="CE441" s="568" t="s">
        <v>932</v>
      </c>
      <c r="CF441" s="568"/>
      <c r="CG441" s="568"/>
      <c r="CH441" s="567" t="s">
        <v>932</v>
      </c>
      <c r="CI441" s="567"/>
      <c r="CJ441" s="567"/>
      <c r="CK441" s="567"/>
      <c r="CL441" s="568">
        <v>1</v>
      </c>
      <c r="CM441" s="568"/>
      <c r="CN441" s="568"/>
    </row>
    <row r="442" hidden="1" customHeight="1" spans="1:92">
      <c r="A442" s="569"/>
      <c r="B442" s="570"/>
      <c r="C442" s="571"/>
      <c r="D442" s="572"/>
      <c r="E442" s="573"/>
      <c r="F442" s="574"/>
      <c r="G442" s="575"/>
      <c r="H442" s="576"/>
      <c r="I442" s="577"/>
      <c r="J442" s="578"/>
      <c r="K442" s="578"/>
      <c r="L442" s="578"/>
      <c r="M442" s="578"/>
      <c r="N442" s="578"/>
      <c r="O442" s="578"/>
      <c r="P442" s="578"/>
      <c r="Q442" s="578"/>
      <c r="R442" s="578"/>
      <c r="S442" s="578"/>
      <c r="T442" s="578"/>
      <c r="U442" s="578"/>
      <c r="V442" s="578"/>
      <c r="W442" s="578"/>
      <c r="X442" s="578"/>
      <c r="Y442" s="578"/>
      <c r="Z442" s="578"/>
      <c r="AA442" s="579"/>
      <c r="AB442" s="580"/>
      <c r="AC442" s="581"/>
      <c r="AD442" s="582"/>
      <c r="AE442" s="583"/>
      <c r="AF442" s="584"/>
      <c r="AG442" s="553">
        <v>0</v>
      </c>
      <c r="AH442" s="554"/>
      <c r="AI442" s="555" t="e">
        <v>#N/A</v>
      </c>
      <c r="AJ442" s="556"/>
      <c r="AK442" s="556"/>
      <c r="AL442" s="556"/>
      <c r="AM442" s="556"/>
      <c r="AN442" s="556"/>
      <c r="AO442" s="556"/>
      <c r="AP442" s="556"/>
      <c r="AQ442" s="556"/>
      <c r="AR442" s="556"/>
      <c r="AS442" s="556"/>
      <c r="AT442" s="556"/>
      <c r="AU442" s="556"/>
      <c r="AV442" s="557"/>
      <c r="AW442" s="558">
        <v>0</v>
      </c>
      <c r="AX442" s="559"/>
      <c r="AY442" s="560"/>
      <c r="AZ442" s="585"/>
      <c r="BA442" s="586"/>
      <c r="BB442" s="587"/>
      <c r="BC442" s="558">
        <v>0</v>
      </c>
      <c r="BD442" s="559"/>
      <c r="BE442" s="560"/>
      <c r="BF442" s="558">
        <v>182.49</v>
      </c>
      <c r="BG442" s="559"/>
      <c r="BH442" s="560"/>
      <c r="BI442" s="564">
        <v>0</v>
      </c>
      <c r="BJ442" s="565"/>
      <c r="BK442" s="565"/>
      <c r="BL442" s="566"/>
      <c r="BM442" s="567" t="s">
        <v>932</v>
      </c>
      <c r="BN442" s="567"/>
      <c r="BO442" s="567"/>
      <c r="BP442" s="567"/>
      <c r="BQ442" s="568" t="s">
        <v>932</v>
      </c>
      <c r="BR442" s="568"/>
      <c r="BS442" s="568"/>
      <c r="BT442" s="567" t="s">
        <v>932</v>
      </c>
      <c r="BU442" s="567"/>
      <c r="BV442" s="567"/>
      <c r="BW442" s="567"/>
      <c r="BX442" s="568" t="s">
        <v>932</v>
      </c>
      <c r="BY442" s="568"/>
      <c r="BZ442" s="568"/>
      <c r="CA442" s="567" t="s">
        <v>932</v>
      </c>
      <c r="CB442" s="567"/>
      <c r="CC442" s="567"/>
      <c r="CD442" s="567"/>
      <c r="CE442" s="568" t="s">
        <v>932</v>
      </c>
      <c r="CF442" s="568"/>
      <c r="CG442" s="568"/>
      <c r="CH442" s="567" t="s">
        <v>932</v>
      </c>
      <c r="CI442" s="567"/>
      <c r="CJ442" s="567"/>
      <c r="CK442" s="567"/>
      <c r="CL442" s="568">
        <v>1</v>
      </c>
      <c r="CM442" s="568"/>
      <c r="CN442" s="568"/>
    </row>
    <row r="443" hidden="1" customHeight="1" spans="1:92">
      <c r="A443" s="569"/>
      <c r="B443" s="570"/>
      <c r="C443" s="571"/>
      <c r="D443" s="572"/>
      <c r="E443" s="573"/>
      <c r="F443" s="574"/>
      <c r="G443" s="575"/>
      <c r="H443" s="576"/>
      <c r="I443" s="577"/>
      <c r="J443" s="578"/>
      <c r="K443" s="578"/>
      <c r="L443" s="578"/>
      <c r="M443" s="578"/>
      <c r="N443" s="578"/>
      <c r="O443" s="578"/>
      <c r="P443" s="578"/>
      <c r="Q443" s="578"/>
      <c r="R443" s="578"/>
      <c r="S443" s="578"/>
      <c r="T443" s="578"/>
      <c r="U443" s="578"/>
      <c r="V443" s="578"/>
      <c r="W443" s="578"/>
      <c r="X443" s="578"/>
      <c r="Y443" s="578"/>
      <c r="Z443" s="578"/>
      <c r="AA443" s="579"/>
      <c r="AB443" s="580"/>
      <c r="AC443" s="581"/>
      <c r="AD443" s="582"/>
      <c r="AE443" s="583"/>
      <c r="AF443" s="584"/>
      <c r="AG443" s="553">
        <v>0</v>
      </c>
      <c r="AH443" s="554"/>
      <c r="AI443" s="555" t="e">
        <v>#N/A</v>
      </c>
      <c r="AJ443" s="556"/>
      <c r="AK443" s="556"/>
      <c r="AL443" s="556"/>
      <c r="AM443" s="556"/>
      <c r="AN443" s="556"/>
      <c r="AO443" s="556"/>
      <c r="AP443" s="556"/>
      <c r="AQ443" s="556"/>
      <c r="AR443" s="556"/>
      <c r="AS443" s="556"/>
      <c r="AT443" s="556"/>
      <c r="AU443" s="556"/>
      <c r="AV443" s="557"/>
      <c r="AW443" s="558">
        <v>0</v>
      </c>
      <c r="AX443" s="559"/>
      <c r="AY443" s="560"/>
      <c r="AZ443" s="585"/>
      <c r="BA443" s="586"/>
      <c r="BB443" s="587"/>
      <c r="BC443" s="558">
        <v>0</v>
      </c>
      <c r="BD443" s="559"/>
      <c r="BE443" s="560"/>
      <c r="BF443" s="558">
        <v>182.49</v>
      </c>
      <c r="BG443" s="559"/>
      <c r="BH443" s="560"/>
      <c r="BI443" s="564">
        <v>0</v>
      </c>
      <c r="BJ443" s="565"/>
      <c r="BK443" s="565"/>
      <c r="BL443" s="566"/>
      <c r="BM443" s="567" t="s">
        <v>932</v>
      </c>
      <c r="BN443" s="567"/>
      <c r="BO443" s="567"/>
      <c r="BP443" s="567"/>
      <c r="BQ443" s="568" t="s">
        <v>932</v>
      </c>
      <c r="BR443" s="568"/>
      <c r="BS443" s="568"/>
      <c r="BT443" s="567" t="s">
        <v>932</v>
      </c>
      <c r="BU443" s="567"/>
      <c r="BV443" s="567"/>
      <c r="BW443" s="567"/>
      <c r="BX443" s="568" t="s">
        <v>932</v>
      </c>
      <c r="BY443" s="568"/>
      <c r="BZ443" s="568"/>
      <c r="CA443" s="567" t="s">
        <v>932</v>
      </c>
      <c r="CB443" s="567"/>
      <c r="CC443" s="567"/>
      <c r="CD443" s="567"/>
      <c r="CE443" s="568" t="s">
        <v>932</v>
      </c>
      <c r="CF443" s="568"/>
      <c r="CG443" s="568"/>
      <c r="CH443" s="567" t="s">
        <v>932</v>
      </c>
      <c r="CI443" s="567"/>
      <c r="CJ443" s="567"/>
      <c r="CK443" s="567"/>
      <c r="CL443" s="568">
        <v>1</v>
      </c>
      <c r="CM443" s="568"/>
      <c r="CN443" s="568"/>
    </row>
    <row r="444" hidden="1" customHeight="1" spans="1:92">
      <c r="A444" s="569"/>
      <c r="B444" s="570"/>
      <c r="C444" s="571"/>
      <c r="D444" s="572"/>
      <c r="E444" s="573"/>
      <c r="F444" s="574"/>
      <c r="G444" s="575"/>
      <c r="H444" s="576"/>
      <c r="I444" s="577"/>
      <c r="J444" s="578"/>
      <c r="K444" s="578"/>
      <c r="L444" s="578"/>
      <c r="M444" s="578"/>
      <c r="N444" s="578"/>
      <c r="O444" s="578"/>
      <c r="P444" s="578"/>
      <c r="Q444" s="578"/>
      <c r="R444" s="578"/>
      <c r="S444" s="578"/>
      <c r="T444" s="578"/>
      <c r="U444" s="578"/>
      <c r="V444" s="578"/>
      <c r="W444" s="578"/>
      <c r="X444" s="578"/>
      <c r="Y444" s="578"/>
      <c r="Z444" s="578"/>
      <c r="AA444" s="579"/>
      <c r="AB444" s="580"/>
      <c r="AC444" s="581"/>
      <c r="AD444" s="582"/>
      <c r="AE444" s="583"/>
      <c r="AF444" s="584"/>
      <c r="AG444" s="553">
        <v>0</v>
      </c>
      <c r="AH444" s="554"/>
      <c r="AI444" s="555" t="e">
        <v>#N/A</v>
      </c>
      <c r="AJ444" s="556"/>
      <c r="AK444" s="556"/>
      <c r="AL444" s="556"/>
      <c r="AM444" s="556"/>
      <c r="AN444" s="556"/>
      <c r="AO444" s="556"/>
      <c r="AP444" s="556"/>
      <c r="AQ444" s="556"/>
      <c r="AR444" s="556"/>
      <c r="AS444" s="556"/>
      <c r="AT444" s="556"/>
      <c r="AU444" s="556"/>
      <c r="AV444" s="557"/>
      <c r="AW444" s="558">
        <v>0</v>
      </c>
      <c r="AX444" s="559"/>
      <c r="AY444" s="560"/>
      <c r="AZ444" s="585"/>
      <c r="BA444" s="586"/>
      <c r="BB444" s="587"/>
      <c r="BC444" s="558">
        <v>0</v>
      </c>
      <c r="BD444" s="559"/>
      <c r="BE444" s="560"/>
      <c r="BF444" s="558">
        <v>182.49</v>
      </c>
      <c r="BG444" s="559"/>
      <c r="BH444" s="560"/>
      <c r="BI444" s="564">
        <v>0</v>
      </c>
      <c r="BJ444" s="565"/>
      <c r="BK444" s="565"/>
      <c r="BL444" s="566"/>
      <c r="BM444" s="567" t="s">
        <v>932</v>
      </c>
      <c r="BN444" s="567"/>
      <c r="BO444" s="567"/>
      <c r="BP444" s="567"/>
      <c r="BQ444" s="568" t="s">
        <v>932</v>
      </c>
      <c r="BR444" s="568"/>
      <c r="BS444" s="568"/>
      <c r="BT444" s="567" t="s">
        <v>932</v>
      </c>
      <c r="BU444" s="567"/>
      <c r="BV444" s="567"/>
      <c r="BW444" s="567"/>
      <c r="BX444" s="568" t="s">
        <v>932</v>
      </c>
      <c r="BY444" s="568"/>
      <c r="BZ444" s="568"/>
      <c r="CA444" s="567" t="s">
        <v>932</v>
      </c>
      <c r="CB444" s="567"/>
      <c r="CC444" s="567"/>
      <c r="CD444" s="567"/>
      <c r="CE444" s="568" t="s">
        <v>932</v>
      </c>
      <c r="CF444" s="568"/>
      <c r="CG444" s="568"/>
      <c r="CH444" s="567" t="s">
        <v>932</v>
      </c>
      <c r="CI444" s="567"/>
      <c r="CJ444" s="567"/>
      <c r="CK444" s="567"/>
      <c r="CL444" s="568">
        <v>1</v>
      </c>
      <c r="CM444" s="568"/>
      <c r="CN444" s="568"/>
    </row>
    <row r="445" hidden="1" customHeight="1" spans="1:92">
      <c r="A445" s="569"/>
      <c r="B445" s="570"/>
      <c r="C445" s="571"/>
      <c r="D445" s="572"/>
      <c r="E445" s="573"/>
      <c r="F445" s="574"/>
      <c r="G445" s="575"/>
      <c r="H445" s="576"/>
      <c r="I445" s="577"/>
      <c r="J445" s="578"/>
      <c r="K445" s="578"/>
      <c r="L445" s="578"/>
      <c r="M445" s="578"/>
      <c r="N445" s="578"/>
      <c r="O445" s="578"/>
      <c r="P445" s="578"/>
      <c r="Q445" s="578"/>
      <c r="R445" s="578"/>
      <c r="S445" s="578"/>
      <c r="T445" s="578"/>
      <c r="U445" s="578"/>
      <c r="V445" s="578"/>
      <c r="W445" s="578"/>
      <c r="X445" s="578"/>
      <c r="Y445" s="578"/>
      <c r="Z445" s="578"/>
      <c r="AA445" s="579"/>
      <c r="AB445" s="580"/>
      <c r="AC445" s="581"/>
      <c r="AD445" s="582"/>
      <c r="AE445" s="583"/>
      <c r="AF445" s="584"/>
      <c r="AG445" s="553">
        <v>0</v>
      </c>
      <c r="AH445" s="554"/>
      <c r="AI445" s="555" t="e">
        <v>#N/A</v>
      </c>
      <c r="AJ445" s="556"/>
      <c r="AK445" s="556"/>
      <c r="AL445" s="556"/>
      <c r="AM445" s="556"/>
      <c r="AN445" s="556"/>
      <c r="AO445" s="556"/>
      <c r="AP445" s="556"/>
      <c r="AQ445" s="556"/>
      <c r="AR445" s="556"/>
      <c r="AS445" s="556"/>
      <c r="AT445" s="556"/>
      <c r="AU445" s="556"/>
      <c r="AV445" s="557"/>
      <c r="AW445" s="558">
        <v>0</v>
      </c>
      <c r="AX445" s="559"/>
      <c r="AY445" s="560"/>
      <c r="AZ445" s="585"/>
      <c r="BA445" s="586"/>
      <c r="BB445" s="587"/>
      <c r="BC445" s="558">
        <v>0</v>
      </c>
      <c r="BD445" s="559"/>
      <c r="BE445" s="560"/>
      <c r="BF445" s="558">
        <v>182.49</v>
      </c>
      <c r="BG445" s="559"/>
      <c r="BH445" s="560"/>
      <c r="BI445" s="564">
        <v>0</v>
      </c>
      <c r="BJ445" s="565"/>
      <c r="BK445" s="565"/>
      <c r="BL445" s="566"/>
      <c r="BM445" s="567" t="s">
        <v>932</v>
      </c>
      <c r="BN445" s="567"/>
      <c r="BO445" s="567"/>
      <c r="BP445" s="567"/>
      <c r="BQ445" s="568" t="s">
        <v>932</v>
      </c>
      <c r="BR445" s="568"/>
      <c r="BS445" s="568"/>
      <c r="BT445" s="567" t="s">
        <v>932</v>
      </c>
      <c r="BU445" s="567"/>
      <c r="BV445" s="567"/>
      <c r="BW445" s="567"/>
      <c r="BX445" s="568" t="s">
        <v>932</v>
      </c>
      <c r="BY445" s="568"/>
      <c r="BZ445" s="568"/>
      <c r="CA445" s="567" t="s">
        <v>932</v>
      </c>
      <c r="CB445" s="567"/>
      <c r="CC445" s="567"/>
      <c r="CD445" s="567"/>
      <c r="CE445" s="568" t="s">
        <v>932</v>
      </c>
      <c r="CF445" s="568"/>
      <c r="CG445" s="568"/>
      <c r="CH445" s="567" t="s">
        <v>932</v>
      </c>
      <c r="CI445" s="567"/>
      <c r="CJ445" s="567"/>
      <c r="CK445" s="567"/>
      <c r="CL445" s="568">
        <v>1</v>
      </c>
      <c r="CM445" s="568"/>
      <c r="CN445" s="568"/>
    </row>
    <row r="446" hidden="1" customHeight="1" spans="1:92">
      <c r="A446" s="569"/>
      <c r="B446" s="570"/>
      <c r="C446" s="571"/>
      <c r="D446" s="572"/>
      <c r="E446" s="573"/>
      <c r="F446" s="574"/>
      <c r="G446" s="575"/>
      <c r="H446" s="576"/>
      <c r="I446" s="577"/>
      <c r="J446" s="578"/>
      <c r="K446" s="578"/>
      <c r="L446" s="578"/>
      <c r="M446" s="578"/>
      <c r="N446" s="578"/>
      <c r="O446" s="578"/>
      <c r="P446" s="578"/>
      <c r="Q446" s="578"/>
      <c r="R446" s="578"/>
      <c r="S446" s="578"/>
      <c r="T446" s="578"/>
      <c r="U446" s="578"/>
      <c r="V446" s="578"/>
      <c r="W446" s="578"/>
      <c r="X446" s="578"/>
      <c r="Y446" s="578"/>
      <c r="Z446" s="578"/>
      <c r="AA446" s="579"/>
      <c r="AB446" s="580"/>
      <c r="AC446" s="581"/>
      <c r="AD446" s="582"/>
      <c r="AE446" s="583"/>
      <c r="AF446" s="584"/>
      <c r="AG446" s="553">
        <v>0</v>
      </c>
      <c r="AH446" s="554"/>
      <c r="AI446" s="555" t="e">
        <v>#N/A</v>
      </c>
      <c r="AJ446" s="556"/>
      <c r="AK446" s="556"/>
      <c r="AL446" s="556"/>
      <c r="AM446" s="556"/>
      <c r="AN446" s="556"/>
      <c r="AO446" s="556"/>
      <c r="AP446" s="556"/>
      <c r="AQ446" s="556"/>
      <c r="AR446" s="556"/>
      <c r="AS446" s="556"/>
      <c r="AT446" s="556"/>
      <c r="AU446" s="556"/>
      <c r="AV446" s="557"/>
      <c r="AW446" s="558">
        <v>0</v>
      </c>
      <c r="AX446" s="559"/>
      <c r="AY446" s="560"/>
      <c r="AZ446" s="585"/>
      <c r="BA446" s="586"/>
      <c r="BB446" s="587"/>
      <c r="BC446" s="558">
        <v>0</v>
      </c>
      <c r="BD446" s="559"/>
      <c r="BE446" s="560"/>
      <c r="BF446" s="558">
        <v>182.49</v>
      </c>
      <c r="BG446" s="559"/>
      <c r="BH446" s="560"/>
      <c r="BI446" s="564">
        <v>0</v>
      </c>
      <c r="BJ446" s="565"/>
      <c r="BK446" s="565"/>
      <c r="BL446" s="566"/>
      <c r="BM446" s="567" t="s">
        <v>932</v>
      </c>
      <c r="BN446" s="567"/>
      <c r="BO446" s="567"/>
      <c r="BP446" s="567"/>
      <c r="BQ446" s="568" t="s">
        <v>932</v>
      </c>
      <c r="BR446" s="568"/>
      <c r="BS446" s="568"/>
      <c r="BT446" s="567" t="s">
        <v>932</v>
      </c>
      <c r="BU446" s="567"/>
      <c r="BV446" s="567"/>
      <c r="BW446" s="567"/>
      <c r="BX446" s="568" t="s">
        <v>932</v>
      </c>
      <c r="BY446" s="568"/>
      <c r="BZ446" s="568"/>
      <c r="CA446" s="567" t="s">
        <v>932</v>
      </c>
      <c r="CB446" s="567"/>
      <c r="CC446" s="567"/>
      <c r="CD446" s="567"/>
      <c r="CE446" s="568" t="s">
        <v>932</v>
      </c>
      <c r="CF446" s="568"/>
      <c r="CG446" s="568"/>
      <c r="CH446" s="567" t="s">
        <v>932</v>
      </c>
      <c r="CI446" s="567"/>
      <c r="CJ446" s="567"/>
      <c r="CK446" s="567"/>
      <c r="CL446" s="568">
        <v>1</v>
      </c>
      <c r="CM446" s="568"/>
      <c r="CN446" s="568"/>
    </row>
    <row r="447" hidden="1" customHeight="1" spans="1:92">
      <c r="A447" s="588"/>
      <c r="B447" s="589"/>
      <c r="C447" s="590"/>
      <c r="D447" s="591"/>
      <c r="E447" s="592"/>
      <c r="F447" s="593"/>
      <c r="G447" s="594"/>
      <c r="H447" s="595"/>
      <c r="I447" s="596"/>
      <c r="J447" s="597"/>
      <c r="K447" s="597"/>
      <c r="L447" s="597"/>
      <c r="M447" s="597"/>
      <c r="N447" s="597"/>
      <c r="O447" s="597"/>
      <c r="P447" s="597"/>
      <c r="Q447" s="597"/>
      <c r="R447" s="597"/>
      <c r="S447" s="597"/>
      <c r="T447" s="597"/>
      <c r="U447" s="597"/>
      <c r="V447" s="597"/>
      <c r="W447" s="597"/>
      <c r="X447" s="597"/>
      <c r="Y447" s="597"/>
      <c r="Z447" s="597"/>
      <c r="AA447" s="598"/>
      <c r="AB447" s="599"/>
      <c r="AC447" s="600"/>
      <c r="AD447" s="601"/>
      <c r="AE447" s="602"/>
      <c r="AF447" s="603"/>
      <c r="AG447" s="553">
        <v>0</v>
      </c>
      <c r="AH447" s="554"/>
      <c r="AI447" s="555" t="e">
        <v>#N/A</v>
      </c>
      <c r="AJ447" s="556"/>
      <c r="AK447" s="556"/>
      <c r="AL447" s="556"/>
      <c r="AM447" s="556"/>
      <c r="AN447" s="556"/>
      <c r="AO447" s="556"/>
      <c r="AP447" s="556"/>
      <c r="AQ447" s="556"/>
      <c r="AR447" s="556"/>
      <c r="AS447" s="556"/>
      <c r="AT447" s="556"/>
      <c r="AU447" s="556"/>
      <c r="AV447" s="557"/>
      <c r="AW447" s="558">
        <v>0</v>
      </c>
      <c r="AX447" s="559"/>
      <c r="AY447" s="560"/>
      <c r="AZ447" s="604"/>
      <c r="BA447" s="605"/>
      <c r="BB447" s="606"/>
      <c r="BC447" s="558">
        <v>0</v>
      </c>
      <c r="BD447" s="559"/>
      <c r="BE447" s="560"/>
      <c r="BF447" s="558">
        <v>182.49</v>
      </c>
      <c r="BG447" s="559"/>
      <c r="BH447" s="560"/>
      <c r="BI447" s="564">
        <v>0</v>
      </c>
      <c r="BJ447" s="565"/>
      <c r="BK447" s="565"/>
      <c r="BL447" s="566"/>
      <c r="BM447" s="567" t="s">
        <v>932</v>
      </c>
      <c r="BN447" s="567"/>
      <c r="BO447" s="567"/>
      <c r="BP447" s="567"/>
      <c r="BQ447" s="568" t="s">
        <v>932</v>
      </c>
      <c r="BR447" s="568"/>
      <c r="BS447" s="568"/>
      <c r="BT447" s="567" t="s">
        <v>932</v>
      </c>
      <c r="BU447" s="567"/>
      <c r="BV447" s="567"/>
      <c r="BW447" s="567"/>
      <c r="BX447" s="568" t="s">
        <v>932</v>
      </c>
      <c r="BY447" s="568"/>
      <c r="BZ447" s="568"/>
      <c r="CA447" s="567" t="s">
        <v>932</v>
      </c>
      <c r="CB447" s="567"/>
      <c r="CC447" s="567"/>
      <c r="CD447" s="567"/>
      <c r="CE447" s="568" t="s">
        <v>932</v>
      </c>
      <c r="CF447" s="568"/>
      <c r="CG447" s="568"/>
      <c r="CH447" s="567" t="s">
        <v>932</v>
      </c>
      <c r="CI447" s="567"/>
      <c r="CJ447" s="567"/>
      <c r="CK447" s="567"/>
      <c r="CL447" s="568">
        <v>1</v>
      </c>
      <c r="CM447" s="568"/>
      <c r="CN447" s="568"/>
    </row>
    <row r="448" customHeight="1" spans="1:92">
      <c r="A448" s="540" t="s">
        <v>996</v>
      </c>
      <c r="B448" s="541"/>
      <c r="C448" s="89"/>
      <c r="D448" s="91"/>
      <c r="E448" s="90"/>
      <c r="F448" s="542">
        <v>1100657</v>
      </c>
      <c r="G448" s="543"/>
      <c r="H448" s="544"/>
      <c r="I448" s="545" t="s">
        <v>114</v>
      </c>
      <c r="J448" s="546"/>
      <c r="K448" s="546"/>
      <c r="L448" s="546"/>
      <c r="M448" s="546"/>
      <c r="N448" s="546"/>
      <c r="O448" s="546"/>
      <c r="P448" s="546"/>
      <c r="Q448" s="546"/>
      <c r="R448" s="546"/>
      <c r="S448" s="546"/>
      <c r="T448" s="546"/>
      <c r="U448" s="546"/>
      <c r="V448" s="546"/>
      <c r="W448" s="546"/>
      <c r="X448" s="546"/>
      <c r="Y448" s="546"/>
      <c r="Z448" s="546"/>
      <c r="AA448" s="547"/>
      <c r="AB448" s="548" t="s">
        <v>99</v>
      </c>
      <c r="AC448" s="549"/>
      <c r="AD448" s="550">
        <v>3.15</v>
      </c>
      <c r="AE448" s="551"/>
      <c r="AF448" s="552"/>
      <c r="AG448" s="553" t="s">
        <v>1080</v>
      </c>
      <c r="AH448" s="554"/>
      <c r="AI448" s="555" t="s">
        <v>1081</v>
      </c>
      <c r="AJ448" s="556"/>
      <c r="AK448" s="556"/>
      <c r="AL448" s="556"/>
      <c r="AM448" s="556"/>
      <c r="AN448" s="556"/>
      <c r="AO448" s="556"/>
      <c r="AP448" s="556"/>
      <c r="AQ448" s="556"/>
      <c r="AR448" s="556"/>
      <c r="AS448" s="556"/>
      <c r="AT448" s="556"/>
      <c r="AU448" s="556"/>
      <c r="AV448" s="557"/>
      <c r="AW448" s="558">
        <v>1</v>
      </c>
      <c r="AX448" s="559"/>
      <c r="AY448" s="560"/>
      <c r="AZ448" s="561">
        <v>9</v>
      </c>
      <c r="BA448" s="562"/>
      <c r="BB448" s="563"/>
      <c r="BC448" s="558">
        <v>0.35</v>
      </c>
      <c r="BD448" s="559"/>
      <c r="BE448" s="560"/>
      <c r="BF448" s="558">
        <v>182.49</v>
      </c>
      <c r="BG448" s="559"/>
      <c r="BH448" s="560"/>
      <c r="BI448" s="564">
        <v>0.00191791331031837</v>
      </c>
      <c r="BJ448" s="565"/>
      <c r="BK448" s="565"/>
      <c r="BL448" s="566"/>
      <c r="BM448" s="567" t="s">
        <v>932</v>
      </c>
      <c r="BN448" s="567"/>
      <c r="BO448" s="567"/>
      <c r="BP448" s="567"/>
      <c r="BQ448" s="568" t="s">
        <v>932</v>
      </c>
      <c r="BR448" s="568"/>
      <c r="BS448" s="568"/>
      <c r="BT448" s="567" t="s">
        <v>932</v>
      </c>
      <c r="BU448" s="567"/>
      <c r="BV448" s="567"/>
      <c r="BW448" s="567"/>
      <c r="BX448" s="568" t="s">
        <v>932</v>
      </c>
      <c r="BY448" s="568"/>
      <c r="BZ448" s="568"/>
      <c r="CA448" s="567" t="s">
        <v>932</v>
      </c>
      <c r="CB448" s="567"/>
      <c r="CC448" s="567"/>
      <c r="CD448" s="567"/>
      <c r="CE448" s="568" t="s">
        <v>932</v>
      </c>
      <c r="CF448" s="568"/>
      <c r="CG448" s="568"/>
      <c r="CH448" s="567">
        <v>0.00191791331031837</v>
      </c>
      <c r="CI448" s="567"/>
      <c r="CJ448" s="567"/>
      <c r="CK448" s="567"/>
      <c r="CL448" s="568">
        <v>1</v>
      </c>
      <c r="CM448" s="568"/>
      <c r="CN448" s="568"/>
    </row>
    <row r="449" hidden="1" customHeight="1" spans="1:92">
      <c r="A449" s="569"/>
      <c r="B449" s="570"/>
      <c r="C449" s="571"/>
      <c r="D449" s="572"/>
      <c r="E449" s="573"/>
      <c r="F449" s="574"/>
      <c r="G449" s="575"/>
      <c r="H449" s="576"/>
      <c r="I449" s="577"/>
      <c r="J449" s="578"/>
      <c r="K449" s="578"/>
      <c r="L449" s="578"/>
      <c r="M449" s="578"/>
      <c r="N449" s="578"/>
      <c r="O449" s="578"/>
      <c r="P449" s="578"/>
      <c r="Q449" s="578"/>
      <c r="R449" s="578"/>
      <c r="S449" s="578"/>
      <c r="T449" s="578"/>
      <c r="U449" s="578"/>
      <c r="V449" s="578"/>
      <c r="W449" s="578"/>
      <c r="X449" s="578"/>
      <c r="Y449" s="578"/>
      <c r="Z449" s="578"/>
      <c r="AA449" s="579"/>
      <c r="AB449" s="580"/>
      <c r="AC449" s="581"/>
      <c r="AD449" s="582"/>
      <c r="AE449" s="583"/>
      <c r="AF449" s="584"/>
      <c r="AG449" s="553">
        <v>0</v>
      </c>
      <c r="AH449" s="554"/>
      <c r="AI449" s="555" t="e">
        <v>#N/A</v>
      </c>
      <c r="AJ449" s="556"/>
      <c r="AK449" s="556"/>
      <c r="AL449" s="556"/>
      <c r="AM449" s="556"/>
      <c r="AN449" s="556"/>
      <c r="AO449" s="556"/>
      <c r="AP449" s="556"/>
      <c r="AQ449" s="556"/>
      <c r="AR449" s="556"/>
      <c r="AS449" s="556"/>
      <c r="AT449" s="556"/>
      <c r="AU449" s="556"/>
      <c r="AV449" s="557"/>
      <c r="AW449" s="558">
        <v>0</v>
      </c>
      <c r="AX449" s="559"/>
      <c r="AY449" s="560"/>
      <c r="AZ449" s="585"/>
      <c r="BA449" s="586"/>
      <c r="BB449" s="587"/>
      <c r="BC449" s="558">
        <v>0</v>
      </c>
      <c r="BD449" s="559"/>
      <c r="BE449" s="560"/>
      <c r="BF449" s="558">
        <v>182.49</v>
      </c>
      <c r="BG449" s="559"/>
      <c r="BH449" s="560"/>
      <c r="BI449" s="564">
        <v>0</v>
      </c>
      <c r="BJ449" s="565"/>
      <c r="BK449" s="565"/>
      <c r="BL449" s="566"/>
      <c r="BM449" s="567" t="s">
        <v>932</v>
      </c>
      <c r="BN449" s="567"/>
      <c r="BO449" s="567"/>
      <c r="BP449" s="567"/>
      <c r="BQ449" s="568" t="s">
        <v>932</v>
      </c>
      <c r="BR449" s="568"/>
      <c r="BS449" s="568"/>
      <c r="BT449" s="567" t="s">
        <v>932</v>
      </c>
      <c r="BU449" s="567"/>
      <c r="BV449" s="567"/>
      <c r="BW449" s="567"/>
      <c r="BX449" s="568" t="s">
        <v>932</v>
      </c>
      <c r="BY449" s="568"/>
      <c r="BZ449" s="568"/>
      <c r="CA449" s="567" t="s">
        <v>932</v>
      </c>
      <c r="CB449" s="567"/>
      <c r="CC449" s="567"/>
      <c r="CD449" s="567"/>
      <c r="CE449" s="568" t="s">
        <v>932</v>
      </c>
      <c r="CF449" s="568"/>
      <c r="CG449" s="568"/>
      <c r="CH449" s="567" t="s">
        <v>932</v>
      </c>
      <c r="CI449" s="567"/>
      <c r="CJ449" s="567"/>
      <c r="CK449" s="567"/>
      <c r="CL449" s="568">
        <v>1</v>
      </c>
      <c r="CM449" s="568"/>
      <c r="CN449" s="568"/>
    </row>
    <row r="450" hidden="1" customHeight="1" spans="1:92">
      <c r="A450" s="569"/>
      <c r="B450" s="570"/>
      <c r="C450" s="571"/>
      <c r="D450" s="572"/>
      <c r="E450" s="573"/>
      <c r="F450" s="574"/>
      <c r="G450" s="575"/>
      <c r="H450" s="576"/>
      <c r="I450" s="577"/>
      <c r="J450" s="578"/>
      <c r="K450" s="578"/>
      <c r="L450" s="578"/>
      <c r="M450" s="578"/>
      <c r="N450" s="578"/>
      <c r="O450" s="578"/>
      <c r="P450" s="578"/>
      <c r="Q450" s="578"/>
      <c r="R450" s="578"/>
      <c r="S450" s="578"/>
      <c r="T450" s="578"/>
      <c r="U450" s="578"/>
      <c r="V450" s="578"/>
      <c r="W450" s="578"/>
      <c r="X450" s="578"/>
      <c r="Y450" s="578"/>
      <c r="Z450" s="578"/>
      <c r="AA450" s="579"/>
      <c r="AB450" s="580"/>
      <c r="AC450" s="581"/>
      <c r="AD450" s="582"/>
      <c r="AE450" s="583"/>
      <c r="AF450" s="584"/>
      <c r="AG450" s="553">
        <v>0</v>
      </c>
      <c r="AH450" s="554"/>
      <c r="AI450" s="555" t="e">
        <v>#N/A</v>
      </c>
      <c r="AJ450" s="556"/>
      <c r="AK450" s="556"/>
      <c r="AL450" s="556"/>
      <c r="AM450" s="556"/>
      <c r="AN450" s="556"/>
      <c r="AO450" s="556"/>
      <c r="AP450" s="556"/>
      <c r="AQ450" s="556"/>
      <c r="AR450" s="556"/>
      <c r="AS450" s="556"/>
      <c r="AT450" s="556"/>
      <c r="AU450" s="556"/>
      <c r="AV450" s="557"/>
      <c r="AW450" s="558">
        <v>0</v>
      </c>
      <c r="AX450" s="559"/>
      <c r="AY450" s="560"/>
      <c r="AZ450" s="585"/>
      <c r="BA450" s="586"/>
      <c r="BB450" s="587"/>
      <c r="BC450" s="558">
        <v>0</v>
      </c>
      <c r="BD450" s="559"/>
      <c r="BE450" s="560"/>
      <c r="BF450" s="558">
        <v>182.49</v>
      </c>
      <c r="BG450" s="559"/>
      <c r="BH450" s="560"/>
      <c r="BI450" s="564">
        <v>0</v>
      </c>
      <c r="BJ450" s="565"/>
      <c r="BK450" s="565"/>
      <c r="BL450" s="566"/>
      <c r="BM450" s="567" t="s">
        <v>932</v>
      </c>
      <c r="BN450" s="567"/>
      <c r="BO450" s="567"/>
      <c r="BP450" s="567"/>
      <c r="BQ450" s="568" t="s">
        <v>932</v>
      </c>
      <c r="BR450" s="568"/>
      <c r="BS450" s="568"/>
      <c r="BT450" s="567" t="s">
        <v>932</v>
      </c>
      <c r="BU450" s="567"/>
      <c r="BV450" s="567"/>
      <c r="BW450" s="567"/>
      <c r="BX450" s="568" t="s">
        <v>932</v>
      </c>
      <c r="BY450" s="568"/>
      <c r="BZ450" s="568"/>
      <c r="CA450" s="567" t="s">
        <v>932</v>
      </c>
      <c r="CB450" s="567"/>
      <c r="CC450" s="567"/>
      <c r="CD450" s="567"/>
      <c r="CE450" s="568" t="s">
        <v>932</v>
      </c>
      <c r="CF450" s="568"/>
      <c r="CG450" s="568"/>
      <c r="CH450" s="567" t="s">
        <v>932</v>
      </c>
      <c r="CI450" s="567"/>
      <c r="CJ450" s="567"/>
      <c r="CK450" s="567"/>
      <c r="CL450" s="568">
        <v>1</v>
      </c>
      <c r="CM450" s="568"/>
      <c r="CN450" s="568"/>
    </row>
    <row r="451" hidden="1" customHeight="1" spans="1:92">
      <c r="A451" s="569"/>
      <c r="B451" s="570"/>
      <c r="C451" s="571"/>
      <c r="D451" s="572"/>
      <c r="E451" s="573"/>
      <c r="F451" s="574"/>
      <c r="G451" s="575"/>
      <c r="H451" s="576"/>
      <c r="I451" s="577"/>
      <c r="J451" s="578"/>
      <c r="K451" s="578"/>
      <c r="L451" s="578"/>
      <c r="M451" s="578"/>
      <c r="N451" s="578"/>
      <c r="O451" s="578"/>
      <c r="P451" s="578"/>
      <c r="Q451" s="578"/>
      <c r="R451" s="578"/>
      <c r="S451" s="578"/>
      <c r="T451" s="578"/>
      <c r="U451" s="578"/>
      <c r="V451" s="578"/>
      <c r="W451" s="578"/>
      <c r="X451" s="578"/>
      <c r="Y451" s="578"/>
      <c r="Z451" s="578"/>
      <c r="AA451" s="579"/>
      <c r="AB451" s="580"/>
      <c r="AC451" s="581"/>
      <c r="AD451" s="582"/>
      <c r="AE451" s="583"/>
      <c r="AF451" s="584"/>
      <c r="AG451" s="553">
        <v>0</v>
      </c>
      <c r="AH451" s="554"/>
      <c r="AI451" s="555" t="e">
        <v>#N/A</v>
      </c>
      <c r="AJ451" s="556"/>
      <c r="AK451" s="556"/>
      <c r="AL451" s="556"/>
      <c r="AM451" s="556"/>
      <c r="AN451" s="556"/>
      <c r="AO451" s="556"/>
      <c r="AP451" s="556"/>
      <c r="AQ451" s="556"/>
      <c r="AR451" s="556"/>
      <c r="AS451" s="556"/>
      <c r="AT451" s="556"/>
      <c r="AU451" s="556"/>
      <c r="AV451" s="557"/>
      <c r="AW451" s="558">
        <v>0</v>
      </c>
      <c r="AX451" s="559"/>
      <c r="AY451" s="560"/>
      <c r="AZ451" s="585"/>
      <c r="BA451" s="586"/>
      <c r="BB451" s="587"/>
      <c r="BC451" s="558">
        <v>0</v>
      </c>
      <c r="BD451" s="559"/>
      <c r="BE451" s="560"/>
      <c r="BF451" s="558">
        <v>182.49</v>
      </c>
      <c r="BG451" s="559"/>
      <c r="BH451" s="560"/>
      <c r="BI451" s="564">
        <v>0</v>
      </c>
      <c r="BJ451" s="565"/>
      <c r="BK451" s="565"/>
      <c r="BL451" s="566"/>
      <c r="BM451" s="567" t="s">
        <v>932</v>
      </c>
      <c r="BN451" s="567"/>
      <c r="BO451" s="567"/>
      <c r="BP451" s="567"/>
      <c r="BQ451" s="568" t="s">
        <v>932</v>
      </c>
      <c r="BR451" s="568"/>
      <c r="BS451" s="568"/>
      <c r="BT451" s="567" t="s">
        <v>932</v>
      </c>
      <c r="BU451" s="567"/>
      <c r="BV451" s="567"/>
      <c r="BW451" s="567"/>
      <c r="BX451" s="568" t="s">
        <v>932</v>
      </c>
      <c r="BY451" s="568"/>
      <c r="BZ451" s="568"/>
      <c r="CA451" s="567" t="s">
        <v>932</v>
      </c>
      <c r="CB451" s="567"/>
      <c r="CC451" s="567"/>
      <c r="CD451" s="567"/>
      <c r="CE451" s="568" t="s">
        <v>932</v>
      </c>
      <c r="CF451" s="568"/>
      <c r="CG451" s="568"/>
      <c r="CH451" s="567" t="s">
        <v>932</v>
      </c>
      <c r="CI451" s="567"/>
      <c r="CJ451" s="567"/>
      <c r="CK451" s="567"/>
      <c r="CL451" s="568">
        <v>1</v>
      </c>
      <c r="CM451" s="568"/>
      <c r="CN451" s="568"/>
    </row>
    <row r="452" hidden="1" customHeight="1" spans="1:92">
      <c r="A452" s="569"/>
      <c r="B452" s="570"/>
      <c r="C452" s="571"/>
      <c r="D452" s="572"/>
      <c r="E452" s="573"/>
      <c r="F452" s="574"/>
      <c r="G452" s="575"/>
      <c r="H452" s="576"/>
      <c r="I452" s="577"/>
      <c r="J452" s="578"/>
      <c r="K452" s="578"/>
      <c r="L452" s="578"/>
      <c r="M452" s="578"/>
      <c r="N452" s="578"/>
      <c r="O452" s="578"/>
      <c r="P452" s="578"/>
      <c r="Q452" s="578"/>
      <c r="R452" s="578"/>
      <c r="S452" s="578"/>
      <c r="T452" s="578"/>
      <c r="U452" s="578"/>
      <c r="V452" s="578"/>
      <c r="W452" s="578"/>
      <c r="X452" s="578"/>
      <c r="Y452" s="578"/>
      <c r="Z452" s="578"/>
      <c r="AA452" s="579"/>
      <c r="AB452" s="580"/>
      <c r="AC452" s="581"/>
      <c r="AD452" s="582"/>
      <c r="AE452" s="583"/>
      <c r="AF452" s="584"/>
      <c r="AG452" s="553">
        <v>0</v>
      </c>
      <c r="AH452" s="554"/>
      <c r="AI452" s="555" t="e">
        <v>#N/A</v>
      </c>
      <c r="AJ452" s="556"/>
      <c r="AK452" s="556"/>
      <c r="AL452" s="556"/>
      <c r="AM452" s="556"/>
      <c r="AN452" s="556"/>
      <c r="AO452" s="556"/>
      <c r="AP452" s="556"/>
      <c r="AQ452" s="556"/>
      <c r="AR452" s="556"/>
      <c r="AS452" s="556"/>
      <c r="AT452" s="556"/>
      <c r="AU452" s="556"/>
      <c r="AV452" s="557"/>
      <c r="AW452" s="558">
        <v>0</v>
      </c>
      <c r="AX452" s="559"/>
      <c r="AY452" s="560"/>
      <c r="AZ452" s="585"/>
      <c r="BA452" s="586"/>
      <c r="BB452" s="587"/>
      <c r="BC452" s="558">
        <v>0</v>
      </c>
      <c r="BD452" s="559"/>
      <c r="BE452" s="560"/>
      <c r="BF452" s="558">
        <v>182.49</v>
      </c>
      <c r="BG452" s="559"/>
      <c r="BH452" s="560"/>
      <c r="BI452" s="564">
        <v>0</v>
      </c>
      <c r="BJ452" s="565"/>
      <c r="BK452" s="565"/>
      <c r="BL452" s="566"/>
      <c r="BM452" s="567" t="s">
        <v>932</v>
      </c>
      <c r="BN452" s="567"/>
      <c r="BO452" s="567"/>
      <c r="BP452" s="567"/>
      <c r="BQ452" s="568" t="s">
        <v>932</v>
      </c>
      <c r="BR452" s="568"/>
      <c r="BS452" s="568"/>
      <c r="BT452" s="567" t="s">
        <v>932</v>
      </c>
      <c r="BU452" s="567"/>
      <c r="BV452" s="567"/>
      <c r="BW452" s="567"/>
      <c r="BX452" s="568" t="s">
        <v>932</v>
      </c>
      <c r="BY452" s="568"/>
      <c r="BZ452" s="568"/>
      <c r="CA452" s="567" t="s">
        <v>932</v>
      </c>
      <c r="CB452" s="567"/>
      <c r="CC452" s="567"/>
      <c r="CD452" s="567"/>
      <c r="CE452" s="568" t="s">
        <v>932</v>
      </c>
      <c r="CF452" s="568"/>
      <c r="CG452" s="568"/>
      <c r="CH452" s="567" t="s">
        <v>932</v>
      </c>
      <c r="CI452" s="567"/>
      <c r="CJ452" s="567"/>
      <c r="CK452" s="567"/>
      <c r="CL452" s="568">
        <v>1</v>
      </c>
      <c r="CM452" s="568"/>
      <c r="CN452" s="568"/>
    </row>
    <row r="453" hidden="1" customHeight="1" spans="1:92">
      <c r="A453" s="569"/>
      <c r="B453" s="570"/>
      <c r="C453" s="571"/>
      <c r="D453" s="572"/>
      <c r="E453" s="573"/>
      <c r="F453" s="574"/>
      <c r="G453" s="575"/>
      <c r="H453" s="576"/>
      <c r="I453" s="577"/>
      <c r="J453" s="578"/>
      <c r="K453" s="578"/>
      <c r="L453" s="578"/>
      <c r="M453" s="578"/>
      <c r="N453" s="578"/>
      <c r="O453" s="578"/>
      <c r="P453" s="578"/>
      <c r="Q453" s="578"/>
      <c r="R453" s="578"/>
      <c r="S453" s="578"/>
      <c r="T453" s="578"/>
      <c r="U453" s="578"/>
      <c r="V453" s="578"/>
      <c r="W453" s="578"/>
      <c r="X453" s="578"/>
      <c r="Y453" s="578"/>
      <c r="Z453" s="578"/>
      <c r="AA453" s="579"/>
      <c r="AB453" s="580"/>
      <c r="AC453" s="581"/>
      <c r="AD453" s="582"/>
      <c r="AE453" s="583"/>
      <c r="AF453" s="584"/>
      <c r="AG453" s="553">
        <v>0</v>
      </c>
      <c r="AH453" s="554"/>
      <c r="AI453" s="555" t="e">
        <v>#N/A</v>
      </c>
      <c r="AJ453" s="556"/>
      <c r="AK453" s="556"/>
      <c r="AL453" s="556"/>
      <c r="AM453" s="556"/>
      <c r="AN453" s="556"/>
      <c r="AO453" s="556"/>
      <c r="AP453" s="556"/>
      <c r="AQ453" s="556"/>
      <c r="AR453" s="556"/>
      <c r="AS453" s="556"/>
      <c r="AT453" s="556"/>
      <c r="AU453" s="556"/>
      <c r="AV453" s="557"/>
      <c r="AW453" s="558">
        <v>0</v>
      </c>
      <c r="AX453" s="559"/>
      <c r="AY453" s="560"/>
      <c r="AZ453" s="585"/>
      <c r="BA453" s="586"/>
      <c r="BB453" s="587"/>
      <c r="BC453" s="558">
        <v>0</v>
      </c>
      <c r="BD453" s="559"/>
      <c r="BE453" s="560"/>
      <c r="BF453" s="558">
        <v>182.49</v>
      </c>
      <c r="BG453" s="559"/>
      <c r="BH453" s="560"/>
      <c r="BI453" s="564">
        <v>0</v>
      </c>
      <c r="BJ453" s="565"/>
      <c r="BK453" s="565"/>
      <c r="BL453" s="566"/>
      <c r="BM453" s="567" t="s">
        <v>932</v>
      </c>
      <c r="BN453" s="567"/>
      <c r="BO453" s="567"/>
      <c r="BP453" s="567"/>
      <c r="BQ453" s="568" t="s">
        <v>932</v>
      </c>
      <c r="BR453" s="568"/>
      <c r="BS453" s="568"/>
      <c r="BT453" s="567" t="s">
        <v>932</v>
      </c>
      <c r="BU453" s="567"/>
      <c r="BV453" s="567"/>
      <c r="BW453" s="567"/>
      <c r="BX453" s="568" t="s">
        <v>932</v>
      </c>
      <c r="BY453" s="568"/>
      <c r="BZ453" s="568"/>
      <c r="CA453" s="567" t="s">
        <v>932</v>
      </c>
      <c r="CB453" s="567"/>
      <c r="CC453" s="567"/>
      <c r="CD453" s="567"/>
      <c r="CE453" s="568" t="s">
        <v>932</v>
      </c>
      <c r="CF453" s="568"/>
      <c r="CG453" s="568"/>
      <c r="CH453" s="567" t="s">
        <v>932</v>
      </c>
      <c r="CI453" s="567"/>
      <c r="CJ453" s="567"/>
      <c r="CK453" s="567"/>
      <c r="CL453" s="568">
        <v>1</v>
      </c>
      <c r="CM453" s="568"/>
      <c r="CN453" s="568"/>
    </row>
    <row r="454" hidden="1" customHeight="1" spans="1:92">
      <c r="A454" s="569"/>
      <c r="B454" s="570"/>
      <c r="C454" s="571"/>
      <c r="D454" s="572"/>
      <c r="E454" s="573"/>
      <c r="F454" s="574"/>
      <c r="G454" s="575"/>
      <c r="H454" s="576"/>
      <c r="I454" s="577"/>
      <c r="J454" s="578"/>
      <c r="K454" s="578"/>
      <c r="L454" s="578"/>
      <c r="M454" s="578"/>
      <c r="N454" s="578"/>
      <c r="O454" s="578"/>
      <c r="P454" s="578"/>
      <c r="Q454" s="578"/>
      <c r="R454" s="578"/>
      <c r="S454" s="578"/>
      <c r="T454" s="578"/>
      <c r="U454" s="578"/>
      <c r="V454" s="578"/>
      <c r="W454" s="578"/>
      <c r="X454" s="578"/>
      <c r="Y454" s="578"/>
      <c r="Z454" s="578"/>
      <c r="AA454" s="579"/>
      <c r="AB454" s="580"/>
      <c r="AC454" s="581"/>
      <c r="AD454" s="582"/>
      <c r="AE454" s="583"/>
      <c r="AF454" s="584"/>
      <c r="AG454" s="553">
        <v>0</v>
      </c>
      <c r="AH454" s="554"/>
      <c r="AI454" s="555" t="e">
        <v>#N/A</v>
      </c>
      <c r="AJ454" s="556"/>
      <c r="AK454" s="556"/>
      <c r="AL454" s="556"/>
      <c r="AM454" s="556"/>
      <c r="AN454" s="556"/>
      <c r="AO454" s="556"/>
      <c r="AP454" s="556"/>
      <c r="AQ454" s="556"/>
      <c r="AR454" s="556"/>
      <c r="AS454" s="556"/>
      <c r="AT454" s="556"/>
      <c r="AU454" s="556"/>
      <c r="AV454" s="557"/>
      <c r="AW454" s="558">
        <v>0</v>
      </c>
      <c r="AX454" s="559"/>
      <c r="AY454" s="560"/>
      <c r="AZ454" s="585"/>
      <c r="BA454" s="586"/>
      <c r="BB454" s="587"/>
      <c r="BC454" s="558">
        <v>0</v>
      </c>
      <c r="BD454" s="559"/>
      <c r="BE454" s="560"/>
      <c r="BF454" s="558">
        <v>182.49</v>
      </c>
      <c r="BG454" s="559"/>
      <c r="BH454" s="560"/>
      <c r="BI454" s="564">
        <v>0</v>
      </c>
      <c r="BJ454" s="565"/>
      <c r="BK454" s="565"/>
      <c r="BL454" s="566"/>
      <c r="BM454" s="567" t="s">
        <v>932</v>
      </c>
      <c r="BN454" s="567"/>
      <c r="BO454" s="567"/>
      <c r="BP454" s="567"/>
      <c r="BQ454" s="568" t="s">
        <v>932</v>
      </c>
      <c r="BR454" s="568"/>
      <c r="BS454" s="568"/>
      <c r="BT454" s="567" t="s">
        <v>932</v>
      </c>
      <c r="BU454" s="567"/>
      <c r="BV454" s="567"/>
      <c r="BW454" s="567"/>
      <c r="BX454" s="568" t="s">
        <v>932</v>
      </c>
      <c r="BY454" s="568"/>
      <c r="BZ454" s="568"/>
      <c r="CA454" s="567" t="s">
        <v>932</v>
      </c>
      <c r="CB454" s="567"/>
      <c r="CC454" s="567"/>
      <c r="CD454" s="567"/>
      <c r="CE454" s="568" t="s">
        <v>932</v>
      </c>
      <c r="CF454" s="568"/>
      <c r="CG454" s="568"/>
      <c r="CH454" s="567" t="s">
        <v>932</v>
      </c>
      <c r="CI454" s="567"/>
      <c r="CJ454" s="567"/>
      <c r="CK454" s="567"/>
      <c r="CL454" s="568">
        <v>1</v>
      </c>
      <c r="CM454" s="568"/>
      <c r="CN454" s="568"/>
    </row>
    <row r="455" hidden="1" customHeight="1" spans="1:92">
      <c r="A455" s="588"/>
      <c r="B455" s="589"/>
      <c r="C455" s="590"/>
      <c r="D455" s="591"/>
      <c r="E455" s="592"/>
      <c r="F455" s="593"/>
      <c r="G455" s="594"/>
      <c r="H455" s="595"/>
      <c r="I455" s="596"/>
      <c r="J455" s="597"/>
      <c r="K455" s="597"/>
      <c r="L455" s="597"/>
      <c r="M455" s="597"/>
      <c r="N455" s="597"/>
      <c r="O455" s="597"/>
      <c r="P455" s="597"/>
      <c r="Q455" s="597"/>
      <c r="R455" s="597"/>
      <c r="S455" s="597"/>
      <c r="T455" s="597"/>
      <c r="U455" s="597"/>
      <c r="V455" s="597"/>
      <c r="W455" s="597"/>
      <c r="X455" s="597"/>
      <c r="Y455" s="597"/>
      <c r="Z455" s="597"/>
      <c r="AA455" s="598"/>
      <c r="AB455" s="599"/>
      <c r="AC455" s="600"/>
      <c r="AD455" s="601"/>
      <c r="AE455" s="602"/>
      <c r="AF455" s="603"/>
      <c r="AG455" s="553">
        <v>0</v>
      </c>
      <c r="AH455" s="554"/>
      <c r="AI455" s="555" t="e">
        <v>#N/A</v>
      </c>
      <c r="AJ455" s="556"/>
      <c r="AK455" s="556"/>
      <c r="AL455" s="556"/>
      <c r="AM455" s="556"/>
      <c r="AN455" s="556"/>
      <c r="AO455" s="556"/>
      <c r="AP455" s="556"/>
      <c r="AQ455" s="556"/>
      <c r="AR455" s="556"/>
      <c r="AS455" s="556"/>
      <c r="AT455" s="556"/>
      <c r="AU455" s="556"/>
      <c r="AV455" s="557"/>
      <c r="AW455" s="558">
        <v>0</v>
      </c>
      <c r="AX455" s="559"/>
      <c r="AY455" s="560"/>
      <c r="AZ455" s="604"/>
      <c r="BA455" s="605"/>
      <c r="BB455" s="606"/>
      <c r="BC455" s="558">
        <v>0</v>
      </c>
      <c r="BD455" s="559"/>
      <c r="BE455" s="560"/>
      <c r="BF455" s="558">
        <v>182.49</v>
      </c>
      <c r="BG455" s="559"/>
      <c r="BH455" s="560"/>
      <c r="BI455" s="564">
        <v>0</v>
      </c>
      <c r="BJ455" s="565"/>
      <c r="BK455" s="565"/>
      <c r="BL455" s="566"/>
      <c r="BM455" s="567" t="s">
        <v>932</v>
      </c>
      <c r="BN455" s="567"/>
      <c r="BO455" s="567"/>
      <c r="BP455" s="567"/>
      <c r="BQ455" s="568" t="s">
        <v>932</v>
      </c>
      <c r="BR455" s="568"/>
      <c r="BS455" s="568"/>
      <c r="BT455" s="567" t="s">
        <v>932</v>
      </c>
      <c r="BU455" s="567"/>
      <c r="BV455" s="567"/>
      <c r="BW455" s="567"/>
      <c r="BX455" s="568" t="s">
        <v>932</v>
      </c>
      <c r="BY455" s="568"/>
      <c r="BZ455" s="568"/>
      <c r="CA455" s="567" t="s">
        <v>932</v>
      </c>
      <c r="CB455" s="567"/>
      <c r="CC455" s="567"/>
      <c r="CD455" s="567"/>
      <c r="CE455" s="568" t="s">
        <v>932</v>
      </c>
      <c r="CF455" s="568"/>
      <c r="CG455" s="568"/>
      <c r="CH455" s="567" t="s">
        <v>932</v>
      </c>
      <c r="CI455" s="567"/>
      <c r="CJ455" s="567"/>
      <c r="CK455" s="567"/>
      <c r="CL455" s="568">
        <v>1</v>
      </c>
      <c r="CM455" s="568"/>
      <c r="CN455" s="568"/>
    </row>
    <row r="456" customHeight="1" spans="1:92">
      <c r="A456" s="540" t="s">
        <v>997</v>
      </c>
      <c r="B456" s="541"/>
      <c r="C456" s="89"/>
      <c r="D456" s="91"/>
      <c r="E456" s="90"/>
      <c r="F456" s="542">
        <v>1107908</v>
      </c>
      <c r="G456" s="543"/>
      <c r="H456" s="544"/>
      <c r="I456" s="545" t="s">
        <v>128</v>
      </c>
      <c r="J456" s="546"/>
      <c r="K456" s="546"/>
      <c r="L456" s="546"/>
      <c r="M456" s="546"/>
      <c r="N456" s="546"/>
      <c r="O456" s="546"/>
      <c r="P456" s="546"/>
      <c r="Q456" s="546"/>
      <c r="R456" s="546"/>
      <c r="S456" s="546"/>
      <c r="T456" s="546"/>
      <c r="U456" s="546"/>
      <c r="V456" s="546"/>
      <c r="W456" s="546"/>
      <c r="X456" s="546"/>
      <c r="Y456" s="546"/>
      <c r="Z456" s="546"/>
      <c r="AA456" s="547"/>
      <c r="AB456" s="548" t="s">
        <v>99</v>
      </c>
      <c r="AC456" s="549"/>
      <c r="AD456" s="550">
        <v>21.65</v>
      </c>
      <c r="AE456" s="551"/>
      <c r="AF456" s="552"/>
      <c r="AG456" s="553" t="s">
        <v>1066</v>
      </c>
      <c r="AH456" s="554"/>
      <c r="AI456" s="555" t="s">
        <v>1067</v>
      </c>
      <c r="AJ456" s="556"/>
      <c r="AK456" s="556"/>
      <c r="AL456" s="556"/>
      <c r="AM456" s="556"/>
      <c r="AN456" s="556"/>
      <c r="AO456" s="556"/>
      <c r="AP456" s="556"/>
      <c r="AQ456" s="556"/>
      <c r="AR456" s="556"/>
      <c r="AS456" s="556"/>
      <c r="AT456" s="556"/>
      <c r="AU456" s="556"/>
      <c r="AV456" s="557"/>
      <c r="AW456" s="558">
        <v>1</v>
      </c>
      <c r="AX456" s="559"/>
      <c r="AY456" s="560"/>
      <c r="AZ456" s="561">
        <v>3.7656</v>
      </c>
      <c r="BA456" s="562"/>
      <c r="BB456" s="563"/>
      <c r="BC456" s="558">
        <v>5.74941576375611</v>
      </c>
      <c r="BD456" s="559"/>
      <c r="BE456" s="560"/>
      <c r="BF456" s="558">
        <v>182.49</v>
      </c>
      <c r="BG456" s="559"/>
      <c r="BH456" s="560"/>
      <c r="BI456" s="564">
        <v>0.0315053743424632</v>
      </c>
      <c r="BJ456" s="565"/>
      <c r="BK456" s="565"/>
      <c r="BL456" s="566"/>
      <c r="BM456" s="567">
        <v>0.00630107486849264</v>
      </c>
      <c r="BN456" s="567"/>
      <c r="BO456" s="567"/>
      <c r="BP456" s="567"/>
      <c r="BQ456" s="568">
        <v>0.2</v>
      </c>
      <c r="BR456" s="568"/>
      <c r="BS456" s="568"/>
      <c r="BT456" s="567">
        <v>0.0157526871712316</v>
      </c>
      <c r="BU456" s="567"/>
      <c r="BV456" s="567"/>
      <c r="BW456" s="567"/>
      <c r="BX456" s="568">
        <v>0.5</v>
      </c>
      <c r="BY456" s="568"/>
      <c r="BZ456" s="568"/>
      <c r="CA456" s="567">
        <v>0.00945161230273896</v>
      </c>
      <c r="CB456" s="567"/>
      <c r="CC456" s="567"/>
      <c r="CD456" s="567"/>
      <c r="CE456" s="568">
        <v>0.3</v>
      </c>
      <c r="CF456" s="568"/>
      <c r="CG456" s="568"/>
      <c r="CH456" s="567" t="s">
        <v>932</v>
      </c>
      <c r="CI456" s="567"/>
      <c r="CJ456" s="567"/>
      <c r="CK456" s="567"/>
      <c r="CL456" s="568" t="s">
        <v>932</v>
      </c>
      <c r="CM456" s="568"/>
      <c r="CN456" s="568"/>
    </row>
    <row r="457" customHeight="1" spans="1:92">
      <c r="A457" s="569"/>
      <c r="B457" s="570"/>
      <c r="C457" s="571"/>
      <c r="D457" s="572"/>
      <c r="E457" s="573"/>
      <c r="F457" s="574"/>
      <c r="G457" s="575"/>
      <c r="H457" s="576"/>
      <c r="I457" s="577"/>
      <c r="J457" s="578"/>
      <c r="K457" s="578"/>
      <c r="L457" s="578"/>
      <c r="M457" s="578"/>
      <c r="N457" s="578"/>
      <c r="O457" s="578"/>
      <c r="P457" s="578"/>
      <c r="Q457" s="578"/>
      <c r="R457" s="578"/>
      <c r="S457" s="578"/>
      <c r="T457" s="578"/>
      <c r="U457" s="578"/>
      <c r="V457" s="578"/>
      <c r="W457" s="578"/>
      <c r="X457" s="578"/>
      <c r="Y457" s="578"/>
      <c r="Z457" s="578"/>
      <c r="AA457" s="579"/>
      <c r="AB457" s="580"/>
      <c r="AC457" s="581"/>
      <c r="AD457" s="582"/>
      <c r="AE457" s="583"/>
      <c r="AF457" s="584"/>
      <c r="AG457" s="553" t="s">
        <v>1068</v>
      </c>
      <c r="AH457" s="554"/>
      <c r="AI457" s="555" t="s">
        <v>1069</v>
      </c>
      <c r="AJ457" s="556"/>
      <c r="AK457" s="556"/>
      <c r="AL457" s="556"/>
      <c r="AM457" s="556"/>
      <c r="AN457" s="556"/>
      <c r="AO457" s="556"/>
      <c r="AP457" s="556"/>
      <c r="AQ457" s="556"/>
      <c r="AR457" s="556"/>
      <c r="AS457" s="556"/>
      <c r="AT457" s="556"/>
      <c r="AU457" s="556"/>
      <c r="AV457" s="557"/>
      <c r="AW457" s="558">
        <v>1</v>
      </c>
      <c r="AX457" s="559"/>
      <c r="AY457" s="560"/>
      <c r="AZ457" s="585"/>
      <c r="BA457" s="586"/>
      <c r="BB457" s="587"/>
      <c r="BC457" s="558">
        <v>5.74941576375611</v>
      </c>
      <c r="BD457" s="559"/>
      <c r="BE457" s="560"/>
      <c r="BF457" s="558">
        <v>182.49</v>
      </c>
      <c r="BG457" s="559"/>
      <c r="BH457" s="560"/>
      <c r="BI457" s="564">
        <v>0.0315053743424632</v>
      </c>
      <c r="BJ457" s="565"/>
      <c r="BK457" s="565"/>
      <c r="BL457" s="566"/>
      <c r="BM457" s="567">
        <v>0.00630107486849264</v>
      </c>
      <c r="BN457" s="567"/>
      <c r="BO457" s="567"/>
      <c r="BP457" s="567"/>
      <c r="BQ457" s="568">
        <v>0.2</v>
      </c>
      <c r="BR457" s="568"/>
      <c r="BS457" s="568"/>
      <c r="BT457" s="567">
        <v>0.0157526871712316</v>
      </c>
      <c r="BU457" s="567"/>
      <c r="BV457" s="567"/>
      <c r="BW457" s="567"/>
      <c r="BX457" s="568">
        <v>0.5</v>
      </c>
      <c r="BY457" s="568"/>
      <c r="BZ457" s="568"/>
      <c r="CA457" s="567">
        <v>0.00945161230273896</v>
      </c>
      <c r="CB457" s="567"/>
      <c r="CC457" s="567"/>
      <c r="CD457" s="567"/>
      <c r="CE457" s="568">
        <v>0.3</v>
      </c>
      <c r="CF457" s="568"/>
      <c r="CG457" s="568"/>
      <c r="CH457" s="567" t="s">
        <v>932</v>
      </c>
      <c r="CI457" s="567"/>
      <c r="CJ457" s="567"/>
      <c r="CK457" s="567"/>
      <c r="CL457" s="568" t="s">
        <v>932</v>
      </c>
      <c r="CM457" s="568"/>
      <c r="CN457" s="568"/>
    </row>
    <row r="458" customHeight="1" spans="1:92">
      <c r="A458" s="569"/>
      <c r="B458" s="570"/>
      <c r="C458" s="571"/>
      <c r="D458" s="572"/>
      <c r="E458" s="573"/>
      <c r="F458" s="574"/>
      <c r="G458" s="575"/>
      <c r="H458" s="576"/>
      <c r="I458" s="577"/>
      <c r="J458" s="578"/>
      <c r="K458" s="578"/>
      <c r="L458" s="578"/>
      <c r="M458" s="578"/>
      <c r="N458" s="578"/>
      <c r="O458" s="578"/>
      <c r="P458" s="578"/>
      <c r="Q458" s="578"/>
      <c r="R458" s="578"/>
      <c r="S458" s="578"/>
      <c r="T458" s="578"/>
      <c r="U458" s="578"/>
      <c r="V458" s="578"/>
      <c r="W458" s="578"/>
      <c r="X458" s="578"/>
      <c r="Y458" s="578"/>
      <c r="Z458" s="578"/>
      <c r="AA458" s="579"/>
      <c r="AB458" s="580"/>
      <c r="AC458" s="581"/>
      <c r="AD458" s="582"/>
      <c r="AE458" s="583"/>
      <c r="AF458" s="584"/>
      <c r="AG458" s="553" t="s">
        <v>1070</v>
      </c>
      <c r="AH458" s="554"/>
      <c r="AI458" s="555" t="s">
        <v>1071</v>
      </c>
      <c r="AJ458" s="556"/>
      <c r="AK458" s="556"/>
      <c r="AL458" s="556"/>
      <c r="AM458" s="556"/>
      <c r="AN458" s="556"/>
      <c r="AO458" s="556"/>
      <c r="AP458" s="556"/>
      <c r="AQ458" s="556"/>
      <c r="AR458" s="556"/>
      <c r="AS458" s="556"/>
      <c r="AT458" s="556"/>
      <c r="AU458" s="556"/>
      <c r="AV458" s="557"/>
      <c r="AW458" s="558">
        <v>4</v>
      </c>
      <c r="AX458" s="559"/>
      <c r="AY458" s="560"/>
      <c r="AZ458" s="585"/>
      <c r="BA458" s="586"/>
      <c r="BB458" s="587"/>
      <c r="BC458" s="558">
        <v>22.9976630550244</v>
      </c>
      <c r="BD458" s="559"/>
      <c r="BE458" s="560"/>
      <c r="BF458" s="558">
        <v>182.49</v>
      </c>
      <c r="BG458" s="559"/>
      <c r="BH458" s="560"/>
      <c r="BI458" s="564">
        <v>0.126021497369853</v>
      </c>
      <c r="BJ458" s="565"/>
      <c r="BK458" s="565"/>
      <c r="BL458" s="566"/>
      <c r="BM458" s="567">
        <v>0.0252042994739705</v>
      </c>
      <c r="BN458" s="567"/>
      <c r="BO458" s="567"/>
      <c r="BP458" s="567"/>
      <c r="BQ458" s="568">
        <v>0.2</v>
      </c>
      <c r="BR458" s="568"/>
      <c r="BS458" s="568"/>
      <c r="BT458" s="567">
        <v>0.0630107486849264</v>
      </c>
      <c r="BU458" s="567"/>
      <c r="BV458" s="567"/>
      <c r="BW458" s="567"/>
      <c r="BX458" s="568">
        <v>0.5</v>
      </c>
      <c r="BY458" s="568"/>
      <c r="BZ458" s="568"/>
      <c r="CA458" s="567">
        <v>0.0378064492109558</v>
      </c>
      <c r="CB458" s="567"/>
      <c r="CC458" s="567"/>
      <c r="CD458" s="567"/>
      <c r="CE458" s="568">
        <v>0.3</v>
      </c>
      <c r="CF458" s="568"/>
      <c r="CG458" s="568"/>
      <c r="CH458" s="567" t="s">
        <v>932</v>
      </c>
      <c r="CI458" s="567"/>
      <c r="CJ458" s="567"/>
      <c r="CK458" s="567"/>
      <c r="CL458" s="568" t="s">
        <v>932</v>
      </c>
      <c r="CM458" s="568"/>
      <c r="CN458" s="568"/>
    </row>
    <row r="459" customHeight="1" spans="1:92">
      <c r="A459" s="569"/>
      <c r="B459" s="570"/>
      <c r="C459" s="571"/>
      <c r="D459" s="572"/>
      <c r="E459" s="573"/>
      <c r="F459" s="574"/>
      <c r="G459" s="575"/>
      <c r="H459" s="576"/>
      <c r="I459" s="577"/>
      <c r="J459" s="578"/>
      <c r="K459" s="578"/>
      <c r="L459" s="578"/>
      <c r="M459" s="578"/>
      <c r="N459" s="578"/>
      <c r="O459" s="578"/>
      <c r="P459" s="578"/>
      <c r="Q459" s="578"/>
      <c r="R459" s="578"/>
      <c r="S459" s="578"/>
      <c r="T459" s="578"/>
      <c r="U459" s="578"/>
      <c r="V459" s="578"/>
      <c r="W459" s="578"/>
      <c r="X459" s="578"/>
      <c r="Y459" s="578"/>
      <c r="Z459" s="578"/>
      <c r="AA459" s="579"/>
      <c r="AB459" s="580"/>
      <c r="AC459" s="581"/>
      <c r="AD459" s="582"/>
      <c r="AE459" s="583"/>
      <c r="AF459" s="584"/>
      <c r="AG459" s="553" t="s">
        <v>1072</v>
      </c>
      <c r="AH459" s="554"/>
      <c r="AI459" s="555" t="s">
        <v>1073</v>
      </c>
      <c r="AJ459" s="556"/>
      <c r="AK459" s="556"/>
      <c r="AL459" s="556"/>
      <c r="AM459" s="556"/>
      <c r="AN459" s="556"/>
      <c r="AO459" s="556"/>
      <c r="AP459" s="556"/>
      <c r="AQ459" s="556"/>
      <c r="AR459" s="556"/>
      <c r="AS459" s="556"/>
      <c r="AT459" s="556"/>
      <c r="AU459" s="556"/>
      <c r="AV459" s="557"/>
      <c r="AW459" s="558">
        <v>3</v>
      </c>
      <c r="AX459" s="559"/>
      <c r="AY459" s="560"/>
      <c r="AZ459" s="585"/>
      <c r="BA459" s="586"/>
      <c r="BB459" s="587"/>
      <c r="BC459" s="558">
        <v>17.2482472912683</v>
      </c>
      <c r="BD459" s="559"/>
      <c r="BE459" s="560"/>
      <c r="BF459" s="558">
        <v>182.49</v>
      </c>
      <c r="BG459" s="559"/>
      <c r="BH459" s="560"/>
      <c r="BI459" s="564">
        <v>0.0945161230273896</v>
      </c>
      <c r="BJ459" s="565"/>
      <c r="BK459" s="565"/>
      <c r="BL459" s="566"/>
      <c r="BM459" s="567">
        <v>0.0189032246054779</v>
      </c>
      <c r="BN459" s="567"/>
      <c r="BO459" s="567"/>
      <c r="BP459" s="567"/>
      <c r="BQ459" s="568">
        <v>0.2</v>
      </c>
      <c r="BR459" s="568"/>
      <c r="BS459" s="568"/>
      <c r="BT459" s="567">
        <v>0.0472580615136948</v>
      </c>
      <c r="BU459" s="567"/>
      <c r="BV459" s="567"/>
      <c r="BW459" s="567"/>
      <c r="BX459" s="568">
        <v>0.5</v>
      </c>
      <c r="BY459" s="568"/>
      <c r="BZ459" s="568"/>
      <c r="CA459" s="567">
        <v>0.0283548369082169</v>
      </c>
      <c r="CB459" s="567"/>
      <c r="CC459" s="567"/>
      <c r="CD459" s="567"/>
      <c r="CE459" s="568">
        <v>0.3</v>
      </c>
      <c r="CF459" s="568"/>
      <c r="CG459" s="568"/>
      <c r="CH459" s="567" t="s">
        <v>932</v>
      </c>
      <c r="CI459" s="567"/>
      <c r="CJ459" s="567"/>
      <c r="CK459" s="567"/>
      <c r="CL459" s="568" t="s">
        <v>932</v>
      </c>
      <c r="CM459" s="568"/>
      <c r="CN459" s="568"/>
    </row>
    <row r="460" hidden="1" customHeight="1" spans="1:92">
      <c r="A460" s="569"/>
      <c r="B460" s="570"/>
      <c r="C460" s="571"/>
      <c r="D460" s="572"/>
      <c r="E460" s="573"/>
      <c r="F460" s="574"/>
      <c r="G460" s="575"/>
      <c r="H460" s="576"/>
      <c r="I460" s="577"/>
      <c r="J460" s="578"/>
      <c r="K460" s="578"/>
      <c r="L460" s="578"/>
      <c r="M460" s="578"/>
      <c r="N460" s="578"/>
      <c r="O460" s="578"/>
      <c r="P460" s="578"/>
      <c r="Q460" s="578"/>
      <c r="R460" s="578"/>
      <c r="S460" s="578"/>
      <c r="T460" s="578"/>
      <c r="U460" s="578"/>
      <c r="V460" s="578"/>
      <c r="W460" s="578"/>
      <c r="X460" s="578"/>
      <c r="Y460" s="578"/>
      <c r="Z460" s="578"/>
      <c r="AA460" s="579"/>
      <c r="AB460" s="580"/>
      <c r="AC460" s="581"/>
      <c r="AD460" s="582"/>
      <c r="AE460" s="583"/>
      <c r="AF460" s="584"/>
      <c r="AG460" s="553">
        <v>0</v>
      </c>
      <c r="AH460" s="554"/>
      <c r="AI460" s="555" t="e">
        <v>#N/A</v>
      </c>
      <c r="AJ460" s="556"/>
      <c r="AK460" s="556"/>
      <c r="AL460" s="556"/>
      <c r="AM460" s="556"/>
      <c r="AN460" s="556"/>
      <c r="AO460" s="556"/>
      <c r="AP460" s="556"/>
      <c r="AQ460" s="556"/>
      <c r="AR460" s="556"/>
      <c r="AS460" s="556"/>
      <c r="AT460" s="556"/>
      <c r="AU460" s="556"/>
      <c r="AV460" s="557"/>
      <c r="AW460" s="558">
        <v>0</v>
      </c>
      <c r="AX460" s="559"/>
      <c r="AY460" s="560"/>
      <c r="AZ460" s="585"/>
      <c r="BA460" s="586"/>
      <c r="BB460" s="587"/>
      <c r="BC460" s="558">
        <v>0</v>
      </c>
      <c r="BD460" s="559"/>
      <c r="BE460" s="560"/>
      <c r="BF460" s="558">
        <v>182.49</v>
      </c>
      <c r="BG460" s="559"/>
      <c r="BH460" s="560"/>
      <c r="BI460" s="564">
        <v>0</v>
      </c>
      <c r="BJ460" s="565"/>
      <c r="BK460" s="565"/>
      <c r="BL460" s="566"/>
      <c r="BM460" s="567" t="s">
        <v>932</v>
      </c>
      <c r="BN460" s="567"/>
      <c r="BO460" s="567"/>
      <c r="BP460" s="567"/>
      <c r="BQ460" s="568">
        <v>0.2</v>
      </c>
      <c r="BR460" s="568"/>
      <c r="BS460" s="568"/>
      <c r="BT460" s="567" t="s">
        <v>932</v>
      </c>
      <c r="BU460" s="567"/>
      <c r="BV460" s="567"/>
      <c r="BW460" s="567"/>
      <c r="BX460" s="568">
        <v>0.5</v>
      </c>
      <c r="BY460" s="568"/>
      <c r="BZ460" s="568"/>
      <c r="CA460" s="567" t="s">
        <v>932</v>
      </c>
      <c r="CB460" s="567"/>
      <c r="CC460" s="567"/>
      <c r="CD460" s="567"/>
      <c r="CE460" s="568">
        <v>0.3</v>
      </c>
      <c r="CF460" s="568"/>
      <c r="CG460" s="568"/>
      <c r="CH460" s="567" t="s">
        <v>932</v>
      </c>
      <c r="CI460" s="567"/>
      <c r="CJ460" s="567"/>
      <c r="CK460" s="567"/>
      <c r="CL460" s="568" t="s">
        <v>932</v>
      </c>
      <c r="CM460" s="568"/>
      <c r="CN460" s="568"/>
    </row>
    <row r="461" hidden="1" customHeight="1" spans="1:92">
      <c r="A461" s="569"/>
      <c r="B461" s="570"/>
      <c r="C461" s="571"/>
      <c r="D461" s="572"/>
      <c r="E461" s="573"/>
      <c r="F461" s="574"/>
      <c r="G461" s="575"/>
      <c r="H461" s="576"/>
      <c r="I461" s="577"/>
      <c r="J461" s="578"/>
      <c r="K461" s="578"/>
      <c r="L461" s="578"/>
      <c r="M461" s="578"/>
      <c r="N461" s="578"/>
      <c r="O461" s="578"/>
      <c r="P461" s="578"/>
      <c r="Q461" s="578"/>
      <c r="R461" s="578"/>
      <c r="S461" s="578"/>
      <c r="T461" s="578"/>
      <c r="U461" s="578"/>
      <c r="V461" s="578"/>
      <c r="W461" s="578"/>
      <c r="X461" s="578"/>
      <c r="Y461" s="578"/>
      <c r="Z461" s="578"/>
      <c r="AA461" s="579"/>
      <c r="AB461" s="580"/>
      <c r="AC461" s="581"/>
      <c r="AD461" s="582"/>
      <c r="AE461" s="583"/>
      <c r="AF461" s="584"/>
      <c r="AG461" s="553">
        <v>0</v>
      </c>
      <c r="AH461" s="554"/>
      <c r="AI461" s="555" t="e">
        <v>#N/A</v>
      </c>
      <c r="AJ461" s="556"/>
      <c r="AK461" s="556"/>
      <c r="AL461" s="556"/>
      <c r="AM461" s="556"/>
      <c r="AN461" s="556"/>
      <c r="AO461" s="556"/>
      <c r="AP461" s="556"/>
      <c r="AQ461" s="556"/>
      <c r="AR461" s="556"/>
      <c r="AS461" s="556"/>
      <c r="AT461" s="556"/>
      <c r="AU461" s="556"/>
      <c r="AV461" s="557"/>
      <c r="AW461" s="558">
        <v>0</v>
      </c>
      <c r="AX461" s="559"/>
      <c r="AY461" s="560"/>
      <c r="AZ461" s="585"/>
      <c r="BA461" s="586"/>
      <c r="BB461" s="587"/>
      <c r="BC461" s="558">
        <v>0</v>
      </c>
      <c r="BD461" s="559"/>
      <c r="BE461" s="560"/>
      <c r="BF461" s="558">
        <v>182.49</v>
      </c>
      <c r="BG461" s="559"/>
      <c r="BH461" s="560"/>
      <c r="BI461" s="564">
        <v>0</v>
      </c>
      <c r="BJ461" s="565"/>
      <c r="BK461" s="565"/>
      <c r="BL461" s="566"/>
      <c r="BM461" s="567" t="s">
        <v>932</v>
      </c>
      <c r="BN461" s="567"/>
      <c r="BO461" s="567"/>
      <c r="BP461" s="567"/>
      <c r="BQ461" s="568">
        <v>0.2</v>
      </c>
      <c r="BR461" s="568"/>
      <c r="BS461" s="568"/>
      <c r="BT461" s="567" t="s">
        <v>932</v>
      </c>
      <c r="BU461" s="567"/>
      <c r="BV461" s="567"/>
      <c r="BW461" s="567"/>
      <c r="BX461" s="568">
        <v>0.5</v>
      </c>
      <c r="BY461" s="568"/>
      <c r="BZ461" s="568"/>
      <c r="CA461" s="567" t="s">
        <v>932</v>
      </c>
      <c r="CB461" s="567"/>
      <c r="CC461" s="567"/>
      <c r="CD461" s="567"/>
      <c r="CE461" s="568">
        <v>0.3</v>
      </c>
      <c r="CF461" s="568"/>
      <c r="CG461" s="568"/>
      <c r="CH461" s="567" t="s">
        <v>932</v>
      </c>
      <c r="CI461" s="567"/>
      <c r="CJ461" s="567"/>
      <c r="CK461" s="567"/>
      <c r="CL461" s="568" t="s">
        <v>932</v>
      </c>
      <c r="CM461" s="568"/>
      <c r="CN461" s="568"/>
    </row>
    <row r="462" hidden="1" customHeight="1" spans="1:92">
      <c r="A462" s="569"/>
      <c r="B462" s="570"/>
      <c r="C462" s="571"/>
      <c r="D462" s="572"/>
      <c r="E462" s="573"/>
      <c r="F462" s="574"/>
      <c r="G462" s="575"/>
      <c r="H462" s="576"/>
      <c r="I462" s="577"/>
      <c r="J462" s="578"/>
      <c r="K462" s="578"/>
      <c r="L462" s="578"/>
      <c r="M462" s="578"/>
      <c r="N462" s="578"/>
      <c r="O462" s="578"/>
      <c r="P462" s="578"/>
      <c r="Q462" s="578"/>
      <c r="R462" s="578"/>
      <c r="S462" s="578"/>
      <c r="T462" s="578"/>
      <c r="U462" s="578"/>
      <c r="V462" s="578"/>
      <c r="W462" s="578"/>
      <c r="X462" s="578"/>
      <c r="Y462" s="578"/>
      <c r="Z462" s="578"/>
      <c r="AA462" s="579"/>
      <c r="AB462" s="580"/>
      <c r="AC462" s="581"/>
      <c r="AD462" s="582"/>
      <c r="AE462" s="583"/>
      <c r="AF462" s="584"/>
      <c r="AG462" s="553">
        <v>0</v>
      </c>
      <c r="AH462" s="554"/>
      <c r="AI462" s="555" t="e">
        <v>#N/A</v>
      </c>
      <c r="AJ462" s="556"/>
      <c r="AK462" s="556"/>
      <c r="AL462" s="556"/>
      <c r="AM462" s="556"/>
      <c r="AN462" s="556"/>
      <c r="AO462" s="556"/>
      <c r="AP462" s="556"/>
      <c r="AQ462" s="556"/>
      <c r="AR462" s="556"/>
      <c r="AS462" s="556"/>
      <c r="AT462" s="556"/>
      <c r="AU462" s="556"/>
      <c r="AV462" s="557"/>
      <c r="AW462" s="558">
        <v>0</v>
      </c>
      <c r="AX462" s="559"/>
      <c r="AY462" s="560"/>
      <c r="AZ462" s="585"/>
      <c r="BA462" s="586"/>
      <c r="BB462" s="587"/>
      <c r="BC462" s="558">
        <v>0</v>
      </c>
      <c r="BD462" s="559"/>
      <c r="BE462" s="560"/>
      <c r="BF462" s="558">
        <v>182.49</v>
      </c>
      <c r="BG462" s="559"/>
      <c r="BH462" s="560"/>
      <c r="BI462" s="564">
        <v>0</v>
      </c>
      <c r="BJ462" s="565"/>
      <c r="BK462" s="565"/>
      <c r="BL462" s="566"/>
      <c r="BM462" s="567" t="s">
        <v>932</v>
      </c>
      <c r="BN462" s="567"/>
      <c r="BO462" s="567"/>
      <c r="BP462" s="567"/>
      <c r="BQ462" s="568">
        <v>0.2</v>
      </c>
      <c r="BR462" s="568"/>
      <c r="BS462" s="568"/>
      <c r="BT462" s="567" t="s">
        <v>932</v>
      </c>
      <c r="BU462" s="567"/>
      <c r="BV462" s="567"/>
      <c r="BW462" s="567"/>
      <c r="BX462" s="568">
        <v>0.5</v>
      </c>
      <c r="BY462" s="568"/>
      <c r="BZ462" s="568"/>
      <c r="CA462" s="567" t="s">
        <v>932</v>
      </c>
      <c r="CB462" s="567"/>
      <c r="CC462" s="567"/>
      <c r="CD462" s="567"/>
      <c r="CE462" s="568">
        <v>0.3</v>
      </c>
      <c r="CF462" s="568"/>
      <c r="CG462" s="568"/>
      <c r="CH462" s="567" t="s">
        <v>932</v>
      </c>
      <c r="CI462" s="567"/>
      <c r="CJ462" s="567"/>
      <c r="CK462" s="567"/>
      <c r="CL462" s="568" t="s">
        <v>932</v>
      </c>
      <c r="CM462" s="568"/>
      <c r="CN462" s="568"/>
    </row>
    <row r="463" hidden="1" customHeight="1" spans="1:92">
      <c r="A463" s="588"/>
      <c r="B463" s="589"/>
      <c r="C463" s="590"/>
      <c r="D463" s="591"/>
      <c r="E463" s="592"/>
      <c r="F463" s="593"/>
      <c r="G463" s="594"/>
      <c r="H463" s="595"/>
      <c r="I463" s="596"/>
      <c r="J463" s="597"/>
      <c r="K463" s="597"/>
      <c r="L463" s="597"/>
      <c r="M463" s="597"/>
      <c r="N463" s="597"/>
      <c r="O463" s="597"/>
      <c r="P463" s="597"/>
      <c r="Q463" s="597"/>
      <c r="R463" s="597"/>
      <c r="S463" s="597"/>
      <c r="T463" s="597"/>
      <c r="U463" s="597"/>
      <c r="V463" s="597"/>
      <c r="W463" s="597"/>
      <c r="X463" s="597"/>
      <c r="Y463" s="597"/>
      <c r="Z463" s="597"/>
      <c r="AA463" s="598"/>
      <c r="AB463" s="599"/>
      <c r="AC463" s="600"/>
      <c r="AD463" s="601"/>
      <c r="AE463" s="602"/>
      <c r="AF463" s="603"/>
      <c r="AG463" s="553">
        <v>0</v>
      </c>
      <c r="AH463" s="554"/>
      <c r="AI463" s="555" t="e">
        <v>#N/A</v>
      </c>
      <c r="AJ463" s="556"/>
      <c r="AK463" s="556"/>
      <c r="AL463" s="556"/>
      <c r="AM463" s="556"/>
      <c r="AN463" s="556"/>
      <c r="AO463" s="556"/>
      <c r="AP463" s="556"/>
      <c r="AQ463" s="556"/>
      <c r="AR463" s="556"/>
      <c r="AS463" s="556"/>
      <c r="AT463" s="556"/>
      <c r="AU463" s="556"/>
      <c r="AV463" s="557"/>
      <c r="AW463" s="558">
        <v>0</v>
      </c>
      <c r="AX463" s="559"/>
      <c r="AY463" s="560"/>
      <c r="AZ463" s="604"/>
      <c r="BA463" s="605"/>
      <c r="BB463" s="606"/>
      <c r="BC463" s="558">
        <v>0</v>
      </c>
      <c r="BD463" s="559"/>
      <c r="BE463" s="560"/>
      <c r="BF463" s="558">
        <v>182.49</v>
      </c>
      <c r="BG463" s="559"/>
      <c r="BH463" s="560"/>
      <c r="BI463" s="564">
        <v>0</v>
      </c>
      <c r="BJ463" s="565"/>
      <c r="BK463" s="565"/>
      <c r="BL463" s="566"/>
      <c r="BM463" s="567" t="s">
        <v>932</v>
      </c>
      <c r="BN463" s="567"/>
      <c r="BO463" s="567"/>
      <c r="BP463" s="567"/>
      <c r="BQ463" s="568">
        <v>0.2</v>
      </c>
      <c r="BR463" s="568"/>
      <c r="BS463" s="568"/>
      <c r="BT463" s="567" t="s">
        <v>932</v>
      </c>
      <c r="BU463" s="567"/>
      <c r="BV463" s="567"/>
      <c r="BW463" s="567"/>
      <c r="BX463" s="568">
        <v>0.5</v>
      </c>
      <c r="BY463" s="568"/>
      <c r="BZ463" s="568"/>
      <c r="CA463" s="567" t="s">
        <v>932</v>
      </c>
      <c r="CB463" s="567"/>
      <c r="CC463" s="567"/>
      <c r="CD463" s="567"/>
      <c r="CE463" s="568">
        <v>0.3</v>
      </c>
      <c r="CF463" s="568"/>
      <c r="CG463" s="568"/>
      <c r="CH463" s="567" t="s">
        <v>932</v>
      </c>
      <c r="CI463" s="567"/>
      <c r="CJ463" s="567"/>
      <c r="CK463" s="567"/>
      <c r="CL463" s="568" t="s">
        <v>932</v>
      </c>
      <c r="CM463" s="568"/>
      <c r="CN463" s="568"/>
    </row>
    <row r="464" customHeight="1" spans="1:92">
      <c r="A464" s="540" t="s">
        <v>998</v>
      </c>
      <c r="B464" s="541"/>
      <c r="C464" s="89"/>
      <c r="D464" s="91"/>
      <c r="E464" s="90"/>
      <c r="F464" s="542">
        <v>3108000</v>
      </c>
      <c r="G464" s="543"/>
      <c r="H464" s="544"/>
      <c r="I464" s="545" t="s">
        <v>110</v>
      </c>
      <c r="J464" s="546"/>
      <c r="K464" s="546"/>
      <c r="L464" s="546"/>
      <c r="M464" s="546"/>
      <c r="N464" s="546"/>
      <c r="O464" s="546"/>
      <c r="P464" s="546"/>
      <c r="Q464" s="546"/>
      <c r="R464" s="546"/>
      <c r="S464" s="546"/>
      <c r="T464" s="546"/>
      <c r="U464" s="546"/>
      <c r="V464" s="546"/>
      <c r="W464" s="546"/>
      <c r="X464" s="546"/>
      <c r="Y464" s="546"/>
      <c r="Z464" s="546"/>
      <c r="AA464" s="547"/>
      <c r="AB464" s="548" t="s">
        <v>7</v>
      </c>
      <c r="AC464" s="549"/>
      <c r="AD464" s="550">
        <v>209.8</v>
      </c>
      <c r="AE464" s="551"/>
      <c r="AF464" s="552"/>
      <c r="AG464" s="553" t="s">
        <v>1074</v>
      </c>
      <c r="AH464" s="554"/>
      <c r="AI464" s="555" t="s">
        <v>1075</v>
      </c>
      <c r="AJ464" s="556"/>
      <c r="AK464" s="556"/>
      <c r="AL464" s="556"/>
      <c r="AM464" s="556"/>
      <c r="AN464" s="556"/>
      <c r="AO464" s="556"/>
      <c r="AP464" s="556"/>
      <c r="AQ464" s="556"/>
      <c r="AR464" s="556"/>
      <c r="AS464" s="556"/>
      <c r="AT464" s="556"/>
      <c r="AU464" s="556"/>
      <c r="AV464" s="557"/>
      <c r="AW464" s="558">
        <v>0.06024</v>
      </c>
      <c r="AX464" s="559"/>
      <c r="AY464" s="560"/>
      <c r="AZ464" s="561">
        <v>1</v>
      </c>
      <c r="BA464" s="562"/>
      <c r="BB464" s="563"/>
      <c r="BC464" s="558">
        <v>12.638352</v>
      </c>
      <c r="BD464" s="559"/>
      <c r="BE464" s="560"/>
      <c r="BF464" s="558">
        <v>182.49</v>
      </c>
      <c r="BG464" s="559"/>
      <c r="BH464" s="560"/>
      <c r="BI464" s="564">
        <v>0.0692550386322538</v>
      </c>
      <c r="BJ464" s="565"/>
      <c r="BK464" s="565"/>
      <c r="BL464" s="566"/>
      <c r="BM464" s="567">
        <v>0.0138510077264508</v>
      </c>
      <c r="BN464" s="567"/>
      <c r="BO464" s="567"/>
      <c r="BP464" s="567"/>
      <c r="BQ464" s="568">
        <v>0.2</v>
      </c>
      <c r="BR464" s="568"/>
      <c r="BS464" s="568"/>
      <c r="BT464" s="567">
        <v>0.0346275193161269</v>
      </c>
      <c r="BU464" s="567"/>
      <c r="BV464" s="567"/>
      <c r="BW464" s="567"/>
      <c r="BX464" s="568">
        <v>0.5</v>
      </c>
      <c r="BY464" s="568"/>
      <c r="BZ464" s="568"/>
      <c r="CA464" s="567">
        <v>0.0207765115896761</v>
      </c>
      <c r="CB464" s="567"/>
      <c r="CC464" s="567"/>
      <c r="CD464" s="567"/>
      <c r="CE464" s="568">
        <v>0.3</v>
      </c>
      <c r="CF464" s="568"/>
      <c r="CG464" s="568"/>
      <c r="CH464" s="567" t="s">
        <v>932</v>
      </c>
      <c r="CI464" s="567"/>
      <c r="CJ464" s="567"/>
      <c r="CK464" s="567"/>
      <c r="CL464" s="568" t="s">
        <v>932</v>
      </c>
      <c r="CM464" s="568"/>
      <c r="CN464" s="568"/>
    </row>
    <row r="465" customHeight="1" spans="1:92">
      <c r="A465" s="569"/>
      <c r="B465" s="570"/>
      <c r="C465" s="571"/>
      <c r="D465" s="572"/>
      <c r="E465" s="573"/>
      <c r="F465" s="574"/>
      <c r="G465" s="575"/>
      <c r="H465" s="576"/>
      <c r="I465" s="577"/>
      <c r="J465" s="578"/>
      <c r="K465" s="578"/>
      <c r="L465" s="578"/>
      <c r="M465" s="578"/>
      <c r="N465" s="578"/>
      <c r="O465" s="578"/>
      <c r="P465" s="578"/>
      <c r="Q465" s="578"/>
      <c r="R465" s="578"/>
      <c r="S465" s="578"/>
      <c r="T465" s="578"/>
      <c r="U465" s="578"/>
      <c r="V465" s="578"/>
      <c r="W465" s="578"/>
      <c r="X465" s="578"/>
      <c r="Y465" s="578"/>
      <c r="Z465" s="578"/>
      <c r="AA465" s="579"/>
      <c r="AB465" s="580"/>
      <c r="AC465" s="581"/>
      <c r="AD465" s="582"/>
      <c r="AE465" s="583"/>
      <c r="AF465" s="584"/>
      <c r="AG465" s="553" t="s">
        <v>1076</v>
      </c>
      <c r="AH465" s="554"/>
      <c r="AI465" s="555" t="s">
        <v>1077</v>
      </c>
      <c r="AJ465" s="556"/>
      <c r="AK465" s="556"/>
      <c r="AL465" s="556"/>
      <c r="AM465" s="556"/>
      <c r="AN465" s="556"/>
      <c r="AO465" s="556"/>
      <c r="AP465" s="556"/>
      <c r="AQ465" s="556"/>
      <c r="AR465" s="556"/>
      <c r="AS465" s="556"/>
      <c r="AT465" s="556"/>
      <c r="AU465" s="556"/>
      <c r="AV465" s="557"/>
      <c r="AW465" s="558">
        <v>0.06024</v>
      </c>
      <c r="AX465" s="559"/>
      <c r="AY465" s="560"/>
      <c r="AZ465" s="585"/>
      <c r="BA465" s="586"/>
      <c r="BB465" s="587"/>
      <c r="BC465" s="558">
        <v>12.638352</v>
      </c>
      <c r="BD465" s="559"/>
      <c r="BE465" s="560"/>
      <c r="BF465" s="558">
        <v>182.49</v>
      </c>
      <c r="BG465" s="559"/>
      <c r="BH465" s="560"/>
      <c r="BI465" s="564">
        <v>0.0692550386322538</v>
      </c>
      <c r="BJ465" s="565"/>
      <c r="BK465" s="565"/>
      <c r="BL465" s="566"/>
      <c r="BM465" s="567">
        <v>0.0138510077264508</v>
      </c>
      <c r="BN465" s="567"/>
      <c r="BO465" s="567"/>
      <c r="BP465" s="567"/>
      <c r="BQ465" s="568">
        <v>0.2</v>
      </c>
      <c r="BR465" s="568"/>
      <c r="BS465" s="568"/>
      <c r="BT465" s="567">
        <v>0.0346275193161269</v>
      </c>
      <c r="BU465" s="567"/>
      <c r="BV465" s="567"/>
      <c r="BW465" s="567"/>
      <c r="BX465" s="568">
        <v>0.5</v>
      </c>
      <c r="BY465" s="568"/>
      <c r="BZ465" s="568"/>
      <c r="CA465" s="567">
        <v>0.0207765115896761</v>
      </c>
      <c r="CB465" s="567"/>
      <c r="CC465" s="567"/>
      <c r="CD465" s="567"/>
      <c r="CE465" s="568">
        <v>0.3</v>
      </c>
      <c r="CF465" s="568"/>
      <c r="CG465" s="568"/>
      <c r="CH465" s="567" t="s">
        <v>932</v>
      </c>
      <c r="CI465" s="567"/>
      <c r="CJ465" s="567"/>
      <c r="CK465" s="567"/>
      <c r="CL465" s="568" t="s">
        <v>932</v>
      </c>
      <c r="CM465" s="568"/>
      <c r="CN465" s="568"/>
    </row>
    <row r="466" hidden="1" customHeight="1" spans="1:92">
      <c r="A466" s="569"/>
      <c r="B466" s="570"/>
      <c r="C466" s="571"/>
      <c r="D466" s="572"/>
      <c r="E466" s="573"/>
      <c r="F466" s="574"/>
      <c r="G466" s="575"/>
      <c r="H466" s="576"/>
      <c r="I466" s="577"/>
      <c r="J466" s="578"/>
      <c r="K466" s="578"/>
      <c r="L466" s="578"/>
      <c r="M466" s="578"/>
      <c r="N466" s="578"/>
      <c r="O466" s="578"/>
      <c r="P466" s="578"/>
      <c r="Q466" s="578"/>
      <c r="R466" s="578"/>
      <c r="S466" s="578"/>
      <c r="T466" s="578"/>
      <c r="U466" s="578"/>
      <c r="V466" s="578"/>
      <c r="W466" s="578"/>
      <c r="X466" s="578"/>
      <c r="Y466" s="578"/>
      <c r="Z466" s="578"/>
      <c r="AA466" s="579"/>
      <c r="AB466" s="580"/>
      <c r="AC466" s="581"/>
      <c r="AD466" s="582"/>
      <c r="AE466" s="583"/>
      <c r="AF466" s="584"/>
      <c r="AG466" s="553">
        <v>0</v>
      </c>
      <c r="AH466" s="554"/>
      <c r="AI466" s="555" t="e">
        <v>#N/A</v>
      </c>
      <c r="AJ466" s="556"/>
      <c r="AK466" s="556"/>
      <c r="AL466" s="556"/>
      <c r="AM466" s="556"/>
      <c r="AN466" s="556"/>
      <c r="AO466" s="556"/>
      <c r="AP466" s="556"/>
      <c r="AQ466" s="556"/>
      <c r="AR466" s="556"/>
      <c r="AS466" s="556"/>
      <c r="AT466" s="556"/>
      <c r="AU466" s="556"/>
      <c r="AV466" s="557"/>
      <c r="AW466" s="558">
        <v>0</v>
      </c>
      <c r="AX466" s="559"/>
      <c r="AY466" s="560"/>
      <c r="AZ466" s="585"/>
      <c r="BA466" s="586"/>
      <c r="BB466" s="587"/>
      <c r="BC466" s="558">
        <v>0</v>
      </c>
      <c r="BD466" s="559"/>
      <c r="BE466" s="560"/>
      <c r="BF466" s="558">
        <v>182.49</v>
      </c>
      <c r="BG466" s="559"/>
      <c r="BH466" s="560"/>
      <c r="BI466" s="564">
        <v>0</v>
      </c>
      <c r="BJ466" s="565"/>
      <c r="BK466" s="565"/>
      <c r="BL466" s="566"/>
      <c r="BM466" s="567" t="s">
        <v>932</v>
      </c>
      <c r="BN466" s="567"/>
      <c r="BO466" s="567"/>
      <c r="BP466" s="567"/>
      <c r="BQ466" s="568">
        <v>0.2</v>
      </c>
      <c r="BR466" s="568"/>
      <c r="BS466" s="568"/>
      <c r="BT466" s="567" t="s">
        <v>932</v>
      </c>
      <c r="BU466" s="567"/>
      <c r="BV466" s="567"/>
      <c r="BW466" s="567"/>
      <c r="BX466" s="568">
        <v>0.5</v>
      </c>
      <c r="BY466" s="568"/>
      <c r="BZ466" s="568"/>
      <c r="CA466" s="567" t="s">
        <v>932</v>
      </c>
      <c r="CB466" s="567"/>
      <c r="CC466" s="567"/>
      <c r="CD466" s="567"/>
      <c r="CE466" s="568">
        <v>0.3</v>
      </c>
      <c r="CF466" s="568"/>
      <c r="CG466" s="568"/>
      <c r="CH466" s="567" t="s">
        <v>932</v>
      </c>
      <c r="CI466" s="567"/>
      <c r="CJ466" s="567"/>
      <c r="CK466" s="567"/>
      <c r="CL466" s="568" t="s">
        <v>932</v>
      </c>
      <c r="CM466" s="568"/>
      <c r="CN466" s="568"/>
    </row>
    <row r="467" hidden="1" customHeight="1" spans="1:92">
      <c r="A467" s="569"/>
      <c r="B467" s="570"/>
      <c r="C467" s="571"/>
      <c r="D467" s="572"/>
      <c r="E467" s="573"/>
      <c r="F467" s="574"/>
      <c r="G467" s="575"/>
      <c r="H467" s="576"/>
      <c r="I467" s="577"/>
      <c r="J467" s="578"/>
      <c r="K467" s="578"/>
      <c r="L467" s="578"/>
      <c r="M467" s="578"/>
      <c r="N467" s="578"/>
      <c r="O467" s="578"/>
      <c r="P467" s="578"/>
      <c r="Q467" s="578"/>
      <c r="R467" s="578"/>
      <c r="S467" s="578"/>
      <c r="T467" s="578"/>
      <c r="U467" s="578"/>
      <c r="V467" s="578"/>
      <c r="W467" s="578"/>
      <c r="X467" s="578"/>
      <c r="Y467" s="578"/>
      <c r="Z467" s="578"/>
      <c r="AA467" s="579"/>
      <c r="AB467" s="580"/>
      <c r="AC467" s="581"/>
      <c r="AD467" s="582"/>
      <c r="AE467" s="583"/>
      <c r="AF467" s="584"/>
      <c r="AG467" s="553">
        <v>0</v>
      </c>
      <c r="AH467" s="554"/>
      <c r="AI467" s="555" t="e">
        <v>#N/A</v>
      </c>
      <c r="AJ467" s="556"/>
      <c r="AK467" s="556"/>
      <c r="AL467" s="556"/>
      <c r="AM467" s="556"/>
      <c r="AN467" s="556"/>
      <c r="AO467" s="556"/>
      <c r="AP467" s="556"/>
      <c r="AQ467" s="556"/>
      <c r="AR467" s="556"/>
      <c r="AS467" s="556"/>
      <c r="AT467" s="556"/>
      <c r="AU467" s="556"/>
      <c r="AV467" s="557"/>
      <c r="AW467" s="558">
        <v>0</v>
      </c>
      <c r="AX467" s="559"/>
      <c r="AY467" s="560"/>
      <c r="AZ467" s="585"/>
      <c r="BA467" s="586"/>
      <c r="BB467" s="587"/>
      <c r="BC467" s="558">
        <v>0</v>
      </c>
      <c r="BD467" s="559"/>
      <c r="BE467" s="560"/>
      <c r="BF467" s="558">
        <v>182.49</v>
      </c>
      <c r="BG467" s="559"/>
      <c r="BH467" s="560"/>
      <c r="BI467" s="564">
        <v>0</v>
      </c>
      <c r="BJ467" s="565"/>
      <c r="BK467" s="565"/>
      <c r="BL467" s="566"/>
      <c r="BM467" s="567" t="s">
        <v>932</v>
      </c>
      <c r="BN467" s="567"/>
      <c r="BO467" s="567"/>
      <c r="BP467" s="567"/>
      <c r="BQ467" s="568">
        <v>0.2</v>
      </c>
      <c r="BR467" s="568"/>
      <c r="BS467" s="568"/>
      <c r="BT467" s="567" t="s">
        <v>932</v>
      </c>
      <c r="BU467" s="567"/>
      <c r="BV467" s="567"/>
      <c r="BW467" s="567"/>
      <c r="BX467" s="568">
        <v>0.5</v>
      </c>
      <c r="BY467" s="568"/>
      <c r="BZ467" s="568"/>
      <c r="CA467" s="567" t="s">
        <v>932</v>
      </c>
      <c r="CB467" s="567"/>
      <c r="CC467" s="567"/>
      <c r="CD467" s="567"/>
      <c r="CE467" s="568">
        <v>0.3</v>
      </c>
      <c r="CF467" s="568"/>
      <c r="CG467" s="568"/>
      <c r="CH467" s="567" t="s">
        <v>932</v>
      </c>
      <c r="CI467" s="567"/>
      <c r="CJ467" s="567"/>
      <c r="CK467" s="567"/>
      <c r="CL467" s="568" t="s">
        <v>932</v>
      </c>
      <c r="CM467" s="568"/>
      <c r="CN467" s="568"/>
    </row>
    <row r="468" hidden="1" customHeight="1" spans="1:92">
      <c r="A468" s="569"/>
      <c r="B468" s="570"/>
      <c r="C468" s="571"/>
      <c r="D468" s="572"/>
      <c r="E468" s="573"/>
      <c r="F468" s="574"/>
      <c r="G468" s="575"/>
      <c r="H468" s="576"/>
      <c r="I468" s="577"/>
      <c r="J468" s="578"/>
      <c r="K468" s="578"/>
      <c r="L468" s="578"/>
      <c r="M468" s="578"/>
      <c r="N468" s="578"/>
      <c r="O468" s="578"/>
      <c r="P468" s="578"/>
      <c r="Q468" s="578"/>
      <c r="R468" s="578"/>
      <c r="S468" s="578"/>
      <c r="T468" s="578"/>
      <c r="U468" s="578"/>
      <c r="V468" s="578"/>
      <c r="W468" s="578"/>
      <c r="X468" s="578"/>
      <c r="Y468" s="578"/>
      <c r="Z468" s="578"/>
      <c r="AA468" s="579"/>
      <c r="AB468" s="580"/>
      <c r="AC468" s="581"/>
      <c r="AD468" s="582"/>
      <c r="AE468" s="583"/>
      <c r="AF468" s="584"/>
      <c r="AG468" s="553">
        <v>0</v>
      </c>
      <c r="AH468" s="554"/>
      <c r="AI468" s="555" t="e">
        <v>#N/A</v>
      </c>
      <c r="AJ468" s="556"/>
      <c r="AK468" s="556"/>
      <c r="AL468" s="556"/>
      <c r="AM468" s="556"/>
      <c r="AN468" s="556"/>
      <c r="AO468" s="556"/>
      <c r="AP468" s="556"/>
      <c r="AQ468" s="556"/>
      <c r="AR468" s="556"/>
      <c r="AS468" s="556"/>
      <c r="AT468" s="556"/>
      <c r="AU468" s="556"/>
      <c r="AV468" s="557"/>
      <c r="AW468" s="558">
        <v>0</v>
      </c>
      <c r="AX468" s="559"/>
      <c r="AY468" s="560"/>
      <c r="AZ468" s="585"/>
      <c r="BA468" s="586"/>
      <c r="BB468" s="587"/>
      <c r="BC468" s="558">
        <v>0</v>
      </c>
      <c r="BD468" s="559"/>
      <c r="BE468" s="560"/>
      <c r="BF468" s="558">
        <v>182.49</v>
      </c>
      <c r="BG468" s="559"/>
      <c r="BH468" s="560"/>
      <c r="BI468" s="564">
        <v>0</v>
      </c>
      <c r="BJ468" s="565"/>
      <c r="BK468" s="565"/>
      <c r="BL468" s="566"/>
      <c r="BM468" s="567" t="s">
        <v>932</v>
      </c>
      <c r="BN468" s="567"/>
      <c r="BO468" s="567"/>
      <c r="BP468" s="567"/>
      <c r="BQ468" s="568">
        <v>0.2</v>
      </c>
      <c r="BR468" s="568"/>
      <c r="BS468" s="568"/>
      <c r="BT468" s="567" t="s">
        <v>932</v>
      </c>
      <c r="BU468" s="567"/>
      <c r="BV468" s="567"/>
      <c r="BW468" s="567"/>
      <c r="BX468" s="568">
        <v>0.5</v>
      </c>
      <c r="BY468" s="568"/>
      <c r="BZ468" s="568"/>
      <c r="CA468" s="567" t="s">
        <v>932</v>
      </c>
      <c r="CB468" s="567"/>
      <c r="CC468" s="567"/>
      <c r="CD468" s="567"/>
      <c r="CE468" s="568">
        <v>0.3</v>
      </c>
      <c r="CF468" s="568"/>
      <c r="CG468" s="568"/>
      <c r="CH468" s="567" t="s">
        <v>932</v>
      </c>
      <c r="CI468" s="567"/>
      <c r="CJ468" s="567"/>
      <c r="CK468" s="567"/>
      <c r="CL468" s="568" t="s">
        <v>932</v>
      </c>
      <c r="CM468" s="568"/>
      <c r="CN468" s="568"/>
    </row>
    <row r="469" hidden="1" customHeight="1" spans="1:92">
      <c r="A469" s="569"/>
      <c r="B469" s="570"/>
      <c r="C469" s="571"/>
      <c r="D469" s="572"/>
      <c r="E469" s="573"/>
      <c r="F469" s="574"/>
      <c r="G469" s="575"/>
      <c r="H469" s="576"/>
      <c r="I469" s="577"/>
      <c r="J469" s="578"/>
      <c r="K469" s="578"/>
      <c r="L469" s="578"/>
      <c r="M469" s="578"/>
      <c r="N469" s="578"/>
      <c r="O469" s="578"/>
      <c r="P469" s="578"/>
      <c r="Q469" s="578"/>
      <c r="R469" s="578"/>
      <c r="S469" s="578"/>
      <c r="T469" s="578"/>
      <c r="U469" s="578"/>
      <c r="V469" s="578"/>
      <c r="W469" s="578"/>
      <c r="X469" s="578"/>
      <c r="Y469" s="578"/>
      <c r="Z469" s="578"/>
      <c r="AA469" s="579"/>
      <c r="AB469" s="580"/>
      <c r="AC469" s="581"/>
      <c r="AD469" s="582"/>
      <c r="AE469" s="583"/>
      <c r="AF469" s="584"/>
      <c r="AG469" s="553">
        <v>0</v>
      </c>
      <c r="AH469" s="554"/>
      <c r="AI469" s="555" t="e">
        <v>#N/A</v>
      </c>
      <c r="AJ469" s="556"/>
      <c r="AK469" s="556"/>
      <c r="AL469" s="556"/>
      <c r="AM469" s="556"/>
      <c r="AN469" s="556"/>
      <c r="AO469" s="556"/>
      <c r="AP469" s="556"/>
      <c r="AQ469" s="556"/>
      <c r="AR469" s="556"/>
      <c r="AS469" s="556"/>
      <c r="AT469" s="556"/>
      <c r="AU469" s="556"/>
      <c r="AV469" s="557"/>
      <c r="AW469" s="558">
        <v>0</v>
      </c>
      <c r="AX469" s="559"/>
      <c r="AY469" s="560"/>
      <c r="AZ469" s="585"/>
      <c r="BA469" s="586"/>
      <c r="BB469" s="587"/>
      <c r="BC469" s="558">
        <v>0</v>
      </c>
      <c r="BD469" s="559"/>
      <c r="BE469" s="560"/>
      <c r="BF469" s="558">
        <v>182.49</v>
      </c>
      <c r="BG469" s="559"/>
      <c r="BH469" s="560"/>
      <c r="BI469" s="564">
        <v>0</v>
      </c>
      <c r="BJ469" s="565"/>
      <c r="BK469" s="565"/>
      <c r="BL469" s="566"/>
      <c r="BM469" s="567" t="s">
        <v>932</v>
      </c>
      <c r="BN469" s="567"/>
      <c r="BO469" s="567"/>
      <c r="BP469" s="567"/>
      <c r="BQ469" s="568">
        <v>0.2</v>
      </c>
      <c r="BR469" s="568"/>
      <c r="BS469" s="568"/>
      <c r="BT469" s="567" t="s">
        <v>932</v>
      </c>
      <c r="BU469" s="567"/>
      <c r="BV469" s="567"/>
      <c r="BW469" s="567"/>
      <c r="BX469" s="568">
        <v>0.5</v>
      </c>
      <c r="BY469" s="568"/>
      <c r="BZ469" s="568"/>
      <c r="CA469" s="567" t="s">
        <v>932</v>
      </c>
      <c r="CB469" s="567"/>
      <c r="CC469" s="567"/>
      <c r="CD469" s="567"/>
      <c r="CE469" s="568">
        <v>0.3</v>
      </c>
      <c r="CF469" s="568"/>
      <c r="CG469" s="568"/>
      <c r="CH469" s="567" t="s">
        <v>932</v>
      </c>
      <c r="CI469" s="567"/>
      <c r="CJ469" s="567"/>
      <c r="CK469" s="567"/>
      <c r="CL469" s="568" t="s">
        <v>932</v>
      </c>
      <c r="CM469" s="568"/>
      <c r="CN469" s="568"/>
    </row>
    <row r="470" hidden="1" customHeight="1" spans="1:92">
      <c r="A470" s="569"/>
      <c r="B470" s="570"/>
      <c r="C470" s="571"/>
      <c r="D470" s="572"/>
      <c r="E470" s="573"/>
      <c r="F470" s="574"/>
      <c r="G470" s="575"/>
      <c r="H470" s="576"/>
      <c r="I470" s="577"/>
      <c r="J470" s="578"/>
      <c r="K470" s="578"/>
      <c r="L470" s="578"/>
      <c r="M470" s="578"/>
      <c r="N470" s="578"/>
      <c r="O470" s="578"/>
      <c r="P470" s="578"/>
      <c r="Q470" s="578"/>
      <c r="R470" s="578"/>
      <c r="S470" s="578"/>
      <c r="T470" s="578"/>
      <c r="U470" s="578"/>
      <c r="V470" s="578"/>
      <c r="W470" s="578"/>
      <c r="X470" s="578"/>
      <c r="Y470" s="578"/>
      <c r="Z470" s="578"/>
      <c r="AA470" s="579"/>
      <c r="AB470" s="580"/>
      <c r="AC470" s="581"/>
      <c r="AD470" s="582"/>
      <c r="AE470" s="583"/>
      <c r="AF470" s="584"/>
      <c r="AG470" s="553">
        <v>0</v>
      </c>
      <c r="AH470" s="554"/>
      <c r="AI470" s="555" t="e">
        <v>#N/A</v>
      </c>
      <c r="AJ470" s="556"/>
      <c r="AK470" s="556"/>
      <c r="AL470" s="556"/>
      <c r="AM470" s="556"/>
      <c r="AN470" s="556"/>
      <c r="AO470" s="556"/>
      <c r="AP470" s="556"/>
      <c r="AQ470" s="556"/>
      <c r="AR470" s="556"/>
      <c r="AS470" s="556"/>
      <c r="AT470" s="556"/>
      <c r="AU470" s="556"/>
      <c r="AV470" s="557"/>
      <c r="AW470" s="558">
        <v>0</v>
      </c>
      <c r="AX470" s="559"/>
      <c r="AY470" s="560"/>
      <c r="AZ470" s="585"/>
      <c r="BA470" s="586"/>
      <c r="BB470" s="587"/>
      <c r="BC470" s="558">
        <v>0</v>
      </c>
      <c r="BD470" s="559"/>
      <c r="BE470" s="560"/>
      <c r="BF470" s="558">
        <v>182.49</v>
      </c>
      <c r="BG470" s="559"/>
      <c r="BH470" s="560"/>
      <c r="BI470" s="564">
        <v>0</v>
      </c>
      <c r="BJ470" s="565"/>
      <c r="BK470" s="565"/>
      <c r="BL470" s="566"/>
      <c r="BM470" s="567" t="s">
        <v>932</v>
      </c>
      <c r="BN470" s="567"/>
      <c r="BO470" s="567"/>
      <c r="BP470" s="567"/>
      <c r="BQ470" s="568">
        <v>0.2</v>
      </c>
      <c r="BR470" s="568"/>
      <c r="BS470" s="568"/>
      <c r="BT470" s="567" t="s">
        <v>932</v>
      </c>
      <c r="BU470" s="567"/>
      <c r="BV470" s="567"/>
      <c r="BW470" s="567"/>
      <c r="BX470" s="568">
        <v>0.5</v>
      </c>
      <c r="BY470" s="568"/>
      <c r="BZ470" s="568"/>
      <c r="CA470" s="567" t="s">
        <v>932</v>
      </c>
      <c r="CB470" s="567"/>
      <c r="CC470" s="567"/>
      <c r="CD470" s="567"/>
      <c r="CE470" s="568">
        <v>0.3</v>
      </c>
      <c r="CF470" s="568"/>
      <c r="CG470" s="568"/>
      <c r="CH470" s="567" t="s">
        <v>932</v>
      </c>
      <c r="CI470" s="567"/>
      <c r="CJ470" s="567"/>
      <c r="CK470" s="567"/>
      <c r="CL470" s="568" t="s">
        <v>932</v>
      </c>
      <c r="CM470" s="568"/>
      <c r="CN470" s="568"/>
    </row>
    <row r="471" hidden="1" customHeight="1" spans="1:92">
      <c r="A471" s="588"/>
      <c r="B471" s="589"/>
      <c r="C471" s="590"/>
      <c r="D471" s="591"/>
      <c r="E471" s="592"/>
      <c r="F471" s="593"/>
      <c r="G471" s="594"/>
      <c r="H471" s="595"/>
      <c r="I471" s="596"/>
      <c r="J471" s="597"/>
      <c r="K471" s="597"/>
      <c r="L471" s="597"/>
      <c r="M471" s="597"/>
      <c r="N471" s="597"/>
      <c r="O471" s="597"/>
      <c r="P471" s="597"/>
      <c r="Q471" s="597"/>
      <c r="R471" s="597"/>
      <c r="S471" s="597"/>
      <c r="T471" s="597"/>
      <c r="U471" s="597"/>
      <c r="V471" s="597"/>
      <c r="W471" s="597"/>
      <c r="X471" s="597"/>
      <c r="Y471" s="597"/>
      <c r="Z471" s="597"/>
      <c r="AA471" s="598"/>
      <c r="AB471" s="599"/>
      <c r="AC471" s="600"/>
      <c r="AD471" s="601"/>
      <c r="AE471" s="602"/>
      <c r="AF471" s="603"/>
      <c r="AG471" s="553">
        <v>0</v>
      </c>
      <c r="AH471" s="554"/>
      <c r="AI471" s="555" t="e">
        <v>#N/A</v>
      </c>
      <c r="AJ471" s="556"/>
      <c r="AK471" s="556"/>
      <c r="AL471" s="556"/>
      <c r="AM471" s="556"/>
      <c r="AN471" s="556"/>
      <c r="AO471" s="556"/>
      <c r="AP471" s="556"/>
      <c r="AQ471" s="556"/>
      <c r="AR471" s="556"/>
      <c r="AS471" s="556"/>
      <c r="AT471" s="556"/>
      <c r="AU471" s="556"/>
      <c r="AV471" s="557"/>
      <c r="AW471" s="558">
        <v>0</v>
      </c>
      <c r="AX471" s="559"/>
      <c r="AY471" s="560"/>
      <c r="AZ471" s="604"/>
      <c r="BA471" s="605"/>
      <c r="BB471" s="606"/>
      <c r="BC471" s="558">
        <v>0</v>
      </c>
      <c r="BD471" s="559"/>
      <c r="BE471" s="560"/>
      <c r="BF471" s="558">
        <v>182.49</v>
      </c>
      <c r="BG471" s="559"/>
      <c r="BH471" s="560"/>
      <c r="BI471" s="564">
        <v>0</v>
      </c>
      <c r="BJ471" s="565"/>
      <c r="BK471" s="565"/>
      <c r="BL471" s="566"/>
      <c r="BM471" s="567" t="s">
        <v>932</v>
      </c>
      <c r="BN471" s="567"/>
      <c r="BO471" s="567"/>
      <c r="BP471" s="567"/>
      <c r="BQ471" s="568">
        <v>0.2</v>
      </c>
      <c r="BR471" s="568"/>
      <c r="BS471" s="568"/>
      <c r="BT471" s="567" t="s">
        <v>932</v>
      </c>
      <c r="BU471" s="567"/>
      <c r="BV471" s="567"/>
      <c r="BW471" s="567"/>
      <c r="BX471" s="568">
        <v>0.5</v>
      </c>
      <c r="BY471" s="568"/>
      <c r="BZ471" s="568"/>
      <c r="CA471" s="567" t="s">
        <v>932</v>
      </c>
      <c r="CB471" s="567"/>
      <c r="CC471" s="567"/>
      <c r="CD471" s="567"/>
      <c r="CE471" s="568">
        <v>0.3</v>
      </c>
      <c r="CF471" s="568"/>
      <c r="CG471" s="568"/>
      <c r="CH471" s="567" t="s">
        <v>932</v>
      </c>
      <c r="CI471" s="567"/>
      <c r="CJ471" s="567"/>
      <c r="CK471" s="567"/>
      <c r="CL471" s="568" t="s">
        <v>932</v>
      </c>
      <c r="CM471" s="568"/>
      <c r="CN471" s="568"/>
    </row>
    <row r="472" hidden="1" customHeight="1" spans="1:92">
      <c r="A472" s="540" t="s">
        <v>999</v>
      </c>
      <c r="B472" s="541"/>
      <c r="C472" s="89"/>
      <c r="D472" s="91"/>
      <c r="E472" s="90"/>
      <c r="F472" s="542">
        <v>407819</v>
      </c>
      <c r="G472" s="543"/>
      <c r="H472" s="544"/>
      <c r="I472" s="545" t="s">
        <v>100</v>
      </c>
      <c r="J472" s="546"/>
      <c r="K472" s="546"/>
      <c r="L472" s="546"/>
      <c r="M472" s="546"/>
      <c r="N472" s="546"/>
      <c r="O472" s="546"/>
      <c r="P472" s="546"/>
      <c r="Q472" s="546"/>
      <c r="R472" s="546"/>
      <c r="S472" s="546"/>
      <c r="T472" s="546"/>
      <c r="U472" s="546"/>
      <c r="V472" s="546"/>
      <c r="W472" s="546"/>
      <c r="X472" s="546"/>
      <c r="Y472" s="546"/>
      <c r="Z472" s="546"/>
      <c r="AA472" s="547"/>
      <c r="AB472" s="548" t="s">
        <v>101</v>
      </c>
      <c r="AC472" s="549"/>
      <c r="AD472" s="550">
        <v>2751.2</v>
      </c>
      <c r="AE472" s="551"/>
      <c r="AF472" s="552"/>
      <c r="AG472" s="553">
        <v>0</v>
      </c>
      <c r="AH472" s="554"/>
      <c r="AI472" s="555" t="e">
        <v>#N/A</v>
      </c>
      <c r="AJ472" s="556"/>
      <c r="AK472" s="556"/>
      <c r="AL472" s="556"/>
      <c r="AM472" s="556"/>
      <c r="AN472" s="556"/>
      <c r="AO472" s="556"/>
      <c r="AP472" s="556"/>
      <c r="AQ472" s="556"/>
      <c r="AR472" s="556"/>
      <c r="AS472" s="556"/>
      <c r="AT472" s="556"/>
      <c r="AU472" s="556"/>
      <c r="AV472" s="557"/>
      <c r="AW472" s="558">
        <v>0</v>
      </c>
      <c r="AX472" s="559"/>
      <c r="AY472" s="560"/>
      <c r="AZ472" s="561">
        <v>1</v>
      </c>
      <c r="BA472" s="562"/>
      <c r="BB472" s="563"/>
      <c r="BC472" s="558">
        <v>0</v>
      </c>
      <c r="BD472" s="559"/>
      <c r="BE472" s="560"/>
      <c r="BF472" s="558">
        <v>182.49</v>
      </c>
      <c r="BG472" s="559"/>
      <c r="BH472" s="560"/>
      <c r="BI472" s="564">
        <v>0</v>
      </c>
      <c r="BJ472" s="565"/>
      <c r="BK472" s="565"/>
      <c r="BL472" s="566"/>
      <c r="BM472" s="567" t="s">
        <v>932</v>
      </c>
      <c r="BN472" s="567"/>
      <c r="BO472" s="567"/>
      <c r="BP472" s="567"/>
      <c r="BQ472" s="568">
        <v>0.2</v>
      </c>
      <c r="BR472" s="568"/>
      <c r="BS472" s="568"/>
      <c r="BT472" s="567" t="s">
        <v>932</v>
      </c>
      <c r="BU472" s="567"/>
      <c r="BV472" s="567"/>
      <c r="BW472" s="567"/>
      <c r="BX472" s="568">
        <v>0.5</v>
      </c>
      <c r="BY472" s="568"/>
      <c r="BZ472" s="568"/>
      <c r="CA472" s="567" t="s">
        <v>932</v>
      </c>
      <c r="CB472" s="567"/>
      <c r="CC472" s="567"/>
      <c r="CD472" s="567"/>
      <c r="CE472" s="568">
        <v>0.3</v>
      </c>
      <c r="CF472" s="568"/>
      <c r="CG472" s="568"/>
      <c r="CH472" s="567" t="s">
        <v>932</v>
      </c>
      <c r="CI472" s="567"/>
      <c r="CJ472" s="567"/>
      <c r="CK472" s="567"/>
      <c r="CL472" s="568" t="s">
        <v>932</v>
      </c>
      <c r="CM472" s="568"/>
      <c r="CN472" s="568"/>
    </row>
    <row r="473" hidden="1" customHeight="1" spans="1:92">
      <c r="A473" s="569"/>
      <c r="B473" s="570"/>
      <c r="C473" s="571"/>
      <c r="D473" s="572"/>
      <c r="E473" s="573"/>
      <c r="F473" s="574"/>
      <c r="G473" s="575"/>
      <c r="H473" s="576"/>
      <c r="I473" s="577"/>
      <c r="J473" s="578"/>
      <c r="K473" s="578"/>
      <c r="L473" s="578"/>
      <c r="M473" s="578"/>
      <c r="N473" s="578"/>
      <c r="O473" s="578"/>
      <c r="P473" s="578"/>
      <c r="Q473" s="578"/>
      <c r="R473" s="578"/>
      <c r="S473" s="578"/>
      <c r="T473" s="578"/>
      <c r="U473" s="578"/>
      <c r="V473" s="578"/>
      <c r="W473" s="578"/>
      <c r="X473" s="578"/>
      <c r="Y473" s="578"/>
      <c r="Z473" s="578"/>
      <c r="AA473" s="579"/>
      <c r="AB473" s="580"/>
      <c r="AC473" s="581"/>
      <c r="AD473" s="582"/>
      <c r="AE473" s="583"/>
      <c r="AF473" s="584"/>
      <c r="AG473" s="553">
        <v>0</v>
      </c>
      <c r="AH473" s="554"/>
      <c r="AI473" s="555" t="e">
        <v>#N/A</v>
      </c>
      <c r="AJ473" s="556"/>
      <c r="AK473" s="556"/>
      <c r="AL473" s="556"/>
      <c r="AM473" s="556"/>
      <c r="AN473" s="556"/>
      <c r="AO473" s="556"/>
      <c r="AP473" s="556"/>
      <c r="AQ473" s="556"/>
      <c r="AR473" s="556"/>
      <c r="AS473" s="556"/>
      <c r="AT473" s="556"/>
      <c r="AU473" s="556"/>
      <c r="AV473" s="557"/>
      <c r="AW473" s="558">
        <v>0</v>
      </c>
      <c r="AX473" s="559"/>
      <c r="AY473" s="560"/>
      <c r="AZ473" s="585"/>
      <c r="BA473" s="586"/>
      <c r="BB473" s="587"/>
      <c r="BC473" s="558">
        <v>0</v>
      </c>
      <c r="BD473" s="559"/>
      <c r="BE473" s="560"/>
      <c r="BF473" s="558">
        <v>182.49</v>
      </c>
      <c r="BG473" s="559"/>
      <c r="BH473" s="560"/>
      <c r="BI473" s="564">
        <v>0</v>
      </c>
      <c r="BJ473" s="565"/>
      <c r="BK473" s="565"/>
      <c r="BL473" s="566"/>
      <c r="BM473" s="567" t="s">
        <v>932</v>
      </c>
      <c r="BN473" s="567"/>
      <c r="BO473" s="567"/>
      <c r="BP473" s="567"/>
      <c r="BQ473" s="568">
        <v>0.2</v>
      </c>
      <c r="BR473" s="568"/>
      <c r="BS473" s="568"/>
      <c r="BT473" s="567" t="s">
        <v>932</v>
      </c>
      <c r="BU473" s="567"/>
      <c r="BV473" s="567"/>
      <c r="BW473" s="567"/>
      <c r="BX473" s="568">
        <v>0.5</v>
      </c>
      <c r="BY473" s="568"/>
      <c r="BZ473" s="568"/>
      <c r="CA473" s="567" t="s">
        <v>932</v>
      </c>
      <c r="CB473" s="567"/>
      <c r="CC473" s="567"/>
      <c r="CD473" s="567"/>
      <c r="CE473" s="568">
        <v>0.3</v>
      </c>
      <c r="CF473" s="568"/>
      <c r="CG473" s="568"/>
      <c r="CH473" s="567" t="s">
        <v>932</v>
      </c>
      <c r="CI473" s="567"/>
      <c r="CJ473" s="567"/>
      <c r="CK473" s="567"/>
      <c r="CL473" s="568" t="s">
        <v>932</v>
      </c>
      <c r="CM473" s="568"/>
      <c r="CN473" s="568"/>
    </row>
    <row r="474" hidden="1" customHeight="1" spans="1:92">
      <c r="A474" s="569"/>
      <c r="B474" s="570"/>
      <c r="C474" s="571"/>
      <c r="D474" s="572"/>
      <c r="E474" s="573"/>
      <c r="F474" s="574"/>
      <c r="G474" s="575"/>
      <c r="H474" s="576"/>
      <c r="I474" s="577"/>
      <c r="J474" s="578"/>
      <c r="K474" s="578"/>
      <c r="L474" s="578"/>
      <c r="M474" s="578"/>
      <c r="N474" s="578"/>
      <c r="O474" s="578"/>
      <c r="P474" s="578"/>
      <c r="Q474" s="578"/>
      <c r="R474" s="578"/>
      <c r="S474" s="578"/>
      <c r="T474" s="578"/>
      <c r="U474" s="578"/>
      <c r="V474" s="578"/>
      <c r="W474" s="578"/>
      <c r="X474" s="578"/>
      <c r="Y474" s="578"/>
      <c r="Z474" s="578"/>
      <c r="AA474" s="579"/>
      <c r="AB474" s="580"/>
      <c r="AC474" s="581"/>
      <c r="AD474" s="582"/>
      <c r="AE474" s="583"/>
      <c r="AF474" s="584"/>
      <c r="AG474" s="553">
        <v>0</v>
      </c>
      <c r="AH474" s="554"/>
      <c r="AI474" s="555" t="e">
        <v>#N/A</v>
      </c>
      <c r="AJ474" s="556"/>
      <c r="AK474" s="556"/>
      <c r="AL474" s="556"/>
      <c r="AM474" s="556"/>
      <c r="AN474" s="556"/>
      <c r="AO474" s="556"/>
      <c r="AP474" s="556"/>
      <c r="AQ474" s="556"/>
      <c r="AR474" s="556"/>
      <c r="AS474" s="556"/>
      <c r="AT474" s="556"/>
      <c r="AU474" s="556"/>
      <c r="AV474" s="557"/>
      <c r="AW474" s="558">
        <v>0</v>
      </c>
      <c r="AX474" s="559"/>
      <c r="AY474" s="560"/>
      <c r="AZ474" s="585"/>
      <c r="BA474" s="586"/>
      <c r="BB474" s="587"/>
      <c r="BC474" s="558">
        <v>0</v>
      </c>
      <c r="BD474" s="559"/>
      <c r="BE474" s="560"/>
      <c r="BF474" s="558">
        <v>182.49</v>
      </c>
      <c r="BG474" s="559"/>
      <c r="BH474" s="560"/>
      <c r="BI474" s="564">
        <v>0</v>
      </c>
      <c r="BJ474" s="565"/>
      <c r="BK474" s="565"/>
      <c r="BL474" s="566"/>
      <c r="BM474" s="567" t="s">
        <v>932</v>
      </c>
      <c r="BN474" s="567"/>
      <c r="BO474" s="567"/>
      <c r="BP474" s="567"/>
      <c r="BQ474" s="568">
        <v>0.2</v>
      </c>
      <c r="BR474" s="568"/>
      <c r="BS474" s="568"/>
      <c r="BT474" s="567" t="s">
        <v>932</v>
      </c>
      <c r="BU474" s="567"/>
      <c r="BV474" s="567"/>
      <c r="BW474" s="567"/>
      <c r="BX474" s="568">
        <v>0.5</v>
      </c>
      <c r="BY474" s="568"/>
      <c r="BZ474" s="568"/>
      <c r="CA474" s="567" t="s">
        <v>932</v>
      </c>
      <c r="CB474" s="567"/>
      <c r="CC474" s="567"/>
      <c r="CD474" s="567"/>
      <c r="CE474" s="568">
        <v>0.3</v>
      </c>
      <c r="CF474" s="568"/>
      <c r="CG474" s="568"/>
      <c r="CH474" s="567" t="s">
        <v>932</v>
      </c>
      <c r="CI474" s="567"/>
      <c r="CJ474" s="567"/>
      <c r="CK474" s="567"/>
      <c r="CL474" s="568" t="s">
        <v>932</v>
      </c>
      <c r="CM474" s="568"/>
      <c r="CN474" s="568"/>
    </row>
    <row r="475" hidden="1" customHeight="1" spans="1:92">
      <c r="A475" s="569"/>
      <c r="B475" s="570"/>
      <c r="C475" s="571"/>
      <c r="D475" s="572"/>
      <c r="E475" s="573"/>
      <c r="F475" s="574"/>
      <c r="G475" s="575"/>
      <c r="H475" s="576"/>
      <c r="I475" s="577"/>
      <c r="J475" s="578"/>
      <c r="K475" s="578"/>
      <c r="L475" s="578"/>
      <c r="M475" s="578"/>
      <c r="N475" s="578"/>
      <c r="O475" s="578"/>
      <c r="P475" s="578"/>
      <c r="Q475" s="578"/>
      <c r="R475" s="578"/>
      <c r="S475" s="578"/>
      <c r="T475" s="578"/>
      <c r="U475" s="578"/>
      <c r="V475" s="578"/>
      <c r="W475" s="578"/>
      <c r="X475" s="578"/>
      <c r="Y475" s="578"/>
      <c r="Z475" s="578"/>
      <c r="AA475" s="579"/>
      <c r="AB475" s="580"/>
      <c r="AC475" s="581"/>
      <c r="AD475" s="582"/>
      <c r="AE475" s="583"/>
      <c r="AF475" s="584"/>
      <c r="AG475" s="553">
        <v>0</v>
      </c>
      <c r="AH475" s="554"/>
      <c r="AI475" s="555" t="e">
        <v>#N/A</v>
      </c>
      <c r="AJ475" s="556"/>
      <c r="AK475" s="556"/>
      <c r="AL475" s="556"/>
      <c r="AM475" s="556"/>
      <c r="AN475" s="556"/>
      <c r="AO475" s="556"/>
      <c r="AP475" s="556"/>
      <c r="AQ475" s="556"/>
      <c r="AR475" s="556"/>
      <c r="AS475" s="556"/>
      <c r="AT475" s="556"/>
      <c r="AU475" s="556"/>
      <c r="AV475" s="557"/>
      <c r="AW475" s="558">
        <v>0</v>
      </c>
      <c r="AX475" s="559"/>
      <c r="AY475" s="560"/>
      <c r="AZ475" s="585"/>
      <c r="BA475" s="586"/>
      <c r="BB475" s="587"/>
      <c r="BC475" s="558">
        <v>0</v>
      </c>
      <c r="BD475" s="559"/>
      <c r="BE475" s="560"/>
      <c r="BF475" s="558">
        <v>182.49</v>
      </c>
      <c r="BG475" s="559"/>
      <c r="BH475" s="560"/>
      <c r="BI475" s="564">
        <v>0</v>
      </c>
      <c r="BJ475" s="565"/>
      <c r="BK475" s="565"/>
      <c r="BL475" s="566"/>
      <c r="BM475" s="567" t="s">
        <v>932</v>
      </c>
      <c r="BN475" s="567"/>
      <c r="BO475" s="567"/>
      <c r="BP475" s="567"/>
      <c r="BQ475" s="568">
        <v>0.2</v>
      </c>
      <c r="BR475" s="568"/>
      <c r="BS475" s="568"/>
      <c r="BT475" s="567" t="s">
        <v>932</v>
      </c>
      <c r="BU475" s="567"/>
      <c r="BV475" s="567"/>
      <c r="BW475" s="567"/>
      <c r="BX475" s="568">
        <v>0.5</v>
      </c>
      <c r="BY475" s="568"/>
      <c r="BZ475" s="568"/>
      <c r="CA475" s="567" t="s">
        <v>932</v>
      </c>
      <c r="CB475" s="567"/>
      <c r="CC475" s="567"/>
      <c r="CD475" s="567"/>
      <c r="CE475" s="568">
        <v>0.3</v>
      </c>
      <c r="CF475" s="568"/>
      <c r="CG475" s="568"/>
      <c r="CH475" s="567" t="s">
        <v>932</v>
      </c>
      <c r="CI475" s="567"/>
      <c r="CJ475" s="567"/>
      <c r="CK475" s="567"/>
      <c r="CL475" s="568" t="s">
        <v>932</v>
      </c>
      <c r="CM475" s="568"/>
      <c r="CN475" s="568"/>
    </row>
    <row r="476" hidden="1" customHeight="1" spans="1:92">
      <c r="A476" s="569"/>
      <c r="B476" s="570"/>
      <c r="C476" s="571"/>
      <c r="D476" s="572"/>
      <c r="E476" s="573"/>
      <c r="F476" s="574"/>
      <c r="G476" s="575"/>
      <c r="H476" s="576"/>
      <c r="I476" s="577"/>
      <c r="J476" s="578"/>
      <c r="K476" s="578"/>
      <c r="L476" s="578"/>
      <c r="M476" s="578"/>
      <c r="N476" s="578"/>
      <c r="O476" s="578"/>
      <c r="P476" s="578"/>
      <c r="Q476" s="578"/>
      <c r="R476" s="578"/>
      <c r="S476" s="578"/>
      <c r="T476" s="578"/>
      <c r="U476" s="578"/>
      <c r="V476" s="578"/>
      <c r="W476" s="578"/>
      <c r="X476" s="578"/>
      <c r="Y476" s="578"/>
      <c r="Z476" s="578"/>
      <c r="AA476" s="579"/>
      <c r="AB476" s="580"/>
      <c r="AC476" s="581"/>
      <c r="AD476" s="582"/>
      <c r="AE476" s="583"/>
      <c r="AF476" s="584"/>
      <c r="AG476" s="553">
        <v>0</v>
      </c>
      <c r="AH476" s="554"/>
      <c r="AI476" s="555" t="e">
        <v>#N/A</v>
      </c>
      <c r="AJ476" s="556"/>
      <c r="AK476" s="556"/>
      <c r="AL476" s="556"/>
      <c r="AM476" s="556"/>
      <c r="AN476" s="556"/>
      <c r="AO476" s="556"/>
      <c r="AP476" s="556"/>
      <c r="AQ476" s="556"/>
      <c r="AR476" s="556"/>
      <c r="AS476" s="556"/>
      <c r="AT476" s="556"/>
      <c r="AU476" s="556"/>
      <c r="AV476" s="557"/>
      <c r="AW476" s="558">
        <v>0</v>
      </c>
      <c r="AX476" s="559"/>
      <c r="AY476" s="560"/>
      <c r="AZ476" s="585"/>
      <c r="BA476" s="586"/>
      <c r="BB476" s="587"/>
      <c r="BC476" s="558">
        <v>0</v>
      </c>
      <c r="BD476" s="559"/>
      <c r="BE476" s="560"/>
      <c r="BF476" s="558">
        <v>182.49</v>
      </c>
      <c r="BG476" s="559"/>
      <c r="BH476" s="560"/>
      <c r="BI476" s="564">
        <v>0</v>
      </c>
      <c r="BJ476" s="565"/>
      <c r="BK476" s="565"/>
      <c r="BL476" s="566"/>
      <c r="BM476" s="567" t="s">
        <v>932</v>
      </c>
      <c r="BN476" s="567"/>
      <c r="BO476" s="567"/>
      <c r="BP476" s="567"/>
      <c r="BQ476" s="568">
        <v>0.2</v>
      </c>
      <c r="BR476" s="568"/>
      <c r="BS476" s="568"/>
      <c r="BT476" s="567" t="s">
        <v>932</v>
      </c>
      <c r="BU476" s="567"/>
      <c r="BV476" s="567"/>
      <c r="BW476" s="567"/>
      <c r="BX476" s="568">
        <v>0.5</v>
      </c>
      <c r="BY476" s="568"/>
      <c r="BZ476" s="568"/>
      <c r="CA476" s="567" t="s">
        <v>932</v>
      </c>
      <c r="CB476" s="567"/>
      <c r="CC476" s="567"/>
      <c r="CD476" s="567"/>
      <c r="CE476" s="568">
        <v>0.3</v>
      </c>
      <c r="CF476" s="568"/>
      <c r="CG476" s="568"/>
      <c r="CH476" s="567" t="s">
        <v>932</v>
      </c>
      <c r="CI476" s="567"/>
      <c r="CJ476" s="567"/>
      <c r="CK476" s="567"/>
      <c r="CL476" s="568" t="s">
        <v>932</v>
      </c>
      <c r="CM476" s="568"/>
      <c r="CN476" s="568"/>
    </row>
    <row r="477" hidden="1" customHeight="1" spans="1:92">
      <c r="A477" s="569"/>
      <c r="B477" s="570"/>
      <c r="C477" s="571"/>
      <c r="D477" s="572"/>
      <c r="E477" s="573"/>
      <c r="F477" s="574"/>
      <c r="G477" s="575"/>
      <c r="H477" s="576"/>
      <c r="I477" s="577"/>
      <c r="J477" s="578"/>
      <c r="K477" s="578"/>
      <c r="L477" s="578"/>
      <c r="M477" s="578"/>
      <c r="N477" s="578"/>
      <c r="O477" s="578"/>
      <c r="P477" s="578"/>
      <c r="Q477" s="578"/>
      <c r="R477" s="578"/>
      <c r="S477" s="578"/>
      <c r="T477" s="578"/>
      <c r="U477" s="578"/>
      <c r="V477" s="578"/>
      <c r="W477" s="578"/>
      <c r="X477" s="578"/>
      <c r="Y477" s="578"/>
      <c r="Z477" s="578"/>
      <c r="AA477" s="579"/>
      <c r="AB477" s="580"/>
      <c r="AC477" s="581"/>
      <c r="AD477" s="582"/>
      <c r="AE477" s="583"/>
      <c r="AF477" s="584"/>
      <c r="AG477" s="553">
        <v>0</v>
      </c>
      <c r="AH477" s="554"/>
      <c r="AI477" s="555" t="e">
        <v>#N/A</v>
      </c>
      <c r="AJ477" s="556"/>
      <c r="AK477" s="556"/>
      <c r="AL477" s="556"/>
      <c r="AM477" s="556"/>
      <c r="AN477" s="556"/>
      <c r="AO477" s="556"/>
      <c r="AP477" s="556"/>
      <c r="AQ477" s="556"/>
      <c r="AR477" s="556"/>
      <c r="AS477" s="556"/>
      <c r="AT477" s="556"/>
      <c r="AU477" s="556"/>
      <c r="AV477" s="557"/>
      <c r="AW477" s="558">
        <v>0</v>
      </c>
      <c r="AX477" s="559"/>
      <c r="AY477" s="560"/>
      <c r="AZ477" s="585"/>
      <c r="BA477" s="586"/>
      <c r="BB477" s="587"/>
      <c r="BC477" s="558">
        <v>0</v>
      </c>
      <c r="BD477" s="559"/>
      <c r="BE477" s="560"/>
      <c r="BF477" s="558">
        <v>182.49</v>
      </c>
      <c r="BG477" s="559"/>
      <c r="BH477" s="560"/>
      <c r="BI477" s="564">
        <v>0</v>
      </c>
      <c r="BJ477" s="565"/>
      <c r="BK477" s="565"/>
      <c r="BL477" s="566"/>
      <c r="BM477" s="567" t="s">
        <v>932</v>
      </c>
      <c r="BN477" s="567"/>
      <c r="BO477" s="567"/>
      <c r="BP477" s="567"/>
      <c r="BQ477" s="568">
        <v>0.2</v>
      </c>
      <c r="BR477" s="568"/>
      <c r="BS477" s="568"/>
      <c r="BT477" s="567" t="s">
        <v>932</v>
      </c>
      <c r="BU477" s="567"/>
      <c r="BV477" s="567"/>
      <c r="BW477" s="567"/>
      <c r="BX477" s="568">
        <v>0.5</v>
      </c>
      <c r="BY477" s="568"/>
      <c r="BZ477" s="568"/>
      <c r="CA477" s="567" t="s">
        <v>932</v>
      </c>
      <c r="CB477" s="567"/>
      <c r="CC477" s="567"/>
      <c r="CD477" s="567"/>
      <c r="CE477" s="568">
        <v>0.3</v>
      </c>
      <c r="CF477" s="568"/>
      <c r="CG477" s="568"/>
      <c r="CH477" s="567" t="s">
        <v>932</v>
      </c>
      <c r="CI477" s="567"/>
      <c r="CJ477" s="567"/>
      <c r="CK477" s="567"/>
      <c r="CL477" s="568" t="s">
        <v>932</v>
      </c>
      <c r="CM477" s="568"/>
      <c r="CN477" s="568"/>
    </row>
    <row r="478" hidden="1" customHeight="1" spans="1:92">
      <c r="A478" s="569"/>
      <c r="B478" s="570"/>
      <c r="C478" s="571"/>
      <c r="D478" s="572"/>
      <c r="E478" s="573"/>
      <c r="F478" s="574"/>
      <c r="G478" s="575"/>
      <c r="H478" s="576"/>
      <c r="I478" s="577"/>
      <c r="J478" s="578"/>
      <c r="K478" s="578"/>
      <c r="L478" s="578"/>
      <c r="M478" s="578"/>
      <c r="N478" s="578"/>
      <c r="O478" s="578"/>
      <c r="P478" s="578"/>
      <c r="Q478" s="578"/>
      <c r="R478" s="578"/>
      <c r="S478" s="578"/>
      <c r="T478" s="578"/>
      <c r="U478" s="578"/>
      <c r="V478" s="578"/>
      <c r="W478" s="578"/>
      <c r="X478" s="578"/>
      <c r="Y478" s="578"/>
      <c r="Z478" s="578"/>
      <c r="AA478" s="579"/>
      <c r="AB478" s="580"/>
      <c r="AC478" s="581"/>
      <c r="AD478" s="582"/>
      <c r="AE478" s="583"/>
      <c r="AF478" s="584"/>
      <c r="AG478" s="553">
        <v>0</v>
      </c>
      <c r="AH478" s="554"/>
      <c r="AI478" s="555" t="e">
        <v>#N/A</v>
      </c>
      <c r="AJ478" s="556"/>
      <c r="AK478" s="556"/>
      <c r="AL478" s="556"/>
      <c r="AM478" s="556"/>
      <c r="AN478" s="556"/>
      <c r="AO478" s="556"/>
      <c r="AP478" s="556"/>
      <c r="AQ478" s="556"/>
      <c r="AR478" s="556"/>
      <c r="AS478" s="556"/>
      <c r="AT478" s="556"/>
      <c r="AU478" s="556"/>
      <c r="AV478" s="557"/>
      <c r="AW478" s="558">
        <v>0</v>
      </c>
      <c r="AX478" s="559"/>
      <c r="AY478" s="560"/>
      <c r="AZ478" s="585"/>
      <c r="BA478" s="586"/>
      <c r="BB478" s="587"/>
      <c r="BC478" s="558">
        <v>0</v>
      </c>
      <c r="BD478" s="559"/>
      <c r="BE478" s="560"/>
      <c r="BF478" s="558">
        <v>182.49</v>
      </c>
      <c r="BG478" s="559"/>
      <c r="BH478" s="560"/>
      <c r="BI478" s="564">
        <v>0</v>
      </c>
      <c r="BJ478" s="565"/>
      <c r="BK478" s="565"/>
      <c r="BL478" s="566"/>
      <c r="BM478" s="567" t="s">
        <v>932</v>
      </c>
      <c r="BN478" s="567"/>
      <c r="BO478" s="567"/>
      <c r="BP478" s="567"/>
      <c r="BQ478" s="568">
        <v>0.2</v>
      </c>
      <c r="BR478" s="568"/>
      <c r="BS478" s="568"/>
      <c r="BT478" s="567" t="s">
        <v>932</v>
      </c>
      <c r="BU478" s="567"/>
      <c r="BV478" s="567"/>
      <c r="BW478" s="567"/>
      <c r="BX478" s="568">
        <v>0.5</v>
      </c>
      <c r="BY478" s="568"/>
      <c r="BZ478" s="568"/>
      <c r="CA478" s="567" t="s">
        <v>932</v>
      </c>
      <c r="CB478" s="567"/>
      <c r="CC478" s="567"/>
      <c r="CD478" s="567"/>
      <c r="CE478" s="568">
        <v>0.3</v>
      </c>
      <c r="CF478" s="568"/>
      <c r="CG478" s="568"/>
      <c r="CH478" s="567" t="s">
        <v>932</v>
      </c>
      <c r="CI478" s="567"/>
      <c r="CJ478" s="567"/>
      <c r="CK478" s="567"/>
      <c r="CL478" s="568" t="s">
        <v>932</v>
      </c>
      <c r="CM478" s="568"/>
      <c r="CN478" s="568"/>
    </row>
    <row r="479" hidden="1" customHeight="1" spans="1:92">
      <c r="A479" s="588"/>
      <c r="B479" s="589"/>
      <c r="C479" s="590"/>
      <c r="D479" s="591"/>
      <c r="E479" s="592"/>
      <c r="F479" s="593"/>
      <c r="G479" s="594"/>
      <c r="H479" s="595"/>
      <c r="I479" s="596"/>
      <c r="J479" s="597"/>
      <c r="K479" s="597"/>
      <c r="L479" s="597"/>
      <c r="M479" s="597"/>
      <c r="N479" s="597"/>
      <c r="O479" s="597"/>
      <c r="P479" s="597"/>
      <c r="Q479" s="597"/>
      <c r="R479" s="597"/>
      <c r="S479" s="597"/>
      <c r="T479" s="597"/>
      <c r="U479" s="597"/>
      <c r="V479" s="597"/>
      <c r="W479" s="597"/>
      <c r="X479" s="597"/>
      <c r="Y479" s="597"/>
      <c r="Z479" s="597"/>
      <c r="AA479" s="598"/>
      <c r="AB479" s="599"/>
      <c r="AC479" s="600"/>
      <c r="AD479" s="601"/>
      <c r="AE479" s="602"/>
      <c r="AF479" s="603"/>
      <c r="AG479" s="553">
        <v>0</v>
      </c>
      <c r="AH479" s="554"/>
      <c r="AI479" s="555" t="e">
        <v>#N/A</v>
      </c>
      <c r="AJ479" s="556"/>
      <c r="AK479" s="556"/>
      <c r="AL479" s="556"/>
      <c r="AM479" s="556"/>
      <c r="AN479" s="556"/>
      <c r="AO479" s="556"/>
      <c r="AP479" s="556"/>
      <c r="AQ479" s="556"/>
      <c r="AR479" s="556"/>
      <c r="AS479" s="556"/>
      <c r="AT479" s="556"/>
      <c r="AU479" s="556"/>
      <c r="AV479" s="557"/>
      <c r="AW479" s="558">
        <v>0</v>
      </c>
      <c r="AX479" s="559"/>
      <c r="AY479" s="560"/>
      <c r="AZ479" s="604"/>
      <c r="BA479" s="605"/>
      <c r="BB479" s="606"/>
      <c r="BC479" s="558">
        <v>0</v>
      </c>
      <c r="BD479" s="559"/>
      <c r="BE479" s="560"/>
      <c r="BF479" s="558">
        <v>182.49</v>
      </c>
      <c r="BG479" s="559"/>
      <c r="BH479" s="560"/>
      <c r="BI479" s="564">
        <v>0</v>
      </c>
      <c r="BJ479" s="565"/>
      <c r="BK479" s="565"/>
      <c r="BL479" s="566"/>
      <c r="BM479" s="567" t="s">
        <v>932</v>
      </c>
      <c r="BN479" s="567"/>
      <c r="BO479" s="567"/>
      <c r="BP479" s="567"/>
      <c r="BQ479" s="568">
        <v>0.2</v>
      </c>
      <c r="BR479" s="568"/>
      <c r="BS479" s="568"/>
      <c r="BT479" s="567" t="s">
        <v>932</v>
      </c>
      <c r="BU479" s="567"/>
      <c r="BV479" s="567"/>
      <c r="BW479" s="567"/>
      <c r="BX479" s="568">
        <v>0.5</v>
      </c>
      <c r="BY479" s="568"/>
      <c r="BZ479" s="568"/>
      <c r="CA479" s="567" t="s">
        <v>932</v>
      </c>
      <c r="CB479" s="567"/>
      <c r="CC479" s="567"/>
      <c r="CD479" s="567"/>
      <c r="CE479" s="568">
        <v>0.3</v>
      </c>
      <c r="CF479" s="568"/>
      <c r="CG479" s="568"/>
      <c r="CH479" s="567" t="s">
        <v>932</v>
      </c>
      <c r="CI479" s="567"/>
      <c r="CJ479" s="567"/>
      <c r="CK479" s="567"/>
      <c r="CL479" s="568" t="s">
        <v>932</v>
      </c>
      <c r="CM479" s="568"/>
      <c r="CN479" s="568"/>
    </row>
    <row r="480" hidden="1" customHeight="1" spans="1:92">
      <c r="A480" s="540" t="s">
        <v>1000</v>
      </c>
      <c r="B480" s="541"/>
      <c r="C480" s="89"/>
      <c r="D480" s="91"/>
      <c r="E480" s="90"/>
      <c r="F480" s="542">
        <v>407820</v>
      </c>
      <c r="G480" s="543"/>
      <c r="H480" s="544"/>
      <c r="I480" s="545" t="s">
        <v>129</v>
      </c>
      <c r="J480" s="546"/>
      <c r="K480" s="546"/>
      <c r="L480" s="546"/>
      <c r="M480" s="546"/>
      <c r="N480" s="546"/>
      <c r="O480" s="546"/>
      <c r="P480" s="546"/>
      <c r="Q480" s="546"/>
      <c r="R480" s="546"/>
      <c r="S480" s="546"/>
      <c r="T480" s="546"/>
      <c r="U480" s="546"/>
      <c r="V480" s="546"/>
      <c r="W480" s="546"/>
      <c r="X480" s="546"/>
      <c r="Y480" s="546"/>
      <c r="Z480" s="546"/>
      <c r="AA480" s="547"/>
      <c r="AB480" s="548" t="s">
        <v>101</v>
      </c>
      <c r="AC480" s="549"/>
      <c r="AD480" s="550">
        <v>260.8</v>
      </c>
      <c r="AE480" s="551"/>
      <c r="AF480" s="552"/>
      <c r="AG480" s="553">
        <v>0</v>
      </c>
      <c r="AH480" s="554"/>
      <c r="AI480" s="555" t="e">
        <v>#N/A</v>
      </c>
      <c r="AJ480" s="556"/>
      <c r="AK480" s="556"/>
      <c r="AL480" s="556"/>
      <c r="AM480" s="556"/>
      <c r="AN480" s="556"/>
      <c r="AO480" s="556"/>
      <c r="AP480" s="556"/>
      <c r="AQ480" s="556"/>
      <c r="AR480" s="556"/>
      <c r="AS480" s="556"/>
      <c r="AT480" s="556"/>
      <c r="AU480" s="556"/>
      <c r="AV480" s="557"/>
      <c r="AW480" s="558">
        <v>0</v>
      </c>
      <c r="AX480" s="559"/>
      <c r="AY480" s="560"/>
      <c r="AZ480" s="561">
        <v>1</v>
      </c>
      <c r="BA480" s="562"/>
      <c r="BB480" s="563"/>
      <c r="BC480" s="558">
        <v>0</v>
      </c>
      <c r="BD480" s="559"/>
      <c r="BE480" s="560"/>
      <c r="BF480" s="558">
        <v>182.49</v>
      </c>
      <c r="BG480" s="559"/>
      <c r="BH480" s="560"/>
      <c r="BI480" s="564">
        <v>0</v>
      </c>
      <c r="BJ480" s="565"/>
      <c r="BK480" s="565"/>
      <c r="BL480" s="566"/>
      <c r="BM480" s="567" t="s">
        <v>932</v>
      </c>
      <c r="BN480" s="567"/>
      <c r="BO480" s="567"/>
      <c r="BP480" s="567"/>
      <c r="BQ480" s="568">
        <v>0.2</v>
      </c>
      <c r="BR480" s="568"/>
      <c r="BS480" s="568"/>
      <c r="BT480" s="567" t="s">
        <v>932</v>
      </c>
      <c r="BU480" s="567"/>
      <c r="BV480" s="567"/>
      <c r="BW480" s="567"/>
      <c r="BX480" s="568">
        <v>0.5</v>
      </c>
      <c r="BY480" s="568"/>
      <c r="BZ480" s="568"/>
      <c r="CA480" s="567" t="s">
        <v>932</v>
      </c>
      <c r="CB480" s="567"/>
      <c r="CC480" s="567"/>
      <c r="CD480" s="567"/>
      <c r="CE480" s="568">
        <v>0.3</v>
      </c>
      <c r="CF480" s="568"/>
      <c r="CG480" s="568"/>
      <c r="CH480" s="567" t="s">
        <v>932</v>
      </c>
      <c r="CI480" s="567"/>
      <c r="CJ480" s="567"/>
      <c r="CK480" s="567"/>
      <c r="CL480" s="568" t="s">
        <v>932</v>
      </c>
      <c r="CM480" s="568"/>
      <c r="CN480" s="568"/>
    </row>
    <row r="481" hidden="1" customHeight="1" spans="1:92">
      <c r="A481" s="569"/>
      <c r="B481" s="570"/>
      <c r="C481" s="571"/>
      <c r="D481" s="572"/>
      <c r="E481" s="573"/>
      <c r="F481" s="574"/>
      <c r="G481" s="575"/>
      <c r="H481" s="576"/>
      <c r="I481" s="577"/>
      <c r="J481" s="578"/>
      <c r="K481" s="578"/>
      <c r="L481" s="578"/>
      <c r="M481" s="578"/>
      <c r="N481" s="578"/>
      <c r="O481" s="578"/>
      <c r="P481" s="578"/>
      <c r="Q481" s="578"/>
      <c r="R481" s="578"/>
      <c r="S481" s="578"/>
      <c r="T481" s="578"/>
      <c r="U481" s="578"/>
      <c r="V481" s="578"/>
      <c r="W481" s="578"/>
      <c r="X481" s="578"/>
      <c r="Y481" s="578"/>
      <c r="Z481" s="578"/>
      <c r="AA481" s="579"/>
      <c r="AB481" s="580"/>
      <c r="AC481" s="581"/>
      <c r="AD481" s="582"/>
      <c r="AE481" s="583"/>
      <c r="AF481" s="584"/>
      <c r="AG481" s="553">
        <v>0</v>
      </c>
      <c r="AH481" s="554"/>
      <c r="AI481" s="555" t="e">
        <v>#N/A</v>
      </c>
      <c r="AJ481" s="556"/>
      <c r="AK481" s="556"/>
      <c r="AL481" s="556"/>
      <c r="AM481" s="556"/>
      <c r="AN481" s="556"/>
      <c r="AO481" s="556"/>
      <c r="AP481" s="556"/>
      <c r="AQ481" s="556"/>
      <c r="AR481" s="556"/>
      <c r="AS481" s="556"/>
      <c r="AT481" s="556"/>
      <c r="AU481" s="556"/>
      <c r="AV481" s="557"/>
      <c r="AW481" s="558">
        <v>0</v>
      </c>
      <c r="AX481" s="559"/>
      <c r="AY481" s="560"/>
      <c r="AZ481" s="585"/>
      <c r="BA481" s="586"/>
      <c r="BB481" s="587"/>
      <c r="BC481" s="558">
        <v>0</v>
      </c>
      <c r="BD481" s="559"/>
      <c r="BE481" s="560"/>
      <c r="BF481" s="558">
        <v>182.49</v>
      </c>
      <c r="BG481" s="559"/>
      <c r="BH481" s="560"/>
      <c r="BI481" s="564">
        <v>0</v>
      </c>
      <c r="BJ481" s="565"/>
      <c r="BK481" s="565"/>
      <c r="BL481" s="566"/>
      <c r="BM481" s="567" t="s">
        <v>932</v>
      </c>
      <c r="BN481" s="567"/>
      <c r="BO481" s="567"/>
      <c r="BP481" s="567"/>
      <c r="BQ481" s="568">
        <v>0.2</v>
      </c>
      <c r="BR481" s="568"/>
      <c r="BS481" s="568"/>
      <c r="BT481" s="567" t="s">
        <v>932</v>
      </c>
      <c r="BU481" s="567"/>
      <c r="BV481" s="567"/>
      <c r="BW481" s="567"/>
      <c r="BX481" s="568">
        <v>0.5</v>
      </c>
      <c r="BY481" s="568"/>
      <c r="BZ481" s="568"/>
      <c r="CA481" s="567" t="s">
        <v>932</v>
      </c>
      <c r="CB481" s="567"/>
      <c r="CC481" s="567"/>
      <c r="CD481" s="567"/>
      <c r="CE481" s="568">
        <v>0.3</v>
      </c>
      <c r="CF481" s="568"/>
      <c r="CG481" s="568"/>
      <c r="CH481" s="567" t="s">
        <v>932</v>
      </c>
      <c r="CI481" s="567"/>
      <c r="CJ481" s="567"/>
      <c r="CK481" s="567"/>
      <c r="CL481" s="568" t="s">
        <v>932</v>
      </c>
      <c r="CM481" s="568"/>
      <c r="CN481" s="568"/>
    </row>
    <row r="482" hidden="1" customHeight="1" spans="1:92">
      <c r="A482" s="569"/>
      <c r="B482" s="570"/>
      <c r="C482" s="571"/>
      <c r="D482" s="572"/>
      <c r="E482" s="573"/>
      <c r="F482" s="574"/>
      <c r="G482" s="575"/>
      <c r="H482" s="576"/>
      <c r="I482" s="577"/>
      <c r="J482" s="578"/>
      <c r="K482" s="578"/>
      <c r="L482" s="578"/>
      <c r="M482" s="578"/>
      <c r="N482" s="578"/>
      <c r="O482" s="578"/>
      <c r="P482" s="578"/>
      <c r="Q482" s="578"/>
      <c r="R482" s="578"/>
      <c r="S482" s="578"/>
      <c r="T482" s="578"/>
      <c r="U482" s="578"/>
      <c r="V482" s="578"/>
      <c r="W482" s="578"/>
      <c r="X482" s="578"/>
      <c r="Y482" s="578"/>
      <c r="Z482" s="578"/>
      <c r="AA482" s="579"/>
      <c r="AB482" s="580"/>
      <c r="AC482" s="581"/>
      <c r="AD482" s="582"/>
      <c r="AE482" s="583"/>
      <c r="AF482" s="584"/>
      <c r="AG482" s="553">
        <v>0</v>
      </c>
      <c r="AH482" s="554"/>
      <c r="AI482" s="555" t="e">
        <v>#N/A</v>
      </c>
      <c r="AJ482" s="556"/>
      <c r="AK482" s="556"/>
      <c r="AL482" s="556"/>
      <c r="AM482" s="556"/>
      <c r="AN482" s="556"/>
      <c r="AO482" s="556"/>
      <c r="AP482" s="556"/>
      <c r="AQ482" s="556"/>
      <c r="AR482" s="556"/>
      <c r="AS482" s="556"/>
      <c r="AT482" s="556"/>
      <c r="AU482" s="556"/>
      <c r="AV482" s="557"/>
      <c r="AW482" s="558">
        <v>0</v>
      </c>
      <c r="AX482" s="559"/>
      <c r="AY482" s="560"/>
      <c r="AZ482" s="585"/>
      <c r="BA482" s="586"/>
      <c r="BB482" s="587"/>
      <c r="BC482" s="558">
        <v>0</v>
      </c>
      <c r="BD482" s="559"/>
      <c r="BE482" s="560"/>
      <c r="BF482" s="558">
        <v>182.49</v>
      </c>
      <c r="BG482" s="559"/>
      <c r="BH482" s="560"/>
      <c r="BI482" s="564">
        <v>0</v>
      </c>
      <c r="BJ482" s="565"/>
      <c r="BK482" s="565"/>
      <c r="BL482" s="566"/>
      <c r="BM482" s="567" t="s">
        <v>932</v>
      </c>
      <c r="BN482" s="567"/>
      <c r="BO482" s="567"/>
      <c r="BP482" s="567"/>
      <c r="BQ482" s="568">
        <v>0.2</v>
      </c>
      <c r="BR482" s="568"/>
      <c r="BS482" s="568"/>
      <c r="BT482" s="567" t="s">
        <v>932</v>
      </c>
      <c r="BU482" s="567"/>
      <c r="BV482" s="567"/>
      <c r="BW482" s="567"/>
      <c r="BX482" s="568">
        <v>0.5</v>
      </c>
      <c r="BY482" s="568"/>
      <c r="BZ482" s="568"/>
      <c r="CA482" s="567" t="s">
        <v>932</v>
      </c>
      <c r="CB482" s="567"/>
      <c r="CC482" s="567"/>
      <c r="CD482" s="567"/>
      <c r="CE482" s="568">
        <v>0.3</v>
      </c>
      <c r="CF482" s="568"/>
      <c r="CG482" s="568"/>
      <c r="CH482" s="567" t="s">
        <v>932</v>
      </c>
      <c r="CI482" s="567"/>
      <c r="CJ482" s="567"/>
      <c r="CK482" s="567"/>
      <c r="CL482" s="568" t="s">
        <v>932</v>
      </c>
      <c r="CM482" s="568"/>
      <c r="CN482" s="568"/>
    </row>
    <row r="483" hidden="1" customHeight="1" spans="1:92">
      <c r="A483" s="569"/>
      <c r="B483" s="570"/>
      <c r="C483" s="571"/>
      <c r="D483" s="572"/>
      <c r="E483" s="573"/>
      <c r="F483" s="574"/>
      <c r="G483" s="575"/>
      <c r="H483" s="576"/>
      <c r="I483" s="577"/>
      <c r="J483" s="578"/>
      <c r="K483" s="578"/>
      <c r="L483" s="578"/>
      <c r="M483" s="578"/>
      <c r="N483" s="578"/>
      <c r="O483" s="578"/>
      <c r="P483" s="578"/>
      <c r="Q483" s="578"/>
      <c r="R483" s="578"/>
      <c r="S483" s="578"/>
      <c r="T483" s="578"/>
      <c r="U483" s="578"/>
      <c r="V483" s="578"/>
      <c r="W483" s="578"/>
      <c r="X483" s="578"/>
      <c r="Y483" s="578"/>
      <c r="Z483" s="578"/>
      <c r="AA483" s="579"/>
      <c r="AB483" s="580"/>
      <c r="AC483" s="581"/>
      <c r="AD483" s="582"/>
      <c r="AE483" s="583"/>
      <c r="AF483" s="584"/>
      <c r="AG483" s="553">
        <v>0</v>
      </c>
      <c r="AH483" s="554"/>
      <c r="AI483" s="555" t="e">
        <v>#N/A</v>
      </c>
      <c r="AJ483" s="556"/>
      <c r="AK483" s="556"/>
      <c r="AL483" s="556"/>
      <c r="AM483" s="556"/>
      <c r="AN483" s="556"/>
      <c r="AO483" s="556"/>
      <c r="AP483" s="556"/>
      <c r="AQ483" s="556"/>
      <c r="AR483" s="556"/>
      <c r="AS483" s="556"/>
      <c r="AT483" s="556"/>
      <c r="AU483" s="556"/>
      <c r="AV483" s="557"/>
      <c r="AW483" s="558">
        <v>0</v>
      </c>
      <c r="AX483" s="559"/>
      <c r="AY483" s="560"/>
      <c r="AZ483" s="585"/>
      <c r="BA483" s="586"/>
      <c r="BB483" s="587"/>
      <c r="BC483" s="558">
        <v>0</v>
      </c>
      <c r="BD483" s="559"/>
      <c r="BE483" s="560"/>
      <c r="BF483" s="558">
        <v>182.49</v>
      </c>
      <c r="BG483" s="559"/>
      <c r="BH483" s="560"/>
      <c r="BI483" s="564">
        <v>0</v>
      </c>
      <c r="BJ483" s="565"/>
      <c r="BK483" s="565"/>
      <c r="BL483" s="566"/>
      <c r="BM483" s="567" t="s">
        <v>932</v>
      </c>
      <c r="BN483" s="567"/>
      <c r="BO483" s="567"/>
      <c r="BP483" s="567"/>
      <c r="BQ483" s="568">
        <v>0.2</v>
      </c>
      <c r="BR483" s="568"/>
      <c r="BS483" s="568"/>
      <c r="BT483" s="567" t="s">
        <v>932</v>
      </c>
      <c r="BU483" s="567"/>
      <c r="BV483" s="567"/>
      <c r="BW483" s="567"/>
      <c r="BX483" s="568">
        <v>0.5</v>
      </c>
      <c r="BY483" s="568"/>
      <c r="BZ483" s="568"/>
      <c r="CA483" s="567" t="s">
        <v>932</v>
      </c>
      <c r="CB483" s="567"/>
      <c r="CC483" s="567"/>
      <c r="CD483" s="567"/>
      <c r="CE483" s="568">
        <v>0.3</v>
      </c>
      <c r="CF483" s="568"/>
      <c r="CG483" s="568"/>
      <c r="CH483" s="567" t="s">
        <v>932</v>
      </c>
      <c r="CI483" s="567"/>
      <c r="CJ483" s="567"/>
      <c r="CK483" s="567"/>
      <c r="CL483" s="568" t="s">
        <v>932</v>
      </c>
      <c r="CM483" s="568"/>
      <c r="CN483" s="568"/>
    </row>
    <row r="484" hidden="1" customHeight="1" spans="1:92">
      <c r="A484" s="569"/>
      <c r="B484" s="570"/>
      <c r="C484" s="571"/>
      <c r="D484" s="572"/>
      <c r="E484" s="573"/>
      <c r="F484" s="574"/>
      <c r="G484" s="575"/>
      <c r="H484" s="576"/>
      <c r="I484" s="577"/>
      <c r="J484" s="578"/>
      <c r="K484" s="578"/>
      <c r="L484" s="578"/>
      <c r="M484" s="578"/>
      <c r="N484" s="578"/>
      <c r="O484" s="578"/>
      <c r="P484" s="578"/>
      <c r="Q484" s="578"/>
      <c r="R484" s="578"/>
      <c r="S484" s="578"/>
      <c r="T484" s="578"/>
      <c r="U484" s="578"/>
      <c r="V484" s="578"/>
      <c r="W484" s="578"/>
      <c r="X484" s="578"/>
      <c r="Y484" s="578"/>
      <c r="Z484" s="578"/>
      <c r="AA484" s="579"/>
      <c r="AB484" s="580"/>
      <c r="AC484" s="581"/>
      <c r="AD484" s="582"/>
      <c r="AE484" s="583"/>
      <c r="AF484" s="584"/>
      <c r="AG484" s="553">
        <v>0</v>
      </c>
      <c r="AH484" s="554"/>
      <c r="AI484" s="555" t="e">
        <v>#N/A</v>
      </c>
      <c r="AJ484" s="556"/>
      <c r="AK484" s="556"/>
      <c r="AL484" s="556"/>
      <c r="AM484" s="556"/>
      <c r="AN484" s="556"/>
      <c r="AO484" s="556"/>
      <c r="AP484" s="556"/>
      <c r="AQ484" s="556"/>
      <c r="AR484" s="556"/>
      <c r="AS484" s="556"/>
      <c r="AT484" s="556"/>
      <c r="AU484" s="556"/>
      <c r="AV484" s="557"/>
      <c r="AW484" s="558">
        <v>0</v>
      </c>
      <c r="AX484" s="559"/>
      <c r="AY484" s="560"/>
      <c r="AZ484" s="585"/>
      <c r="BA484" s="586"/>
      <c r="BB484" s="587"/>
      <c r="BC484" s="558">
        <v>0</v>
      </c>
      <c r="BD484" s="559"/>
      <c r="BE484" s="560"/>
      <c r="BF484" s="558">
        <v>182.49</v>
      </c>
      <c r="BG484" s="559"/>
      <c r="BH484" s="560"/>
      <c r="BI484" s="564">
        <v>0</v>
      </c>
      <c r="BJ484" s="565"/>
      <c r="BK484" s="565"/>
      <c r="BL484" s="566"/>
      <c r="BM484" s="567" t="s">
        <v>932</v>
      </c>
      <c r="BN484" s="567"/>
      <c r="BO484" s="567"/>
      <c r="BP484" s="567"/>
      <c r="BQ484" s="568">
        <v>0.2</v>
      </c>
      <c r="BR484" s="568"/>
      <c r="BS484" s="568"/>
      <c r="BT484" s="567" t="s">
        <v>932</v>
      </c>
      <c r="BU484" s="567"/>
      <c r="BV484" s="567"/>
      <c r="BW484" s="567"/>
      <c r="BX484" s="568">
        <v>0.5</v>
      </c>
      <c r="BY484" s="568"/>
      <c r="BZ484" s="568"/>
      <c r="CA484" s="567" t="s">
        <v>932</v>
      </c>
      <c r="CB484" s="567"/>
      <c r="CC484" s="567"/>
      <c r="CD484" s="567"/>
      <c r="CE484" s="568">
        <v>0.3</v>
      </c>
      <c r="CF484" s="568"/>
      <c r="CG484" s="568"/>
      <c r="CH484" s="567" t="s">
        <v>932</v>
      </c>
      <c r="CI484" s="567"/>
      <c r="CJ484" s="567"/>
      <c r="CK484" s="567"/>
      <c r="CL484" s="568" t="s">
        <v>932</v>
      </c>
      <c r="CM484" s="568"/>
      <c r="CN484" s="568"/>
    </row>
    <row r="485" hidden="1" customHeight="1" spans="1:92">
      <c r="A485" s="569"/>
      <c r="B485" s="570"/>
      <c r="C485" s="571"/>
      <c r="D485" s="572"/>
      <c r="E485" s="573"/>
      <c r="F485" s="574"/>
      <c r="G485" s="575"/>
      <c r="H485" s="576"/>
      <c r="I485" s="577"/>
      <c r="J485" s="578"/>
      <c r="K485" s="578"/>
      <c r="L485" s="578"/>
      <c r="M485" s="578"/>
      <c r="N485" s="578"/>
      <c r="O485" s="578"/>
      <c r="P485" s="578"/>
      <c r="Q485" s="578"/>
      <c r="R485" s="578"/>
      <c r="S485" s="578"/>
      <c r="T485" s="578"/>
      <c r="U485" s="578"/>
      <c r="V485" s="578"/>
      <c r="W485" s="578"/>
      <c r="X485" s="578"/>
      <c r="Y485" s="578"/>
      <c r="Z485" s="578"/>
      <c r="AA485" s="579"/>
      <c r="AB485" s="580"/>
      <c r="AC485" s="581"/>
      <c r="AD485" s="582"/>
      <c r="AE485" s="583"/>
      <c r="AF485" s="584"/>
      <c r="AG485" s="553">
        <v>0</v>
      </c>
      <c r="AH485" s="554"/>
      <c r="AI485" s="555" t="e">
        <v>#N/A</v>
      </c>
      <c r="AJ485" s="556"/>
      <c r="AK485" s="556"/>
      <c r="AL485" s="556"/>
      <c r="AM485" s="556"/>
      <c r="AN485" s="556"/>
      <c r="AO485" s="556"/>
      <c r="AP485" s="556"/>
      <c r="AQ485" s="556"/>
      <c r="AR485" s="556"/>
      <c r="AS485" s="556"/>
      <c r="AT485" s="556"/>
      <c r="AU485" s="556"/>
      <c r="AV485" s="557"/>
      <c r="AW485" s="558">
        <v>0</v>
      </c>
      <c r="AX485" s="559"/>
      <c r="AY485" s="560"/>
      <c r="AZ485" s="585"/>
      <c r="BA485" s="586"/>
      <c r="BB485" s="587"/>
      <c r="BC485" s="558">
        <v>0</v>
      </c>
      <c r="BD485" s="559"/>
      <c r="BE485" s="560"/>
      <c r="BF485" s="558">
        <v>182.49</v>
      </c>
      <c r="BG485" s="559"/>
      <c r="BH485" s="560"/>
      <c r="BI485" s="564">
        <v>0</v>
      </c>
      <c r="BJ485" s="565"/>
      <c r="BK485" s="565"/>
      <c r="BL485" s="566"/>
      <c r="BM485" s="567" t="s">
        <v>932</v>
      </c>
      <c r="BN485" s="567"/>
      <c r="BO485" s="567"/>
      <c r="BP485" s="567"/>
      <c r="BQ485" s="568">
        <v>0.2</v>
      </c>
      <c r="BR485" s="568"/>
      <c r="BS485" s="568"/>
      <c r="BT485" s="567" t="s">
        <v>932</v>
      </c>
      <c r="BU485" s="567"/>
      <c r="BV485" s="567"/>
      <c r="BW485" s="567"/>
      <c r="BX485" s="568">
        <v>0.5</v>
      </c>
      <c r="BY485" s="568"/>
      <c r="BZ485" s="568"/>
      <c r="CA485" s="567" t="s">
        <v>932</v>
      </c>
      <c r="CB485" s="567"/>
      <c r="CC485" s="567"/>
      <c r="CD485" s="567"/>
      <c r="CE485" s="568">
        <v>0.3</v>
      </c>
      <c r="CF485" s="568"/>
      <c r="CG485" s="568"/>
      <c r="CH485" s="567" t="s">
        <v>932</v>
      </c>
      <c r="CI485" s="567"/>
      <c r="CJ485" s="567"/>
      <c r="CK485" s="567"/>
      <c r="CL485" s="568" t="s">
        <v>932</v>
      </c>
      <c r="CM485" s="568"/>
      <c r="CN485" s="568"/>
    </row>
    <row r="486" hidden="1" customHeight="1" spans="1:92">
      <c r="A486" s="569"/>
      <c r="B486" s="570"/>
      <c r="C486" s="571"/>
      <c r="D486" s="572"/>
      <c r="E486" s="573"/>
      <c r="F486" s="574"/>
      <c r="G486" s="575"/>
      <c r="H486" s="576"/>
      <c r="I486" s="577"/>
      <c r="J486" s="578"/>
      <c r="K486" s="578"/>
      <c r="L486" s="578"/>
      <c r="M486" s="578"/>
      <c r="N486" s="578"/>
      <c r="O486" s="578"/>
      <c r="P486" s="578"/>
      <c r="Q486" s="578"/>
      <c r="R486" s="578"/>
      <c r="S486" s="578"/>
      <c r="T486" s="578"/>
      <c r="U486" s="578"/>
      <c r="V486" s="578"/>
      <c r="W486" s="578"/>
      <c r="X486" s="578"/>
      <c r="Y486" s="578"/>
      <c r="Z486" s="578"/>
      <c r="AA486" s="579"/>
      <c r="AB486" s="580"/>
      <c r="AC486" s="581"/>
      <c r="AD486" s="582"/>
      <c r="AE486" s="583"/>
      <c r="AF486" s="584"/>
      <c r="AG486" s="553">
        <v>0</v>
      </c>
      <c r="AH486" s="554"/>
      <c r="AI486" s="555" t="e">
        <v>#N/A</v>
      </c>
      <c r="AJ486" s="556"/>
      <c r="AK486" s="556"/>
      <c r="AL486" s="556"/>
      <c r="AM486" s="556"/>
      <c r="AN486" s="556"/>
      <c r="AO486" s="556"/>
      <c r="AP486" s="556"/>
      <c r="AQ486" s="556"/>
      <c r="AR486" s="556"/>
      <c r="AS486" s="556"/>
      <c r="AT486" s="556"/>
      <c r="AU486" s="556"/>
      <c r="AV486" s="557"/>
      <c r="AW486" s="558">
        <v>0</v>
      </c>
      <c r="AX486" s="559"/>
      <c r="AY486" s="560"/>
      <c r="AZ486" s="585"/>
      <c r="BA486" s="586"/>
      <c r="BB486" s="587"/>
      <c r="BC486" s="558">
        <v>0</v>
      </c>
      <c r="BD486" s="559"/>
      <c r="BE486" s="560"/>
      <c r="BF486" s="558">
        <v>182.49</v>
      </c>
      <c r="BG486" s="559"/>
      <c r="BH486" s="560"/>
      <c r="BI486" s="564">
        <v>0</v>
      </c>
      <c r="BJ486" s="565"/>
      <c r="BK486" s="565"/>
      <c r="BL486" s="566"/>
      <c r="BM486" s="567" t="s">
        <v>932</v>
      </c>
      <c r="BN486" s="567"/>
      <c r="BO486" s="567"/>
      <c r="BP486" s="567"/>
      <c r="BQ486" s="568">
        <v>0.2</v>
      </c>
      <c r="BR486" s="568"/>
      <c r="BS486" s="568"/>
      <c r="BT486" s="567" t="s">
        <v>932</v>
      </c>
      <c r="BU486" s="567"/>
      <c r="BV486" s="567"/>
      <c r="BW486" s="567"/>
      <c r="BX486" s="568">
        <v>0.5</v>
      </c>
      <c r="BY486" s="568"/>
      <c r="BZ486" s="568"/>
      <c r="CA486" s="567" t="s">
        <v>932</v>
      </c>
      <c r="CB486" s="567"/>
      <c r="CC486" s="567"/>
      <c r="CD486" s="567"/>
      <c r="CE486" s="568">
        <v>0.3</v>
      </c>
      <c r="CF486" s="568"/>
      <c r="CG486" s="568"/>
      <c r="CH486" s="567" t="s">
        <v>932</v>
      </c>
      <c r="CI486" s="567"/>
      <c r="CJ486" s="567"/>
      <c r="CK486" s="567"/>
      <c r="CL486" s="568" t="s">
        <v>932</v>
      </c>
      <c r="CM486" s="568"/>
      <c r="CN486" s="568"/>
    </row>
    <row r="487" hidden="1" customHeight="1" spans="1:92">
      <c r="A487" s="588"/>
      <c r="B487" s="589"/>
      <c r="C487" s="590"/>
      <c r="D487" s="591"/>
      <c r="E487" s="592"/>
      <c r="F487" s="593"/>
      <c r="G487" s="594"/>
      <c r="H487" s="595"/>
      <c r="I487" s="596"/>
      <c r="J487" s="597"/>
      <c r="K487" s="597"/>
      <c r="L487" s="597"/>
      <c r="M487" s="597"/>
      <c r="N487" s="597"/>
      <c r="O487" s="597"/>
      <c r="P487" s="597"/>
      <c r="Q487" s="597"/>
      <c r="R487" s="597"/>
      <c r="S487" s="597"/>
      <c r="T487" s="597"/>
      <c r="U487" s="597"/>
      <c r="V487" s="597"/>
      <c r="W487" s="597"/>
      <c r="X487" s="597"/>
      <c r="Y487" s="597"/>
      <c r="Z487" s="597"/>
      <c r="AA487" s="598"/>
      <c r="AB487" s="599"/>
      <c r="AC487" s="600"/>
      <c r="AD487" s="601"/>
      <c r="AE487" s="602"/>
      <c r="AF487" s="603"/>
      <c r="AG487" s="553">
        <v>0</v>
      </c>
      <c r="AH487" s="554"/>
      <c r="AI487" s="555" t="e">
        <v>#N/A</v>
      </c>
      <c r="AJ487" s="556"/>
      <c r="AK487" s="556"/>
      <c r="AL487" s="556"/>
      <c r="AM487" s="556"/>
      <c r="AN487" s="556"/>
      <c r="AO487" s="556"/>
      <c r="AP487" s="556"/>
      <c r="AQ487" s="556"/>
      <c r="AR487" s="556"/>
      <c r="AS487" s="556"/>
      <c r="AT487" s="556"/>
      <c r="AU487" s="556"/>
      <c r="AV487" s="557"/>
      <c r="AW487" s="558">
        <v>0</v>
      </c>
      <c r="AX487" s="559"/>
      <c r="AY487" s="560"/>
      <c r="AZ487" s="604"/>
      <c r="BA487" s="605"/>
      <c r="BB487" s="606"/>
      <c r="BC487" s="558">
        <v>0</v>
      </c>
      <c r="BD487" s="559"/>
      <c r="BE487" s="560"/>
      <c r="BF487" s="558">
        <v>182.49</v>
      </c>
      <c r="BG487" s="559"/>
      <c r="BH487" s="560"/>
      <c r="BI487" s="564">
        <v>0</v>
      </c>
      <c r="BJ487" s="565"/>
      <c r="BK487" s="565"/>
      <c r="BL487" s="566"/>
      <c r="BM487" s="567" t="s">
        <v>932</v>
      </c>
      <c r="BN487" s="567"/>
      <c r="BO487" s="567"/>
      <c r="BP487" s="567"/>
      <c r="BQ487" s="568">
        <v>0.2</v>
      </c>
      <c r="BR487" s="568"/>
      <c r="BS487" s="568"/>
      <c r="BT487" s="567" t="s">
        <v>932</v>
      </c>
      <c r="BU487" s="567"/>
      <c r="BV487" s="567"/>
      <c r="BW487" s="567"/>
      <c r="BX487" s="568">
        <v>0.5</v>
      </c>
      <c r="BY487" s="568"/>
      <c r="BZ487" s="568"/>
      <c r="CA487" s="567" t="s">
        <v>932</v>
      </c>
      <c r="CB487" s="567"/>
      <c r="CC487" s="567"/>
      <c r="CD487" s="567"/>
      <c r="CE487" s="568">
        <v>0.3</v>
      </c>
      <c r="CF487" s="568"/>
      <c r="CG487" s="568"/>
      <c r="CH487" s="567" t="s">
        <v>932</v>
      </c>
      <c r="CI487" s="567"/>
      <c r="CJ487" s="567"/>
      <c r="CK487" s="567"/>
      <c r="CL487" s="568" t="s">
        <v>932</v>
      </c>
      <c r="CM487" s="568"/>
      <c r="CN487" s="568"/>
    </row>
    <row r="488" customHeight="1" spans="1:92">
      <c r="A488" s="540" t="s">
        <v>1001</v>
      </c>
      <c r="B488" s="541"/>
      <c r="C488" s="89"/>
      <c r="D488" s="91"/>
      <c r="E488" s="90"/>
      <c r="F488" s="542">
        <v>4507956</v>
      </c>
      <c r="G488" s="543"/>
      <c r="H488" s="544"/>
      <c r="I488" s="545" t="s">
        <v>130</v>
      </c>
      <c r="J488" s="546"/>
      <c r="K488" s="546"/>
      <c r="L488" s="546"/>
      <c r="M488" s="546"/>
      <c r="N488" s="546"/>
      <c r="O488" s="546"/>
      <c r="P488" s="546"/>
      <c r="Q488" s="546"/>
      <c r="R488" s="546"/>
      <c r="S488" s="546"/>
      <c r="T488" s="546"/>
      <c r="U488" s="546"/>
      <c r="V488" s="546"/>
      <c r="W488" s="546"/>
      <c r="X488" s="546"/>
      <c r="Y488" s="546"/>
      <c r="Z488" s="546"/>
      <c r="AA488" s="547"/>
      <c r="AB488" s="548" t="s">
        <v>101</v>
      </c>
      <c r="AC488" s="549"/>
      <c r="AD488" s="550">
        <v>50.48</v>
      </c>
      <c r="AE488" s="551"/>
      <c r="AF488" s="552"/>
      <c r="AG488" s="553" t="s">
        <v>1064</v>
      </c>
      <c r="AH488" s="554"/>
      <c r="AI488" s="555" t="s">
        <v>1065</v>
      </c>
      <c r="AJ488" s="556"/>
      <c r="AK488" s="556"/>
      <c r="AL488" s="556"/>
      <c r="AM488" s="556"/>
      <c r="AN488" s="556"/>
      <c r="AO488" s="556"/>
      <c r="AP488" s="556"/>
      <c r="AQ488" s="556"/>
      <c r="AR488" s="556"/>
      <c r="AS488" s="556"/>
      <c r="AT488" s="556"/>
      <c r="AU488" s="556"/>
      <c r="AV488" s="557"/>
      <c r="AW488" s="558">
        <v>1</v>
      </c>
      <c r="AX488" s="559"/>
      <c r="AY488" s="560"/>
      <c r="AZ488" s="561">
        <v>784.86</v>
      </c>
      <c r="BA488" s="562"/>
      <c r="BB488" s="563"/>
      <c r="BC488" s="558">
        <v>0.0643172030680631</v>
      </c>
      <c r="BD488" s="559"/>
      <c r="BE488" s="560"/>
      <c r="BF488" s="558">
        <v>182.49</v>
      </c>
      <c r="BG488" s="559"/>
      <c r="BH488" s="560"/>
      <c r="BI488" s="564">
        <v>0.000352442342419108</v>
      </c>
      <c r="BJ488" s="565"/>
      <c r="BK488" s="565"/>
      <c r="BL488" s="566"/>
      <c r="BM488" s="567">
        <v>7.04884684838217e-5</v>
      </c>
      <c r="BN488" s="567"/>
      <c r="BO488" s="567"/>
      <c r="BP488" s="567"/>
      <c r="BQ488" s="568">
        <v>0.2</v>
      </c>
      <c r="BR488" s="568"/>
      <c r="BS488" s="568"/>
      <c r="BT488" s="567">
        <v>0.000176221171209554</v>
      </c>
      <c r="BU488" s="567"/>
      <c r="BV488" s="567"/>
      <c r="BW488" s="567"/>
      <c r="BX488" s="568">
        <v>0.5</v>
      </c>
      <c r="BY488" s="568"/>
      <c r="BZ488" s="568"/>
      <c r="CA488" s="567">
        <v>0.000105732702725733</v>
      </c>
      <c r="CB488" s="567"/>
      <c r="CC488" s="567"/>
      <c r="CD488" s="567"/>
      <c r="CE488" s="568">
        <v>0.3</v>
      </c>
      <c r="CF488" s="568"/>
      <c r="CG488" s="568"/>
      <c r="CH488" s="567" t="s">
        <v>932</v>
      </c>
      <c r="CI488" s="567"/>
      <c r="CJ488" s="567"/>
      <c r="CK488" s="567"/>
      <c r="CL488" s="568" t="s">
        <v>932</v>
      </c>
      <c r="CM488" s="568"/>
      <c r="CN488" s="568"/>
    </row>
    <row r="489" customHeight="1" spans="1:92">
      <c r="A489" s="569"/>
      <c r="B489" s="570"/>
      <c r="C489" s="571"/>
      <c r="D489" s="572"/>
      <c r="E489" s="573"/>
      <c r="F489" s="574"/>
      <c r="G489" s="575"/>
      <c r="H489" s="576"/>
      <c r="I489" s="577"/>
      <c r="J489" s="578"/>
      <c r="K489" s="578"/>
      <c r="L489" s="578"/>
      <c r="M489" s="578"/>
      <c r="N489" s="578"/>
      <c r="O489" s="578"/>
      <c r="P489" s="578"/>
      <c r="Q489" s="578"/>
      <c r="R489" s="578"/>
      <c r="S489" s="578"/>
      <c r="T489" s="578"/>
      <c r="U489" s="578"/>
      <c r="V489" s="578"/>
      <c r="W489" s="578"/>
      <c r="X489" s="578"/>
      <c r="Y489" s="578"/>
      <c r="Z489" s="578"/>
      <c r="AA489" s="579"/>
      <c r="AB489" s="580"/>
      <c r="AC489" s="581"/>
      <c r="AD489" s="582"/>
      <c r="AE489" s="583"/>
      <c r="AF489" s="584"/>
      <c r="AG489" s="553" t="s">
        <v>1082</v>
      </c>
      <c r="AH489" s="554"/>
      <c r="AI489" s="555" t="s">
        <v>1083</v>
      </c>
      <c r="AJ489" s="556"/>
      <c r="AK489" s="556"/>
      <c r="AL489" s="556"/>
      <c r="AM489" s="556"/>
      <c r="AN489" s="556"/>
      <c r="AO489" s="556"/>
      <c r="AP489" s="556"/>
      <c r="AQ489" s="556"/>
      <c r="AR489" s="556"/>
      <c r="AS489" s="556"/>
      <c r="AT489" s="556"/>
      <c r="AU489" s="556"/>
      <c r="AV489" s="557"/>
      <c r="AW489" s="558">
        <v>1</v>
      </c>
      <c r="AX489" s="559"/>
      <c r="AY489" s="560"/>
      <c r="AZ489" s="585"/>
      <c r="BA489" s="586"/>
      <c r="BB489" s="587"/>
      <c r="BC489" s="558">
        <v>0.0643172030680631</v>
      </c>
      <c r="BD489" s="559"/>
      <c r="BE489" s="560"/>
      <c r="BF489" s="558">
        <v>182.49</v>
      </c>
      <c r="BG489" s="559"/>
      <c r="BH489" s="560"/>
      <c r="BI489" s="564">
        <v>0.000352442342419108</v>
      </c>
      <c r="BJ489" s="565"/>
      <c r="BK489" s="565"/>
      <c r="BL489" s="566"/>
      <c r="BM489" s="567">
        <v>7.04884684838217e-5</v>
      </c>
      <c r="BN489" s="567"/>
      <c r="BO489" s="567"/>
      <c r="BP489" s="567"/>
      <c r="BQ489" s="568">
        <v>0.2</v>
      </c>
      <c r="BR489" s="568"/>
      <c r="BS489" s="568"/>
      <c r="BT489" s="567">
        <v>0.000176221171209554</v>
      </c>
      <c r="BU489" s="567"/>
      <c r="BV489" s="567"/>
      <c r="BW489" s="567"/>
      <c r="BX489" s="568">
        <v>0.5</v>
      </c>
      <c r="BY489" s="568"/>
      <c r="BZ489" s="568"/>
      <c r="CA489" s="567">
        <v>0.000105732702725733</v>
      </c>
      <c r="CB489" s="567"/>
      <c r="CC489" s="567"/>
      <c r="CD489" s="567"/>
      <c r="CE489" s="568">
        <v>0.3</v>
      </c>
      <c r="CF489" s="568"/>
      <c r="CG489" s="568"/>
      <c r="CH489" s="567" t="s">
        <v>932</v>
      </c>
      <c r="CI489" s="567"/>
      <c r="CJ489" s="567"/>
      <c r="CK489" s="567"/>
      <c r="CL489" s="568" t="s">
        <v>932</v>
      </c>
      <c r="CM489" s="568"/>
      <c r="CN489" s="568"/>
    </row>
    <row r="490" hidden="1" customHeight="1" spans="1:92">
      <c r="A490" s="569"/>
      <c r="B490" s="570"/>
      <c r="C490" s="571"/>
      <c r="D490" s="572"/>
      <c r="E490" s="573"/>
      <c r="F490" s="574"/>
      <c r="G490" s="575"/>
      <c r="H490" s="576"/>
      <c r="I490" s="577"/>
      <c r="J490" s="578"/>
      <c r="K490" s="578"/>
      <c r="L490" s="578"/>
      <c r="M490" s="578"/>
      <c r="N490" s="578"/>
      <c r="O490" s="578"/>
      <c r="P490" s="578"/>
      <c r="Q490" s="578"/>
      <c r="R490" s="578"/>
      <c r="S490" s="578"/>
      <c r="T490" s="578"/>
      <c r="U490" s="578"/>
      <c r="V490" s="578"/>
      <c r="W490" s="578"/>
      <c r="X490" s="578"/>
      <c r="Y490" s="578"/>
      <c r="Z490" s="578"/>
      <c r="AA490" s="579"/>
      <c r="AB490" s="580"/>
      <c r="AC490" s="581"/>
      <c r="AD490" s="582"/>
      <c r="AE490" s="583"/>
      <c r="AF490" s="584"/>
      <c r="AG490" s="553">
        <v>0</v>
      </c>
      <c r="AH490" s="554"/>
      <c r="AI490" s="555" t="e">
        <v>#N/A</v>
      </c>
      <c r="AJ490" s="556"/>
      <c r="AK490" s="556"/>
      <c r="AL490" s="556"/>
      <c r="AM490" s="556"/>
      <c r="AN490" s="556"/>
      <c r="AO490" s="556"/>
      <c r="AP490" s="556"/>
      <c r="AQ490" s="556"/>
      <c r="AR490" s="556"/>
      <c r="AS490" s="556"/>
      <c r="AT490" s="556"/>
      <c r="AU490" s="556"/>
      <c r="AV490" s="557"/>
      <c r="AW490" s="558">
        <v>0</v>
      </c>
      <c r="AX490" s="559"/>
      <c r="AY490" s="560"/>
      <c r="AZ490" s="585"/>
      <c r="BA490" s="586"/>
      <c r="BB490" s="587"/>
      <c r="BC490" s="558">
        <v>0</v>
      </c>
      <c r="BD490" s="559"/>
      <c r="BE490" s="560"/>
      <c r="BF490" s="558">
        <v>182.49</v>
      </c>
      <c r="BG490" s="559"/>
      <c r="BH490" s="560"/>
      <c r="BI490" s="564">
        <v>0</v>
      </c>
      <c r="BJ490" s="565"/>
      <c r="BK490" s="565"/>
      <c r="BL490" s="566"/>
      <c r="BM490" s="567" t="s">
        <v>932</v>
      </c>
      <c r="BN490" s="567"/>
      <c r="BO490" s="567"/>
      <c r="BP490" s="567"/>
      <c r="BQ490" s="568">
        <v>0.2</v>
      </c>
      <c r="BR490" s="568"/>
      <c r="BS490" s="568"/>
      <c r="BT490" s="567" t="s">
        <v>932</v>
      </c>
      <c r="BU490" s="567"/>
      <c r="BV490" s="567"/>
      <c r="BW490" s="567"/>
      <c r="BX490" s="568">
        <v>0.5</v>
      </c>
      <c r="BY490" s="568"/>
      <c r="BZ490" s="568"/>
      <c r="CA490" s="567" t="s">
        <v>932</v>
      </c>
      <c r="CB490" s="567"/>
      <c r="CC490" s="567"/>
      <c r="CD490" s="567"/>
      <c r="CE490" s="568">
        <v>0.3</v>
      </c>
      <c r="CF490" s="568"/>
      <c r="CG490" s="568"/>
      <c r="CH490" s="567" t="s">
        <v>932</v>
      </c>
      <c r="CI490" s="567"/>
      <c r="CJ490" s="567"/>
      <c r="CK490" s="567"/>
      <c r="CL490" s="568" t="s">
        <v>932</v>
      </c>
      <c r="CM490" s="568"/>
      <c r="CN490" s="568"/>
    </row>
    <row r="491" hidden="1" customHeight="1" spans="1:92">
      <c r="A491" s="569"/>
      <c r="B491" s="570"/>
      <c r="C491" s="571"/>
      <c r="D491" s="572"/>
      <c r="E491" s="573"/>
      <c r="F491" s="574"/>
      <c r="G491" s="575"/>
      <c r="H491" s="576"/>
      <c r="I491" s="577"/>
      <c r="J491" s="578"/>
      <c r="K491" s="578"/>
      <c r="L491" s="578"/>
      <c r="M491" s="578"/>
      <c r="N491" s="578"/>
      <c r="O491" s="578"/>
      <c r="P491" s="578"/>
      <c r="Q491" s="578"/>
      <c r="R491" s="578"/>
      <c r="S491" s="578"/>
      <c r="T491" s="578"/>
      <c r="U491" s="578"/>
      <c r="V491" s="578"/>
      <c r="W491" s="578"/>
      <c r="X491" s="578"/>
      <c r="Y491" s="578"/>
      <c r="Z491" s="578"/>
      <c r="AA491" s="579"/>
      <c r="AB491" s="580"/>
      <c r="AC491" s="581"/>
      <c r="AD491" s="582"/>
      <c r="AE491" s="583"/>
      <c r="AF491" s="584"/>
      <c r="AG491" s="553">
        <v>0</v>
      </c>
      <c r="AH491" s="554"/>
      <c r="AI491" s="555" t="e">
        <v>#N/A</v>
      </c>
      <c r="AJ491" s="556"/>
      <c r="AK491" s="556"/>
      <c r="AL491" s="556"/>
      <c r="AM491" s="556"/>
      <c r="AN491" s="556"/>
      <c r="AO491" s="556"/>
      <c r="AP491" s="556"/>
      <c r="AQ491" s="556"/>
      <c r="AR491" s="556"/>
      <c r="AS491" s="556"/>
      <c r="AT491" s="556"/>
      <c r="AU491" s="556"/>
      <c r="AV491" s="557"/>
      <c r="AW491" s="558">
        <v>0</v>
      </c>
      <c r="AX491" s="559"/>
      <c r="AY491" s="560"/>
      <c r="AZ491" s="585"/>
      <c r="BA491" s="586"/>
      <c r="BB491" s="587"/>
      <c r="BC491" s="558">
        <v>0</v>
      </c>
      <c r="BD491" s="559"/>
      <c r="BE491" s="560"/>
      <c r="BF491" s="558">
        <v>182.49</v>
      </c>
      <c r="BG491" s="559"/>
      <c r="BH491" s="560"/>
      <c r="BI491" s="564">
        <v>0</v>
      </c>
      <c r="BJ491" s="565"/>
      <c r="BK491" s="565"/>
      <c r="BL491" s="566"/>
      <c r="BM491" s="567" t="s">
        <v>932</v>
      </c>
      <c r="BN491" s="567"/>
      <c r="BO491" s="567"/>
      <c r="BP491" s="567"/>
      <c r="BQ491" s="568">
        <v>0.2</v>
      </c>
      <c r="BR491" s="568"/>
      <c r="BS491" s="568"/>
      <c r="BT491" s="567" t="s">
        <v>932</v>
      </c>
      <c r="BU491" s="567"/>
      <c r="BV491" s="567"/>
      <c r="BW491" s="567"/>
      <c r="BX491" s="568">
        <v>0.5</v>
      </c>
      <c r="BY491" s="568"/>
      <c r="BZ491" s="568"/>
      <c r="CA491" s="567" t="s">
        <v>932</v>
      </c>
      <c r="CB491" s="567"/>
      <c r="CC491" s="567"/>
      <c r="CD491" s="567"/>
      <c r="CE491" s="568">
        <v>0.3</v>
      </c>
      <c r="CF491" s="568"/>
      <c r="CG491" s="568"/>
      <c r="CH491" s="567" t="s">
        <v>932</v>
      </c>
      <c r="CI491" s="567"/>
      <c r="CJ491" s="567"/>
      <c r="CK491" s="567"/>
      <c r="CL491" s="568" t="s">
        <v>932</v>
      </c>
      <c r="CM491" s="568"/>
      <c r="CN491" s="568"/>
    </row>
    <row r="492" hidden="1" customHeight="1" spans="1:92">
      <c r="A492" s="569"/>
      <c r="B492" s="570"/>
      <c r="C492" s="571"/>
      <c r="D492" s="572"/>
      <c r="E492" s="573"/>
      <c r="F492" s="574"/>
      <c r="G492" s="575"/>
      <c r="H492" s="576"/>
      <c r="I492" s="577"/>
      <c r="J492" s="578"/>
      <c r="K492" s="578"/>
      <c r="L492" s="578"/>
      <c r="M492" s="578"/>
      <c r="N492" s="578"/>
      <c r="O492" s="578"/>
      <c r="P492" s="578"/>
      <c r="Q492" s="578"/>
      <c r="R492" s="578"/>
      <c r="S492" s="578"/>
      <c r="T492" s="578"/>
      <c r="U492" s="578"/>
      <c r="V492" s="578"/>
      <c r="W492" s="578"/>
      <c r="X492" s="578"/>
      <c r="Y492" s="578"/>
      <c r="Z492" s="578"/>
      <c r="AA492" s="579"/>
      <c r="AB492" s="580"/>
      <c r="AC492" s="581"/>
      <c r="AD492" s="582"/>
      <c r="AE492" s="583"/>
      <c r="AF492" s="584"/>
      <c r="AG492" s="553">
        <v>0</v>
      </c>
      <c r="AH492" s="554"/>
      <c r="AI492" s="555" t="e">
        <v>#N/A</v>
      </c>
      <c r="AJ492" s="556"/>
      <c r="AK492" s="556"/>
      <c r="AL492" s="556"/>
      <c r="AM492" s="556"/>
      <c r="AN492" s="556"/>
      <c r="AO492" s="556"/>
      <c r="AP492" s="556"/>
      <c r="AQ492" s="556"/>
      <c r="AR492" s="556"/>
      <c r="AS492" s="556"/>
      <c r="AT492" s="556"/>
      <c r="AU492" s="556"/>
      <c r="AV492" s="557"/>
      <c r="AW492" s="558">
        <v>0</v>
      </c>
      <c r="AX492" s="559"/>
      <c r="AY492" s="560"/>
      <c r="AZ492" s="585"/>
      <c r="BA492" s="586"/>
      <c r="BB492" s="587"/>
      <c r="BC492" s="558">
        <v>0</v>
      </c>
      <c r="BD492" s="559"/>
      <c r="BE492" s="560"/>
      <c r="BF492" s="558">
        <v>182.49</v>
      </c>
      <c r="BG492" s="559"/>
      <c r="BH492" s="560"/>
      <c r="BI492" s="564">
        <v>0</v>
      </c>
      <c r="BJ492" s="565"/>
      <c r="BK492" s="565"/>
      <c r="BL492" s="566"/>
      <c r="BM492" s="567" t="s">
        <v>932</v>
      </c>
      <c r="BN492" s="567"/>
      <c r="BO492" s="567"/>
      <c r="BP492" s="567"/>
      <c r="BQ492" s="568">
        <v>0.2</v>
      </c>
      <c r="BR492" s="568"/>
      <c r="BS492" s="568"/>
      <c r="BT492" s="567" t="s">
        <v>932</v>
      </c>
      <c r="BU492" s="567"/>
      <c r="BV492" s="567"/>
      <c r="BW492" s="567"/>
      <c r="BX492" s="568">
        <v>0.5</v>
      </c>
      <c r="BY492" s="568"/>
      <c r="BZ492" s="568"/>
      <c r="CA492" s="567" t="s">
        <v>932</v>
      </c>
      <c r="CB492" s="567"/>
      <c r="CC492" s="567"/>
      <c r="CD492" s="567"/>
      <c r="CE492" s="568">
        <v>0.3</v>
      </c>
      <c r="CF492" s="568"/>
      <c r="CG492" s="568"/>
      <c r="CH492" s="567" t="s">
        <v>932</v>
      </c>
      <c r="CI492" s="567"/>
      <c r="CJ492" s="567"/>
      <c r="CK492" s="567"/>
      <c r="CL492" s="568" t="s">
        <v>932</v>
      </c>
      <c r="CM492" s="568"/>
      <c r="CN492" s="568"/>
    </row>
    <row r="493" hidden="1" customHeight="1" spans="1:92">
      <c r="A493" s="569"/>
      <c r="B493" s="570"/>
      <c r="C493" s="571"/>
      <c r="D493" s="572"/>
      <c r="E493" s="573"/>
      <c r="F493" s="574"/>
      <c r="G493" s="575"/>
      <c r="H493" s="576"/>
      <c r="I493" s="577"/>
      <c r="J493" s="578"/>
      <c r="K493" s="578"/>
      <c r="L493" s="578"/>
      <c r="M493" s="578"/>
      <c r="N493" s="578"/>
      <c r="O493" s="578"/>
      <c r="P493" s="578"/>
      <c r="Q493" s="578"/>
      <c r="R493" s="578"/>
      <c r="S493" s="578"/>
      <c r="T493" s="578"/>
      <c r="U493" s="578"/>
      <c r="V493" s="578"/>
      <c r="W493" s="578"/>
      <c r="X493" s="578"/>
      <c r="Y493" s="578"/>
      <c r="Z493" s="578"/>
      <c r="AA493" s="579"/>
      <c r="AB493" s="580"/>
      <c r="AC493" s="581"/>
      <c r="AD493" s="582"/>
      <c r="AE493" s="583"/>
      <c r="AF493" s="584"/>
      <c r="AG493" s="553">
        <v>0</v>
      </c>
      <c r="AH493" s="554"/>
      <c r="AI493" s="555" t="e">
        <v>#N/A</v>
      </c>
      <c r="AJ493" s="556"/>
      <c r="AK493" s="556"/>
      <c r="AL493" s="556"/>
      <c r="AM493" s="556"/>
      <c r="AN493" s="556"/>
      <c r="AO493" s="556"/>
      <c r="AP493" s="556"/>
      <c r="AQ493" s="556"/>
      <c r="AR493" s="556"/>
      <c r="AS493" s="556"/>
      <c r="AT493" s="556"/>
      <c r="AU493" s="556"/>
      <c r="AV493" s="557"/>
      <c r="AW493" s="558">
        <v>0</v>
      </c>
      <c r="AX493" s="559"/>
      <c r="AY493" s="560"/>
      <c r="AZ493" s="585"/>
      <c r="BA493" s="586"/>
      <c r="BB493" s="587"/>
      <c r="BC493" s="558">
        <v>0</v>
      </c>
      <c r="BD493" s="559"/>
      <c r="BE493" s="560"/>
      <c r="BF493" s="558">
        <v>182.49</v>
      </c>
      <c r="BG493" s="559"/>
      <c r="BH493" s="560"/>
      <c r="BI493" s="564">
        <v>0</v>
      </c>
      <c r="BJ493" s="565"/>
      <c r="BK493" s="565"/>
      <c r="BL493" s="566"/>
      <c r="BM493" s="567" t="s">
        <v>932</v>
      </c>
      <c r="BN493" s="567"/>
      <c r="BO493" s="567"/>
      <c r="BP493" s="567"/>
      <c r="BQ493" s="568">
        <v>0.2</v>
      </c>
      <c r="BR493" s="568"/>
      <c r="BS493" s="568"/>
      <c r="BT493" s="567" t="s">
        <v>932</v>
      </c>
      <c r="BU493" s="567"/>
      <c r="BV493" s="567"/>
      <c r="BW493" s="567"/>
      <c r="BX493" s="568">
        <v>0.5</v>
      </c>
      <c r="BY493" s="568"/>
      <c r="BZ493" s="568"/>
      <c r="CA493" s="567" t="s">
        <v>932</v>
      </c>
      <c r="CB493" s="567"/>
      <c r="CC493" s="567"/>
      <c r="CD493" s="567"/>
      <c r="CE493" s="568">
        <v>0.3</v>
      </c>
      <c r="CF493" s="568"/>
      <c r="CG493" s="568"/>
      <c r="CH493" s="567" t="s">
        <v>932</v>
      </c>
      <c r="CI493" s="567"/>
      <c r="CJ493" s="567"/>
      <c r="CK493" s="567"/>
      <c r="CL493" s="568" t="s">
        <v>932</v>
      </c>
      <c r="CM493" s="568"/>
      <c r="CN493" s="568"/>
    </row>
    <row r="494" hidden="1" customHeight="1" spans="1:92">
      <c r="A494" s="569"/>
      <c r="B494" s="570"/>
      <c r="C494" s="571"/>
      <c r="D494" s="572"/>
      <c r="E494" s="573"/>
      <c r="F494" s="574"/>
      <c r="G494" s="575"/>
      <c r="H494" s="576"/>
      <c r="I494" s="577"/>
      <c r="J494" s="578"/>
      <c r="K494" s="578"/>
      <c r="L494" s="578"/>
      <c r="M494" s="578"/>
      <c r="N494" s="578"/>
      <c r="O494" s="578"/>
      <c r="P494" s="578"/>
      <c r="Q494" s="578"/>
      <c r="R494" s="578"/>
      <c r="S494" s="578"/>
      <c r="T494" s="578"/>
      <c r="U494" s="578"/>
      <c r="V494" s="578"/>
      <c r="W494" s="578"/>
      <c r="X494" s="578"/>
      <c r="Y494" s="578"/>
      <c r="Z494" s="578"/>
      <c r="AA494" s="579"/>
      <c r="AB494" s="580"/>
      <c r="AC494" s="581"/>
      <c r="AD494" s="582"/>
      <c r="AE494" s="583"/>
      <c r="AF494" s="584"/>
      <c r="AG494" s="553">
        <v>0</v>
      </c>
      <c r="AH494" s="554"/>
      <c r="AI494" s="555" t="e">
        <v>#N/A</v>
      </c>
      <c r="AJ494" s="556"/>
      <c r="AK494" s="556"/>
      <c r="AL494" s="556"/>
      <c r="AM494" s="556"/>
      <c r="AN494" s="556"/>
      <c r="AO494" s="556"/>
      <c r="AP494" s="556"/>
      <c r="AQ494" s="556"/>
      <c r="AR494" s="556"/>
      <c r="AS494" s="556"/>
      <c r="AT494" s="556"/>
      <c r="AU494" s="556"/>
      <c r="AV494" s="557"/>
      <c r="AW494" s="558">
        <v>0</v>
      </c>
      <c r="AX494" s="559"/>
      <c r="AY494" s="560"/>
      <c r="AZ494" s="585"/>
      <c r="BA494" s="586"/>
      <c r="BB494" s="587"/>
      <c r="BC494" s="558">
        <v>0</v>
      </c>
      <c r="BD494" s="559"/>
      <c r="BE494" s="560"/>
      <c r="BF494" s="558">
        <v>182.49</v>
      </c>
      <c r="BG494" s="559"/>
      <c r="BH494" s="560"/>
      <c r="BI494" s="564">
        <v>0</v>
      </c>
      <c r="BJ494" s="565"/>
      <c r="BK494" s="565"/>
      <c r="BL494" s="566"/>
      <c r="BM494" s="567" t="s">
        <v>932</v>
      </c>
      <c r="BN494" s="567"/>
      <c r="BO494" s="567"/>
      <c r="BP494" s="567"/>
      <c r="BQ494" s="568">
        <v>0.2</v>
      </c>
      <c r="BR494" s="568"/>
      <c r="BS494" s="568"/>
      <c r="BT494" s="567" t="s">
        <v>932</v>
      </c>
      <c r="BU494" s="567"/>
      <c r="BV494" s="567"/>
      <c r="BW494" s="567"/>
      <c r="BX494" s="568">
        <v>0.5</v>
      </c>
      <c r="BY494" s="568"/>
      <c r="BZ494" s="568"/>
      <c r="CA494" s="567" t="s">
        <v>932</v>
      </c>
      <c r="CB494" s="567"/>
      <c r="CC494" s="567"/>
      <c r="CD494" s="567"/>
      <c r="CE494" s="568">
        <v>0.3</v>
      </c>
      <c r="CF494" s="568"/>
      <c r="CG494" s="568"/>
      <c r="CH494" s="567" t="s">
        <v>932</v>
      </c>
      <c r="CI494" s="567"/>
      <c r="CJ494" s="567"/>
      <c r="CK494" s="567"/>
      <c r="CL494" s="568" t="s">
        <v>932</v>
      </c>
      <c r="CM494" s="568"/>
      <c r="CN494" s="568"/>
    </row>
    <row r="495" hidden="1" customHeight="1" spans="1:92">
      <c r="A495" s="588"/>
      <c r="B495" s="589"/>
      <c r="C495" s="590"/>
      <c r="D495" s="591"/>
      <c r="E495" s="592"/>
      <c r="F495" s="593"/>
      <c r="G495" s="594"/>
      <c r="H495" s="595"/>
      <c r="I495" s="596"/>
      <c r="J495" s="597"/>
      <c r="K495" s="597"/>
      <c r="L495" s="597"/>
      <c r="M495" s="597"/>
      <c r="N495" s="597"/>
      <c r="O495" s="597"/>
      <c r="P495" s="597"/>
      <c r="Q495" s="597"/>
      <c r="R495" s="597"/>
      <c r="S495" s="597"/>
      <c r="T495" s="597"/>
      <c r="U495" s="597"/>
      <c r="V495" s="597"/>
      <c r="W495" s="597"/>
      <c r="X495" s="597"/>
      <c r="Y495" s="597"/>
      <c r="Z495" s="597"/>
      <c r="AA495" s="598"/>
      <c r="AB495" s="599"/>
      <c r="AC495" s="600"/>
      <c r="AD495" s="601"/>
      <c r="AE495" s="602"/>
      <c r="AF495" s="603"/>
      <c r="AG495" s="553">
        <v>0</v>
      </c>
      <c r="AH495" s="554"/>
      <c r="AI495" s="555" t="e">
        <v>#N/A</v>
      </c>
      <c r="AJ495" s="556"/>
      <c r="AK495" s="556"/>
      <c r="AL495" s="556"/>
      <c r="AM495" s="556"/>
      <c r="AN495" s="556"/>
      <c r="AO495" s="556"/>
      <c r="AP495" s="556"/>
      <c r="AQ495" s="556"/>
      <c r="AR495" s="556"/>
      <c r="AS495" s="556"/>
      <c r="AT495" s="556"/>
      <c r="AU495" s="556"/>
      <c r="AV495" s="557"/>
      <c r="AW495" s="558">
        <v>0</v>
      </c>
      <c r="AX495" s="559"/>
      <c r="AY495" s="560"/>
      <c r="AZ495" s="604"/>
      <c r="BA495" s="605"/>
      <c r="BB495" s="606"/>
      <c r="BC495" s="558">
        <v>0</v>
      </c>
      <c r="BD495" s="559"/>
      <c r="BE495" s="560"/>
      <c r="BF495" s="558">
        <v>182.49</v>
      </c>
      <c r="BG495" s="559"/>
      <c r="BH495" s="560"/>
      <c r="BI495" s="564">
        <v>0</v>
      </c>
      <c r="BJ495" s="565"/>
      <c r="BK495" s="565"/>
      <c r="BL495" s="566"/>
      <c r="BM495" s="567" t="s">
        <v>932</v>
      </c>
      <c r="BN495" s="567"/>
      <c r="BO495" s="567"/>
      <c r="BP495" s="567"/>
      <c r="BQ495" s="568">
        <v>0.2</v>
      </c>
      <c r="BR495" s="568"/>
      <c r="BS495" s="568"/>
      <c r="BT495" s="567" t="s">
        <v>932</v>
      </c>
      <c r="BU495" s="567"/>
      <c r="BV495" s="567"/>
      <c r="BW495" s="567"/>
      <c r="BX495" s="568">
        <v>0.5</v>
      </c>
      <c r="BY495" s="568"/>
      <c r="BZ495" s="568"/>
      <c r="CA495" s="567" t="s">
        <v>932</v>
      </c>
      <c r="CB495" s="567"/>
      <c r="CC495" s="567"/>
      <c r="CD495" s="567"/>
      <c r="CE495" s="568">
        <v>0.3</v>
      </c>
      <c r="CF495" s="568"/>
      <c r="CG495" s="568"/>
      <c r="CH495" s="567" t="s">
        <v>932</v>
      </c>
      <c r="CI495" s="567"/>
      <c r="CJ495" s="567"/>
      <c r="CK495" s="567"/>
      <c r="CL495" s="568" t="s">
        <v>932</v>
      </c>
      <c r="CM495" s="568"/>
      <c r="CN495" s="568"/>
    </row>
    <row r="496" customHeight="1" spans="1:92">
      <c r="A496" s="540" t="s">
        <v>1002</v>
      </c>
      <c r="B496" s="541"/>
      <c r="C496" s="89"/>
      <c r="D496" s="91"/>
      <c r="E496" s="90"/>
      <c r="F496" s="542">
        <v>3806420</v>
      </c>
      <c r="G496" s="543"/>
      <c r="H496" s="544"/>
      <c r="I496" s="545" t="s">
        <v>131</v>
      </c>
      <c r="J496" s="546"/>
      <c r="K496" s="546"/>
      <c r="L496" s="546"/>
      <c r="M496" s="546"/>
      <c r="N496" s="546"/>
      <c r="O496" s="546"/>
      <c r="P496" s="546"/>
      <c r="Q496" s="546"/>
      <c r="R496" s="546"/>
      <c r="S496" s="546"/>
      <c r="T496" s="546"/>
      <c r="U496" s="546"/>
      <c r="V496" s="546"/>
      <c r="W496" s="546"/>
      <c r="X496" s="546"/>
      <c r="Y496" s="546"/>
      <c r="Z496" s="546"/>
      <c r="AA496" s="547"/>
      <c r="AB496" s="548" t="s">
        <v>82</v>
      </c>
      <c r="AC496" s="549"/>
      <c r="AD496" s="550">
        <v>4</v>
      </c>
      <c r="AE496" s="551"/>
      <c r="AF496" s="552"/>
      <c r="AG496" s="553" t="s">
        <v>1084</v>
      </c>
      <c r="AH496" s="554"/>
      <c r="AI496" s="555" t="s">
        <v>1085</v>
      </c>
      <c r="AJ496" s="556"/>
      <c r="AK496" s="556"/>
      <c r="AL496" s="556"/>
      <c r="AM496" s="556"/>
      <c r="AN496" s="556"/>
      <c r="AO496" s="556"/>
      <c r="AP496" s="556"/>
      <c r="AQ496" s="556"/>
      <c r="AR496" s="556"/>
      <c r="AS496" s="556"/>
      <c r="AT496" s="556"/>
      <c r="AU496" s="556"/>
      <c r="AV496" s="557"/>
      <c r="AW496" s="558">
        <v>2</v>
      </c>
      <c r="AX496" s="559"/>
      <c r="AY496" s="560"/>
      <c r="AZ496" s="561">
        <v>1.18571</v>
      </c>
      <c r="BA496" s="562"/>
      <c r="BB496" s="563"/>
      <c r="BC496" s="558">
        <v>6.74701233859881</v>
      </c>
      <c r="BD496" s="559"/>
      <c r="BE496" s="560"/>
      <c r="BF496" s="558">
        <v>182.49</v>
      </c>
      <c r="BG496" s="559"/>
      <c r="BH496" s="560"/>
      <c r="BI496" s="564">
        <v>0.0369719564830885</v>
      </c>
      <c r="BJ496" s="565"/>
      <c r="BK496" s="565"/>
      <c r="BL496" s="566"/>
      <c r="BM496" s="567">
        <v>0.00739439129661769</v>
      </c>
      <c r="BN496" s="567"/>
      <c r="BO496" s="567"/>
      <c r="BP496" s="567"/>
      <c r="BQ496" s="568">
        <v>0.2</v>
      </c>
      <c r="BR496" s="568"/>
      <c r="BS496" s="568"/>
      <c r="BT496" s="567">
        <v>0.0184859782415442</v>
      </c>
      <c r="BU496" s="567"/>
      <c r="BV496" s="567"/>
      <c r="BW496" s="567"/>
      <c r="BX496" s="568">
        <v>0.5</v>
      </c>
      <c r="BY496" s="568"/>
      <c r="BZ496" s="568"/>
      <c r="CA496" s="567">
        <v>0.0110915869449265</v>
      </c>
      <c r="CB496" s="567"/>
      <c r="CC496" s="567"/>
      <c r="CD496" s="567"/>
      <c r="CE496" s="568">
        <v>0.3</v>
      </c>
      <c r="CF496" s="568"/>
      <c r="CG496" s="568"/>
      <c r="CH496" s="567" t="s">
        <v>932</v>
      </c>
      <c r="CI496" s="567"/>
      <c r="CJ496" s="567"/>
      <c r="CK496" s="567"/>
      <c r="CL496" s="568" t="s">
        <v>932</v>
      </c>
      <c r="CM496" s="568"/>
      <c r="CN496" s="568"/>
    </row>
    <row r="497" hidden="1" customHeight="1" spans="1:92">
      <c r="A497" s="569"/>
      <c r="B497" s="570"/>
      <c r="C497" s="571"/>
      <c r="D497" s="572"/>
      <c r="E497" s="573"/>
      <c r="F497" s="574"/>
      <c r="G497" s="575"/>
      <c r="H497" s="576"/>
      <c r="I497" s="577"/>
      <c r="J497" s="578"/>
      <c r="K497" s="578"/>
      <c r="L497" s="578"/>
      <c r="M497" s="578"/>
      <c r="N497" s="578"/>
      <c r="O497" s="578"/>
      <c r="P497" s="578"/>
      <c r="Q497" s="578"/>
      <c r="R497" s="578"/>
      <c r="S497" s="578"/>
      <c r="T497" s="578"/>
      <c r="U497" s="578"/>
      <c r="V497" s="578"/>
      <c r="W497" s="578"/>
      <c r="X497" s="578"/>
      <c r="Y497" s="578"/>
      <c r="Z497" s="578"/>
      <c r="AA497" s="579"/>
      <c r="AB497" s="580"/>
      <c r="AC497" s="581"/>
      <c r="AD497" s="582"/>
      <c r="AE497" s="583"/>
      <c r="AF497" s="584"/>
      <c r="AG497" s="553">
        <v>0</v>
      </c>
      <c r="AH497" s="554"/>
      <c r="AI497" s="555" t="e">
        <v>#N/A</v>
      </c>
      <c r="AJ497" s="556"/>
      <c r="AK497" s="556"/>
      <c r="AL497" s="556"/>
      <c r="AM497" s="556"/>
      <c r="AN497" s="556"/>
      <c r="AO497" s="556"/>
      <c r="AP497" s="556"/>
      <c r="AQ497" s="556"/>
      <c r="AR497" s="556"/>
      <c r="AS497" s="556"/>
      <c r="AT497" s="556"/>
      <c r="AU497" s="556"/>
      <c r="AV497" s="557"/>
      <c r="AW497" s="558">
        <v>0</v>
      </c>
      <c r="AX497" s="559"/>
      <c r="AY497" s="560"/>
      <c r="AZ497" s="585"/>
      <c r="BA497" s="586"/>
      <c r="BB497" s="587"/>
      <c r="BC497" s="558">
        <v>0</v>
      </c>
      <c r="BD497" s="559"/>
      <c r="BE497" s="560"/>
      <c r="BF497" s="558">
        <v>182.49</v>
      </c>
      <c r="BG497" s="559"/>
      <c r="BH497" s="560"/>
      <c r="BI497" s="564">
        <v>0</v>
      </c>
      <c r="BJ497" s="565"/>
      <c r="BK497" s="565"/>
      <c r="BL497" s="566"/>
      <c r="BM497" s="567" t="s">
        <v>932</v>
      </c>
      <c r="BN497" s="567"/>
      <c r="BO497" s="567"/>
      <c r="BP497" s="567"/>
      <c r="BQ497" s="568">
        <v>0.2</v>
      </c>
      <c r="BR497" s="568"/>
      <c r="BS497" s="568"/>
      <c r="BT497" s="567" t="s">
        <v>932</v>
      </c>
      <c r="BU497" s="567"/>
      <c r="BV497" s="567"/>
      <c r="BW497" s="567"/>
      <c r="BX497" s="568">
        <v>0.5</v>
      </c>
      <c r="BY497" s="568"/>
      <c r="BZ497" s="568"/>
      <c r="CA497" s="567" t="s">
        <v>932</v>
      </c>
      <c r="CB497" s="567"/>
      <c r="CC497" s="567"/>
      <c r="CD497" s="567"/>
      <c r="CE497" s="568">
        <v>0.3</v>
      </c>
      <c r="CF497" s="568"/>
      <c r="CG497" s="568"/>
      <c r="CH497" s="567" t="s">
        <v>932</v>
      </c>
      <c r="CI497" s="567"/>
      <c r="CJ497" s="567"/>
      <c r="CK497" s="567"/>
      <c r="CL497" s="568" t="s">
        <v>932</v>
      </c>
      <c r="CM497" s="568"/>
      <c r="CN497" s="568"/>
    </row>
    <row r="498" hidden="1" customHeight="1" spans="1:92">
      <c r="A498" s="569"/>
      <c r="B498" s="570"/>
      <c r="C498" s="571"/>
      <c r="D498" s="572"/>
      <c r="E498" s="573"/>
      <c r="F498" s="574"/>
      <c r="G498" s="575"/>
      <c r="H498" s="576"/>
      <c r="I498" s="577"/>
      <c r="J498" s="578"/>
      <c r="K498" s="578"/>
      <c r="L498" s="578"/>
      <c r="M498" s="578"/>
      <c r="N498" s="578"/>
      <c r="O498" s="578"/>
      <c r="P498" s="578"/>
      <c r="Q498" s="578"/>
      <c r="R498" s="578"/>
      <c r="S498" s="578"/>
      <c r="T498" s="578"/>
      <c r="U498" s="578"/>
      <c r="V498" s="578"/>
      <c r="W498" s="578"/>
      <c r="X498" s="578"/>
      <c r="Y498" s="578"/>
      <c r="Z498" s="578"/>
      <c r="AA498" s="579"/>
      <c r="AB498" s="580"/>
      <c r="AC498" s="581"/>
      <c r="AD498" s="582"/>
      <c r="AE498" s="583"/>
      <c r="AF498" s="584"/>
      <c r="AG498" s="553">
        <v>0</v>
      </c>
      <c r="AH498" s="554"/>
      <c r="AI498" s="555" t="e">
        <v>#N/A</v>
      </c>
      <c r="AJ498" s="556"/>
      <c r="AK498" s="556"/>
      <c r="AL498" s="556"/>
      <c r="AM498" s="556"/>
      <c r="AN498" s="556"/>
      <c r="AO498" s="556"/>
      <c r="AP498" s="556"/>
      <c r="AQ498" s="556"/>
      <c r="AR498" s="556"/>
      <c r="AS498" s="556"/>
      <c r="AT498" s="556"/>
      <c r="AU498" s="556"/>
      <c r="AV498" s="557"/>
      <c r="AW498" s="558">
        <v>0</v>
      </c>
      <c r="AX498" s="559"/>
      <c r="AY498" s="560"/>
      <c r="AZ498" s="585"/>
      <c r="BA498" s="586"/>
      <c r="BB498" s="587"/>
      <c r="BC498" s="558">
        <v>0</v>
      </c>
      <c r="BD498" s="559"/>
      <c r="BE498" s="560"/>
      <c r="BF498" s="558">
        <v>182.49</v>
      </c>
      <c r="BG498" s="559"/>
      <c r="BH498" s="560"/>
      <c r="BI498" s="564">
        <v>0</v>
      </c>
      <c r="BJ498" s="565"/>
      <c r="BK498" s="565"/>
      <c r="BL498" s="566"/>
      <c r="BM498" s="567" t="s">
        <v>932</v>
      </c>
      <c r="BN498" s="567"/>
      <c r="BO498" s="567"/>
      <c r="BP498" s="567"/>
      <c r="BQ498" s="568">
        <v>0.2</v>
      </c>
      <c r="BR498" s="568"/>
      <c r="BS498" s="568"/>
      <c r="BT498" s="567" t="s">
        <v>932</v>
      </c>
      <c r="BU498" s="567"/>
      <c r="BV498" s="567"/>
      <c r="BW498" s="567"/>
      <c r="BX498" s="568">
        <v>0.5</v>
      </c>
      <c r="BY498" s="568"/>
      <c r="BZ498" s="568"/>
      <c r="CA498" s="567" t="s">
        <v>932</v>
      </c>
      <c r="CB498" s="567"/>
      <c r="CC498" s="567"/>
      <c r="CD498" s="567"/>
      <c r="CE498" s="568">
        <v>0.3</v>
      </c>
      <c r="CF498" s="568"/>
      <c r="CG498" s="568"/>
      <c r="CH498" s="567" t="s">
        <v>932</v>
      </c>
      <c r="CI498" s="567"/>
      <c r="CJ498" s="567"/>
      <c r="CK498" s="567"/>
      <c r="CL498" s="568" t="s">
        <v>932</v>
      </c>
      <c r="CM498" s="568"/>
      <c r="CN498" s="568"/>
    </row>
    <row r="499" hidden="1" customHeight="1" spans="1:92">
      <c r="A499" s="569"/>
      <c r="B499" s="570"/>
      <c r="C499" s="571"/>
      <c r="D499" s="572"/>
      <c r="E499" s="573"/>
      <c r="F499" s="574"/>
      <c r="G499" s="575"/>
      <c r="H499" s="576"/>
      <c r="I499" s="577"/>
      <c r="J499" s="578"/>
      <c r="K499" s="578"/>
      <c r="L499" s="578"/>
      <c r="M499" s="578"/>
      <c r="N499" s="578"/>
      <c r="O499" s="578"/>
      <c r="P499" s="578"/>
      <c r="Q499" s="578"/>
      <c r="R499" s="578"/>
      <c r="S499" s="578"/>
      <c r="T499" s="578"/>
      <c r="U499" s="578"/>
      <c r="V499" s="578"/>
      <c r="W499" s="578"/>
      <c r="X499" s="578"/>
      <c r="Y499" s="578"/>
      <c r="Z499" s="578"/>
      <c r="AA499" s="579"/>
      <c r="AB499" s="580"/>
      <c r="AC499" s="581"/>
      <c r="AD499" s="582"/>
      <c r="AE499" s="583"/>
      <c r="AF499" s="584"/>
      <c r="AG499" s="553">
        <v>0</v>
      </c>
      <c r="AH499" s="554"/>
      <c r="AI499" s="555" t="e">
        <v>#N/A</v>
      </c>
      <c r="AJ499" s="556"/>
      <c r="AK499" s="556"/>
      <c r="AL499" s="556"/>
      <c r="AM499" s="556"/>
      <c r="AN499" s="556"/>
      <c r="AO499" s="556"/>
      <c r="AP499" s="556"/>
      <c r="AQ499" s="556"/>
      <c r="AR499" s="556"/>
      <c r="AS499" s="556"/>
      <c r="AT499" s="556"/>
      <c r="AU499" s="556"/>
      <c r="AV499" s="557"/>
      <c r="AW499" s="558">
        <v>0</v>
      </c>
      <c r="AX499" s="559"/>
      <c r="AY499" s="560"/>
      <c r="AZ499" s="585"/>
      <c r="BA499" s="586"/>
      <c r="BB499" s="587"/>
      <c r="BC499" s="558">
        <v>0</v>
      </c>
      <c r="BD499" s="559"/>
      <c r="BE499" s="560"/>
      <c r="BF499" s="558">
        <v>182.49</v>
      </c>
      <c r="BG499" s="559"/>
      <c r="BH499" s="560"/>
      <c r="BI499" s="564">
        <v>0</v>
      </c>
      <c r="BJ499" s="565"/>
      <c r="BK499" s="565"/>
      <c r="BL499" s="566"/>
      <c r="BM499" s="567" t="s">
        <v>932</v>
      </c>
      <c r="BN499" s="567"/>
      <c r="BO499" s="567"/>
      <c r="BP499" s="567"/>
      <c r="BQ499" s="568">
        <v>0.2</v>
      </c>
      <c r="BR499" s="568"/>
      <c r="BS499" s="568"/>
      <c r="BT499" s="567" t="s">
        <v>932</v>
      </c>
      <c r="BU499" s="567"/>
      <c r="BV499" s="567"/>
      <c r="BW499" s="567"/>
      <c r="BX499" s="568">
        <v>0.5</v>
      </c>
      <c r="BY499" s="568"/>
      <c r="BZ499" s="568"/>
      <c r="CA499" s="567" t="s">
        <v>932</v>
      </c>
      <c r="CB499" s="567"/>
      <c r="CC499" s="567"/>
      <c r="CD499" s="567"/>
      <c r="CE499" s="568">
        <v>0.3</v>
      </c>
      <c r="CF499" s="568"/>
      <c r="CG499" s="568"/>
      <c r="CH499" s="567" t="s">
        <v>932</v>
      </c>
      <c r="CI499" s="567"/>
      <c r="CJ499" s="567"/>
      <c r="CK499" s="567"/>
      <c r="CL499" s="568" t="s">
        <v>932</v>
      </c>
      <c r="CM499" s="568"/>
      <c r="CN499" s="568"/>
    </row>
    <row r="500" hidden="1" customHeight="1" spans="1:92">
      <c r="A500" s="569"/>
      <c r="B500" s="570"/>
      <c r="C500" s="571"/>
      <c r="D500" s="572"/>
      <c r="E500" s="573"/>
      <c r="F500" s="574"/>
      <c r="G500" s="575"/>
      <c r="H500" s="576"/>
      <c r="I500" s="577"/>
      <c r="J500" s="578"/>
      <c r="K500" s="578"/>
      <c r="L500" s="578"/>
      <c r="M500" s="578"/>
      <c r="N500" s="578"/>
      <c r="O500" s="578"/>
      <c r="P500" s="578"/>
      <c r="Q500" s="578"/>
      <c r="R500" s="578"/>
      <c r="S500" s="578"/>
      <c r="T500" s="578"/>
      <c r="U500" s="578"/>
      <c r="V500" s="578"/>
      <c r="W500" s="578"/>
      <c r="X500" s="578"/>
      <c r="Y500" s="578"/>
      <c r="Z500" s="578"/>
      <c r="AA500" s="579"/>
      <c r="AB500" s="580"/>
      <c r="AC500" s="581"/>
      <c r="AD500" s="582"/>
      <c r="AE500" s="583"/>
      <c r="AF500" s="584"/>
      <c r="AG500" s="553">
        <v>0</v>
      </c>
      <c r="AH500" s="554"/>
      <c r="AI500" s="555" t="e">
        <v>#N/A</v>
      </c>
      <c r="AJ500" s="556"/>
      <c r="AK500" s="556"/>
      <c r="AL500" s="556"/>
      <c r="AM500" s="556"/>
      <c r="AN500" s="556"/>
      <c r="AO500" s="556"/>
      <c r="AP500" s="556"/>
      <c r="AQ500" s="556"/>
      <c r="AR500" s="556"/>
      <c r="AS500" s="556"/>
      <c r="AT500" s="556"/>
      <c r="AU500" s="556"/>
      <c r="AV500" s="557"/>
      <c r="AW500" s="558">
        <v>0</v>
      </c>
      <c r="AX500" s="559"/>
      <c r="AY500" s="560"/>
      <c r="AZ500" s="585"/>
      <c r="BA500" s="586"/>
      <c r="BB500" s="587"/>
      <c r="BC500" s="558">
        <v>0</v>
      </c>
      <c r="BD500" s="559"/>
      <c r="BE500" s="560"/>
      <c r="BF500" s="558">
        <v>182.49</v>
      </c>
      <c r="BG500" s="559"/>
      <c r="BH500" s="560"/>
      <c r="BI500" s="564">
        <v>0</v>
      </c>
      <c r="BJ500" s="565"/>
      <c r="BK500" s="565"/>
      <c r="BL500" s="566"/>
      <c r="BM500" s="567" t="s">
        <v>932</v>
      </c>
      <c r="BN500" s="567"/>
      <c r="BO500" s="567"/>
      <c r="BP500" s="567"/>
      <c r="BQ500" s="568">
        <v>0.2</v>
      </c>
      <c r="BR500" s="568"/>
      <c r="BS500" s="568"/>
      <c r="BT500" s="567" t="s">
        <v>932</v>
      </c>
      <c r="BU500" s="567"/>
      <c r="BV500" s="567"/>
      <c r="BW500" s="567"/>
      <c r="BX500" s="568">
        <v>0.5</v>
      </c>
      <c r="BY500" s="568"/>
      <c r="BZ500" s="568"/>
      <c r="CA500" s="567" t="s">
        <v>932</v>
      </c>
      <c r="CB500" s="567"/>
      <c r="CC500" s="567"/>
      <c r="CD500" s="567"/>
      <c r="CE500" s="568">
        <v>0.3</v>
      </c>
      <c r="CF500" s="568"/>
      <c r="CG500" s="568"/>
      <c r="CH500" s="567" t="s">
        <v>932</v>
      </c>
      <c r="CI500" s="567"/>
      <c r="CJ500" s="567"/>
      <c r="CK500" s="567"/>
      <c r="CL500" s="568" t="s">
        <v>932</v>
      </c>
      <c r="CM500" s="568"/>
      <c r="CN500" s="568"/>
    </row>
    <row r="501" hidden="1" customHeight="1" spans="1:92">
      <c r="A501" s="569"/>
      <c r="B501" s="570"/>
      <c r="C501" s="571"/>
      <c r="D501" s="572"/>
      <c r="E501" s="573"/>
      <c r="F501" s="574"/>
      <c r="G501" s="575"/>
      <c r="H501" s="576"/>
      <c r="I501" s="577"/>
      <c r="J501" s="578"/>
      <c r="K501" s="578"/>
      <c r="L501" s="578"/>
      <c r="M501" s="578"/>
      <c r="N501" s="578"/>
      <c r="O501" s="578"/>
      <c r="P501" s="578"/>
      <c r="Q501" s="578"/>
      <c r="R501" s="578"/>
      <c r="S501" s="578"/>
      <c r="T501" s="578"/>
      <c r="U501" s="578"/>
      <c r="V501" s="578"/>
      <c r="W501" s="578"/>
      <c r="X501" s="578"/>
      <c r="Y501" s="578"/>
      <c r="Z501" s="578"/>
      <c r="AA501" s="579"/>
      <c r="AB501" s="580"/>
      <c r="AC501" s="581"/>
      <c r="AD501" s="582"/>
      <c r="AE501" s="583"/>
      <c r="AF501" s="584"/>
      <c r="AG501" s="553">
        <v>0</v>
      </c>
      <c r="AH501" s="554"/>
      <c r="AI501" s="555" t="e">
        <v>#N/A</v>
      </c>
      <c r="AJ501" s="556"/>
      <c r="AK501" s="556"/>
      <c r="AL501" s="556"/>
      <c r="AM501" s="556"/>
      <c r="AN501" s="556"/>
      <c r="AO501" s="556"/>
      <c r="AP501" s="556"/>
      <c r="AQ501" s="556"/>
      <c r="AR501" s="556"/>
      <c r="AS501" s="556"/>
      <c r="AT501" s="556"/>
      <c r="AU501" s="556"/>
      <c r="AV501" s="557"/>
      <c r="AW501" s="558">
        <v>0</v>
      </c>
      <c r="AX501" s="559"/>
      <c r="AY501" s="560"/>
      <c r="AZ501" s="585"/>
      <c r="BA501" s="586"/>
      <c r="BB501" s="587"/>
      <c r="BC501" s="558">
        <v>0</v>
      </c>
      <c r="BD501" s="559"/>
      <c r="BE501" s="560"/>
      <c r="BF501" s="558">
        <v>182.49</v>
      </c>
      <c r="BG501" s="559"/>
      <c r="BH501" s="560"/>
      <c r="BI501" s="564">
        <v>0</v>
      </c>
      <c r="BJ501" s="565"/>
      <c r="BK501" s="565"/>
      <c r="BL501" s="566"/>
      <c r="BM501" s="567" t="s">
        <v>932</v>
      </c>
      <c r="BN501" s="567"/>
      <c r="BO501" s="567"/>
      <c r="BP501" s="567"/>
      <c r="BQ501" s="568">
        <v>0.2</v>
      </c>
      <c r="BR501" s="568"/>
      <c r="BS501" s="568"/>
      <c r="BT501" s="567" t="s">
        <v>932</v>
      </c>
      <c r="BU501" s="567"/>
      <c r="BV501" s="567"/>
      <c r="BW501" s="567"/>
      <c r="BX501" s="568">
        <v>0.5</v>
      </c>
      <c r="BY501" s="568"/>
      <c r="BZ501" s="568"/>
      <c r="CA501" s="567" t="s">
        <v>932</v>
      </c>
      <c r="CB501" s="567"/>
      <c r="CC501" s="567"/>
      <c r="CD501" s="567"/>
      <c r="CE501" s="568">
        <v>0.3</v>
      </c>
      <c r="CF501" s="568"/>
      <c r="CG501" s="568"/>
      <c r="CH501" s="567" t="s">
        <v>932</v>
      </c>
      <c r="CI501" s="567"/>
      <c r="CJ501" s="567"/>
      <c r="CK501" s="567"/>
      <c r="CL501" s="568" t="s">
        <v>932</v>
      </c>
      <c r="CM501" s="568"/>
      <c r="CN501" s="568"/>
    </row>
    <row r="502" hidden="1" customHeight="1" spans="1:92">
      <c r="A502" s="569"/>
      <c r="B502" s="570"/>
      <c r="C502" s="571"/>
      <c r="D502" s="572"/>
      <c r="E502" s="573"/>
      <c r="F502" s="574"/>
      <c r="G502" s="575"/>
      <c r="H502" s="576"/>
      <c r="I502" s="577"/>
      <c r="J502" s="578"/>
      <c r="K502" s="578"/>
      <c r="L502" s="578"/>
      <c r="M502" s="578"/>
      <c r="N502" s="578"/>
      <c r="O502" s="578"/>
      <c r="P502" s="578"/>
      <c r="Q502" s="578"/>
      <c r="R502" s="578"/>
      <c r="S502" s="578"/>
      <c r="T502" s="578"/>
      <c r="U502" s="578"/>
      <c r="V502" s="578"/>
      <c r="W502" s="578"/>
      <c r="X502" s="578"/>
      <c r="Y502" s="578"/>
      <c r="Z502" s="578"/>
      <c r="AA502" s="579"/>
      <c r="AB502" s="580"/>
      <c r="AC502" s="581"/>
      <c r="AD502" s="582"/>
      <c r="AE502" s="583"/>
      <c r="AF502" s="584"/>
      <c r="AG502" s="553">
        <v>0</v>
      </c>
      <c r="AH502" s="554"/>
      <c r="AI502" s="555" t="e">
        <v>#N/A</v>
      </c>
      <c r="AJ502" s="556"/>
      <c r="AK502" s="556"/>
      <c r="AL502" s="556"/>
      <c r="AM502" s="556"/>
      <c r="AN502" s="556"/>
      <c r="AO502" s="556"/>
      <c r="AP502" s="556"/>
      <c r="AQ502" s="556"/>
      <c r="AR502" s="556"/>
      <c r="AS502" s="556"/>
      <c r="AT502" s="556"/>
      <c r="AU502" s="556"/>
      <c r="AV502" s="557"/>
      <c r="AW502" s="558">
        <v>0</v>
      </c>
      <c r="AX502" s="559"/>
      <c r="AY502" s="560"/>
      <c r="AZ502" s="585"/>
      <c r="BA502" s="586"/>
      <c r="BB502" s="587"/>
      <c r="BC502" s="558">
        <v>0</v>
      </c>
      <c r="BD502" s="559"/>
      <c r="BE502" s="560"/>
      <c r="BF502" s="558">
        <v>182.49</v>
      </c>
      <c r="BG502" s="559"/>
      <c r="BH502" s="560"/>
      <c r="BI502" s="564">
        <v>0</v>
      </c>
      <c r="BJ502" s="565"/>
      <c r="BK502" s="565"/>
      <c r="BL502" s="566"/>
      <c r="BM502" s="567" t="s">
        <v>932</v>
      </c>
      <c r="BN502" s="567"/>
      <c r="BO502" s="567"/>
      <c r="BP502" s="567"/>
      <c r="BQ502" s="568">
        <v>0.2</v>
      </c>
      <c r="BR502" s="568"/>
      <c r="BS502" s="568"/>
      <c r="BT502" s="567" t="s">
        <v>932</v>
      </c>
      <c r="BU502" s="567"/>
      <c r="BV502" s="567"/>
      <c r="BW502" s="567"/>
      <c r="BX502" s="568">
        <v>0.5</v>
      </c>
      <c r="BY502" s="568"/>
      <c r="BZ502" s="568"/>
      <c r="CA502" s="567" t="s">
        <v>932</v>
      </c>
      <c r="CB502" s="567"/>
      <c r="CC502" s="567"/>
      <c r="CD502" s="567"/>
      <c r="CE502" s="568">
        <v>0.3</v>
      </c>
      <c r="CF502" s="568"/>
      <c r="CG502" s="568"/>
      <c r="CH502" s="567" t="s">
        <v>932</v>
      </c>
      <c r="CI502" s="567"/>
      <c r="CJ502" s="567"/>
      <c r="CK502" s="567"/>
      <c r="CL502" s="568" t="s">
        <v>932</v>
      </c>
      <c r="CM502" s="568"/>
      <c r="CN502" s="568"/>
    </row>
    <row r="503" hidden="1" customHeight="1" spans="1:92">
      <c r="A503" s="588"/>
      <c r="B503" s="589"/>
      <c r="C503" s="590"/>
      <c r="D503" s="591"/>
      <c r="E503" s="592"/>
      <c r="F503" s="593"/>
      <c r="G503" s="594"/>
      <c r="H503" s="595"/>
      <c r="I503" s="596"/>
      <c r="J503" s="597"/>
      <c r="K503" s="597"/>
      <c r="L503" s="597"/>
      <c r="M503" s="597"/>
      <c r="N503" s="597"/>
      <c r="O503" s="597"/>
      <c r="P503" s="597"/>
      <c r="Q503" s="597"/>
      <c r="R503" s="597"/>
      <c r="S503" s="597"/>
      <c r="T503" s="597"/>
      <c r="U503" s="597"/>
      <c r="V503" s="597"/>
      <c r="W503" s="597"/>
      <c r="X503" s="597"/>
      <c r="Y503" s="597"/>
      <c r="Z503" s="597"/>
      <c r="AA503" s="598"/>
      <c r="AB503" s="599"/>
      <c r="AC503" s="600"/>
      <c r="AD503" s="601"/>
      <c r="AE503" s="602"/>
      <c r="AF503" s="603"/>
      <c r="AG503" s="553">
        <v>0</v>
      </c>
      <c r="AH503" s="554"/>
      <c r="AI503" s="555" t="e">
        <v>#N/A</v>
      </c>
      <c r="AJ503" s="556"/>
      <c r="AK503" s="556"/>
      <c r="AL503" s="556"/>
      <c r="AM503" s="556"/>
      <c r="AN503" s="556"/>
      <c r="AO503" s="556"/>
      <c r="AP503" s="556"/>
      <c r="AQ503" s="556"/>
      <c r="AR503" s="556"/>
      <c r="AS503" s="556"/>
      <c r="AT503" s="556"/>
      <c r="AU503" s="556"/>
      <c r="AV503" s="557"/>
      <c r="AW503" s="558">
        <v>0</v>
      </c>
      <c r="AX503" s="559"/>
      <c r="AY503" s="560"/>
      <c r="AZ503" s="604"/>
      <c r="BA503" s="605"/>
      <c r="BB503" s="606"/>
      <c r="BC503" s="558">
        <v>0</v>
      </c>
      <c r="BD503" s="559"/>
      <c r="BE503" s="560"/>
      <c r="BF503" s="558">
        <v>182.49</v>
      </c>
      <c r="BG503" s="559"/>
      <c r="BH503" s="560"/>
      <c r="BI503" s="564">
        <v>0</v>
      </c>
      <c r="BJ503" s="565"/>
      <c r="BK503" s="565"/>
      <c r="BL503" s="566"/>
      <c r="BM503" s="567" t="s">
        <v>932</v>
      </c>
      <c r="BN503" s="567"/>
      <c r="BO503" s="567"/>
      <c r="BP503" s="567"/>
      <c r="BQ503" s="568">
        <v>0.2</v>
      </c>
      <c r="BR503" s="568"/>
      <c r="BS503" s="568"/>
      <c r="BT503" s="567" t="s">
        <v>932</v>
      </c>
      <c r="BU503" s="567"/>
      <c r="BV503" s="567"/>
      <c r="BW503" s="567"/>
      <c r="BX503" s="568">
        <v>0.5</v>
      </c>
      <c r="BY503" s="568"/>
      <c r="BZ503" s="568"/>
      <c r="CA503" s="567" t="s">
        <v>932</v>
      </c>
      <c r="CB503" s="567"/>
      <c r="CC503" s="567"/>
      <c r="CD503" s="567"/>
      <c r="CE503" s="568">
        <v>0.3</v>
      </c>
      <c r="CF503" s="568"/>
      <c r="CG503" s="568"/>
      <c r="CH503" s="567" t="s">
        <v>932</v>
      </c>
      <c r="CI503" s="567"/>
      <c r="CJ503" s="567"/>
      <c r="CK503" s="567"/>
      <c r="CL503" s="568" t="s">
        <v>932</v>
      </c>
      <c r="CM503" s="568"/>
      <c r="CN503" s="568"/>
    </row>
    <row r="504" customHeight="1" spans="1:92">
      <c r="A504" s="540" t="s">
        <v>1003</v>
      </c>
      <c r="B504" s="541"/>
      <c r="C504" s="89"/>
      <c r="D504" s="91"/>
      <c r="E504" s="90"/>
      <c r="F504" s="542">
        <v>1100657</v>
      </c>
      <c r="G504" s="543"/>
      <c r="H504" s="544"/>
      <c r="I504" s="545" t="s">
        <v>114</v>
      </c>
      <c r="J504" s="546"/>
      <c r="K504" s="546"/>
      <c r="L504" s="546"/>
      <c r="M504" s="546"/>
      <c r="N504" s="546"/>
      <c r="O504" s="546"/>
      <c r="P504" s="546"/>
      <c r="Q504" s="546"/>
      <c r="R504" s="546"/>
      <c r="S504" s="546"/>
      <c r="T504" s="546"/>
      <c r="U504" s="546"/>
      <c r="V504" s="546"/>
      <c r="W504" s="546"/>
      <c r="X504" s="546"/>
      <c r="Y504" s="546"/>
      <c r="Z504" s="546"/>
      <c r="AA504" s="547"/>
      <c r="AB504" s="548" t="s">
        <v>99</v>
      </c>
      <c r="AC504" s="549"/>
      <c r="AD504" s="550">
        <v>21.65</v>
      </c>
      <c r="AE504" s="551"/>
      <c r="AF504" s="552"/>
      <c r="AG504" s="553" t="s">
        <v>1080</v>
      </c>
      <c r="AH504" s="554"/>
      <c r="AI504" s="555" t="s">
        <v>1081</v>
      </c>
      <c r="AJ504" s="556"/>
      <c r="AK504" s="556"/>
      <c r="AL504" s="556"/>
      <c r="AM504" s="556"/>
      <c r="AN504" s="556"/>
      <c r="AO504" s="556"/>
      <c r="AP504" s="556"/>
      <c r="AQ504" s="556"/>
      <c r="AR504" s="556"/>
      <c r="AS504" s="556"/>
      <c r="AT504" s="556"/>
      <c r="AU504" s="556"/>
      <c r="AV504" s="557"/>
      <c r="AW504" s="558">
        <v>1</v>
      </c>
      <c r="AX504" s="559"/>
      <c r="AY504" s="560"/>
      <c r="AZ504" s="561">
        <v>9</v>
      </c>
      <c r="BA504" s="562"/>
      <c r="BB504" s="563"/>
      <c r="BC504" s="558">
        <v>2.40555555555556</v>
      </c>
      <c r="BD504" s="559"/>
      <c r="BE504" s="560"/>
      <c r="BF504" s="558">
        <v>182.49</v>
      </c>
      <c r="BG504" s="559"/>
      <c r="BH504" s="560"/>
      <c r="BI504" s="564">
        <v>0.0131818486248866</v>
      </c>
      <c r="BJ504" s="565"/>
      <c r="BK504" s="565"/>
      <c r="BL504" s="566"/>
      <c r="BM504" s="567">
        <v>0.00263636972497732</v>
      </c>
      <c r="BN504" s="567"/>
      <c r="BO504" s="567"/>
      <c r="BP504" s="567"/>
      <c r="BQ504" s="568">
        <v>0.2</v>
      </c>
      <c r="BR504" s="568"/>
      <c r="BS504" s="568"/>
      <c r="BT504" s="567">
        <v>0.0065909243124433</v>
      </c>
      <c r="BU504" s="567"/>
      <c r="BV504" s="567"/>
      <c r="BW504" s="567"/>
      <c r="BX504" s="568">
        <v>0.5</v>
      </c>
      <c r="BY504" s="568"/>
      <c r="BZ504" s="568"/>
      <c r="CA504" s="567">
        <v>0.00395455458746598</v>
      </c>
      <c r="CB504" s="567"/>
      <c r="CC504" s="567"/>
      <c r="CD504" s="567"/>
      <c r="CE504" s="568">
        <v>0.3</v>
      </c>
      <c r="CF504" s="568"/>
      <c r="CG504" s="568"/>
      <c r="CH504" s="567" t="s">
        <v>932</v>
      </c>
      <c r="CI504" s="567"/>
      <c r="CJ504" s="567"/>
      <c r="CK504" s="567"/>
      <c r="CL504" s="568" t="s">
        <v>932</v>
      </c>
      <c r="CM504" s="568"/>
      <c r="CN504" s="568"/>
    </row>
    <row r="505" hidden="1" customHeight="1" spans="1:92">
      <c r="A505" s="569"/>
      <c r="B505" s="570"/>
      <c r="C505" s="571"/>
      <c r="D505" s="572"/>
      <c r="E505" s="573"/>
      <c r="F505" s="574"/>
      <c r="G505" s="575"/>
      <c r="H505" s="576"/>
      <c r="I505" s="577"/>
      <c r="J505" s="578"/>
      <c r="K505" s="578"/>
      <c r="L505" s="578"/>
      <c r="M505" s="578"/>
      <c r="N505" s="578"/>
      <c r="O505" s="578"/>
      <c r="P505" s="578"/>
      <c r="Q505" s="578"/>
      <c r="R505" s="578"/>
      <c r="S505" s="578"/>
      <c r="T505" s="578"/>
      <c r="U505" s="578"/>
      <c r="V505" s="578"/>
      <c r="W505" s="578"/>
      <c r="X505" s="578"/>
      <c r="Y505" s="578"/>
      <c r="Z505" s="578"/>
      <c r="AA505" s="579"/>
      <c r="AB505" s="580"/>
      <c r="AC505" s="581"/>
      <c r="AD505" s="582"/>
      <c r="AE505" s="583"/>
      <c r="AF505" s="584"/>
      <c r="AG505" s="553">
        <v>0</v>
      </c>
      <c r="AH505" s="554"/>
      <c r="AI505" s="555" t="e">
        <v>#N/A</v>
      </c>
      <c r="AJ505" s="556"/>
      <c r="AK505" s="556"/>
      <c r="AL505" s="556"/>
      <c r="AM505" s="556"/>
      <c r="AN505" s="556"/>
      <c r="AO505" s="556"/>
      <c r="AP505" s="556"/>
      <c r="AQ505" s="556"/>
      <c r="AR505" s="556"/>
      <c r="AS505" s="556"/>
      <c r="AT505" s="556"/>
      <c r="AU505" s="556"/>
      <c r="AV505" s="557"/>
      <c r="AW505" s="558">
        <v>0</v>
      </c>
      <c r="AX505" s="559"/>
      <c r="AY505" s="560"/>
      <c r="AZ505" s="585"/>
      <c r="BA505" s="586"/>
      <c r="BB505" s="587"/>
      <c r="BC505" s="558">
        <v>0</v>
      </c>
      <c r="BD505" s="559"/>
      <c r="BE505" s="560"/>
      <c r="BF505" s="558">
        <v>182.49</v>
      </c>
      <c r="BG505" s="559"/>
      <c r="BH505" s="560"/>
      <c r="BI505" s="564">
        <v>0</v>
      </c>
      <c r="BJ505" s="565"/>
      <c r="BK505" s="565"/>
      <c r="BL505" s="566"/>
      <c r="BM505" s="567" t="s">
        <v>932</v>
      </c>
      <c r="BN505" s="567"/>
      <c r="BO505" s="567"/>
      <c r="BP505" s="567"/>
      <c r="BQ505" s="568">
        <v>0.2</v>
      </c>
      <c r="BR505" s="568"/>
      <c r="BS505" s="568"/>
      <c r="BT505" s="567" t="s">
        <v>932</v>
      </c>
      <c r="BU505" s="567"/>
      <c r="BV505" s="567"/>
      <c r="BW505" s="567"/>
      <c r="BX505" s="568">
        <v>0.5</v>
      </c>
      <c r="BY505" s="568"/>
      <c r="BZ505" s="568"/>
      <c r="CA505" s="567" t="s">
        <v>932</v>
      </c>
      <c r="CB505" s="567"/>
      <c r="CC505" s="567"/>
      <c r="CD505" s="567"/>
      <c r="CE505" s="568">
        <v>0.3</v>
      </c>
      <c r="CF505" s="568"/>
      <c r="CG505" s="568"/>
      <c r="CH505" s="567" t="s">
        <v>932</v>
      </c>
      <c r="CI505" s="567"/>
      <c r="CJ505" s="567"/>
      <c r="CK505" s="567"/>
      <c r="CL505" s="568" t="s">
        <v>932</v>
      </c>
      <c r="CM505" s="568"/>
      <c r="CN505" s="568"/>
    </row>
    <row r="506" hidden="1" customHeight="1" spans="1:92">
      <c r="A506" s="569"/>
      <c r="B506" s="570"/>
      <c r="C506" s="571"/>
      <c r="D506" s="572"/>
      <c r="E506" s="573"/>
      <c r="F506" s="574"/>
      <c r="G506" s="575"/>
      <c r="H506" s="576"/>
      <c r="I506" s="577"/>
      <c r="J506" s="578"/>
      <c r="K506" s="578"/>
      <c r="L506" s="578"/>
      <c r="M506" s="578"/>
      <c r="N506" s="578"/>
      <c r="O506" s="578"/>
      <c r="P506" s="578"/>
      <c r="Q506" s="578"/>
      <c r="R506" s="578"/>
      <c r="S506" s="578"/>
      <c r="T506" s="578"/>
      <c r="U506" s="578"/>
      <c r="V506" s="578"/>
      <c r="W506" s="578"/>
      <c r="X506" s="578"/>
      <c r="Y506" s="578"/>
      <c r="Z506" s="578"/>
      <c r="AA506" s="579"/>
      <c r="AB506" s="580"/>
      <c r="AC506" s="581"/>
      <c r="AD506" s="582"/>
      <c r="AE506" s="583"/>
      <c r="AF506" s="584"/>
      <c r="AG506" s="553">
        <v>0</v>
      </c>
      <c r="AH506" s="554"/>
      <c r="AI506" s="555" t="e">
        <v>#N/A</v>
      </c>
      <c r="AJ506" s="556"/>
      <c r="AK506" s="556"/>
      <c r="AL506" s="556"/>
      <c r="AM506" s="556"/>
      <c r="AN506" s="556"/>
      <c r="AO506" s="556"/>
      <c r="AP506" s="556"/>
      <c r="AQ506" s="556"/>
      <c r="AR506" s="556"/>
      <c r="AS506" s="556"/>
      <c r="AT506" s="556"/>
      <c r="AU506" s="556"/>
      <c r="AV506" s="557"/>
      <c r="AW506" s="558">
        <v>0</v>
      </c>
      <c r="AX506" s="559"/>
      <c r="AY506" s="560"/>
      <c r="AZ506" s="585"/>
      <c r="BA506" s="586"/>
      <c r="BB506" s="587"/>
      <c r="BC506" s="558">
        <v>0</v>
      </c>
      <c r="BD506" s="559"/>
      <c r="BE506" s="560"/>
      <c r="BF506" s="558">
        <v>182.49</v>
      </c>
      <c r="BG506" s="559"/>
      <c r="BH506" s="560"/>
      <c r="BI506" s="564">
        <v>0</v>
      </c>
      <c r="BJ506" s="565"/>
      <c r="BK506" s="565"/>
      <c r="BL506" s="566"/>
      <c r="BM506" s="567" t="s">
        <v>932</v>
      </c>
      <c r="BN506" s="567"/>
      <c r="BO506" s="567"/>
      <c r="BP506" s="567"/>
      <c r="BQ506" s="568">
        <v>0.2</v>
      </c>
      <c r="BR506" s="568"/>
      <c r="BS506" s="568"/>
      <c r="BT506" s="567" t="s">
        <v>932</v>
      </c>
      <c r="BU506" s="567"/>
      <c r="BV506" s="567"/>
      <c r="BW506" s="567"/>
      <c r="BX506" s="568">
        <v>0.5</v>
      </c>
      <c r="BY506" s="568"/>
      <c r="BZ506" s="568"/>
      <c r="CA506" s="567" t="s">
        <v>932</v>
      </c>
      <c r="CB506" s="567"/>
      <c r="CC506" s="567"/>
      <c r="CD506" s="567"/>
      <c r="CE506" s="568">
        <v>0.3</v>
      </c>
      <c r="CF506" s="568"/>
      <c r="CG506" s="568"/>
      <c r="CH506" s="567" t="s">
        <v>932</v>
      </c>
      <c r="CI506" s="567"/>
      <c r="CJ506" s="567"/>
      <c r="CK506" s="567"/>
      <c r="CL506" s="568" t="s">
        <v>932</v>
      </c>
      <c r="CM506" s="568"/>
      <c r="CN506" s="568"/>
    </row>
    <row r="507" hidden="1" customHeight="1" spans="1:92">
      <c r="A507" s="569"/>
      <c r="B507" s="570"/>
      <c r="C507" s="571"/>
      <c r="D507" s="572"/>
      <c r="E507" s="573"/>
      <c r="F507" s="574"/>
      <c r="G507" s="575"/>
      <c r="H507" s="576"/>
      <c r="I507" s="577"/>
      <c r="J507" s="578"/>
      <c r="K507" s="578"/>
      <c r="L507" s="578"/>
      <c r="M507" s="578"/>
      <c r="N507" s="578"/>
      <c r="O507" s="578"/>
      <c r="P507" s="578"/>
      <c r="Q507" s="578"/>
      <c r="R507" s="578"/>
      <c r="S507" s="578"/>
      <c r="T507" s="578"/>
      <c r="U507" s="578"/>
      <c r="V507" s="578"/>
      <c r="W507" s="578"/>
      <c r="X507" s="578"/>
      <c r="Y507" s="578"/>
      <c r="Z507" s="578"/>
      <c r="AA507" s="579"/>
      <c r="AB507" s="580"/>
      <c r="AC507" s="581"/>
      <c r="AD507" s="582"/>
      <c r="AE507" s="583"/>
      <c r="AF507" s="584"/>
      <c r="AG507" s="553">
        <v>0</v>
      </c>
      <c r="AH507" s="554"/>
      <c r="AI507" s="555" t="e">
        <v>#N/A</v>
      </c>
      <c r="AJ507" s="556"/>
      <c r="AK507" s="556"/>
      <c r="AL507" s="556"/>
      <c r="AM507" s="556"/>
      <c r="AN507" s="556"/>
      <c r="AO507" s="556"/>
      <c r="AP507" s="556"/>
      <c r="AQ507" s="556"/>
      <c r="AR507" s="556"/>
      <c r="AS507" s="556"/>
      <c r="AT507" s="556"/>
      <c r="AU507" s="556"/>
      <c r="AV507" s="557"/>
      <c r="AW507" s="558">
        <v>0</v>
      </c>
      <c r="AX507" s="559"/>
      <c r="AY507" s="560"/>
      <c r="AZ507" s="585"/>
      <c r="BA507" s="586"/>
      <c r="BB507" s="587"/>
      <c r="BC507" s="558">
        <v>0</v>
      </c>
      <c r="BD507" s="559"/>
      <c r="BE507" s="560"/>
      <c r="BF507" s="558">
        <v>182.49</v>
      </c>
      <c r="BG507" s="559"/>
      <c r="BH507" s="560"/>
      <c r="BI507" s="564">
        <v>0</v>
      </c>
      <c r="BJ507" s="565"/>
      <c r="BK507" s="565"/>
      <c r="BL507" s="566"/>
      <c r="BM507" s="567" t="s">
        <v>932</v>
      </c>
      <c r="BN507" s="567"/>
      <c r="BO507" s="567"/>
      <c r="BP507" s="567"/>
      <c r="BQ507" s="568">
        <v>0.2</v>
      </c>
      <c r="BR507" s="568"/>
      <c r="BS507" s="568"/>
      <c r="BT507" s="567" t="s">
        <v>932</v>
      </c>
      <c r="BU507" s="567"/>
      <c r="BV507" s="567"/>
      <c r="BW507" s="567"/>
      <c r="BX507" s="568">
        <v>0.5</v>
      </c>
      <c r="BY507" s="568"/>
      <c r="BZ507" s="568"/>
      <c r="CA507" s="567" t="s">
        <v>932</v>
      </c>
      <c r="CB507" s="567"/>
      <c r="CC507" s="567"/>
      <c r="CD507" s="567"/>
      <c r="CE507" s="568">
        <v>0.3</v>
      </c>
      <c r="CF507" s="568"/>
      <c r="CG507" s="568"/>
      <c r="CH507" s="567" t="s">
        <v>932</v>
      </c>
      <c r="CI507" s="567"/>
      <c r="CJ507" s="567"/>
      <c r="CK507" s="567"/>
      <c r="CL507" s="568" t="s">
        <v>932</v>
      </c>
      <c r="CM507" s="568"/>
      <c r="CN507" s="568"/>
    </row>
    <row r="508" hidden="1" customHeight="1" spans="1:92">
      <c r="A508" s="569"/>
      <c r="B508" s="570"/>
      <c r="C508" s="571"/>
      <c r="D508" s="572"/>
      <c r="E508" s="573"/>
      <c r="F508" s="574"/>
      <c r="G508" s="575"/>
      <c r="H508" s="576"/>
      <c r="I508" s="577"/>
      <c r="J508" s="578"/>
      <c r="K508" s="578"/>
      <c r="L508" s="578"/>
      <c r="M508" s="578"/>
      <c r="N508" s="578"/>
      <c r="O508" s="578"/>
      <c r="P508" s="578"/>
      <c r="Q508" s="578"/>
      <c r="R508" s="578"/>
      <c r="S508" s="578"/>
      <c r="T508" s="578"/>
      <c r="U508" s="578"/>
      <c r="V508" s="578"/>
      <c r="W508" s="578"/>
      <c r="X508" s="578"/>
      <c r="Y508" s="578"/>
      <c r="Z508" s="578"/>
      <c r="AA508" s="579"/>
      <c r="AB508" s="580"/>
      <c r="AC508" s="581"/>
      <c r="AD508" s="582"/>
      <c r="AE508" s="583"/>
      <c r="AF508" s="584"/>
      <c r="AG508" s="553">
        <v>0</v>
      </c>
      <c r="AH508" s="554"/>
      <c r="AI508" s="555" t="e">
        <v>#N/A</v>
      </c>
      <c r="AJ508" s="556"/>
      <c r="AK508" s="556"/>
      <c r="AL508" s="556"/>
      <c r="AM508" s="556"/>
      <c r="AN508" s="556"/>
      <c r="AO508" s="556"/>
      <c r="AP508" s="556"/>
      <c r="AQ508" s="556"/>
      <c r="AR508" s="556"/>
      <c r="AS508" s="556"/>
      <c r="AT508" s="556"/>
      <c r="AU508" s="556"/>
      <c r="AV508" s="557"/>
      <c r="AW508" s="558">
        <v>0</v>
      </c>
      <c r="AX508" s="559"/>
      <c r="AY508" s="560"/>
      <c r="AZ508" s="585"/>
      <c r="BA508" s="586"/>
      <c r="BB508" s="587"/>
      <c r="BC508" s="558">
        <v>0</v>
      </c>
      <c r="BD508" s="559"/>
      <c r="BE508" s="560"/>
      <c r="BF508" s="558">
        <v>182.49</v>
      </c>
      <c r="BG508" s="559"/>
      <c r="BH508" s="560"/>
      <c r="BI508" s="564">
        <v>0</v>
      </c>
      <c r="BJ508" s="565"/>
      <c r="BK508" s="565"/>
      <c r="BL508" s="566"/>
      <c r="BM508" s="567" t="s">
        <v>932</v>
      </c>
      <c r="BN508" s="567"/>
      <c r="BO508" s="567"/>
      <c r="BP508" s="567"/>
      <c r="BQ508" s="568">
        <v>0.2</v>
      </c>
      <c r="BR508" s="568"/>
      <c r="BS508" s="568"/>
      <c r="BT508" s="567" t="s">
        <v>932</v>
      </c>
      <c r="BU508" s="567"/>
      <c r="BV508" s="567"/>
      <c r="BW508" s="567"/>
      <c r="BX508" s="568">
        <v>0.5</v>
      </c>
      <c r="BY508" s="568"/>
      <c r="BZ508" s="568"/>
      <c r="CA508" s="567" t="s">
        <v>932</v>
      </c>
      <c r="CB508" s="567"/>
      <c r="CC508" s="567"/>
      <c r="CD508" s="567"/>
      <c r="CE508" s="568">
        <v>0.3</v>
      </c>
      <c r="CF508" s="568"/>
      <c r="CG508" s="568"/>
      <c r="CH508" s="567" t="s">
        <v>932</v>
      </c>
      <c r="CI508" s="567"/>
      <c r="CJ508" s="567"/>
      <c r="CK508" s="567"/>
      <c r="CL508" s="568" t="s">
        <v>932</v>
      </c>
      <c r="CM508" s="568"/>
      <c r="CN508" s="568"/>
    </row>
    <row r="509" hidden="1" customHeight="1" spans="1:92">
      <c r="A509" s="569"/>
      <c r="B509" s="570"/>
      <c r="C509" s="571"/>
      <c r="D509" s="572"/>
      <c r="E509" s="573"/>
      <c r="F509" s="574"/>
      <c r="G509" s="575"/>
      <c r="H509" s="576"/>
      <c r="I509" s="577"/>
      <c r="J509" s="578"/>
      <c r="K509" s="578"/>
      <c r="L509" s="578"/>
      <c r="M509" s="578"/>
      <c r="N509" s="578"/>
      <c r="O509" s="578"/>
      <c r="P509" s="578"/>
      <c r="Q509" s="578"/>
      <c r="R509" s="578"/>
      <c r="S509" s="578"/>
      <c r="T509" s="578"/>
      <c r="U509" s="578"/>
      <c r="V509" s="578"/>
      <c r="W509" s="578"/>
      <c r="X509" s="578"/>
      <c r="Y509" s="578"/>
      <c r="Z509" s="578"/>
      <c r="AA509" s="579"/>
      <c r="AB509" s="580"/>
      <c r="AC509" s="581"/>
      <c r="AD509" s="582"/>
      <c r="AE509" s="583"/>
      <c r="AF509" s="584"/>
      <c r="AG509" s="553">
        <v>0</v>
      </c>
      <c r="AH509" s="554"/>
      <c r="AI509" s="555" t="e">
        <v>#N/A</v>
      </c>
      <c r="AJ509" s="556"/>
      <c r="AK509" s="556"/>
      <c r="AL509" s="556"/>
      <c r="AM509" s="556"/>
      <c r="AN509" s="556"/>
      <c r="AO509" s="556"/>
      <c r="AP509" s="556"/>
      <c r="AQ509" s="556"/>
      <c r="AR509" s="556"/>
      <c r="AS509" s="556"/>
      <c r="AT509" s="556"/>
      <c r="AU509" s="556"/>
      <c r="AV509" s="557"/>
      <c r="AW509" s="558">
        <v>0</v>
      </c>
      <c r="AX509" s="559"/>
      <c r="AY509" s="560"/>
      <c r="AZ509" s="585"/>
      <c r="BA509" s="586"/>
      <c r="BB509" s="587"/>
      <c r="BC509" s="558">
        <v>0</v>
      </c>
      <c r="BD509" s="559"/>
      <c r="BE509" s="560"/>
      <c r="BF509" s="558">
        <v>182.49</v>
      </c>
      <c r="BG509" s="559"/>
      <c r="BH509" s="560"/>
      <c r="BI509" s="564">
        <v>0</v>
      </c>
      <c r="BJ509" s="565"/>
      <c r="BK509" s="565"/>
      <c r="BL509" s="566"/>
      <c r="BM509" s="567" t="s">
        <v>932</v>
      </c>
      <c r="BN509" s="567"/>
      <c r="BO509" s="567"/>
      <c r="BP509" s="567"/>
      <c r="BQ509" s="568">
        <v>0.2</v>
      </c>
      <c r="BR509" s="568"/>
      <c r="BS509" s="568"/>
      <c r="BT509" s="567" t="s">
        <v>932</v>
      </c>
      <c r="BU509" s="567"/>
      <c r="BV509" s="567"/>
      <c r="BW509" s="567"/>
      <c r="BX509" s="568">
        <v>0.5</v>
      </c>
      <c r="BY509" s="568"/>
      <c r="BZ509" s="568"/>
      <c r="CA509" s="567" t="s">
        <v>932</v>
      </c>
      <c r="CB509" s="567"/>
      <c r="CC509" s="567"/>
      <c r="CD509" s="567"/>
      <c r="CE509" s="568">
        <v>0.3</v>
      </c>
      <c r="CF509" s="568"/>
      <c r="CG509" s="568"/>
      <c r="CH509" s="567" t="s">
        <v>932</v>
      </c>
      <c r="CI509" s="567"/>
      <c r="CJ509" s="567"/>
      <c r="CK509" s="567"/>
      <c r="CL509" s="568" t="s">
        <v>932</v>
      </c>
      <c r="CM509" s="568"/>
      <c r="CN509" s="568"/>
    </row>
    <row r="510" hidden="1" customHeight="1" spans="1:92">
      <c r="A510" s="569"/>
      <c r="B510" s="570"/>
      <c r="C510" s="571"/>
      <c r="D510" s="572"/>
      <c r="E510" s="573"/>
      <c r="F510" s="574"/>
      <c r="G510" s="575"/>
      <c r="H510" s="576"/>
      <c r="I510" s="577"/>
      <c r="J510" s="578"/>
      <c r="K510" s="578"/>
      <c r="L510" s="578"/>
      <c r="M510" s="578"/>
      <c r="N510" s="578"/>
      <c r="O510" s="578"/>
      <c r="P510" s="578"/>
      <c r="Q510" s="578"/>
      <c r="R510" s="578"/>
      <c r="S510" s="578"/>
      <c r="T510" s="578"/>
      <c r="U510" s="578"/>
      <c r="V510" s="578"/>
      <c r="W510" s="578"/>
      <c r="X510" s="578"/>
      <c r="Y510" s="578"/>
      <c r="Z510" s="578"/>
      <c r="AA510" s="579"/>
      <c r="AB510" s="580"/>
      <c r="AC510" s="581"/>
      <c r="AD510" s="582"/>
      <c r="AE510" s="583"/>
      <c r="AF510" s="584"/>
      <c r="AG510" s="553">
        <v>0</v>
      </c>
      <c r="AH510" s="554"/>
      <c r="AI510" s="555" t="e">
        <v>#N/A</v>
      </c>
      <c r="AJ510" s="556"/>
      <c r="AK510" s="556"/>
      <c r="AL510" s="556"/>
      <c r="AM510" s="556"/>
      <c r="AN510" s="556"/>
      <c r="AO510" s="556"/>
      <c r="AP510" s="556"/>
      <c r="AQ510" s="556"/>
      <c r="AR510" s="556"/>
      <c r="AS510" s="556"/>
      <c r="AT510" s="556"/>
      <c r="AU510" s="556"/>
      <c r="AV510" s="557"/>
      <c r="AW510" s="558">
        <v>0</v>
      </c>
      <c r="AX510" s="559"/>
      <c r="AY510" s="560"/>
      <c r="AZ510" s="585"/>
      <c r="BA510" s="586"/>
      <c r="BB510" s="587"/>
      <c r="BC510" s="558">
        <v>0</v>
      </c>
      <c r="BD510" s="559"/>
      <c r="BE510" s="560"/>
      <c r="BF510" s="558">
        <v>182.49</v>
      </c>
      <c r="BG510" s="559"/>
      <c r="BH510" s="560"/>
      <c r="BI510" s="564">
        <v>0</v>
      </c>
      <c r="BJ510" s="565"/>
      <c r="BK510" s="565"/>
      <c r="BL510" s="566"/>
      <c r="BM510" s="567" t="s">
        <v>932</v>
      </c>
      <c r="BN510" s="567"/>
      <c r="BO510" s="567"/>
      <c r="BP510" s="567"/>
      <c r="BQ510" s="568">
        <v>0.2</v>
      </c>
      <c r="BR510" s="568"/>
      <c r="BS510" s="568"/>
      <c r="BT510" s="567" t="s">
        <v>932</v>
      </c>
      <c r="BU510" s="567"/>
      <c r="BV510" s="567"/>
      <c r="BW510" s="567"/>
      <c r="BX510" s="568">
        <v>0.5</v>
      </c>
      <c r="BY510" s="568"/>
      <c r="BZ510" s="568"/>
      <c r="CA510" s="567" t="s">
        <v>932</v>
      </c>
      <c r="CB510" s="567"/>
      <c r="CC510" s="567"/>
      <c r="CD510" s="567"/>
      <c r="CE510" s="568">
        <v>0.3</v>
      </c>
      <c r="CF510" s="568"/>
      <c r="CG510" s="568"/>
      <c r="CH510" s="567" t="s">
        <v>932</v>
      </c>
      <c r="CI510" s="567"/>
      <c r="CJ510" s="567"/>
      <c r="CK510" s="567"/>
      <c r="CL510" s="568" t="s">
        <v>932</v>
      </c>
      <c r="CM510" s="568"/>
      <c r="CN510" s="568"/>
    </row>
    <row r="511" hidden="1" customHeight="1" spans="1:92">
      <c r="A511" s="588"/>
      <c r="B511" s="589"/>
      <c r="C511" s="590"/>
      <c r="D511" s="591"/>
      <c r="E511" s="592"/>
      <c r="F511" s="593"/>
      <c r="G511" s="594"/>
      <c r="H511" s="595"/>
      <c r="I511" s="596"/>
      <c r="J511" s="597"/>
      <c r="K511" s="597"/>
      <c r="L511" s="597"/>
      <c r="M511" s="597"/>
      <c r="N511" s="597"/>
      <c r="O511" s="597"/>
      <c r="P511" s="597"/>
      <c r="Q511" s="597"/>
      <c r="R511" s="597"/>
      <c r="S511" s="597"/>
      <c r="T511" s="597"/>
      <c r="U511" s="597"/>
      <c r="V511" s="597"/>
      <c r="W511" s="597"/>
      <c r="X511" s="597"/>
      <c r="Y511" s="597"/>
      <c r="Z511" s="597"/>
      <c r="AA511" s="598"/>
      <c r="AB511" s="599"/>
      <c r="AC511" s="600"/>
      <c r="AD511" s="601"/>
      <c r="AE511" s="602"/>
      <c r="AF511" s="603"/>
      <c r="AG511" s="553">
        <v>0</v>
      </c>
      <c r="AH511" s="554"/>
      <c r="AI511" s="555" t="e">
        <v>#N/A</v>
      </c>
      <c r="AJ511" s="556"/>
      <c r="AK511" s="556"/>
      <c r="AL511" s="556"/>
      <c r="AM511" s="556"/>
      <c r="AN511" s="556"/>
      <c r="AO511" s="556"/>
      <c r="AP511" s="556"/>
      <c r="AQ511" s="556"/>
      <c r="AR511" s="556"/>
      <c r="AS511" s="556"/>
      <c r="AT511" s="556"/>
      <c r="AU511" s="556"/>
      <c r="AV511" s="557"/>
      <c r="AW511" s="558">
        <v>0</v>
      </c>
      <c r="AX511" s="559"/>
      <c r="AY511" s="560"/>
      <c r="AZ511" s="604"/>
      <c r="BA511" s="605"/>
      <c r="BB511" s="606"/>
      <c r="BC511" s="558">
        <v>0</v>
      </c>
      <c r="BD511" s="559"/>
      <c r="BE511" s="560"/>
      <c r="BF511" s="558">
        <v>182.49</v>
      </c>
      <c r="BG511" s="559"/>
      <c r="BH511" s="560"/>
      <c r="BI511" s="564">
        <v>0</v>
      </c>
      <c r="BJ511" s="565"/>
      <c r="BK511" s="565"/>
      <c r="BL511" s="566"/>
      <c r="BM511" s="567" t="s">
        <v>932</v>
      </c>
      <c r="BN511" s="567"/>
      <c r="BO511" s="567"/>
      <c r="BP511" s="567"/>
      <c r="BQ511" s="568">
        <v>0.2</v>
      </c>
      <c r="BR511" s="568"/>
      <c r="BS511" s="568"/>
      <c r="BT511" s="567" t="s">
        <v>932</v>
      </c>
      <c r="BU511" s="567"/>
      <c r="BV511" s="567"/>
      <c r="BW511" s="567"/>
      <c r="BX511" s="568">
        <v>0.5</v>
      </c>
      <c r="BY511" s="568"/>
      <c r="BZ511" s="568"/>
      <c r="CA511" s="567" t="s">
        <v>932</v>
      </c>
      <c r="CB511" s="567"/>
      <c r="CC511" s="567"/>
      <c r="CD511" s="567"/>
      <c r="CE511" s="568">
        <v>0.3</v>
      </c>
      <c r="CF511" s="568"/>
      <c r="CG511" s="568"/>
      <c r="CH511" s="567" t="s">
        <v>932</v>
      </c>
      <c r="CI511" s="567"/>
      <c r="CJ511" s="567"/>
      <c r="CK511" s="567"/>
      <c r="CL511" s="568" t="s">
        <v>932</v>
      </c>
      <c r="CM511" s="568"/>
      <c r="CN511" s="568"/>
    </row>
    <row r="512" customHeight="1" spans="1:92">
      <c r="A512" s="540" t="s">
        <v>1004</v>
      </c>
      <c r="B512" s="541"/>
      <c r="C512" s="89"/>
      <c r="D512" s="91"/>
      <c r="E512" s="90"/>
      <c r="F512" s="542">
        <v>1107900</v>
      </c>
      <c r="G512" s="543"/>
      <c r="H512" s="544"/>
      <c r="I512" s="545" t="s">
        <v>108</v>
      </c>
      <c r="J512" s="546"/>
      <c r="K512" s="546"/>
      <c r="L512" s="546"/>
      <c r="M512" s="546"/>
      <c r="N512" s="546"/>
      <c r="O512" s="546"/>
      <c r="P512" s="546"/>
      <c r="Q512" s="546"/>
      <c r="R512" s="546"/>
      <c r="S512" s="546"/>
      <c r="T512" s="546"/>
      <c r="U512" s="546"/>
      <c r="V512" s="546"/>
      <c r="W512" s="546"/>
      <c r="X512" s="546"/>
      <c r="Y512" s="546"/>
      <c r="Z512" s="546"/>
      <c r="AA512" s="547"/>
      <c r="AB512" s="548" t="s">
        <v>99</v>
      </c>
      <c r="AC512" s="549"/>
      <c r="AD512" s="550">
        <v>13.62</v>
      </c>
      <c r="AE512" s="551"/>
      <c r="AF512" s="552"/>
      <c r="AG512" s="553" t="s">
        <v>1066</v>
      </c>
      <c r="AH512" s="554"/>
      <c r="AI512" s="555" t="s">
        <v>1067</v>
      </c>
      <c r="AJ512" s="556"/>
      <c r="AK512" s="556"/>
      <c r="AL512" s="556"/>
      <c r="AM512" s="556"/>
      <c r="AN512" s="556"/>
      <c r="AO512" s="556"/>
      <c r="AP512" s="556"/>
      <c r="AQ512" s="556"/>
      <c r="AR512" s="556"/>
      <c r="AS512" s="556"/>
      <c r="AT512" s="556"/>
      <c r="AU512" s="556"/>
      <c r="AV512" s="557"/>
      <c r="AW512" s="558">
        <v>1</v>
      </c>
      <c r="AX512" s="559"/>
      <c r="AY512" s="560"/>
      <c r="AZ512" s="561">
        <v>3.853</v>
      </c>
      <c r="BA512" s="562"/>
      <c r="BB512" s="563"/>
      <c r="BC512" s="558">
        <v>3.53490786400208</v>
      </c>
      <c r="BD512" s="559"/>
      <c r="BE512" s="560"/>
      <c r="BF512" s="558">
        <v>182.49</v>
      </c>
      <c r="BG512" s="559"/>
      <c r="BH512" s="560"/>
      <c r="BI512" s="564">
        <v>0.0193704195517676</v>
      </c>
      <c r="BJ512" s="565"/>
      <c r="BK512" s="565"/>
      <c r="BL512" s="566"/>
      <c r="BM512" s="567" t="s">
        <v>932</v>
      </c>
      <c r="BN512" s="567"/>
      <c r="BO512" s="567"/>
      <c r="BP512" s="567"/>
      <c r="BQ512" s="568" t="s">
        <v>932</v>
      </c>
      <c r="BR512" s="568"/>
      <c r="BS512" s="568"/>
      <c r="BT512" s="567" t="s">
        <v>932</v>
      </c>
      <c r="BU512" s="567"/>
      <c r="BV512" s="567"/>
      <c r="BW512" s="567"/>
      <c r="BX512" s="568" t="s">
        <v>932</v>
      </c>
      <c r="BY512" s="568"/>
      <c r="BZ512" s="568"/>
      <c r="CA512" s="567" t="s">
        <v>932</v>
      </c>
      <c r="CB512" s="567"/>
      <c r="CC512" s="567"/>
      <c r="CD512" s="567"/>
      <c r="CE512" s="568" t="s">
        <v>932</v>
      </c>
      <c r="CF512" s="568"/>
      <c r="CG512" s="568"/>
      <c r="CH512" s="567">
        <v>0.0193704195517676</v>
      </c>
      <c r="CI512" s="567"/>
      <c r="CJ512" s="567"/>
      <c r="CK512" s="567"/>
      <c r="CL512" s="568">
        <v>1</v>
      </c>
      <c r="CM512" s="568"/>
      <c r="CN512" s="568"/>
    </row>
    <row r="513" customHeight="1" spans="1:92">
      <c r="A513" s="569"/>
      <c r="B513" s="570"/>
      <c r="C513" s="571"/>
      <c r="D513" s="572"/>
      <c r="E513" s="573"/>
      <c r="F513" s="574"/>
      <c r="G513" s="575"/>
      <c r="H513" s="576"/>
      <c r="I513" s="577"/>
      <c r="J513" s="578"/>
      <c r="K513" s="578"/>
      <c r="L513" s="578"/>
      <c r="M513" s="578"/>
      <c r="N513" s="578"/>
      <c r="O513" s="578"/>
      <c r="P513" s="578"/>
      <c r="Q513" s="578"/>
      <c r="R513" s="578"/>
      <c r="S513" s="578"/>
      <c r="T513" s="578"/>
      <c r="U513" s="578"/>
      <c r="V513" s="578"/>
      <c r="W513" s="578"/>
      <c r="X513" s="578"/>
      <c r="Y513" s="578"/>
      <c r="Z513" s="578"/>
      <c r="AA513" s="579"/>
      <c r="AB513" s="580"/>
      <c r="AC513" s="581"/>
      <c r="AD513" s="582"/>
      <c r="AE513" s="583"/>
      <c r="AF513" s="584"/>
      <c r="AG513" s="553" t="s">
        <v>1068</v>
      </c>
      <c r="AH513" s="554"/>
      <c r="AI513" s="555" t="s">
        <v>1069</v>
      </c>
      <c r="AJ513" s="556"/>
      <c r="AK513" s="556"/>
      <c r="AL513" s="556"/>
      <c r="AM513" s="556"/>
      <c r="AN513" s="556"/>
      <c r="AO513" s="556"/>
      <c r="AP513" s="556"/>
      <c r="AQ513" s="556"/>
      <c r="AR513" s="556"/>
      <c r="AS513" s="556"/>
      <c r="AT513" s="556"/>
      <c r="AU513" s="556"/>
      <c r="AV513" s="557"/>
      <c r="AW513" s="558">
        <v>1</v>
      </c>
      <c r="AX513" s="559"/>
      <c r="AY513" s="560"/>
      <c r="AZ513" s="585"/>
      <c r="BA513" s="586"/>
      <c r="BB513" s="587"/>
      <c r="BC513" s="558">
        <v>3.53490786400208</v>
      </c>
      <c r="BD513" s="559"/>
      <c r="BE513" s="560"/>
      <c r="BF513" s="558">
        <v>182.49</v>
      </c>
      <c r="BG513" s="559"/>
      <c r="BH513" s="560"/>
      <c r="BI513" s="564">
        <v>0.0193704195517676</v>
      </c>
      <c r="BJ513" s="565"/>
      <c r="BK513" s="565"/>
      <c r="BL513" s="566"/>
      <c r="BM513" s="567" t="s">
        <v>932</v>
      </c>
      <c r="BN513" s="567"/>
      <c r="BO513" s="567"/>
      <c r="BP513" s="567"/>
      <c r="BQ513" s="568" t="s">
        <v>932</v>
      </c>
      <c r="BR513" s="568"/>
      <c r="BS513" s="568"/>
      <c r="BT513" s="567" t="s">
        <v>932</v>
      </c>
      <c r="BU513" s="567"/>
      <c r="BV513" s="567"/>
      <c r="BW513" s="567"/>
      <c r="BX513" s="568" t="s">
        <v>932</v>
      </c>
      <c r="BY513" s="568"/>
      <c r="BZ513" s="568"/>
      <c r="CA513" s="567" t="s">
        <v>932</v>
      </c>
      <c r="CB513" s="567"/>
      <c r="CC513" s="567"/>
      <c r="CD513" s="567"/>
      <c r="CE513" s="568" t="s">
        <v>932</v>
      </c>
      <c r="CF513" s="568"/>
      <c r="CG513" s="568"/>
      <c r="CH513" s="567">
        <v>0.0193704195517676</v>
      </c>
      <c r="CI513" s="567"/>
      <c r="CJ513" s="567"/>
      <c r="CK513" s="567"/>
      <c r="CL513" s="568">
        <v>1</v>
      </c>
      <c r="CM513" s="568"/>
      <c r="CN513" s="568"/>
    </row>
    <row r="514" customHeight="1" spans="1:92">
      <c r="A514" s="569"/>
      <c r="B514" s="570"/>
      <c r="C514" s="571"/>
      <c r="D514" s="572"/>
      <c r="E514" s="573"/>
      <c r="F514" s="574"/>
      <c r="G514" s="575"/>
      <c r="H514" s="576"/>
      <c r="I514" s="577"/>
      <c r="J514" s="578"/>
      <c r="K514" s="578"/>
      <c r="L514" s="578"/>
      <c r="M514" s="578"/>
      <c r="N514" s="578"/>
      <c r="O514" s="578"/>
      <c r="P514" s="578"/>
      <c r="Q514" s="578"/>
      <c r="R514" s="578"/>
      <c r="S514" s="578"/>
      <c r="T514" s="578"/>
      <c r="U514" s="578"/>
      <c r="V514" s="578"/>
      <c r="W514" s="578"/>
      <c r="X514" s="578"/>
      <c r="Y514" s="578"/>
      <c r="Z514" s="578"/>
      <c r="AA514" s="579"/>
      <c r="AB514" s="580"/>
      <c r="AC514" s="581"/>
      <c r="AD514" s="582"/>
      <c r="AE514" s="583"/>
      <c r="AF514" s="584"/>
      <c r="AG514" s="553" t="s">
        <v>1070</v>
      </c>
      <c r="AH514" s="554"/>
      <c r="AI514" s="555" t="s">
        <v>1071</v>
      </c>
      <c r="AJ514" s="556"/>
      <c r="AK514" s="556"/>
      <c r="AL514" s="556"/>
      <c r="AM514" s="556"/>
      <c r="AN514" s="556"/>
      <c r="AO514" s="556"/>
      <c r="AP514" s="556"/>
      <c r="AQ514" s="556"/>
      <c r="AR514" s="556"/>
      <c r="AS514" s="556"/>
      <c r="AT514" s="556"/>
      <c r="AU514" s="556"/>
      <c r="AV514" s="557"/>
      <c r="AW514" s="558">
        <v>4</v>
      </c>
      <c r="AX514" s="559"/>
      <c r="AY514" s="560"/>
      <c r="AZ514" s="585"/>
      <c r="BA514" s="586"/>
      <c r="BB514" s="587"/>
      <c r="BC514" s="558">
        <v>14.1396314560083</v>
      </c>
      <c r="BD514" s="559"/>
      <c r="BE514" s="560"/>
      <c r="BF514" s="558">
        <v>182.49</v>
      </c>
      <c r="BG514" s="559"/>
      <c r="BH514" s="560"/>
      <c r="BI514" s="564">
        <v>0.0774816782070705</v>
      </c>
      <c r="BJ514" s="565"/>
      <c r="BK514" s="565"/>
      <c r="BL514" s="566"/>
      <c r="BM514" s="567" t="s">
        <v>932</v>
      </c>
      <c r="BN514" s="567"/>
      <c r="BO514" s="567"/>
      <c r="BP514" s="567"/>
      <c r="BQ514" s="568" t="s">
        <v>932</v>
      </c>
      <c r="BR514" s="568"/>
      <c r="BS514" s="568"/>
      <c r="BT514" s="567" t="s">
        <v>932</v>
      </c>
      <c r="BU514" s="567"/>
      <c r="BV514" s="567"/>
      <c r="BW514" s="567"/>
      <c r="BX514" s="568" t="s">
        <v>932</v>
      </c>
      <c r="BY514" s="568"/>
      <c r="BZ514" s="568"/>
      <c r="CA514" s="567" t="s">
        <v>932</v>
      </c>
      <c r="CB514" s="567"/>
      <c r="CC514" s="567"/>
      <c r="CD514" s="567"/>
      <c r="CE514" s="568" t="s">
        <v>932</v>
      </c>
      <c r="CF514" s="568"/>
      <c r="CG514" s="568"/>
      <c r="CH514" s="567">
        <v>0.0774816782070705</v>
      </c>
      <c r="CI514" s="567"/>
      <c r="CJ514" s="567"/>
      <c r="CK514" s="567"/>
      <c r="CL514" s="568">
        <v>1</v>
      </c>
      <c r="CM514" s="568"/>
      <c r="CN514" s="568"/>
    </row>
    <row r="515" customHeight="1" spans="1:92">
      <c r="A515" s="569"/>
      <c r="B515" s="570"/>
      <c r="C515" s="571"/>
      <c r="D515" s="572"/>
      <c r="E515" s="573"/>
      <c r="F515" s="574"/>
      <c r="G515" s="575"/>
      <c r="H515" s="576"/>
      <c r="I515" s="577"/>
      <c r="J515" s="578"/>
      <c r="K515" s="578"/>
      <c r="L515" s="578"/>
      <c r="M515" s="578"/>
      <c r="N515" s="578"/>
      <c r="O515" s="578"/>
      <c r="P515" s="578"/>
      <c r="Q515" s="578"/>
      <c r="R515" s="578"/>
      <c r="S515" s="578"/>
      <c r="T515" s="578"/>
      <c r="U515" s="578"/>
      <c r="V515" s="578"/>
      <c r="W515" s="578"/>
      <c r="X515" s="578"/>
      <c r="Y515" s="578"/>
      <c r="Z515" s="578"/>
      <c r="AA515" s="579"/>
      <c r="AB515" s="580"/>
      <c r="AC515" s="581"/>
      <c r="AD515" s="582"/>
      <c r="AE515" s="583"/>
      <c r="AF515" s="584"/>
      <c r="AG515" s="553" t="s">
        <v>1072</v>
      </c>
      <c r="AH515" s="554"/>
      <c r="AI515" s="555" t="s">
        <v>1073</v>
      </c>
      <c r="AJ515" s="556"/>
      <c r="AK515" s="556"/>
      <c r="AL515" s="556"/>
      <c r="AM515" s="556"/>
      <c r="AN515" s="556"/>
      <c r="AO515" s="556"/>
      <c r="AP515" s="556"/>
      <c r="AQ515" s="556"/>
      <c r="AR515" s="556"/>
      <c r="AS515" s="556"/>
      <c r="AT515" s="556"/>
      <c r="AU515" s="556"/>
      <c r="AV515" s="557"/>
      <c r="AW515" s="558">
        <v>3</v>
      </c>
      <c r="AX515" s="559"/>
      <c r="AY515" s="560"/>
      <c r="AZ515" s="585"/>
      <c r="BA515" s="586"/>
      <c r="BB515" s="587"/>
      <c r="BC515" s="558">
        <v>10.6047235920062</v>
      </c>
      <c r="BD515" s="559"/>
      <c r="BE515" s="560"/>
      <c r="BF515" s="558">
        <v>182.49</v>
      </c>
      <c r="BG515" s="559"/>
      <c r="BH515" s="560"/>
      <c r="BI515" s="564">
        <v>0.0581112586553029</v>
      </c>
      <c r="BJ515" s="565"/>
      <c r="BK515" s="565"/>
      <c r="BL515" s="566"/>
      <c r="BM515" s="567" t="s">
        <v>932</v>
      </c>
      <c r="BN515" s="567"/>
      <c r="BO515" s="567"/>
      <c r="BP515" s="567"/>
      <c r="BQ515" s="568" t="s">
        <v>932</v>
      </c>
      <c r="BR515" s="568"/>
      <c r="BS515" s="568"/>
      <c r="BT515" s="567" t="s">
        <v>932</v>
      </c>
      <c r="BU515" s="567"/>
      <c r="BV515" s="567"/>
      <c r="BW515" s="567"/>
      <c r="BX515" s="568" t="s">
        <v>932</v>
      </c>
      <c r="BY515" s="568"/>
      <c r="BZ515" s="568"/>
      <c r="CA515" s="567" t="s">
        <v>932</v>
      </c>
      <c r="CB515" s="567"/>
      <c r="CC515" s="567"/>
      <c r="CD515" s="567"/>
      <c r="CE515" s="568" t="s">
        <v>932</v>
      </c>
      <c r="CF515" s="568"/>
      <c r="CG515" s="568"/>
      <c r="CH515" s="567">
        <v>0.0581112586553029</v>
      </c>
      <c r="CI515" s="567"/>
      <c r="CJ515" s="567"/>
      <c r="CK515" s="567"/>
      <c r="CL515" s="568">
        <v>1</v>
      </c>
      <c r="CM515" s="568"/>
      <c r="CN515" s="568"/>
    </row>
    <row r="516" hidden="1" customHeight="1" spans="1:92">
      <c r="A516" s="569"/>
      <c r="B516" s="570"/>
      <c r="C516" s="571"/>
      <c r="D516" s="572"/>
      <c r="E516" s="573"/>
      <c r="F516" s="574"/>
      <c r="G516" s="575"/>
      <c r="H516" s="576"/>
      <c r="I516" s="577"/>
      <c r="J516" s="578"/>
      <c r="K516" s="578"/>
      <c r="L516" s="578"/>
      <c r="M516" s="578"/>
      <c r="N516" s="578"/>
      <c r="O516" s="578"/>
      <c r="P516" s="578"/>
      <c r="Q516" s="578"/>
      <c r="R516" s="578"/>
      <c r="S516" s="578"/>
      <c r="T516" s="578"/>
      <c r="U516" s="578"/>
      <c r="V516" s="578"/>
      <c r="W516" s="578"/>
      <c r="X516" s="578"/>
      <c r="Y516" s="578"/>
      <c r="Z516" s="578"/>
      <c r="AA516" s="579"/>
      <c r="AB516" s="580"/>
      <c r="AC516" s="581"/>
      <c r="AD516" s="582"/>
      <c r="AE516" s="583"/>
      <c r="AF516" s="584"/>
      <c r="AG516" s="553">
        <v>0</v>
      </c>
      <c r="AH516" s="554"/>
      <c r="AI516" s="555" t="e">
        <v>#N/A</v>
      </c>
      <c r="AJ516" s="556"/>
      <c r="AK516" s="556"/>
      <c r="AL516" s="556"/>
      <c r="AM516" s="556"/>
      <c r="AN516" s="556"/>
      <c r="AO516" s="556"/>
      <c r="AP516" s="556"/>
      <c r="AQ516" s="556"/>
      <c r="AR516" s="556"/>
      <c r="AS516" s="556"/>
      <c r="AT516" s="556"/>
      <c r="AU516" s="556"/>
      <c r="AV516" s="557"/>
      <c r="AW516" s="558">
        <v>0</v>
      </c>
      <c r="AX516" s="559"/>
      <c r="AY516" s="560"/>
      <c r="AZ516" s="585"/>
      <c r="BA516" s="586"/>
      <c r="BB516" s="587"/>
      <c r="BC516" s="558">
        <v>0</v>
      </c>
      <c r="BD516" s="559"/>
      <c r="BE516" s="560"/>
      <c r="BF516" s="558">
        <v>182.49</v>
      </c>
      <c r="BG516" s="559"/>
      <c r="BH516" s="560"/>
      <c r="BI516" s="564">
        <v>0</v>
      </c>
      <c r="BJ516" s="565"/>
      <c r="BK516" s="565"/>
      <c r="BL516" s="566"/>
      <c r="BM516" s="567" t="s">
        <v>932</v>
      </c>
      <c r="BN516" s="567"/>
      <c r="BO516" s="567"/>
      <c r="BP516" s="567"/>
      <c r="BQ516" s="568" t="s">
        <v>932</v>
      </c>
      <c r="BR516" s="568"/>
      <c r="BS516" s="568"/>
      <c r="BT516" s="567" t="s">
        <v>932</v>
      </c>
      <c r="BU516" s="567"/>
      <c r="BV516" s="567"/>
      <c r="BW516" s="567"/>
      <c r="BX516" s="568" t="s">
        <v>932</v>
      </c>
      <c r="BY516" s="568"/>
      <c r="BZ516" s="568"/>
      <c r="CA516" s="567" t="s">
        <v>932</v>
      </c>
      <c r="CB516" s="567"/>
      <c r="CC516" s="567"/>
      <c r="CD516" s="567"/>
      <c r="CE516" s="568" t="s">
        <v>932</v>
      </c>
      <c r="CF516" s="568"/>
      <c r="CG516" s="568"/>
      <c r="CH516" s="567" t="s">
        <v>932</v>
      </c>
      <c r="CI516" s="567"/>
      <c r="CJ516" s="567"/>
      <c r="CK516" s="567"/>
      <c r="CL516" s="568">
        <v>1</v>
      </c>
      <c r="CM516" s="568"/>
      <c r="CN516" s="568"/>
    </row>
    <row r="517" hidden="1" customHeight="1" spans="1:92">
      <c r="A517" s="569"/>
      <c r="B517" s="570"/>
      <c r="C517" s="571"/>
      <c r="D517" s="572"/>
      <c r="E517" s="573"/>
      <c r="F517" s="574"/>
      <c r="G517" s="575"/>
      <c r="H517" s="576"/>
      <c r="I517" s="577"/>
      <c r="J517" s="578"/>
      <c r="K517" s="578"/>
      <c r="L517" s="578"/>
      <c r="M517" s="578"/>
      <c r="N517" s="578"/>
      <c r="O517" s="578"/>
      <c r="P517" s="578"/>
      <c r="Q517" s="578"/>
      <c r="R517" s="578"/>
      <c r="S517" s="578"/>
      <c r="T517" s="578"/>
      <c r="U517" s="578"/>
      <c r="V517" s="578"/>
      <c r="W517" s="578"/>
      <c r="X517" s="578"/>
      <c r="Y517" s="578"/>
      <c r="Z517" s="578"/>
      <c r="AA517" s="579"/>
      <c r="AB517" s="580"/>
      <c r="AC517" s="581"/>
      <c r="AD517" s="582"/>
      <c r="AE517" s="583"/>
      <c r="AF517" s="584"/>
      <c r="AG517" s="553">
        <v>0</v>
      </c>
      <c r="AH517" s="554"/>
      <c r="AI517" s="555" t="e">
        <v>#N/A</v>
      </c>
      <c r="AJ517" s="556"/>
      <c r="AK517" s="556"/>
      <c r="AL517" s="556"/>
      <c r="AM517" s="556"/>
      <c r="AN517" s="556"/>
      <c r="AO517" s="556"/>
      <c r="AP517" s="556"/>
      <c r="AQ517" s="556"/>
      <c r="AR517" s="556"/>
      <c r="AS517" s="556"/>
      <c r="AT517" s="556"/>
      <c r="AU517" s="556"/>
      <c r="AV517" s="557"/>
      <c r="AW517" s="558">
        <v>0</v>
      </c>
      <c r="AX517" s="559"/>
      <c r="AY517" s="560"/>
      <c r="AZ517" s="585"/>
      <c r="BA517" s="586"/>
      <c r="BB517" s="587"/>
      <c r="BC517" s="558">
        <v>0</v>
      </c>
      <c r="BD517" s="559"/>
      <c r="BE517" s="560"/>
      <c r="BF517" s="558">
        <v>182.49</v>
      </c>
      <c r="BG517" s="559"/>
      <c r="BH517" s="560"/>
      <c r="BI517" s="564">
        <v>0</v>
      </c>
      <c r="BJ517" s="565"/>
      <c r="BK517" s="565"/>
      <c r="BL517" s="566"/>
      <c r="BM517" s="567" t="s">
        <v>932</v>
      </c>
      <c r="BN517" s="567"/>
      <c r="BO517" s="567"/>
      <c r="BP517" s="567"/>
      <c r="BQ517" s="568" t="s">
        <v>932</v>
      </c>
      <c r="BR517" s="568"/>
      <c r="BS517" s="568"/>
      <c r="BT517" s="567" t="s">
        <v>932</v>
      </c>
      <c r="BU517" s="567"/>
      <c r="BV517" s="567"/>
      <c r="BW517" s="567"/>
      <c r="BX517" s="568" t="s">
        <v>932</v>
      </c>
      <c r="BY517" s="568"/>
      <c r="BZ517" s="568"/>
      <c r="CA517" s="567" t="s">
        <v>932</v>
      </c>
      <c r="CB517" s="567"/>
      <c r="CC517" s="567"/>
      <c r="CD517" s="567"/>
      <c r="CE517" s="568" t="s">
        <v>932</v>
      </c>
      <c r="CF517" s="568"/>
      <c r="CG517" s="568"/>
      <c r="CH517" s="567" t="s">
        <v>932</v>
      </c>
      <c r="CI517" s="567"/>
      <c r="CJ517" s="567"/>
      <c r="CK517" s="567"/>
      <c r="CL517" s="568">
        <v>1</v>
      </c>
      <c r="CM517" s="568"/>
      <c r="CN517" s="568"/>
    </row>
    <row r="518" hidden="1" customHeight="1" spans="1:92">
      <c r="A518" s="569"/>
      <c r="B518" s="570"/>
      <c r="C518" s="571"/>
      <c r="D518" s="572"/>
      <c r="E518" s="573"/>
      <c r="F518" s="574"/>
      <c r="G518" s="575"/>
      <c r="H518" s="576"/>
      <c r="I518" s="577"/>
      <c r="J518" s="578"/>
      <c r="K518" s="578"/>
      <c r="L518" s="578"/>
      <c r="M518" s="578"/>
      <c r="N518" s="578"/>
      <c r="O518" s="578"/>
      <c r="P518" s="578"/>
      <c r="Q518" s="578"/>
      <c r="R518" s="578"/>
      <c r="S518" s="578"/>
      <c r="T518" s="578"/>
      <c r="U518" s="578"/>
      <c r="V518" s="578"/>
      <c r="W518" s="578"/>
      <c r="X518" s="578"/>
      <c r="Y518" s="578"/>
      <c r="Z518" s="578"/>
      <c r="AA518" s="579"/>
      <c r="AB518" s="580"/>
      <c r="AC518" s="581"/>
      <c r="AD518" s="582"/>
      <c r="AE518" s="583"/>
      <c r="AF518" s="584"/>
      <c r="AG518" s="553">
        <v>0</v>
      </c>
      <c r="AH518" s="554"/>
      <c r="AI518" s="555" t="e">
        <v>#N/A</v>
      </c>
      <c r="AJ518" s="556"/>
      <c r="AK518" s="556"/>
      <c r="AL518" s="556"/>
      <c r="AM518" s="556"/>
      <c r="AN518" s="556"/>
      <c r="AO518" s="556"/>
      <c r="AP518" s="556"/>
      <c r="AQ518" s="556"/>
      <c r="AR518" s="556"/>
      <c r="AS518" s="556"/>
      <c r="AT518" s="556"/>
      <c r="AU518" s="556"/>
      <c r="AV518" s="557"/>
      <c r="AW518" s="558">
        <v>0</v>
      </c>
      <c r="AX518" s="559"/>
      <c r="AY518" s="560"/>
      <c r="AZ518" s="585"/>
      <c r="BA518" s="586"/>
      <c r="BB518" s="587"/>
      <c r="BC518" s="558">
        <v>0</v>
      </c>
      <c r="BD518" s="559"/>
      <c r="BE518" s="560"/>
      <c r="BF518" s="558">
        <v>182.49</v>
      </c>
      <c r="BG518" s="559"/>
      <c r="BH518" s="560"/>
      <c r="BI518" s="564">
        <v>0</v>
      </c>
      <c r="BJ518" s="565"/>
      <c r="BK518" s="565"/>
      <c r="BL518" s="566"/>
      <c r="BM518" s="567" t="s">
        <v>932</v>
      </c>
      <c r="BN518" s="567"/>
      <c r="BO518" s="567"/>
      <c r="BP518" s="567"/>
      <c r="BQ518" s="568" t="s">
        <v>932</v>
      </c>
      <c r="BR518" s="568"/>
      <c r="BS518" s="568"/>
      <c r="BT518" s="567" t="s">
        <v>932</v>
      </c>
      <c r="BU518" s="567"/>
      <c r="BV518" s="567"/>
      <c r="BW518" s="567"/>
      <c r="BX518" s="568" t="s">
        <v>932</v>
      </c>
      <c r="BY518" s="568"/>
      <c r="BZ518" s="568"/>
      <c r="CA518" s="567" t="s">
        <v>932</v>
      </c>
      <c r="CB518" s="567"/>
      <c r="CC518" s="567"/>
      <c r="CD518" s="567"/>
      <c r="CE518" s="568" t="s">
        <v>932</v>
      </c>
      <c r="CF518" s="568"/>
      <c r="CG518" s="568"/>
      <c r="CH518" s="567" t="s">
        <v>932</v>
      </c>
      <c r="CI518" s="567"/>
      <c r="CJ518" s="567"/>
      <c r="CK518" s="567"/>
      <c r="CL518" s="568">
        <v>1</v>
      </c>
      <c r="CM518" s="568"/>
      <c r="CN518" s="568"/>
    </row>
    <row r="519" hidden="1" customHeight="1" spans="1:92">
      <c r="A519" s="588"/>
      <c r="B519" s="589"/>
      <c r="C519" s="590"/>
      <c r="D519" s="591"/>
      <c r="E519" s="592"/>
      <c r="F519" s="593"/>
      <c r="G519" s="594"/>
      <c r="H519" s="595"/>
      <c r="I519" s="596"/>
      <c r="J519" s="597"/>
      <c r="K519" s="597"/>
      <c r="L519" s="597"/>
      <c r="M519" s="597"/>
      <c r="N519" s="597"/>
      <c r="O519" s="597"/>
      <c r="P519" s="597"/>
      <c r="Q519" s="597"/>
      <c r="R519" s="597"/>
      <c r="S519" s="597"/>
      <c r="T519" s="597"/>
      <c r="U519" s="597"/>
      <c r="V519" s="597"/>
      <c r="W519" s="597"/>
      <c r="X519" s="597"/>
      <c r="Y519" s="597"/>
      <c r="Z519" s="597"/>
      <c r="AA519" s="598"/>
      <c r="AB519" s="599"/>
      <c r="AC519" s="600"/>
      <c r="AD519" s="601"/>
      <c r="AE519" s="602"/>
      <c r="AF519" s="603"/>
      <c r="AG519" s="553">
        <v>0</v>
      </c>
      <c r="AH519" s="554"/>
      <c r="AI519" s="555" t="e">
        <v>#N/A</v>
      </c>
      <c r="AJ519" s="556"/>
      <c r="AK519" s="556"/>
      <c r="AL519" s="556"/>
      <c r="AM519" s="556"/>
      <c r="AN519" s="556"/>
      <c r="AO519" s="556"/>
      <c r="AP519" s="556"/>
      <c r="AQ519" s="556"/>
      <c r="AR519" s="556"/>
      <c r="AS519" s="556"/>
      <c r="AT519" s="556"/>
      <c r="AU519" s="556"/>
      <c r="AV519" s="557"/>
      <c r="AW519" s="558">
        <v>0</v>
      </c>
      <c r="AX519" s="559"/>
      <c r="AY519" s="560"/>
      <c r="AZ519" s="604"/>
      <c r="BA519" s="605"/>
      <c r="BB519" s="606"/>
      <c r="BC519" s="558">
        <v>0</v>
      </c>
      <c r="BD519" s="559"/>
      <c r="BE519" s="560"/>
      <c r="BF519" s="558">
        <v>182.49</v>
      </c>
      <c r="BG519" s="559"/>
      <c r="BH519" s="560"/>
      <c r="BI519" s="564">
        <v>0</v>
      </c>
      <c r="BJ519" s="565"/>
      <c r="BK519" s="565"/>
      <c r="BL519" s="566"/>
      <c r="BM519" s="567" t="s">
        <v>932</v>
      </c>
      <c r="BN519" s="567"/>
      <c r="BO519" s="567"/>
      <c r="BP519" s="567"/>
      <c r="BQ519" s="568" t="s">
        <v>932</v>
      </c>
      <c r="BR519" s="568"/>
      <c r="BS519" s="568"/>
      <c r="BT519" s="567" t="s">
        <v>932</v>
      </c>
      <c r="BU519" s="567"/>
      <c r="BV519" s="567"/>
      <c r="BW519" s="567"/>
      <c r="BX519" s="568" t="s">
        <v>932</v>
      </c>
      <c r="BY519" s="568"/>
      <c r="BZ519" s="568"/>
      <c r="CA519" s="567" t="s">
        <v>932</v>
      </c>
      <c r="CB519" s="567"/>
      <c r="CC519" s="567"/>
      <c r="CD519" s="567"/>
      <c r="CE519" s="568" t="s">
        <v>932</v>
      </c>
      <c r="CF519" s="568"/>
      <c r="CG519" s="568"/>
      <c r="CH519" s="567" t="s">
        <v>932</v>
      </c>
      <c r="CI519" s="567"/>
      <c r="CJ519" s="567"/>
      <c r="CK519" s="567"/>
      <c r="CL519" s="568">
        <v>1</v>
      </c>
      <c r="CM519" s="568"/>
      <c r="CN519" s="568"/>
    </row>
    <row r="520" customHeight="1" spans="1:92">
      <c r="A520" s="540" t="s">
        <v>1005</v>
      </c>
      <c r="B520" s="541"/>
      <c r="C520" s="89"/>
      <c r="D520" s="91"/>
      <c r="E520" s="90"/>
      <c r="F520" s="542">
        <v>1106057</v>
      </c>
      <c r="G520" s="543"/>
      <c r="H520" s="544"/>
      <c r="I520" s="545" t="s">
        <v>109</v>
      </c>
      <c r="J520" s="546"/>
      <c r="K520" s="546"/>
      <c r="L520" s="546"/>
      <c r="M520" s="546"/>
      <c r="N520" s="546"/>
      <c r="O520" s="546"/>
      <c r="P520" s="546"/>
      <c r="Q520" s="546"/>
      <c r="R520" s="546"/>
      <c r="S520" s="546"/>
      <c r="T520" s="546"/>
      <c r="U520" s="546"/>
      <c r="V520" s="546"/>
      <c r="W520" s="546"/>
      <c r="X520" s="546"/>
      <c r="Y520" s="546"/>
      <c r="Z520" s="546"/>
      <c r="AA520" s="547"/>
      <c r="AB520" s="548" t="s">
        <v>99</v>
      </c>
      <c r="AC520" s="549"/>
      <c r="AD520" s="550">
        <v>2.4</v>
      </c>
      <c r="AE520" s="551"/>
      <c r="AF520" s="552"/>
      <c r="AG520" s="553" t="s">
        <v>1068</v>
      </c>
      <c r="AH520" s="554"/>
      <c r="AI520" s="555" t="s">
        <v>1069</v>
      </c>
      <c r="AJ520" s="556"/>
      <c r="AK520" s="556"/>
      <c r="AL520" s="556"/>
      <c r="AM520" s="556"/>
      <c r="AN520" s="556"/>
      <c r="AO520" s="556"/>
      <c r="AP520" s="556"/>
      <c r="AQ520" s="556"/>
      <c r="AR520" s="556"/>
      <c r="AS520" s="556"/>
      <c r="AT520" s="556"/>
      <c r="AU520" s="556"/>
      <c r="AV520" s="557"/>
      <c r="AW520" s="558">
        <v>1</v>
      </c>
      <c r="AX520" s="559"/>
      <c r="AY520" s="560"/>
      <c r="AZ520" s="561">
        <v>3.92899</v>
      </c>
      <c r="BA520" s="562"/>
      <c r="BB520" s="563"/>
      <c r="BC520" s="558">
        <v>0.610844008256575</v>
      </c>
      <c r="BD520" s="559"/>
      <c r="BE520" s="560"/>
      <c r="BF520" s="558">
        <v>182.49</v>
      </c>
      <c r="BG520" s="559"/>
      <c r="BH520" s="560"/>
      <c r="BI520" s="564">
        <v>0.00334727386846717</v>
      </c>
      <c r="BJ520" s="565"/>
      <c r="BK520" s="565"/>
      <c r="BL520" s="566"/>
      <c r="BM520" s="567" t="s">
        <v>932</v>
      </c>
      <c r="BN520" s="567"/>
      <c r="BO520" s="567"/>
      <c r="BP520" s="567"/>
      <c r="BQ520" s="568" t="s">
        <v>932</v>
      </c>
      <c r="BR520" s="568"/>
      <c r="BS520" s="568"/>
      <c r="BT520" s="567" t="s">
        <v>932</v>
      </c>
      <c r="BU520" s="567"/>
      <c r="BV520" s="567"/>
      <c r="BW520" s="567"/>
      <c r="BX520" s="568" t="s">
        <v>932</v>
      </c>
      <c r="BY520" s="568"/>
      <c r="BZ520" s="568"/>
      <c r="CA520" s="567" t="s">
        <v>932</v>
      </c>
      <c r="CB520" s="567"/>
      <c r="CC520" s="567"/>
      <c r="CD520" s="567"/>
      <c r="CE520" s="568" t="s">
        <v>932</v>
      </c>
      <c r="CF520" s="568"/>
      <c r="CG520" s="568"/>
      <c r="CH520" s="567">
        <v>0.00334727386846717</v>
      </c>
      <c r="CI520" s="567"/>
      <c r="CJ520" s="567"/>
      <c r="CK520" s="567"/>
      <c r="CL520" s="568">
        <v>1</v>
      </c>
      <c r="CM520" s="568"/>
      <c r="CN520" s="568"/>
    </row>
    <row r="521" customHeight="1" spans="1:92">
      <c r="A521" s="569"/>
      <c r="B521" s="570"/>
      <c r="C521" s="571"/>
      <c r="D521" s="572"/>
      <c r="E521" s="573"/>
      <c r="F521" s="574"/>
      <c r="G521" s="575"/>
      <c r="H521" s="576"/>
      <c r="I521" s="577"/>
      <c r="J521" s="578"/>
      <c r="K521" s="578"/>
      <c r="L521" s="578"/>
      <c r="M521" s="578"/>
      <c r="N521" s="578"/>
      <c r="O521" s="578"/>
      <c r="P521" s="578"/>
      <c r="Q521" s="578"/>
      <c r="R521" s="578"/>
      <c r="S521" s="578"/>
      <c r="T521" s="578"/>
      <c r="U521" s="578"/>
      <c r="V521" s="578"/>
      <c r="W521" s="578"/>
      <c r="X521" s="578"/>
      <c r="Y521" s="578"/>
      <c r="Z521" s="578"/>
      <c r="AA521" s="579"/>
      <c r="AB521" s="580"/>
      <c r="AC521" s="581"/>
      <c r="AD521" s="582"/>
      <c r="AE521" s="583"/>
      <c r="AF521" s="584"/>
      <c r="AG521" s="553" t="s">
        <v>1070</v>
      </c>
      <c r="AH521" s="554"/>
      <c r="AI521" s="555" t="s">
        <v>1071</v>
      </c>
      <c r="AJ521" s="556"/>
      <c r="AK521" s="556"/>
      <c r="AL521" s="556"/>
      <c r="AM521" s="556"/>
      <c r="AN521" s="556"/>
      <c r="AO521" s="556"/>
      <c r="AP521" s="556"/>
      <c r="AQ521" s="556"/>
      <c r="AR521" s="556"/>
      <c r="AS521" s="556"/>
      <c r="AT521" s="556"/>
      <c r="AU521" s="556"/>
      <c r="AV521" s="557"/>
      <c r="AW521" s="558">
        <v>4</v>
      </c>
      <c r="AX521" s="559"/>
      <c r="AY521" s="560"/>
      <c r="AZ521" s="585"/>
      <c r="BA521" s="586"/>
      <c r="BB521" s="587"/>
      <c r="BC521" s="558">
        <v>2.4433760330263</v>
      </c>
      <c r="BD521" s="559"/>
      <c r="BE521" s="560"/>
      <c r="BF521" s="558">
        <v>182.49</v>
      </c>
      <c r="BG521" s="559"/>
      <c r="BH521" s="560"/>
      <c r="BI521" s="564">
        <v>0.0133890954738687</v>
      </c>
      <c r="BJ521" s="565"/>
      <c r="BK521" s="565"/>
      <c r="BL521" s="566"/>
      <c r="BM521" s="567" t="s">
        <v>932</v>
      </c>
      <c r="BN521" s="567"/>
      <c r="BO521" s="567"/>
      <c r="BP521" s="567"/>
      <c r="BQ521" s="568" t="s">
        <v>932</v>
      </c>
      <c r="BR521" s="568"/>
      <c r="BS521" s="568"/>
      <c r="BT521" s="567" t="s">
        <v>932</v>
      </c>
      <c r="BU521" s="567"/>
      <c r="BV521" s="567"/>
      <c r="BW521" s="567"/>
      <c r="BX521" s="568" t="s">
        <v>932</v>
      </c>
      <c r="BY521" s="568"/>
      <c r="BZ521" s="568"/>
      <c r="CA521" s="567" t="s">
        <v>932</v>
      </c>
      <c r="CB521" s="567"/>
      <c r="CC521" s="567"/>
      <c r="CD521" s="567"/>
      <c r="CE521" s="568" t="s">
        <v>932</v>
      </c>
      <c r="CF521" s="568"/>
      <c r="CG521" s="568"/>
      <c r="CH521" s="567">
        <v>0.0133890954738687</v>
      </c>
      <c r="CI521" s="567"/>
      <c r="CJ521" s="567"/>
      <c r="CK521" s="567"/>
      <c r="CL521" s="568">
        <v>1</v>
      </c>
      <c r="CM521" s="568"/>
      <c r="CN521" s="568"/>
    </row>
    <row r="522" customHeight="1" spans="1:92">
      <c r="A522" s="569"/>
      <c r="B522" s="570"/>
      <c r="C522" s="571"/>
      <c r="D522" s="572"/>
      <c r="E522" s="573"/>
      <c r="F522" s="574"/>
      <c r="G522" s="575"/>
      <c r="H522" s="576"/>
      <c r="I522" s="577"/>
      <c r="J522" s="578"/>
      <c r="K522" s="578"/>
      <c r="L522" s="578"/>
      <c r="M522" s="578"/>
      <c r="N522" s="578"/>
      <c r="O522" s="578"/>
      <c r="P522" s="578"/>
      <c r="Q522" s="578"/>
      <c r="R522" s="578"/>
      <c r="S522" s="578"/>
      <c r="T522" s="578"/>
      <c r="U522" s="578"/>
      <c r="V522" s="578"/>
      <c r="W522" s="578"/>
      <c r="X522" s="578"/>
      <c r="Y522" s="578"/>
      <c r="Z522" s="578"/>
      <c r="AA522" s="579"/>
      <c r="AB522" s="580"/>
      <c r="AC522" s="581"/>
      <c r="AD522" s="582"/>
      <c r="AE522" s="583"/>
      <c r="AF522" s="584"/>
      <c r="AG522" s="553" t="s">
        <v>1072</v>
      </c>
      <c r="AH522" s="554"/>
      <c r="AI522" s="555" t="s">
        <v>1073</v>
      </c>
      <c r="AJ522" s="556"/>
      <c r="AK522" s="556"/>
      <c r="AL522" s="556"/>
      <c r="AM522" s="556"/>
      <c r="AN522" s="556"/>
      <c r="AO522" s="556"/>
      <c r="AP522" s="556"/>
      <c r="AQ522" s="556"/>
      <c r="AR522" s="556"/>
      <c r="AS522" s="556"/>
      <c r="AT522" s="556"/>
      <c r="AU522" s="556"/>
      <c r="AV522" s="557"/>
      <c r="AW522" s="558">
        <v>3</v>
      </c>
      <c r="AX522" s="559"/>
      <c r="AY522" s="560"/>
      <c r="AZ522" s="585"/>
      <c r="BA522" s="586"/>
      <c r="BB522" s="587"/>
      <c r="BC522" s="558">
        <v>1.83253202476972</v>
      </c>
      <c r="BD522" s="559"/>
      <c r="BE522" s="560"/>
      <c r="BF522" s="558">
        <v>182.49</v>
      </c>
      <c r="BG522" s="559"/>
      <c r="BH522" s="560"/>
      <c r="BI522" s="564">
        <v>0.0100418216054015</v>
      </c>
      <c r="BJ522" s="565"/>
      <c r="BK522" s="565"/>
      <c r="BL522" s="566"/>
      <c r="BM522" s="567" t="s">
        <v>932</v>
      </c>
      <c r="BN522" s="567"/>
      <c r="BO522" s="567"/>
      <c r="BP522" s="567"/>
      <c r="BQ522" s="568" t="s">
        <v>932</v>
      </c>
      <c r="BR522" s="568"/>
      <c r="BS522" s="568"/>
      <c r="BT522" s="567" t="s">
        <v>932</v>
      </c>
      <c r="BU522" s="567"/>
      <c r="BV522" s="567"/>
      <c r="BW522" s="567"/>
      <c r="BX522" s="568" t="s">
        <v>932</v>
      </c>
      <c r="BY522" s="568"/>
      <c r="BZ522" s="568"/>
      <c r="CA522" s="567" t="s">
        <v>932</v>
      </c>
      <c r="CB522" s="567"/>
      <c r="CC522" s="567"/>
      <c r="CD522" s="567"/>
      <c r="CE522" s="568" t="s">
        <v>932</v>
      </c>
      <c r="CF522" s="568"/>
      <c r="CG522" s="568"/>
      <c r="CH522" s="567">
        <v>0.0100418216054015</v>
      </c>
      <c r="CI522" s="567"/>
      <c r="CJ522" s="567"/>
      <c r="CK522" s="567"/>
      <c r="CL522" s="568">
        <v>1</v>
      </c>
      <c r="CM522" s="568"/>
      <c r="CN522" s="568"/>
    </row>
    <row r="523" hidden="1" customHeight="1" spans="1:92">
      <c r="A523" s="569"/>
      <c r="B523" s="570"/>
      <c r="C523" s="571"/>
      <c r="D523" s="572"/>
      <c r="E523" s="573"/>
      <c r="F523" s="574"/>
      <c r="G523" s="575"/>
      <c r="H523" s="576"/>
      <c r="I523" s="577"/>
      <c r="J523" s="578"/>
      <c r="K523" s="578"/>
      <c r="L523" s="578"/>
      <c r="M523" s="578"/>
      <c r="N523" s="578"/>
      <c r="O523" s="578"/>
      <c r="P523" s="578"/>
      <c r="Q523" s="578"/>
      <c r="R523" s="578"/>
      <c r="S523" s="578"/>
      <c r="T523" s="578"/>
      <c r="U523" s="578"/>
      <c r="V523" s="578"/>
      <c r="W523" s="578"/>
      <c r="X523" s="578"/>
      <c r="Y523" s="578"/>
      <c r="Z523" s="578"/>
      <c r="AA523" s="579"/>
      <c r="AB523" s="580"/>
      <c r="AC523" s="581"/>
      <c r="AD523" s="582"/>
      <c r="AE523" s="583"/>
      <c r="AF523" s="584"/>
      <c r="AG523" s="553">
        <v>0</v>
      </c>
      <c r="AH523" s="554"/>
      <c r="AI523" s="555" t="e">
        <v>#N/A</v>
      </c>
      <c r="AJ523" s="556"/>
      <c r="AK523" s="556"/>
      <c r="AL523" s="556"/>
      <c r="AM523" s="556"/>
      <c r="AN523" s="556"/>
      <c r="AO523" s="556"/>
      <c r="AP523" s="556"/>
      <c r="AQ523" s="556"/>
      <c r="AR523" s="556"/>
      <c r="AS523" s="556"/>
      <c r="AT523" s="556"/>
      <c r="AU523" s="556"/>
      <c r="AV523" s="557"/>
      <c r="AW523" s="558">
        <v>0</v>
      </c>
      <c r="AX523" s="559"/>
      <c r="AY523" s="560"/>
      <c r="AZ523" s="585"/>
      <c r="BA523" s="586"/>
      <c r="BB523" s="587"/>
      <c r="BC523" s="558">
        <v>0</v>
      </c>
      <c r="BD523" s="559"/>
      <c r="BE523" s="560"/>
      <c r="BF523" s="558">
        <v>182.49</v>
      </c>
      <c r="BG523" s="559"/>
      <c r="BH523" s="560"/>
      <c r="BI523" s="564">
        <v>0</v>
      </c>
      <c r="BJ523" s="565"/>
      <c r="BK523" s="565"/>
      <c r="BL523" s="566"/>
      <c r="BM523" s="567" t="s">
        <v>932</v>
      </c>
      <c r="BN523" s="567"/>
      <c r="BO523" s="567"/>
      <c r="BP523" s="567"/>
      <c r="BQ523" s="568" t="s">
        <v>932</v>
      </c>
      <c r="BR523" s="568"/>
      <c r="BS523" s="568"/>
      <c r="BT523" s="567" t="s">
        <v>932</v>
      </c>
      <c r="BU523" s="567"/>
      <c r="BV523" s="567"/>
      <c r="BW523" s="567"/>
      <c r="BX523" s="568" t="s">
        <v>932</v>
      </c>
      <c r="BY523" s="568"/>
      <c r="BZ523" s="568"/>
      <c r="CA523" s="567" t="s">
        <v>932</v>
      </c>
      <c r="CB523" s="567"/>
      <c r="CC523" s="567"/>
      <c r="CD523" s="567"/>
      <c r="CE523" s="568" t="s">
        <v>932</v>
      </c>
      <c r="CF523" s="568"/>
      <c r="CG523" s="568"/>
      <c r="CH523" s="567" t="s">
        <v>932</v>
      </c>
      <c r="CI523" s="567"/>
      <c r="CJ523" s="567"/>
      <c r="CK523" s="567"/>
      <c r="CL523" s="568">
        <v>1</v>
      </c>
      <c r="CM523" s="568"/>
      <c r="CN523" s="568"/>
    </row>
    <row r="524" hidden="1" customHeight="1" spans="1:92">
      <c r="A524" s="569"/>
      <c r="B524" s="570"/>
      <c r="C524" s="571"/>
      <c r="D524" s="572"/>
      <c r="E524" s="573"/>
      <c r="F524" s="574"/>
      <c r="G524" s="575"/>
      <c r="H524" s="576"/>
      <c r="I524" s="577"/>
      <c r="J524" s="578"/>
      <c r="K524" s="578"/>
      <c r="L524" s="578"/>
      <c r="M524" s="578"/>
      <c r="N524" s="578"/>
      <c r="O524" s="578"/>
      <c r="P524" s="578"/>
      <c r="Q524" s="578"/>
      <c r="R524" s="578"/>
      <c r="S524" s="578"/>
      <c r="T524" s="578"/>
      <c r="U524" s="578"/>
      <c r="V524" s="578"/>
      <c r="W524" s="578"/>
      <c r="X524" s="578"/>
      <c r="Y524" s="578"/>
      <c r="Z524" s="578"/>
      <c r="AA524" s="579"/>
      <c r="AB524" s="580"/>
      <c r="AC524" s="581"/>
      <c r="AD524" s="582"/>
      <c r="AE524" s="583"/>
      <c r="AF524" s="584"/>
      <c r="AG524" s="553">
        <v>0</v>
      </c>
      <c r="AH524" s="554"/>
      <c r="AI524" s="555" t="e">
        <v>#N/A</v>
      </c>
      <c r="AJ524" s="556"/>
      <c r="AK524" s="556"/>
      <c r="AL524" s="556"/>
      <c r="AM524" s="556"/>
      <c r="AN524" s="556"/>
      <c r="AO524" s="556"/>
      <c r="AP524" s="556"/>
      <c r="AQ524" s="556"/>
      <c r="AR524" s="556"/>
      <c r="AS524" s="556"/>
      <c r="AT524" s="556"/>
      <c r="AU524" s="556"/>
      <c r="AV524" s="557"/>
      <c r="AW524" s="558">
        <v>0</v>
      </c>
      <c r="AX524" s="559"/>
      <c r="AY524" s="560"/>
      <c r="AZ524" s="585"/>
      <c r="BA524" s="586"/>
      <c r="BB524" s="587"/>
      <c r="BC524" s="558">
        <v>0</v>
      </c>
      <c r="BD524" s="559"/>
      <c r="BE524" s="560"/>
      <c r="BF524" s="558">
        <v>182.49</v>
      </c>
      <c r="BG524" s="559"/>
      <c r="BH524" s="560"/>
      <c r="BI524" s="564">
        <v>0</v>
      </c>
      <c r="BJ524" s="565"/>
      <c r="BK524" s="565"/>
      <c r="BL524" s="566"/>
      <c r="BM524" s="567" t="s">
        <v>932</v>
      </c>
      <c r="BN524" s="567"/>
      <c r="BO524" s="567"/>
      <c r="BP524" s="567"/>
      <c r="BQ524" s="568" t="s">
        <v>932</v>
      </c>
      <c r="BR524" s="568"/>
      <c r="BS524" s="568"/>
      <c r="BT524" s="567" t="s">
        <v>932</v>
      </c>
      <c r="BU524" s="567"/>
      <c r="BV524" s="567"/>
      <c r="BW524" s="567"/>
      <c r="BX524" s="568" t="s">
        <v>932</v>
      </c>
      <c r="BY524" s="568"/>
      <c r="BZ524" s="568"/>
      <c r="CA524" s="567" t="s">
        <v>932</v>
      </c>
      <c r="CB524" s="567"/>
      <c r="CC524" s="567"/>
      <c r="CD524" s="567"/>
      <c r="CE524" s="568" t="s">
        <v>932</v>
      </c>
      <c r="CF524" s="568"/>
      <c r="CG524" s="568"/>
      <c r="CH524" s="567" t="s">
        <v>932</v>
      </c>
      <c r="CI524" s="567"/>
      <c r="CJ524" s="567"/>
      <c r="CK524" s="567"/>
      <c r="CL524" s="568">
        <v>1</v>
      </c>
      <c r="CM524" s="568"/>
      <c r="CN524" s="568"/>
    </row>
    <row r="525" hidden="1" customHeight="1" spans="1:92">
      <c r="A525" s="569"/>
      <c r="B525" s="570"/>
      <c r="C525" s="571"/>
      <c r="D525" s="572"/>
      <c r="E525" s="573"/>
      <c r="F525" s="574"/>
      <c r="G525" s="575"/>
      <c r="H525" s="576"/>
      <c r="I525" s="577"/>
      <c r="J525" s="578"/>
      <c r="K525" s="578"/>
      <c r="L525" s="578"/>
      <c r="M525" s="578"/>
      <c r="N525" s="578"/>
      <c r="O525" s="578"/>
      <c r="P525" s="578"/>
      <c r="Q525" s="578"/>
      <c r="R525" s="578"/>
      <c r="S525" s="578"/>
      <c r="T525" s="578"/>
      <c r="U525" s="578"/>
      <c r="V525" s="578"/>
      <c r="W525" s="578"/>
      <c r="X525" s="578"/>
      <c r="Y525" s="578"/>
      <c r="Z525" s="578"/>
      <c r="AA525" s="579"/>
      <c r="AB525" s="580"/>
      <c r="AC525" s="581"/>
      <c r="AD525" s="582"/>
      <c r="AE525" s="583"/>
      <c r="AF525" s="584"/>
      <c r="AG525" s="553">
        <v>0</v>
      </c>
      <c r="AH525" s="554"/>
      <c r="AI525" s="555" t="e">
        <v>#N/A</v>
      </c>
      <c r="AJ525" s="556"/>
      <c r="AK525" s="556"/>
      <c r="AL525" s="556"/>
      <c r="AM525" s="556"/>
      <c r="AN525" s="556"/>
      <c r="AO525" s="556"/>
      <c r="AP525" s="556"/>
      <c r="AQ525" s="556"/>
      <c r="AR525" s="556"/>
      <c r="AS525" s="556"/>
      <c r="AT525" s="556"/>
      <c r="AU525" s="556"/>
      <c r="AV525" s="557"/>
      <c r="AW525" s="558">
        <v>0</v>
      </c>
      <c r="AX525" s="559"/>
      <c r="AY525" s="560"/>
      <c r="AZ525" s="585"/>
      <c r="BA525" s="586"/>
      <c r="BB525" s="587"/>
      <c r="BC525" s="558">
        <v>0</v>
      </c>
      <c r="BD525" s="559"/>
      <c r="BE525" s="560"/>
      <c r="BF525" s="558">
        <v>182.49</v>
      </c>
      <c r="BG525" s="559"/>
      <c r="BH525" s="560"/>
      <c r="BI525" s="564">
        <v>0</v>
      </c>
      <c r="BJ525" s="565"/>
      <c r="BK525" s="565"/>
      <c r="BL525" s="566"/>
      <c r="BM525" s="567" t="s">
        <v>932</v>
      </c>
      <c r="BN525" s="567"/>
      <c r="BO525" s="567"/>
      <c r="BP525" s="567"/>
      <c r="BQ525" s="568" t="s">
        <v>932</v>
      </c>
      <c r="BR525" s="568"/>
      <c r="BS525" s="568"/>
      <c r="BT525" s="567" t="s">
        <v>932</v>
      </c>
      <c r="BU525" s="567"/>
      <c r="BV525" s="567"/>
      <c r="BW525" s="567"/>
      <c r="BX525" s="568" t="s">
        <v>932</v>
      </c>
      <c r="BY525" s="568"/>
      <c r="BZ525" s="568"/>
      <c r="CA525" s="567" t="s">
        <v>932</v>
      </c>
      <c r="CB525" s="567"/>
      <c r="CC525" s="567"/>
      <c r="CD525" s="567"/>
      <c r="CE525" s="568" t="s">
        <v>932</v>
      </c>
      <c r="CF525" s="568"/>
      <c r="CG525" s="568"/>
      <c r="CH525" s="567" t="s">
        <v>932</v>
      </c>
      <c r="CI525" s="567"/>
      <c r="CJ525" s="567"/>
      <c r="CK525" s="567"/>
      <c r="CL525" s="568">
        <v>1</v>
      </c>
      <c r="CM525" s="568"/>
      <c r="CN525" s="568"/>
    </row>
    <row r="526" hidden="1" customHeight="1" spans="1:92">
      <c r="A526" s="569"/>
      <c r="B526" s="570"/>
      <c r="C526" s="571"/>
      <c r="D526" s="572"/>
      <c r="E526" s="573"/>
      <c r="F526" s="574"/>
      <c r="G526" s="575"/>
      <c r="H526" s="576"/>
      <c r="I526" s="577"/>
      <c r="J526" s="578"/>
      <c r="K526" s="578"/>
      <c r="L526" s="578"/>
      <c r="M526" s="578"/>
      <c r="N526" s="578"/>
      <c r="O526" s="578"/>
      <c r="P526" s="578"/>
      <c r="Q526" s="578"/>
      <c r="R526" s="578"/>
      <c r="S526" s="578"/>
      <c r="T526" s="578"/>
      <c r="U526" s="578"/>
      <c r="V526" s="578"/>
      <c r="W526" s="578"/>
      <c r="X526" s="578"/>
      <c r="Y526" s="578"/>
      <c r="Z526" s="578"/>
      <c r="AA526" s="579"/>
      <c r="AB526" s="580"/>
      <c r="AC526" s="581"/>
      <c r="AD526" s="582"/>
      <c r="AE526" s="583"/>
      <c r="AF526" s="584"/>
      <c r="AG526" s="553">
        <v>0</v>
      </c>
      <c r="AH526" s="554"/>
      <c r="AI526" s="555" t="e">
        <v>#N/A</v>
      </c>
      <c r="AJ526" s="556"/>
      <c r="AK526" s="556"/>
      <c r="AL526" s="556"/>
      <c r="AM526" s="556"/>
      <c r="AN526" s="556"/>
      <c r="AO526" s="556"/>
      <c r="AP526" s="556"/>
      <c r="AQ526" s="556"/>
      <c r="AR526" s="556"/>
      <c r="AS526" s="556"/>
      <c r="AT526" s="556"/>
      <c r="AU526" s="556"/>
      <c r="AV526" s="557"/>
      <c r="AW526" s="558">
        <v>0</v>
      </c>
      <c r="AX526" s="559"/>
      <c r="AY526" s="560"/>
      <c r="AZ526" s="585"/>
      <c r="BA526" s="586"/>
      <c r="BB526" s="587"/>
      <c r="BC526" s="558">
        <v>0</v>
      </c>
      <c r="BD526" s="559"/>
      <c r="BE526" s="560"/>
      <c r="BF526" s="558">
        <v>182.49</v>
      </c>
      <c r="BG526" s="559"/>
      <c r="BH526" s="560"/>
      <c r="BI526" s="564">
        <v>0</v>
      </c>
      <c r="BJ526" s="565"/>
      <c r="BK526" s="565"/>
      <c r="BL526" s="566"/>
      <c r="BM526" s="567" t="s">
        <v>932</v>
      </c>
      <c r="BN526" s="567"/>
      <c r="BO526" s="567"/>
      <c r="BP526" s="567"/>
      <c r="BQ526" s="568" t="s">
        <v>932</v>
      </c>
      <c r="BR526" s="568"/>
      <c r="BS526" s="568"/>
      <c r="BT526" s="567" t="s">
        <v>932</v>
      </c>
      <c r="BU526" s="567"/>
      <c r="BV526" s="567"/>
      <c r="BW526" s="567"/>
      <c r="BX526" s="568" t="s">
        <v>932</v>
      </c>
      <c r="BY526" s="568"/>
      <c r="BZ526" s="568"/>
      <c r="CA526" s="567" t="s">
        <v>932</v>
      </c>
      <c r="CB526" s="567"/>
      <c r="CC526" s="567"/>
      <c r="CD526" s="567"/>
      <c r="CE526" s="568" t="s">
        <v>932</v>
      </c>
      <c r="CF526" s="568"/>
      <c r="CG526" s="568"/>
      <c r="CH526" s="567" t="s">
        <v>932</v>
      </c>
      <c r="CI526" s="567"/>
      <c r="CJ526" s="567"/>
      <c r="CK526" s="567"/>
      <c r="CL526" s="568">
        <v>1</v>
      </c>
      <c r="CM526" s="568"/>
      <c r="CN526" s="568"/>
    </row>
    <row r="527" hidden="1" customHeight="1" spans="1:92">
      <c r="A527" s="588"/>
      <c r="B527" s="589"/>
      <c r="C527" s="590"/>
      <c r="D527" s="591"/>
      <c r="E527" s="592"/>
      <c r="F527" s="593"/>
      <c r="G527" s="594"/>
      <c r="H527" s="595"/>
      <c r="I527" s="596"/>
      <c r="J527" s="597"/>
      <c r="K527" s="597"/>
      <c r="L527" s="597"/>
      <c r="M527" s="597"/>
      <c r="N527" s="597"/>
      <c r="O527" s="597"/>
      <c r="P527" s="597"/>
      <c r="Q527" s="597"/>
      <c r="R527" s="597"/>
      <c r="S527" s="597"/>
      <c r="T527" s="597"/>
      <c r="U527" s="597"/>
      <c r="V527" s="597"/>
      <c r="W527" s="597"/>
      <c r="X527" s="597"/>
      <c r="Y527" s="597"/>
      <c r="Z527" s="597"/>
      <c r="AA527" s="598"/>
      <c r="AB527" s="599"/>
      <c r="AC527" s="600"/>
      <c r="AD527" s="601"/>
      <c r="AE527" s="602"/>
      <c r="AF527" s="603"/>
      <c r="AG527" s="553">
        <v>0</v>
      </c>
      <c r="AH527" s="554"/>
      <c r="AI527" s="555" t="e">
        <v>#N/A</v>
      </c>
      <c r="AJ527" s="556"/>
      <c r="AK527" s="556"/>
      <c r="AL527" s="556"/>
      <c r="AM527" s="556"/>
      <c r="AN527" s="556"/>
      <c r="AO527" s="556"/>
      <c r="AP527" s="556"/>
      <c r="AQ527" s="556"/>
      <c r="AR527" s="556"/>
      <c r="AS527" s="556"/>
      <c r="AT527" s="556"/>
      <c r="AU527" s="556"/>
      <c r="AV527" s="557"/>
      <c r="AW527" s="558">
        <v>0</v>
      </c>
      <c r="AX527" s="559"/>
      <c r="AY527" s="560"/>
      <c r="AZ527" s="604"/>
      <c r="BA527" s="605"/>
      <c r="BB527" s="606"/>
      <c r="BC527" s="558">
        <v>0</v>
      </c>
      <c r="BD527" s="559"/>
      <c r="BE527" s="560"/>
      <c r="BF527" s="558">
        <v>182.49</v>
      </c>
      <c r="BG527" s="559"/>
      <c r="BH527" s="560"/>
      <c r="BI527" s="564">
        <v>0</v>
      </c>
      <c r="BJ527" s="565"/>
      <c r="BK527" s="565"/>
      <c r="BL527" s="566"/>
      <c r="BM527" s="567" t="s">
        <v>932</v>
      </c>
      <c r="BN527" s="567"/>
      <c r="BO527" s="567"/>
      <c r="BP527" s="567"/>
      <c r="BQ527" s="568" t="s">
        <v>932</v>
      </c>
      <c r="BR527" s="568"/>
      <c r="BS527" s="568"/>
      <c r="BT527" s="567" t="s">
        <v>932</v>
      </c>
      <c r="BU527" s="567"/>
      <c r="BV527" s="567"/>
      <c r="BW527" s="567"/>
      <c r="BX527" s="568" t="s">
        <v>932</v>
      </c>
      <c r="BY527" s="568"/>
      <c r="BZ527" s="568"/>
      <c r="CA527" s="567" t="s">
        <v>932</v>
      </c>
      <c r="CB527" s="567"/>
      <c r="CC527" s="567"/>
      <c r="CD527" s="567"/>
      <c r="CE527" s="568" t="s">
        <v>932</v>
      </c>
      <c r="CF527" s="568"/>
      <c r="CG527" s="568"/>
      <c r="CH527" s="567" t="s">
        <v>932</v>
      </c>
      <c r="CI527" s="567"/>
      <c r="CJ527" s="567"/>
      <c r="CK527" s="567"/>
      <c r="CL527" s="568">
        <v>1</v>
      </c>
      <c r="CM527" s="568"/>
      <c r="CN527" s="568"/>
    </row>
    <row r="528" customHeight="1" spans="1:92">
      <c r="A528" s="540" t="s">
        <v>1006</v>
      </c>
      <c r="B528" s="541"/>
      <c r="C528" s="89"/>
      <c r="D528" s="91"/>
      <c r="E528" s="90"/>
      <c r="F528" s="542">
        <v>3108000</v>
      </c>
      <c r="G528" s="543"/>
      <c r="H528" s="544"/>
      <c r="I528" s="545" t="s">
        <v>110</v>
      </c>
      <c r="J528" s="546"/>
      <c r="K528" s="546"/>
      <c r="L528" s="546"/>
      <c r="M528" s="546"/>
      <c r="N528" s="546"/>
      <c r="O528" s="546"/>
      <c r="P528" s="546"/>
      <c r="Q528" s="546"/>
      <c r="R528" s="546"/>
      <c r="S528" s="546"/>
      <c r="T528" s="546"/>
      <c r="U528" s="546"/>
      <c r="V528" s="546"/>
      <c r="W528" s="546"/>
      <c r="X528" s="546"/>
      <c r="Y528" s="546"/>
      <c r="Z528" s="546"/>
      <c r="AA528" s="547"/>
      <c r="AB528" s="548" t="s">
        <v>7</v>
      </c>
      <c r="AC528" s="549"/>
      <c r="AD528" s="550">
        <v>14.14</v>
      </c>
      <c r="AE528" s="551"/>
      <c r="AF528" s="552"/>
      <c r="AG528" s="553" t="s">
        <v>1074</v>
      </c>
      <c r="AH528" s="554"/>
      <c r="AI528" s="555" t="s">
        <v>1075</v>
      </c>
      <c r="AJ528" s="556"/>
      <c r="AK528" s="556"/>
      <c r="AL528" s="556"/>
      <c r="AM528" s="556"/>
      <c r="AN528" s="556"/>
      <c r="AO528" s="556"/>
      <c r="AP528" s="556"/>
      <c r="AQ528" s="556"/>
      <c r="AR528" s="556"/>
      <c r="AS528" s="556"/>
      <c r="AT528" s="556"/>
      <c r="AU528" s="556"/>
      <c r="AV528" s="557"/>
      <c r="AW528" s="558">
        <v>0.06024</v>
      </c>
      <c r="AX528" s="559"/>
      <c r="AY528" s="560"/>
      <c r="AZ528" s="561">
        <v>1</v>
      </c>
      <c r="BA528" s="562"/>
      <c r="BB528" s="563"/>
      <c r="BC528" s="558">
        <v>0.8517936</v>
      </c>
      <c r="BD528" s="559"/>
      <c r="BE528" s="560"/>
      <c r="BF528" s="558">
        <v>182.49</v>
      </c>
      <c r="BG528" s="559"/>
      <c r="BH528" s="560"/>
      <c r="BI528" s="564">
        <v>0.00466761795166858</v>
      </c>
      <c r="BJ528" s="565"/>
      <c r="BK528" s="565"/>
      <c r="BL528" s="566"/>
      <c r="BM528" s="567" t="s">
        <v>932</v>
      </c>
      <c r="BN528" s="567"/>
      <c r="BO528" s="567"/>
      <c r="BP528" s="567"/>
      <c r="BQ528" s="568" t="s">
        <v>932</v>
      </c>
      <c r="BR528" s="568"/>
      <c r="BS528" s="568"/>
      <c r="BT528" s="567" t="s">
        <v>932</v>
      </c>
      <c r="BU528" s="567"/>
      <c r="BV528" s="567"/>
      <c r="BW528" s="567"/>
      <c r="BX528" s="568" t="s">
        <v>932</v>
      </c>
      <c r="BY528" s="568"/>
      <c r="BZ528" s="568"/>
      <c r="CA528" s="567" t="s">
        <v>932</v>
      </c>
      <c r="CB528" s="567"/>
      <c r="CC528" s="567"/>
      <c r="CD528" s="567"/>
      <c r="CE528" s="568" t="s">
        <v>932</v>
      </c>
      <c r="CF528" s="568"/>
      <c r="CG528" s="568"/>
      <c r="CH528" s="567">
        <v>0.00466761795166858</v>
      </c>
      <c r="CI528" s="567"/>
      <c r="CJ528" s="567"/>
      <c r="CK528" s="567"/>
      <c r="CL528" s="568">
        <v>1</v>
      </c>
      <c r="CM528" s="568"/>
      <c r="CN528" s="568"/>
    </row>
    <row r="529" customHeight="1" spans="1:92">
      <c r="A529" s="569"/>
      <c r="B529" s="570"/>
      <c r="C529" s="571"/>
      <c r="D529" s="572"/>
      <c r="E529" s="573"/>
      <c r="F529" s="574"/>
      <c r="G529" s="575"/>
      <c r="H529" s="576"/>
      <c r="I529" s="577"/>
      <c r="J529" s="578"/>
      <c r="K529" s="578"/>
      <c r="L529" s="578"/>
      <c r="M529" s="578"/>
      <c r="N529" s="578"/>
      <c r="O529" s="578"/>
      <c r="P529" s="578"/>
      <c r="Q529" s="578"/>
      <c r="R529" s="578"/>
      <c r="S529" s="578"/>
      <c r="T529" s="578"/>
      <c r="U529" s="578"/>
      <c r="V529" s="578"/>
      <c r="W529" s="578"/>
      <c r="X529" s="578"/>
      <c r="Y529" s="578"/>
      <c r="Z529" s="578"/>
      <c r="AA529" s="579"/>
      <c r="AB529" s="580"/>
      <c r="AC529" s="581"/>
      <c r="AD529" s="582"/>
      <c r="AE529" s="583"/>
      <c r="AF529" s="584"/>
      <c r="AG529" s="553" t="s">
        <v>1076</v>
      </c>
      <c r="AH529" s="554"/>
      <c r="AI529" s="555" t="s">
        <v>1077</v>
      </c>
      <c r="AJ529" s="556"/>
      <c r="AK529" s="556"/>
      <c r="AL529" s="556"/>
      <c r="AM529" s="556"/>
      <c r="AN529" s="556"/>
      <c r="AO529" s="556"/>
      <c r="AP529" s="556"/>
      <c r="AQ529" s="556"/>
      <c r="AR529" s="556"/>
      <c r="AS529" s="556"/>
      <c r="AT529" s="556"/>
      <c r="AU529" s="556"/>
      <c r="AV529" s="557"/>
      <c r="AW529" s="558">
        <v>0.06024</v>
      </c>
      <c r="AX529" s="559"/>
      <c r="AY529" s="560"/>
      <c r="AZ529" s="585"/>
      <c r="BA529" s="586"/>
      <c r="BB529" s="587"/>
      <c r="BC529" s="558">
        <v>0.8517936</v>
      </c>
      <c r="BD529" s="559"/>
      <c r="BE529" s="560"/>
      <c r="BF529" s="558">
        <v>182.49</v>
      </c>
      <c r="BG529" s="559"/>
      <c r="BH529" s="560"/>
      <c r="BI529" s="564">
        <v>0.00466761795166858</v>
      </c>
      <c r="BJ529" s="565"/>
      <c r="BK529" s="565"/>
      <c r="BL529" s="566"/>
      <c r="BM529" s="567" t="s">
        <v>932</v>
      </c>
      <c r="BN529" s="567"/>
      <c r="BO529" s="567"/>
      <c r="BP529" s="567"/>
      <c r="BQ529" s="568" t="s">
        <v>932</v>
      </c>
      <c r="BR529" s="568"/>
      <c r="BS529" s="568"/>
      <c r="BT529" s="567" t="s">
        <v>932</v>
      </c>
      <c r="BU529" s="567"/>
      <c r="BV529" s="567"/>
      <c r="BW529" s="567"/>
      <c r="BX529" s="568" t="s">
        <v>932</v>
      </c>
      <c r="BY529" s="568"/>
      <c r="BZ529" s="568"/>
      <c r="CA529" s="567" t="s">
        <v>932</v>
      </c>
      <c r="CB529" s="567"/>
      <c r="CC529" s="567"/>
      <c r="CD529" s="567"/>
      <c r="CE529" s="568" t="s">
        <v>932</v>
      </c>
      <c r="CF529" s="568"/>
      <c r="CG529" s="568"/>
      <c r="CH529" s="567">
        <v>0.00466761795166858</v>
      </c>
      <c r="CI529" s="567"/>
      <c r="CJ529" s="567"/>
      <c r="CK529" s="567"/>
      <c r="CL529" s="568">
        <v>1</v>
      </c>
      <c r="CM529" s="568"/>
      <c r="CN529" s="568"/>
    </row>
    <row r="530" hidden="1" customHeight="1" spans="1:92">
      <c r="A530" s="569"/>
      <c r="B530" s="570"/>
      <c r="C530" s="571"/>
      <c r="D530" s="572"/>
      <c r="E530" s="573"/>
      <c r="F530" s="574"/>
      <c r="G530" s="575"/>
      <c r="H530" s="576"/>
      <c r="I530" s="577"/>
      <c r="J530" s="578"/>
      <c r="K530" s="578"/>
      <c r="L530" s="578"/>
      <c r="M530" s="578"/>
      <c r="N530" s="578"/>
      <c r="O530" s="578"/>
      <c r="P530" s="578"/>
      <c r="Q530" s="578"/>
      <c r="R530" s="578"/>
      <c r="S530" s="578"/>
      <c r="T530" s="578"/>
      <c r="U530" s="578"/>
      <c r="V530" s="578"/>
      <c r="W530" s="578"/>
      <c r="X530" s="578"/>
      <c r="Y530" s="578"/>
      <c r="Z530" s="578"/>
      <c r="AA530" s="579"/>
      <c r="AB530" s="580"/>
      <c r="AC530" s="581"/>
      <c r="AD530" s="582"/>
      <c r="AE530" s="583"/>
      <c r="AF530" s="584"/>
      <c r="AG530" s="553">
        <v>0</v>
      </c>
      <c r="AH530" s="554"/>
      <c r="AI530" s="555" t="e">
        <v>#N/A</v>
      </c>
      <c r="AJ530" s="556"/>
      <c r="AK530" s="556"/>
      <c r="AL530" s="556"/>
      <c r="AM530" s="556"/>
      <c r="AN530" s="556"/>
      <c r="AO530" s="556"/>
      <c r="AP530" s="556"/>
      <c r="AQ530" s="556"/>
      <c r="AR530" s="556"/>
      <c r="AS530" s="556"/>
      <c r="AT530" s="556"/>
      <c r="AU530" s="556"/>
      <c r="AV530" s="557"/>
      <c r="AW530" s="558">
        <v>0</v>
      </c>
      <c r="AX530" s="559"/>
      <c r="AY530" s="560"/>
      <c r="AZ530" s="585"/>
      <c r="BA530" s="586"/>
      <c r="BB530" s="587"/>
      <c r="BC530" s="558">
        <v>0</v>
      </c>
      <c r="BD530" s="559"/>
      <c r="BE530" s="560"/>
      <c r="BF530" s="558">
        <v>182.49</v>
      </c>
      <c r="BG530" s="559"/>
      <c r="BH530" s="560"/>
      <c r="BI530" s="564">
        <v>0</v>
      </c>
      <c r="BJ530" s="565"/>
      <c r="BK530" s="565"/>
      <c r="BL530" s="566"/>
      <c r="BM530" s="567" t="s">
        <v>932</v>
      </c>
      <c r="BN530" s="567"/>
      <c r="BO530" s="567"/>
      <c r="BP530" s="567"/>
      <c r="BQ530" s="568" t="s">
        <v>932</v>
      </c>
      <c r="BR530" s="568"/>
      <c r="BS530" s="568"/>
      <c r="BT530" s="567" t="s">
        <v>932</v>
      </c>
      <c r="BU530" s="567"/>
      <c r="BV530" s="567"/>
      <c r="BW530" s="567"/>
      <c r="BX530" s="568" t="s">
        <v>932</v>
      </c>
      <c r="BY530" s="568"/>
      <c r="BZ530" s="568"/>
      <c r="CA530" s="567" t="s">
        <v>932</v>
      </c>
      <c r="CB530" s="567"/>
      <c r="CC530" s="567"/>
      <c r="CD530" s="567"/>
      <c r="CE530" s="568" t="s">
        <v>932</v>
      </c>
      <c r="CF530" s="568"/>
      <c r="CG530" s="568"/>
      <c r="CH530" s="567" t="s">
        <v>932</v>
      </c>
      <c r="CI530" s="567"/>
      <c r="CJ530" s="567"/>
      <c r="CK530" s="567"/>
      <c r="CL530" s="568">
        <v>1</v>
      </c>
      <c r="CM530" s="568"/>
      <c r="CN530" s="568"/>
    </row>
    <row r="531" hidden="1" customHeight="1" spans="1:92">
      <c r="A531" s="569"/>
      <c r="B531" s="570"/>
      <c r="C531" s="571"/>
      <c r="D531" s="572"/>
      <c r="E531" s="573"/>
      <c r="F531" s="574"/>
      <c r="G531" s="575"/>
      <c r="H531" s="576"/>
      <c r="I531" s="577"/>
      <c r="J531" s="578"/>
      <c r="K531" s="578"/>
      <c r="L531" s="578"/>
      <c r="M531" s="578"/>
      <c r="N531" s="578"/>
      <c r="O531" s="578"/>
      <c r="P531" s="578"/>
      <c r="Q531" s="578"/>
      <c r="R531" s="578"/>
      <c r="S531" s="578"/>
      <c r="T531" s="578"/>
      <c r="U531" s="578"/>
      <c r="V531" s="578"/>
      <c r="W531" s="578"/>
      <c r="X531" s="578"/>
      <c r="Y531" s="578"/>
      <c r="Z531" s="578"/>
      <c r="AA531" s="579"/>
      <c r="AB531" s="580"/>
      <c r="AC531" s="581"/>
      <c r="AD531" s="582"/>
      <c r="AE531" s="583"/>
      <c r="AF531" s="584"/>
      <c r="AG531" s="553">
        <v>0</v>
      </c>
      <c r="AH531" s="554"/>
      <c r="AI531" s="555" t="e">
        <v>#N/A</v>
      </c>
      <c r="AJ531" s="556"/>
      <c r="AK531" s="556"/>
      <c r="AL531" s="556"/>
      <c r="AM531" s="556"/>
      <c r="AN531" s="556"/>
      <c r="AO531" s="556"/>
      <c r="AP531" s="556"/>
      <c r="AQ531" s="556"/>
      <c r="AR531" s="556"/>
      <c r="AS531" s="556"/>
      <c r="AT531" s="556"/>
      <c r="AU531" s="556"/>
      <c r="AV531" s="557"/>
      <c r="AW531" s="558">
        <v>0</v>
      </c>
      <c r="AX531" s="559"/>
      <c r="AY531" s="560"/>
      <c r="AZ531" s="585"/>
      <c r="BA531" s="586"/>
      <c r="BB531" s="587"/>
      <c r="BC531" s="558">
        <v>0</v>
      </c>
      <c r="BD531" s="559"/>
      <c r="BE531" s="560"/>
      <c r="BF531" s="558">
        <v>182.49</v>
      </c>
      <c r="BG531" s="559"/>
      <c r="BH531" s="560"/>
      <c r="BI531" s="564">
        <v>0</v>
      </c>
      <c r="BJ531" s="565"/>
      <c r="BK531" s="565"/>
      <c r="BL531" s="566"/>
      <c r="BM531" s="567" t="s">
        <v>932</v>
      </c>
      <c r="BN531" s="567"/>
      <c r="BO531" s="567"/>
      <c r="BP531" s="567"/>
      <c r="BQ531" s="568" t="s">
        <v>932</v>
      </c>
      <c r="BR531" s="568"/>
      <c r="BS531" s="568"/>
      <c r="BT531" s="567" t="s">
        <v>932</v>
      </c>
      <c r="BU531" s="567"/>
      <c r="BV531" s="567"/>
      <c r="BW531" s="567"/>
      <c r="BX531" s="568" t="s">
        <v>932</v>
      </c>
      <c r="BY531" s="568"/>
      <c r="BZ531" s="568"/>
      <c r="CA531" s="567" t="s">
        <v>932</v>
      </c>
      <c r="CB531" s="567"/>
      <c r="CC531" s="567"/>
      <c r="CD531" s="567"/>
      <c r="CE531" s="568" t="s">
        <v>932</v>
      </c>
      <c r="CF531" s="568"/>
      <c r="CG531" s="568"/>
      <c r="CH531" s="567" t="s">
        <v>932</v>
      </c>
      <c r="CI531" s="567"/>
      <c r="CJ531" s="567"/>
      <c r="CK531" s="567"/>
      <c r="CL531" s="568">
        <v>1</v>
      </c>
      <c r="CM531" s="568"/>
      <c r="CN531" s="568"/>
    </row>
    <row r="532" hidden="1" customHeight="1" spans="1:92">
      <c r="A532" s="569"/>
      <c r="B532" s="570"/>
      <c r="C532" s="571"/>
      <c r="D532" s="572"/>
      <c r="E532" s="573"/>
      <c r="F532" s="574"/>
      <c r="G532" s="575"/>
      <c r="H532" s="576"/>
      <c r="I532" s="577"/>
      <c r="J532" s="578"/>
      <c r="K532" s="578"/>
      <c r="L532" s="578"/>
      <c r="M532" s="578"/>
      <c r="N532" s="578"/>
      <c r="O532" s="578"/>
      <c r="P532" s="578"/>
      <c r="Q532" s="578"/>
      <c r="R532" s="578"/>
      <c r="S532" s="578"/>
      <c r="T532" s="578"/>
      <c r="U532" s="578"/>
      <c r="V532" s="578"/>
      <c r="W532" s="578"/>
      <c r="X532" s="578"/>
      <c r="Y532" s="578"/>
      <c r="Z532" s="578"/>
      <c r="AA532" s="579"/>
      <c r="AB532" s="580"/>
      <c r="AC532" s="581"/>
      <c r="AD532" s="582"/>
      <c r="AE532" s="583"/>
      <c r="AF532" s="584"/>
      <c r="AG532" s="553">
        <v>0</v>
      </c>
      <c r="AH532" s="554"/>
      <c r="AI532" s="555" t="e">
        <v>#N/A</v>
      </c>
      <c r="AJ532" s="556"/>
      <c r="AK532" s="556"/>
      <c r="AL532" s="556"/>
      <c r="AM532" s="556"/>
      <c r="AN532" s="556"/>
      <c r="AO532" s="556"/>
      <c r="AP532" s="556"/>
      <c r="AQ532" s="556"/>
      <c r="AR532" s="556"/>
      <c r="AS532" s="556"/>
      <c r="AT532" s="556"/>
      <c r="AU532" s="556"/>
      <c r="AV532" s="557"/>
      <c r="AW532" s="558">
        <v>0</v>
      </c>
      <c r="AX532" s="559"/>
      <c r="AY532" s="560"/>
      <c r="AZ532" s="585"/>
      <c r="BA532" s="586"/>
      <c r="BB532" s="587"/>
      <c r="BC532" s="558">
        <v>0</v>
      </c>
      <c r="BD532" s="559"/>
      <c r="BE532" s="560"/>
      <c r="BF532" s="558">
        <v>182.49</v>
      </c>
      <c r="BG532" s="559"/>
      <c r="BH532" s="560"/>
      <c r="BI532" s="564">
        <v>0</v>
      </c>
      <c r="BJ532" s="565"/>
      <c r="BK532" s="565"/>
      <c r="BL532" s="566"/>
      <c r="BM532" s="567" t="s">
        <v>932</v>
      </c>
      <c r="BN532" s="567"/>
      <c r="BO532" s="567"/>
      <c r="BP532" s="567"/>
      <c r="BQ532" s="568" t="s">
        <v>932</v>
      </c>
      <c r="BR532" s="568"/>
      <c r="BS532" s="568"/>
      <c r="BT532" s="567" t="s">
        <v>932</v>
      </c>
      <c r="BU532" s="567"/>
      <c r="BV532" s="567"/>
      <c r="BW532" s="567"/>
      <c r="BX532" s="568" t="s">
        <v>932</v>
      </c>
      <c r="BY532" s="568"/>
      <c r="BZ532" s="568"/>
      <c r="CA532" s="567" t="s">
        <v>932</v>
      </c>
      <c r="CB532" s="567"/>
      <c r="CC532" s="567"/>
      <c r="CD532" s="567"/>
      <c r="CE532" s="568" t="s">
        <v>932</v>
      </c>
      <c r="CF532" s="568"/>
      <c r="CG532" s="568"/>
      <c r="CH532" s="567" t="s">
        <v>932</v>
      </c>
      <c r="CI532" s="567"/>
      <c r="CJ532" s="567"/>
      <c r="CK532" s="567"/>
      <c r="CL532" s="568">
        <v>1</v>
      </c>
      <c r="CM532" s="568"/>
      <c r="CN532" s="568"/>
    </row>
    <row r="533" hidden="1" customHeight="1" spans="1:92">
      <c r="A533" s="569"/>
      <c r="B533" s="570"/>
      <c r="C533" s="571"/>
      <c r="D533" s="572"/>
      <c r="E533" s="573"/>
      <c r="F533" s="574"/>
      <c r="G533" s="575"/>
      <c r="H533" s="576"/>
      <c r="I533" s="577"/>
      <c r="J533" s="578"/>
      <c r="K533" s="578"/>
      <c r="L533" s="578"/>
      <c r="M533" s="578"/>
      <c r="N533" s="578"/>
      <c r="O533" s="578"/>
      <c r="P533" s="578"/>
      <c r="Q533" s="578"/>
      <c r="R533" s="578"/>
      <c r="S533" s="578"/>
      <c r="T533" s="578"/>
      <c r="U533" s="578"/>
      <c r="V533" s="578"/>
      <c r="W533" s="578"/>
      <c r="X533" s="578"/>
      <c r="Y533" s="578"/>
      <c r="Z533" s="578"/>
      <c r="AA533" s="579"/>
      <c r="AB533" s="580"/>
      <c r="AC533" s="581"/>
      <c r="AD533" s="582"/>
      <c r="AE533" s="583"/>
      <c r="AF533" s="584"/>
      <c r="AG533" s="553">
        <v>0</v>
      </c>
      <c r="AH533" s="554"/>
      <c r="AI533" s="555" t="e">
        <v>#N/A</v>
      </c>
      <c r="AJ533" s="556"/>
      <c r="AK533" s="556"/>
      <c r="AL533" s="556"/>
      <c r="AM533" s="556"/>
      <c r="AN533" s="556"/>
      <c r="AO533" s="556"/>
      <c r="AP533" s="556"/>
      <c r="AQ533" s="556"/>
      <c r="AR533" s="556"/>
      <c r="AS533" s="556"/>
      <c r="AT533" s="556"/>
      <c r="AU533" s="556"/>
      <c r="AV533" s="557"/>
      <c r="AW533" s="558">
        <v>0</v>
      </c>
      <c r="AX533" s="559"/>
      <c r="AY533" s="560"/>
      <c r="AZ533" s="585"/>
      <c r="BA533" s="586"/>
      <c r="BB533" s="587"/>
      <c r="BC533" s="558">
        <v>0</v>
      </c>
      <c r="BD533" s="559"/>
      <c r="BE533" s="560"/>
      <c r="BF533" s="558">
        <v>182.49</v>
      </c>
      <c r="BG533" s="559"/>
      <c r="BH533" s="560"/>
      <c r="BI533" s="564">
        <v>0</v>
      </c>
      <c r="BJ533" s="565"/>
      <c r="BK533" s="565"/>
      <c r="BL533" s="566"/>
      <c r="BM533" s="567" t="s">
        <v>932</v>
      </c>
      <c r="BN533" s="567"/>
      <c r="BO533" s="567"/>
      <c r="BP533" s="567"/>
      <c r="BQ533" s="568" t="s">
        <v>932</v>
      </c>
      <c r="BR533" s="568"/>
      <c r="BS533" s="568"/>
      <c r="BT533" s="567" t="s">
        <v>932</v>
      </c>
      <c r="BU533" s="567"/>
      <c r="BV533" s="567"/>
      <c r="BW533" s="567"/>
      <c r="BX533" s="568" t="s">
        <v>932</v>
      </c>
      <c r="BY533" s="568"/>
      <c r="BZ533" s="568"/>
      <c r="CA533" s="567" t="s">
        <v>932</v>
      </c>
      <c r="CB533" s="567"/>
      <c r="CC533" s="567"/>
      <c r="CD533" s="567"/>
      <c r="CE533" s="568" t="s">
        <v>932</v>
      </c>
      <c r="CF533" s="568"/>
      <c r="CG533" s="568"/>
      <c r="CH533" s="567" t="s">
        <v>932</v>
      </c>
      <c r="CI533" s="567"/>
      <c r="CJ533" s="567"/>
      <c r="CK533" s="567"/>
      <c r="CL533" s="568">
        <v>1</v>
      </c>
      <c r="CM533" s="568"/>
      <c r="CN533" s="568"/>
    </row>
    <row r="534" hidden="1" customHeight="1" spans="1:92">
      <c r="A534" s="569"/>
      <c r="B534" s="570"/>
      <c r="C534" s="571"/>
      <c r="D534" s="572"/>
      <c r="E534" s="573"/>
      <c r="F534" s="574"/>
      <c r="G534" s="575"/>
      <c r="H534" s="576"/>
      <c r="I534" s="577"/>
      <c r="J534" s="578"/>
      <c r="K534" s="578"/>
      <c r="L534" s="578"/>
      <c r="M534" s="578"/>
      <c r="N534" s="578"/>
      <c r="O534" s="578"/>
      <c r="P534" s="578"/>
      <c r="Q534" s="578"/>
      <c r="R534" s="578"/>
      <c r="S534" s="578"/>
      <c r="T534" s="578"/>
      <c r="U534" s="578"/>
      <c r="V534" s="578"/>
      <c r="W534" s="578"/>
      <c r="X534" s="578"/>
      <c r="Y534" s="578"/>
      <c r="Z534" s="578"/>
      <c r="AA534" s="579"/>
      <c r="AB534" s="580"/>
      <c r="AC534" s="581"/>
      <c r="AD534" s="582"/>
      <c r="AE534" s="583"/>
      <c r="AF534" s="584"/>
      <c r="AG534" s="553">
        <v>0</v>
      </c>
      <c r="AH534" s="554"/>
      <c r="AI534" s="555" t="e">
        <v>#N/A</v>
      </c>
      <c r="AJ534" s="556"/>
      <c r="AK534" s="556"/>
      <c r="AL534" s="556"/>
      <c r="AM534" s="556"/>
      <c r="AN534" s="556"/>
      <c r="AO534" s="556"/>
      <c r="AP534" s="556"/>
      <c r="AQ534" s="556"/>
      <c r="AR534" s="556"/>
      <c r="AS534" s="556"/>
      <c r="AT534" s="556"/>
      <c r="AU534" s="556"/>
      <c r="AV534" s="557"/>
      <c r="AW534" s="558">
        <v>0</v>
      </c>
      <c r="AX534" s="559"/>
      <c r="AY534" s="560"/>
      <c r="AZ534" s="585"/>
      <c r="BA534" s="586"/>
      <c r="BB534" s="587"/>
      <c r="BC534" s="558">
        <v>0</v>
      </c>
      <c r="BD534" s="559"/>
      <c r="BE534" s="560"/>
      <c r="BF534" s="558">
        <v>182.49</v>
      </c>
      <c r="BG534" s="559"/>
      <c r="BH534" s="560"/>
      <c r="BI534" s="564">
        <v>0</v>
      </c>
      <c r="BJ534" s="565"/>
      <c r="BK534" s="565"/>
      <c r="BL534" s="566"/>
      <c r="BM534" s="567" t="s">
        <v>932</v>
      </c>
      <c r="BN534" s="567"/>
      <c r="BO534" s="567"/>
      <c r="BP534" s="567"/>
      <c r="BQ534" s="568" t="s">
        <v>932</v>
      </c>
      <c r="BR534" s="568"/>
      <c r="BS534" s="568"/>
      <c r="BT534" s="567" t="s">
        <v>932</v>
      </c>
      <c r="BU534" s="567"/>
      <c r="BV534" s="567"/>
      <c r="BW534" s="567"/>
      <c r="BX534" s="568" t="s">
        <v>932</v>
      </c>
      <c r="BY534" s="568"/>
      <c r="BZ534" s="568"/>
      <c r="CA534" s="567" t="s">
        <v>932</v>
      </c>
      <c r="CB534" s="567"/>
      <c r="CC534" s="567"/>
      <c r="CD534" s="567"/>
      <c r="CE534" s="568" t="s">
        <v>932</v>
      </c>
      <c r="CF534" s="568"/>
      <c r="CG534" s="568"/>
      <c r="CH534" s="567" t="s">
        <v>932</v>
      </c>
      <c r="CI534" s="567"/>
      <c r="CJ534" s="567"/>
      <c r="CK534" s="567"/>
      <c r="CL534" s="568">
        <v>1</v>
      </c>
      <c r="CM534" s="568"/>
      <c r="CN534" s="568"/>
    </row>
    <row r="535" hidden="1" customHeight="1" spans="1:92">
      <c r="A535" s="588"/>
      <c r="B535" s="589"/>
      <c r="C535" s="590"/>
      <c r="D535" s="591"/>
      <c r="E535" s="592"/>
      <c r="F535" s="593"/>
      <c r="G535" s="594"/>
      <c r="H535" s="595"/>
      <c r="I535" s="596"/>
      <c r="J535" s="597"/>
      <c r="K535" s="597"/>
      <c r="L535" s="597"/>
      <c r="M535" s="597"/>
      <c r="N535" s="597"/>
      <c r="O535" s="597"/>
      <c r="P535" s="597"/>
      <c r="Q535" s="597"/>
      <c r="R535" s="597"/>
      <c r="S535" s="597"/>
      <c r="T535" s="597"/>
      <c r="U535" s="597"/>
      <c r="V535" s="597"/>
      <c r="W535" s="597"/>
      <c r="X535" s="597"/>
      <c r="Y535" s="597"/>
      <c r="Z535" s="597"/>
      <c r="AA535" s="598"/>
      <c r="AB535" s="599"/>
      <c r="AC535" s="600"/>
      <c r="AD535" s="601"/>
      <c r="AE535" s="602"/>
      <c r="AF535" s="603"/>
      <c r="AG535" s="553">
        <v>0</v>
      </c>
      <c r="AH535" s="554"/>
      <c r="AI535" s="555" t="e">
        <v>#N/A</v>
      </c>
      <c r="AJ535" s="556"/>
      <c r="AK535" s="556"/>
      <c r="AL535" s="556"/>
      <c r="AM535" s="556"/>
      <c r="AN535" s="556"/>
      <c r="AO535" s="556"/>
      <c r="AP535" s="556"/>
      <c r="AQ535" s="556"/>
      <c r="AR535" s="556"/>
      <c r="AS535" s="556"/>
      <c r="AT535" s="556"/>
      <c r="AU535" s="556"/>
      <c r="AV535" s="557"/>
      <c r="AW535" s="558">
        <v>0</v>
      </c>
      <c r="AX535" s="559"/>
      <c r="AY535" s="560"/>
      <c r="AZ535" s="604"/>
      <c r="BA535" s="605"/>
      <c r="BB535" s="606"/>
      <c r="BC535" s="558">
        <v>0</v>
      </c>
      <c r="BD535" s="559"/>
      <c r="BE535" s="560"/>
      <c r="BF535" s="558">
        <v>182.49</v>
      </c>
      <c r="BG535" s="559"/>
      <c r="BH535" s="560"/>
      <c r="BI535" s="564">
        <v>0</v>
      </c>
      <c r="BJ535" s="565"/>
      <c r="BK535" s="565"/>
      <c r="BL535" s="566"/>
      <c r="BM535" s="567" t="s">
        <v>932</v>
      </c>
      <c r="BN535" s="567"/>
      <c r="BO535" s="567"/>
      <c r="BP535" s="567"/>
      <c r="BQ535" s="568" t="s">
        <v>932</v>
      </c>
      <c r="BR535" s="568"/>
      <c r="BS535" s="568"/>
      <c r="BT535" s="567" t="s">
        <v>932</v>
      </c>
      <c r="BU535" s="567"/>
      <c r="BV535" s="567"/>
      <c r="BW535" s="567"/>
      <c r="BX535" s="568" t="s">
        <v>932</v>
      </c>
      <c r="BY535" s="568"/>
      <c r="BZ535" s="568"/>
      <c r="CA535" s="567" t="s">
        <v>932</v>
      </c>
      <c r="CB535" s="567"/>
      <c r="CC535" s="567"/>
      <c r="CD535" s="567"/>
      <c r="CE535" s="568" t="s">
        <v>932</v>
      </c>
      <c r="CF535" s="568"/>
      <c r="CG535" s="568"/>
      <c r="CH535" s="567" t="s">
        <v>932</v>
      </c>
      <c r="CI535" s="567"/>
      <c r="CJ535" s="567"/>
      <c r="CK535" s="567"/>
      <c r="CL535" s="568">
        <v>1</v>
      </c>
      <c r="CM535" s="568"/>
      <c r="CN535" s="568"/>
    </row>
    <row r="536" hidden="1" customHeight="1" spans="1:92">
      <c r="A536" s="540" t="s">
        <v>1007</v>
      </c>
      <c r="B536" s="541"/>
      <c r="C536" s="89"/>
      <c r="D536" s="91"/>
      <c r="E536" s="90"/>
      <c r="F536" s="542">
        <v>407819</v>
      </c>
      <c r="G536" s="543"/>
      <c r="H536" s="544"/>
      <c r="I536" s="545" t="s">
        <v>100</v>
      </c>
      <c r="J536" s="546"/>
      <c r="K536" s="546"/>
      <c r="L536" s="546"/>
      <c r="M536" s="546"/>
      <c r="N536" s="546"/>
      <c r="O536" s="546"/>
      <c r="P536" s="546"/>
      <c r="Q536" s="546"/>
      <c r="R536" s="546"/>
      <c r="S536" s="546"/>
      <c r="T536" s="546"/>
      <c r="U536" s="546"/>
      <c r="V536" s="546"/>
      <c r="W536" s="546"/>
      <c r="X536" s="546"/>
      <c r="Y536" s="546"/>
      <c r="Z536" s="546"/>
      <c r="AA536" s="547"/>
      <c r="AB536" s="548" t="s">
        <v>101</v>
      </c>
      <c r="AC536" s="549"/>
      <c r="AD536" s="550">
        <v>1687.9</v>
      </c>
      <c r="AE536" s="551"/>
      <c r="AF536" s="552"/>
      <c r="AG536" s="553">
        <v>0</v>
      </c>
      <c r="AH536" s="554"/>
      <c r="AI536" s="555" t="e">
        <v>#N/A</v>
      </c>
      <c r="AJ536" s="556"/>
      <c r="AK536" s="556"/>
      <c r="AL536" s="556"/>
      <c r="AM536" s="556"/>
      <c r="AN536" s="556"/>
      <c r="AO536" s="556"/>
      <c r="AP536" s="556"/>
      <c r="AQ536" s="556"/>
      <c r="AR536" s="556"/>
      <c r="AS536" s="556"/>
      <c r="AT536" s="556"/>
      <c r="AU536" s="556"/>
      <c r="AV536" s="557"/>
      <c r="AW536" s="558">
        <v>0</v>
      </c>
      <c r="AX536" s="559"/>
      <c r="AY536" s="560"/>
      <c r="AZ536" s="561">
        <v>1</v>
      </c>
      <c r="BA536" s="562"/>
      <c r="BB536" s="563"/>
      <c r="BC536" s="558">
        <v>0</v>
      </c>
      <c r="BD536" s="559"/>
      <c r="BE536" s="560"/>
      <c r="BF536" s="558">
        <v>182.49</v>
      </c>
      <c r="BG536" s="559"/>
      <c r="BH536" s="560"/>
      <c r="BI536" s="564">
        <v>0</v>
      </c>
      <c r="BJ536" s="565"/>
      <c r="BK536" s="565"/>
      <c r="BL536" s="566"/>
      <c r="BM536" s="567" t="s">
        <v>932</v>
      </c>
      <c r="BN536" s="567"/>
      <c r="BO536" s="567"/>
      <c r="BP536" s="567"/>
      <c r="BQ536" s="568" t="s">
        <v>932</v>
      </c>
      <c r="BR536" s="568"/>
      <c r="BS536" s="568"/>
      <c r="BT536" s="567" t="s">
        <v>932</v>
      </c>
      <c r="BU536" s="567"/>
      <c r="BV536" s="567"/>
      <c r="BW536" s="567"/>
      <c r="BX536" s="568" t="s">
        <v>932</v>
      </c>
      <c r="BY536" s="568"/>
      <c r="BZ536" s="568"/>
      <c r="CA536" s="567" t="s">
        <v>932</v>
      </c>
      <c r="CB536" s="567"/>
      <c r="CC536" s="567"/>
      <c r="CD536" s="567"/>
      <c r="CE536" s="568" t="s">
        <v>932</v>
      </c>
      <c r="CF536" s="568"/>
      <c r="CG536" s="568"/>
      <c r="CH536" s="567" t="s">
        <v>932</v>
      </c>
      <c r="CI536" s="567"/>
      <c r="CJ536" s="567"/>
      <c r="CK536" s="567"/>
      <c r="CL536" s="568">
        <v>1</v>
      </c>
      <c r="CM536" s="568"/>
      <c r="CN536" s="568"/>
    </row>
    <row r="537" hidden="1" customHeight="1" spans="1:92">
      <c r="A537" s="569"/>
      <c r="B537" s="570"/>
      <c r="C537" s="571"/>
      <c r="D537" s="572"/>
      <c r="E537" s="573"/>
      <c r="F537" s="574"/>
      <c r="G537" s="575"/>
      <c r="H537" s="576"/>
      <c r="I537" s="577"/>
      <c r="J537" s="578"/>
      <c r="K537" s="578"/>
      <c r="L537" s="578"/>
      <c r="M537" s="578"/>
      <c r="N537" s="578"/>
      <c r="O537" s="578"/>
      <c r="P537" s="578"/>
      <c r="Q537" s="578"/>
      <c r="R537" s="578"/>
      <c r="S537" s="578"/>
      <c r="T537" s="578"/>
      <c r="U537" s="578"/>
      <c r="V537" s="578"/>
      <c r="W537" s="578"/>
      <c r="X537" s="578"/>
      <c r="Y537" s="578"/>
      <c r="Z537" s="578"/>
      <c r="AA537" s="579"/>
      <c r="AB537" s="580"/>
      <c r="AC537" s="581"/>
      <c r="AD537" s="582"/>
      <c r="AE537" s="583"/>
      <c r="AF537" s="584"/>
      <c r="AG537" s="553">
        <v>0</v>
      </c>
      <c r="AH537" s="554"/>
      <c r="AI537" s="555" t="e">
        <v>#N/A</v>
      </c>
      <c r="AJ537" s="556"/>
      <c r="AK537" s="556"/>
      <c r="AL537" s="556"/>
      <c r="AM537" s="556"/>
      <c r="AN537" s="556"/>
      <c r="AO537" s="556"/>
      <c r="AP537" s="556"/>
      <c r="AQ537" s="556"/>
      <c r="AR537" s="556"/>
      <c r="AS537" s="556"/>
      <c r="AT537" s="556"/>
      <c r="AU537" s="556"/>
      <c r="AV537" s="557"/>
      <c r="AW537" s="558">
        <v>0</v>
      </c>
      <c r="AX537" s="559"/>
      <c r="AY537" s="560"/>
      <c r="AZ537" s="585"/>
      <c r="BA537" s="586"/>
      <c r="BB537" s="587"/>
      <c r="BC537" s="558">
        <v>0</v>
      </c>
      <c r="BD537" s="559"/>
      <c r="BE537" s="560"/>
      <c r="BF537" s="558">
        <v>182.49</v>
      </c>
      <c r="BG537" s="559"/>
      <c r="BH537" s="560"/>
      <c r="BI537" s="564">
        <v>0</v>
      </c>
      <c r="BJ537" s="565"/>
      <c r="BK537" s="565"/>
      <c r="BL537" s="566"/>
      <c r="BM537" s="567" t="s">
        <v>932</v>
      </c>
      <c r="BN537" s="567"/>
      <c r="BO537" s="567"/>
      <c r="BP537" s="567"/>
      <c r="BQ537" s="568" t="s">
        <v>932</v>
      </c>
      <c r="BR537" s="568"/>
      <c r="BS537" s="568"/>
      <c r="BT537" s="567" t="s">
        <v>932</v>
      </c>
      <c r="BU537" s="567"/>
      <c r="BV537" s="567"/>
      <c r="BW537" s="567"/>
      <c r="BX537" s="568" t="s">
        <v>932</v>
      </c>
      <c r="BY537" s="568"/>
      <c r="BZ537" s="568"/>
      <c r="CA537" s="567" t="s">
        <v>932</v>
      </c>
      <c r="CB537" s="567"/>
      <c r="CC537" s="567"/>
      <c r="CD537" s="567"/>
      <c r="CE537" s="568" t="s">
        <v>932</v>
      </c>
      <c r="CF537" s="568"/>
      <c r="CG537" s="568"/>
      <c r="CH537" s="567" t="s">
        <v>932</v>
      </c>
      <c r="CI537" s="567"/>
      <c r="CJ537" s="567"/>
      <c r="CK537" s="567"/>
      <c r="CL537" s="568">
        <v>1</v>
      </c>
      <c r="CM537" s="568"/>
      <c r="CN537" s="568"/>
    </row>
    <row r="538" hidden="1" customHeight="1" spans="1:92">
      <c r="A538" s="569"/>
      <c r="B538" s="570"/>
      <c r="C538" s="571"/>
      <c r="D538" s="572"/>
      <c r="E538" s="573"/>
      <c r="F538" s="574"/>
      <c r="G538" s="575"/>
      <c r="H538" s="576"/>
      <c r="I538" s="577"/>
      <c r="J538" s="578"/>
      <c r="K538" s="578"/>
      <c r="L538" s="578"/>
      <c r="M538" s="578"/>
      <c r="N538" s="578"/>
      <c r="O538" s="578"/>
      <c r="P538" s="578"/>
      <c r="Q538" s="578"/>
      <c r="R538" s="578"/>
      <c r="S538" s="578"/>
      <c r="T538" s="578"/>
      <c r="U538" s="578"/>
      <c r="V538" s="578"/>
      <c r="W538" s="578"/>
      <c r="X538" s="578"/>
      <c r="Y538" s="578"/>
      <c r="Z538" s="578"/>
      <c r="AA538" s="579"/>
      <c r="AB538" s="580"/>
      <c r="AC538" s="581"/>
      <c r="AD538" s="582"/>
      <c r="AE538" s="583"/>
      <c r="AF538" s="584"/>
      <c r="AG538" s="553">
        <v>0</v>
      </c>
      <c r="AH538" s="554"/>
      <c r="AI538" s="555" t="e">
        <v>#N/A</v>
      </c>
      <c r="AJ538" s="556"/>
      <c r="AK538" s="556"/>
      <c r="AL538" s="556"/>
      <c r="AM538" s="556"/>
      <c r="AN538" s="556"/>
      <c r="AO538" s="556"/>
      <c r="AP538" s="556"/>
      <c r="AQ538" s="556"/>
      <c r="AR538" s="556"/>
      <c r="AS538" s="556"/>
      <c r="AT538" s="556"/>
      <c r="AU538" s="556"/>
      <c r="AV538" s="557"/>
      <c r="AW538" s="558">
        <v>0</v>
      </c>
      <c r="AX538" s="559"/>
      <c r="AY538" s="560"/>
      <c r="AZ538" s="585"/>
      <c r="BA538" s="586"/>
      <c r="BB538" s="587"/>
      <c r="BC538" s="558">
        <v>0</v>
      </c>
      <c r="BD538" s="559"/>
      <c r="BE538" s="560"/>
      <c r="BF538" s="558">
        <v>182.49</v>
      </c>
      <c r="BG538" s="559"/>
      <c r="BH538" s="560"/>
      <c r="BI538" s="564">
        <v>0</v>
      </c>
      <c r="BJ538" s="565"/>
      <c r="BK538" s="565"/>
      <c r="BL538" s="566"/>
      <c r="BM538" s="567" t="s">
        <v>932</v>
      </c>
      <c r="BN538" s="567"/>
      <c r="BO538" s="567"/>
      <c r="BP538" s="567"/>
      <c r="BQ538" s="568" t="s">
        <v>932</v>
      </c>
      <c r="BR538" s="568"/>
      <c r="BS538" s="568"/>
      <c r="BT538" s="567" t="s">
        <v>932</v>
      </c>
      <c r="BU538" s="567"/>
      <c r="BV538" s="567"/>
      <c r="BW538" s="567"/>
      <c r="BX538" s="568" t="s">
        <v>932</v>
      </c>
      <c r="BY538" s="568"/>
      <c r="BZ538" s="568"/>
      <c r="CA538" s="567" t="s">
        <v>932</v>
      </c>
      <c r="CB538" s="567"/>
      <c r="CC538" s="567"/>
      <c r="CD538" s="567"/>
      <c r="CE538" s="568" t="s">
        <v>932</v>
      </c>
      <c r="CF538" s="568"/>
      <c r="CG538" s="568"/>
      <c r="CH538" s="567" t="s">
        <v>932</v>
      </c>
      <c r="CI538" s="567"/>
      <c r="CJ538" s="567"/>
      <c r="CK538" s="567"/>
      <c r="CL538" s="568">
        <v>1</v>
      </c>
      <c r="CM538" s="568"/>
      <c r="CN538" s="568"/>
    </row>
    <row r="539" hidden="1" customHeight="1" spans="1:92">
      <c r="A539" s="569"/>
      <c r="B539" s="570"/>
      <c r="C539" s="571"/>
      <c r="D539" s="572"/>
      <c r="E539" s="573"/>
      <c r="F539" s="574"/>
      <c r="G539" s="575"/>
      <c r="H539" s="576"/>
      <c r="I539" s="577"/>
      <c r="J539" s="578"/>
      <c r="K539" s="578"/>
      <c r="L539" s="578"/>
      <c r="M539" s="578"/>
      <c r="N539" s="578"/>
      <c r="O539" s="578"/>
      <c r="P539" s="578"/>
      <c r="Q539" s="578"/>
      <c r="R539" s="578"/>
      <c r="S539" s="578"/>
      <c r="T539" s="578"/>
      <c r="U539" s="578"/>
      <c r="V539" s="578"/>
      <c r="W539" s="578"/>
      <c r="X539" s="578"/>
      <c r="Y539" s="578"/>
      <c r="Z539" s="578"/>
      <c r="AA539" s="579"/>
      <c r="AB539" s="580"/>
      <c r="AC539" s="581"/>
      <c r="AD539" s="582"/>
      <c r="AE539" s="583"/>
      <c r="AF539" s="584"/>
      <c r="AG539" s="553">
        <v>0</v>
      </c>
      <c r="AH539" s="554"/>
      <c r="AI539" s="555" t="e">
        <v>#N/A</v>
      </c>
      <c r="AJ539" s="556"/>
      <c r="AK539" s="556"/>
      <c r="AL539" s="556"/>
      <c r="AM539" s="556"/>
      <c r="AN539" s="556"/>
      <c r="AO539" s="556"/>
      <c r="AP539" s="556"/>
      <c r="AQ539" s="556"/>
      <c r="AR539" s="556"/>
      <c r="AS539" s="556"/>
      <c r="AT539" s="556"/>
      <c r="AU539" s="556"/>
      <c r="AV539" s="557"/>
      <c r="AW539" s="558">
        <v>0</v>
      </c>
      <c r="AX539" s="559"/>
      <c r="AY539" s="560"/>
      <c r="AZ539" s="585"/>
      <c r="BA539" s="586"/>
      <c r="BB539" s="587"/>
      <c r="BC539" s="558">
        <v>0</v>
      </c>
      <c r="BD539" s="559"/>
      <c r="BE539" s="560"/>
      <c r="BF539" s="558">
        <v>182.49</v>
      </c>
      <c r="BG539" s="559"/>
      <c r="BH539" s="560"/>
      <c r="BI539" s="564">
        <v>0</v>
      </c>
      <c r="BJ539" s="565"/>
      <c r="BK539" s="565"/>
      <c r="BL539" s="566"/>
      <c r="BM539" s="567" t="s">
        <v>932</v>
      </c>
      <c r="BN539" s="567"/>
      <c r="BO539" s="567"/>
      <c r="BP539" s="567"/>
      <c r="BQ539" s="568" t="s">
        <v>932</v>
      </c>
      <c r="BR539" s="568"/>
      <c r="BS539" s="568"/>
      <c r="BT539" s="567" t="s">
        <v>932</v>
      </c>
      <c r="BU539" s="567"/>
      <c r="BV539" s="567"/>
      <c r="BW539" s="567"/>
      <c r="BX539" s="568" t="s">
        <v>932</v>
      </c>
      <c r="BY539" s="568"/>
      <c r="BZ539" s="568"/>
      <c r="CA539" s="567" t="s">
        <v>932</v>
      </c>
      <c r="CB539" s="567"/>
      <c r="CC539" s="567"/>
      <c r="CD539" s="567"/>
      <c r="CE539" s="568" t="s">
        <v>932</v>
      </c>
      <c r="CF539" s="568"/>
      <c r="CG539" s="568"/>
      <c r="CH539" s="567" t="s">
        <v>932</v>
      </c>
      <c r="CI539" s="567"/>
      <c r="CJ539" s="567"/>
      <c r="CK539" s="567"/>
      <c r="CL539" s="568">
        <v>1</v>
      </c>
      <c r="CM539" s="568"/>
      <c r="CN539" s="568"/>
    </row>
    <row r="540" hidden="1" customHeight="1" spans="1:92">
      <c r="A540" s="569"/>
      <c r="B540" s="570"/>
      <c r="C540" s="571"/>
      <c r="D540" s="572"/>
      <c r="E540" s="573"/>
      <c r="F540" s="574"/>
      <c r="G540" s="575"/>
      <c r="H540" s="576"/>
      <c r="I540" s="577"/>
      <c r="J540" s="578"/>
      <c r="K540" s="578"/>
      <c r="L540" s="578"/>
      <c r="M540" s="578"/>
      <c r="N540" s="578"/>
      <c r="O540" s="578"/>
      <c r="P540" s="578"/>
      <c r="Q540" s="578"/>
      <c r="R540" s="578"/>
      <c r="S540" s="578"/>
      <c r="T540" s="578"/>
      <c r="U540" s="578"/>
      <c r="V540" s="578"/>
      <c r="W540" s="578"/>
      <c r="X540" s="578"/>
      <c r="Y540" s="578"/>
      <c r="Z540" s="578"/>
      <c r="AA540" s="579"/>
      <c r="AB540" s="580"/>
      <c r="AC540" s="581"/>
      <c r="AD540" s="582"/>
      <c r="AE540" s="583"/>
      <c r="AF540" s="584"/>
      <c r="AG540" s="553">
        <v>0</v>
      </c>
      <c r="AH540" s="554"/>
      <c r="AI540" s="555" t="e">
        <v>#N/A</v>
      </c>
      <c r="AJ540" s="556"/>
      <c r="AK540" s="556"/>
      <c r="AL540" s="556"/>
      <c r="AM540" s="556"/>
      <c r="AN540" s="556"/>
      <c r="AO540" s="556"/>
      <c r="AP540" s="556"/>
      <c r="AQ540" s="556"/>
      <c r="AR540" s="556"/>
      <c r="AS540" s="556"/>
      <c r="AT540" s="556"/>
      <c r="AU540" s="556"/>
      <c r="AV540" s="557"/>
      <c r="AW540" s="558">
        <v>0</v>
      </c>
      <c r="AX540" s="559"/>
      <c r="AY540" s="560"/>
      <c r="AZ540" s="585"/>
      <c r="BA540" s="586"/>
      <c r="BB540" s="587"/>
      <c r="BC540" s="558">
        <v>0</v>
      </c>
      <c r="BD540" s="559"/>
      <c r="BE540" s="560"/>
      <c r="BF540" s="558">
        <v>182.49</v>
      </c>
      <c r="BG540" s="559"/>
      <c r="BH540" s="560"/>
      <c r="BI540" s="564">
        <v>0</v>
      </c>
      <c r="BJ540" s="565"/>
      <c r="BK540" s="565"/>
      <c r="BL540" s="566"/>
      <c r="BM540" s="567" t="s">
        <v>932</v>
      </c>
      <c r="BN540" s="567"/>
      <c r="BO540" s="567"/>
      <c r="BP540" s="567"/>
      <c r="BQ540" s="568" t="s">
        <v>932</v>
      </c>
      <c r="BR540" s="568"/>
      <c r="BS540" s="568"/>
      <c r="BT540" s="567" t="s">
        <v>932</v>
      </c>
      <c r="BU540" s="567"/>
      <c r="BV540" s="567"/>
      <c r="BW540" s="567"/>
      <c r="BX540" s="568" t="s">
        <v>932</v>
      </c>
      <c r="BY540" s="568"/>
      <c r="BZ540" s="568"/>
      <c r="CA540" s="567" t="s">
        <v>932</v>
      </c>
      <c r="CB540" s="567"/>
      <c r="CC540" s="567"/>
      <c r="CD540" s="567"/>
      <c r="CE540" s="568" t="s">
        <v>932</v>
      </c>
      <c r="CF540" s="568"/>
      <c r="CG540" s="568"/>
      <c r="CH540" s="567" t="s">
        <v>932</v>
      </c>
      <c r="CI540" s="567"/>
      <c r="CJ540" s="567"/>
      <c r="CK540" s="567"/>
      <c r="CL540" s="568">
        <v>1</v>
      </c>
      <c r="CM540" s="568"/>
      <c r="CN540" s="568"/>
    </row>
    <row r="541" hidden="1" customHeight="1" spans="1:92">
      <c r="A541" s="569"/>
      <c r="B541" s="570"/>
      <c r="C541" s="571"/>
      <c r="D541" s="572"/>
      <c r="E541" s="573"/>
      <c r="F541" s="574"/>
      <c r="G541" s="575"/>
      <c r="H541" s="576"/>
      <c r="I541" s="577"/>
      <c r="J541" s="578"/>
      <c r="K541" s="578"/>
      <c r="L541" s="578"/>
      <c r="M541" s="578"/>
      <c r="N541" s="578"/>
      <c r="O541" s="578"/>
      <c r="P541" s="578"/>
      <c r="Q541" s="578"/>
      <c r="R541" s="578"/>
      <c r="S541" s="578"/>
      <c r="T541" s="578"/>
      <c r="U541" s="578"/>
      <c r="V541" s="578"/>
      <c r="W541" s="578"/>
      <c r="X541" s="578"/>
      <c r="Y541" s="578"/>
      <c r="Z541" s="578"/>
      <c r="AA541" s="579"/>
      <c r="AB541" s="580"/>
      <c r="AC541" s="581"/>
      <c r="AD541" s="582"/>
      <c r="AE541" s="583"/>
      <c r="AF541" s="584"/>
      <c r="AG541" s="553">
        <v>0</v>
      </c>
      <c r="AH541" s="554"/>
      <c r="AI541" s="555" t="e">
        <v>#N/A</v>
      </c>
      <c r="AJ541" s="556"/>
      <c r="AK541" s="556"/>
      <c r="AL541" s="556"/>
      <c r="AM541" s="556"/>
      <c r="AN541" s="556"/>
      <c r="AO541" s="556"/>
      <c r="AP541" s="556"/>
      <c r="AQ541" s="556"/>
      <c r="AR541" s="556"/>
      <c r="AS541" s="556"/>
      <c r="AT541" s="556"/>
      <c r="AU541" s="556"/>
      <c r="AV541" s="557"/>
      <c r="AW541" s="558">
        <v>0</v>
      </c>
      <c r="AX541" s="559"/>
      <c r="AY541" s="560"/>
      <c r="AZ541" s="585"/>
      <c r="BA541" s="586"/>
      <c r="BB541" s="587"/>
      <c r="BC541" s="558">
        <v>0</v>
      </c>
      <c r="BD541" s="559"/>
      <c r="BE541" s="560"/>
      <c r="BF541" s="558">
        <v>182.49</v>
      </c>
      <c r="BG541" s="559"/>
      <c r="BH541" s="560"/>
      <c r="BI541" s="564">
        <v>0</v>
      </c>
      <c r="BJ541" s="565"/>
      <c r="BK541" s="565"/>
      <c r="BL541" s="566"/>
      <c r="BM541" s="567" t="s">
        <v>932</v>
      </c>
      <c r="BN541" s="567"/>
      <c r="BO541" s="567"/>
      <c r="BP541" s="567"/>
      <c r="BQ541" s="568" t="s">
        <v>932</v>
      </c>
      <c r="BR541" s="568"/>
      <c r="BS541" s="568"/>
      <c r="BT541" s="567" t="s">
        <v>932</v>
      </c>
      <c r="BU541" s="567"/>
      <c r="BV541" s="567"/>
      <c r="BW541" s="567"/>
      <c r="BX541" s="568" t="s">
        <v>932</v>
      </c>
      <c r="BY541" s="568"/>
      <c r="BZ541" s="568"/>
      <c r="CA541" s="567" t="s">
        <v>932</v>
      </c>
      <c r="CB541" s="567"/>
      <c r="CC541" s="567"/>
      <c r="CD541" s="567"/>
      <c r="CE541" s="568" t="s">
        <v>932</v>
      </c>
      <c r="CF541" s="568"/>
      <c r="CG541" s="568"/>
      <c r="CH541" s="567" t="s">
        <v>932</v>
      </c>
      <c r="CI541" s="567"/>
      <c r="CJ541" s="567"/>
      <c r="CK541" s="567"/>
      <c r="CL541" s="568">
        <v>1</v>
      </c>
      <c r="CM541" s="568"/>
      <c r="CN541" s="568"/>
    </row>
    <row r="542" hidden="1" customHeight="1" spans="1:92">
      <c r="A542" s="569"/>
      <c r="B542" s="570"/>
      <c r="C542" s="571"/>
      <c r="D542" s="572"/>
      <c r="E542" s="573"/>
      <c r="F542" s="574"/>
      <c r="G542" s="575"/>
      <c r="H542" s="576"/>
      <c r="I542" s="577"/>
      <c r="J542" s="578"/>
      <c r="K542" s="578"/>
      <c r="L542" s="578"/>
      <c r="M542" s="578"/>
      <c r="N542" s="578"/>
      <c r="O542" s="578"/>
      <c r="P542" s="578"/>
      <c r="Q542" s="578"/>
      <c r="R542" s="578"/>
      <c r="S542" s="578"/>
      <c r="T542" s="578"/>
      <c r="U542" s="578"/>
      <c r="V542" s="578"/>
      <c r="W542" s="578"/>
      <c r="X542" s="578"/>
      <c r="Y542" s="578"/>
      <c r="Z542" s="578"/>
      <c r="AA542" s="579"/>
      <c r="AB542" s="580"/>
      <c r="AC542" s="581"/>
      <c r="AD542" s="582"/>
      <c r="AE542" s="583"/>
      <c r="AF542" s="584"/>
      <c r="AG542" s="553">
        <v>0</v>
      </c>
      <c r="AH542" s="554"/>
      <c r="AI542" s="555" t="e">
        <v>#N/A</v>
      </c>
      <c r="AJ542" s="556"/>
      <c r="AK542" s="556"/>
      <c r="AL542" s="556"/>
      <c r="AM542" s="556"/>
      <c r="AN542" s="556"/>
      <c r="AO542" s="556"/>
      <c r="AP542" s="556"/>
      <c r="AQ542" s="556"/>
      <c r="AR542" s="556"/>
      <c r="AS542" s="556"/>
      <c r="AT542" s="556"/>
      <c r="AU542" s="556"/>
      <c r="AV542" s="557"/>
      <c r="AW542" s="558">
        <v>0</v>
      </c>
      <c r="AX542" s="559"/>
      <c r="AY542" s="560"/>
      <c r="AZ542" s="585"/>
      <c r="BA542" s="586"/>
      <c r="BB542" s="587"/>
      <c r="BC542" s="558">
        <v>0</v>
      </c>
      <c r="BD542" s="559"/>
      <c r="BE542" s="560"/>
      <c r="BF542" s="558">
        <v>182.49</v>
      </c>
      <c r="BG542" s="559"/>
      <c r="BH542" s="560"/>
      <c r="BI542" s="564">
        <v>0</v>
      </c>
      <c r="BJ542" s="565"/>
      <c r="BK542" s="565"/>
      <c r="BL542" s="566"/>
      <c r="BM542" s="567" t="s">
        <v>932</v>
      </c>
      <c r="BN542" s="567"/>
      <c r="BO542" s="567"/>
      <c r="BP542" s="567"/>
      <c r="BQ542" s="568" t="s">
        <v>932</v>
      </c>
      <c r="BR542" s="568"/>
      <c r="BS542" s="568"/>
      <c r="BT542" s="567" t="s">
        <v>932</v>
      </c>
      <c r="BU542" s="567"/>
      <c r="BV542" s="567"/>
      <c r="BW542" s="567"/>
      <c r="BX542" s="568" t="s">
        <v>932</v>
      </c>
      <c r="BY542" s="568"/>
      <c r="BZ542" s="568"/>
      <c r="CA542" s="567" t="s">
        <v>932</v>
      </c>
      <c r="CB542" s="567"/>
      <c r="CC542" s="567"/>
      <c r="CD542" s="567"/>
      <c r="CE542" s="568" t="s">
        <v>932</v>
      </c>
      <c r="CF542" s="568"/>
      <c r="CG542" s="568"/>
      <c r="CH542" s="567" t="s">
        <v>932</v>
      </c>
      <c r="CI542" s="567"/>
      <c r="CJ542" s="567"/>
      <c r="CK542" s="567"/>
      <c r="CL542" s="568">
        <v>1</v>
      </c>
      <c r="CM542" s="568"/>
      <c r="CN542" s="568"/>
    </row>
    <row r="543" hidden="1" customHeight="1" spans="1:92">
      <c r="A543" s="588"/>
      <c r="B543" s="589"/>
      <c r="C543" s="590"/>
      <c r="D543" s="591"/>
      <c r="E543" s="592"/>
      <c r="F543" s="593"/>
      <c r="G543" s="594"/>
      <c r="H543" s="595"/>
      <c r="I543" s="596"/>
      <c r="J543" s="597"/>
      <c r="K543" s="597"/>
      <c r="L543" s="597"/>
      <c r="M543" s="597"/>
      <c r="N543" s="597"/>
      <c r="O543" s="597"/>
      <c r="P543" s="597"/>
      <c r="Q543" s="597"/>
      <c r="R543" s="597"/>
      <c r="S543" s="597"/>
      <c r="T543" s="597"/>
      <c r="U543" s="597"/>
      <c r="V543" s="597"/>
      <c r="W543" s="597"/>
      <c r="X543" s="597"/>
      <c r="Y543" s="597"/>
      <c r="Z543" s="597"/>
      <c r="AA543" s="598"/>
      <c r="AB543" s="599"/>
      <c r="AC543" s="600"/>
      <c r="AD543" s="601"/>
      <c r="AE543" s="602"/>
      <c r="AF543" s="603"/>
      <c r="AG543" s="553">
        <v>0</v>
      </c>
      <c r="AH543" s="554"/>
      <c r="AI543" s="555" t="e">
        <v>#N/A</v>
      </c>
      <c r="AJ543" s="556"/>
      <c r="AK543" s="556"/>
      <c r="AL543" s="556"/>
      <c r="AM543" s="556"/>
      <c r="AN543" s="556"/>
      <c r="AO543" s="556"/>
      <c r="AP543" s="556"/>
      <c r="AQ543" s="556"/>
      <c r="AR543" s="556"/>
      <c r="AS543" s="556"/>
      <c r="AT543" s="556"/>
      <c r="AU543" s="556"/>
      <c r="AV543" s="557"/>
      <c r="AW543" s="558">
        <v>0</v>
      </c>
      <c r="AX543" s="559"/>
      <c r="AY543" s="560"/>
      <c r="AZ543" s="604"/>
      <c r="BA543" s="605"/>
      <c r="BB543" s="606"/>
      <c r="BC543" s="558">
        <v>0</v>
      </c>
      <c r="BD543" s="559"/>
      <c r="BE543" s="560"/>
      <c r="BF543" s="558">
        <v>182.49</v>
      </c>
      <c r="BG543" s="559"/>
      <c r="BH543" s="560"/>
      <c r="BI543" s="564">
        <v>0</v>
      </c>
      <c r="BJ543" s="565"/>
      <c r="BK543" s="565"/>
      <c r="BL543" s="566"/>
      <c r="BM543" s="567" t="s">
        <v>932</v>
      </c>
      <c r="BN543" s="567"/>
      <c r="BO543" s="567"/>
      <c r="BP543" s="567"/>
      <c r="BQ543" s="568" t="s">
        <v>932</v>
      </c>
      <c r="BR543" s="568"/>
      <c r="BS543" s="568"/>
      <c r="BT543" s="567" t="s">
        <v>932</v>
      </c>
      <c r="BU543" s="567"/>
      <c r="BV543" s="567"/>
      <c r="BW543" s="567"/>
      <c r="BX543" s="568" t="s">
        <v>932</v>
      </c>
      <c r="BY543" s="568"/>
      <c r="BZ543" s="568"/>
      <c r="CA543" s="567" t="s">
        <v>932</v>
      </c>
      <c r="CB543" s="567"/>
      <c r="CC543" s="567"/>
      <c r="CD543" s="567"/>
      <c r="CE543" s="568" t="s">
        <v>932</v>
      </c>
      <c r="CF543" s="568"/>
      <c r="CG543" s="568"/>
      <c r="CH543" s="567" t="s">
        <v>932</v>
      </c>
      <c r="CI543" s="567"/>
      <c r="CJ543" s="567"/>
      <c r="CK543" s="567"/>
      <c r="CL543" s="568">
        <v>1</v>
      </c>
      <c r="CM543" s="568"/>
      <c r="CN543" s="568"/>
    </row>
    <row r="544" customHeight="1" spans="1:92">
      <c r="A544" s="540" t="s">
        <v>1008</v>
      </c>
      <c r="B544" s="541"/>
      <c r="C544" s="89"/>
      <c r="D544" s="91"/>
      <c r="E544" s="90"/>
      <c r="F544" s="542">
        <v>1100657</v>
      </c>
      <c r="G544" s="543"/>
      <c r="H544" s="544"/>
      <c r="I544" s="545" t="s">
        <v>114</v>
      </c>
      <c r="J544" s="546"/>
      <c r="K544" s="546"/>
      <c r="L544" s="546"/>
      <c r="M544" s="546"/>
      <c r="N544" s="546"/>
      <c r="O544" s="546"/>
      <c r="P544" s="546"/>
      <c r="Q544" s="546"/>
      <c r="R544" s="546"/>
      <c r="S544" s="546"/>
      <c r="T544" s="546"/>
      <c r="U544" s="546"/>
      <c r="V544" s="546"/>
      <c r="W544" s="546"/>
      <c r="X544" s="546"/>
      <c r="Y544" s="546"/>
      <c r="Z544" s="546"/>
      <c r="AA544" s="547"/>
      <c r="AB544" s="548" t="s">
        <v>99</v>
      </c>
      <c r="AC544" s="549"/>
      <c r="AD544" s="550">
        <v>13.62</v>
      </c>
      <c r="AE544" s="551"/>
      <c r="AF544" s="552"/>
      <c r="AG544" s="553" t="s">
        <v>1080</v>
      </c>
      <c r="AH544" s="554"/>
      <c r="AI544" s="555" t="s">
        <v>1081</v>
      </c>
      <c r="AJ544" s="556"/>
      <c r="AK544" s="556"/>
      <c r="AL544" s="556"/>
      <c r="AM544" s="556"/>
      <c r="AN544" s="556"/>
      <c r="AO544" s="556"/>
      <c r="AP544" s="556"/>
      <c r="AQ544" s="556"/>
      <c r="AR544" s="556"/>
      <c r="AS544" s="556"/>
      <c r="AT544" s="556"/>
      <c r="AU544" s="556"/>
      <c r="AV544" s="557"/>
      <c r="AW544" s="558">
        <v>1</v>
      </c>
      <c r="AX544" s="559"/>
      <c r="AY544" s="560"/>
      <c r="AZ544" s="561">
        <v>9</v>
      </c>
      <c r="BA544" s="562"/>
      <c r="BB544" s="563"/>
      <c r="BC544" s="558">
        <v>1.51333333333333</v>
      </c>
      <c r="BD544" s="559"/>
      <c r="BE544" s="560"/>
      <c r="BF544" s="558">
        <v>182.49</v>
      </c>
      <c r="BG544" s="559"/>
      <c r="BH544" s="560"/>
      <c r="BI544" s="564">
        <v>0.00829269183699563</v>
      </c>
      <c r="BJ544" s="565"/>
      <c r="BK544" s="565"/>
      <c r="BL544" s="566"/>
      <c r="BM544" s="567" t="s">
        <v>932</v>
      </c>
      <c r="BN544" s="567"/>
      <c r="BO544" s="567"/>
      <c r="BP544" s="567"/>
      <c r="BQ544" s="568" t="s">
        <v>932</v>
      </c>
      <c r="BR544" s="568"/>
      <c r="BS544" s="568"/>
      <c r="BT544" s="567" t="s">
        <v>932</v>
      </c>
      <c r="BU544" s="567"/>
      <c r="BV544" s="567"/>
      <c r="BW544" s="567"/>
      <c r="BX544" s="568" t="s">
        <v>932</v>
      </c>
      <c r="BY544" s="568"/>
      <c r="BZ544" s="568"/>
      <c r="CA544" s="567" t="s">
        <v>932</v>
      </c>
      <c r="CB544" s="567"/>
      <c r="CC544" s="567"/>
      <c r="CD544" s="567"/>
      <c r="CE544" s="568" t="s">
        <v>932</v>
      </c>
      <c r="CF544" s="568"/>
      <c r="CG544" s="568"/>
      <c r="CH544" s="567">
        <v>0.00829269183699563</v>
      </c>
      <c r="CI544" s="567"/>
      <c r="CJ544" s="567"/>
      <c r="CK544" s="567"/>
      <c r="CL544" s="568">
        <v>1</v>
      </c>
      <c r="CM544" s="568"/>
      <c r="CN544" s="568"/>
    </row>
    <row r="545" hidden="1" customHeight="1" spans="1:92">
      <c r="A545" s="569"/>
      <c r="B545" s="570"/>
      <c r="C545" s="571"/>
      <c r="D545" s="572"/>
      <c r="E545" s="573"/>
      <c r="F545" s="574"/>
      <c r="G545" s="575"/>
      <c r="H545" s="576"/>
      <c r="I545" s="577"/>
      <c r="J545" s="578"/>
      <c r="K545" s="578"/>
      <c r="L545" s="578"/>
      <c r="M545" s="578"/>
      <c r="N545" s="578"/>
      <c r="O545" s="578"/>
      <c r="P545" s="578"/>
      <c r="Q545" s="578"/>
      <c r="R545" s="578"/>
      <c r="S545" s="578"/>
      <c r="T545" s="578"/>
      <c r="U545" s="578"/>
      <c r="V545" s="578"/>
      <c r="W545" s="578"/>
      <c r="X545" s="578"/>
      <c r="Y545" s="578"/>
      <c r="Z545" s="578"/>
      <c r="AA545" s="579"/>
      <c r="AB545" s="580"/>
      <c r="AC545" s="581"/>
      <c r="AD545" s="582"/>
      <c r="AE545" s="583"/>
      <c r="AF545" s="584"/>
      <c r="AG545" s="553">
        <v>0</v>
      </c>
      <c r="AH545" s="554"/>
      <c r="AI545" s="555" t="e">
        <v>#N/A</v>
      </c>
      <c r="AJ545" s="556"/>
      <c r="AK545" s="556"/>
      <c r="AL545" s="556"/>
      <c r="AM545" s="556"/>
      <c r="AN545" s="556"/>
      <c r="AO545" s="556"/>
      <c r="AP545" s="556"/>
      <c r="AQ545" s="556"/>
      <c r="AR545" s="556"/>
      <c r="AS545" s="556"/>
      <c r="AT545" s="556"/>
      <c r="AU545" s="556"/>
      <c r="AV545" s="557"/>
      <c r="AW545" s="558">
        <v>0</v>
      </c>
      <c r="AX545" s="559"/>
      <c r="AY545" s="560"/>
      <c r="AZ545" s="585"/>
      <c r="BA545" s="586"/>
      <c r="BB545" s="587"/>
      <c r="BC545" s="558">
        <v>0</v>
      </c>
      <c r="BD545" s="559"/>
      <c r="BE545" s="560"/>
      <c r="BF545" s="558">
        <v>182.49</v>
      </c>
      <c r="BG545" s="559"/>
      <c r="BH545" s="560"/>
      <c r="BI545" s="564">
        <v>0</v>
      </c>
      <c r="BJ545" s="565"/>
      <c r="BK545" s="565"/>
      <c r="BL545" s="566"/>
      <c r="BM545" s="567" t="s">
        <v>932</v>
      </c>
      <c r="BN545" s="567"/>
      <c r="BO545" s="567"/>
      <c r="BP545" s="567"/>
      <c r="BQ545" s="568" t="s">
        <v>932</v>
      </c>
      <c r="BR545" s="568"/>
      <c r="BS545" s="568"/>
      <c r="BT545" s="567" t="s">
        <v>932</v>
      </c>
      <c r="BU545" s="567"/>
      <c r="BV545" s="567"/>
      <c r="BW545" s="567"/>
      <c r="BX545" s="568" t="s">
        <v>932</v>
      </c>
      <c r="BY545" s="568"/>
      <c r="BZ545" s="568"/>
      <c r="CA545" s="567" t="s">
        <v>932</v>
      </c>
      <c r="CB545" s="567"/>
      <c r="CC545" s="567"/>
      <c r="CD545" s="567"/>
      <c r="CE545" s="568" t="s">
        <v>932</v>
      </c>
      <c r="CF545" s="568"/>
      <c r="CG545" s="568"/>
      <c r="CH545" s="567" t="s">
        <v>932</v>
      </c>
      <c r="CI545" s="567"/>
      <c r="CJ545" s="567"/>
      <c r="CK545" s="567"/>
      <c r="CL545" s="568">
        <v>1</v>
      </c>
      <c r="CM545" s="568"/>
      <c r="CN545" s="568"/>
    </row>
    <row r="546" hidden="1" customHeight="1" spans="1:92">
      <c r="A546" s="569"/>
      <c r="B546" s="570"/>
      <c r="C546" s="571"/>
      <c r="D546" s="572"/>
      <c r="E546" s="573"/>
      <c r="F546" s="574"/>
      <c r="G546" s="575"/>
      <c r="H546" s="576"/>
      <c r="I546" s="577"/>
      <c r="J546" s="578"/>
      <c r="K546" s="578"/>
      <c r="L546" s="578"/>
      <c r="M546" s="578"/>
      <c r="N546" s="578"/>
      <c r="O546" s="578"/>
      <c r="P546" s="578"/>
      <c r="Q546" s="578"/>
      <c r="R546" s="578"/>
      <c r="S546" s="578"/>
      <c r="T546" s="578"/>
      <c r="U546" s="578"/>
      <c r="V546" s="578"/>
      <c r="W546" s="578"/>
      <c r="X546" s="578"/>
      <c r="Y546" s="578"/>
      <c r="Z546" s="578"/>
      <c r="AA546" s="579"/>
      <c r="AB546" s="580"/>
      <c r="AC546" s="581"/>
      <c r="AD546" s="582"/>
      <c r="AE546" s="583"/>
      <c r="AF546" s="584"/>
      <c r="AG546" s="553">
        <v>0</v>
      </c>
      <c r="AH546" s="554"/>
      <c r="AI546" s="555" t="e">
        <v>#N/A</v>
      </c>
      <c r="AJ546" s="556"/>
      <c r="AK546" s="556"/>
      <c r="AL546" s="556"/>
      <c r="AM546" s="556"/>
      <c r="AN546" s="556"/>
      <c r="AO546" s="556"/>
      <c r="AP546" s="556"/>
      <c r="AQ546" s="556"/>
      <c r="AR546" s="556"/>
      <c r="AS546" s="556"/>
      <c r="AT546" s="556"/>
      <c r="AU546" s="556"/>
      <c r="AV546" s="557"/>
      <c r="AW546" s="558">
        <v>0</v>
      </c>
      <c r="AX546" s="559"/>
      <c r="AY546" s="560"/>
      <c r="AZ546" s="585"/>
      <c r="BA546" s="586"/>
      <c r="BB546" s="587"/>
      <c r="BC546" s="558">
        <v>0</v>
      </c>
      <c r="BD546" s="559"/>
      <c r="BE546" s="560"/>
      <c r="BF546" s="558">
        <v>182.49</v>
      </c>
      <c r="BG546" s="559"/>
      <c r="BH546" s="560"/>
      <c r="BI546" s="564">
        <v>0</v>
      </c>
      <c r="BJ546" s="565"/>
      <c r="BK546" s="565"/>
      <c r="BL546" s="566"/>
      <c r="BM546" s="567" t="s">
        <v>932</v>
      </c>
      <c r="BN546" s="567"/>
      <c r="BO546" s="567"/>
      <c r="BP546" s="567"/>
      <c r="BQ546" s="568" t="s">
        <v>932</v>
      </c>
      <c r="BR546" s="568"/>
      <c r="BS546" s="568"/>
      <c r="BT546" s="567" t="s">
        <v>932</v>
      </c>
      <c r="BU546" s="567"/>
      <c r="BV546" s="567"/>
      <c r="BW546" s="567"/>
      <c r="BX546" s="568" t="s">
        <v>932</v>
      </c>
      <c r="BY546" s="568"/>
      <c r="BZ546" s="568"/>
      <c r="CA546" s="567" t="s">
        <v>932</v>
      </c>
      <c r="CB546" s="567"/>
      <c r="CC546" s="567"/>
      <c r="CD546" s="567"/>
      <c r="CE546" s="568" t="s">
        <v>932</v>
      </c>
      <c r="CF546" s="568"/>
      <c r="CG546" s="568"/>
      <c r="CH546" s="567" t="s">
        <v>932</v>
      </c>
      <c r="CI546" s="567"/>
      <c r="CJ546" s="567"/>
      <c r="CK546" s="567"/>
      <c r="CL546" s="568">
        <v>1</v>
      </c>
      <c r="CM546" s="568"/>
      <c r="CN546" s="568"/>
    </row>
    <row r="547" hidden="1" customHeight="1" spans="1:92">
      <c r="A547" s="569"/>
      <c r="B547" s="570"/>
      <c r="C547" s="571"/>
      <c r="D547" s="572"/>
      <c r="E547" s="573"/>
      <c r="F547" s="574"/>
      <c r="G547" s="575"/>
      <c r="H547" s="576"/>
      <c r="I547" s="577"/>
      <c r="J547" s="578"/>
      <c r="K547" s="578"/>
      <c r="L547" s="578"/>
      <c r="M547" s="578"/>
      <c r="N547" s="578"/>
      <c r="O547" s="578"/>
      <c r="P547" s="578"/>
      <c r="Q547" s="578"/>
      <c r="R547" s="578"/>
      <c r="S547" s="578"/>
      <c r="T547" s="578"/>
      <c r="U547" s="578"/>
      <c r="V547" s="578"/>
      <c r="W547" s="578"/>
      <c r="X547" s="578"/>
      <c r="Y547" s="578"/>
      <c r="Z547" s="578"/>
      <c r="AA547" s="579"/>
      <c r="AB547" s="580"/>
      <c r="AC547" s="581"/>
      <c r="AD547" s="582"/>
      <c r="AE547" s="583"/>
      <c r="AF547" s="584"/>
      <c r="AG547" s="553">
        <v>0</v>
      </c>
      <c r="AH547" s="554"/>
      <c r="AI547" s="555" t="e">
        <v>#N/A</v>
      </c>
      <c r="AJ547" s="556"/>
      <c r="AK547" s="556"/>
      <c r="AL547" s="556"/>
      <c r="AM547" s="556"/>
      <c r="AN547" s="556"/>
      <c r="AO547" s="556"/>
      <c r="AP547" s="556"/>
      <c r="AQ547" s="556"/>
      <c r="AR547" s="556"/>
      <c r="AS547" s="556"/>
      <c r="AT547" s="556"/>
      <c r="AU547" s="556"/>
      <c r="AV547" s="557"/>
      <c r="AW547" s="558">
        <v>0</v>
      </c>
      <c r="AX547" s="559"/>
      <c r="AY547" s="560"/>
      <c r="AZ547" s="585"/>
      <c r="BA547" s="586"/>
      <c r="BB547" s="587"/>
      <c r="BC547" s="558">
        <v>0</v>
      </c>
      <c r="BD547" s="559"/>
      <c r="BE547" s="560"/>
      <c r="BF547" s="558">
        <v>182.49</v>
      </c>
      <c r="BG547" s="559"/>
      <c r="BH547" s="560"/>
      <c r="BI547" s="564">
        <v>0</v>
      </c>
      <c r="BJ547" s="565"/>
      <c r="BK547" s="565"/>
      <c r="BL547" s="566"/>
      <c r="BM547" s="567" t="s">
        <v>932</v>
      </c>
      <c r="BN547" s="567"/>
      <c r="BO547" s="567"/>
      <c r="BP547" s="567"/>
      <c r="BQ547" s="568" t="s">
        <v>932</v>
      </c>
      <c r="BR547" s="568"/>
      <c r="BS547" s="568"/>
      <c r="BT547" s="567" t="s">
        <v>932</v>
      </c>
      <c r="BU547" s="567"/>
      <c r="BV547" s="567"/>
      <c r="BW547" s="567"/>
      <c r="BX547" s="568" t="s">
        <v>932</v>
      </c>
      <c r="BY547" s="568"/>
      <c r="BZ547" s="568"/>
      <c r="CA547" s="567" t="s">
        <v>932</v>
      </c>
      <c r="CB547" s="567"/>
      <c r="CC547" s="567"/>
      <c r="CD547" s="567"/>
      <c r="CE547" s="568" t="s">
        <v>932</v>
      </c>
      <c r="CF547" s="568"/>
      <c r="CG547" s="568"/>
      <c r="CH547" s="567" t="s">
        <v>932</v>
      </c>
      <c r="CI547" s="567"/>
      <c r="CJ547" s="567"/>
      <c r="CK547" s="567"/>
      <c r="CL547" s="568">
        <v>1</v>
      </c>
      <c r="CM547" s="568"/>
      <c r="CN547" s="568"/>
    </row>
    <row r="548" hidden="1" customHeight="1" spans="1:92">
      <c r="A548" s="569"/>
      <c r="B548" s="570"/>
      <c r="C548" s="571"/>
      <c r="D548" s="572"/>
      <c r="E548" s="573"/>
      <c r="F548" s="574"/>
      <c r="G548" s="575"/>
      <c r="H548" s="576"/>
      <c r="I548" s="577"/>
      <c r="J548" s="578"/>
      <c r="K548" s="578"/>
      <c r="L548" s="578"/>
      <c r="M548" s="578"/>
      <c r="N548" s="578"/>
      <c r="O548" s="578"/>
      <c r="P548" s="578"/>
      <c r="Q548" s="578"/>
      <c r="R548" s="578"/>
      <c r="S548" s="578"/>
      <c r="T548" s="578"/>
      <c r="U548" s="578"/>
      <c r="V548" s="578"/>
      <c r="W548" s="578"/>
      <c r="X548" s="578"/>
      <c r="Y548" s="578"/>
      <c r="Z548" s="578"/>
      <c r="AA548" s="579"/>
      <c r="AB548" s="580"/>
      <c r="AC548" s="581"/>
      <c r="AD548" s="582"/>
      <c r="AE548" s="583"/>
      <c r="AF548" s="584"/>
      <c r="AG548" s="553">
        <v>0</v>
      </c>
      <c r="AH548" s="554"/>
      <c r="AI548" s="555" t="e">
        <v>#N/A</v>
      </c>
      <c r="AJ548" s="556"/>
      <c r="AK548" s="556"/>
      <c r="AL548" s="556"/>
      <c r="AM548" s="556"/>
      <c r="AN548" s="556"/>
      <c r="AO548" s="556"/>
      <c r="AP548" s="556"/>
      <c r="AQ548" s="556"/>
      <c r="AR548" s="556"/>
      <c r="AS548" s="556"/>
      <c r="AT548" s="556"/>
      <c r="AU548" s="556"/>
      <c r="AV548" s="557"/>
      <c r="AW548" s="558">
        <v>0</v>
      </c>
      <c r="AX548" s="559"/>
      <c r="AY548" s="560"/>
      <c r="AZ548" s="585"/>
      <c r="BA548" s="586"/>
      <c r="BB548" s="587"/>
      <c r="BC548" s="558">
        <v>0</v>
      </c>
      <c r="BD548" s="559"/>
      <c r="BE548" s="560"/>
      <c r="BF548" s="558">
        <v>182.49</v>
      </c>
      <c r="BG548" s="559"/>
      <c r="BH548" s="560"/>
      <c r="BI548" s="564">
        <v>0</v>
      </c>
      <c r="BJ548" s="565"/>
      <c r="BK548" s="565"/>
      <c r="BL548" s="566"/>
      <c r="BM548" s="567" t="s">
        <v>932</v>
      </c>
      <c r="BN548" s="567"/>
      <c r="BO548" s="567"/>
      <c r="BP548" s="567"/>
      <c r="BQ548" s="568" t="s">
        <v>932</v>
      </c>
      <c r="BR548" s="568"/>
      <c r="BS548" s="568"/>
      <c r="BT548" s="567" t="s">
        <v>932</v>
      </c>
      <c r="BU548" s="567"/>
      <c r="BV548" s="567"/>
      <c r="BW548" s="567"/>
      <c r="BX548" s="568" t="s">
        <v>932</v>
      </c>
      <c r="BY548" s="568"/>
      <c r="BZ548" s="568"/>
      <c r="CA548" s="567" t="s">
        <v>932</v>
      </c>
      <c r="CB548" s="567"/>
      <c r="CC548" s="567"/>
      <c r="CD548" s="567"/>
      <c r="CE548" s="568" t="s">
        <v>932</v>
      </c>
      <c r="CF548" s="568"/>
      <c r="CG548" s="568"/>
      <c r="CH548" s="567" t="s">
        <v>932</v>
      </c>
      <c r="CI548" s="567"/>
      <c r="CJ548" s="567"/>
      <c r="CK548" s="567"/>
      <c r="CL548" s="568">
        <v>1</v>
      </c>
      <c r="CM548" s="568"/>
      <c r="CN548" s="568"/>
    </row>
    <row r="549" hidden="1" customHeight="1" spans="1:92">
      <c r="A549" s="569"/>
      <c r="B549" s="570"/>
      <c r="C549" s="571"/>
      <c r="D549" s="572"/>
      <c r="E549" s="573"/>
      <c r="F549" s="574"/>
      <c r="G549" s="575"/>
      <c r="H549" s="576"/>
      <c r="I549" s="577"/>
      <c r="J549" s="578"/>
      <c r="K549" s="578"/>
      <c r="L549" s="578"/>
      <c r="M549" s="578"/>
      <c r="N549" s="578"/>
      <c r="O549" s="578"/>
      <c r="P549" s="578"/>
      <c r="Q549" s="578"/>
      <c r="R549" s="578"/>
      <c r="S549" s="578"/>
      <c r="T549" s="578"/>
      <c r="U549" s="578"/>
      <c r="V549" s="578"/>
      <c r="W549" s="578"/>
      <c r="X549" s="578"/>
      <c r="Y549" s="578"/>
      <c r="Z549" s="578"/>
      <c r="AA549" s="579"/>
      <c r="AB549" s="580"/>
      <c r="AC549" s="581"/>
      <c r="AD549" s="582"/>
      <c r="AE549" s="583"/>
      <c r="AF549" s="584"/>
      <c r="AG549" s="553">
        <v>0</v>
      </c>
      <c r="AH549" s="554"/>
      <c r="AI549" s="555" t="e">
        <v>#N/A</v>
      </c>
      <c r="AJ549" s="556"/>
      <c r="AK549" s="556"/>
      <c r="AL549" s="556"/>
      <c r="AM549" s="556"/>
      <c r="AN549" s="556"/>
      <c r="AO549" s="556"/>
      <c r="AP549" s="556"/>
      <c r="AQ549" s="556"/>
      <c r="AR549" s="556"/>
      <c r="AS549" s="556"/>
      <c r="AT549" s="556"/>
      <c r="AU549" s="556"/>
      <c r="AV549" s="557"/>
      <c r="AW549" s="558">
        <v>0</v>
      </c>
      <c r="AX549" s="559"/>
      <c r="AY549" s="560"/>
      <c r="AZ549" s="585"/>
      <c r="BA549" s="586"/>
      <c r="BB549" s="587"/>
      <c r="BC549" s="558">
        <v>0</v>
      </c>
      <c r="BD549" s="559"/>
      <c r="BE549" s="560"/>
      <c r="BF549" s="558">
        <v>182.49</v>
      </c>
      <c r="BG549" s="559"/>
      <c r="BH549" s="560"/>
      <c r="BI549" s="564">
        <v>0</v>
      </c>
      <c r="BJ549" s="565"/>
      <c r="BK549" s="565"/>
      <c r="BL549" s="566"/>
      <c r="BM549" s="567" t="s">
        <v>932</v>
      </c>
      <c r="BN549" s="567"/>
      <c r="BO549" s="567"/>
      <c r="BP549" s="567"/>
      <c r="BQ549" s="568" t="s">
        <v>932</v>
      </c>
      <c r="BR549" s="568"/>
      <c r="BS549" s="568"/>
      <c r="BT549" s="567" t="s">
        <v>932</v>
      </c>
      <c r="BU549" s="567"/>
      <c r="BV549" s="567"/>
      <c r="BW549" s="567"/>
      <c r="BX549" s="568" t="s">
        <v>932</v>
      </c>
      <c r="BY549" s="568"/>
      <c r="BZ549" s="568"/>
      <c r="CA549" s="567" t="s">
        <v>932</v>
      </c>
      <c r="CB549" s="567"/>
      <c r="CC549" s="567"/>
      <c r="CD549" s="567"/>
      <c r="CE549" s="568" t="s">
        <v>932</v>
      </c>
      <c r="CF549" s="568"/>
      <c r="CG549" s="568"/>
      <c r="CH549" s="567" t="s">
        <v>932</v>
      </c>
      <c r="CI549" s="567"/>
      <c r="CJ549" s="567"/>
      <c r="CK549" s="567"/>
      <c r="CL549" s="568">
        <v>1</v>
      </c>
      <c r="CM549" s="568"/>
      <c r="CN549" s="568"/>
    </row>
    <row r="550" hidden="1" customHeight="1" spans="1:92">
      <c r="A550" s="569"/>
      <c r="B550" s="570"/>
      <c r="C550" s="571"/>
      <c r="D550" s="572"/>
      <c r="E550" s="573"/>
      <c r="F550" s="574"/>
      <c r="G550" s="575"/>
      <c r="H550" s="576"/>
      <c r="I550" s="577"/>
      <c r="J550" s="578"/>
      <c r="K550" s="578"/>
      <c r="L550" s="578"/>
      <c r="M550" s="578"/>
      <c r="N550" s="578"/>
      <c r="O550" s="578"/>
      <c r="P550" s="578"/>
      <c r="Q550" s="578"/>
      <c r="R550" s="578"/>
      <c r="S550" s="578"/>
      <c r="T550" s="578"/>
      <c r="U550" s="578"/>
      <c r="V550" s="578"/>
      <c r="W550" s="578"/>
      <c r="X550" s="578"/>
      <c r="Y550" s="578"/>
      <c r="Z550" s="578"/>
      <c r="AA550" s="579"/>
      <c r="AB550" s="580"/>
      <c r="AC550" s="581"/>
      <c r="AD550" s="582"/>
      <c r="AE550" s="583"/>
      <c r="AF550" s="584"/>
      <c r="AG550" s="553">
        <v>0</v>
      </c>
      <c r="AH550" s="554"/>
      <c r="AI550" s="555" t="e">
        <v>#N/A</v>
      </c>
      <c r="AJ550" s="556"/>
      <c r="AK550" s="556"/>
      <c r="AL550" s="556"/>
      <c r="AM550" s="556"/>
      <c r="AN550" s="556"/>
      <c r="AO550" s="556"/>
      <c r="AP550" s="556"/>
      <c r="AQ550" s="556"/>
      <c r="AR550" s="556"/>
      <c r="AS550" s="556"/>
      <c r="AT550" s="556"/>
      <c r="AU550" s="556"/>
      <c r="AV550" s="557"/>
      <c r="AW550" s="558">
        <v>0</v>
      </c>
      <c r="AX550" s="559"/>
      <c r="AY550" s="560"/>
      <c r="AZ550" s="585"/>
      <c r="BA550" s="586"/>
      <c r="BB550" s="587"/>
      <c r="BC550" s="558">
        <v>0</v>
      </c>
      <c r="BD550" s="559"/>
      <c r="BE550" s="560"/>
      <c r="BF550" s="558">
        <v>182.49</v>
      </c>
      <c r="BG550" s="559"/>
      <c r="BH550" s="560"/>
      <c r="BI550" s="564">
        <v>0</v>
      </c>
      <c r="BJ550" s="565"/>
      <c r="BK550" s="565"/>
      <c r="BL550" s="566"/>
      <c r="BM550" s="567" t="s">
        <v>932</v>
      </c>
      <c r="BN550" s="567"/>
      <c r="BO550" s="567"/>
      <c r="BP550" s="567"/>
      <c r="BQ550" s="568" t="s">
        <v>932</v>
      </c>
      <c r="BR550" s="568"/>
      <c r="BS550" s="568"/>
      <c r="BT550" s="567" t="s">
        <v>932</v>
      </c>
      <c r="BU550" s="567"/>
      <c r="BV550" s="567"/>
      <c r="BW550" s="567"/>
      <c r="BX550" s="568" t="s">
        <v>932</v>
      </c>
      <c r="BY550" s="568"/>
      <c r="BZ550" s="568"/>
      <c r="CA550" s="567" t="s">
        <v>932</v>
      </c>
      <c r="CB550" s="567"/>
      <c r="CC550" s="567"/>
      <c r="CD550" s="567"/>
      <c r="CE550" s="568" t="s">
        <v>932</v>
      </c>
      <c r="CF550" s="568"/>
      <c r="CG550" s="568"/>
      <c r="CH550" s="567" t="s">
        <v>932</v>
      </c>
      <c r="CI550" s="567"/>
      <c r="CJ550" s="567"/>
      <c r="CK550" s="567"/>
      <c r="CL550" s="568">
        <v>1</v>
      </c>
      <c r="CM550" s="568"/>
      <c r="CN550" s="568"/>
    </row>
    <row r="551" hidden="1" customHeight="1" spans="1:92">
      <c r="A551" s="588"/>
      <c r="B551" s="589"/>
      <c r="C551" s="590"/>
      <c r="D551" s="591"/>
      <c r="E551" s="592"/>
      <c r="F551" s="593"/>
      <c r="G551" s="594"/>
      <c r="H551" s="595"/>
      <c r="I551" s="596"/>
      <c r="J551" s="597"/>
      <c r="K551" s="597"/>
      <c r="L551" s="597"/>
      <c r="M551" s="597"/>
      <c r="N551" s="597"/>
      <c r="O551" s="597"/>
      <c r="P551" s="597"/>
      <c r="Q551" s="597"/>
      <c r="R551" s="597"/>
      <c r="S551" s="597"/>
      <c r="T551" s="597"/>
      <c r="U551" s="597"/>
      <c r="V551" s="597"/>
      <c r="W551" s="597"/>
      <c r="X551" s="597"/>
      <c r="Y551" s="597"/>
      <c r="Z551" s="597"/>
      <c r="AA551" s="598"/>
      <c r="AB551" s="599"/>
      <c r="AC551" s="600"/>
      <c r="AD551" s="601"/>
      <c r="AE551" s="602"/>
      <c r="AF551" s="603"/>
      <c r="AG551" s="553">
        <v>0</v>
      </c>
      <c r="AH551" s="554"/>
      <c r="AI551" s="555" t="e">
        <v>#N/A</v>
      </c>
      <c r="AJ551" s="556"/>
      <c r="AK551" s="556"/>
      <c r="AL551" s="556"/>
      <c r="AM551" s="556"/>
      <c r="AN551" s="556"/>
      <c r="AO551" s="556"/>
      <c r="AP551" s="556"/>
      <c r="AQ551" s="556"/>
      <c r="AR551" s="556"/>
      <c r="AS551" s="556"/>
      <c r="AT551" s="556"/>
      <c r="AU551" s="556"/>
      <c r="AV551" s="557"/>
      <c r="AW551" s="558">
        <v>0</v>
      </c>
      <c r="AX551" s="559"/>
      <c r="AY551" s="560"/>
      <c r="AZ551" s="604"/>
      <c r="BA551" s="605"/>
      <c r="BB551" s="606"/>
      <c r="BC551" s="558">
        <v>0</v>
      </c>
      <c r="BD551" s="559"/>
      <c r="BE551" s="560"/>
      <c r="BF551" s="558">
        <v>182.49</v>
      </c>
      <c r="BG551" s="559"/>
      <c r="BH551" s="560"/>
      <c r="BI551" s="564">
        <v>0</v>
      </c>
      <c r="BJ551" s="565"/>
      <c r="BK551" s="565"/>
      <c r="BL551" s="566"/>
      <c r="BM551" s="567" t="s">
        <v>932</v>
      </c>
      <c r="BN551" s="567"/>
      <c r="BO551" s="567"/>
      <c r="BP551" s="567"/>
      <c r="BQ551" s="568" t="s">
        <v>932</v>
      </c>
      <c r="BR551" s="568"/>
      <c r="BS551" s="568"/>
      <c r="BT551" s="567" t="s">
        <v>932</v>
      </c>
      <c r="BU551" s="567"/>
      <c r="BV551" s="567"/>
      <c r="BW551" s="567"/>
      <c r="BX551" s="568" t="s">
        <v>932</v>
      </c>
      <c r="BY551" s="568"/>
      <c r="BZ551" s="568"/>
      <c r="CA551" s="567" t="s">
        <v>932</v>
      </c>
      <c r="CB551" s="567"/>
      <c r="CC551" s="567"/>
      <c r="CD551" s="567"/>
      <c r="CE551" s="568" t="s">
        <v>932</v>
      </c>
      <c r="CF551" s="568"/>
      <c r="CG551" s="568"/>
      <c r="CH551" s="567" t="s">
        <v>932</v>
      </c>
      <c r="CI551" s="567"/>
      <c r="CJ551" s="567"/>
      <c r="CK551" s="567"/>
      <c r="CL551" s="568">
        <v>1</v>
      </c>
      <c r="CM551" s="568"/>
      <c r="CN551" s="568"/>
    </row>
    <row r="552" customHeight="1" spans="1:92">
      <c r="A552" s="540" t="s">
        <v>1009</v>
      </c>
      <c r="B552" s="541"/>
      <c r="C552" s="89"/>
      <c r="D552" s="91"/>
      <c r="E552" s="90"/>
      <c r="F552" s="542">
        <v>1106057</v>
      </c>
      <c r="G552" s="543"/>
      <c r="H552" s="544"/>
      <c r="I552" s="545" t="s">
        <v>109</v>
      </c>
      <c r="J552" s="546"/>
      <c r="K552" s="546"/>
      <c r="L552" s="546"/>
      <c r="M552" s="546"/>
      <c r="N552" s="546"/>
      <c r="O552" s="546"/>
      <c r="P552" s="546"/>
      <c r="Q552" s="546"/>
      <c r="R552" s="546"/>
      <c r="S552" s="546"/>
      <c r="T552" s="546"/>
      <c r="U552" s="546"/>
      <c r="V552" s="546"/>
      <c r="W552" s="546"/>
      <c r="X552" s="546"/>
      <c r="Y552" s="546"/>
      <c r="Z552" s="546"/>
      <c r="AA552" s="547"/>
      <c r="AB552" s="548" t="s">
        <v>99</v>
      </c>
      <c r="AC552" s="549"/>
      <c r="AD552" s="550">
        <v>2.9</v>
      </c>
      <c r="AE552" s="551"/>
      <c r="AF552" s="552"/>
      <c r="AG552" s="553" t="s">
        <v>1068</v>
      </c>
      <c r="AH552" s="554"/>
      <c r="AI552" s="555" t="s">
        <v>1069</v>
      </c>
      <c r="AJ552" s="556"/>
      <c r="AK552" s="556"/>
      <c r="AL552" s="556"/>
      <c r="AM552" s="556"/>
      <c r="AN552" s="556"/>
      <c r="AO552" s="556"/>
      <c r="AP552" s="556"/>
      <c r="AQ552" s="556"/>
      <c r="AR552" s="556"/>
      <c r="AS552" s="556"/>
      <c r="AT552" s="556"/>
      <c r="AU552" s="556"/>
      <c r="AV552" s="557"/>
      <c r="AW552" s="558">
        <v>1</v>
      </c>
      <c r="AX552" s="559"/>
      <c r="AY552" s="560"/>
      <c r="AZ552" s="561">
        <v>3.92899</v>
      </c>
      <c r="BA552" s="562"/>
      <c r="BB552" s="563"/>
      <c r="BC552" s="558">
        <v>0.738103176643361</v>
      </c>
      <c r="BD552" s="559"/>
      <c r="BE552" s="560"/>
      <c r="BF552" s="558">
        <v>182.49</v>
      </c>
      <c r="BG552" s="559"/>
      <c r="BH552" s="560"/>
      <c r="BI552" s="564">
        <v>0.0040446225910645</v>
      </c>
      <c r="BJ552" s="565"/>
      <c r="BK552" s="565"/>
      <c r="BL552" s="566"/>
      <c r="BM552" s="567">
        <v>0.000808924518212901</v>
      </c>
      <c r="BN552" s="567"/>
      <c r="BO552" s="567"/>
      <c r="BP552" s="567"/>
      <c r="BQ552" s="568">
        <v>0.2</v>
      </c>
      <c r="BR552" s="568"/>
      <c r="BS552" s="568"/>
      <c r="BT552" s="567">
        <v>0.00202231129553225</v>
      </c>
      <c r="BU552" s="567"/>
      <c r="BV552" s="567"/>
      <c r="BW552" s="567"/>
      <c r="BX552" s="568">
        <v>0.5</v>
      </c>
      <c r="BY552" s="568"/>
      <c r="BZ552" s="568"/>
      <c r="CA552" s="567">
        <v>0.00121338677731935</v>
      </c>
      <c r="CB552" s="567"/>
      <c r="CC552" s="567"/>
      <c r="CD552" s="567"/>
      <c r="CE552" s="568">
        <v>0.3</v>
      </c>
      <c r="CF552" s="568"/>
      <c r="CG552" s="568"/>
      <c r="CH552" s="567" t="s">
        <v>932</v>
      </c>
      <c r="CI552" s="567"/>
      <c r="CJ552" s="567"/>
      <c r="CK552" s="567"/>
      <c r="CL552" s="568" t="s">
        <v>932</v>
      </c>
      <c r="CM552" s="568"/>
      <c r="CN552" s="568"/>
    </row>
    <row r="553" customHeight="1" spans="1:92">
      <c r="A553" s="569"/>
      <c r="B553" s="570"/>
      <c r="C553" s="571"/>
      <c r="D553" s="572"/>
      <c r="E553" s="573"/>
      <c r="F553" s="574"/>
      <c r="G553" s="575"/>
      <c r="H553" s="576"/>
      <c r="I553" s="577"/>
      <c r="J553" s="578"/>
      <c r="K553" s="578"/>
      <c r="L553" s="578"/>
      <c r="M553" s="578"/>
      <c r="N553" s="578"/>
      <c r="O553" s="578"/>
      <c r="P553" s="578"/>
      <c r="Q553" s="578"/>
      <c r="R553" s="578"/>
      <c r="S553" s="578"/>
      <c r="T553" s="578"/>
      <c r="U553" s="578"/>
      <c r="V553" s="578"/>
      <c r="W553" s="578"/>
      <c r="X553" s="578"/>
      <c r="Y553" s="578"/>
      <c r="Z553" s="578"/>
      <c r="AA553" s="579"/>
      <c r="AB553" s="580"/>
      <c r="AC553" s="581"/>
      <c r="AD553" s="582"/>
      <c r="AE553" s="583"/>
      <c r="AF553" s="584"/>
      <c r="AG553" s="553" t="s">
        <v>1070</v>
      </c>
      <c r="AH553" s="554"/>
      <c r="AI553" s="555" t="s">
        <v>1071</v>
      </c>
      <c r="AJ553" s="556"/>
      <c r="AK553" s="556"/>
      <c r="AL553" s="556"/>
      <c r="AM553" s="556"/>
      <c r="AN553" s="556"/>
      <c r="AO553" s="556"/>
      <c r="AP553" s="556"/>
      <c r="AQ553" s="556"/>
      <c r="AR553" s="556"/>
      <c r="AS553" s="556"/>
      <c r="AT553" s="556"/>
      <c r="AU553" s="556"/>
      <c r="AV553" s="557"/>
      <c r="AW553" s="558">
        <v>4</v>
      </c>
      <c r="AX553" s="559"/>
      <c r="AY553" s="560"/>
      <c r="AZ553" s="585"/>
      <c r="BA553" s="586"/>
      <c r="BB553" s="587"/>
      <c r="BC553" s="558">
        <v>2.95241270657344</v>
      </c>
      <c r="BD553" s="559"/>
      <c r="BE553" s="560"/>
      <c r="BF553" s="558">
        <v>182.49</v>
      </c>
      <c r="BG553" s="559"/>
      <c r="BH553" s="560"/>
      <c r="BI553" s="564">
        <v>0.016178490364258</v>
      </c>
      <c r="BJ553" s="565"/>
      <c r="BK553" s="565"/>
      <c r="BL553" s="566"/>
      <c r="BM553" s="567">
        <v>0.0032356980728516</v>
      </c>
      <c r="BN553" s="567"/>
      <c r="BO553" s="567"/>
      <c r="BP553" s="567"/>
      <c r="BQ553" s="568">
        <v>0.2</v>
      </c>
      <c r="BR553" s="568"/>
      <c r="BS553" s="568"/>
      <c r="BT553" s="567">
        <v>0.00808924518212901</v>
      </c>
      <c r="BU553" s="567"/>
      <c r="BV553" s="567"/>
      <c r="BW553" s="567"/>
      <c r="BX553" s="568">
        <v>0.5</v>
      </c>
      <c r="BY553" s="568"/>
      <c r="BZ553" s="568"/>
      <c r="CA553" s="567">
        <v>0.0048535471092774</v>
      </c>
      <c r="CB553" s="567"/>
      <c r="CC553" s="567"/>
      <c r="CD553" s="567"/>
      <c r="CE553" s="568">
        <v>0.3</v>
      </c>
      <c r="CF553" s="568"/>
      <c r="CG553" s="568"/>
      <c r="CH553" s="567" t="s">
        <v>932</v>
      </c>
      <c r="CI553" s="567"/>
      <c r="CJ553" s="567"/>
      <c r="CK553" s="567"/>
      <c r="CL553" s="568" t="s">
        <v>932</v>
      </c>
      <c r="CM553" s="568"/>
      <c r="CN553" s="568"/>
    </row>
    <row r="554" customHeight="1" spans="1:92">
      <c r="A554" s="569"/>
      <c r="B554" s="570"/>
      <c r="C554" s="571"/>
      <c r="D554" s="572"/>
      <c r="E554" s="573"/>
      <c r="F554" s="574"/>
      <c r="G554" s="575"/>
      <c r="H554" s="576"/>
      <c r="I554" s="577"/>
      <c r="J554" s="578"/>
      <c r="K554" s="578"/>
      <c r="L554" s="578"/>
      <c r="M554" s="578"/>
      <c r="N554" s="578"/>
      <c r="O554" s="578"/>
      <c r="P554" s="578"/>
      <c r="Q554" s="578"/>
      <c r="R554" s="578"/>
      <c r="S554" s="578"/>
      <c r="T554" s="578"/>
      <c r="U554" s="578"/>
      <c r="V554" s="578"/>
      <c r="W554" s="578"/>
      <c r="X554" s="578"/>
      <c r="Y554" s="578"/>
      <c r="Z554" s="578"/>
      <c r="AA554" s="579"/>
      <c r="AB554" s="580"/>
      <c r="AC554" s="581"/>
      <c r="AD554" s="582"/>
      <c r="AE554" s="583"/>
      <c r="AF554" s="584"/>
      <c r="AG554" s="553" t="s">
        <v>1072</v>
      </c>
      <c r="AH554" s="554"/>
      <c r="AI554" s="555" t="s">
        <v>1073</v>
      </c>
      <c r="AJ554" s="556"/>
      <c r="AK554" s="556"/>
      <c r="AL554" s="556"/>
      <c r="AM554" s="556"/>
      <c r="AN554" s="556"/>
      <c r="AO554" s="556"/>
      <c r="AP554" s="556"/>
      <c r="AQ554" s="556"/>
      <c r="AR554" s="556"/>
      <c r="AS554" s="556"/>
      <c r="AT554" s="556"/>
      <c r="AU554" s="556"/>
      <c r="AV554" s="557"/>
      <c r="AW554" s="558">
        <v>3</v>
      </c>
      <c r="AX554" s="559"/>
      <c r="AY554" s="560"/>
      <c r="AZ554" s="585"/>
      <c r="BA554" s="586"/>
      <c r="BB554" s="587"/>
      <c r="BC554" s="558">
        <v>2.21430952993008</v>
      </c>
      <c r="BD554" s="559"/>
      <c r="BE554" s="560"/>
      <c r="BF554" s="558">
        <v>182.49</v>
      </c>
      <c r="BG554" s="559"/>
      <c r="BH554" s="560"/>
      <c r="BI554" s="564">
        <v>0.0121338677731935</v>
      </c>
      <c r="BJ554" s="565"/>
      <c r="BK554" s="565"/>
      <c r="BL554" s="566"/>
      <c r="BM554" s="567">
        <v>0.0024267735546387</v>
      </c>
      <c r="BN554" s="567"/>
      <c r="BO554" s="567"/>
      <c r="BP554" s="567"/>
      <c r="BQ554" s="568">
        <v>0.2</v>
      </c>
      <c r="BR554" s="568"/>
      <c r="BS554" s="568"/>
      <c r="BT554" s="567">
        <v>0.00606693388659675</v>
      </c>
      <c r="BU554" s="567"/>
      <c r="BV554" s="567"/>
      <c r="BW554" s="567"/>
      <c r="BX554" s="568">
        <v>0.5</v>
      </c>
      <c r="BY554" s="568"/>
      <c r="BZ554" s="568"/>
      <c r="CA554" s="567">
        <v>0.00364016033195805</v>
      </c>
      <c r="CB554" s="567"/>
      <c r="CC554" s="567"/>
      <c r="CD554" s="567"/>
      <c r="CE554" s="568">
        <v>0.3</v>
      </c>
      <c r="CF554" s="568"/>
      <c r="CG554" s="568"/>
      <c r="CH554" s="567" t="s">
        <v>932</v>
      </c>
      <c r="CI554" s="567"/>
      <c r="CJ554" s="567"/>
      <c r="CK554" s="567"/>
      <c r="CL554" s="568" t="s">
        <v>932</v>
      </c>
      <c r="CM554" s="568"/>
      <c r="CN554" s="568"/>
    </row>
    <row r="555" hidden="1" customHeight="1" spans="1:92">
      <c r="A555" s="569"/>
      <c r="B555" s="570"/>
      <c r="C555" s="571"/>
      <c r="D555" s="572"/>
      <c r="E555" s="573"/>
      <c r="F555" s="574"/>
      <c r="G555" s="575"/>
      <c r="H555" s="576"/>
      <c r="I555" s="577"/>
      <c r="J555" s="578"/>
      <c r="K555" s="578"/>
      <c r="L555" s="578"/>
      <c r="M555" s="578"/>
      <c r="N555" s="578"/>
      <c r="O555" s="578"/>
      <c r="P555" s="578"/>
      <c r="Q555" s="578"/>
      <c r="R555" s="578"/>
      <c r="S555" s="578"/>
      <c r="T555" s="578"/>
      <c r="U555" s="578"/>
      <c r="V555" s="578"/>
      <c r="W555" s="578"/>
      <c r="X555" s="578"/>
      <c r="Y555" s="578"/>
      <c r="Z555" s="578"/>
      <c r="AA555" s="579"/>
      <c r="AB555" s="580"/>
      <c r="AC555" s="581"/>
      <c r="AD555" s="582"/>
      <c r="AE555" s="583"/>
      <c r="AF555" s="584"/>
      <c r="AG555" s="553">
        <v>0</v>
      </c>
      <c r="AH555" s="554"/>
      <c r="AI555" s="555" t="e">
        <v>#N/A</v>
      </c>
      <c r="AJ555" s="556"/>
      <c r="AK555" s="556"/>
      <c r="AL555" s="556"/>
      <c r="AM555" s="556"/>
      <c r="AN555" s="556"/>
      <c r="AO555" s="556"/>
      <c r="AP555" s="556"/>
      <c r="AQ555" s="556"/>
      <c r="AR555" s="556"/>
      <c r="AS555" s="556"/>
      <c r="AT555" s="556"/>
      <c r="AU555" s="556"/>
      <c r="AV555" s="557"/>
      <c r="AW555" s="558">
        <v>0</v>
      </c>
      <c r="AX555" s="559"/>
      <c r="AY555" s="560"/>
      <c r="AZ555" s="585"/>
      <c r="BA555" s="586"/>
      <c r="BB555" s="587"/>
      <c r="BC555" s="558">
        <v>0</v>
      </c>
      <c r="BD555" s="559"/>
      <c r="BE555" s="560"/>
      <c r="BF555" s="558">
        <v>182.49</v>
      </c>
      <c r="BG555" s="559"/>
      <c r="BH555" s="560"/>
      <c r="BI555" s="564">
        <v>0</v>
      </c>
      <c r="BJ555" s="565"/>
      <c r="BK555" s="565"/>
      <c r="BL555" s="566"/>
      <c r="BM555" s="567" t="s">
        <v>932</v>
      </c>
      <c r="BN555" s="567"/>
      <c r="BO555" s="567"/>
      <c r="BP555" s="567"/>
      <c r="BQ555" s="568">
        <v>0.2</v>
      </c>
      <c r="BR555" s="568"/>
      <c r="BS555" s="568"/>
      <c r="BT555" s="567" t="s">
        <v>932</v>
      </c>
      <c r="BU555" s="567"/>
      <c r="BV555" s="567"/>
      <c r="BW555" s="567"/>
      <c r="BX555" s="568">
        <v>0.5</v>
      </c>
      <c r="BY555" s="568"/>
      <c r="BZ555" s="568"/>
      <c r="CA555" s="567" t="s">
        <v>932</v>
      </c>
      <c r="CB555" s="567"/>
      <c r="CC555" s="567"/>
      <c r="CD555" s="567"/>
      <c r="CE555" s="568">
        <v>0.3</v>
      </c>
      <c r="CF555" s="568"/>
      <c r="CG555" s="568"/>
      <c r="CH555" s="567" t="s">
        <v>932</v>
      </c>
      <c r="CI555" s="567"/>
      <c r="CJ555" s="567"/>
      <c r="CK555" s="567"/>
      <c r="CL555" s="568" t="s">
        <v>932</v>
      </c>
      <c r="CM555" s="568"/>
      <c r="CN555" s="568"/>
    </row>
    <row r="556" hidden="1" customHeight="1" spans="1:92">
      <c r="A556" s="569"/>
      <c r="B556" s="570"/>
      <c r="C556" s="571"/>
      <c r="D556" s="572"/>
      <c r="E556" s="573"/>
      <c r="F556" s="574"/>
      <c r="G556" s="575"/>
      <c r="H556" s="576"/>
      <c r="I556" s="577"/>
      <c r="J556" s="578"/>
      <c r="K556" s="578"/>
      <c r="L556" s="578"/>
      <c r="M556" s="578"/>
      <c r="N556" s="578"/>
      <c r="O556" s="578"/>
      <c r="P556" s="578"/>
      <c r="Q556" s="578"/>
      <c r="R556" s="578"/>
      <c r="S556" s="578"/>
      <c r="T556" s="578"/>
      <c r="U556" s="578"/>
      <c r="V556" s="578"/>
      <c r="W556" s="578"/>
      <c r="X556" s="578"/>
      <c r="Y556" s="578"/>
      <c r="Z556" s="578"/>
      <c r="AA556" s="579"/>
      <c r="AB556" s="580"/>
      <c r="AC556" s="581"/>
      <c r="AD556" s="582"/>
      <c r="AE556" s="583"/>
      <c r="AF556" s="584"/>
      <c r="AG556" s="553">
        <v>0</v>
      </c>
      <c r="AH556" s="554"/>
      <c r="AI556" s="555" t="e">
        <v>#N/A</v>
      </c>
      <c r="AJ556" s="556"/>
      <c r="AK556" s="556"/>
      <c r="AL556" s="556"/>
      <c r="AM556" s="556"/>
      <c r="AN556" s="556"/>
      <c r="AO556" s="556"/>
      <c r="AP556" s="556"/>
      <c r="AQ556" s="556"/>
      <c r="AR556" s="556"/>
      <c r="AS556" s="556"/>
      <c r="AT556" s="556"/>
      <c r="AU556" s="556"/>
      <c r="AV556" s="557"/>
      <c r="AW556" s="558">
        <v>0</v>
      </c>
      <c r="AX556" s="559"/>
      <c r="AY556" s="560"/>
      <c r="AZ556" s="585"/>
      <c r="BA556" s="586"/>
      <c r="BB556" s="587"/>
      <c r="BC556" s="558">
        <v>0</v>
      </c>
      <c r="BD556" s="559"/>
      <c r="BE556" s="560"/>
      <c r="BF556" s="558">
        <v>182.49</v>
      </c>
      <c r="BG556" s="559"/>
      <c r="BH556" s="560"/>
      <c r="BI556" s="564">
        <v>0</v>
      </c>
      <c r="BJ556" s="565"/>
      <c r="BK556" s="565"/>
      <c r="BL556" s="566"/>
      <c r="BM556" s="567" t="s">
        <v>932</v>
      </c>
      <c r="BN556" s="567"/>
      <c r="BO556" s="567"/>
      <c r="BP556" s="567"/>
      <c r="BQ556" s="568">
        <v>0.2</v>
      </c>
      <c r="BR556" s="568"/>
      <c r="BS556" s="568"/>
      <c r="BT556" s="567" t="s">
        <v>932</v>
      </c>
      <c r="BU556" s="567"/>
      <c r="BV556" s="567"/>
      <c r="BW556" s="567"/>
      <c r="BX556" s="568">
        <v>0.5</v>
      </c>
      <c r="BY556" s="568"/>
      <c r="BZ556" s="568"/>
      <c r="CA556" s="567" t="s">
        <v>932</v>
      </c>
      <c r="CB556" s="567"/>
      <c r="CC556" s="567"/>
      <c r="CD556" s="567"/>
      <c r="CE556" s="568">
        <v>0.3</v>
      </c>
      <c r="CF556" s="568"/>
      <c r="CG556" s="568"/>
      <c r="CH556" s="567" t="s">
        <v>932</v>
      </c>
      <c r="CI556" s="567"/>
      <c r="CJ556" s="567"/>
      <c r="CK556" s="567"/>
      <c r="CL556" s="568" t="s">
        <v>932</v>
      </c>
      <c r="CM556" s="568"/>
      <c r="CN556" s="568"/>
    </row>
    <row r="557" hidden="1" customHeight="1" spans="1:92">
      <c r="A557" s="569"/>
      <c r="B557" s="570"/>
      <c r="C557" s="571"/>
      <c r="D557" s="572"/>
      <c r="E557" s="573"/>
      <c r="F557" s="574"/>
      <c r="G557" s="575"/>
      <c r="H557" s="576"/>
      <c r="I557" s="577"/>
      <c r="J557" s="578"/>
      <c r="K557" s="578"/>
      <c r="L557" s="578"/>
      <c r="M557" s="578"/>
      <c r="N557" s="578"/>
      <c r="O557" s="578"/>
      <c r="P557" s="578"/>
      <c r="Q557" s="578"/>
      <c r="R557" s="578"/>
      <c r="S557" s="578"/>
      <c r="T557" s="578"/>
      <c r="U557" s="578"/>
      <c r="V557" s="578"/>
      <c r="W557" s="578"/>
      <c r="X557" s="578"/>
      <c r="Y557" s="578"/>
      <c r="Z557" s="578"/>
      <c r="AA557" s="579"/>
      <c r="AB557" s="580"/>
      <c r="AC557" s="581"/>
      <c r="AD557" s="582"/>
      <c r="AE557" s="583"/>
      <c r="AF557" s="584"/>
      <c r="AG557" s="553">
        <v>0</v>
      </c>
      <c r="AH557" s="554"/>
      <c r="AI557" s="555" t="e">
        <v>#N/A</v>
      </c>
      <c r="AJ557" s="556"/>
      <c r="AK557" s="556"/>
      <c r="AL557" s="556"/>
      <c r="AM557" s="556"/>
      <c r="AN557" s="556"/>
      <c r="AO557" s="556"/>
      <c r="AP557" s="556"/>
      <c r="AQ557" s="556"/>
      <c r="AR557" s="556"/>
      <c r="AS557" s="556"/>
      <c r="AT557" s="556"/>
      <c r="AU557" s="556"/>
      <c r="AV557" s="557"/>
      <c r="AW557" s="558">
        <v>0</v>
      </c>
      <c r="AX557" s="559"/>
      <c r="AY557" s="560"/>
      <c r="AZ557" s="585"/>
      <c r="BA557" s="586"/>
      <c r="BB557" s="587"/>
      <c r="BC557" s="558">
        <v>0</v>
      </c>
      <c r="BD557" s="559"/>
      <c r="BE557" s="560"/>
      <c r="BF557" s="558">
        <v>182.49</v>
      </c>
      <c r="BG557" s="559"/>
      <c r="BH557" s="560"/>
      <c r="BI557" s="564">
        <v>0</v>
      </c>
      <c r="BJ557" s="565"/>
      <c r="BK557" s="565"/>
      <c r="BL557" s="566"/>
      <c r="BM557" s="567" t="s">
        <v>932</v>
      </c>
      <c r="BN557" s="567"/>
      <c r="BO557" s="567"/>
      <c r="BP557" s="567"/>
      <c r="BQ557" s="568">
        <v>0.2</v>
      </c>
      <c r="BR557" s="568"/>
      <c r="BS557" s="568"/>
      <c r="BT557" s="567" t="s">
        <v>932</v>
      </c>
      <c r="BU557" s="567"/>
      <c r="BV557" s="567"/>
      <c r="BW557" s="567"/>
      <c r="BX557" s="568">
        <v>0.5</v>
      </c>
      <c r="BY557" s="568"/>
      <c r="BZ557" s="568"/>
      <c r="CA557" s="567" t="s">
        <v>932</v>
      </c>
      <c r="CB557" s="567"/>
      <c r="CC557" s="567"/>
      <c r="CD557" s="567"/>
      <c r="CE557" s="568">
        <v>0.3</v>
      </c>
      <c r="CF557" s="568"/>
      <c r="CG557" s="568"/>
      <c r="CH557" s="567" t="s">
        <v>932</v>
      </c>
      <c r="CI557" s="567"/>
      <c r="CJ557" s="567"/>
      <c r="CK557" s="567"/>
      <c r="CL557" s="568" t="s">
        <v>932</v>
      </c>
      <c r="CM557" s="568"/>
      <c r="CN557" s="568"/>
    </row>
    <row r="558" hidden="1" customHeight="1" spans="1:92">
      <c r="A558" s="569"/>
      <c r="B558" s="570"/>
      <c r="C558" s="571"/>
      <c r="D558" s="572"/>
      <c r="E558" s="573"/>
      <c r="F558" s="574"/>
      <c r="G558" s="575"/>
      <c r="H558" s="576"/>
      <c r="I558" s="577"/>
      <c r="J558" s="578"/>
      <c r="K558" s="578"/>
      <c r="L558" s="578"/>
      <c r="M558" s="578"/>
      <c r="N558" s="578"/>
      <c r="O558" s="578"/>
      <c r="P558" s="578"/>
      <c r="Q558" s="578"/>
      <c r="R558" s="578"/>
      <c r="S558" s="578"/>
      <c r="T558" s="578"/>
      <c r="U558" s="578"/>
      <c r="V558" s="578"/>
      <c r="W558" s="578"/>
      <c r="X558" s="578"/>
      <c r="Y558" s="578"/>
      <c r="Z558" s="578"/>
      <c r="AA558" s="579"/>
      <c r="AB558" s="580"/>
      <c r="AC558" s="581"/>
      <c r="AD558" s="582"/>
      <c r="AE558" s="583"/>
      <c r="AF558" s="584"/>
      <c r="AG558" s="553">
        <v>0</v>
      </c>
      <c r="AH558" s="554"/>
      <c r="AI558" s="555" t="e">
        <v>#N/A</v>
      </c>
      <c r="AJ558" s="556"/>
      <c r="AK558" s="556"/>
      <c r="AL558" s="556"/>
      <c r="AM558" s="556"/>
      <c r="AN558" s="556"/>
      <c r="AO558" s="556"/>
      <c r="AP558" s="556"/>
      <c r="AQ558" s="556"/>
      <c r="AR558" s="556"/>
      <c r="AS558" s="556"/>
      <c r="AT558" s="556"/>
      <c r="AU558" s="556"/>
      <c r="AV558" s="557"/>
      <c r="AW558" s="558">
        <v>0</v>
      </c>
      <c r="AX558" s="559"/>
      <c r="AY558" s="560"/>
      <c r="AZ558" s="585"/>
      <c r="BA558" s="586"/>
      <c r="BB558" s="587"/>
      <c r="BC558" s="558">
        <v>0</v>
      </c>
      <c r="BD558" s="559"/>
      <c r="BE558" s="560"/>
      <c r="BF558" s="558">
        <v>182.49</v>
      </c>
      <c r="BG558" s="559"/>
      <c r="BH558" s="560"/>
      <c r="BI558" s="564">
        <v>0</v>
      </c>
      <c r="BJ558" s="565"/>
      <c r="BK558" s="565"/>
      <c r="BL558" s="566"/>
      <c r="BM558" s="567" t="s">
        <v>932</v>
      </c>
      <c r="BN558" s="567"/>
      <c r="BO558" s="567"/>
      <c r="BP558" s="567"/>
      <c r="BQ558" s="568">
        <v>0.2</v>
      </c>
      <c r="BR558" s="568"/>
      <c r="BS558" s="568"/>
      <c r="BT558" s="567" t="s">
        <v>932</v>
      </c>
      <c r="BU558" s="567"/>
      <c r="BV558" s="567"/>
      <c r="BW558" s="567"/>
      <c r="BX558" s="568">
        <v>0.5</v>
      </c>
      <c r="BY558" s="568"/>
      <c r="BZ558" s="568"/>
      <c r="CA558" s="567" t="s">
        <v>932</v>
      </c>
      <c r="CB558" s="567"/>
      <c r="CC558" s="567"/>
      <c r="CD558" s="567"/>
      <c r="CE558" s="568">
        <v>0.3</v>
      </c>
      <c r="CF558" s="568"/>
      <c r="CG558" s="568"/>
      <c r="CH558" s="567" t="s">
        <v>932</v>
      </c>
      <c r="CI558" s="567"/>
      <c r="CJ558" s="567"/>
      <c r="CK558" s="567"/>
      <c r="CL558" s="568" t="s">
        <v>932</v>
      </c>
      <c r="CM558" s="568"/>
      <c r="CN558" s="568"/>
    </row>
    <row r="559" hidden="1" customHeight="1" spans="1:92">
      <c r="A559" s="588"/>
      <c r="B559" s="589"/>
      <c r="C559" s="590"/>
      <c r="D559" s="591"/>
      <c r="E559" s="592"/>
      <c r="F559" s="593"/>
      <c r="G559" s="594"/>
      <c r="H559" s="595"/>
      <c r="I559" s="596"/>
      <c r="J559" s="597"/>
      <c r="K559" s="597"/>
      <c r="L559" s="597"/>
      <c r="M559" s="597"/>
      <c r="N559" s="597"/>
      <c r="O559" s="597"/>
      <c r="P559" s="597"/>
      <c r="Q559" s="597"/>
      <c r="R559" s="597"/>
      <c r="S559" s="597"/>
      <c r="T559" s="597"/>
      <c r="U559" s="597"/>
      <c r="V559" s="597"/>
      <c r="W559" s="597"/>
      <c r="X559" s="597"/>
      <c r="Y559" s="597"/>
      <c r="Z559" s="597"/>
      <c r="AA559" s="598"/>
      <c r="AB559" s="599"/>
      <c r="AC559" s="600"/>
      <c r="AD559" s="601"/>
      <c r="AE559" s="602"/>
      <c r="AF559" s="603"/>
      <c r="AG559" s="553">
        <v>0</v>
      </c>
      <c r="AH559" s="554"/>
      <c r="AI559" s="555" t="e">
        <v>#N/A</v>
      </c>
      <c r="AJ559" s="556"/>
      <c r="AK559" s="556"/>
      <c r="AL559" s="556"/>
      <c r="AM559" s="556"/>
      <c r="AN559" s="556"/>
      <c r="AO559" s="556"/>
      <c r="AP559" s="556"/>
      <c r="AQ559" s="556"/>
      <c r="AR559" s="556"/>
      <c r="AS559" s="556"/>
      <c r="AT559" s="556"/>
      <c r="AU559" s="556"/>
      <c r="AV559" s="557"/>
      <c r="AW559" s="558">
        <v>0</v>
      </c>
      <c r="AX559" s="559"/>
      <c r="AY559" s="560"/>
      <c r="AZ559" s="604"/>
      <c r="BA559" s="605"/>
      <c r="BB559" s="606"/>
      <c r="BC559" s="558">
        <v>0</v>
      </c>
      <c r="BD559" s="559"/>
      <c r="BE559" s="560"/>
      <c r="BF559" s="558">
        <v>182.49</v>
      </c>
      <c r="BG559" s="559"/>
      <c r="BH559" s="560"/>
      <c r="BI559" s="564">
        <v>0</v>
      </c>
      <c r="BJ559" s="565"/>
      <c r="BK559" s="565"/>
      <c r="BL559" s="566"/>
      <c r="BM559" s="567" t="s">
        <v>932</v>
      </c>
      <c r="BN559" s="567"/>
      <c r="BO559" s="567"/>
      <c r="BP559" s="567"/>
      <c r="BQ559" s="568">
        <v>0.2</v>
      </c>
      <c r="BR559" s="568"/>
      <c r="BS559" s="568"/>
      <c r="BT559" s="567" t="s">
        <v>932</v>
      </c>
      <c r="BU559" s="567"/>
      <c r="BV559" s="567"/>
      <c r="BW559" s="567"/>
      <c r="BX559" s="568">
        <v>0.5</v>
      </c>
      <c r="BY559" s="568"/>
      <c r="BZ559" s="568"/>
      <c r="CA559" s="567" t="s">
        <v>932</v>
      </c>
      <c r="CB559" s="567"/>
      <c r="CC559" s="567"/>
      <c r="CD559" s="567"/>
      <c r="CE559" s="568">
        <v>0.3</v>
      </c>
      <c r="CF559" s="568"/>
      <c r="CG559" s="568"/>
      <c r="CH559" s="567" t="s">
        <v>932</v>
      </c>
      <c r="CI559" s="567"/>
      <c r="CJ559" s="567"/>
      <c r="CK559" s="567"/>
      <c r="CL559" s="568" t="s">
        <v>932</v>
      </c>
      <c r="CM559" s="568"/>
      <c r="CN559" s="568"/>
    </row>
    <row r="560" customHeight="1" spans="1:92">
      <c r="A560" s="540" t="s">
        <v>1010</v>
      </c>
      <c r="B560" s="541"/>
      <c r="C560" s="89"/>
      <c r="D560" s="91"/>
      <c r="E560" s="90"/>
      <c r="F560" s="542">
        <v>3108000</v>
      </c>
      <c r="G560" s="543"/>
      <c r="H560" s="544"/>
      <c r="I560" s="545" t="s">
        <v>110</v>
      </c>
      <c r="J560" s="546"/>
      <c r="K560" s="546"/>
      <c r="L560" s="546"/>
      <c r="M560" s="546"/>
      <c r="N560" s="546"/>
      <c r="O560" s="546"/>
      <c r="P560" s="546"/>
      <c r="Q560" s="546"/>
      <c r="R560" s="546"/>
      <c r="S560" s="546"/>
      <c r="T560" s="546"/>
      <c r="U560" s="546"/>
      <c r="V560" s="546"/>
      <c r="W560" s="546"/>
      <c r="X560" s="546"/>
      <c r="Y560" s="546"/>
      <c r="Z560" s="546"/>
      <c r="AA560" s="547"/>
      <c r="AB560" s="548" t="s">
        <v>7</v>
      </c>
      <c r="AC560" s="549"/>
      <c r="AD560" s="550">
        <v>12</v>
      </c>
      <c r="AE560" s="551"/>
      <c r="AF560" s="552"/>
      <c r="AG560" s="553" t="s">
        <v>1074</v>
      </c>
      <c r="AH560" s="554"/>
      <c r="AI560" s="555" t="s">
        <v>1075</v>
      </c>
      <c r="AJ560" s="556"/>
      <c r="AK560" s="556"/>
      <c r="AL560" s="556"/>
      <c r="AM560" s="556"/>
      <c r="AN560" s="556"/>
      <c r="AO560" s="556"/>
      <c r="AP560" s="556"/>
      <c r="AQ560" s="556"/>
      <c r="AR560" s="556"/>
      <c r="AS560" s="556"/>
      <c r="AT560" s="556"/>
      <c r="AU560" s="556"/>
      <c r="AV560" s="557"/>
      <c r="AW560" s="558">
        <v>0.06024</v>
      </c>
      <c r="AX560" s="559"/>
      <c r="AY560" s="560"/>
      <c r="AZ560" s="561">
        <v>1</v>
      </c>
      <c r="BA560" s="562"/>
      <c r="BB560" s="563"/>
      <c r="BC560" s="558">
        <v>0.72288</v>
      </c>
      <c r="BD560" s="559"/>
      <c r="BE560" s="560"/>
      <c r="BF560" s="558">
        <v>182.49</v>
      </c>
      <c r="BG560" s="559"/>
      <c r="BH560" s="560"/>
      <c r="BI560" s="564">
        <v>0.00396120335360842</v>
      </c>
      <c r="BJ560" s="565"/>
      <c r="BK560" s="565"/>
      <c r="BL560" s="566"/>
      <c r="BM560" s="567">
        <v>0.000792240670721683</v>
      </c>
      <c r="BN560" s="567"/>
      <c r="BO560" s="567"/>
      <c r="BP560" s="567"/>
      <c r="BQ560" s="568">
        <v>0.2</v>
      </c>
      <c r="BR560" s="568"/>
      <c r="BS560" s="568"/>
      <c r="BT560" s="567">
        <v>0.00198060167680421</v>
      </c>
      <c r="BU560" s="567"/>
      <c r="BV560" s="567"/>
      <c r="BW560" s="567"/>
      <c r="BX560" s="568">
        <v>0.5</v>
      </c>
      <c r="BY560" s="568"/>
      <c r="BZ560" s="568"/>
      <c r="CA560" s="567">
        <v>0.00118836100608253</v>
      </c>
      <c r="CB560" s="567"/>
      <c r="CC560" s="567"/>
      <c r="CD560" s="567"/>
      <c r="CE560" s="568">
        <v>0.3</v>
      </c>
      <c r="CF560" s="568"/>
      <c r="CG560" s="568"/>
      <c r="CH560" s="567" t="s">
        <v>932</v>
      </c>
      <c r="CI560" s="567"/>
      <c r="CJ560" s="567"/>
      <c r="CK560" s="567"/>
      <c r="CL560" s="568" t="s">
        <v>932</v>
      </c>
      <c r="CM560" s="568"/>
      <c r="CN560" s="568"/>
    </row>
    <row r="561" customHeight="1" spans="1:92">
      <c r="A561" s="569"/>
      <c r="B561" s="570"/>
      <c r="C561" s="571"/>
      <c r="D561" s="572"/>
      <c r="E561" s="573"/>
      <c r="F561" s="574"/>
      <c r="G561" s="575"/>
      <c r="H561" s="576"/>
      <c r="I561" s="577"/>
      <c r="J561" s="578"/>
      <c r="K561" s="578"/>
      <c r="L561" s="578"/>
      <c r="M561" s="578"/>
      <c r="N561" s="578"/>
      <c r="O561" s="578"/>
      <c r="P561" s="578"/>
      <c r="Q561" s="578"/>
      <c r="R561" s="578"/>
      <c r="S561" s="578"/>
      <c r="T561" s="578"/>
      <c r="U561" s="578"/>
      <c r="V561" s="578"/>
      <c r="W561" s="578"/>
      <c r="X561" s="578"/>
      <c r="Y561" s="578"/>
      <c r="Z561" s="578"/>
      <c r="AA561" s="579"/>
      <c r="AB561" s="580"/>
      <c r="AC561" s="581"/>
      <c r="AD561" s="582"/>
      <c r="AE561" s="583"/>
      <c r="AF561" s="584"/>
      <c r="AG561" s="553" t="s">
        <v>1076</v>
      </c>
      <c r="AH561" s="554"/>
      <c r="AI561" s="555" t="s">
        <v>1077</v>
      </c>
      <c r="AJ561" s="556"/>
      <c r="AK561" s="556"/>
      <c r="AL561" s="556"/>
      <c r="AM561" s="556"/>
      <c r="AN561" s="556"/>
      <c r="AO561" s="556"/>
      <c r="AP561" s="556"/>
      <c r="AQ561" s="556"/>
      <c r="AR561" s="556"/>
      <c r="AS561" s="556"/>
      <c r="AT561" s="556"/>
      <c r="AU561" s="556"/>
      <c r="AV561" s="557"/>
      <c r="AW561" s="558">
        <v>0.06024</v>
      </c>
      <c r="AX561" s="559"/>
      <c r="AY561" s="560"/>
      <c r="AZ561" s="585"/>
      <c r="BA561" s="586"/>
      <c r="BB561" s="587"/>
      <c r="BC561" s="558">
        <v>0.72288</v>
      </c>
      <c r="BD561" s="559"/>
      <c r="BE561" s="560"/>
      <c r="BF561" s="558">
        <v>182.49</v>
      </c>
      <c r="BG561" s="559"/>
      <c r="BH561" s="560"/>
      <c r="BI561" s="564">
        <v>0.00396120335360842</v>
      </c>
      <c r="BJ561" s="565"/>
      <c r="BK561" s="565"/>
      <c r="BL561" s="566"/>
      <c r="BM561" s="567">
        <v>0.000792240670721683</v>
      </c>
      <c r="BN561" s="567"/>
      <c r="BO561" s="567"/>
      <c r="BP561" s="567"/>
      <c r="BQ561" s="568">
        <v>0.2</v>
      </c>
      <c r="BR561" s="568"/>
      <c r="BS561" s="568"/>
      <c r="BT561" s="567">
        <v>0.00198060167680421</v>
      </c>
      <c r="BU561" s="567"/>
      <c r="BV561" s="567"/>
      <c r="BW561" s="567"/>
      <c r="BX561" s="568">
        <v>0.5</v>
      </c>
      <c r="BY561" s="568"/>
      <c r="BZ561" s="568"/>
      <c r="CA561" s="567">
        <v>0.00118836100608253</v>
      </c>
      <c r="CB561" s="567"/>
      <c r="CC561" s="567"/>
      <c r="CD561" s="567"/>
      <c r="CE561" s="568">
        <v>0.3</v>
      </c>
      <c r="CF561" s="568"/>
      <c r="CG561" s="568"/>
      <c r="CH561" s="567" t="s">
        <v>932</v>
      </c>
      <c r="CI561" s="567"/>
      <c r="CJ561" s="567"/>
      <c r="CK561" s="567"/>
      <c r="CL561" s="568" t="s">
        <v>932</v>
      </c>
      <c r="CM561" s="568"/>
      <c r="CN561" s="568"/>
    </row>
    <row r="562" hidden="1" customHeight="1" spans="1:92">
      <c r="A562" s="569"/>
      <c r="B562" s="570"/>
      <c r="C562" s="571"/>
      <c r="D562" s="572"/>
      <c r="E562" s="573"/>
      <c r="F562" s="574"/>
      <c r="G562" s="575"/>
      <c r="H562" s="576"/>
      <c r="I562" s="577"/>
      <c r="J562" s="578"/>
      <c r="K562" s="578"/>
      <c r="L562" s="578"/>
      <c r="M562" s="578"/>
      <c r="N562" s="578"/>
      <c r="O562" s="578"/>
      <c r="P562" s="578"/>
      <c r="Q562" s="578"/>
      <c r="R562" s="578"/>
      <c r="S562" s="578"/>
      <c r="T562" s="578"/>
      <c r="U562" s="578"/>
      <c r="V562" s="578"/>
      <c r="W562" s="578"/>
      <c r="X562" s="578"/>
      <c r="Y562" s="578"/>
      <c r="Z562" s="578"/>
      <c r="AA562" s="579"/>
      <c r="AB562" s="580"/>
      <c r="AC562" s="581"/>
      <c r="AD562" s="582"/>
      <c r="AE562" s="583"/>
      <c r="AF562" s="584"/>
      <c r="AG562" s="553">
        <v>0</v>
      </c>
      <c r="AH562" s="554"/>
      <c r="AI562" s="555" t="e">
        <v>#N/A</v>
      </c>
      <c r="AJ562" s="556"/>
      <c r="AK562" s="556"/>
      <c r="AL562" s="556"/>
      <c r="AM562" s="556"/>
      <c r="AN562" s="556"/>
      <c r="AO562" s="556"/>
      <c r="AP562" s="556"/>
      <c r="AQ562" s="556"/>
      <c r="AR562" s="556"/>
      <c r="AS562" s="556"/>
      <c r="AT562" s="556"/>
      <c r="AU562" s="556"/>
      <c r="AV562" s="557"/>
      <c r="AW562" s="558">
        <v>0</v>
      </c>
      <c r="AX562" s="559"/>
      <c r="AY562" s="560"/>
      <c r="AZ562" s="585"/>
      <c r="BA562" s="586"/>
      <c r="BB562" s="587"/>
      <c r="BC562" s="558">
        <v>0</v>
      </c>
      <c r="BD562" s="559"/>
      <c r="BE562" s="560"/>
      <c r="BF562" s="558">
        <v>182.49</v>
      </c>
      <c r="BG562" s="559"/>
      <c r="BH562" s="560"/>
      <c r="BI562" s="564">
        <v>0</v>
      </c>
      <c r="BJ562" s="565"/>
      <c r="BK562" s="565"/>
      <c r="BL562" s="566"/>
      <c r="BM562" s="567" t="s">
        <v>932</v>
      </c>
      <c r="BN562" s="567"/>
      <c r="BO562" s="567"/>
      <c r="BP562" s="567"/>
      <c r="BQ562" s="568">
        <v>0.2</v>
      </c>
      <c r="BR562" s="568"/>
      <c r="BS562" s="568"/>
      <c r="BT562" s="567" t="s">
        <v>932</v>
      </c>
      <c r="BU562" s="567"/>
      <c r="BV562" s="567"/>
      <c r="BW562" s="567"/>
      <c r="BX562" s="568">
        <v>0.5</v>
      </c>
      <c r="BY562" s="568"/>
      <c r="BZ562" s="568"/>
      <c r="CA562" s="567" t="s">
        <v>932</v>
      </c>
      <c r="CB562" s="567"/>
      <c r="CC562" s="567"/>
      <c r="CD562" s="567"/>
      <c r="CE562" s="568">
        <v>0.3</v>
      </c>
      <c r="CF562" s="568"/>
      <c r="CG562" s="568"/>
      <c r="CH562" s="567" t="s">
        <v>932</v>
      </c>
      <c r="CI562" s="567"/>
      <c r="CJ562" s="567"/>
      <c r="CK562" s="567"/>
      <c r="CL562" s="568" t="s">
        <v>932</v>
      </c>
      <c r="CM562" s="568"/>
      <c r="CN562" s="568"/>
    </row>
    <row r="563" hidden="1" customHeight="1" spans="1:92">
      <c r="A563" s="569"/>
      <c r="B563" s="570"/>
      <c r="C563" s="571"/>
      <c r="D563" s="572"/>
      <c r="E563" s="573"/>
      <c r="F563" s="574"/>
      <c r="G563" s="575"/>
      <c r="H563" s="576"/>
      <c r="I563" s="577"/>
      <c r="J563" s="578"/>
      <c r="K563" s="578"/>
      <c r="L563" s="578"/>
      <c r="M563" s="578"/>
      <c r="N563" s="578"/>
      <c r="O563" s="578"/>
      <c r="P563" s="578"/>
      <c r="Q563" s="578"/>
      <c r="R563" s="578"/>
      <c r="S563" s="578"/>
      <c r="T563" s="578"/>
      <c r="U563" s="578"/>
      <c r="V563" s="578"/>
      <c r="W563" s="578"/>
      <c r="X563" s="578"/>
      <c r="Y563" s="578"/>
      <c r="Z563" s="578"/>
      <c r="AA563" s="579"/>
      <c r="AB563" s="580"/>
      <c r="AC563" s="581"/>
      <c r="AD563" s="582"/>
      <c r="AE563" s="583"/>
      <c r="AF563" s="584"/>
      <c r="AG563" s="553">
        <v>0</v>
      </c>
      <c r="AH563" s="554"/>
      <c r="AI563" s="555" t="e">
        <v>#N/A</v>
      </c>
      <c r="AJ563" s="556"/>
      <c r="AK563" s="556"/>
      <c r="AL563" s="556"/>
      <c r="AM563" s="556"/>
      <c r="AN563" s="556"/>
      <c r="AO563" s="556"/>
      <c r="AP563" s="556"/>
      <c r="AQ563" s="556"/>
      <c r="AR563" s="556"/>
      <c r="AS563" s="556"/>
      <c r="AT563" s="556"/>
      <c r="AU563" s="556"/>
      <c r="AV563" s="557"/>
      <c r="AW563" s="558">
        <v>0</v>
      </c>
      <c r="AX563" s="559"/>
      <c r="AY563" s="560"/>
      <c r="AZ563" s="585"/>
      <c r="BA563" s="586"/>
      <c r="BB563" s="587"/>
      <c r="BC563" s="558">
        <v>0</v>
      </c>
      <c r="BD563" s="559"/>
      <c r="BE563" s="560"/>
      <c r="BF563" s="558">
        <v>182.49</v>
      </c>
      <c r="BG563" s="559"/>
      <c r="BH563" s="560"/>
      <c r="BI563" s="564">
        <v>0</v>
      </c>
      <c r="BJ563" s="565"/>
      <c r="BK563" s="565"/>
      <c r="BL563" s="566"/>
      <c r="BM563" s="567" t="s">
        <v>932</v>
      </c>
      <c r="BN563" s="567"/>
      <c r="BO563" s="567"/>
      <c r="BP563" s="567"/>
      <c r="BQ563" s="568">
        <v>0.2</v>
      </c>
      <c r="BR563" s="568"/>
      <c r="BS563" s="568"/>
      <c r="BT563" s="567" t="s">
        <v>932</v>
      </c>
      <c r="BU563" s="567"/>
      <c r="BV563" s="567"/>
      <c r="BW563" s="567"/>
      <c r="BX563" s="568">
        <v>0.5</v>
      </c>
      <c r="BY563" s="568"/>
      <c r="BZ563" s="568"/>
      <c r="CA563" s="567" t="s">
        <v>932</v>
      </c>
      <c r="CB563" s="567"/>
      <c r="CC563" s="567"/>
      <c r="CD563" s="567"/>
      <c r="CE563" s="568">
        <v>0.3</v>
      </c>
      <c r="CF563" s="568"/>
      <c r="CG563" s="568"/>
      <c r="CH563" s="567" t="s">
        <v>932</v>
      </c>
      <c r="CI563" s="567"/>
      <c r="CJ563" s="567"/>
      <c r="CK563" s="567"/>
      <c r="CL563" s="568" t="s">
        <v>932</v>
      </c>
      <c r="CM563" s="568"/>
      <c r="CN563" s="568"/>
    </row>
    <row r="564" hidden="1" customHeight="1" spans="1:92">
      <c r="A564" s="569"/>
      <c r="B564" s="570"/>
      <c r="C564" s="571"/>
      <c r="D564" s="572"/>
      <c r="E564" s="573"/>
      <c r="F564" s="574"/>
      <c r="G564" s="575"/>
      <c r="H564" s="576"/>
      <c r="I564" s="577"/>
      <c r="J564" s="578"/>
      <c r="K564" s="578"/>
      <c r="L564" s="578"/>
      <c r="M564" s="578"/>
      <c r="N564" s="578"/>
      <c r="O564" s="578"/>
      <c r="P564" s="578"/>
      <c r="Q564" s="578"/>
      <c r="R564" s="578"/>
      <c r="S564" s="578"/>
      <c r="T564" s="578"/>
      <c r="U564" s="578"/>
      <c r="V564" s="578"/>
      <c r="W564" s="578"/>
      <c r="X564" s="578"/>
      <c r="Y564" s="578"/>
      <c r="Z564" s="578"/>
      <c r="AA564" s="579"/>
      <c r="AB564" s="580"/>
      <c r="AC564" s="581"/>
      <c r="AD564" s="582"/>
      <c r="AE564" s="583"/>
      <c r="AF564" s="584"/>
      <c r="AG564" s="553">
        <v>0</v>
      </c>
      <c r="AH564" s="554"/>
      <c r="AI564" s="555" t="e">
        <v>#N/A</v>
      </c>
      <c r="AJ564" s="556"/>
      <c r="AK564" s="556"/>
      <c r="AL564" s="556"/>
      <c r="AM564" s="556"/>
      <c r="AN564" s="556"/>
      <c r="AO564" s="556"/>
      <c r="AP564" s="556"/>
      <c r="AQ564" s="556"/>
      <c r="AR564" s="556"/>
      <c r="AS564" s="556"/>
      <c r="AT564" s="556"/>
      <c r="AU564" s="556"/>
      <c r="AV564" s="557"/>
      <c r="AW564" s="558">
        <v>0</v>
      </c>
      <c r="AX564" s="559"/>
      <c r="AY564" s="560"/>
      <c r="AZ564" s="585"/>
      <c r="BA564" s="586"/>
      <c r="BB564" s="587"/>
      <c r="BC564" s="558">
        <v>0</v>
      </c>
      <c r="BD564" s="559"/>
      <c r="BE564" s="560"/>
      <c r="BF564" s="558">
        <v>182.49</v>
      </c>
      <c r="BG564" s="559"/>
      <c r="BH564" s="560"/>
      <c r="BI564" s="564">
        <v>0</v>
      </c>
      <c r="BJ564" s="565"/>
      <c r="BK564" s="565"/>
      <c r="BL564" s="566"/>
      <c r="BM564" s="567" t="s">
        <v>932</v>
      </c>
      <c r="BN564" s="567"/>
      <c r="BO564" s="567"/>
      <c r="BP564" s="567"/>
      <c r="BQ564" s="568">
        <v>0.2</v>
      </c>
      <c r="BR564" s="568"/>
      <c r="BS564" s="568"/>
      <c r="BT564" s="567" t="s">
        <v>932</v>
      </c>
      <c r="BU564" s="567"/>
      <c r="BV564" s="567"/>
      <c r="BW564" s="567"/>
      <c r="BX564" s="568">
        <v>0.5</v>
      </c>
      <c r="BY564" s="568"/>
      <c r="BZ564" s="568"/>
      <c r="CA564" s="567" t="s">
        <v>932</v>
      </c>
      <c r="CB564" s="567"/>
      <c r="CC564" s="567"/>
      <c r="CD564" s="567"/>
      <c r="CE564" s="568">
        <v>0.3</v>
      </c>
      <c r="CF564" s="568"/>
      <c r="CG564" s="568"/>
      <c r="CH564" s="567" t="s">
        <v>932</v>
      </c>
      <c r="CI564" s="567"/>
      <c r="CJ564" s="567"/>
      <c r="CK564" s="567"/>
      <c r="CL564" s="568" t="s">
        <v>932</v>
      </c>
      <c r="CM564" s="568"/>
      <c r="CN564" s="568"/>
    </row>
    <row r="565" hidden="1" customHeight="1" spans="1:92">
      <c r="A565" s="569"/>
      <c r="B565" s="570"/>
      <c r="C565" s="571"/>
      <c r="D565" s="572"/>
      <c r="E565" s="573"/>
      <c r="F565" s="574"/>
      <c r="G565" s="575"/>
      <c r="H565" s="576"/>
      <c r="I565" s="577"/>
      <c r="J565" s="578"/>
      <c r="K565" s="578"/>
      <c r="L565" s="578"/>
      <c r="M565" s="578"/>
      <c r="N565" s="578"/>
      <c r="O565" s="578"/>
      <c r="P565" s="578"/>
      <c r="Q565" s="578"/>
      <c r="R565" s="578"/>
      <c r="S565" s="578"/>
      <c r="T565" s="578"/>
      <c r="U565" s="578"/>
      <c r="V565" s="578"/>
      <c r="W565" s="578"/>
      <c r="X565" s="578"/>
      <c r="Y565" s="578"/>
      <c r="Z565" s="578"/>
      <c r="AA565" s="579"/>
      <c r="AB565" s="580"/>
      <c r="AC565" s="581"/>
      <c r="AD565" s="582"/>
      <c r="AE565" s="583"/>
      <c r="AF565" s="584"/>
      <c r="AG565" s="553">
        <v>0</v>
      </c>
      <c r="AH565" s="554"/>
      <c r="AI565" s="555" t="e">
        <v>#N/A</v>
      </c>
      <c r="AJ565" s="556"/>
      <c r="AK565" s="556"/>
      <c r="AL565" s="556"/>
      <c r="AM565" s="556"/>
      <c r="AN565" s="556"/>
      <c r="AO565" s="556"/>
      <c r="AP565" s="556"/>
      <c r="AQ565" s="556"/>
      <c r="AR565" s="556"/>
      <c r="AS565" s="556"/>
      <c r="AT565" s="556"/>
      <c r="AU565" s="556"/>
      <c r="AV565" s="557"/>
      <c r="AW565" s="558">
        <v>0</v>
      </c>
      <c r="AX565" s="559"/>
      <c r="AY565" s="560"/>
      <c r="AZ565" s="585"/>
      <c r="BA565" s="586"/>
      <c r="BB565" s="587"/>
      <c r="BC565" s="558">
        <v>0</v>
      </c>
      <c r="BD565" s="559"/>
      <c r="BE565" s="560"/>
      <c r="BF565" s="558">
        <v>182.49</v>
      </c>
      <c r="BG565" s="559"/>
      <c r="BH565" s="560"/>
      <c r="BI565" s="564">
        <v>0</v>
      </c>
      <c r="BJ565" s="565"/>
      <c r="BK565" s="565"/>
      <c r="BL565" s="566"/>
      <c r="BM565" s="567" t="s">
        <v>932</v>
      </c>
      <c r="BN565" s="567"/>
      <c r="BO565" s="567"/>
      <c r="BP565" s="567"/>
      <c r="BQ565" s="568">
        <v>0.2</v>
      </c>
      <c r="BR565" s="568"/>
      <c r="BS565" s="568"/>
      <c r="BT565" s="567" t="s">
        <v>932</v>
      </c>
      <c r="BU565" s="567"/>
      <c r="BV565" s="567"/>
      <c r="BW565" s="567"/>
      <c r="BX565" s="568">
        <v>0.5</v>
      </c>
      <c r="BY565" s="568"/>
      <c r="BZ565" s="568"/>
      <c r="CA565" s="567" t="s">
        <v>932</v>
      </c>
      <c r="CB565" s="567"/>
      <c r="CC565" s="567"/>
      <c r="CD565" s="567"/>
      <c r="CE565" s="568">
        <v>0.3</v>
      </c>
      <c r="CF565" s="568"/>
      <c r="CG565" s="568"/>
      <c r="CH565" s="567" t="s">
        <v>932</v>
      </c>
      <c r="CI565" s="567"/>
      <c r="CJ565" s="567"/>
      <c r="CK565" s="567"/>
      <c r="CL565" s="568" t="s">
        <v>932</v>
      </c>
      <c r="CM565" s="568"/>
      <c r="CN565" s="568"/>
    </row>
    <row r="566" hidden="1" customHeight="1" spans="1:92">
      <c r="A566" s="569"/>
      <c r="B566" s="570"/>
      <c r="C566" s="571"/>
      <c r="D566" s="572"/>
      <c r="E566" s="573"/>
      <c r="F566" s="574"/>
      <c r="G566" s="575"/>
      <c r="H566" s="576"/>
      <c r="I566" s="577"/>
      <c r="J566" s="578"/>
      <c r="K566" s="578"/>
      <c r="L566" s="578"/>
      <c r="M566" s="578"/>
      <c r="N566" s="578"/>
      <c r="O566" s="578"/>
      <c r="P566" s="578"/>
      <c r="Q566" s="578"/>
      <c r="R566" s="578"/>
      <c r="S566" s="578"/>
      <c r="T566" s="578"/>
      <c r="U566" s="578"/>
      <c r="V566" s="578"/>
      <c r="W566" s="578"/>
      <c r="X566" s="578"/>
      <c r="Y566" s="578"/>
      <c r="Z566" s="578"/>
      <c r="AA566" s="579"/>
      <c r="AB566" s="580"/>
      <c r="AC566" s="581"/>
      <c r="AD566" s="582"/>
      <c r="AE566" s="583"/>
      <c r="AF566" s="584"/>
      <c r="AG566" s="553">
        <v>0</v>
      </c>
      <c r="AH566" s="554"/>
      <c r="AI566" s="555" t="e">
        <v>#N/A</v>
      </c>
      <c r="AJ566" s="556"/>
      <c r="AK566" s="556"/>
      <c r="AL566" s="556"/>
      <c r="AM566" s="556"/>
      <c r="AN566" s="556"/>
      <c r="AO566" s="556"/>
      <c r="AP566" s="556"/>
      <c r="AQ566" s="556"/>
      <c r="AR566" s="556"/>
      <c r="AS566" s="556"/>
      <c r="AT566" s="556"/>
      <c r="AU566" s="556"/>
      <c r="AV566" s="557"/>
      <c r="AW566" s="558">
        <v>0</v>
      </c>
      <c r="AX566" s="559"/>
      <c r="AY566" s="560"/>
      <c r="AZ566" s="585"/>
      <c r="BA566" s="586"/>
      <c r="BB566" s="587"/>
      <c r="BC566" s="558">
        <v>0</v>
      </c>
      <c r="BD566" s="559"/>
      <c r="BE566" s="560"/>
      <c r="BF566" s="558">
        <v>182.49</v>
      </c>
      <c r="BG566" s="559"/>
      <c r="BH566" s="560"/>
      <c r="BI566" s="564">
        <v>0</v>
      </c>
      <c r="BJ566" s="565"/>
      <c r="BK566" s="565"/>
      <c r="BL566" s="566"/>
      <c r="BM566" s="567" t="s">
        <v>932</v>
      </c>
      <c r="BN566" s="567"/>
      <c r="BO566" s="567"/>
      <c r="BP566" s="567"/>
      <c r="BQ566" s="568">
        <v>0.2</v>
      </c>
      <c r="BR566" s="568"/>
      <c r="BS566" s="568"/>
      <c r="BT566" s="567" t="s">
        <v>932</v>
      </c>
      <c r="BU566" s="567"/>
      <c r="BV566" s="567"/>
      <c r="BW566" s="567"/>
      <c r="BX566" s="568">
        <v>0.5</v>
      </c>
      <c r="BY566" s="568"/>
      <c r="BZ566" s="568"/>
      <c r="CA566" s="567" t="s">
        <v>932</v>
      </c>
      <c r="CB566" s="567"/>
      <c r="CC566" s="567"/>
      <c r="CD566" s="567"/>
      <c r="CE566" s="568">
        <v>0.3</v>
      </c>
      <c r="CF566" s="568"/>
      <c r="CG566" s="568"/>
      <c r="CH566" s="567" t="s">
        <v>932</v>
      </c>
      <c r="CI566" s="567"/>
      <c r="CJ566" s="567"/>
      <c r="CK566" s="567"/>
      <c r="CL566" s="568" t="s">
        <v>932</v>
      </c>
      <c r="CM566" s="568"/>
      <c r="CN566" s="568"/>
    </row>
    <row r="567" hidden="1" customHeight="1" spans="1:92">
      <c r="A567" s="588"/>
      <c r="B567" s="589"/>
      <c r="C567" s="590"/>
      <c r="D567" s="591"/>
      <c r="E567" s="592"/>
      <c r="F567" s="593"/>
      <c r="G567" s="594"/>
      <c r="H567" s="595"/>
      <c r="I567" s="596"/>
      <c r="J567" s="597"/>
      <c r="K567" s="597"/>
      <c r="L567" s="597"/>
      <c r="M567" s="597"/>
      <c r="N567" s="597"/>
      <c r="O567" s="597"/>
      <c r="P567" s="597"/>
      <c r="Q567" s="597"/>
      <c r="R567" s="597"/>
      <c r="S567" s="597"/>
      <c r="T567" s="597"/>
      <c r="U567" s="597"/>
      <c r="V567" s="597"/>
      <c r="W567" s="597"/>
      <c r="X567" s="597"/>
      <c r="Y567" s="597"/>
      <c r="Z567" s="597"/>
      <c r="AA567" s="598"/>
      <c r="AB567" s="599"/>
      <c r="AC567" s="600"/>
      <c r="AD567" s="601"/>
      <c r="AE567" s="602"/>
      <c r="AF567" s="603"/>
      <c r="AG567" s="553">
        <v>0</v>
      </c>
      <c r="AH567" s="554"/>
      <c r="AI567" s="555" t="e">
        <v>#N/A</v>
      </c>
      <c r="AJ567" s="556"/>
      <c r="AK567" s="556"/>
      <c r="AL567" s="556"/>
      <c r="AM567" s="556"/>
      <c r="AN567" s="556"/>
      <c r="AO567" s="556"/>
      <c r="AP567" s="556"/>
      <c r="AQ567" s="556"/>
      <c r="AR567" s="556"/>
      <c r="AS567" s="556"/>
      <c r="AT567" s="556"/>
      <c r="AU567" s="556"/>
      <c r="AV567" s="557"/>
      <c r="AW567" s="558">
        <v>0</v>
      </c>
      <c r="AX567" s="559"/>
      <c r="AY567" s="560"/>
      <c r="AZ567" s="604"/>
      <c r="BA567" s="605"/>
      <c r="BB567" s="606"/>
      <c r="BC567" s="558">
        <v>0</v>
      </c>
      <c r="BD567" s="559"/>
      <c r="BE567" s="560"/>
      <c r="BF567" s="558">
        <v>182.49</v>
      </c>
      <c r="BG567" s="559"/>
      <c r="BH567" s="560"/>
      <c r="BI567" s="564">
        <v>0</v>
      </c>
      <c r="BJ567" s="565"/>
      <c r="BK567" s="565"/>
      <c r="BL567" s="566"/>
      <c r="BM567" s="567" t="s">
        <v>932</v>
      </c>
      <c r="BN567" s="567"/>
      <c r="BO567" s="567"/>
      <c r="BP567" s="567"/>
      <c r="BQ567" s="568">
        <v>0.2</v>
      </c>
      <c r="BR567" s="568"/>
      <c r="BS567" s="568"/>
      <c r="BT567" s="567" t="s">
        <v>932</v>
      </c>
      <c r="BU567" s="567"/>
      <c r="BV567" s="567"/>
      <c r="BW567" s="567"/>
      <c r="BX567" s="568">
        <v>0.5</v>
      </c>
      <c r="BY567" s="568"/>
      <c r="BZ567" s="568"/>
      <c r="CA567" s="567" t="s">
        <v>932</v>
      </c>
      <c r="CB567" s="567"/>
      <c r="CC567" s="567"/>
      <c r="CD567" s="567"/>
      <c r="CE567" s="568">
        <v>0.3</v>
      </c>
      <c r="CF567" s="568"/>
      <c r="CG567" s="568"/>
      <c r="CH567" s="567" t="s">
        <v>932</v>
      </c>
      <c r="CI567" s="567"/>
      <c r="CJ567" s="567"/>
      <c r="CK567" s="567"/>
      <c r="CL567" s="568" t="s">
        <v>932</v>
      </c>
      <c r="CM567" s="568"/>
      <c r="CN567" s="568"/>
    </row>
    <row r="568" customHeight="1" spans="1:92">
      <c r="A568" s="540" t="s">
        <v>1011</v>
      </c>
      <c r="B568" s="541"/>
      <c r="C568" s="89"/>
      <c r="D568" s="91"/>
      <c r="E568" s="90"/>
      <c r="F568" s="542">
        <v>5213571</v>
      </c>
      <c r="G568" s="543"/>
      <c r="H568" s="544"/>
      <c r="I568" s="545" t="s">
        <v>136</v>
      </c>
      <c r="J568" s="546"/>
      <c r="K568" s="546"/>
      <c r="L568" s="546"/>
      <c r="M568" s="546"/>
      <c r="N568" s="546"/>
      <c r="O568" s="546"/>
      <c r="P568" s="546"/>
      <c r="Q568" s="546"/>
      <c r="R568" s="546"/>
      <c r="S568" s="546"/>
      <c r="T568" s="546"/>
      <c r="U568" s="546"/>
      <c r="V568" s="546"/>
      <c r="W568" s="546"/>
      <c r="X568" s="546"/>
      <c r="Y568" s="546"/>
      <c r="Z568" s="546"/>
      <c r="AA568" s="547"/>
      <c r="AB568" s="548" t="s">
        <v>7</v>
      </c>
      <c r="AC568" s="549"/>
      <c r="AD568" s="550">
        <v>10.17</v>
      </c>
      <c r="AE568" s="551"/>
      <c r="AF568" s="552"/>
      <c r="AG568" s="553" t="s">
        <v>1086</v>
      </c>
      <c r="AH568" s="554"/>
      <c r="AI568" s="555" t="s">
        <v>1087</v>
      </c>
      <c r="AJ568" s="556"/>
      <c r="AK568" s="556"/>
      <c r="AL568" s="556"/>
      <c r="AM568" s="556"/>
      <c r="AN568" s="556"/>
      <c r="AO568" s="556"/>
      <c r="AP568" s="556"/>
      <c r="AQ568" s="556"/>
      <c r="AR568" s="556"/>
      <c r="AS568" s="556"/>
      <c r="AT568" s="556"/>
      <c r="AU568" s="556"/>
      <c r="AV568" s="557"/>
      <c r="AW568" s="558">
        <v>1</v>
      </c>
      <c r="AX568" s="559"/>
      <c r="AY568" s="560"/>
      <c r="AZ568" s="561">
        <v>3</v>
      </c>
      <c r="BA568" s="562"/>
      <c r="BB568" s="563"/>
      <c r="BC568" s="558">
        <v>3.39</v>
      </c>
      <c r="BD568" s="559"/>
      <c r="BE568" s="560"/>
      <c r="BF568" s="558">
        <v>182.49</v>
      </c>
      <c r="BG568" s="559"/>
      <c r="BH568" s="560"/>
      <c r="BI568" s="564">
        <v>0.0185763603485122</v>
      </c>
      <c r="BJ568" s="565"/>
      <c r="BK568" s="565"/>
      <c r="BL568" s="566"/>
      <c r="BM568" s="567" t="s">
        <v>932</v>
      </c>
      <c r="BN568" s="567"/>
      <c r="BO568" s="567"/>
      <c r="BP568" s="567"/>
      <c r="BQ568" s="568" t="s">
        <v>932</v>
      </c>
      <c r="BR568" s="568"/>
      <c r="BS568" s="568"/>
      <c r="BT568" s="567" t="s">
        <v>932</v>
      </c>
      <c r="BU568" s="567"/>
      <c r="BV568" s="567"/>
      <c r="BW568" s="567"/>
      <c r="BX568" s="568" t="s">
        <v>932</v>
      </c>
      <c r="BY568" s="568"/>
      <c r="BZ568" s="568"/>
      <c r="CA568" s="567">
        <v>0.0074305441394049</v>
      </c>
      <c r="CB568" s="567"/>
      <c r="CC568" s="567"/>
      <c r="CD568" s="567"/>
      <c r="CE568" s="568">
        <v>0.4</v>
      </c>
      <c r="CF568" s="568"/>
      <c r="CG568" s="568"/>
      <c r="CH568" s="567">
        <v>0.0111458162091073</v>
      </c>
      <c r="CI568" s="567"/>
      <c r="CJ568" s="567"/>
      <c r="CK568" s="567"/>
      <c r="CL568" s="568">
        <v>0.6</v>
      </c>
      <c r="CM568" s="568"/>
      <c r="CN568" s="568"/>
    </row>
    <row r="569" hidden="1" customHeight="1" spans="1:92">
      <c r="A569" s="569"/>
      <c r="B569" s="570"/>
      <c r="C569" s="571"/>
      <c r="D569" s="572"/>
      <c r="E569" s="573"/>
      <c r="F569" s="574"/>
      <c r="G569" s="575"/>
      <c r="H569" s="576"/>
      <c r="I569" s="577"/>
      <c r="J569" s="578"/>
      <c r="K569" s="578"/>
      <c r="L569" s="578"/>
      <c r="M569" s="578"/>
      <c r="N569" s="578"/>
      <c r="O569" s="578"/>
      <c r="P569" s="578"/>
      <c r="Q569" s="578"/>
      <c r="R569" s="578"/>
      <c r="S569" s="578"/>
      <c r="T569" s="578"/>
      <c r="U569" s="578"/>
      <c r="V569" s="578"/>
      <c r="W569" s="578"/>
      <c r="X569" s="578"/>
      <c r="Y569" s="578"/>
      <c r="Z569" s="578"/>
      <c r="AA569" s="579"/>
      <c r="AB569" s="580"/>
      <c r="AC569" s="581"/>
      <c r="AD569" s="582"/>
      <c r="AE569" s="583"/>
      <c r="AF569" s="584"/>
      <c r="AG569" s="553">
        <v>0</v>
      </c>
      <c r="AH569" s="554"/>
      <c r="AI569" s="555" t="e">
        <v>#N/A</v>
      </c>
      <c r="AJ569" s="556"/>
      <c r="AK569" s="556"/>
      <c r="AL569" s="556"/>
      <c r="AM569" s="556"/>
      <c r="AN569" s="556"/>
      <c r="AO569" s="556"/>
      <c r="AP569" s="556"/>
      <c r="AQ569" s="556"/>
      <c r="AR569" s="556"/>
      <c r="AS569" s="556"/>
      <c r="AT569" s="556"/>
      <c r="AU569" s="556"/>
      <c r="AV569" s="557"/>
      <c r="AW569" s="558">
        <v>0</v>
      </c>
      <c r="AX569" s="559"/>
      <c r="AY569" s="560"/>
      <c r="AZ569" s="585"/>
      <c r="BA569" s="586"/>
      <c r="BB569" s="587"/>
      <c r="BC569" s="558">
        <v>0</v>
      </c>
      <c r="BD569" s="559"/>
      <c r="BE569" s="560"/>
      <c r="BF569" s="558">
        <v>182.49</v>
      </c>
      <c r="BG569" s="559"/>
      <c r="BH569" s="560"/>
      <c r="BI569" s="564">
        <v>0</v>
      </c>
      <c r="BJ569" s="565"/>
      <c r="BK569" s="565"/>
      <c r="BL569" s="566"/>
      <c r="BM569" s="567" t="s">
        <v>932</v>
      </c>
      <c r="BN569" s="567"/>
      <c r="BO569" s="567"/>
      <c r="BP569" s="567"/>
      <c r="BQ569" s="568" t="s">
        <v>932</v>
      </c>
      <c r="BR569" s="568"/>
      <c r="BS569" s="568"/>
      <c r="BT569" s="567" t="s">
        <v>932</v>
      </c>
      <c r="BU569" s="567"/>
      <c r="BV569" s="567"/>
      <c r="BW569" s="567"/>
      <c r="BX569" s="568" t="s">
        <v>932</v>
      </c>
      <c r="BY569" s="568"/>
      <c r="BZ569" s="568"/>
      <c r="CA569" s="567" t="s">
        <v>932</v>
      </c>
      <c r="CB569" s="567"/>
      <c r="CC569" s="567"/>
      <c r="CD569" s="567"/>
      <c r="CE569" s="568">
        <v>0.4</v>
      </c>
      <c r="CF569" s="568"/>
      <c r="CG569" s="568"/>
      <c r="CH569" s="567" t="s">
        <v>932</v>
      </c>
      <c r="CI569" s="567"/>
      <c r="CJ569" s="567"/>
      <c r="CK569" s="567"/>
      <c r="CL569" s="568">
        <v>0.6</v>
      </c>
      <c r="CM569" s="568"/>
      <c r="CN569" s="568"/>
    </row>
    <row r="570" hidden="1" customHeight="1" spans="1:92">
      <c r="A570" s="569"/>
      <c r="B570" s="570"/>
      <c r="C570" s="571"/>
      <c r="D570" s="572"/>
      <c r="E570" s="573"/>
      <c r="F570" s="574"/>
      <c r="G570" s="575"/>
      <c r="H570" s="576"/>
      <c r="I570" s="577"/>
      <c r="J570" s="578"/>
      <c r="K570" s="578"/>
      <c r="L570" s="578"/>
      <c r="M570" s="578"/>
      <c r="N570" s="578"/>
      <c r="O570" s="578"/>
      <c r="P570" s="578"/>
      <c r="Q570" s="578"/>
      <c r="R570" s="578"/>
      <c r="S570" s="578"/>
      <c r="T570" s="578"/>
      <c r="U570" s="578"/>
      <c r="V570" s="578"/>
      <c r="W570" s="578"/>
      <c r="X570" s="578"/>
      <c r="Y570" s="578"/>
      <c r="Z570" s="578"/>
      <c r="AA570" s="579"/>
      <c r="AB570" s="580"/>
      <c r="AC570" s="581"/>
      <c r="AD570" s="582"/>
      <c r="AE570" s="583"/>
      <c r="AF570" s="584"/>
      <c r="AG570" s="553">
        <v>0</v>
      </c>
      <c r="AH570" s="554"/>
      <c r="AI570" s="555" t="e">
        <v>#N/A</v>
      </c>
      <c r="AJ570" s="556"/>
      <c r="AK570" s="556"/>
      <c r="AL570" s="556"/>
      <c r="AM570" s="556"/>
      <c r="AN570" s="556"/>
      <c r="AO570" s="556"/>
      <c r="AP570" s="556"/>
      <c r="AQ570" s="556"/>
      <c r="AR570" s="556"/>
      <c r="AS570" s="556"/>
      <c r="AT570" s="556"/>
      <c r="AU570" s="556"/>
      <c r="AV570" s="557"/>
      <c r="AW570" s="558">
        <v>0</v>
      </c>
      <c r="AX570" s="559"/>
      <c r="AY570" s="560"/>
      <c r="AZ570" s="585"/>
      <c r="BA570" s="586"/>
      <c r="BB570" s="587"/>
      <c r="BC570" s="558">
        <v>0</v>
      </c>
      <c r="BD570" s="559"/>
      <c r="BE570" s="560"/>
      <c r="BF570" s="558">
        <v>182.49</v>
      </c>
      <c r="BG570" s="559"/>
      <c r="BH570" s="560"/>
      <c r="BI570" s="564">
        <v>0</v>
      </c>
      <c r="BJ570" s="565"/>
      <c r="BK570" s="565"/>
      <c r="BL570" s="566"/>
      <c r="BM570" s="567" t="s">
        <v>932</v>
      </c>
      <c r="BN570" s="567"/>
      <c r="BO570" s="567"/>
      <c r="BP570" s="567"/>
      <c r="BQ570" s="568" t="s">
        <v>932</v>
      </c>
      <c r="BR570" s="568"/>
      <c r="BS570" s="568"/>
      <c r="BT570" s="567" t="s">
        <v>932</v>
      </c>
      <c r="BU570" s="567"/>
      <c r="BV570" s="567"/>
      <c r="BW570" s="567"/>
      <c r="BX570" s="568" t="s">
        <v>932</v>
      </c>
      <c r="BY570" s="568"/>
      <c r="BZ570" s="568"/>
      <c r="CA570" s="567" t="s">
        <v>932</v>
      </c>
      <c r="CB570" s="567"/>
      <c r="CC570" s="567"/>
      <c r="CD570" s="567"/>
      <c r="CE570" s="568">
        <v>0.4</v>
      </c>
      <c r="CF570" s="568"/>
      <c r="CG570" s="568"/>
      <c r="CH570" s="567" t="s">
        <v>932</v>
      </c>
      <c r="CI570" s="567"/>
      <c r="CJ570" s="567"/>
      <c r="CK570" s="567"/>
      <c r="CL570" s="568">
        <v>0.6</v>
      </c>
      <c r="CM570" s="568"/>
      <c r="CN570" s="568"/>
    </row>
    <row r="571" hidden="1" customHeight="1" spans="1:92">
      <c r="A571" s="569"/>
      <c r="B571" s="570"/>
      <c r="C571" s="571"/>
      <c r="D571" s="572"/>
      <c r="E571" s="573"/>
      <c r="F571" s="574"/>
      <c r="G571" s="575"/>
      <c r="H571" s="576"/>
      <c r="I571" s="577"/>
      <c r="J571" s="578"/>
      <c r="K571" s="578"/>
      <c r="L571" s="578"/>
      <c r="M571" s="578"/>
      <c r="N571" s="578"/>
      <c r="O571" s="578"/>
      <c r="P571" s="578"/>
      <c r="Q571" s="578"/>
      <c r="R571" s="578"/>
      <c r="S571" s="578"/>
      <c r="T571" s="578"/>
      <c r="U571" s="578"/>
      <c r="V571" s="578"/>
      <c r="W571" s="578"/>
      <c r="X571" s="578"/>
      <c r="Y571" s="578"/>
      <c r="Z571" s="578"/>
      <c r="AA571" s="579"/>
      <c r="AB571" s="580"/>
      <c r="AC571" s="581"/>
      <c r="AD571" s="582"/>
      <c r="AE571" s="583"/>
      <c r="AF571" s="584"/>
      <c r="AG571" s="553">
        <v>0</v>
      </c>
      <c r="AH571" s="554"/>
      <c r="AI571" s="555" t="e">
        <v>#N/A</v>
      </c>
      <c r="AJ571" s="556"/>
      <c r="AK571" s="556"/>
      <c r="AL571" s="556"/>
      <c r="AM571" s="556"/>
      <c r="AN571" s="556"/>
      <c r="AO571" s="556"/>
      <c r="AP571" s="556"/>
      <c r="AQ571" s="556"/>
      <c r="AR571" s="556"/>
      <c r="AS571" s="556"/>
      <c r="AT571" s="556"/>
      <c r="AU571" s="556"/>
      <c r="AV571" s="557"/>
      <c r="AW571" s="558">
        <v>0</v>
      </c>
      <c r="AX571" s="559"/>
      <c r="AY571" s="560"/>
      <c r="AZ571" s="585"/>
      <c r="BA571" s="586"/>
      <c r="BB571" s="587"/>
      <c r="BC571" s="558">
        <v>0</v>
      </c>
      <c r="BD571" s="559"/>
      <c r="BE571" s="560"/>
      <c r="BF571" s="558">
        <v>182.49</v>
      </c>
      <c r="BG571" s="559"/>
      <c r="BH571" s="560"/>
      <c r="BI571" s="564">
        <v>0</v>
      </c>
      <c r="BJ571" s="565"/>
      <c r="BK571" s="565"/>
      <c r="BL571" s="566"/>
      <c r="BM571" s="567" t="s">
        <v>932</v>
      </c>
      <c r="BN571" s="567"/>
      <c r="BO571" s="567"/>
      <c r="BP571" s="567"/>
      <c r="BQ571" s="568" t="s">
        <v>932</v>
      </c>
      <c r="BR571" s="568"/>
      <c r="BS571" s="568"/>
      <c r="BT571" s="567" t="s">
        <v>932</v>
      </c>
      <c r="BU571" s="567"/>
      <c r="BV571" s="567"/>
      <c r="BW571" s="567"/>
      <c r="BX571" s="568" t="s">
        <v>932</v>
      </c>
      <c r="BY571" s="568"/>
      <c r="BZ571" s="568"/>
      <c r="CA571" s="567" t="s">
        <v>932</v>
      </c>
      <c r="CB571" s="567"/>
      <c r="CC571" s="567"/>
      <c r="CD571" s="567"/>
      <c r="CE571" s="568">
        <v>0.4</v>
      </c>
      <c r="CF571" s="568"/>
      <c r="CG571" s="568"/>
      <c r="CH571" s="567" t="s">
        <v>932</v>
      </c>
      <c r="CI571" s="567"/>
      <c r="CJ571" s="567"/>
      <c r="CK571" s="567"/>
      <c r="CL571" s="568">
        <v>0.6</v>
      </c>
      <c r="CM571" s="568"/>
      <c r="CN571" s="568"/>
    </row>
    <row r="572" hidden="1" customHeight="1" spans="1:92">
      <c r="A572" s="569"/>
      <c r="B572" s="570"/>
      <c r="C572" s="571"/>
      <c r="D572" s="572"/>
      <c r="E572" s="573"/>
      <c r="F572" s="574"/>
      <c r="G572" s="575"/>
      <c r="H572" s="576"/>
      <c r="I572" s="577"/>
      <c r="J572" s="578"/>
      <c r="K572" s="578"/>
      <c r="L572" s="578"/>
      <c r="M572" s="578"/>
      <c r="N572" s="578"/>
      <c r="O572" s="578"/>
      <c r="P572" s="578"/>
      <c r="Q572" s="578"/>
      <c r="R572" s="578"/>
      <c r="S572" s="578"/>
      <c r="T572" s="578"/>
      <c r="U572" s="578"/>
      <c r="V572" s="578"/>
      <c r="W572" s="578"/>
      <c r="X572" s="578"/>
      <c r="Y572" s="578"/>
      <c r="Z572" s="578"/>
      <c r="AA572" s="579"/>
      <c r="AB572" s="580"/>
      <c r="AC572" s="581"/>
      <c r="AD572" s="582"/>
      <c r="AE572" s="583"/>
      <c r="AF572" s="584"/>
      <c r="AG572" s="553">
        <v>0</v>
      </c>
      <c r="AH572" s="554"/>
      <c r="AI572" s="555" t="e">
        <v>#N/A</v>
      </c>
      <c r="AJ572" s="556"/>
      <c r="AK572" s="556"/>
      <c r="AL572" s="556"/>
      <c r="AM572" s="556"/>
      <c r="AN572" s="556"/>
      <c r="AO572" s="556"/>
      <c r="AP572" s="556"/>
      <c r="AQ572" s="556"/>
      <c r="AR572" s="556"/>
      <c r="AS572" s="556"/>
      <c r="AT572" s="556"/>
      <c r="AU572" s="556"/>
      <c r="AV572" s="557"/>
      <c r="AW572" s="558">
        <v>0</v>
      </c>
      <c r="AX572" s="559"/>
      <c r="AY572" s="560"/>
      <c r="AZ572" s="585"/>
      <c r="BA572" s="586"/>
      <c r="BB572" s="587"/>
      <c r="BC572" s="558">
        <v>0</v>
      </c>
      <c r="BD572" s="559"/>
      <c r="BE572" s="560"/>
      <c r="BF572" s="558">
        <v>182.49</v>
      </c>
      <c r="BG572" s="559"/>
      <c r="BH572" s="560"/>
      <c r="BI572" s="564">
        <v>0</v>
      </c>
      <c r="BJ572" s="565"/>
      <c r="BK572" s="565"/>
      <c r="BL572" s="566"/>
      <c r="BM572" s="567" t="s">
        <v>932</v>
      </c>
      <c r="BN572" s="567"/>
      <c r="BO572" s="567"/>
      <c r="BP572" s="567"/>
      <c r="BQ572" s="568" t="s">
        <v>932</v>
      </c>
      <c r="BR572" s="568"/>
      <c r="BS572" s="568"/>
      <c r="BT572" s="567" t="s">
        <v>932</v>
      </c>
      <c r="BU572" s="567"/>
      <c r="BV572" s="567"/>
      <c r="BW572" s="567"/>
      <c r="BX572" s="568" t="s">
        <v>932</v>
      </c>
      <c r="BY572" s="568"/>
      <c r="BZ572" s="568"/>
      <c r="CA572" s="567" t="s">
        <v>932</v>
      </c>
      <c r="CB572" s="567"/>
      <c r="CC572" s="567"/>
      <c r="CD572" s="567"/>
      <c r="CE572" s="568">
        <v>0.4</v>
      </c>
      <c r="CF572" s="568"/>
      <c r="CG572" s="568"/>
      <c r="CH572" s="567" t="s">
        <v>932</v>
      </c>
      <c r="CI572" s="567"/>
      <c r="CJ572" s="567"/>
      <c r="CK572" s="567"/>
      <c r="CL572" s="568">
        <v>0.6</v>
      </c>
      <c r="CM572" s="568"/>
      <c r="CN572" s="568"/>
    </row>
    <row r="573" hidden="1" customHeight="1" spans="1:92">
      <c r="A573" s="569"/>
      <c r="B573" s="570"/>
      <c r="C573" s="571"/>
      <c r="D573" s="572"/>
      <c r="E573" s="573"/>
      <c r="F573" s="574"/>
      <c r="G573" s="575"/>
      <c r="H573" s="576"/>
      <c r="I573" s="577"/>
      <c r="J573" s="578"/>
      <c r="K573" s="578"/>
      <c r="L573" s="578"/>
      <c r="M573" s="578"/>
      <c r="N573" s="578"/>
      <c r="O573" s="578"/>
      <c r="P573" s="578"/>
      <c r="Q573" s="578"/>
      <c r="R573" s="578"/>
      <c r="S573" s="578"/>
      <c r="T573" s="578"/>
      <c r="U573" s="578"/>
      <c r="V573" s="578"/>
      <c r="W573" s="578"/>
      <c r="X573" s="578"/>
      <c r="Y573" s="578"/>
      <c r="Z573" s="578"/>
      <c r="AA573" s="579"/>
      <c r="AB573" s="580"/>
      <c r="AC573" s="581"/>
      <c r="AD573" s="582"/>
      <c r="AE573" s="583"/>
      <c r="AF573" s="584"/>
      <c r="AG573" s="553">
        <v>0</v>
      </c>
      <c r="AH573" s="554"/>
      <c r="AI573" s="555" t="e">
        <v>#N/A</v>
      </c>
      <c r="AJ573" s="556"/>
      <c r="AK573" s="556"/>
      <c r="AL573" s="556"/>
      <c r="AM573" s="556"/>
      <c r="AN573" s="556"/>
      <c r="AO573" s="556"/>
      <c r="AP573" s="556"/>
      <c r="AQ573" s="556"/>
      <c r="AR573" s="556"/>
      <c r="AS573" s="556"/>
      <c r="AT573" s="556"/>
      <c r="AU573" s="556"/>
      <c r="AV573" s="557"/>
      <c r="AW573" s="558">
        <v>0</v>
      </c>
      <c r="AX573" s="559"/>
      <c r="AY573" s="560"/>
      <c r="AZ573" s="585"/>
      <c r="BA573" s="586"/>
      <c r="BB573" s="587"/>
      <c r="BC573" s="558">
        <v>0</v>
      </c>
      <c r="BD573" s="559"/>
      <c r="BE573" s="560"/>
      <c r="BF573" s="558">
        <v>182.49</v>
      </c>
      <c r="BG573" s="559"/>
      <c r="BH573" s="560"/>
      <c r="BI573" s="564">
        <v>0</v>
      </c>
      <c r="BJ573" s="565"/>
      <c r="BK573" s="565"/>
      <c r="BL573" s="566"/>
      <c r="BM573" s="567" t="s">
        <v>932</v>
      </c>
      <c r="BN573" s="567"/>
      <c r="BO573" s="567"/>
      <c r="BP573" s="567"/>
      <c r="BQ573" s="568" t="s">
        <v>932</v>
      </c>
      <c r="BR573" s="568"/>
      <c r="BS573" s="568"/>
      <c r="BT573" s="567" t="s">
        <v>932</v>
      </c>
      <c r="BU573" s="567"/>
      <c r="BV573" s="567"/>
      <c r="BW573" s="567"/>
      <c r="BX573" s="568" t="s">
        <v>932</v>
      </c>
      <c r="BY573" s="568"/>
      <c r="BZ573" s="568"/>
      <c r="CA573" s="567" t="s">
        <v>932</v>
      </c>
      <c r="CB573" s="567"/>
      <c r="CC573" s="567"/>
      <c r="CD573" s="567"/>
      <c r="CE573" s="568">
        <v>0.4</v>
      </c>
      <c r="CF573" s="568"/>
      <c r="CG573" s="568"/>
      <c r="CH573" s="567" t="s">
        <v>932</v>
      </c>
      <c r="CI573" s="567"/>
      <c r="CJ573" s="567"/>
      <c r="CK573" s="567"/>
      <c r="CL573" s="568">
        <v>0.6</v>
      </c>
      <c r="CM573" s="568"/>
      <c r="CN573" s="568"/>
    </row>
    <row r="574" hidden="1" customHeight="1" spans="1:92">
      <c r="A574" s="569"/>
      <c r="B574" s="570"/>
      <c r="C574" s="571"/>
      <c r="D574" s="572"/>
      <c r="E574" s="573"/>
      <c r="F574" s="574"/>
      <c r="G574" s="575"/>
      <c r="H574" s="576"/>
      <c r="I574" s="577"/>
      <c r="J574" s="578"/>
      <c r="K574" s="578"/>
      <c r="L574" s="578"/>
      <c r="M574" s="578"/>
      <c r="N574" s="578"/>
      <c r="O574" s="578"/>
      <c r="P574" s="578"/>
      <c r="Q574" s="578"/>
      <c r="R574" s="578"/>
      <c r="S574" s="578"/>
      <c r="T574" s="578"/>
      <c r="U574" s="578"/>
      <c r="V574" s="578"/>
      <c r="W574" s="578"/>
      <c r="X574" s="578"/>
      <c r="Y574" s="578"/>
      <c r="Z574" s="578"/>
      <c r="AA574" s="579"/>
      <c r="AB574" s="580"/>
      <c r="AC574" s="581"/>
      <c r="AD574" s="582"/>
      <c r="AE574" s="583"/>
      <c r="AF574" s="584"/>
      <c r="AG574" s="553">
        <v>0</v>
      </c>
      <c r="AH574" s="554"/>
      <c r="AI574" s="555" t="e">
        <v>#N/A</v>
      </c>
      <c r="AJ574" s="556"/>
      <c r="AK574" s="556"/>
      <c r="AL574" s="556"/>
      <c r="AM574" s="556"/>
      <c r="AN574" s="556"/>
      <c r="AO574" s="556"/>
      <c r="AP574" s="556"/>
      <c r="AQ574" s="556"/>
      <c r="AR574" s="556"/>
      <c r="AS574" s="556"/>
      <c r="AT574" s="556"/>
      <c r="AU574" s="556"/>
      <c r="AV574" s="557"/>
      <c r="AW574" s="558">
        <v>0</v>
      </c>
      <c r="AX574" s="559"/>
      <c r="AY574" s="560"/>
      <c r="AZ574" s="585"/>
      <c r="BA574" s="586"/>
      <c r="BB574" s="587"/>
      <c r="BC574" s="558">
        <v>0</v>
      </c>
      <c r="BD574" s="559"/>
      <c r="BE574" s="560"/>
      <c r="BF574" s="558">
        <v>182.49</v>
      </c>
      <c r="BG574" s="559"/>
      <c r="BH574" s="560"/>
      <c r="BI574" s="564">
        <v>0</v>
      </c>
      <c r="BJ574" s="565"/>
      <c r="BK574" s="565"/>
      <c r="BL574" s="566"/>
      <c r="BM574" s="567" t="s">
        <v>932</v>
      </c>
      <c r="BN574" s="567"/>
      <c r="BO574" s="567"/>
      <c r="BP574" s="567"/>
      <c r="BQ574" s="568" t="s">
        <v>932</v>
      </c>
      <c r="BR574" s="568"/>
      <c r="BS574" s="568"/>
      <c r="BT574" s="567" t="s">
        <v>932</v>
      </c>
      <c r="BU574" s="567"/>
      <c r="BV574" s="567"/>
      <c r="BW574" s="567"/>
      <c r="BX574" s="568" t="s">
        <v>932</v>
      </c>
      <c r="BY574" s="568"/>
      <c r="BZ574" s="568"/>
      <c r="CA574" s="567" t="s">
        <v>932</v>
      </c>
      <c r="CB574" s="567"/>
      <c r="CC574" s="567"/>
      <c r="CD574" s="567"/>
      <c r="CE574" s="568">
        <v>0.4</v>
      </c>
      <c r="CF574" s="568"/>
      <c r="CG574" s="568"/>
      <c r="CH574" s="567" t="s">
        <v>932</v>
      </c>
      <c r="CI574" s="567"/>
      <c r="CJ574" s="567"/>
      <c r="CK574" s="567"/>
      <c r="CL574" s="568">
        <v>0.6</v>
      </c>
      <c r="CM574" s="568"/>
      <c r="CN574" s="568"/>
    </row>
    <row r="575" hidden="1" customHeight="1" spans="1:92">
      <c r="A575" s="588"/>
      <c r="B575" s="589"/>
      <c r="C575" s="590"/>
      <c r="D575" s="591"/>
      <c r="E575" s="592"/>
      <c r="F575" s="593"/>
      <c r="G575" s="594"/>
      <c r="H575" s="595"/>
      <c r="I575" s="596"/>
      <c r="J575" s="597"/>
      <c r="K575" s="597"/>
      <c r="L575" s="597"/>
      <c r="M575" s="597"/>
      <c r="N575" s="597"/>
      <c r="O575" s="597"/>
      <c r="P575" s="597"/>
      <c r="Q575" s="597"/>
      <c r="R575" s="597"/>
      <c r="S575" s="597"/>
      <c r="T575" s="597"/>
      <c r="U575" s="597"/>
      <c r="V575" s="597"/>
      <c r="W575" s="597"/>
      <c r="X575" s="597"/>
      <c r="Y575" s="597"/>
      <c r="Z575" s="597"/>
      <c r="AA575" s="598"/>
      <c r="AB575" s="599"/>
      <c r="AC575" s="600"/>
      <c r="AD575" s="601"/>
      <c r="AE575" s="602"/>
      <c r="AF575" s="603"/>
      <c r="AG575" s="553">
        <v>0</v>
      </c>
      <c r="AH575" s="554"/>
      <c r="AI575" s="555" t="e">
        <v>#N/A</v>
      </c>
      <c r="AJ575" s="556"/>
      <c r="AK575" s="556"/>
      <c r="AL575" s="556"/>
      <c r="AM575" s="556"/>
      <c r="AN575" s="556"/>
      <c r="AO575" s="556"/>
      <c r="AP575" s="556"/>
      <c r="AQ575" s="556"/>
      <c r="AR575" s="556"/>
      <c r="AS575" s="556"/>
      <c r="AT575" s="556"/>
      <c r="AU575" s="556"/>
      <c r="AV575" s="557"/>
      <c r="AW575" s="558">
        <v>0</v>
      </c>
      <c r="AX575" s="559"/>
      <c r="AY575" s="560"/>
      <c r="AZ575" s="604"/>
      <c r="BA575" s="605"/>
      <c r="BB575" s="606"/>
      <c r="BC575" s="558">
        <v>0</v>
      </c>
      <c r="BD575" s="559"/>
      <c r="BE575" s="560"/>
      <c r="BF575" s="558">
        <v>182.49</v>
      </c>
      <c r="BG575" s="559"/>
      <c r="BH575" s="560"/>
      <c r="BI575" s="564">
        <v>0</v>
      </c>
      <c r="BJ575" s="565"/>
      <c r="BK575" s="565"/>
      <c r="BL575" s="566"/>
      <c r="BM575" s="567" t="s">
        <v>932</v>
      </c>
      <c r="BN575" s="567"/>
      <c r="BO575" s="567"/>
      <c r="BP575" s="567"/>
      <c r="BQ575" s="568" t="s">
        <v>932</v>
      </c>
      <c r="BR575" s="568"/>
      <c r="BS575" s="568"/>
      <c r="BT575" s="567" t="s">
        <v>932</v>
      </c>
      <c r="BU575" s="567"/>
      <c r="BV575" s="567"/>
      <c r="BW575" s="567"/>
      <c r="BX575" s="568" t="s">
        <v>932</v>
      </c>
      <c r="BY575" s="568"/>
      <c r="BZ575" s="568"/>
      <c r="CA575" s="567" t="s">
        <v>932</v>
      </c>
      <c r="CB575" s="567"/>
      <c r="CC575" s="567"/>
      <c r="CD575" s="567"/>
      <c r="CE575" s="568">
        <v>0.4</v>
      </c>
      <c r="CF575" s="568"/>
      <c r="CG575" s="568"/>
      <c r="CH575" s="567" t="s">
        <v>932</v>
      </c>
      <c r="CI575" s="567"/>
      <c r="CJ575" s="567"/>
      <c r="CK575" s="567"/>
      <c r="CL575" s="568">
        <v>0.6</v>
      </c>
      <c r="CM575" s="568"/>
      <c r="CN575" s="568"/>
    </row>
    <row r="576" customHeight="1" spans="1:92">
      <c r="A576" s="540" t="s">
        <v>1012</v>
      </c>
      <c r="B576" s="541"/>
      <c r="C576" s="89"/>
      <c r="D576" s="91"/>
      <c r="E576" s="90"/>
      <c r="F576" s="542">
        <v>5216111</v>
      </c>
      <c r="G576" s="543"/>
      <c r="H576" s="544"/>
      <c r="I576" s="545" t="s">
        <v>137</v>
      </c>
      <c r="J576" s="546"/>
      <c r="K576" s="546"/>
      <c r="L576" s="546"/>
      <c r="M576" s="546"/>
      <c r="N576" s="546"/>
      <c r="O576" s="546"/>
      <c r="P576" s="546"/>
      <c r="Q576" s="546"/>
      <c r="R576" s="546"/>
      <c r="S576" s="546"/>
      <c r="T576" s="546"/>
      <c r="U576" s="546"/>
      <c r="V576" s="546"/>
      <c r="W576" s="546"/>
      <c r="X576" s="546"/>
      <c r="Y576" s="546"/>
      <c r="Z576" s="546"/>
      <c r="AA576" s="547"/>
      <c r="AB576" s="548" t="s">
        <v>82</v>
      </c>
      <c r="AC576" s="549"/>
      <c r="AD576" s="550">
        <v>18</v>
      </c>
      <c r="AE576" s="551"/>
      <c r="AF576" s="552"/>
      <c r="AG576" s="553" t="s">
        <v>1086</v>
      </c>
      <c r="AH576" s="554"/>
      <c r="AI576" s="555" t="s">
        <v>1087</v>
      </c>
      <c r="AJ576" s="556"/>
      <c r="AK576" s="556"/>
      <c r="AL576" s="556"/>
      <c r="AM576" s="556"/>
      <c r="AN576" s="556"/>
      <c r="AO576" s="556"/>
      <c r="AP576" s="556"/>
      <c r="AQ576" s="556"/>
      <c r="AR576" s="556"/>
      <c r="AS576" s="556"/>
      <c r="AT576" s="556"/>
      <c r="AU576" s="556"/>
      <c r="AV576" s="557"/>
      <c r="AW576" s="558">
        <v>1</v>
      </c>
      <c r="AX576" s="559"/>
      <c r="AY576" s="560"/>
      <c r="AZ576" s="561">
        <v>4</v>
      </c>
      <c r="BA576" s="562"/>
      <c r="BB576" s="563"/>
      <c r="BC576" s="558">
        <v>4.5</v>
      </c>
      <c r="BD576" s="559"/>
      <c r="BE576" s="560"/>
      <c r="BF576" s="558">
        <v>182.49</v>
      </c>
      <c r="BG576" s="559"/>
      <c r="BH576" s="560"/>
      <c r="BI576" s="564">
        <v>0.0246588854183791</v>
      </c>
      <c r="BJ576" s="565"/>
      <c r="BK576" s="565"/>
      <c r="BL576" s="566"/>
      <c r="BM576" s="567" t="s">
        <v>932</v>
      </c>
      <c r="BN576" s="567"/>
      <c r="BO576" s="567"/>
      <c r="BP576" s="567"/>
      <c r="BQ576" s="568" t="s">
        <v>932</v>
      </c>
      <c r="BR576" s="568"/>
      <c r="BS576" s="568"/>
      <c r="BT576" s="567" t="s">
        <v>932</v>
      </c>
      <c r="BU576" s="567"/>
      <c r="BV576" s="567"/>
      <c r="BW576" s="567"/>
      <c r="BX576" s="568" t="s">
        <v>932</v>
      </c>
      <c r="BY576" s="568"/>
      <c r="BZ576" s="568"/>
      <c r="CA576" s="567">
        <v>0.00986355416735164</v>
      </c>
      <c r="CB576" s="567"/>
      <c r="CC576" s="567"/>
      <c r="CD576" s="567"/>
      <c r="CE576" s="568">
        <v>0.4</v>
      </c>
      <c r="CF576" s="568"/>
      <c r="CG576" s="568"/>
      <c r="CH576" s="567">
        <v>0.0147953312510275</v>
      </c>
      <c r="CI576" s="567"/>
      <c r="CJ576" s="567"/>
      <c r="CK576" s="567"/>
      <c r="CL576" s="568">
        <v>0.6</v>
      </c>
      <c r="CM576" s="568"/>
      <c r="CN576" s="568"/>
    </row>
    <row r="577" hidden="1" customHeight="1" spans="1:92">
      <c r="A577" s="569"/>
      <c r="B577" s="570"/>
      <c r="C577" s="571"/>
      <c r="D577" s="572"/>
      <c r="E577" s="573"/>
      <c r="F577" s="574"/>
      <c r="G577" s="575"/>
      <c r="H577" s="576"/>
      <c r="I577" s="577"/>
      <c r="J577" s="578"/>
      <c r="K577" s="578"/>
      <c r="L577" s="578"/>
      <c r="M577" s="578"/>
      <c r="N577" s="578"/>
      <c r="O577" s="578"/>
      <c r="P577" s="578"/>
      <c r="Q577" s="578"/>
      <c r="R577" s="578"/>
      <c r="S577" s="578"/>
      <c r="T577" s="578"/>
      <c r="U577" s="578"/>
      <c r="V577" s="578"/>
      <c r="W577" s="578"/>
      <c r="X577" s="578"/>
      <c r="Y577" s="578"/>
      <c r="Z577" s="578"/>
      <c r="AA577" s="579"/>
      <c r="AB577" s="580"/>
      <c r="AC577" s="581"/>
      <c r="AD577" s="582"/>
      <c r="AE577" s="583"/>
      <c r="AF577" s="584"/>
      <c r="AG577" s="553">
        <v>0</v>
      </c>
      <c r="AH577" s="554"/>
      <c r="AI577" s="555" t="e">
        <v>#N/A</v>
      </c>
      <c r="AJ577" s="556"/>
      <c r="AK577" s="556"/>
      <c r="AL577" s="556"/>
      <c r="AM577" s="556"/>
      <c r="AN577" s="556"/>
      <c r="AO577" s="556"/>
      <c r="AP577" s="556"/>
      <c r="AQ577" s="556"/>
      <c r="AR577" s="556"/>
      <c r="AS577" s="556"/>
      <c r="AT577" s="556"/>
      <c r="AU577" s="556"/>
      <c r="AV577" s="557"/>
      <c r="AW577" s="558">
        <v>0</v>
      </c>
      <c r="AX577" s="559"/>
      <c r="AY577" s="560"/>
      <c r="AZ577" s="585"/>
      <c r="BA577" s="586"/>
      <c r="BB577" s="587"/>
      <c r="BC577" s="558">
        <v>0</v>
      </c>
      <c r="BD577" s="559"/>
      <c r="BE577" s="560"/>
      <c r="BF577" s="558">
        <v>182.49</v>
      </c>
      <c r="BG577" s="559"/>
      <c r="BH577" s="560"/>
      <c r="BI577" s="564">
        <v>0</v>
      </c>
      <c r="BJ577" s="565"/>
      <c r="BK577" s="565"/>
      <c r="BL577" s="566"/>
      <c r="BM577" s="567" t="s">
        <v>932</v>
      </c>
      <c r="BN577" s="567"/>
      <c r="BO577" s="567"/>
      <c r="BP577" s="567"/>
      <c r="BQ577" s="568" t="s">
        <v>932</v>
      </c>
      <c r="BR577" s="568"/>
      <c r="BS577" s="568"/>
      <c r="BT577" s="567" t="s">
        <v>932</v>
      </c>
      <c r="BU577" s="567"/>
      <c r="BV577" s="567"/>
      <c r="BW577" s="567"/>
      <c r="BX577" s="568" t="s">
        <v>932</v>
      </c>
      <c r="BY577" s="568"/>
      <c r="BZ577" s="568"/>
      <c r="CA577" s="567" t="s">
        <v>932</v>
      </c>
      <c r="CB577" s="567"/>
      <c r="CC577" s="567"/>
      <c r="CD577" s="567"/>
      <c r="CE577" s="568">
        <v>0.4</v>
      </c>
      <c r="CF577" s="568"/>
      <c r="CG577" s="568"/>
      <c r="CH577" s="567" t="s">
        <v>932</v>
      </c>
      <c r="CI577" s="567"/>
      <c r="CJ577" s="567"/>
      <c r="CK577" s="567"/>
      <c r="CL577" s="568">
        <v>0.6</v>
      </c>
      <c r="CM577" s="568"/>
      <c r="CN577" s="568"/>
    </row>
    <row r="578" hidden="1" customHeight="1" spans="1:92">
      <c r="A578" s="569"/>
      <c r="B578" s="570"/>
      <c r="C578" s="571"/>
      <c r="D578" s="572"/>
      <c r="E578" s="573"/>
      <c r="F578" s="574"/>
      <c r="G578" s="575"/>
      <c r="H578" s="576"/>
      <c r="I578" s="577"/>
      <c r="J578" s="578"/>
      <c r="K578" s="578"/>
      <c r="L578" s="578"/>
      <c r="M578" s="578"/>
      <c r="N578" s="578"/>
      <c r="O578" s="578"/>
      <c r="P578" s="578"/>
      <c r="Q578" s="578"/>
      <c r="R578" s="578"/>
      <c r="S578" s="578"/>
      <c r="T578" s="578"/>
      <c r="U578" s="578"/>
      <c r="V578" s="578"/>
      <c r="W578" s="578"/>
      <c r="X578" s="578"/>
      <c r="Y578" s="578"/>
      <c r="Z578" s="578"/>
      <c r="AA578" s="579"/>
      <c r="AB578" s="580"/>
      <c r="AC578" s="581"/>
      <c r="AD578" s="582"/>
      <c r="AE578" s="583"/>
      <c r="AF578" s="584"/>
      <c r="AG578" s="553">
        <v>0</v>
      </c>
      <c r="AH578" s="554"/>
      <c r="AI578" s="555" t="e">
        <v>#N/A</v>
      </c>
      <c r="AJ578" s="556"/>
      <c r="AK578" s="556"/>
      <c r="AL578" s="556"/>
      <c r="AM578" s="556"/>
      <c r="AN578" s="556"/>
      <c r="AO578" s="556"/>
      <c r="AP578" s="556"/>
      <c r="AQ578" s="556"/>
      <c r="AR578" s="556"/>
      <c r="AS578" s="556"/>
      <c r="AT578" s="556"/>
      <c r="AU578" s="556"/>
      <c r="AV578" s="557"/>
      <c r="AW578" s="558">
        <v>0</v>
      </c>
      <c r="AX578" s="559"/>
      <c r="AY578" s="560"/>
      <c r="AZ578" s="585"/>
      <c r="BA578" s="586"/>
      <c r="BB578" s="587"/>
      <c r="BC578" s="558">
        <v>0</v>
      </c>
      <c r="BD578" s="559"/>
      <c r="BE578" s="560"/>
      <c r="BF578" s="558">
        <v>182.49</v>
      </c>
      <c r="BG578" s="559"/>
      <c r="BH578" s="560"/>
      <c r="BI578" s="564">
        <v>0</v>
      </c>
      <c r="BJ578" s="565"/>
      <c r="BK578" s="565"/>
      <c r="BL578" s="566"/>
      <c r="BM578" s="567" t="s">
        <v>932</v>
      </c>
      <c r="BN578" s="567"/>
      <c r="BO578" s="567"/>
      <c r="BP578" s="567"/>
      <c r="BQ578" s="568" t="s">
        <v>932</v>
      </c>
      <c r="BR578" s="568"/>
      <c r="BS578" s="568"/>
      <c r="BT578" s="567" t="s">
        <v>932</v>
      </c>
      <c r="BU578" s="567"/>
      <c r="BV578" s="567"/>
      <c r="BW578" s="567"/>
      <c r="BX578" s="568" t="s">
        <v>932</v>
      </c>
      <c r="BY578" s="568"/>
      <c r="BZ578" s="568"/>
      <c r="CA578" s="567" t="s">
        <v>932</v>
      </c>
      <c r="CB578" s="567"/>
      <c r="CC578" s="567"/>
      <c r="CD578" s="567"/>
      <c r="CE578" s="568">
        <v>0.4</v>
      </c>
      <c r="CF578" s="568"/>
      <c r="CG578" s="568"/>
      <c r="CH578" s="567" t="s">
        <v>932</v>
      </c>
      <c r="CI578" s="567"/>
      <c r="CJ578" s="567"/>
      <c r="CK578" s="567"/>
      <c r="CL578" s="568">
        <v>0.6</v>
      </c>
      <c r="CM578" s="568"/>
      <c r="CN578" s="568"/>
    </row>
    <row r="579" hidden="1" customHeight="1" spans="1:92">
      <c r="A579" s="569"/>
      <c r="B579" s="570"/>
      <c r="C579" s="571"/>
      <c r="D579" s="572"/>
      <c r="E579" s="573"/>
      <c r="F579" s="574"/>
      <c r="G579" s="575"/>
      <c r="H579" s="576"/>
      <c r="I579" s="577"/>
      <c r="J579" s="578"/>
      <c r="K579" s="578"/>
      <c r="L579" s="578"/>
      <c r="M579" s="578"/>
      <c r="N579" s="578"/>
      <c r="O579" s="578"/>
      <c r="P579" s="578"/>
      <c r="Q579" s="578"/>
      <c r="R579" s="578"/>
      <c r="S579" s="578"/>
      <c r="T579" s="578"/>
      <c r="U579" s="578"/>
      <c r="V579" s="578"/>
      <c r="W579" s="578"/>
      <c r="X579" s="578"/>
      <c r="Y579" s="578"/>
      <c r="Z579" s="578"/>
      <c r="AA579" s="579"/>
      <c r="AB579" s="580"/>
      <c r="AC579" s="581"/>
      <c r="AD579" s="582"/>
      <c r="AE579" s="583"/>
      <c r="AF579" s="584"/>
      <c r="AG579" s="553">
        <v>0</v>
      </c>
      <c r="AH579" s="554"/>
      <c r="AI579" s="555" t="e">
        <v>#N/A</v>
      </c>
      <c r="AJ579" s="556"/>
      <c r="AK579" s="556"/>
      <c r="AL579" s="556"/>
      <c r="AM579" s="556"/>
      <c r="AN579" s="556"/>
      <c r="AO579" s="556"/>
      <c r="AP579" s="556"/>
      <c r="AQ579" s="556"/>
      <c r="AR579" s="556"/>
      <c r="AS579" s="556"/>
      <c r="AT579" s="556"/>
      <c r="AU579" s="556"/>
      <c r="AV579" s="557"/>
      <c r="AW579" s="558">
        <v>0</v>
      </c>
      <c r="AX579" s="559"/>
      <c r="AY579" s="560"/>
      <c r="AZ579" s="585"/>
      <c r="BA579" s="586"/>
      <c r="BB579" s="587"/>
      <c r="BC579" s="558">
        <v>0</v>
      </c>
      <c r="BD579" s="559"/>
      <c r="BE579" s="560"/>
      <c r="BF579" s="558">
        <v>182.49</v>
      </c>
      <c r="BG579" s="559"/>
      <c r="BH579" s="560"/>
      <c r="BI579" s="564">
        <v>0</v>
      </c>
      <c r="BJ579" s="565"/>
      <c r="BK579" s="565"/>
      <c r="BL579" s="566"/>
      <c r="BM579" s="567" t="s">
        <v>932</v>
      </c>
      <c r="BN579" s="567"/>
      <c r="BO579" s="567"/>
      <c r="BP579" s="567"/>
      <c r="BQ579" s="568" t="s">
        <v>932</v>
      </c>
      <c r="BR579" s="568"/>
      <c r="BS579" s="568"/>
      <c r="BT579" s="567" t="s">
        <v>932</v>
      </c>
      <c r="BU579" s="567"/>
      <c r="BV579" s="567"/>
      <c r="BW579" s="567"/>
      <c r="BX579" s="568" t="s">
        <v>932</v>
      </c>
      <c r="BY579" s="568"/>
      <c r="BZ579" s="568"/>
      <c r="CA579" s="567" t="s">
        <v>932</v>
      </c>
      <c r="CB579" s="567"/>
      <c r="CC579" s="567"/>
      <c r="CD579" s="567"/>
      <c r="CE579" s="568">
        <v>0.4</v>
      </c>
      <c r="CF579" s="568"/>
      <c r="CG579" s="568"/>
      <c r="CH579" s="567" t="s">
        <v>932</v>
      </c>
      <c r="CI579" s="567"/>
      <c r="CJ579" s="567"/>
      <c r="CK579" s="567"/>
      <c r="CL579" s="568">
        <v>0.6</v>
      </c>
      <c r="CM579" s="568"/>
      <c r="CN579" s="568"/>
    </row>
    <row r="580" hidden="1" customHeight="1" spans="1:92">
      <c r="A580" s="569"/>
      <c r="B580" s="570"/>
      <c r="C580" s="571"/>
      <c r="D580" s="572"/>
      <c r="E580" s="573"/>
      <c r="F580" s="574"/>
      <c r="G580" s="575"/>
      <c r="H580" s="576"/>
      <c r="I580" s="577"/>
      <c r="J580" s="578"/>
      <c r="K580" s="578"/>
      <c r="L580" s="578"/>
      <c r="M580" s="578"/>
      <c r="N580" s="578"/>
      <c r="O580" s="578"/>
      <c r="P580" s="578"/>
      <c r="Q580" s="578"/>
      <c r="R580" s="578"/>
      <c r="S580" s="578"/>
      <c r="T580" s="578"/>
      <c r="U580" s="578"/>
      <c r="V580" s="578"/>
      <c r="W580" s="578"/>
      <c r="X580" s="578"/>
      <c r="Y580" s="578"/>
      <c r="Z580" s="578"/>
      <c r="AA580" s="579"/>
      <c r="AB580" s="580"/>
      <c r="AC580" s="581"/>
      <c r="AD580" s="582"/>
      <c r="AE580" s="583"/>
      <c r="AF580" s="584"/>
      <c r="AG580" s="553">
        <v>0</v>
      </c>
      <c r="AH580" s="554"/>
      <c r="AI580" s="555" t="e">
        <v>#N/A</v>
      </c>
      <c r="AJ580" s="556"/>
      <c r="AK580" s="556"/>
      <c r="AL580" s="556"/>
      <c r="AM580" s="556"/>
      <c r="AN580" s="556"/>
      <c r="AO580" s="556"/>
      <c r="AP580" s="556"/>
      <c r="AQ580" s="556"/>
      <c r="AR580" s="556"/>
      <c r="AS580" s="556"/>
      <c r="AT580" s="556"/>
      <c r="AU580" s="556"/>
      <c r="AV580" s="557"/>
      <c r="AW580" s="558">
        <v>0</v>
      </c>
      <c r="AX580" s="559"/>
      <c r="AY580" s="560"/>
      <c r="AZ580" s="585"/>
      <c r="BA580" s="586"/>
      <c r="BB580" s="587"/>
      <c r="BC580" s="558">
        <v>0</v>
      </c>
      <c r="BD580" s="559"/>
      <c r="BE580" s="560"/>
      <c r="BF580" s="558">
        <v>182.49</v>
      </c>
      <c r="BG580" s="559"/>
      <c r="BH580" s="560"/>
      <c r="BI580" s="564">
        <v>0</v>
      </c>
      <c r="BJ580" s="565"/>
      <c r="BK580" s="565"/>
      <c r="BL580" s="566"/>
      <c r="BM580" s="567" t="s">
        <v>932</v>
      </c>
      <c r="BN580" s="567"/>
      <c r="BO580" s="567"/>
      <c r="BP580" s="567"/>
      <c r="BQ580" s="568" t="s">
        <v>932</v>
      </c>
      <c r="BR580" s="568"/>
      <c r="BS580" s="568"/>
      <c r="BT580" s="567" t="s">
        <v>932</v>
      </c>
      <c r="BU580" s="567"/>
      <c r="BV580" s="567"/>
      <c r="BW580" s="567"/>
      <c r="BX580" s="568" t="s">
        <v>932</v>
      </c>
      <c r="BY580" s="568"/>
      <c r="BZ580" s="568"/>
      <c r="CA580" s="567" t="s">
        <v>932</v>
      </c>
      <c r="CB580" s="567"/>
      <c r="CC580" s="567"/>
      <c r="CD580" s="567"/>
      <c r="CE580" s="568">
        <v>0.4</v>
      </c>
      <c r="CF580" s="568"/>
      <c r="CG580" s="568"/>
      <c r="CH580" s="567" t="s">
        <v>932</v>
      </c>
      <c r="CI580" s="567"/>
      <c r="CJ580" s="567"/>
      <c r="CK580" s="567"/>
      <c r="CL580" s="568">
        <v>0.6</v>
      </c>
      <c r="CM580" s="568"/>
      <c r="CN580" s="568"/>
    </row>
    <row r="581" hidden="1" customHeight="1" spans="1:92">
      <c r="A581" s="569"/>
      <c r="B581" s="570"/>
      <c r="C581" s="571"/>
      <c r="D581" s="572"/>
      <c r="E581" s="573"/>
      <c r="F581" s="574"/>
      <c r="G581" s="575"/>
      <c r="H581" s="576"/>
      <c r="I581" s="577"/>
      <c r="J581" s="578"/>
      <c r="K581" s="578"/>
      <c r="L581" s="578"/>
      <c r="M581" s="578"/>
      <c r="N581" s="578"/>
      <c r="O581" s="578"/>
      <c r="P581" s="578"/>
      <c r="Q581" s="578"/>
      <c r="R581" s="578"/>
      <c r="S581" s="578"/>
      <c r="T581" s="578"/>
      <c r="U581" s="578"/>
      <c r="V581" s="578"/>
      <c r="W581" s="578"/>
      <c r="X581" s="578"/>
      <c r="Y581" s="578"/>
      <c r="Z581" s="578"/>
      <c r="AA581" s="579"/>
      <c r="AB581" s="580"/>
      <c r="AC581" s="581"/>
      <c r="AD581" s="582"/>
      <c r="AE581" s="583"/>
      <c r="AF581" s="584"/>
      <c r="AG581" s="553">
        <v>0</v>
      </c>
      <c r="AH581" s="554"/>
      <c r="AI581" s="555" t="e">
        <v>#N/A</v>
      </c>
      <c r="AJ581" s="556"/>
      <c r="AK581" s="556"/>
      <c r="AL581" s="556"/>
      <c r="AM581" s="556"/>
      <c r="AN581" s="556"/>
      <c r="AO581" s="556"/>
      <c r="AP581" s="556"/>
      <c r="AQ581" s="556"/>
      <c r="AR581" s="556"/>
      <c r="AS581" s="556"/>
      <c r="AT581" s="556"/>
      <c r="AU581" s="556"/>
      <c r="AV581" s="557"/>
      <c r="AW581" s="558">
        <v>0</v>
      </c>
      <c r="AX581" s="559"/>
      <c r="AY581" s="560"/>
      <c r="AZ581" s="585"/>
      <c r="BA581" s="586"/>
      <c r="BB581" s="587"/>
      <c r="BC581" s="558">
        <v>0</v>
      </c>
      <c r="BD581" s="559"/>
      <c r="BE581" s="560"/>
      <c r="BF581" s="558">
        <v>182.49</v>
      </c>
      <c r="BG581" s="559"/>
      <c r="BH581" s="560"/>
      <c r="BI581" s="564">
        <v>0</v>
      </c>
      <c r="BJ581" s="565"/>
      <c r="BK581" s="565"/>
      <c r="BL581" s="566"/>
      <c r="BM581" s="567" t="s">
        <v>932</v>
      </c>
      <c r="BN581" s="567"/>
      <c r="BO581" s="567"/>
      <c r="BP581" s="567"/>
      <c r="BQ581" s="568" t="s">
        <v>932</v>
      </c>
      <c r="BR581" s="568"/>
      <c r="BS581" s="568"/>
      <c r="BT581" s="567" t="s">
        <v>932</v>
      </c>
      <c r="BU581" s="567"/>
      <c r="BV581" s="567"/>
      <c r="BW581" s="567"/>
      <c r="BX581" s="568" t="s">
        <v>932</v>
      </c>
      <c r="BY581" s="568"/>
      <c r="BZ581" s="568"/>
      <c r="CA581" s="567" t="s">
        <v>932</v>
      </c>
      <c r="CB581" s="567"/>
      <c r="CC581" s="567"/>
      <c r="CD581" s="567"/>
      <c r="CE581" s="568">
        <v>0.4</v>
      </c>
      <c r="CF581" s="568"/>
      <c r="CG581" s="568"/>
      <c r="CH581" s="567" t="s">
        <v>932</v>
      </c>
      <c r="CI581" s="567"/>
      <c r="CJ581" s="567"/>
      <c r="CK581" s="567"/>
      <c r="CL581" s="568">
        <v>0.6</v>
      </c>
      <c r="CM581" s="568"/>
      <c r="CN581" s="568"/>
    </row>
    <row r="582" hidden="1" customHeight="1" spans="1:92">
      <c r="A582" s="569"/>
      <c r="B582" s="570"/>
      <c r="C582" s="571"/>
      <c r="D582" s="572"/>
      <c r="E582" s="573"/>
      <c r="F582" s="574"/>
      <c r="G582" s="575"/>
      <c r="H582" s="576"/>
      <c r="I582" s="577"/>
      <c r="J582" s="578"/>
      <c r="K582" s="578"/>
      <c r="L582" s="578"/>
      <c r="M582" s="578"/>
      <c r="N582" s="578"/>
      <c r="O582" s="578"/>
      <c r="P582" s="578"/>
      <c r="Q582" s="578"/>
      <c r="R582" s="578"/>
      <c r="S582" s="578"/>
      <c r="T582" s="578"/>
      <c r="U582" s="578"/>
      <c r="V582" s="578"/>
      <c r="W582" s="578"/>
      <c r="X582" s="578"/>
      <c r="Y582" s="578"/>
      <c r="Z582" s="578"/>
      <c r="AA582" s="579"/>
      <c r="AB582" s="580"/>
      <c r="AC582" s="581"/>
      <c r="AD582" s="582"/>
      <c r="AE582" s="583"/>
      <c r="AF582" s="584"/>
      <c r="AG582" s="553">
        <v>0</v>
      </c>
      <c r="AH582" s="554"/>
      <c r="AI582" s="555" t="e">
        <v>#N/A</v>
      </c>
      <c r="AJ582" s="556"/>
      <c r="AK582" s="556"/>
      <c r="AL582" s="556"/>
      <c r="AM582" s="556"/>
      <c r="AN582" s="556"/>
      <c r="AO582" s="556"/>
      <c r="AP582" s="556"/>
      <c r="AQ582" s="556"/>
      <c r="AR582" s="556"/>
      <c r="AS582" s="556"/>
      <c r="AT582" s="556"/>
      <c r="AU582" s="556"/>
      <c r="AV582" s="557"/>
      <c r="AW582" s="558">
        <v>0</v>
      </c>
      <c r="AX582" s="559"/>
      <c r="AY582" s="560"/>
      <c r="AZ582" s="585"/>
      <c r="BA582" s="586"/>
      <c r="BB582" s="587"/>
      <c r="BC582" s="558">
        <v>0</v>
      </c>
      <c r="BD582" s="559"/>
      <c r="BE582" s="560"/>
      <c r="BF582" s="558">
        <v>182.49</v>
      </c>
      <c r="BG582" s="559"/>
      <c r="BH582" s="560"/>
      <c r="BI582" s="564">
        <v>0</v>
      </c>
      <c r="BJ582" s="565"/>
      <c r="BK582" s="565"/>
      <c r="BL582" s="566"/>
      <c r="BM582" s="567" t="s">
        <v>932</v>
      </c>
      <c r="BN582" s="567"/>
      <c r="BO582" s="567"/>
      <c r="BP582" s="567"/>
      <c r="BQ582" s="568" t="s">
        <v>932</v>
      </c>
      <c r="BR582" s="568"/>
      <c r="BS582" s="568"/>
      <c r="BT582" s="567" t="s">
        <v>932</v>
      </c>
      <c r="BU582" s="567"/>
      <c r="BV582" s="567"/>
      <c r="BW582" s="567"/>
      <c r="BX582" s="568" t="s">
        <v>932</v>
      </c>
      <c r="BY582" s="568"/>
      <c r="BZ582" s="568"/>
      <c r="CA582" s="567" t="s">
        <v>932</v>
      </c>
      <c r="CB582" s="567"/>
      <c r="CC582" s="567"/>
      <c r="CD582" s="567"/>
      <c r="CE582" s="568">
        <v>0.4</v>
      </c>
      <c r="CF582" s="568"/>
      <c r="CG582" s="568"/>
      <c r="CH582" s="567" t="s">
        <v>932</v>
      </c>
      <c r="CI582" s="567"/>
      <c r="CJ582" s="567"/>
      <c r="CK582" s="567"/>
      <c r="CL582" s="568">
        <v>0.6</v>
      </c>
      <c r="CM582" s="568"/>
      <c r="CN582" s="568"/>
    </row>
    <row r="583" hidden="1" customHeight="1" spans="1:92">
      <c r="A583" s="588"/>
      <c r="B583" s="589"/>
      <c r="C583" s="590"/>
      <c r="D583" s="591"/>
      <c r="E583" s="592"/>
      <c r="F583" s="593"/>
      <c r="G583" s="594"/>
      <c r="H583" s="595"/>
      <c r="I583" s="596"/>
      <c r="J583" s="597"/>
      <c r="K583" s="597"/>
      <c r="L583" s="597"/>
      <c r="M583" s="597"/>
      <c r="N583" s="597"/>
      <c r="O583" s="597"/>
      <c r="P583" s="597"/>
      <c r="Q583" s="597"/>
      <c r="R583" s="597"/>
      <c r="S583" s="597"/>
      <c r="T583" s="597"/>
      <c r="U583" s="597"/>
      <c r="V583" s="597"/>
      <c r="W583" s="597"/>
      <c r="X583" s="597"/>
      <c r="Y583" s="597"/>
      <c r="Z583" s="597"/>
      <c r="AA583" s="598"/>
      <c r="AB583" s="599"/>
      <c r="AC583" s="600"/>
      <c r="AD583" s="601"/>
      <c r="AE583" s="602"/>
      <c r="AF583" s="603"/>
      <c r="AG583" s="553">
        <v>0</v>
      </c>
      <c r="AH583" s="554"/>
      <c r="AI583" s="555" t="e">
        <v>#N/A</v>
      </c>
      <c r="AJ583" s="556"/>
      <c r="AK583" s="556"/>
      <c r="AL583" s="556"/>
      <c r="AM583" s="556"/>
      <c r="AN583" s="556"/>
      <c r="AO583" s="556"/>
      <c r="AP583" s="556"/>
      <c r="AQ583" s="556"/>
      <c r="AR583" s="556"/>
      <c r="AS583" s="556"/>
      <c r="AT583" s="556"/>
      <c r="AU583" s="556"/>
      <c r="AV583" s="557"/>
      <c r="AW583" s="558">
        <v>0</v>
      </c>
      <c r="AX583" s="559"/>
      <c r="AY583" s="560"/>
      <c r="AZ583" s="604"/>
      <c r="BA583" s="605"/>
      <c r="BB583" s="606"/>
      <c r="BC583" s="558">
        <v>0</v>
      </c>
      <c r="BD583" s="559"/>
      <c r="BE583" s="560"/>
      <c r="BF583" s="558">
        <v>182.49</v>
      </c>
      <c r="BG583" s="559"/>
      <c r="BH583" s="560"/>
      <c r="BI583" s="564">
        <v>0</v>
      </c>
      <c r="BJ583" s="565"/>
      <c r="BK583" s="565"/>
      <c r="BL583" s="566"/>
      <c r="BM583" s="567" t="s">
        <v>932</v>
      </c>
      <c r="BN583" s="567"/>
      <c r="BO583" s="567"/>
      <c r="BP583" s="567"/>
      <c r="BQ583" s="568" t="s">
        <v>932</v>
      </c>
      <c r="BR583" s="568"/>
      <c r="BS583" s="568"/>
      <c r="BT583" s="567" t="s">
        <v>932</v>
      </c>
      <c r="BU583" s="567"/>
      <c r="BV583" s="567"/>
      <c r="BW583" s="567"/>
      <c r="BX583" s="568" t="s">
        <v>932</v>
      </c>
      <c r="BY583" s="568"/>
      <c r="BZ583" s="568"/>
      <c r="CA583" s="567" t="s">
        <v>932</v>
      </c>
      <c r="CB583" s="567"/>
      <c r="CC583" s="567"/>
      <c r="CD583" s="567"/>
      <c r="CE583" s="568">
        <v>0.4</v>
      </c>
      <c r="CF583" s="568"/>
      <c r="CG583" s="568"/>
      <c r="CH583" s="567" t="s">
        <v>932</v>
      </c>
      <c r="CI583" s="567"/>
      <c r="CJ583" s="567"/>
      <c r="CK583" s="567"/>
      <c r="CL583" s="568">
        <v>0.6</v>
      </c>
      <c r="CM583" s="568"/>
      <c r="CN583" s="568"/>
    </row>
    <row r="584" customHeight="1" spans="1:92">
      <c r="A584" s="540" t="s">
        <v>1015</v>
      </c>
      <c r="B584" s="541"/>
      <c r="C584" s="89"/>
      <c r="D584" s="91"/>
      <c r="E584" s="90"/>
      <c r="F584" s="542">
        <v>5214001</v>
      </c>
      <c r="G584" s="543"/>
      <c r="H584" s="544"/>
      <c r="I584" s="545" t="s">
        <v>138</v>
      </c>
      <c r="J584" s="546"/>
      <c r="K584" s="546"/>
      <c r="L584" s="546"/>
      <c r="M584" s="546"/>
      <c r="N584" s="546"/>
      <c r="O584" s="546"/>
      <c r="P584" s="546"/>
      <c r="Q584" s="546"/>
      <c r="R584" s="546"/>
      <c r="S584" s="546"/>
      <c r="T584" s="546"/>
      <c r="U584" s="546"/>
      <c r="V584" s="546"/>
      <c r="W584" s="546"/>
      <c r="X584" s="546"/>
      <c r="Y584" s="546"/>
      <c r="Z584" s="546"/>
      <c r="AA584" s="547"/>
      <c r="AB584" s="548" t="s">
        <v>7</v>
      </c>
      <c r="AC584" s="549"/>
      <c r="AD584" s="550">
        <v>7.5</v>
      </c>
      <c r="AE584" s="551"/>
      <c r="AF584" s="552"/>
      <c r="AG584" s="553" t="s">
        <v>1088</v>
      </c>
      <c r="AH584" s="554"/>
      <c r="AI584" s="555" t="s">
        <v>1089</v>
      </c>
      <c r="AJ584" s="556"/>
      <c r="AK584" s="556"/>
      <c r="AL584" s="556"/>
      <c r="AM584" s="556"/>
      <c r="AN584" s="556"/>
      <c r="AO584" s="556"/>
      <c r="AP584" s="556"/>
      <c r="AQ584" s="556"/>
      <c r="AR584" s="556"/>
      <c r="AS584" s="556"/>
      <c r="AT584" s="556"/>
      <c r="AU584" s="556"/>
      <c r="AV584" s="557"/>
      <c r="AW584" s="558">
        <v>1</v>
      </c>
      <c r="AX584" s="559"/>
      <c r="AY584" s="560"/>
      <c r="AZ584" s="561">
        <v>190.9</v>
      </c>
      <c r="BA584" s="562"/>
      <c r="BB584" s="563"/>
      <c r="BC584" s="558">
        <v>0.0392875851231011</v>
      </c>
      <c r="BD584" s="559"/>
      <c r="BE584" s="560"/>
      <c r="BF584" s="558">
        <v>182.49</v>
      </c>
      <c r="BG584" s="559"/>
      <c r="BH584" s="560"/>
      <c r="BI584" s="564">
        <v>0.000215286235536748</v>
      </c>
      <c r="BJ584" s="565"/>
      <c r="BK584" s="565"/>
      <c r="BL584" s="566"/>
      <c r="BM584" s="567" t="s">
        <v>932</v>
      </c>
      <c r="BN584" s="567"/>
      <c r="BO584" s="567"/>
      <c r="BP584" s="567"/>
      <c r="BQ584" s="568" t="s">
        <v>932</v>
      </c>
      <c r="BR584" s="568"/>
      <c r="BS584" s="568"/>
      <c r="BT584" s="567" t="s">
        <v>932</v>
      </c>
      <c r="BU584" s="567"/>
      <c r="BV584" s="567"/>
      <c r="BW584" s="567"/>
      <c r="BX584" s="568" t="s">
        <v>932</v>
      </c>
      <c r="BY584" s="568"/>
      <c r="BZ584" s="568"/>
      <c r="CA584" s="567">
        <v>8.61144942146991e-5</v>
      </c>
      <c r="CB584" s="567"/>
      <c r="CC584" s="567"/>
      <c r="CD584" s="567"/>
      <c r="CE584" s="568">
        <v>0.4</v>
      </c>
      <c r="CF584" s="568"/>
      <c r="CG584" s="568"/>
      <c r="CH584" s="567">
        <v>0.000129171741322049</v>
      </c>
      <c r="CI584" s="567"/>
      <c r="CJ584" s="567"/>
      <c r="CK584" s="567"/>
      <c r="CL584" s="568">
        <v>0.6</v>
      </c>
      <c r="CM584" s="568"/>
      <c r="CN584" s="568"/>
    </row>
    <row r="585" hidden="1" customHeight="1" spans="1:92">
      <c r="A585" s="569"/>
      <c r="B585" s="570"/>
      <c r="C585" s="571"/>
      <c r="D585" s="572"/>
      <c r="E585" s="573"/>
      <c r="F585" s="574"/>
      <c r="G585" s="575"/>
      <c r="H585" s="576"/>
      <c r="I585" s="577"/>
      <c r="J585" s="578"/>
      <c r="K585" s="578"/>
      <c r="L585" s="578"/>
      <c r="M585" s="578"/>
      <c r="N585" s="578"/>
      <c r="O585" s="578"/>
      <c r="P585" s="578"/>
      <c r="Q585" s="578"/>
      <c r="R585" s="578"/>
      <c r="S585" s="578"/>
      <c r="T585" s="578"/>
      <c r="U585" s="578"/>
      <c r="V585" s="578"/>
      <c r="W585" s="578"/>
      <c r="X585" s="578"/>
      <c r="Y585" s="578"/>
      <c r="Z585" s="578"/>
      <c r="AA585" s="579"/>
      <c r="AB585" s="580"/>
      <c r="AC585" s="581"/>
      <c r="AD585" s="582"/>
      <c r="AE585" s="583"/>
      <c r="AF585" s="584"/>
      <c r="AG585" s="553">
        <v>0</v>
      </c>
      <c r="AH585" s="554"/>
      <c r="AI585" s="555" t="e">
        <v>#N/A</v>
      </c>
      <c r="AJ585" s="556"/>
      <c r="AK585" s="556"/>
      <c r="AL585" s="556"/>
      <c r="AM585" s="556"/>
      <c r="AN585" s="556"/>
      <c r="AO585" s="556"/>
      <c r="AP585" s="556"/>
      <c r="AQ585" s="556"/>
      <c r="AR585" s="556"/>
      <c r="AS585" s="556"/>
      <c r="AT585" s="556"/>
      <c r="AU585" s="556"/>
      <c r="AV585" s="557"/>
      <c r="AW585" s="558">
        <v>0</v>
      </c>
      <c r="AX585" s="559"/>
      <c r="AY585" s="560"/>
      <c r="AZ585" s="585"/>
      <c r="BA585" s="586"/>
      <c r="BB585" s="587"/>
      <c r="BC585" s="558">
        <v>0</v>
      </c>
      <c r="BD585" s="559"/>
      <c r="BE585" s="560"/>
      <c r="BF585" s="558">
        <v>182.49</v>
      </c>
      <c r="BG585" s="559"/>
      <c r="BH585" s="560"/>
      <c r="BI585" s="564">
        <v>0</v>
      </c>
      <c r="BJ585" s="565"/>
      <c r="BK585" s="565"/>
      <c r="BL585" s="566"/>
      <c r="BM585" s="567" t="s">
        <v>932</v>
      </c>
      <c r="BN585" s="567"/>
      <c r="BO585" s="567"/>
      <c r="BP585" s="567"/>
      <c r="BQ585" s="568" t="s">
        <v>932</v>
      </c>
      <c r="BR585" s="568"/>
      <c r="BS585" s="568"/>
      <c r="BT585" s="567" t="s">
        <v>932</v>
      </c>
      <c r="BU585" s="567"/>
      <c r="BV585" s="567"/>
      <c r="BW585" s="567"/>
      <c r="BX585" s="568" t="s">
        <v>932</v>
      </c>
      <c r="BY585" s="568"/>
      <c r="BZ585" s="568"/>
      <c r="CA585" s="567" t="s">
        <v>932</v>
      </c>
      <c r="CB585" s="567"/>
      <c r="CC585" s="567"/>
      <c r="CD585" s="567"/>
      <c r="CE585" s="568">
        <v>0.4</v>
      </c>
      <c r="CF585" s="568"/>
      <c r="CG585" s="568"/>
      <c r="CH585" s="567" t="s">
        <v>932</v>
      </c>
      <c r="CI585" s="567"/>
      <c r="CJ585" s="567"/>
      <c r="CK585" s="567"/>
      <c r="CL585" s="568">
        <v>0.6</v>
      </c>
      <c r="CM585" s="568"/>
      <c r="CN585" s="568"/>
    </row>
    <row r="586" hidden="1" customHeight="1" spans="1:92">
      <c r="A586" s="569"/>
      <c r="B586" s="570"/>
      <c r="C586" s="571"/>
      <c r="D586" s="572"/>
      <c r="E586" s="573"/>
      <c r="F586" s="574"/>
      <c r="G586" s="575"/>
      <c r="H586" s="576"/>
      <c r="I586" s="577"/>
      <c r="J586" s="578"/>
      <c r="K586" s="578"/>
      <c r="L586" s="578"/>
      <c r="M586" s="578"/>
      <c r="N586" s="578"/>
      <c r="O586" s="578"/>
      <c r="P586" s="578"/>
      <c r="Q586" s="578"/>
      <c r="R586" s="578"/>
      <c r="S586" s="578"/>
      <c r="T586" s="578"/>
      <c r="U586" s="578"/>
      <c r="V586" s="578"/>
      <c r="W586" s="578"/>
      <c r="X586" s="578"/>
      <c r="Y586" s="578"/>
      <c r="Z586" s="578"/>
      <c r="AA586" s="579"/>
      <c r="AB586" s="580"/>
      <c r="AC586" s="581"/>
      <c r="AD586" s="582"/>
      <c r="AE586" s="583"/>
      <c r="AF586" s="584"/>
      <c r="AG586" s="553">
        <v>0</v>
      </c>
      <c r="AH586" s="554"/>
      <c r="AI586" s="555" t="e">
        <v>#N/A</v>
      </c>
      <c r="AJ586" s="556"/>
      <c r="AK586" s="556"/>
      <c r="AL586" s="556"/>
      <c r="AM586" s="556"/>
      <c r="AN586" s="556"/>
      <c r="AO586" s="556"/>
      <c r="AP586" s="556"/>
      <c r="AQ586" s="556"/>
      <c r="AR586" s="556"/>
      <c r="AS586" s="556"/>
      <c r="AT586" s="556"/>
      <c r="AU586" s="556"/>
      <c r="AV586" s="557"/>
      <c r="AW586" s="558">
        <v>0</v>
      </c>
      <c r="AX586" s="559"/>
      <c r="AY586" s="560"/>
      <c r="AZ586" s="585"/>
      <c r="BA586" s="586"/>
      <c r="BB586" s="587"/>
      <c r="BC586" s="558">
        <v>0</v>
      </c>
      <c r="BD586" s="559"/>
      <c r="BE586" s="560"/>
      <c r="BF586" s="558">
        <v>182.49</v>
      </c>
      <c r="BG586" s="559"/>
      <c r="BH586" s="560"/>
      <c r="BI586" s="564">
        <v>0</v>
      </c>
      <c r="BJ586" s="565"/>
      <c r="BK586" s="565"/>
      <c r="BL586" s="566"/>
      <c r="BM586" s="567" t="s">
        <v>932</v>
      </c>
      <c r="BN586" s="567"/>
      <c r="BO586" s="567"/>
      <c r="BP586" s="567"/>
      <c r="BQ586" s="568" t="s">
        <v>932</v>
      </c>
      <c r="BR586" s="568"/>
      <c r="BS586" s="568"/>
      <c r="BT586" s="567" t="s">
        <v>932</v>
      </c>
      <c r="BU586" s="567"/>
      <c r="BV586" s="567"/>
      <c r="BW586" s="567"/>
      <c r="BX586" s="568" t="s">
        <v>932</v>
      </c>
      <c r="BY586" s="568"/>
      <c r="BZ586" s="568"/>
      <c r="CA586" s="567" t="s">
        <v>932</v>
      </c>
      <c r="CB586" s="567"/>
      <c r="CC586" s="567"/>
      <c r="CD586" s="567"/>
      <c r="CE586" s="568">
        <v>0.4</v>
      </c>
      <c r="CF586" s="568"/>
      <c r="CG586" s="568"/>
      <c r="CH586" s="567" t="s">
        <v>932</v>
      </c>
      <c r="CI586" s="567"/>
      <c r="CJ586" s="567"/>
      <c r="CK586" s="567"/>
      <c r="CL586" s="568">
        <v>0.6</v>
      </c>
      <c r="CM586" s="568"/>
      <c r="CN586" s="568"/>
    </row>
    <row r="587" hidden="1" customHeight="1" spans="1:92">
      <c r="A587" s="569"/>
      <c r="B587" s="570"/>
      <c r="C587" s="571"/>
      <c r="D587" s="572"/>
      <c r="E587" s="573"/>
      <c r="F587" s="574"/>
      <c r="G587" s="575"/>
      <c r="H587" s="576"/>
      <c r="I587" s="577"/>
      <c r="J587" s="578"/>
      <c r="K587" s="578"/>
      <c r="L587" s="578"/>
      <c r="M587" s="578"/>
      <c r="N587" s="578"/>
      <c r="O587" s="578"/>
      <c r="P587" s="578"/>
      <c r="Q587" s="578"/>
      <c r="R587" s="578"/>
      <c r="S587" s="578"/>
      <c r="T587" s="578"/>
      <c r="U587" s="578"/>
      <c r="V587" s="578"/>
      <c r="W587" s="578"/>
      <c r="X587" s="578"/>
      <c r="Y587" s="578"/>
      <c r="Z587" s="578"/>
      <c r="AA587" s="579"/>
      <c r="AB587" s="580"/>
      <c r="AC587" s="581"/>
      <c r="AD587" s="582"/>
      <c r="AE587" s="583"/>
      <c r="AF587" s="584"/>
      <c r="AG587" s="553">
        <v>0</v>
      </c>
      <c r="AH587" s="554"/>
      <c r="AI587" s="555" t="e">
        <v>#N/A</v>
      </c>
      <c r="AJ587" s="556"/>
      <c r="AK587" s="556"/>
      <c r="AL587" s="556"/>
      <c r="AM587" s="556"/>
      <c r="AN587" s="556"/>
      <c r="AO587" s="556"/>
      <c r="AP587" s="556"/>
      <c r="AQ587" s="556"/>
      <c r="AR587" s="556"/>
      <c r="AS587" s="556"/>
      <c r="AT587" s="556"/>
      <c r="AU587" s="556"/>
      <c r="AV587" s="557"/>
      <c r="AW587" s="558">
        <v>0</v>
      </c>
      <c r="AX587" s="559"/>
      <c r="AY587" s="560"/>
      <c r="AZ587" s="585"/>
      <c r="BA587" s="586"/>
      <c r="BB587" s="587"/>
      <c r="BC587" s="558">
        <v>0</v>
      </c>
      <c r="BD587" s="559"/>
      <c r="BE587" s="560"/>
      <c r="BF587" s="558">
        <v>182.49</v>
      </c>
      <c r="BG587" s="559"/>
      <c r="BH587" s="560"/>
      <c r="BI587" s="564">
        <v>0</v>
      </c>
      <c r="BJ587" s="565"/>
      <c r="BK587" s="565"/>
      <c r="BL587" s="566"/>
      <c r="BM587" s="567" t="s">
        <v>932</v>
      </c>
      <c r="BN587" s="567"/>
      <c r="BO587" s="567"/>
      <c r="BP587" s="567"/>
      <c r="BQ587" s="568" t="s">
        <v>932</v>
      </c>
      <c r="BR587" s="568"/>
      <c r="BS587" s="568"/>
      <c r="BT587" s="567" t="s">
        <v>932</v>
      </c>
      <c r="BU587" s="567"/>
      <c r="BV587" s="567"/>
      <c r="BW587" s="567"/>
      <c r="BX587" s="568" t="s">
        <v>932</v>
      </c>
      <c r="BY587" s="568"/>
      <c r="BZ587" s="568"/>
      <c r="CA587" s="567" t="s">
        <v>932</v>
      </c>
      <c r="CB587" s="567"/>
      <c r="CC587" s="567"/>
      <c r="CD587" s="567"/>
      <c r="CE587" s="568">
        <v>0.4</v>
      </c>
      <c r="CF587" s="568"/>
      <c r="CG587" s="568"/>
      <c r="CH587" s="567" t="s">
        <v>932</v>
      </c>
      <c r="CI587" s="567"/>
      <c r="CJ587" s="567"/>
      <c r="CK587" s="567"/>
      <c r="CL587" s="568">
        <v>0.6</v>
      </c>
      <c r="CM587" s="568"/>
      <c r="CN587" s="568"/>
    </row>
    <row r="588" hidden="1" customHeight="1" spans="1:92">
      <c r="A588" s="569"/>
      <c r="B588" s="570"/>
      <c r="C588" s="571"/>
      <c r="D588" s="572"/>
      <c r="E588" s="573"/>
      <c r="F588" s="574"/>
      <c r="G588" s="575"/>
      <c r="H588" s="576"/>
      <c r="I588" s="577"/>
      <c r="J588" s="578"/>
      <c r="K588" s="578"/>
      <c r="L588" s="578"/>
      <c r="M588" s="578"/>
      <c r="N588" s="578"/>
      <c r="O588" s="578"/>
      <c r="P588" s="578"/>
      <c r="Q588" s="578"/>
      <c r="R588" s="578"/>
      <c r="S588" s="578"/>
      <c r="T588" s="578"/>
      <c r="U588" s="578"/>
      <c r="V588" s="578"/>
      <c r="W588" s="578"/>
      <c r="X588" s="578"/>
      <c r="Y588" s="578"/>
      <c r="Z588" s="578"/>
      <c r="AA588" s="579"/>
      <c r="AB588" s="580"/>
      <c r="AC588" s="581"/>
      <c r="AD588" s="582"/>
      <c r="AE588" s="583"/>
      <c r="AF588" s="584"/>
      <c r="AG588" s="553">
        <v>0</v>
      </c>
      <c r="AH588" s="554"/>
      <c r="AI588" s="555" t="e">
        <v>#N/A</v>
      </c>
      <c r="AJ588" s="556"/>
      <c r="AK588" s="556"/>
      <c r="AL588" s="556"/>
      <c r="AM588" s="556"/>
      <c r="AN588" s="556"/>
      <c r="AO588" s="556"/>
      <c r="AP588" s="556"/>
      <c r="AQ588" s="556"/>
      <c r="AR588" s="556"/>
      <c r="AS588" s="556"/>
      <c r="AT588" s="556"/>
      <c r="AU588" s="556"/>
      <c r="AV588" s="557"/>
      <c r="AW588" s="558">
        <v>0</v>
      </c>
      <c r="AX588" s="559"/>
      <c r="AY588" s="560"/>
      <c r="AZ588" s="585"/>
      <c r="BA588" s="586"/>
      <c r="BB588" s="587"/>
      <c r="BC588" s="558">
        <v>0</v>
      </c>
      <c r="BD588" s="559"/>
      <c r="BE588" s="560"/>
      <c r="BF588" s="558">
        <v>182.49</v>
      </c>
      <c r="BG588" s="559"/>
      <c r="BH588" s="560"/>
      <c r="BI588" s="564">
        <v>0</v>
      </c>
      <c r="BJ588" s="565"/>
      <c r="BK588" s="565"/>
      <c r="BL588" s="566"/>
      <c r="BM588" s="567" t="s">
        <v>932</v>
      </c>
      <c r="BN588" s="567"/>
      <c r="BO588" s="567"/>
      <c r="BP588" s="567"/>
      <c r="BQ588" s="568" t="s">
        <v>932</v>
      </c>
      <c r="BR588" s="568"/>
      <c r="BS588" s="568"/>
      <c r="BT588" s="567" t="s">
        <v>932</v>
      </c>
      <c r="BU588" s="567"/>
      <c r="BV588" s="567"/>
      <c r="BW588" s="567"/>
      <c r="BX588" s="568" t="s">
        <v>932</v>
      </c>
      <c r="BY588" s="568"/>
      <c r="BZ588" s="568"/>
      <c r="CA588" s="567" t="s">
        <v>932</v>
      </c>
      <c r="CB588" s="567"/>
      <c r="CC588" s="567"/>
      <c r="CD588" s="567"/>
      <c r="CE588" s="568">
        <v>0.4</v>
      </c>
      <c r="CF588" s="568"/>
      <c r="CG588" s="568"/>
      <c r="CH588" s="567" t="s">
        <v>932</v>
      </c>
      <c r="CI588" s="567"/>
      <c r="CJ588" s="567"/>
      <c r="CK588" s="567"/>
      <c r="CL588" s="568">
        <v>0.6</v>
      </c>
      <c r="CM588" s="568"/>
      <c r="CN588" s="568"/>
    </row>
    <row r="589" hidden="1" customHeight="1" spans="1:92">
      <c r="A589" s="569"/>
      <c r="B589" s="570"/>
      <c r="C589" s="571"/>
      <c r="D589" s="572"/>
      <c r="E589" s="573"/>
      <c r="F589" s="574"/>
      <c r="G589" s="575"/>
      <c r="H589" s="576"/>
      <c r="I589" s="577"/>
      <c r="J589" s="578"/>
      <c r="K589" s="578"/>
      <c r="L589" s="578"/>
      <c r="M589" s="578"/>
      <c r="N589" s="578"/>
      <c r="O589" s="578"/>
      <c r="P589" s="578"/>
      <c r="Q589" s="578"/>
      <c r="R589" s="578"/>
      <c r="S589" s="578"/>
      <c r="T589" s="578"/>
      <c r="U589" s="578"/>
      <c r="V589" s="578"/>
      <c r="W589" s="578"/>
      <c r="X589" s="578"/>
      <c r="Y589" s="578"/>
      <c r="Z589" s="578"/>
      <c r="AA589" s="579"/>
      <c r="AB589" s="580"/>
      <c r="AC589" s="581"/>
      <c r="AD589" s="582"/>
      <c r="AE589" s="583"/>
      <c r="AF589" s="584"/>
      <c r="AG589" s="553">
        <v>0</v>
      </c>
      <c r="AH589" s="554"/>
      <c r="AI589" s="555" t="e">
        <v>#N/A</v>
      </c>
      <c r="AJ589" s="556"/>
      <c r="AK589" s="556"/>
      <c r="AL589" s="556"/>
      <c r="AM589" s="556"/>
      <c r="AN589" s="556"/>
      <c r="AO589" s="556"/>
      <c r="AP589" s="556"/>
      <c r="AQ589" s="556"/>
      <c r="AR589" s="556"/>
      <c r="AS589" s="556"/>
      <c r="AT589" s="556"/>
      <c r="AU589" s="556"/>
      <c r="AV589" s="557"/>
      <c r="AW589" s="558">
        <v>0</v>
      </c>
      <c r="AX589" s="559"/>
      <c r="AY589" s="560"/>
      <c r="AZ589" s="585"/>
      <c r="BA589" s="586"/>
      <c r="BB589" s="587"/>
      <c r="BC589" s="558">
        <v>0</v>
      </c>
      <c r="BD589" s="559"/>
      <c r="BE589" s="560"/>
      <c r="BF589" s="558">
        <v>182.49</v>
      </c>
      <c r="BG589" s="559"/>
      <c r="BH589" s="560"/>
      <c r="BI589" s="564">
        <v>0</v>
      </c>
      <c r="BJ589" s="565"/>
      <c r="BK589" s="565"/>
      <c r="BL589" s="566"/>
      <c r="BM589" s="567" t="s">
        <v>932</v>
      </c>
      <c r="BN589" s="567"/>
      <c r="BO589" s="567"/>
      <c r="BP589" s="567"/>
      <c r="BQ589" s="568" t="s">
        <v>932</v>
      </c>
      <c r="BR589" s="568"/>
      <c r="BS589" s="568"/>
      <c r="BT589" s="567" t="s">
        <v>932</v>
      </c>
      <c r="BU589" s="567"/>
      <c r="BV589" s="567"/>
      <c r="BW589" s="567"/>
      <c r="BX589" s="568" t="s">
        <v>932</v>
      </c>
      <c r="BY589" s="568"/>
      <c r="BZ589" s="568"/>
      <c r="CA589" s="567" t="s">
        <v>932</v>
      </c>
      <c r="CB589" s="567"/>
      <c r="CC589" s="567"/>
      <c r="CD589" s="567"/>
      <c r="CE589" s="568">
        <v>0.4</v>
      </c>
      <c r="CF589" s="568"/>
      <c r="CG589" s="568"/>
      <c r="CH589" s="567" t="s">
        <v>932</v>
      </c>
      <c r="CI589" s="567"/>
      <c r="CJ589" s="567"/>
      <c r="CK589" s="567"/>
      <c r="CL589" s="568">
        <v>0.6</v>
      </c>
      <c r="CM589" s="568"/>
      <c r="CN589" s="568"/>
    </row>
    <row r="590" hidden="1" customHeight="1" spans="1:92">
      <c r="A590" s="569"/>
      <c r="B590" s="570"/>
      <c r="C590" s="571"/>
      <c r="D590" s="572"/>
      <c r="E590" s="573"/>
      <c r="F590" s="574"/>
      <c r="G590" s="575"/>
      <c r="H590" s="576"/>
      <c r="I590" s="577"/>
      <c r="J590" s="578"/>
      <c r="K590" s="578"/>
      <c r="L590" s="578"/>
      <c r="M590" s="578"/>
      <c r="N590" s="578"/>
      <c r="O590" s="578"/>
      <c r="P590" s="578"/>
      <c r="Q590" s="578"/>
      <c r="R590" s="578"/>
      <c r="S590" s="578"/>
      <c r="T590" s="578"/>
      <c r="U590" s="578"/>
      <c r="V590" s="578"/>
      <c r="W590" s="578"/>
      <c r="X590" s="578"/>
      <c r="Y590" s="578"/>
      <c r="Z590" s="578"/>
      <c r="AA590" s="579"/>
      <c r="AB590" s="580"/>
      <c r="AC590" s="581"/>
      <c r="AD590" s="582"/>
      <c r="AE590" s="583"/>
      <c r="AF590" s="584"/>
      <c r="AG590" s="553">
        <v>0</v>
      </c>
      <c r="AH590" s="554"/>
      <c r="AI590" s="555" t="e">
        <v>#N/A</v>
      </c>
      <c r="AJ590" s="556"/>
      <c r="AK590" s="556"/>
      <c r="AL590" s="556"/>
      <c r="AM590" s="556"/>
      <c r="AN590" s="556"/>
      <c r="AO590" s="556"/>
      <c r="AP590" s="556"/>
      <c r="AQ590" s="556"/>
      <c r="AR590" s="556"/>
      <c r="AS590" s="556"/>
      <c r="AT590" s="556"/>
      <c r="AU590" s="556"/>
      <c r="AV590" s="557"/>
      <c r="AW590" s="558">
        <v>0</v>
      </c>
      <c r="AX590" s="559"/>
      <c r="AY590" s="560"/>
      <c r="AZ590" s="585"/>
      <c r="BA590" s="586"/>
      <c r="BB590" s="587"/>
      <c r="BC590" s="558">
        <v>0</v>
      </c>
      <c r="BD590" s="559"/>
      <c r="BE590" s="560"/>
      <c r="BF590" s="558">
        <v>182.49</v>
      </c>
      <c r="BG590" s="559"/>
      <c r="BH590" s="560"/>
      <c r="BI590" s="564">
        <v>0</v>
      </c>
      <c r="BJ590" s="565"/>
      <c r="BK590" s="565"/>
      <c r="BL590" s="566"/>
      <c r="BM590" s="567" t="s">
        <v>932</v>
      </c>
      <c r="BN590" s="567"/>
      <c r="BO590" s="567"/>
      <c r="BP590" s="567"/>
      <c r="BQ590" s="568" t="s">
        <v>932</v>
      </c>
      <c r="BR590" s="568"/>
      <c r="BS590" s="568"/>
      <c r="BT590" s="567" t="s">
        <v>932</v>
      </c>
      <c r="BU590" s="567"/>
      <c r="BV590" s="567"/>
      <c r="BW590" s="567"/>
      <c r="BX590" s="568" t="s">
        <v>932</v>
      </c>
      <c r="BY590" s="568"/>
      <c r="BZ590" s="568"/>
      <c r="CA590" s="567" t="s">
        <v>932</v>
      </c>
      <c r="CB590" s="567"/>
      <c r="CC590" s="567"/>
      <c r="CD590" s="567"/>
      <c r="CE590" s="568">
        <v>0.4</v>
      </c>
      <c r="CF590" s="568"/>
      <c r="CG590" s="568"/>
      <c r="CH590" s="567" t="s">
        <v>932</v>
      </c>
      <c r="CI590" s="567"/>
      <c r="CJ590" s="567"/>
      <c r="CK590" s="567"/>
      <c r="CL590" s="568">
        <v>0.6</v>
      </c>
      <c r="CM590" s="568"/>
      <c r="CN590" s="568"/>
    </row>
    <row r="591" hidden="1" customHeight="1" spans="1:92">
      <c r="A591" s="588"/>
      <c r="B591" s="589"/>
      <c r="C591" s="590"/>
      <c r="D591" s="591"/>
      <c r="E591" s="592"/>
      <c r="F591" s="593"/>
      <c r="G591" s="594"/>
      <c r="H591" s="595"/>
      <c r="I591" s="596"/>
      <c r="J591" s="597"/>
      <c r="K591" s="597"/>
      <c r="L591" s="597"/>
      <c r="M591" s="597"/>
      <c r="N591" s="597"/>
      <c r="O591" s="597"/>
      <c r="P591" s="597"/>
      <c r="Q591" s="597"/>
      <c r="R591" s="597"/>
      <c r="S591" s="597"/>
      <c r="T591" s="597"/>
      <c r="U591" s="597"/>
      <c r="V591" s="597"/>
      <c r="W591" s="597"/>
      <c r="X591" s="597"/>
      <c r="Y591" s="597"/>
      <c r="Z591" s="597"/>
      <c r="AA591" s="598"/>
      <c r="AB591" s="599"/>
      <c r="AC591" s="600"/>
      <c r="AD591" s="601"/>
      <c r="AE591" s="602"/>
      <c r="AF591" s="603"/>
      <c r="AG591" s="553">
        <v>0</v>
      </c>
      <c r="AH591" s="554"/>
      <c r="AI591" s="555" t="e">
        <v>#N/A</v>
      </c>
      <c r="AJ591" s="556"/>
      <c r="AK591" s="556"/>
      <c r="AL591" s="556"/>
      <c r="AM591" s="556"/>
      <c r="AN591" s="556"/>
      <c r="AO591" s="556"/>
      <c r="AP591" s="556"/>
      <c r="AQ591" s="556"/>
      <c r="AR591" s="556"/>
      <c r="AS591" s="556"/>
      <c r="AT591" s="556"/>
      <c r="AU591" s="556"/>
      <c r="AV591" s="557"/>
      <c r="AW591" s="558">
        <v>0</v>
      </c>
      <c r="AX591" s="559"/>
      <c r="AY591" s="560"/>
      <c r="AZ591" s="604"/>
      <c r="BA591" s="605"/>
      <c r="BB591" s="606"/>
      <c r="BC591" s="558">
        <v>0</v>
      </c>
      <c r="BD591" s="559"/>
      <c r="BE591" s="560"/>
      <c r="BF591" s="558">
        <v>182.49</v>
      </c>
      <c r="BG591" s="559"/>
      <c r="BH591" s="560"/>
      <c r="BI591" s="564">
        <v>0</v>
      </c>
      <c r="BJ591" s="565"/>
      <c r="BK591" s="565"/>
      <c r="BL591" s="566"/>
      <c r="BM591" s="567" t="s">
        <v>932</v>
      </c>
      <c r="BN591" s="567"/>
      <c r="BO591" s="567"/>
      <c r="BP591" s="567"/>
      <c r="BQ591" s="568" t="s">
        <v>932</v>
      </c>
      <c r="BR591" s="568"/>
      <c r="BS591" s="568"/>
      <c r="BT591" s="567" t="s">
        <v>932</v>
      </c>
      <c r="BU591" s="567"/>
      <c r="BV591" s="567"/>
      <c r="BW591" s="567"/>
      <c r="BX591" s="568" t="s">
        <v>932</v>
      </c>
      <c r="BY591" s="568"/>
      <c r="BZ591" s="568"/>
      <c r="CA591" s="567" t="s">
        <v>932</v>
      </c>
      <c r="CB591" s="567"/>
      <c r="CC591" s="567"/>
      <c r="CD591" s="567"/>
      <c r="CE591" s="568">
        <v>0.4</v>
      </c>
      <c r="CF591" s="568"/>
      <c r="CG591" s="568"/>
      <c r="CH591" s="567" t="s">
        <v>932</v>
      </c>
      <c r="CI591" s="567"/>
      <c r="CJ591" s="567"/>
      <c r="CK591" s="567"/>
      <c r="CL591" s="568">
        <v>0.6</v>
      </c>
      <c r="CM591" s="568"/>
      <c r="CN591" s="568"/>
    </row>
    <row r="592" hidden="1" customHeight="1" spans="1:92">
      <c r="A592" s="540" t="s">
        <v>1018</v>
      </c>
      <c r="B592" s="541"/>
      <c r="C592" s="89"/>
      <c r="D592" s="91"/>
      <c r="E592" s="90"/>
      <c r="F592" s="542">
        <v>2007971</v>
      </c>
      <c r="G592" s="543"/>
      <c r="H592" s="544"/>
      <c r="I592" s="545" t="s">
        <v>140</v>
      </c>
      <c r="J592" s="546"/>
      <c r="K592" s="546"/>
      <c r="L592" s="546"/>
      <c r="M592" s="546"/>
      <c r="N592" s="546"/>
      <c r="O592" s="546"/>
      <c r="P592" s="546"/>
      <c r="Q592" s="546"/>
      <c r="R592" s="546"/>
      <c r="S592" s="546"/>
      <c r="T592" s="546"/>
      <c r="U592" s="546"/>
      <c r="V592" s="546"/>
      <c r="W592" s="546"/>
      <c r="X592" s="546"/>
      <c r="Y592" s="546"/>
      <c r="Z592" s="546"/>
      <c r="AA592" s="547"/>
      <c r="AB592" s="548" t="s">
        <v>9</v>
      </c>
      <c r="AC592" s="549"/>
      <c r="AD592" s="550">
        <v>10</v>
      </c>
      <c r="AE592" s="551"/>
      <c r="AF592" s="552"/>
      <c r="AG592" s="553">
        <v>0</v>
      </c>
      <c r="AH592" s="554"/>
      <c r="AI592" s="555" t="e">
        <v>#N/A</v>
      </c>
      <c r="AJ592" s="556"/>
      <c r="AK592" s="556"/>
      <c r="AL592" s="556"/>
      <c r="AM592" s="556"/>
      <c r="AN592" s="556"/>
      <c r="AO592" s="556"/>
      <c r="AP592" s="556"/>
      <c r="AQ592" s="556"/>
      <c r="AR592" s="556"/>
      <c r="AS592" s="556"/>
      <c r="AT592" s="556"/>
      <c r="AU592" s="556"/>
      <c r="AV592" s="557"/>
      <c r="AW592" s="558">
        <v>0</v>
      </c>
      <c r="AX592" s="559"/>
      <c r="AY592" s="560"/>
      <c r="AZ592" s="561">
        <v>2</v>
      </c>
      <c r="BA592" s="562"/>
      <c r="BB592" s="563"/>
      <c r="BC592" s="558">
        <v>0</v>
      </c>
      <c r="BD592" s="559"/>
      <c r="BE592" s="560"/>
      <c r="BF592" s="558">
        <v>182.49</v>
      </c>
      <c r="BG592" s="559"/>
      <c r="BH592" s="560"/>
      <c r="BI592" s="564">
        <v>0</v>
      </c>
      <c r="BJ592" s="565"/>
      <c r="BK592" s="565"/>
      <c r="BL592" s="566"/>
      <c r="BM592" s="567" t="s">
        <v>932</v>
      </c>
      <c r="BN592" s="567"/>
      <c r="BO592" s="567"/>
      <c r="BP592" s="567"/>
      <c r="BQ592" s="568" t="s">
        <v>932</v>
      </c>
      <c r="BR592" s="568"/>
      <c r="BS592" s="568"/>
      <c r="BT592" s="567" t="s">
        <v>932</v>
      </c>
      <c r="BU592" s="567"/>
      <c r="BV592" s="567"/>
      <c r="BW592" s="567"/>
      <c r="BX592" s="568" t="s">
        <v>932</v>
      </c>
      <c r="BY592" s="568"/>
      <c r="BZ592" s="568"/>
      <c r="CA592" s="567" t="s">
        <v>932</v>
      </c>
      <c r="CB592" s="567"/>
      <c r="CC592" s="567"/>
      <c r="CD592" s="567"/>
      <c r="CE592" s="568" t="s">
        <v>932</v>
      </c>
      <c r="CF592" s="568"/>
      <c r="CG592" s="568"/>
      <c r="CH592" s="567" t="s">
        <v>932</v>
      </c>
      <c r="CI592" s="567"/>
      <c r="CJ592" s="567"/>
      <c r="CK592" s="567"/>
      <c r="CL592" s="568">
        <v>1</v>
      </c>
      <c r="CM592" s="568"/>
      <c r="CN592" s="568"/>
    </row>
    <row r="593" hidden="1" customHeight="1" spans="1:92">
      <c r="A593" s="569"/>
      <c r="B593" s="570"/>
      <c r="C593" s="571"/>
      <c r="D593" s="572"/>
      <c r="E593" s="573"/>
      <c r="F593" s="574"/>
      <c r="G593" s="575"/>
      <c r="H593" s="576"/>
      <c r="I593" s="577"/>
      <c r="J593" s="578"/>
      <c r="K593" s="578"/>
      <c r="L593" s="578"/>
      <c r="M593" s="578"/>
      <c r="N593" s="578"/>
      <c r="O593" s="578"/>
      <c r="P593" s="578"/>
      <c r="Q593" s="578"/>
      <c r="R593" s="578"/>
      <c r="S593" s="578"/>
      <c r="T593" s="578"/>
      <c r="U593" s="578"/>
      <c r="V593" s="578"/>
      <c r="W593" s="578"/>
      <c r="X593" s="578"/>
      <c r="Y593" s="578"/>
      <c r="Z593" s="578"/>
      <c r="AA593" s="579"/>
      <c r="AB593" s="580"/>
      <c r="AC593" s="581"/>
      <c r="AD593" s="582"/>
      <c r="AE593" s="583"/>
      <c r="AF593" s="584"/>
      <c r="AG593" s="553">
        <v>0</v>
      </c>
      <c r="AH593" s="554"/>
      <c r="AI593" s="555" t="e">
        <v>#N/A</v>
      </c>
      <c r="AJ593" s="556"/>
      <c r="AK593" s="556"/>
      <c r="AL593" s="556"/>
      <c r="AM593" s="556"/>
      <c r="AN593" s="556"/>
      <c r="AO593" s="556"/>
      <c r="AP593" s="556"/>
      <c r="AQ593" s="556"/>
      <c r="AR593" s="556"/>
      <c r="AS593" s="556"/>
      <c r="AT593" s="556"/>
      <c r="AU593" s="556"/>
      <c r="AV593" s="557"/>
      <c r="AW593" s="558">
        <v>0</v>
      </c>
      <c r="AX593" s="559"/>
      <c r="AY593" s="560"/>
      <c r="AZ593" s="585"/>
      <c r="BA593" s="586"/>
      <c r="BB593" s="587"/>
      <c r="BC593" s="558">
        <v>0</v>
      </c>
      <c r="BD593" s="559"/>
      <c r="BE593" s="560"/>
      <c r="BF593" s="558">
        <v>182.49</v>
      </c>
      <c r="BG593" s="559"/>
      <c r="BH593" s="560"/>
      <c r="BI593" s="564">
        <v>0</v>
      </c>
      <c r="BJ593" s="565"/>
      <c r="BK593" s="565"/>
      <c r="BL593" s="566"/>
      <c r="BM593" s="567" t="s">
        <v>932</v>
      </c>
      <c r="BN593" s="567"/>
      <c r="BO593" s="567"/>
      <c r="BP593" s="567"/>
      <c r="BQ593" s="568" t="s">
        <v>932</v>
      </c>
      <c r="BR593" s="568"/>
      <c r="BS593" s="568"/>
      <c r="BT593" s="567" t="s">
        <v>932</v>
      </c>
      <c r="BU593" s="567"/>
      <c r="BV593" s="567"/>
      <c r="BW593" s="567"/>
      <c r="BX593" s="568" t="s">
        <v>932</v>
      </c>
      <c r="BY593" s="568"/>
      <c r="BZ593" s="568"/>
      <c r="CA593" s="567" t="s">
        <v>932</v>
      </c>
      <c r="CB593" s="567"/>
      <c r="CC593" s="567"/>
      <c r="CD593" s="567"/>
      <c r="CE593" s="568" t="s">
        <v>932</v>
      </c>
      <c r="CF593" s="568"/>
      <c r="CG593" s="568"/>
      <c r="CH593" s="567" t="s">
        <v>932</v>
      </c>
      <c r="CI593" s="567"/>
      <c r="CJ593" s="567"/>
      <c r="CK593" s="567"/>
      <c r="CL593" s="568">
        <v>1</v>
      </c>
      <c r="CM593" s="568"/>
      <c r="CN593" s="568"/>
    </row>
    <row r="594" hidden="1" customHeight="1" spans="1:92">
      <c r="A594" s="569"/>
      <c r="B594" s="570"/>
      <c r="C594" s="571"/>
      <c r="D594" s="572"/>
      <c r="E594" s="573"/>
      <c r="F594" s="574"/>
      <c r="G594" s="575"/>
      <c r="H594" s="576"/>
      <c r="I594" s="577"/>
      <c r="J594" s="578"/>
      <c r="K594" s="578"/>
      <c r="L594" s="578"/>
      <c r="M594" s="578"/>
      <c r="N594" s="578"/>
      <c r="O594" s="578"/>
      <c r="P594" s="578"/>
      <c r="Q594" s="578"/>
      <c r="R594" s="578"/>
      <c r="S594" s="578"/>
      <c r="T594" s="578"/>
      <c r="U594" s="578"/>
      <c r="V594" s="578"/>
      <c r="W594" s="578"/>
      <c r="X594" s="578"/>
      <c r="Y594" s="578"/>
      <c r="Z594" s="578"/>
      <c r="AA594" s="579"/>
      <c r="AB594" s="580"/>
      <c r="AC594" s="581"/>
      <c r="AD594" s="582"/>
      <c r="AE594" s="583"/>
      <c r="AF594" s="584"/>
      <c r="AG594" s="553">
        <v>0</v>
      </c>
      <c r="AH594" s="554"/>
      <c r="AI594" s="555" t="e">
        <v>#N/A</v>
      </c>
      <c r="AJ594" s="556"/>
      <c r="AK594" s="556"/>
      <c r="AL594" s="556"/>
      <c r="AM594" s="556"/>
      <c r="AN594" s="556"/>
      <c r="AO594" s="556"/>
      <c r="AP594" s="556"/>
      <c r="AQ594" s="556"/>
      <c r="AR594" s="556"/>
      <c r="AS594" s="556"/>
      <c r="AT594" s="556"/>
      <c r="AU594" s="556"/>
      <c r="AV594" s="557"/>
      <c r="AW594" s="558">
        <v>0</v>
      </c>
      <c r="AX594" s="559"/>
      <c r="AY594" s="560"/>
      <c r="AZ594" s="585"/>
      <c r="BA594" s="586"/>
      <c r="BB594" s="587"/>
      <c r="BC594" s="558">
        <v>0</v>
      </c>
      <c r="BD594" s="559"/>
      <c r="BE594" s="560"/>
      <c r="BF594" s="558">
        <v>182.49</v>
      </c>
      <c r="BG594" s="559"/>
      <c r="BH594" s="560"/>
      <c r="BI594" s="564">
        <v>0</v>
      </c>
      <c r="BJ594" s="565"/>
      <c r="BK594" s="565"/>
      <c r="BL594" s="566"/>
      <c r="BM594" s="567" t="s">
        <v>932</v>
      </c>
      <c r="BN594" s="567"/>
      <c r="BO594" s="567"/>
      <c r="BP594" s="567"/>
      <c r="BQ594" s="568" t="s">
        <v>932</v>
      </c>
      <c r="BR594" s="568"/>
      <c r="BS594" s="568"/>
      <c r="BT594" s="567" t="s">
        <v>932</v>
      </c>
      <c r="BU594" s="567"/>
      <c r="BV594" s="567"/>
      <c r="BW594" s="567"/>
      <c r="BX594" s="568" t="s">
        <v>932</v>
      </c>
      <c r="BY594" s="568"/>
      <c r="BZ594" s="568"/>
      <c r="CA594" s="567" t="s">
        <v>932</v>
      </c>
      <c r="CB594" s="567"/>
      <c r="CC594" s="567"/>
      <c r="CD594" s="567"/>
      <c r="CE594" s="568" t="s">
        <v>932</v>
      </c>
      <c r="CF594" s="568"/>
      <c r="CG594" s="568"/>
      <c r="CH594" s="567" t="s">
        <v>932</v>
      </c>
      <c r="CI594" s="567"/>
      <c r="CJ594" s="567"/>
      <c r="CK594" s="567"/>
      <c r="CL594" s="568">
        <v>1</v>
      </c>
      <c r="CM594" s="568"/>
      <c r="CN594" s="568"/>
    </row>
    <row r="595" hidden="1" customHeight="1" spans="1:92">
      <c r="A595" s="569"/>
      <c r="B595" s="570"/>
      <c r="C595" s="571"/>
      <c r="D595" s="572"/>
      <c r="E595" s="573"/>
      <c r="F595" s="574"/>
      <c r="G595" s="575"/>
      <c r="H595" s="576"/>
      <c r="I595" s="577"/>
      <c r="J595" s="578"/>
      <c r="K595" s="578"/>
      <c r="L595" s="578"/>
      <c r="M595" s="578"/>
      <c r="N595" s="578"/>
      <c r="O595" s="578"/>
      <c r="P595" s="578"/>
      <c r="Q595" s="578"/>
      <c r="R595" s="578"/>
      <c r="S595" s="578"/>
      <c r="T595" s="578"/>
      <c r="U595" s="578"/>
      <c r="V595" s="578"/>
      <c r="W595" s="578"/>
      <c r="X595" s="578"/>
      <c r="Y595" s="578"/>
      <c r="Z595" s="578"/>
      <c r="AA595" s="579"/>
      <c r="AB595" s="580"/>
      <c r="AC595" s="581"/>
      <c r="AD595" s="582"/>
      <c r="AE595" s="583"/>
      <c r="AF595" s="584"/>
      <c r="AG595" s="553">
        <v>0</v>
      </c>
      <c r="AH595" s="554"/>
      <c r="AI595" s="555" t="e">
        <v>#N/A</v>
      </c>
      <c r="AJ595" s="556"/>
      <c r="AK595" s="556"/>
      <c r="AL595" s="556"/>
      <c r="AM595" s="556"/>
      <c r="AN595" s="556"/>
      <c r="AO595" s="556"/>
      <c r="AP595" s="556"/>
      <c r="AQ595" s="556"/>
      <c r="AR595" s="556"/>
      <c r="AS595" s="556"/>
      <c r="AT595" s="556"/>
      <c r="AU595" s="556"/>
      <c r="AV595" s="557"/>
      <c r="AW595" s="558">
        <v>0</v>
      </c>
      <c r="AX595" s="559"/>
      <c r="AY595" s="560"/>
      <c r="AZ595" s="585"/>
      <c r="BA595" s="586"/>
      <c r="BB595" s="587"/>
      <c r="BC595" s="558">
        <v>0</v>
      </c>
      <c r="BD595" s="559"/>
      <c r="BE595" s="560"/>
      <c r="BF595" s="558">
        <v>182.49</v>
      </c>
      <c r="BG595" s="559"/>
      <c r="BH595" s="560"/>
      <c r="BI595" s="564">
        <v>0</v>
      </c>
      <c r="BJ595" s="565"/>
      <c r="BK595" s="565"/>
      <c r="BL595" s="566"/>
      <c r="BM595" s="567" t="s">
        <v>932</v>
      </c>
      <c r="BN595" s="567"/>
      <c r="BO595" s="567"/>
      <c r="BP595" s="567"/>
      <c r="BQ595" s="568" t="s">
        <v>932</v>
      </c>
      <c r="BR595" s="568"/>
      <c r="BS595" s="568"/>
      <c r="BT595" s="567" t="s">
        <v>932</v>
      </c>
      <c r="BU595" s="567"/>
      <c r="BV595" s="567"/>
      <c r="BW595" s="567"/>
      <c r="BX595" s="568" t="s">
        <v>932</v>
      </c>
      <c r="BY595" s="568"/>
      <c r="BZ595" s="568"/>
      <c r="CA595" s="567" t="s">
        <v>932</v>
      </c>
      <c r="CB595" s="567"/>
      <c r="CC595" s="567"/>
      <c r="CD595" s="567"/>
      <c r="CE595" s="568" t="s">
        <v>932</v>
      </c>
      <c r="CF595" s="568"/>
      <c r="CG595" s="568"/>
      <c r="CH595" s="567" t="s">
        <v>932</v>
      </c>
      <c r="CI595" s="567"/>
      <c r="CJ595" s="567"/>
      <c r="CK595" s="567"/>
      <c r="CL595" s="568">
        <v>1</v>
      </c>
      <c r="CM595" s="568"/>
      <c r="CN595" s="568"/>
    </row>
    <row r="596" hidden="1" customHeight="1" spans="1:92">
      <c r="A596" s="569"/>
      <c r="B596" s="570"/>
      <c r="C596" s="571"/>
      <c r="D596" s="572"/>
      <c r="E596" s="573"/>
      <c r="F596" s="574"/>
      <c r="G596" s="575"/>
      <c r="H596" s="576"/>
      <c r="I596" s="577"/>
      <c r="J596" s="578"/>
      <c r="K596" s="578"/>
      <c r="L596" s="578"/>
      <c r="M596" s="578"/>
      <c r="N596" s="578"/>
      <c r="O596" s="578"/>
      <c r="P596" s="578"/>
      <c r="Q596" s="578"/>
      <c r="R596" s="578"/>
      <c r="S596" s="578"/>
      <c r="T596" s="578"/>
      <c r="U596" s="578"/>
      <c r="V596" s="578"/>
      <c r="W596" s="578"/>
      <c r="X596" s="578"/>
      <c r="Y596" s="578"/>
      <c r="Z596" s="578"/>
      <c r="AA596" s="579"/>
      <c r="AB596" s="580"/>
      <c r="AC596" s="581"/>
      <c r="AD596" s="582"/>
      <c r="AE596" s="583"/>
      <c r="AF596" s="584"/>
      <c r="AG596" s="553">
        <v>0</v>
      </c>
      <c r="AH596" s="554"/>
      <c r="AI596" s="555" t="e">
        <v>#N/A</v>
      </c>
      <c r="AJ596" s="556"/>
      <c r="AK596" s="556"/>
      <c r="AL596" s="556"/>
      <c r="AM596" s="556"/>
      <c r="AN596" s="556"/>
      <c r="AO596" s="556"/>
      <c r="AP596" s="556"/>
      <c r="AQ596" s="556"/>
      <c r="AR596" s="556"/>
      <c r="AS596" s="556"/>
      <c r="AT596" s="556"/>
      <c r="AU596" s="556"/>
      <c r="AV596" s="557"/>
      <c r="AW596" s="558">
        <v>0</v>
      </c>
      <c r="AX596" s="559"/>
      <c r="AY596" s="560"/>
      <c r="AZ596" s="585"/>
      <c r="BA596" s="586"/>
      <c r="BB596" s="587"/>
      <c r="BC596" s="558">
        <v>0</v>
      </c>
      <c r="BD596" s="559"/>
      <c r="BE596" s="560"/>
      <c r="BF596" s="558">
        <v>182.49</v>
      </c>
      <c r="BG596" s="559"/>
      <c r="BH596" s="560"/>
      <c r="BI596" s="564">
        <v>0</v>
      </c>
      <c r="BJ596" s="565"/>
      <c r="BK596" s="565"/>
      <c r="BL596" s="566"/>
      <c r="BM596" s="567" t="s">
        <v>932</v>
      </c>
      <c r="BN596" s="567"/>
      <c r="BO596" s="567"/>
      <c r="BP596" s="567"/>
      <c r="BQ596" s="568" t="s">
        <v>932</v>
      </c>
      <c r="BR596" s="568"/>
      <c r="BS596" s="568"/>
      <c r="BT596" s="567" t="s">
        <v>932</v>
      </c>
      <c r="BU596" s="567"/>
      <c r="BV596" s="567"/>
      <c r="BW596" s="567"/>
      <c r="BX596" s="568" t="s">
        <v>932</v>
      </c>
      <c r="BY596" s="568"/>
      <c r="BZ596" s="568"/>
      <c r="CA596" s="567" t="s">
        <v>932</v>
      </c>
      <c r="CB596" s="567"/>
      <c r="CC596" s="567"/>
      <c r="CD596" s="567"/>
      <c r="CE596" s="568" t="s">
        <v>932</v>
      </c>
      <c r="CF596" s="568"/>
      <c r="CG596" s="568"/>
      <c r="CH596" s="567" t="s">
        <v>932</v>
      </c>
      <c r="CI596" s="567"/>
      <c r="CJ596" s="567"/>
      <c r="CK596" s="567"/>
      <c r="CL596" s="568">
        <v>1</v>
      </c>
      <c r="CM596" s="568"/>
      <c r="CN596" s="568"/>
    </row>
    <row r="597" hidden="1" customHeight="1" spans="1:92">
      <c r="A597" s="569"/>
      <c r="B597" s="570"/>
      <c r="C597" s="571"/>
      <c r="D597" s="572"/>
      <c r="E597" s="573"/>
      <c r="F597" s="574"/>
      <c r="G597" s="575"/>
      <c r="H597" s="576"/>
      <c r="I597" s="577"/>
      <c r="J597" s="578"/>
      <c r="K597" s="578"/>
      <c r="L597" s="578"/>
      <c r="M597" s="578"/>
      <c r="N597" s="578"/>
      <c r="O597" s="578"/>
      <c r="P597" s="578"/>
      <c r="Q597" s="578"/>
      <c r="R597" s="578"/>
      <c r="S597" s="578"/>
      <c r="T597" s="578"/>
      <c r="U597" s="578"/>
      <c r="V597" s="578"/>
      <c r="W597" s="578"/>
      <c r="X597" s="578"/>
      <c r="Y597" s="578"/>
      <c r="Z597" s="578"/>
      <c r="AA597" s="579"/>
      <c r="AB597" s="580"/>
      <c r="AC597" s="581"/>
      <c r="AD597" s="582"/>
      <c r="AE597" s="583"/>
      <c r="AF597" s="584"/>
      <c r="AG597" s="553">
        <v>0</v>
      </c>
      <c r="AH597" s="554"/>
      <c r="AI597" s="555" t="e">
        <v>#N/A</v>
      </c>
      <c r="AJ597" s="556"/>
      <c r="AK597" s="556"/>
      <c r="AL597" s="556"/>
      <c r="AM597" s="556"/>
      <c r="AN597" s="556"/>
      <c r="AO597" s="556"/>
      <c r="AP597" s="556"/>
      <c r="AQ597" s="556"/>
      <c r="AR597" s="556"/>
      <c r="AS597" s="556"/>
      <c r="AT597" s="556"/>
      <c r="AU597" s="556"/>
      <c r="AV597" s="557"/>
      <c r="AW597" s="558">
        <v>0</v>
      </c>
      <c r="AX597" s="559"/>
      <c r="AY597" s="560"/>
      <c r="AZ597" s="585"/>
      <c r="BA597" s="586"/>
      <c r="BB597" s="587"/>
      <c r="BC597" s="558">
        <v>0</v>
      </c>
      <c r="BD597" s="559"/>
      <c r="BE597" s="560"/>
      <c r="BF597" s="558">
        <v>182.49</v>
      </c>
      <c r="BG597" s="559"/>
      <c r="BH597" s="560"/>
      <c r="BI597" s="564">
        <v>0</v>
      </c>
      <c r="BJ597" s="565"/>
      <c r="BK597" s="565"/>
      <c r="BL597" s="566"/>
      <c r="BM597" s="567" t="s">
        <v>932</v>
      </c>
      <c r="BN597" s="567"/>
      <c r="BO597" s="567"/>
      <c r="BP597" s="567"/>
      <c r="BQ597" s="568" t="s">
        <v>932</v>
      </c>
      <c r="BR597" s="568"/>
      <c r="BS597" s="568"/>
      <c r="BT597" s="567" t="s">
        <v>932</v>
      </c>
      <c r="BU597" s="567"/>
      <c r="BV597" s="567"/>
      <c r="BW597" s="567"/>
      <c r="BX597" s="568" t="s">
        <v>932</v>
      </c>
      <c r="BY597" s="568"/>
      <c r="BZ597" s="568"/>
      <c r="CA597" s="567" t="s">
        <v>932</v>
      </c>
      <c r="CB597" s="567"/>
      <c r="CC597" s="567"/>
      <c r="CD597" s="567"/>
      <c r="CE597" s="568" t="s">
        <v>932</v>
      </c>
      <c r="CF597" s="568"/>
      <c r="CG597" s="568"/>
      <c r="CH597" s="567" t="s">
        <v>932</v>
      </c>
      <c r="CI597" s="567"/>
      <c r="CJ597" s="567"/>
      <c r="CK597" s="567"/>
      <c r="CL597" s="568">
        <v>1</v>
      </c>
      <c r="CM597" s="568"/>
      <c r="CN597" s="568"/>
    </row>
    <row r="598" hidden="1" customHeight="1" spans="1:92">
      <c r="A598" s="569"/>
      <c r="B598" s="570"/>
      <c r="C598" s="571"/>
      <c r="D598" s="572"/>
      <c r="E598" s="573"/>
      <c r="F598" s="574"/>
      <c r="G598" s="575"/>
      <c r="H598" s="576"/>
      <c r="I598" s="577"/>
      <c r="J598" s="578"/>
      <c r="K598" s="578"/>
      <c r="L598" s="578"/>
      <c r="M598" s="578"/>
      <c r="N598" s="578"/>
      <c r="O598" s="578"/>
      <c r="P598" s="578"/>
      <c r="Q598" s="578"/>
      <c r="R598" s="578"/>
      <c r="S598" s="578"/>
      <c r="T598" s="578"/>
      <c r="U598" s="578"/>
      <c r="V598" s="578"/>
      <c r="W598" s="578"/>
      <c r="X598" s="578"/>
      <c r="Y598" s="578"/>
      <c r="Z598" s="578"/>
      <c r="AA598" s="579"/>
      <c r="AB598" s="580"/>
      <c r="AC598" s="581"/>
      <c r="AD598" s="582"/>
      <c r="AE598" s="583"/>
      <c r="AF598" s="584"/>
      <c r="AG598" s="553">
        <v>0</v>
      </c>
      <c r="AH598" s="554"/>
      <c r="AI598" s="555" t="e">
        <v>#N/A</v>
      </c>
      <c r="AJ598" s="556"/>
      <c r="AK598" s="556"/>
      <c r="AL598" s="556"/>
      <c r="AM598" s="556"/>
      <c r="AN598" s="556"/>
      <c r="AO598" s="556"/>
      <c r="AP598" s="556"/>
      <c r="AQ598" s="556"/>
      <c r="AR598" s="556"/>
      <c r="AS598" s="556"/>
      <c r="AT598" s="556"/>
      <c r="AU598" s="556"/>
      <c r="AV598" s="557"/>
      <c r="AW598" s="558">
        <v>0</v>
      </c>
      <c r="AX598" s="559"/>
      <c r="AY598" s="560"/>
      <c r="AZ598" s="585"/>
      <c r="BA598" s="586"/>
      <c r="BB598" s="587"/>
      <c r="BC598" s="558">
        <v>0</v>
      </c>
      <c r="BD598" s="559"/>
      <c r="BE598" s="560"/>
      <c r="BF598" s="558">
        <v>182.49</v>
      </c>
      <c r="BG598" s="559"/>
      <c r="BH598" s="560"/>
      <c r="BI598" s="564">
        <v>0</v>
      </c>
      <c r="BJ598" s="565"/>
      <c r="BK598" s="565"/>
      <c r="BL598" s="566"/>
      <c r="BM598" s="567" t="s">
        <v>932</v>
      </c>
      <c r="BN598" s="567"/>
      <c r="BO598" s="567"/>
      <c r="BP598" s="567"/>
      <c r="BQ598" s="568" t="s">
        <v>932</v>
      </c>
      <c r="BR598" s="568"/>
      <c r="BS598" s="568"/>
      <c r="BT598" s="567" t="s">
        <v>932</v>
      </c>
      <c r="BU598" s="567"/>
      <c r="BV598" s="567"/>
      <c r="BW598" s="567"/>
      <c r="BX598" s="568" t="s">
        <v>932</v>
      </c>
      <c r="BY598" s="568"/>
      <c r="BZ598" s="568"/>
      <c r="CA598" s="567" t="s">
        <v>932</v>
      </c>
      <c r="CB598" s="567"/>
      <c r="CC598" s="567"/>
      <c r="CD598" s="567"/>
      <c r="CE598" s="568" t="s">
        <v>932</v>
      </c>
      <c r="CF598" s="568"/>
      <c r="CG598" s="568"/>
      <c r="CH598" s="567" t="s">
        <v>932</v>
      </c>
      <c r="CI598" s="567"/>
      <c r="CJ598" s="567"/>
      <c r="CK598" s="567"/>
      <c r="CL598" s="568">
        <v>1</v>
      </c>
      <c r="CM598" s="568"/>
      <c r="CN598" s="568"/>
    </row>
    <row r="599" hidden="1" customHeight="1" spans="1:92">
      <c r="A599" s="588"/>
      <c r="B599" s="589"/>
      <c r="C599" s="590"/>
      <c r="D599" s="591"/>
      <c r="E599" s="592"/>
      <c r="F599" s="593"/>
      <c r="G599" s="594"/>
      <c r="H599" s="595"/>
      <c r="I599" s="596"/>
      <c r="J599" s="597"/>
      <c r="K599" s="597"/>
      <c r="L599" s="597"/>
      <c r="M599" s="597"/>
      <c r="N599" s="597"/>
      <c r="O599" s="597"/>
      <c r="P599" s="597"/>
      <c r="Q599" s="597"/>
      <c r="R599" s="597"/>
      <c r="S599" s="597"/>
      <c r="T599" s="597"/>
      <c r="U599" s="597"/>
      <c r="V599" s="597"/>
      <c r="W599" s="597"/>
      <c r="X599" s="597"/>
      <c r="Y599" s="597"/>
      <c r="Z599" s="597"/>
      <c r="AA599" s="598"/>
      <c r="AB599" s="599"/>
      <c r="AC599" s="600"/>
      <c r="AD599" s="601"/>
      <c r="AE599" s="602"/>
      <c r="AF599" s="603"/>
      <c r="AG599" s="553">
        <v>0</v>
      </c>
      <c r="AH599" s="554"/>
      <c r="AI599" s="555" t="e">
        <v>#N/A</v>
      </c>
      <c r="AJ599" s="556"/>
      <c r="AK599" s="556"/>
      <c r="AL599" s="556"/>
      <c r="AM599" s="556"/>
      <c r="AN599" s="556"/>
      <c r="AO599" s="556"/>
      <c r="AP599" s="556"/>
      <c r="AQ599" s="556"/>
      <c r="AR599" s="556"/>
      <c r="AS599" s="556"/>
      <c r="AT599" s="556"/>
      <c r="AU599" s="556"/>
      <c r="AV599" s="557"/>
      <c r="AW599" s="558">
        <v>0</v>
      </c>
      <c r="AX599" s="559"/>
      <c r="AY599" s="560"/>
      <c r="AZ599" s="604"/>
      <c r="BA599" s="605"/>
      <c r="BB599" s="606"/>
      <c r="BC599" s="558">
        <v>0</v>
      </c>
      <c r="BD599" s="559"/>
      <c r="BE599" s="560"/>
      <c r="BF599" s="558">
        <v>182.49</v>
      </c>
      <c r="BG599" s="559"/>
      <c r="BH599" s="560"/>
      <c r="BI599" s="564">
        <v>0</v>
      </c>
      <c r="BJ599" s="565"/>
      <c r="BK599" s="565"/>
      <c r="BL599" s="566"/>
      <c r="BM599" s="567" t="s">
        <v>932</v>
      </c>
      <c r="BN599" s="567"/>
      <c r="BO599" s="567"/>
      <c r="BP599" s="567"/>
      <c r="BQ599" s="568" t="s">
        <v>932</v>
      </c>
      <c r="BR599" s="568"/>
      <c r="BS599" s="568"/>
      <c r="BT599" s="567" t="s">
        <v>932</v>
      </c>
      <c r="BU599" s="567"/>
      <c r="BV599" s="567"/>
      <c r="BW599" s="567"/>
      <c r="BX599" s="568" t="s">
        <v>932</v>
      </c>
      <c r="BY599" s="568"/>
      <c r="BZ599" s="568"/>
      <c r="CA599" s="567" t="s">
        <v>932</v>
      </c>
      <c r="CB599" s="567"/>
      <c r="CC599" s="567"/>
      <c r="CD599" s="567"/>
      <c r="CE599" s="568" t="s">
        <v>932</v>
      </c>
      <c r="CF599" s="568"/>
      <c r="CG599" s="568"/>
      <c r="CH599" s="567" t="s">
        <v>932</v>
      </c>
      <c r="CI599" s="567"/>
      <c r="CJ599" s="567"/>
      <c r="CK599" s="567"/>
      <c r="CL599" s="568">
        <v>1</v>
      </c>
      <c r="CM599" s="568"/>
      <c r="CN599" s="568"/>
    </row>
    <row r="600" customHeight="1" spans="1:92">
      <c r="A600" s="540" t="s">
        <v>1019</v>
      </c>
      <c r="B600" s="541"/>
      <c r="C600" s="89"/>
      <c r="D600" s="91"/>
      <c r="E600" s="90"/>
      <c r="F600" s="542">
        <v>5502109</v>
      </c>
      <c r="G600" s="543"/>
      <c r="H600" s="544"/>
      <c r="I600" s="545" t="s">
        <v>98</v>
      </c>
      <c r="J600" s="546"/>
      <c r="K600" s="546"/>
      <c r="L600" s="546"/>
      <c r="M600" s="546"/>
      <c r="N600" s="546"/>
      <c r="O600" s="546"/>
      <c r="P600" s="546"/>
      <c r="Q600" s="546"/>
      <c r="R600" s="546"/>
      <c r="S600" s="546"/>
      <c r="T600" s="546"/>
      <c r="U600" s="546"/>
      <c r="V600" s="546"/>
      <c r="W600" s="546"/>
      <c r="X600" s="546"/>
      <c r="Y600" s="546"/>
      <c r="Z600" s="546"/>
      <c r="AA600" s="547"/>
      <c r="AB600" s="548" t="s">
        <v>99</v>
      </c>
      <c r="AC600" s="549"/>
      <c r="AD600" s="550">
        <v>181.79</v>
      </c>
      <c r="AE600" s="551"/>
      <c r="AF600" s="552"/>
      <c r="AG600" s="553" t="s">
        <v>1056</v>
      </c>
      <c r="AH600" s="554"/>
      <c r="AI600" s="555" t="s">
        <v>1057</v>
      </c>
      <c r="AJ600" s="556"/>
      <c r="AK600" s="556"/>
      <c r="AL600" s="556"/>
      <c r="AM600" s="556"/>
      <c r="AN600" s="556"/>
      <c r="AO600" s="556"/>
      <c r="AP600" s="556"/>
      <c r="AQ600" s="556"/>
      <c r="AR600" s="556"/>
      <c r="AS600" s="556"/>
      <c r="AT600" s="556"/>
      <c r="AU600" s="556"/>
      <c r="AV600" s="557"/>
      <c r="AW600" s="558">
        <v>4</v>
      </c>
      <c r="AX600" s="559"/>
      <c r="AY600" s="560"/>
      <c r="AZ600" s="561">
        <v>230.19</v>
      </c>
      <c r="BA600" s="562"/>
      <c r="BB600" s="563"/>
      <c r="BC600" s="558">
        <v>3.15895564533646</v>
      </c>
      <c r="BD600" s="559"/>
      <c r="BE600" s="560"/>
      <c r="BF600" s="558">
        <v>182.49</v>
      </c>
      <c r="BG600" s="559"/>
      <c r="BH600" s="560"/>
      <c r="BI600" s="564">
        <v>0.0173102945111319</v>
      </c>
      <c r="BJ600" s="565"/>
      <c r="BK600" s="565"/>
      <c r="BL600" s="566"/>
      <c r="BM600" s="567" t="s">
        <v>932</v>
      </c>
      <c r="BN600" s="567"/>
      <c r="BO600" s="567"/>
      <c r="BP600" s="567"/>
      <c r="BQ600" s="568" t="s">
        <v>932</v>
      </c>
      <c r="BR600" s="568"/>
      <c r="BS600" s="568"/>
      <c r="BT600" s="567">
        <v>0.0173102945111319</v>
      </c>
      <c r="BU600" s="567"/>
      <c r="BV600" s="567"/>
      <c r="BW600" s="567"/>
      <c r="BX600" s="568">
        <v>1</v>
      </c>
      <c r="BY600" s="568"/>
      <c r="BZ600" s="568"/>
      <c r="CA600" s="567" t="s">
        <v>932</v>
      </c>
      <c r="CB600" s="567"/>
      <c r="CC600" s="567"/>
      <c r="CD600" s="567"/>
      <c r="CE600" s="568" t="s">
        <v>932</v>
      </c>
      <c r="CF600" s="568"/>
      <c r="CG600" s="568"/>
      <c r="CH600" s="567" t="s">
        <v>932</v>
      </c>
      <c r="CI600" s="567"/>
      <c r="CJ600" s="567"/>
      <c r="CK600" s="567"/>
      <c r="CL600" s="568" t="s">
        <v>932</v>
      </c>
      <c r="CM600" s="568"/>
      <c r="CN600" s="568"/>
    </row>
    <row r="601" customHeight="1" spans="1:92">
      <c r="A601" s="569"/>
      <c r="B601" s="570"/>
      <c r="C601" s="571"/>
      <c r="D601" s="572"/>
      <c r="E601" s="573"/>
      <c r="F601" s="574"/>
      <c r="G601" s="575"/>
      <c r="H601" s="576"/>
      <c r="I601" s="577"/>
      <c r="J601" s="578"/>
      <c r="K601" s="578"/>
      <c r="L601" s="578"/>
      <c r="M601" s="578"/>
      <c r="N601" s="578"/>
      <c r="O601" s="578"/>
      <c r="P601" s="578"/>
      <c r="Q601" s="578"/>
      <c r="R601" s="578"/>
      <c r="S601" s="578"/>
      <c r="T601" s="578"/>
      <c r="U601" s="578"/>
      <c r="V601" s="578"/>
      <c r="W601" s="578"/>
      <c r="X601" s="578"/>
      <c r="Y601" s="578"/>
      <c r="Z601" s="578"/>
      <c r="AA601" s="579"/>
      <c r="AB601" s="580"/>
      <c r="AC601" s="581"/>
      <c r="AD601" s="582"/>
      <c r="AE601" s="583"/>
      <c r="AF601" s="584"/>
      <c r="AG601" s="553" t="s">
        <v>1058</v>
      </c>
      <c r="AH601" s="554"/>
      <c r="AI601" s="555" t="s">
        <v>1059</v>
      </c>
      <c r="AJ601" s="556"/>
      <c r="AK601" s="556"/>
      <c r="AL601" s="556"/>
      <c r="AM601" s="556"/>
      <c r="AN601" s="556"/>
      <c r="AO601" s="556"/>
      <c r="AP601" s="556"/>
      <c r="AQ601" s="556"/>
      <c r="AR601" s="556"/>
      <c r="AS601" s="556"/>
      <c r="AT601" s="556"/>
      <c r="AU601" s="556"/>
      <c r="AV601" s="557"/>
      <c r="AW601" s="558">
        <v>1</v>
      </c>
      <c r="AX601" s="559"/>
      <c r="AY601" s="560"/>
      <c r="AZ601" s="585"/>
      <c r="BA601" s="586"/>
      <c r="BB601" s="587"/>
      <c r="BC601" s="558">
        <v>0.789738911334115</v>
      </c>
      <c r="BD601" s="559"/>
      <c r="BE601" s="560"/>
      <c r="BF601" s="558">
        <v>182.49</v>
      </c>
      <c r="BG601" s="559"/>
      <c r="BH601" s="560"/>
      <c r="BI601" s="564">
        <v>0.00432757362778298</v>
      </c>
      <c r="BJ601" s="565"/>
      <c r="BK601" s="565"/>
      <c r="BL601" s="566"/>
      <c r="BM601" s="567" t="s">
        <v>932</v>
      </c>
      <c r="BN601" s="567"/>
      <c r="BO601" s="567"/>
      <c r="BP601" s="567"/>
      <c r="BQ601" s="568" t="s">
        <v>932</v>
      </c>
      <c r="BR601" s="568"/>
      <c r="BS601" s="568"/>
      <c r="BT601" s="567">
        <v>0.00432757362778298</v>
      </c>
      <c r="BU601" s="567"/>
      <c r="BV601" s="567"/>
      <c r="BW601" s="567"/>
      <c r="BX601" s="568">
        <v>1</v>
      </c>
      <c r="BY601" s="568"/>
      <c r="BZ601" s="568"/>
      <c r="CA601" s="567" t="s">
        <v>932</v>
      </c>
      <c r="CB601" s="567"/>
      <c r="CC601" s="567"/>
      <c r="CD601" s="567"/>
      <c r="CE601" s="568" t="s">
        <v>932</v>
      </c>
      <c r="CF601" s="568"/>
      <c r="CG601" s="568"/>
      <c r="CH601" s="567" t="s">
        <v>932</v>
      </c>
      <c r="CI601" s="567"/>
      <c r="CJ601" s="567"/>
      <c r="CK601" s="567"/>
      <c r="CL601" s="568" t="s">
        <v>932</v>
      </c>
      <c r="CM601" s="568"/>
      <c r="CN601" s="568"/>
    </row>
    <row r="602" hidden="1" customHeight="1" spans="1:92">
      <c r="A602" s="569"/>
      <c r="B602" s="570"/>
      <c r="C602" s="571"/>
      <c r="D602" s="572"/>
      <c r="E602" s="573"/>
      <c r="F602" s="574"/>
      <c r="G602" s="575"/>
      <c r="H602" s="576"/>
      <c r="I602" s="577"/>
      <c r="J602" s="578"/>
      <c r="K602" s="578"/>
      <c r="L602" s="578"/>
      <c r="M602" s="578"/>
      <c r="N602" s="578"/>
      <c r="O602" s="578"/>
      <c r="P602" s="578"/>
      <c r="Q602" s="578"/>
      <c r="R602" s="578"/>
      <c r="S602" s="578"/>
      <c r="T602" s="578"/>
      <c r="U602" s="578"/>
      <c r="V602" s="578"/>
      <c r="W602" s="578"/>
      <c r="X602" s="578"/>
      <c r="Y602" s="578"/>
      <c r="Z602" s="578"/>
      <c r="AA602" s="579"/>
      <c r="AB602" s="580"/>
      <c r="AC602" s="581"/>
      <c r="AD602" s="582"/>
      <c r="AE602" s="583"/>
      <c r="AF602" s="584"/>
      <c r="AG602" s="553">
        <v>0</v>
      </c>
      <c r="AH602" s="554"/>
      <c r="AI602" s="555" t="e">
        <v>#N/A</v>
      </c>
      <c r="AJ602" s="556"/>
      <c r="AK602" s="556"/>
      <c r="AL602" s="556"/>
      <c r="AM602" s="556"/>
      <c r="AN602" s="556"/>
      <c r="AO602" s="556"/>
      <c r="AP602" s="556"/>
      <c r="AQ602" s="556"/>
      <c r="AR602" s="556"/>
      <c r="AS602" s="556"/>
      <c r="AT602" s="556"/>
      <c r="AU602" s="556"/>
      <c r="AV602" s="557"/>
      <c r="AW602" s="558">
        <v>0</v>
      </c>
      <c r="AX602" s="559"/>
      <c r="AY602" s="560"/>
      <c r="AZ602" s="585"/>
      <c r="BA602" s="586"/>
      <c r="BB602" s="587"/>
      <c r="BC602" s="558">
        <v>0</v>
      </c>
      <c r="BD602" s="559"/>
      <c r="BE602" s="560"/>
      <c r="BF602" s="558">
        <v>182.49</v>
      </c>
      <c r="BG602" s="559"/>
      <c r="BH602" s="560"/>
      <c r="BI602" s="564">
        <v>0</v>
      </c>
      <c r="BJ602" s="565"/>
      <c r="BK602" s="565"/>
      <c r="BL602" s="566"/>
      <c r="BM602" s="567" t="s">
        <v>932</v>
      </c>
      <c r="BN602" s="567"/>
      <c r="BO602" s="567"/>
      <c r="BP602" s="567"/>
      <c r="BQ602" s="568" t="s">
        <v>932</v>
      </c>
      <c r="BR602" s="568"/>
      <c r="BS602" s="568"/>
      <c r="BT602" s="567" t="s">
        <v>932</v>
      </c>
      <c r="BU602" s="567"/>
      <c r="BV602" s="567"/>
      <c r="BW602" s="567"/>
      <c r="BX602" s="568">
        <v>1</v>
      </c>
      <c r="BY602" s="568"/>
      <c r="BZ602" s="568"/>
      <c r="CA602" s="567" t="s">
        <v>932</v>
      </c>
      <c r="CB602" s="567"/>
      <c r="CC602" s="567"/>
      <c r="CD602" s="567"/>
      <c r="CE602" s="568" t="s">
        <v>932</v>
      </c>
      <c r="CF602" s="568"/>
      <c r="CG602" s="568"/>
      <c r="CH602" s="567" t="s">
        <v>932</v>
      </c>
      <c r="CI602" s="567"/>
      <c r="CJ602" s="567"/>
      <c r="CK602" s="567"/>
      <c r="CL602" s="568" t="s">
        <v>932</v>
      </c>
      <c r="CM602" s="568"/>
      <c r="CN602" s="568"/>
    </row>
    <row r="603" hidden="1" customHeight="1" spans="1:92">
      <c r="A603" s="569"/>
      <c r="B603" s="570"/>
      <c r="C603" s="571"/>
      <c r="D603" s="572"/>
      <c r="E603" s="573"/>
      <c r="F603" s="574"/>
      <c r="G603" s="575"/>
      <c r="H603" s="576"/>
      <c r="I603" s="577"/>
      <c r="J603" s="578"/>
      <c r="K603" s="578"/>
      <c r="L603" s="578"/>
      <c r="M603" s="578"/>
      <c r="N603" s="578"/>
      <c r="O603" s="578"/>
      <c r="P603" s="578"/>
      <c r="Q603" s="578"/>
      <c r="R603" s="578"/>
      <c r="S603" s="578"/>
      <c r="T603" s="578"/>
      <c r="U603" s="578"/>
      <c r="V603" s="578"/>
      <c r="W603" s="578"/>
      <c r="X603" s="578"/>
      <c r="Y603" s="578"/>
      <c r="Z603" s="578"/>
      <c r="AA603" s="579"/>
      <c r="AB603" s="580"/>
      <c r="AC603" s="581"/>
      <c r="AD603" s="582"/>
      <c r="AE603" s="583"/>
      <c r="AF603" s="584"/>
      <c r="AG603" s="553">
        <v>0</v>
      </c>
      <c r="AH603" s="554"/>
      <c r="AI603" s="555" t="e">
        <v>#N/A</v>
      </c>
      <c r="AJ603" s="556"/>
      <c r="AK603" s="556"/>
      <c r="AL603" s="556"/>
      <c r="AM603" s="556"/>
      <c r="AN603" s="556"/>
      <c r="AO603" s="556"/>
      <c r="AP603" s="556"/>
      <c r="AQ603" s="556"/>
      <c r="AR603" s="556"/>
      <c r="AS603" s="556"/>
      <c r="AT603" s="556"/>
      <c r="AU603" s="556"/>
      <c r="AV603" s="557"/>
      <c r="AW603" s="558">
        <v>0</v>
      </c>
      <c r="AX603" s="559"/>
      <c r="AY603" s="560"/>
      <c r="AZ603" s="585"/>
      <c r="BA603" s="586"/>
      <c r="BB603" s="587"/>
      <c r="BC603" s="558">
        <v>0</v>
      </c>
      <c r="BD603" s="559"/>
      <c r="BE603" s="560"/>
      <c r="BF603" s="558">
        <v>182.49</v>
      </c>
      <c r="BG603" s="559"/>
      <c r="BH603" s="560"/>
      <c r="BI603" s="564">
        <v>0</v>
      </c>
      <c r="BJ603" s="565"/>
      <c r="BK603" s="565"/>
      <c r="BL603" s="566"/>
      <c r="BM603" s="567" t="s">
        <v>932</v>
      </c>
      <c r="BN603" s="567"/>
      <c r="BO603" s="567"/>
      <c r="BP603" s="567"/>
      <c r="BQ603" s="568" t="s">
        <v>932</v>
      </c>
      <c r="BR603" s="568"/>
      <c r="BS603" s="568"/>
      <c r="BT603" s="567" t="s">
        <v>932</v>
      </c>
      <c r="BU603" s="567"/>
      <c r="BV603" s="567"/>
      <c r="BW603" s="567"/>
      <c r="BX603" s="568">
        <v>1</v>
      </c>
      <c r="BY603" s="568"/>
      <c r="BZ603" s="568"/>
      <c r="CA603" s="567" t="s">
        <v>932</v>
      </c>
      <c r="CB603" s="567"/>
      <c r="CC603" s="567"/>
      <c r="CD603" s="567"/>
      <c r="CE603" s="568" t="s">
        <v>932</v>
      </c>
      <c r="CF603" s="568"/>
      <c r="CG603" s="568"/>
      <c r="CH603" s="567" t="s">
        <v>932</v>
      </c>
      <c r="CI603" s="567"/>
      <c r="CJ603" s="567"/>
      <c r="CK603" s="567"/>
      <c r="CL603" s="568" t="s">
        <v>932</v>
      </c>
      <c r="CM603" s="568"/>
      <c r="CN603" s="568"/>
    </row>
    <row r="604" hidden="1" customHeight="1" spans="1:92">
      <c r="A604" s="569"/>
      <c r="B604" s="570"/>
      <c r="C604" s="571"/>
      <c r="D604" s="572"/>
      <c r="E604" s="573"/>
      <c r="F604" s="574"/>
      <c r="G604" s="575"/>
      <c r="H604" s="576"/>
      <c r="I604" s="577"/>
      <c r="J604" s="578"/>
      <c r="K604" s="578"/>
      <c r="L604" s="578"/>
      <c r="M604" s="578"/>
      <c r="N604" s="578"/>
      <c r="O604" s="578"/>
      <c r="P604" s="578"/>
      <c r="Q604" s="578"/>
      <c r="R604" s="578"/>
      <c r="S604" s="578"/>
      <c r="T604" s="578"/>
      <c r="U604" s="578"/>
      <c r="V604" s="578"/>
      <c r="W604" s="578"/>
      <c r="X604" s="578"/>
      <c r="Y604" s="578"/>
      <c r="Z604" s="578"/>
      <c r="AA604" s="579"/>
      <c r="AB604" s="580"/>
      <c r="AC604" s="581"/>
      <c r="AD604" s="582"/>
      <c r="AE604" s="583"/>
      <c r="AF604" s="584"/>
      <c r="AG604" s="553">
        <v>0</v>
      </c>
      <c r="AH604" s="554"/>
      <c r="AI604" s="555" t="e">
        <v>#N/A</v>
      </c>
      <c r="AJ604" s="556"/>
      <c r="AK604" s="556"/>
      <c r="AL604" s="556"/>
      <c r="AM604" s="556"/>
      <c r="AN604" s="556"/>
      <c r="AO604" s="556"/>
      <c r="AP604" s="556"/>
      <c r="AQ604" s="556"/>
      <c r="AR604" s="556"/>
      <c r="AS604" s="556"/>
      <c r="AT604" s="556"/>
      <c r="AU604" s="556"/>
      <c r="AV604" s="557"/>
      <c r="AW604" s="558">
        <v>0</v>
      </c>
      <c r="AX604" s="559"/>
      <c r="AY604" s="560"/>
      <c r="AZ604" s="585"/>
      <c r="BA604" s="586"/>
      <c r="BB604" s="587"/>
      <c r="BC604" s="558">
        <v>0</v>
      </c>
      <c r="BD604" s="559"/>
      <c r="BE604" s="560"/>
      <c r="BF604" s="558">
        <v>182.49</v>
      </c>
      <c r="BG604" s="559"/>
      <c r="BH604" s="560"/>
      <c r="BI604" s="564">
        <v>0</v>
      </c>
      <c r="BJ604" s="565"/>
      <c r="BK604" s="565"/>
      <c r="BL604" s="566"/>
      <c r="BM604" s="567" t="s">
        <v>932</v>
      </c>
      <c r="BN604" s="567"/>
      <c r="BO604" s="567"/>
      <c r="BP604" s="567"/>
      <c r="BQ604" s="568" t="s">
        <v>932</v>
      </c>
      <c r="BR604" s="568"/>
      <c r="BS604" s="568"/>
      <c r="BT604" s="567" t="s">
        <v>932</v>
      </c>
      <c r="BU604" s="567"/>
      <c r="BV604" s="567"/>
      <c r="BW604" s="567"/>
      <c r="BX604" s="568">
        <v>1</v>
      </c>
      <c r="BY604" s="568"/>
      <c r="BZ604" s="568"/>
      <c r="CA604" s="567" t="s">
        <v>932</v>
      </c>
      <c r="CB604" s="567"/>
      <c r="CC604" s="567"/>
      <c r="CD604" s="567"/>
      <c r="CE604" s="568" t="s">
        <v>932</v>
      </c>
      <c r="CF604" s="568"/>
      <c r="CG604" s="568"/>
      <c r="CH604" s="567" t="s">
        <v>932</v>
      </c>
      <c r="CI604" s="567"/>
      <c r="CJ604" s="567"/>
      <c r="CK604" s="567"/>
      <c r="CL604" s="568" t="s">
        <v>932</v>
      </c>
      <c r="CM604" s="568"/>
      <c r="CN604" s="568"/>
    </row>
    <row r="605" hidden="1" customHeight="1" spans="1:92">
      <c r="A605" s="569"/>
      <c r="B605" s="570"/>
      <c r="C605" s="571"/>
      <c r="D605" s="572"/>
      <c r="E605" s="573"/>
      <c r="F605" s="574"/>
      <c r="G605" s="575"/>
      <c r="H605" s="576"/>
      <c r="I605" s="577"/>
      <c r="J605" s="578"/>
      <c r="K605" s="578"/>
      <c r="L605" s="578"/>
      <c r="M605" s="578"/>
      <c r="N605" s="578"/>
      <c r="O605" s="578"/>
      <c r="P605" s="578"/>
      <c r="Q605" s="578"/>
      <c r="R605" s="578"/>
      <c r="S605" s="578"/>
      <c r="T605" s="578"/>
      <c r="U605" s="578"/>
      <c r="V605" s="578"/>
      <c r="W605" s="578"/>
      <c r="X605" s="578"/>
      <c r="Y605" s="578"/>
      <c r="Z605" s="578"/>
      <c r="AA605" s="579"/>
      <c r="AB605" s="580"/>
      <c r="AC605" s="581"/>
      <c r="AD605" s="582"/>
      <c r="AE605" s="583"/>
      <c r="AF605" s="584"/>
      <c r="AG605" s="553">
        <v>0</v>
      </c>
      <c r="AH605" s="554"/>
      <c r="AI605" s="555" t="e">
        <v>#N/A</v>
      </c>
      <c r="AJ605" s="556"/>
      <c r="AK605" s="556"/>
      <c r="AL605" s="556"/>
      <c r="AM605" s="556"/>
      <c r="AN605" s="556"/>
      <c r="AO605" s="556"/>
      <c r="AP605" s="556"/>
      <c r="AQ605" s="556"/>
      <c r="AR605" s="556"/>
      <c r="AS605" s="556"/>
      <c r="AT605" s="556"/>
      <c r="AU605" s="556"/>
      <c r="AV605" s="557"/>
      <c r="AW605" s="558">
        <v>0</v>
      </c>
      <c r="AX605" s="559"/>
      <c r="AY605" s="560"/>
      <c r="AZ605" s="585"/>
      <c r="BA605" s="586"/>
      <c r="BB605" s="587"/>
      <c r="BC605" s="558">
        <v>0</v>
      </c>
      <c r="BD605" s="559"/>
      <c r="BE605" s="560"/>
      <c r="BF605" s="558">
        <v>182.49</v>
      </c>
      <c r="BG605" s="559"/>
      <c r="BH605" s="560"/>
      <c r="BI605" s="564">
        <v>0</v>
      </c>
      <c r="BJ605" s="565"/>
      <c r="BK605" s="565"/>
      <c r="BL605" s="566"/>
      <c r="BM605" s="567" t="s">
        <v>932</v>
      </c>
      <c r="BN605" s="567"/>
      <c r="BO605" s="567"/>
      <c r="BP605" s="567"/>
      <c r="BQ605" s="568" t="s">
        <v>932</v>
      </c>
      <c r="BR605" s="568"/>
      <c r="BS605" s="568"/>
      <c r="BT605" s="567" t="s">
        <v>932</v>
      </c>
      <c r="BU605" s="567"/>
      <c r="BV605" s="567"/>
      <c r="BW605" s="567"/>
      <c r="BX605" s="568">
        <v>1</v>
      </c>
      <c r="BY605" s="568"/>
      <c r="BZ605" s="568"/>
      <c r="CA605" s="567" t="s">
        <v>932</v>
      </c>
      <c r="CB605" s="567"/>
      <c r="CC605" s="567"/>
      <c r="CD605" s="567"/>
      <c r="CE605" s="568" t="s">
        <v>932</v>
      </c>
      <c r="CF605" s="568"/>
      <c r="CG605" s="568"/>
      <c r="CH605" s="567" t="s">
        <v>932</v>
      </c>
      <c r="CI605" s="567"/>
      <c r="CJ605" s="567"/>
      <c r="CK605" s="567"/>
      <c r="CL605" s="568" t="s">
        <v>932</v>
      </c>
      <c r="CM605" s="568"/>
      <c r="CN605" s="568"/>
    </row>
    <row r="606" hidden="1" customHeight="1" spans="1:92">
      <c r="A606" s="569"/>
      <c r="B606" s="570"/>
      <c r="C606" s="571"/>
      <c r="D606" s="572"/>
      <c r="E606" s="573"/>
      <c r="F606" s="574"/>
      <c r="G606" s="575"/>
      <c r="H606" s="576"/>
      <c r="I606" s="577"/>
      <c r="J606" s="578"/>
      <c r="K606" s="578"/>
      <c r="L606" s="578"/>
      <c r="M606" s="578"/>
      <c r="N606" s="578"/>
      <c r="O606" s="578"/>
      <c r="P606" s="578"/>
      <c r="Q606" s="578"/>
      <c r="R606" s="578"/>
      <c r="S606" s="578"/>
      <c r="T606" s="578"/>
      <c r="U606" s="578"/>
      <c r="V606" s="578"/>
      <c r="W606" s="578"/>
      <c r="X606" s="578"/>
      <c r="Y606" s="578"/>
      <c r="Z606" s="578"/>
      <c r="AA606" s="579"/>
      <c r="AB606" s="580"/>
      <c r="AC606" s="581"/>
      <c r="AD606" s="582"/>
      <c r="AE606" s="583"/>
      <c r="AF606" s="584"/>
      <c r="AG606" s="553">
        <v>0</v>
      </c>
      <c r="AH606" s="554"/>
      <c r="AI606" s="555" t="e">
        <v>#N/A</v>
      </c>
      <c r="AJ606" s="556"/>
      <c r="AK606" s="556"/>
      <c r="AL606" s="556"/>
      <c r="AM606" s="556"/>
      <c r="AN606" s="556"/>
      <c r="AO606" s="556"/>
      <c r="AP606" s="556"/>
      <c r="AQ606" s="556"/>
      <c r="AR606" s="556"/>
      <c r="AS606" s="556"/>
      <c r="AT606" s="556"/>
      <c r="AU606" s="556"/>
      <c r="AV606" s="557"/>
      <c r="AW606" s="558">
        <v>0</v>
      </c>
      <c r="AX606" s="559"/>
      <c r="AY606" s="560"/>
      <c r="AZ606" s="585"/>
      <c r="BA606" s="586"/>
      <c r="BB606" s="587"/>
      <c r="BC606" s="558">
        <v>0</v>
      </c>
      <c r="BD606" s="559"/>
      <c r="BE606" s="560"/>
      <c r="BF606" s="558">
        <v>182.49</v>
      </c>
      <c r="BG606" s="559"/>
      <c r="BH606" s="560"/>
      <c r="BI606" s="564">
        <v>0</v>
      </c>
      <c r="BJ606" s="565"/>
      <c r="BK606" s="565"/>
      <c r="BL606" s="566"/>
      <c r="BM606" s="567" t="s">
        <v>932</v>
      </c>
      <c r="BN606" s="567"/>
      <c r="BO606" s="567"/>
      <c r="BP606" s="567"/>
      <c r="BQ606" s="568" t="s">
        <v>932</v>
      </c>
      <c r="BR606" s="568"/>
      <c r="BS606" s="568"/>
      <c r="BT606" s="567" t="s">
        <v>932</v>
      </c>
      <c r="BU606" s="567"/>
      <c r="BV606" s="567"/>
      <c r="BW606" s="567"/>
      <c r="BX606" s="568">
        <v>1</v>
      </c>
      <c r="BY606" s="568"/>
      <c r="BZ606" s="568"/>
      <c r="CA606" s="567" t="s">
        <v>932</v>
      </c>
      <c r="CB606" s="567"/>
      <c r="CC606" s="567"/>
      <c r="CD606" s="567"/>
      <c r="CE606" s="568" t="s">
        <v>932</v>
      </c>
      <c r="CF606" s="568"/>
      <c r="CG606" s="568"/>
      <c r="CH606" s="567" t="s">
        <v>932</v>
      </c>
      <c r="CI606" s="567"/>
      <c r="CJ606" s="567"/>
      <c r="CK606" s="567"/>
      <c r="CL606" s="568" t="s">
        <v>932</v>
      </c>
      <c r="CM606" s="568"/>
      <c r="CN606" s="568"/>
    </row>
    <row r="607" hidden="1" customHeight="1" spans="1:92">
      <c r="A607" s="588"/>
      <c r="B607" s="589"/>
      <c r="C607" s="590"/>
      <c r="D607" s="591"/>
      <c r="E607" s="592"/>
      <c r="F607" s="593"/>
      <c r="G607" s="594"/>
      <c r="H607" s="595"/>
      <c r="I607" s="596"/>
      <c r="J607" s="597"/>
      <c r="K607" s="597"/>
      <c r="L607" s="597"/>
      <c r="M607" s="597"/>
      <c r="N607" s="597"/>
      <c r="O607" s="597"/>
      <c r="P607" s="597"/>
      <c r="Q607" s="597"/>
      <c r="R607" s="597"/>
      <c r="S607" s="597"/>
      <c r="T607" s="597"/>
      <c r="U607" s="597"/>
      <c r="V607" s="597"/>
      <c r="W607" s="597"/>
      <c r="X607" s="597"/>
      <c r="Y607" s="597"/>
      <c r="Z607" s="597"/>
      <c r="AA607" s="598"/>
      <c r="AB607" s="599"/>
      <c r="AC607" s="600"/>
      <c r="AD607" s="601"/>
      <c r="AE607" s="602"/>
      <c r="AF607" s="603"/>
      <c r="AG607" s="553">
        <v>0</v>
      </c>
      <c r="AH607" s="554"/>
      <c r="AI607" s="555" t="e">
        <v>#N/A</v>
      </c>
      <c r="AJ607" s="556"/>
      <c r="AK607" s="556"/>
      <c r="AL607" s="556"/>
      <c r="AM607" s="556"/>
      <c r="AN607" s="556"/>
      <c r="AO607" s="556"/>
      <c r="AP607" s="556"/>
      <c r="AQ607" s="556"/>
      <c r="AR607" s="556"/>
      <c r="AS607" s="556"/>
      <c r="AT607" s="556"/>
      <c r="AU607" s="556"/>
      <c r="AV607" s="557"/>
      <c r="AW607" s="558">
        <v>0</v>
      </c>
      <c r="AX607" s="559"/>
      <c r="AY607" s="560"/>
      <c r="AZ607" s="604"/>
      <c r="BA607" s="605"/>
      <c r="BB607" s="606"/>
      <c r="BC607" s="558">
        <v>0</v>
      </c>
      <c r="BD607" s="559"/>
      <c r="BE607" s="560"/>
      <c r="BF607" s="558">
        <v>182.49</v>
      </c>
      <c r="BG607" s="559"/>
      <c r="BH607" s="560"/>
      <c r="BI607" s="564">
        <v>0</v>
      </c>
      <c r="BJ607" s="565"/>
      <c r="BK607" s="565"/>
      <c r="BL607" s="566"/>
      <c r="BM607" s="567" t="s">
        <v>932</v>
      </c>
      <c r="BN607" s="567"/>
      <c r="BO607" s="567"/>
      <c r="BP607" s="567"/>
      <c r="BQ607" s="568" t="s">
        <v>932</v>
      </c>
      <c r="BR607" s="568"/>
      <c r="BS607" s="568"/>
      <c r="BT607" s="567" t="s">
        <v>932</v>
      </c>
      <c r="BU607" s="567"/>
      <c r="BV607" s="567"/>
      <c r="BW607" s="567"/>
      <c r="BX607" s="568">
        <v>1</v>
      </c>
      <c r="BY607" s="568"/>
      <c r="BZ607" s="568"/>
      <c r="CA607" s="567" t="s">
        <v>932</v>
      </c>
      <c r="CB607" s="567"/>
      <c r="CC607" s="567"/>
      <c r="CD607" s="567"/>
      <c r="CE607" s="568" t="s">
        <v>932</v>
      </c>
      <c r="CF607" s="568"/>
      <c r="CG607" s="568"/>
      <c r="CH607" s="567" t="s">
        <v>932</v>
      </c>
      <c r="CI607" s="567"/>
      <c r="CJ607" s="567"/>
      <c r="CK607" s="567"/>
      <c r="CL607" s="568" t="s">
        <v>932</v>
      </c>
      <c r="CM607" s="568"/>
      <c r="CN607" s="568"/>
    </row>
    <row r="608" hidden="1" customHeight="1" spans="1:92">
      <c r="A608" s="540" t="s">
        <v>929</v>
      </c>
      <c r="B608" s="541"/>
      <c r="C608" s="89"/>
      <c r="D608" s="91"/>
      <c r="E608" s="90"/>
      <c r="F608" s="542">
        <v>1106057</v>
      </c>
      <c r="G608" s="543"/>
      <c r="H608" s="544"/>
      <c r="I608" s="545" t="s">
        <v>109</v>
      </c>
      <c r="J608" s="546"/>
      <c r="K608" s="546"/>
      <c r="L608" s="546"/>
      <c r="M608" s="546"/>
      <c r="N608" s="546"/>
      <c r="O608" s="546"/>
      <c r="P608" s="546"/>
      <c r="Q608" s="546"/>
      <c r="R608" s="546"/>
      <c r="S608" s="546"/>
      <c r="T608" s="546"/>
      <c r="U608" s="546"/>
      <c r="V608" s="546"/>
      <c r="W608" s="546"/>
      <c r="X608" s="546"/>
      <c r="Y608" s="546"/>
      <c r="Z608" s="546"/>
      <c r="AA608" s="547"/>
      <c r="AB608" s="548" t="s">
        <v>99</v>
      </c>
      <c r="AC608" s="549"/>
      <c r="AD608" s="550">
        <v>0.01</v>
      </c>
      <c r="AE608" s="551"/>
      <c r="AF608" s="552"/>
      <c r="AG608" s="553" t="s">
        <v>1068</v>
      </c>
      <c r="AH608" s="554"/>
      <c r="AI608" s="555" t="s">
        <v>1069</v>
      </c>
      <c r="AJ608" s="556"/>
      <c r="AK608" s="556"/>
      <c r="AL608" s="556"/>
      <c r="AM608" s="556"/>
      <c r="AN608" s="556"/>
      <c r="AO608" s="556"/>
      <c r="AP608" s="556"/>
      <c r="AQ608" s="556"/>
      <c r="AR608" s="556"/>
      <c r="AS608" s="556"/>
      <c r="AT608" s="556"/>
      <c r="AU608" s="556"/>
      <c r="AV608" s="557"/>
      <c r="AW608" s="558">
        <v>1</v>
      </c>
      <c r="AX608" s="559"/>
      <c r="AY608" s="560"/>
      <c r="AZ608" s="561">
        <v>3.92899</v>
      </c>
      <c r="BA608" s="562"/>
      <c r="BB608" s="563"/>
      <c r="BC608" s="558">
        <v>0.00254518336773573</v>
      </c>
      <c r="BD608" s="559"/>
      <c r="BE608" s="560"/>
      <c r="BF608" s="558">
        <v>182.49</v>
      </c>
      <c r="BG608" s="559"/>
      <c r="BH608" s="560"/>
      <c r="BI608" s="564">
        <v>1.39469744519466e-5</v>
      </c>
      <c r="BJ608" s="565"/>
      <c r="BK608" s="565"/>
      <c r="BL608" s="566"/>
      <c r="BM608" s="567">
        <v>1.39469744519466e-5</v>
      </c>
      <c r="BN608" s="567"/>
      <c r="BO608" s="567"/>
      <c r="BP608" s="567"/>
      <c r="BQ608" s="568">
        <v>1</v>
      </c>
      <c r="BR608" s="568"/>
      <c r="BS608" s="568"/>
      <c r="BT608" s="567" t="s">
        <v>932</v>
      </c>
      <c r="BU608" s="567"/>
      <c r="BV608" s="567"/>
      <c r="BW608" s="567"/>
      <c r="BX608" s="568" t="s">
        <v>932</v>
      </c>
      <c r="BY608" s="568"/>
      <c r="BZ608" s="568"/>
      <c r="CA608" s="567" t="s">
        <v>932</v>
      </c>
      <c r="CB608" s="567"/>
      <c r="CC608" s="567"/>
      <c r="CD608" s="567"/>
      <c r="CE608" s="568" t="s">
        <v>932</v>
      </c>
      <c r="CF608" s="568"/>
      <c r="CG608" s="568"/>
      <c r="CH608" s="567" t="s">
        <v>932</v>
      </c>
      <c r="CI608" s="567"/>
      <c r="CJ608" s="567"/>
      <c r="CK608" s="567"/>
      <c r="CL608" s="568" t="s">
        <v>932</v>
      </c>
      <c r="CM608" s="568"/>
      <c r="CN608" s="568"/>
    </row>
    <row r="609" hidden="1" customHeight="1" spans="1:92">
      <c r="A609" s="569"/>
      <c r="B609" s="570"/>
      <c r="C609" s="571"/>
      <c r="D609" s="572"/>
      <c r="E609" s="573"/>
      <c r="F609" s="574"/>
      <c r="G609" s="575"/>
      <c r="H609" s="576"/>
      <c r="I609" s="577"/>
      <c r="J609" s="578"/>
      <c r="K609" s="578"/>
      <c r="L609" s="578"/>
      <c r="M609" s="578"/>
      <c r="N609" s="578"/>
      <c r="O609" s="578"/>
      <c r="P609" s="578"/>
      <c r="Q609" s="578"/>
      <c r="R609" s="578"/>
      <c r="S609" s="578"/>
      <c r="T609" s="578"/>
      <c r="U609" s="578"/>
      <c r="V609" s="578"/>
      <c r="W609" s="578"/>
      <c r="X609" s="578"/>
      <c r="Y609" s="578"/>
      <c r="Z609" s="578"/>
      <c r="AA609" s="579"/>
      <c r="AB609" s="580"/>
      <c r="AC609" s="581"/>
      <c r="AD609" s="582"/>
      <c r="AE609" s="583"/>
      <c r="AF609" s="584"/>
      <c r="AG609" s="553" t="s">
        <v>1070</v>
      </c>
      <c r="AH609" s="554"/>
      <c r="AI609" s="555" t="s">
        <v>1071</v>
      </c>
      <c r="AJ609" s="556"/>
      <c r="AK609" s="556"/>
      <c r="AL609" s="556"/>
      <c r="AM609" s="556"/>
      <c r="AN609" s="556"/>
      <c r="AO609" s="556"/>
      <c r="AP609" s="556"/>
      <c r="AQ609" s="556"/>
      <c r="AR609" s="556"/>
      <c r="AS609" s="556"/>
      <c r="AT609" s="556"/>
      <c r="AU609" s="556"/>
      <c r="AV609" s="557"/>
      <c r="AW609" s="558">
        <v>4</v>
      </c>
      <c r="AX609" s="559"/>
      <c r="AY609" s="560"/>
      <c r="AZ609" s="585"/>
      <c r="BA609" s="586"/>
      <c r="BB609" s="587"/>
      <c r="BC609" s="558">
        <v>0.0101807334709429</v>
      </c>
      <c r="BD609" s="559"/>
      <c r="BE609" s="560"/>
      <c r="BF609" s="558">
        <v>182.49</v>
      </c>
      <c r="BG609" s="559"/>
      <c r="BH609" s="560"/>
      <c r="BI609" s="564">
        <v>5.57878978077863e-5</v>
      </c>
      <c r="BJ609" s="565"/>
      <c r="BK609" s="565"/>
      <c r="BL609" s="566"/>
      <c r="BM609" s="567">
        <v>5.57878978077863e-5</v>
      </c>
      <c r="BN609" s="567"/>
      <c r="BO609" s="567"/>
      <c r="BP609" s="567"/>
      <c r="BQ609" s="568">
        <v>1</v>
      </c>
      <c r="BR609" s="568"/>
      <c r="BS609" s="568"/>
      <c r="BT609" s="567" t="s">
        <v>932</v>
      </c>
      <c r="BU609" s="567"/>
      <c r="BV609" s="567"/>
      <c r="BW609" s="567"/>
      <c r="BX609" s="568" t="s">
        <v>932</v>
      </c>
      <c r="BY609" s="568"/>
      <c r="BZ609" s="568"/>
      <c r="CA609" s="567" t="s">
        <v>932</v>
      </c>
      <c r="CB609" s="567"/>
      <c r="CC609" s="567"/>
      <c r="CD609" s="567"/>
      <c r="CE609" s="568" t="s">
        <v>932</v>
      </c>
      <c r="CF609" s="568"/>
      <c r="CG609" s="568"/>
      <c r="CH609" s="567" t="s">
        <v>932</v>
      </c>
      <c r="CI609" s="567"/>
      <c r="CJ609" s="567"/>
      <c r="CK609" s="567"/>
      <c r="CL609" s="568" t="s">
        <v>932</v>
      </c>
      <c r="CM609" s="568"/>
      <c r="CN609" s="568"/>
    </row>
    <row r="610" hidden="1" customHeight="1" spans="1:92">
      <c r="A610" s="569"/>
      <c r="B610" s="570"/>
      <c r="C610" s="571"/>
      <c r="D610" s="572"/>
      <c r="E610" s="573"/>
      <c r="F610" s="574"/>
      <c r="G610" s="575"/>
      <c r="H610" s="576"/>
      <c r="I610" s="577"/>
      <c r="J610" s="578"/>
      <c r="K610" s="578"/>
      <c r="L610" s="578"/>
      <c r="M610" s="578"/>
      <c r="N610" s="578"/>
      <c r="O610" s="578"/>
      <c r="P610" s="578"/>
      <c r="Q610" s="578"/>
      <c r="R610" s="578"/>
      <c r="S610" s="578"/>
      <c r="T610" s="578"/>
      <c r="U610" s="578"/>
      <c r="V610" s="578"/>
      <c r="W610" s="578"/>
      <c r="X610" s="578"/>
      <c r="Y610" s="578"/>
      <c r="Z610" s="578"/>
      <c r="AA610" s="579"/>
      <c r="AB610" s="580"/>
      <c r="AC610" s="581"/>
      <c r="AD610" s="582"/>
      <c r="AE610" s="583"/>
      <c r="AF610" s="584"/>
      <c r="AG610" s="553" t="s">
        <v>1072</v>
      </c>
      <c r="AH610" s="554"/>
      <c r="AI610" s="555" t="s">
        <v>1073</v>
      </c>
      <c r="AJ610" s="556"/>
      <c r="AK610" s="556"/>
      <c r="AL610" s="556"/>
      <c r="AM610" s="556"/>
      <c r="AN610" s="556"/>
      <c r="AO610" s="556"/>
      <c r="AP610" s="556"/>
      <c r="AQ610" s="556"/>
      <c r="AR610" s="556"/>
      <c r="AS610" s="556"/>
      <c r="AT610" s="556"/>
      <c r="AU610" s="556"/>
      <c r="AV610" s="557"/>
      <c r="AW610" s="558">
        <v>3</v>
      </c>
      <c r="AX610" s="559"/>
      <c r="AY610" s="560"/>
      <c r="AZ610" s="585"/>
      <c r="BA610" s="586"/>
      <c r="BB610" s="587"/>
      <c r="BC610" s="558">
        <v>0.00763555010320718</v>
      </c>
      <c r="BD610" s="559"/>
      <c r="BE610" s="560"/>
      <c r="BF610" s="558">
        <v>182.49</v>
      </c>
      <c r="BG610" s="559"/>
      <c r="BH610" s="560"/>
      <c r="BI610" s="564">
        <v>4.18409233558397e-5</v>
      </c>
      <c r="BJ610" s="565"/>
      <c r="BK610" s="565"/>
      <c r="BL610" s="566"/>
      <c r="BM610" s="567">
        <v>4.18409233558397e-5</v>
      </c>
      <c r="BN610" s="567"/>
      <c r="BO610" s="567"/>
      <c r="BP610" s="567"/>
      <c r="BQ610" s="568">
        <v>1</v>
      </c>
      <c r="BR610" s="568"/>
      <c r="BS610" s="568"/>
      <c r="BT610" s="567" t="s">
        <v>932</v>
      </c>
      <c r="BU610" s="567"/>
      <c r="BV610" s="567"/>
      <c r="BW610" s="567"/>
      <c r="BX610" s="568" t="s">
        <v>932</v>
      </c>
      <c r="BY610" s="568"/>
      <c r="BZ610" s="568"/>
      <c r="CA610" s="567" t="s">
        <v>932</v>
      </c>
      <c r="CB610" s="567"/>
      <c r="CC610" s="567"/>
      <c r="CD610" s="567"/>
      <c r="CE610" s="568" t="s">
        <v>932</v>
      </c>
      <c r="CF610" s="568"/>
      <c r="CG610" s="568"/>
      <c r="CH610" s="567" t="s">
        <v>932</v>
      </c>
      <c r="CI610" s="567"/>
      <c r="CJ610" s="567"/>
      <c r="CK610" s="567"/>
      <c r="CL610" s="568" t="s">
        <v>932</v>
      </c>
      <c r="CM610" s="568"/>
      <c r="CN610" s="568"/>
    </row>
    <row r="611" hidden="1" customHeight="1" spans="1:92">
      <c r="A611" s="569"/>
      <c r="B611" s="570"/>
      <c r="C611" s="571"/>
      <c r="D611" s="572"/>
      <c r="E611" s="573"/>
      <c r="F611" s="574"/>
      <c r="G611" s="575"/>
      <c r="H611" s="576"/>
      <c r="I611" s="577"/>
      <c r="J611" s="578"/>
      <c r="K611" s="578"/>
      <c r="L611" s="578"/>
      <c r="M611" s="578"/>
      <c r="N611" s="578"/>
      <c r="O611" s="578"/>
      <c r="P611" s="578"/>
      <c r="Q611" s="578"/>
      <c r="R611" s="578"/>
      <c r="S611" s="578"/>
      <c r="T611" s="578"/>
      <c r="U611" s="578"/>
      <c r="V611" s="578"/>
      <c r="W611" s="578"/>
      <c r="X611" s="578"/>
      <c r="Y611" s="578"/>
      <c r="Z611" s="578"/>
      <c r="AA611" s="579"/>
      <c r="AB611" s="580"/>
      <c r="AC611" s="581"/>
      <c r="AD611" s="582"/>
      <c r="AE611" s="583"/>
      <c r="AF611" s="584"/>
      <c r="AG611" s="553">
        <v>0</v>
      </c>
      <c r="AH611" s="554"/>
      <c r="AI611" s="555" t="e">
        <v>#N/A</v>
      </c>
      <c r="AJ611" s="556"/>
      <c r="AK611" s="556"/>
      <c r="AL611" s="556"/>
      <c r="AM611" s="556"/>
      <c r="AN611" s="556"/>
      <c r="AO611" s="556"/>
      <c r="AP611" s="556"/>
      <c r="AQ611" s="556"/>
      <c r="AR611" s="556"/>
      <c r="AS611" s="556"/>
      <c r="AT611" s="556"/>
      <c r="AU611" s="556"/>
      <c r="AV611" s="557"/>
      <c r="AW611" s="558">
        <v>0</v>
      </c>
      <c r="AX611" s="559"/>
      <c r="AY611" s="560"/>
      <c r="AZ611" s="585"/>
      <c r="BA611" s="586"/>
      <c r="BB611" s="587"/>
      <c r="BC611" s="558">
        <v>0</v>
      </c>
      <c r="BD611" s="559"/>
      <c r="BE611" s="560"/>
      <c r="BF611" s="558">
        <v>182.49</v>
      </c>
      <c r="BG611" s="559"/>
      <c r="BH611" s="560"/>
      <c r="BI611" s="564">
        <v>0</v>
      </c>
      <c r="BJ611" s="565"/>
      <c r="BK611" s="565"/>
      <c r="BL611" s="566"/>
      <c r="BM611" s="567" t="s">
        <v>932</v>
      </c>
      <c r="BN611" s="567"/>
      <c r="BO611" s="567"/>
      <c r="BP611" s="567"/>
      <c r="BQ611" s="568">
        <v>1</v>
      </c>
      <c r="BR611" s="568"/>
      <c r="BS611" s="568"/>
      <c r="BT611" s="567" t="s">
        <v>932</v>
      </c>
      <c r="BU611" s="567"/>
      <c r="BV611" s="567"/>
      <c r="BW611" s="567"/>
      <c r="BX611" s="568" t="s">
        <v>932</v>
      </c>
      <c r="BY611" s="568"/>
      <c r="BZ611" s="568"/>
      <c r="CA611" s="567" t="s">
        <v>932</v>
      </c>
      <c r="CB611" s="567"/>
      <c r="CC611" s="567"/>
      <c r="CD611" s="567"/>
      <c r="CE611" s="568" t="s">
        <v>932</v>
      </c>
      <c r="CF611" s="568"/>
      <c r="CG611" s="568"/>
      <c r="CH611" s="567" t="s">
        <v>932</v>
      </c>
      <c r="CI611" s="567"/>
      <c r="CJ611" s="567"/>
      <c r="CK611" s="567"/>
      <c r="CL611" s="568" t="s">
        <v>932</v>
      </c>
      <c r="CM611" s="568"/>
      <c r="CN611" s="568"/>
    </row>
    <row r="612" hidden="1" customHeight="1" spans="1:92">
      <c r="A612" s="569"/>
      <c r="B612" s="570"/>
      <c r="C612" s="571"/>
      <c r="D612" s="572"/>
      <c r="E612" s="573"/>
      <c r="F612" s="574"/>
      <c r="G612" s="575"/>
      <c r="H612" s="576"/>
      <c r="I612" s="577"/>
      <c r="J612" s="578"/>
      <c r="K612" s="578"/>
      <c r="L612" s="578"/>
      <c r="M612" s="578"/>
      <c r="N612" s="578"/>
      <c r="O612" s="578"/>
      <c r="P612" s="578"/>
      <c r="Q612" s="578"/>
      <c r="R612" s="578"/>
      <c r="S612" s="578"/>
      <c r="T612" s="578"/>
      <c r="U612" s="578"/>
      <c r="V612" s="578"/>
      <c r="W612" s="578"/>
      <c r="X612" s="578"/>
      <c r="Y612" s="578"/>
      <c r="Z612" s="578"/>
      <c r="AA612" s="579"/>
      <c r="AB612" s="580"/>
      <c r="AC612" s="581"/>
      <c r="AD612" s="582"/>
      <c r="AE612" s="583"/>
      <c r="AF612" s="584"/>
      <c r="AG612" s="553">
        <v>0</v>
      </c>
      <c r="AH612" s="554"/>
      <c r="AI612" s="555" t="e">
        <v>#N/A</v>
      </c>
      <c r="AJ612" s="556"/>
      <c r="AK612" s="556"/>
      <c r="AL612" s="556"/>
      <c r="AM612" s="556"/>
      <c r="AN612" s="556"/>
      <c r="AO612" s="556"/>
      <c r="AP612" s="556"/>
      <c r="AQ612" s="556"/>
      <c r="AR612" s="556"/>
      <c r="AS612" s="556"/>
      <c r="AT612" s="556"/>
      <c r="AU612" s="556"/>
      <c r="AV612" s="557"/>
      <c r="AW612" s="558">
        <v>0</v>
      </c>
      <c r="AX612" s="559"/>
      <c r="AY612" s="560"/>
      <c r="AZ612" s="585"/>
      <c r="BA612" s="586"/>
      <c r="BB612" s="587"/>
      <c r="BC612" s="558">
        <v>0</v>
      </c>
      <c r="BD612" s="559"/>
      <c r="BE612" s="560"/>
      <c r="BF612" s="558">
        <v>182.49</v>
      </c>
      <c r="BG612" s="559"/>
      <c r="BH612" s="560"/>
      <c r="BI612" s="564">
        <v>0</v>
      </c>
      <c r="BJ612" s="565"/>
      <c r="BK612" s="565"/>
      <c r="BL612" s="566"/>
      <c r="BM612" s="567" t="s">
        <v>932</v>
      </c>
      <c r="BN612" s="567"/>
      <c r="BO612" s="567"/>
      <c r="BP612" s="567"/>
      <c r="BQ612" s="568">
        <v>1</v>
      </c>
      <c r="BR612" s="568"/>
      <c r="BS612" s="568"/>
      <c r="BT612" s="567" t="s">
        <v>932</v>
      </c>
      <c r="BU612" s="567"/>
      <c r="BV612" s="567"/>
      <c r="BW612" s="567"/>
      <c r="BX612" s="568" t="s">
        <v>932</v>
      </c>
      <c r="BY612" s="568"/>
      <c r="BZ612" s="568"/>
      <c r="CA612" s="567" t="s">
        <v>932</v>
      </c>
      <c r="CB612" s="567"/>
      <c r="CC612" s="567"/>
      <c r="CD612" s="567"/>
      <c r="CE612" s="568" t="s">
        <v>932</v>
      </c>
      <c r="CF612" s="568"/>
      <c r="CG612" s="568"/>
      <c r="CH612" s="567" t="s">
        <v>932</v>
      </c>
      <c r="CI612" s="567"/>
      <c r="CJ612" s="567"/>
      <c r="CK612" s="567"/>
      <c r="CL612" s="568" t="s">
        <v>932</v>
      </c>
      <c r="CM612" s="568"/>
      <c r="CN612" s="568"/>
    </row>
    <row r="613" hidden="1" customHeight="1" spans="1:92">
      <c r="A613" s="569"/>
      <c r="B613" s="570"/>
      <c r="C613" s="571"/>
      <c r="D613" s="572"/>
      <c r="E613" s="573"/>
      <c r="F613" s="574"/>
      <c r="G613" s="575"/>
      <c r="H613" s="576"/>
      <c r="I613" s="577"/>
      <c r="J613" s="578"/>
      <c r="K613" s="578"/>
      <c r="L613" s="578"/>
      <c r="M613" s="578"/>
      <c r="N613" s="578"/>
      <c r="O613" s="578"/>
      <c r="P613" s="578"/>
      <c r="Q613" s="578"/>
      <c r="R613" s="578"/>
      <c r="S613" s="578"/>
      <c r="T613" s="578"/>
      <c r="U613" s="578"/>
      <c r="V613" s="578"/>
      <c r="W613" s="578"/>
      <c r="X613" s="578"/>
      <c r="Y613" s="578"/>
      <c r="Z613" s="578"/>
      <c r="AA613" s="579"/>
      <c r="AB613" s="580"/>
      <c r="AC613" s="581"/>
      <c r="AD613" s="582"/>
      <c r="AE613" s="583"/>
      <c r="AF613" s="584"/>
      <c r="AG613" s="553">
        <v>0</v>
      </c>
      <c r="AH613" s="554"/>
      <c r="AI613" s="555" t="e">
        <v>#N/A</v>
      </c>
      <c r="AJ613" s="556"/>
      <c r="AK613" s="556"/>
      <c r="AL613" s="556"/>
      <c r="AM613" s="556"/>
      <c r="AN613" s="556"/>
      <c r="AO613" s="556"/>
      <c r="AP613" s="556"/>
      <c r="AQ613" s="556"/>
      <c r="AR613" s="556"/>
      <c r="AS613" s="556"/>
      <c r="AT613" s="556"/>
      <c r="AU613" s="556"/>
      <c r="AV613" s="557"/>
      <c r="AW613" s="558">
        <v>0</v>
      </c>
      <c r="AX613" s="559"/>
      <c r="AY613" s="560"/>
      <c r="AZ613" s="585"/>
      <c r="BA613" s="586"/>
      <c r="BB613" s="587"/>
      <c r="BC613" s="558">
        <v>0</v>
      </c>
      <c r="BD613" s="559"/>
      <c r="BE613" s="560"/>
      <c r="BF613" s="558">
        <v>182.49</v>
      </c>
      <c r="BG613" s="559"/>
      <c r="BH613" s="560"/>
      <c r="BI613" s="564">
        <v>0</v>
      </c>
      <c r="BJ613" s="565"/>
      <c r="BK613" s="565"/>
      <c r="BL613" s="566"/>
      <c r="BM613" s="567" t="s">
        <v>932</v>
      </c>
      <c r="BN613" s="567"/>
      <c r="BO613" s="567"/>
      <c r="BP613" s="567"/>
      <c r="BQ613" s="568">
        <v>1</v>
      </c>
      <c r="BR613" s="568"/>
      <c r="BS613" s="568"/>
      <c r="BT613" s="567" t="s">
        <v>932</v>
      </c>
      <c r="BU613" s="567"/>
      <c r="BV613" s="567"/>
      <c r="BW613" s="567"/>
      <c r="BX613" s="568" t="s">
        <v>932</v>
      </c>
      <c r="BY613" s="568"/>
      <c r="BZ613" s="568"/>
      <c r="CA613" s="567" t="s">
        <v>932</v>
      </c>
      <c r="CB613" s="567"/>
      <c r="CC613" s="567"/>
      <c r="CD613" s="567"/>
      <c r="CE613" s="568" t="s">
        <v>932</v>
      </c>
      <c r="CF613" s="568"/>
      <c r="CG613" s="568"/>
      <c r="CH613" s="567" t="s">
        <v>932</v>
      </c>
      <c r="CI613" s="567"/>
      <c r="CJ613" s="567"/>
      <c r="CK613" s="567"/>
      <c r="CL613" s="568" t="s">
        <v>932</v>
      </c>
      <c r="CM613" s="568"/>
      <c r="CN613" s="568"/>
    </row>
    <row r="614" hidden="1" customHeight="1" spans="1:92">
      <c r="A614" s="569"/>
      <c r="B614" s="570"/>
      <c r="C614" s="571"/>
      <c r="D614" s="572"/>
      <c r="E614" s="573"/>
      <c r="F614" s="574"/>
      <c r="G614" s="575"/>
      <c r="H614" s="576"/>
      <c r="I614" s="577"/>
      <c r="J614" s="578"/>
      <c r="K614" s="578"/>
      <c r="L614" s="578"/>
      <c r="M614" s="578"/>
      <c r="N614" s="578"/>
      <c r="O614" s="578"/>
      <c r="P614" s="578"/>
      <c r="Q614" s="578"/>
      <c r="R614" s="578"/>
      <c r="S614" s="578"/>
      <c r="T614" s="578"/>
      <c r="U614" s="578"/>
      <c r="V614" s="578"/>
      <c r="W614" s="578"/>
      <c r="X614" s="578"/>
      <c r="Y614" s="578"/>
      <c r="Z614" s="578"/>
      <c r="AA614" s="579"/>
      <c r="AB614" s="580"/>
      <c r="AC614" s="581"/>
      <c r="AD614" s="582"/>
      <c r="AE614" s="583"/>
      <c r="AF614" s="584"/>
      <c r="AG614" s="553">
        <v>0</v>
      </c>
      <c r="AH614" s="554"/>
      <c r="AI614" s="555" t="e">
        <v>#N/A</v>
      </c>
      <c r="AJ614" s="556"/>
      <c r="AK614" s="556"/>
      <c r="AL614" s="556"/>
      <c r="AM614" s="556"/>
      <c r="AN614" s="556"/>
      <c r="AO614" s="556"/>
      <c r="AP614" s="556"/>
      <c r="AQ614" s="556"/>
      <c r="AR614" s="556"/>
      <c r="AS614" s="556"/>
      <c r="AT614" s="556"/>
      <c r="AU614" s="556"/>
      <c r="AV614" s="557"/>
      <c r="AW614" s="558">
        <v>0</v>
      </c>
      <c r="AX614" s="559"/>
      <c r="AY614" s="560"/>
      <c r="AZ614" s="585"/>
      <c r="BA614" s="586"/>
      <c r="BB614" s="587"/>
      <c r="BC614" s="558">
        <v>0</v>
      </c>
      <c r="BD614" s="559"/>
      <c r="BE614" s="560"/>
      <c r="BF614" s="558">
        <v>182.49</v>
      </c>
      <c r="BG614" s="559"/>
      <c r="BH614" s="560"/>
      <c r="BI614" s="564">
        <v>0</v>
      </c>
      <c r="BJ614" s="565"/>
      <c r="BK614" s="565"/>
      <c r="BL614" s="566"/>
      <c r="BM614" s="567" t="s">
        <v>932</v>
      </c>
      <c r="BN614" s="567"/>
      <c r="BO614" s="567"/>
      <c r="BP614" s="567"/>
      <c r="BQ614" s="568">
        <v>1</v>
      </c>
      <c r="BR614" s="568"/>
      <c r="BS614" s="568"/>
      <c r="BT614" s="567" t="s">
        <v>932</v>
      </c>
      <c r="BU614" s="567"/>
      <c r="BV614" s="567"/>
      <c r="BW614" s="567"/>
      <c r="BX614" s="568" t="s">
        <v>932</v>
      </c>
      <c r="BY614" s="568"/>
      <c r="BZ614" s="568"/>
      <c r="CA614" s="567" t="s">
        <v>932</v>
      </c>
      <c r="CB614" s="567"/>
      <c r="CC614" s="567"/>
      <c r="CD614" s="567"/>
      <c r="CE614" s="568" t="s">
        <v>932</v>
      </c>
      <c r="CF614" s="568"/>
      <c r="CG614" s="568"/>
      <c r="CH614" s="567" t="s">
        <v>932</v>
      </c>
      <c r="CI614" s="567"/>
      <c r="CJ614" s="567"/>
      <c r="CK614" s="567"/>
      <c r="CL614" s="568" t="s">
        <v>932</v>
      </c>
      <c r="CM614" s="568"/>
      <c r="CN614" s="568"/>
    </row>
    <row r="615" hidden="1" customHeight="1" spans="1:92">
      <c r="A615" s="588"/>
      <c r="B615" s="589"/>
      <c r="C615" s="590"/>
      <c r="D615" s="591"/>
      <c r="E615" s="592"/>
      <c r="F615" s="593"/>
      <c r="G615" s="594"/>
      <c r="H615" s="595"/>
      <c r="I615" s="596"/>
      <c r="J615" s="597"/>
      <c r="K615" s="597"/>
      <c r="L615" s="597"/>
      <c r="M615" s="597"/>
      <c r="N615" s="597"/>
      <c r="O615" s="597"/>
      <c r="P615" s="597"/>
      <c r="Q615" s="597"/>
      <c r="R615" s="597"/>
      <c r="S615" s="597"/>
      <c r="T615" s="597"/>
      <c r="U615" s="597"/>
      <c r="V615" s="597"/>
      <c r="W615" s="597"/>
      <c r="X615" s="597"/>
      <c r="Y615" s="597"/>
      <c r="Z615" s="597"/>
      <c r="AA615" s="598"/>
      <c r="AB615" s="599"/>
      <c r="AC615" s="600"/>
      <c r="AD615" s="601"/>
      <c r="AE615" s="602"/>
      <c r="AF615" s="603"/>
      <c r="AG615" s="553">
        <v>0</v>
      </c>
      <c r="AH615" s="554"/>
      <c r="AI615" s="555" t="e">
        <v>#N/A</v>
      </c>
      <c r="AJ615" s="556"/>
      <c r="AK615" s="556"/>
      <c r="AL615" s="556"/>
      <c r="AM615" s="556"/>
      <c r="AN615" s="556"/>
      <c r="AO615" s="556"/>
      <c r="AP615" s="556"/>
      <c r="AQ615" s="556"/>
      <c r="AR615" s="556"/>
      <c r="AS615" s="556"/>
      <c r="AT615" s="556"/>
      <c r="AU615" s="556"/>
      <c r="AV615" s="557"/>
      <c r="AW615" s="558">
        <v>0</v>
      </c>
      <c r="AX615" s="559"/>
      <c r="AY615" s="560"/>
      <c r="AZ615" s="604"/>
      <c r="BA615" s="605"/>
      <c r="BB615" s="606"/>
      <c r="BC615" s="558">
        <v>0</v>
      </c>
      <c r="BD615" s="559"/>
      <c r="BE615" s="560"/>
      <c r="BF615" s="558">
        <v>182.49</v>
      </c>
      <c r="BG615" s="559"/>
      <c r="BH615" s="560"/>
      <c r="BI615" s="564">
        <v>0</v>
      </c>
      <c r="BJ615" s="565"/>
      <c r="BK615" s="565"/>
      <c r="BL615" s="566"/>
      <c r="BM615" s="567" t="s">
        <v>932</v>
      </c>
      <c r="BN615" s="567"/>
      <c r="BO615" s="567"/>
      <c r="BP615" s="567"/>
      <c r="BQ615" s="568">
        <v>1</v>
      </c>
      <c r="BR615" s="568"/>
      <c r="BS615" s="568"/>
      <c r="BT615" s="567" t="s">
        <v>932</v>
      </c>
      <c r="BU615" s="567"/>
      <c r="BV615" s="567"/>
      <c r="BW615" s="567"/>
      <c r="BX615" s="568" t="s">
        <v>932</v>
      </c>
      <c r="BY615" s="568"/>
      <c r="BZ615" s="568"/>
      <c r="CA615" s="567" t="s">
        <v>932</v>
      </c>
      <c r="CB615" s="567"/>
      <c r="CC615" s="567"/>
      <c r="CD615" s="567"/>
      <c r="CE615" s="568" t="s">
        <v>932</v>
      </c>
      <c r="CF615" s="568"/>
      <c r="CG615" s="568"/>
      <c r="CH615" s="567" t="s">
        <v>932</v>
      </c>
      <c r="CI615" s="567"/>
      <c r="CJ615" s="567"/>
      <c r="CK615" s="567"/>
      <c r="CL615" s="568" t="s">
        <v>932</v>
      </c>
      <c r="CM615" s="568"/>
      <c r="CN615" s="568"/>
    </row>
    <row r="616" hidden="1" customHeight="1" spans="1:92">
      <c r="A616" s="540" t="s">
        <v>979</v>
      </c>
      <c r="B616" s="541"/>
      <c r="C616" s="89" t="s">
        <v>1020</v>
      </c>
      <c r="D616" s="91"/>
      <c r="E616" s="90"/>
      <c r="F616" s="542">
        <v>407819</v>
      </c>
      <c r="G616" s="543"/>
      <c r="H616" s="544"/>
      <c r="I616" s="545" t="s">
        <v>100</v>
      </c>
      <c r="J616" s="546"/>
      <c r="K616" s="546"/>
      <c r="L616" s="546"/>
      <c r="M616" s="546"/>
      <c r="N616" s="546"/>
      <c r="O616" s="546"/>
      <c r="P616" s="546"/>
      <c r="Q616" s="546"/>
      <c r="R616" s="546"/>
      <c r="S616" s="546"/>
      <c r="T616" s="546"/>
      <c r="U616" s="546"/>
      <c r="V616" s="546"/>
      <c r="W616" s="546"/>
      <c r="X616" s="546"/>
      <c r="Y616" s="546"/>
      <c r="Z616" s="546"/>
      <c r="AA616" s="547"/>
      <c r="AB616" s="548" t="s">
        <v>101</v>
      </c>
      <c r="AC616" s="549"/>
      <c r="AD616" s="550">
        <v>231.2</v>
      </c>
      <c r="AE616" s="551"/>
      <c r="AF616" s="552"/>
      <c r="AG616" s="553">
        <v>0</v>
      </c>
      <c r="AH616" s="554"/>
      <c r="AI616" s="555" t="e">
        <v>#N/A</v>
      </c>
      <c r="AJ616" s="556"/>
      <c r="AK616" s="556"/>
      <c r="AL616" s="556"/>
      <c r="AM616" s="556"/>
      <c r="AN616" s="556"/>
      <c r="AO616" s="556"/>
      <c r="AP616" s="556"/>
      <c r="AQ616" s="556"/>
      <c r="AR616" s="556"/>
      <c r="AS616" s="556"/>
      <c r="AT616" s="556"/>
      <c r="AU616" s="556"/>
      <c r="AV616" s="557"/>
      <c r="AW616" s="558">
        <v>0</v>
      </c>
      <c r="AX616" s="559"/>
      <c r="AY616" s="560"/>
      <c r="AZ616" s="561">
        <v>1</v>
      </c>
      <c r="BA616" s="562"/>
      <c r="BB616" s="563"/>
      <c r="BC616" s="558">
        <v>0</v>
      </c>
      <c r="BD616" s="559"/>
      <c r="BE616" s="560"/>
      <c r="BF616" s="558">
        <v>182.49</v>
      </c>
      <c r="BG616" s="559"/>
      <c r="BH616" s="560"/>
      <c r="BI616" s="564">
        <v>0</v>
      </c>
      <c r="BJ616" s="565"/>
      <c r="BK616" s="565"/>
      <c r="BL616" s="566"/>
      <c r="BM616" s="567" t="s">
        <v>932</v>
      </c>
      <c r="BN616" s="567"/>
      <c r="BO616" s="567"/>
      <c r="BP616" s="567"/>
      <c r="BQ616" s="568" t="s">
        <v>932</v>
      </c>
      <c r="BR616" s="568"/>
      <c r="BS616" s="568"/>
      <c r="BT616" s="567" t="s">
        <v>932</v>
      </c>
      <c r="BU616" s="567"/>
      <c r="BV616" s="567"/>
      <c r="BW616" s="567"/>
      <c r="BX616" s="568" t="s">
        <v>932</v>
      </c>
      <c r="BY616" s="568"/>
      <c r="BZ616" s="568"/>
      <c r="CA616" s="567" t="s">
        <v>932</v>
      </c>
      <c r="CB616" s="567"/>
      <c r="CC616" s="567"/>
      <c r="CD616" s="567"/>
      <c r="CE616" s="568">
        <v>1</v>
      </c>
      <c r="CF616" s="568"/>
      <c r="CG616" s="568"/>
      <c r="CH616" s="567" t="s">
        <v>932</v>
      </c>
      <c r="CI616" s="567"/>
      <c r="CJ616" s="567"/>
      <c r="CK616" s="567"/>
      <c r="CL616" s="568" t="s">
        <v>932</v>
      </c>
      <c r="CM616" s="568"/>
      <c r="CN616" s="568"/>
    </row>
    <row r="617" hidden="1" customHeight="1" spans="1:92">
      <c r="A617" s="569"/>
      <c r="B617" s="570"/>
      <c r="C617" s="571"/>
      <c r="D617" s="572"/>
      <c r="E617" s="573"/>
      <c r="F617" s="574"/>
      <c r="G617" s="575"/>
      <c r="H617" s="576"/>
      <c r="I617" s="577"/>
      <c r="J617" s="578"/>
      <c r="K617" s="578"/>
      <c r="L617" s="578"/>
      <c r="M617" s="578"/>
      <c r="N617" s="578"/>
      <c r="O617" s="578"/>
      <c r="P617" s="578"/>
      <c r="Q617" s="578"/>
      <c r="R617" s="578"/>
      <c r="S617" s="578"/>
      <c r="T617" s="578"/>
      <c r="U617" s="578"/>
      <c r="V617" s="578"/>
      <c r="W617" s="578"/>
      <c r="X617" s="578"/>
      <c r="Y617" s="578"/>
      <c r="Z617" s="578"/>
      <c r="AA617" s="579"/>
      <c r="AB617" s="580"/>
      <c r="AC617" s="581"/>
      <c r="AD617" s="582"/>
      <c r="AE617" s="583"/>
      <c r="AF617" s="584"/>
      <c r="AG617" s="553">
        <v>0</v>
      </c>
      <c r="AH617" s="554"/>
      <c r="AI617" s="555" t="e">
        <v>#N/A</v>
      </c>
      <c r="AJ617" s="556"/>
      <c r="AK617" s="556"/>
      <c r="AL617" s="556"/>
      <c r="AM617" s="556"/>
      <c r="AN617" s="556"/>
      <c r="AO617" s="556"/>
      <c r="AP617" s="556"/>
      <c r="AQ617" s="556"/>
      <c r="AR617" s="556"/>
      <c r="AS617" s="556"/>
      <c r="AT617" s="556"/>
      <c r="AU617" s="556"/>
      <c r="AV617" s="557"/>
      <c r="AW617" s="558">
        <v>0</v>
      </c>
      <c r="AX617" s="559"/>
      <c r="AY617" s="560"/>
      <c r="AZ617" s="585"/>
      <c r="BA617" s="586"/>
      <c r="BB617" s="587"/>
      <c r="BC617" s="558">
        <v>0</v>
      </c>
      <c r="BD617" s="559"/>
      <c r="BE617" s="560"/>
      <c r="BF617" s="558">
        <v>182.49</v>
      </c>
      <c r="BG617" s="559"/>
      <c r="BH617" s="560"/>
      <c r="BI617" s="564">
        <v>0</v>
      </c>
      <c r="BJ617" s="565"/>
      <c r="BK617" s="565"/>
      <c r="BL617" s="566"/>
      <c r="BM617" s="567" t="s">
        <v>932</v>
      </c>
      <c r="BN617" s="567"/>
      <c r="BO617" s="567"/>
      <c r="BP617" s="567"/>
      <c r="BQ617" s="568" t="s">
        <v>932</v>
      </c>
      <c r="BR617" s="568"/>
      <c r="BS617" s="568"/>
      <c r="BT617" s="567" t="s">
        <v>932</v>
      </c>
      <c r="BU617" s="567"/>
      <c r="BV617" s="567"/>
      <c r="BW617" s="567"/>
      <c r="BX617" s="568" t="s">
        <v>932</v>
      </c>
      <c r="BY617" s="568"/>
      <c r="BZ617" s="568"/>
      <c r="CA617" s="567" t="s">
        <v>932</v>
      </c>
      <c r="CB617" s="567"/>
      <c r="CC617" s="567"/>
      <c r="CD617" s="567"/>
      <c r="CE617" s="568">
        <v>1</v>
      </c>
      <c r="CF617" s="568"/>
      <c r="CG617" s="568"/>
      <c r="CH617" s="567" t="s">
        <v>932</v>
      </c>
      <c r="CI617" s="567"/>
      <c r="CJ617" s="567"/>
      <c r="CK617" s="567"/>
      <c r="CL617" s="568" t="s">
        <v>932</v>
      </c>
      <c r="CM617" s="568"/>
      <c r="CN617" s="568"/>
    </row>
    <row r="618" hidden="1" customHeight="1" spans="1:92">
      <c r="A618" s="569"/>
      <c r="B618" s="570"/>
      <c r="C618" s="571"/>
      <c r="D618" s="572"/>
      <c r="E618" s="573"/>
      <c r="F618" s="574"/>
      <c r="G618" s="575"/>
      <c r="H618" s="576"/>
      <c r="I618" s="577"/>
      <c r="J618" s="578"/>
      <c r="K618" s="578"/>
      <c r="L618" s="578"/>
      <c r="M618" s="578"/>
      <c r="N618" s="578"/>
      <c r="O618" s="578"/>
      <c r="P618" s="578"/>
      <c r="Q618" s="578"/>
      <c r="R618" s="578"/>
      <c r="S618" s="578"/>
      <c r="T618" s="578"/>
      <c r="U618" s="578"/>
      <c r="V618" s="578"/>
      <c r="W618" s="578"/>
      <c r="X618" s="578"/>
      <c r="Y618" s="578"/>
      <c r="Z618" s="578"/>
      <c r="AA618" s="579"/>
      <c r="AB618" s="580"/>
      <c r="AC618" s="581"/>
      <c r="AD618" s="582"/>
      <c r="AE618" s="583"/>
      <c r="AF618" s="584"/>
      <c r="AG618" s="553">
        <v>0</v>
      </c>
      <c r="AH618" s="554"/>
      <c r="AI618" s="555" t="e">
        <v>#N/A</v>
      </c>
      <c r="AJ618" s="556"/>
      <c r="AK618" s="556"/>
      <c r="AL618" s="556"/>
      <c r="AM618" s="556"/>
      <c r="AN618" s="556"/>
      <c r="AO618" s="556"/>
      <c r="AP618" s="556"/>
      <c r="AQ618" s="556"/>
      <c r="AR618" s="556"/>
      <c r="AS618" s="556"/>
      <c r="AT618" s="556"/>
      <c r="AU618" s="556"/>
      <c r="AV618" s="557"/>
      <c r="AW618" s="558">
        <v>0</v>
      </c>
      <c r="AX618" s="559"/>
      <c r="AY618" s="560"/>
      <c r="AZ618" s="585"/>
      <c r="BA618" s="586"/>
      <c r="BB618" s="587"/>
      <c r="BC618" s="558">
        <v>0</v>
      </c>
      <c r="BD618" s="559"/>
      <c r="BE618" s="560"/>
      <c r="BF618" s="558">
        <v>182.49</v>
      </c>
      <c r="BG618" s="559"/>
      <c r="BH618" s="560"/>
      <c r="BI618" s="564">
        <v>0</v>
      </c>
      <c r="BJ618" s="565"/>
      <c r="BK618" s="565"/>
      <c r="BL618" s="566"/>
      <c r="BM618" s="567" t="s">
        <v>932</v>
      </c>
      <c r="BN618" s="567"/>
      <c r="BO618" s="567"/>
      <c r="BP618" s="567"/>
      <c r="BQ618" s="568" t="s">
        <v>932</v>
      </c>
      <c r="BR618" s="568"/>
      <c r="BS618" s="568"/>
      <c r="BT618" s="567" t="s">
        <v>932</v>
      </c>
      <c r="BU618" s="567"/>
      <c r="BV618" s="567"/>
      <c r="BW618" s="567"/>
      <c r="BX618" s="568" t="s">
        <v>932</v>
      </c>
      <c r="BY618" s="568"/>
      <c r="BZ618" s="568"/>
      <c r="CA618" s="567" t="s">
        <v>932</v>
      </c>
      <c r="CB618" s="567"/>
      <c r="CC618" s="567"/>
      <c r="CD618" s="567"/>
      <c r="CE618" s="568">
        <v>1</v>
      </c>
      <c r="CF618" s="568"/>
      <c r="CG618" s="568"/>
      <c r="CH618" s="567" t="s">
        <v>932</v>
      </c>
      <c r="CI618" s="567"/>
      <c r="CJ618" s="567"/>
      <c r="CK618" s="567"/>
      <c r="CL618" s="568" t="s">
        <v>932</v>
      </c>
      <c r="CM618" s="568"/>
      <c r="CN618" s="568"/>
    </row>
    <row r="619" hidden="1" customHeight="1" spans="1:92">
      <c r="A619" s="569"/>
      <c r="B619" s="570"/>
      <c r="C619" s="571"/>
      <c r="D619" s="572"/>
      <c r="E619" s="573"/>
      <c r="F619" s="574"/>
      <c r="G619" s="575"/>
      <c r="H619" s="576"/>
      <c r="I619" s="577"/>
      <c r="J619" s="578"/>
      <c r="K619" s="578"/>
      <c r="L619" s="578"/>
      <c r="M619" s="578"/>
      <c r="N619" s="578"/>
      <c r="O619" s="578"/>
      <c r="P619" s="578"/>
      <c r="Q619" s="578"/>
      <c r="R619" s="578"/>
      <c r="S619" s="578"/>
      <c r="T619" s="578"/>
      <c r="U619" s="578"/>
      <c r="V619" s="578"/>
      <c r="W619" s="578"/>
      <c r="X619" s="578"/>
      <c r="Y619" s="578"/>
      <c r="Z619" s="578"/>
      <c r="AA619" s="579"/>
      <c r="AB619" s="580"/>
      <c r="AC619" s="581"/>
      <c r="AD619" s="582"/>
      <c r="AE619" s="583"/>
      <c r="AF619" s="584"/>
      <c r="AG619" s="553">
        <v>0</v>
      </c>
      <c r="AH619" s="554"/>
      <c r="AI619" s="555" t="e">
        <v>#N/A</v>
      </c>
      <c r="AJ619" s="556"/>
      <c r="AK619" s="556"/>
      <c r="AL619" s="556"/>
      <c r="AM619" s="556"/>
      <c r="AN619" s="556"/>
      <c r="AO619" s="556"/>
      <c r="AP619" s="556"/>
      <c r="AQ619" s="556"/>
      <c r="AR619" s="556"/>
      <c r="AS619" s="556"/>
      <c r="AT619" s="556"/>
      <c r="AU619" s="556"/>
      <c r="AV619" s="557"/>
      <c r="AW619" s="558">
        <v>0</v>
      </c>
      <c r="AX619" s="559"/>
      <c r="AY619" s="560"/>
      <c r="AZ619" s="585"/>
      <c r="BA619" s="586"/>
      <c r="BB619" s="587"/>
      <c r="BC619" s="558">
        <v>0</v>
      </c>
      <c r="BD619" s="559"/>
      <c r="BE619" s="560"/>
      <c r="BF619" s="558">
        <v>182.49</v>
      </c>
      <c r="BG619" s="559"/>
      <c r="BH619" s="560"/>
      <c r="BI619" s="564">
        <v>0</v>
      </c>
      <c r="BJ619" s="565"/>
      <c r="BK619" s="565"/>
      <c r="BL619" s="566"/>
      <c r="BM619" s="567" t="s">
        <v>932</v>
      </c>
      <c r="BN619" s="567"/>
      <c r="BO619" s="567"/>
      <c r="BP619" s="567"/>
      <c r="BQ619" s="568" t="s">
        <v>932</v>
      </c>
      <c r="BR619" s="568"/>
      <c r="BS619" s="568"/>
      <c r="BT619" s="567" t="s">
        <v>932</v>
      </c>
      <c r="BU619" s="567"/>
      <c r="BV619" s="567"/>
      <c r="BW619" s="567"/>
      <c r="BX619" s="568" t="s">
        <v>932</v>
      </c>
      <c r="BY619" s="568"/>
      <c r="BZ619" s="568"/>
      <c r="CA619" s="567" t="s">
        <v>932</v>
      </c>
      <c r="CB619" s="567"/>
      <c r="CC619" s="567"/>
      <c r="CD619" s="567"/>
      <c r="CE619" s="568">
        <v>1</v>
      </c>
      <c r="CF619" s="568"/>
      <c r="CG619" s="568"/>
      <c r="CH619" s="567" t="s">
        <v>932</v>
      </c>
      <c r="CI619" s="567"/>
      <c r="CJ619" s="567"/>
      <c r="CK619" s="567"/>
      <c r="CL619" s="568" t="s">
        <v>932</v>
      </c>
      <c r="CM619" s="568"/>
      <c r="CN619" s="568"/>
    </row>
    <row r="620" hidden="1" customHeight="1" spans="1:92">
      <c r="A620" s="569"/>
      <c r="B620" s="570"/>
      <c r="C620" s="571"/>
      <c r="D620" s="572"/>
      <c r="E620" s="573"/>
      <c r="F620" s="574"/>
      <c r="G620" s="575"/>
      <c r="H620" s="576"/>
      <c r="I620" s="577"/>
      <c r="J620" s="578"/>
      <c r="K620" s="578"/>
      <c r="L620" s="578"/>
      <c r="M620" s="578"/>
      <c r="N620" s="578"/>
      <c r="O620" s="578"/>
      <c r="P620" s="578"/>
      <c r="Q620" s="578"/>
      <c r="R620" s="578"/>
      <c r="S620" s="578"/>
      <c r="T620" s="578"/>
      <c r="U620" s="578"/>
      <c r="V620" s="578"/>
      <c r="W620" s="578"/>
      <c r="X620" s="578"/>
      <c r="Y620" s="578"/>
      <c r="Z620" s="578"/>
      <c r="AA620" s="579"/>
      <c r="AB620" s="580"/>
      <c r="AC620" s="581"/>
      <c r="AD620" s="582"/>
      <c r="AE620" s="583"/>
      <c r="AF620" s="584"/>
      <c r="AG620" s="553">
        <v>0</v>
      </c>
      <c r="AH620" s="554"/>
      <c r="AI620" s="555" t="e">
        <v>#N/A</v>
      </c>
      <c r="AJ620" s="556"/>
      <c r="AK620" s="556"/>
      <c r="AL620" s="556"/>
      <c r="AM620" s="556"/>
      <c r="AN620" s="556"/>
      <c r="AO620" s="556"/>
      <c r="AP620" s="556"/>
      <c r="AQ620" s="556"/>
      <c r="AR620" s="556"/>
      <c r="AS620" s="556"/>
      <c r="AT620" s="556"/>
      <c r="AU620" s="556"/>
      <c r="AV620" s="557"/>
      <c r="AW620" s="558">
        <v>0</v>
      </c>
      <c r="AX620" s="559"/>
      <c r="AY620" s="560"/>
      <c r="AZ620" s="585"/>
      <c r="BA620" s="586"/>
      <c r="BB620" s="587"/>
      <c r="BC620" s="558">
        <v>0</v>
      </c>
      <c r="BD620" s="559"/>
      <c r="BE620" s="560"/>
      <c r="BF620" s="558">
        <v>182.49</v>
      </c>
      <c r="BG620" s="559"/>
      <c r="BH620" s="560"/>
      <c r="BI620" s="564">
        <v>0</v>
      </c>
      <c r="BJ620" s="565"/>
      <c r="BK620" s="565"/>
      <c r="BL620" s="566"/>
      <c r="BM620" s="567" t="s">
        <v>932</v>
      </c>
      <c r="BN620" s="567"/>
      <c r="BO620" s="567"/>
      <c r="BP620" s="567"/>
      <c r="BQ620" s="568" t="s">
        <v>932</v>
      </c>
      <c r="BR620" s="568"/>
      <c r="BS620" s="568"/>
      <c r="BT620" s="567" t="s">
        <v>932</v>
      </c>
      <c r="BU620" s="567"/>
      <c r="BV620" s="567"/>
      <c r="BW620" s="567"/>
      <c r="BX620" s="568" t="s">
        <v>932</v>
      </c>
      <c r="BY620" s="568"/>
      <c r="BZ620" s="568"/>
      <c r="CA620" s="567" t="s">
        <v>932</v>
      </c>
      <c r="CB620" s="567"/>
      <c r="CC620" s="567"/>
      <c r="CD620" s="567"/>
      <c r="CE620" s="568">
        <v>1</v>
      </c>
      <c r="CF620" s="568"/>
      <c r="CG620" s="568"/>
      <c r="CH620" s="567" t="s">
        <v>932</v>
      </c>
      <c r="CI620" s="567"/>
      <c r="CJ620" s="567"/>
      <c r="CK620" s="567"/>
      <c r="CL620" s="568" t="s">
        <v>932</v>
      </c>
      <c r="CM620" s="568"/>
      <c r="CN620" s="568"/>
    </row>
    <row r="621" hidden="1" customHeight="1" spans="1:92">
      <c r="A621" s="569"/>
      <c r="B621" s="570"/>
      <c r="C621" s="571"/>
      <c r="D621" s="572"/>
      <c r="E621" s="573"/>
      <c r="F621" s="574"/>
      <c r="G621" s="575"/>
      <c r="H621" s="576"/>
      <c r="I621" s="577"/>
      <c r="J621" s="578"/>
      <c r="K621" s="578"/>
      <c r="L621" s="578"/>
      <c r="M621" s="578"/>
      <c r="N621" s="578"/>
      <c r="O621" s="578"/>
      <c r="P621" s="578"/>
      <c r="Q621" s="578"/>
      <c r="R621" s="578"/>
      <c r="S621" s="578"/>
      <c r="T621" s="578"/>
      <c r="U621" s="578"/>
      <c r="V621" s="578"/>
      <c r="W621" s="578"/>
      <c r="X621" s="578"/>
      <c r="Y621" s="578"/>
      <c r="Z621" s="578"/>
      <c r="AA621" s="579"/>
      <c r="AB621" s="580"/>
      <c r="AC621" s="581"/>
      <c r="AD621" s="582"/>
      <c r="AE621" s="583"/>
      <c r="AF621" s="584"/>
      <c r="AG621" s="553">
        <v>0</v>
      </c>
      <c r="AH621" s="554"/>
      <c r="AI621" s="555" t="e">
        <v>#N/A</v>
      </c>
      <c r="AJ621" s="556"/>
      <c r="AK621" s="556"/>
      <c r="AL621" s="556"/>
      <c r="AM621" s="556"/>
      <c r="AN621" s="556"/>
      <c r="AO621" s="556"/>
      <c r="AP621" s="556"/>
      <c r="AQ621" s="556"/>
      <c r="AR621" s="556"/>
      <c r="AS621" s="556"/>
      <c r="AT621" s="556"/>
      <c r="AU621" s="556"/>
      <c r="AV621" s="557"/>
      <c r="AW621" s="558">
        <v>0</v>
      </c>
      <c r="AX621" s="559"/>
      <c r="AY621" s="560"/>
      <c r="AZ621" s="585"/>
      <c r="BA621" s="586"/>
      <c r="BB621" s="587"/>
      <c r="BC621" s="558">
        <v>0</v>
      </c>
      <c r="BD621" s="559"/>
      <c r="BE621" s="560"/>
      <c r="BF621" s="558">
        <v>182.49</v>
      </c>
      <c r="BG621" s="559"/>
      <c r="BH621" s="560"/>
      <c r="BI621" s="564">
        <v>0</v>
      </c>
      <c r="BJ621" s="565"/>
      <c r="BK621" s="565"/>
      <c r="BL621" s="566"/>
      <c r="BM621" s="567" t="s">
        <v>932</v>
      </c>
      <c r="BN621" s="567"/>
      <c r="BO621" s="567"/>
      <c r="BP621" s="567"/>
      <c r="BQ621" s="568" t="s">
        <v>932</v>
      </c>
      <c r="BR621" s="568"/>
      <c r="BS621" s="568"/>
      <c r="BT621" s="567" t="s">
        <v>932</v>
      </c>
      <c r="BU621" s="567"/>
      <c r="BV621" s="567"/>
      <c r="BW621" s="567"/>
      <c r="BX621" s="568" t="s">
        <v>932</v>
      </c>
      <c r="BY621" s="568"/>
      <c r="BZ621" s="568"/>
      <c r="CA621" s="567" t="s">
        <v>932</v>
      </c>
      <c r="CB621" s="567"/>
      <c r="CC621" s="567"/>
      <c r="CD621" s="567"/>
      <c r="CE621" s="568">
        <v>1</v>
      </c>
      <c r="CF621" s="568"/>
      <c r="CG621" s="568"/>
      <c r="CH621" s="567" t="s">
        <v>932</v>
      </c>
      <c r="CI621" s="567"/>
      <c r="CJ621" s="567"/>
      <c r="CK621" s="567"/>
      <c r="CL621" s="568" t="s">
        <v>932</v>
      </c>
      <c r="CM621" s="568"/>
      <c r="CN621" s="568"/>
    </row>
    <row r="622" hidden="1" customHeight="1" spans="1:92">
      <c r="A622" s="569"/>
      <c r="B622" s="570"/>
      <c r="C622" s="571"/>
      <c r="D622" s="572"/>
      <c r="E622" s="573"/>
      <c r="F622" s="574"/>
      <c r="G622" s="575"/>
      <c r="H622" s="576"/>
      <c r="I622" s="577"/>
      <c r="J622" s="578"/>
      <c r="K622" s="578"/>
      <c r="L622" s="578"/>
      <c r="M622" s="578"/>
      <c r="N622" s="578"/>
      <c r="O622" s="578"/>
      <c r="P622" s="578"/>
      <c r="Q622" s="578"/>
      <c r="R622" s="578"/>
      <c r="S622" s="578"/>
      <c r="T622" s="578"/>
      <c r="U622" s="578"/>
      <c r="V622" s="578"/>
      <c r="W622" s="578"/>
      <c r="X622" s="578"/>
      <c r="Y622" s="578"/>
      <c r="Z622" s="578"/>
      <c r="AA622" s="579"/>
      <c r="AB622" s="580"/>
      <c r="AC622" s="581"/>
      <c r="AD622" s="582"/>
      <c r="AE622" s="583"/>
      <c r="AF622" s="584"/>
      <c r="AG622" s="553">
        <v>0</v>
      </c>
      <c r="AH622" s="554"/>
      <c r="AI622" s="555" t="e">
        <v>#N/A</v>
      </c>
      <c r="AJ622" s="556"/>
      <c r="AK622" s="556"/>
      <c r="AL622" s="556"/>
      <c r="AM622" s="556"/>
      <c r="AN622" s="556"/>
      <c r="AO622" s="556"/>
      <c r="AP622" s="556"/>
      <c r="AQ622" s="556"/>
      <c r="AR622" s="556"/>
      <c r="AS622" s="556"/>
      <c r="AT622" s="556"/>
      <c r="AU622" s="556"/>
      <c r="AV622" s="557"/>
      <c r="AW622" s="558">
        <v>0</v>
      </c>
      <c r="AX622" s="559"/>
      <c r="AY622" s="560"/>
      <c r="AZ622" s="585"/>
      <c r="BA622" s="586"/>
      <c r="BB622" s="587"/>
      <c r="BC622" s="558">
        <v>0</v>
      </c>
      <c r="BD622" s="559"/>
      <c r="BE622" s="560"/>
      <c r="BF622" s="558">
        <v>182.49</v>
      </c>
      <c r="BG622" s="559"/>
      <c r="BH622" s="560"/>
      <c r="BI622" s="564">
        <v>0</v>
      </c>
      <c r="BJ622" s="565"/>
      <c r="BK622" s="565"/>
      <c r="BL622" s="566"/>
      <c r="BM622" s="567" t="s">
        <v>932</v>
      </c>
      <c r="BN622" s="567"/>
      <c r="BO622" s="567"/>
      <c r="BP622" s="567"/>
      <c r="BQ622" s="568" t="s">
        <v>932</v>
      </c>
      <c r="BR622" s="568"/>
      <c r="BS622" s="568"/>
      <c r="BT622" s="567" t="s">
        <v>932</v>
      </c>
      <c r="BU622" s="567"/>
      <c r="BV622" s="567"/>
      <c r="BW622" s="567"/>
      <c r="BX622" s="568" t="s">
        <v>932</v>
      </c>
      <c r="BY622" s="568"/>
      <c r="BZ622" s="568"/>
      <c r="CA622" s="567" t="s">
        <v>932</v>
      </c>
      <c r="CB622" s="567"/>
      <c r="CC622" s="567"/>
      <c r="CD622" s="567"/>
      <c r="CE622" s="568">
        <v>1</v>
      </c>
      <c r="CF622" s="568"/>
      <c r="CG622" s="568"/>
      <c r="CH622" s="567" t="s">
        <v>932</v>
      </c>
      <c r="CI622" s="567"/>
      <c r="CJ622" s="567"/>
      <c r="CK622" s="567"/>
      <c r="CL622" s="568" t="s">
        <v>932</v>
      </c>
      <c r="CM622" s="568"/>
      <c r="CN622" s="568"/>
    </row>
    <row r="623" hidden="1" customHeight="1" spans="1:92">
      <c r="A623" s="588"/>
      <c r="B623" s="589"/>
      <c r="C623" s="590"/>
      <c r="D623" s="591"/>
      <c r="E623" s="592"/>
      <c r="F623" s="593"/>
      <c r="G623" s="594"/>
      <c r="H623" s="595"/>
      <c r="I623" s="596"/>
      <c r="J623" s="597"/>
      <c r="K623" s="597"/>
      <c r="L623" s="597"/>
      <c r="M623" s="597"/>
      <c r="N623" s="597"/>
      <c r="O623" s="597"/>
      <c r="P623" s="597"/>
      <c r="Q623" s="597"/>
      <c r="R623" s="597"/>
      <c r="S623" s="597"/>
      <c r="T623" s="597"/>
      <c r="U623" s="597"/>
      <c r="V623" s="597"/>
      <c r="W623" s="597"/>
      <c r="X623" s="597"/>
      <c r="Y623" s="597"/>
      <c r="Z623" s="597"/>
      <c r="AA623" s="598"/>
      <c r="AB623" s="599"/>
      <c r="AC623" s="600"/>
      <c r="AD623" s="601"/>
      <c r="AE623" s="602"/>
      <c r="AF623" s="603"/>
      <c r="AG623" s="553">
        <v>0</v>
      </c>
      <c r="AH623" s="554"/>
      <c r="AI623" s="555" t="e">
        <v>#N/A</v>
      </c>
      <c r="AJ623" s="556"/>
      <c r="AK623" s="556"/>
      <c r="AL623" s="556"/>
      <c r="AM623" s="556"/>
      <c r="AN623" s="556"/>
      <c r="AO623" s="556"/>
      <c r="AP623" s="556"/>
      <c r="AQ623" s="556"/>
      <c r="AR623" s="556"/>
      <c r="AS623" s="556"/>
      <c r="AT623" s="556"/>
      <c r="AU623" s="556"/>
      <c r="AV623" s="557"/>
      <c r="AW623" s="558">
        <v>0</v>
      </c>
      <c r="AX623" s="559"/>
      <c r="AY623" s="560"/>
      <c r="AZ623" s="604"/>
      <c r="BA623" s="605"/>
      <c r="BB623" s="606"/>
      <c r="BC623" s="558">
        <v>0</v>
      </c>
      <c r="BD623" s="559"/>
      <c r="BE623" s="560"/>
      <c r="BF623" s="558">
        <v>182.49</v>
      </c>
      <c r="BG623" s="559"/>
      <c r="BH623" s="560"/>
      <c r="BI623" s="564">
        <v>0</v>
      </c>
      <c r="BJ623" s="565"/>
      <c r="BK623" s="565"/>
      <c r="BL623" s="566"/>
      <c r="BM623" s="567" t="s">
        <v>932</v>
      </c>
      <c r="BN623" s="567"/>
      <c r="BO623" s="567"/>
      <c r="BP623" s="567"/>
      <c r="BQ623" s="568" t="s">
        <v>932</v>
      </c>
      <c r="BR623" s="568"/>
      <c r="BS623" s="568"/>
      <c r="BT623" s="567" t="s">
        <v>932</v>
      </c>
      <c r="BU623" s="567"/>
      <c r="BV623" s="567"/>
      <c r="BW623" s="567"/>
      <c r="BX623" s="568" t="s">
        <v>932</v>
      </c>
      <c r="BY623" s="568"/>
      <c r="BZ623" s="568"/>
      <c r="CA623" s="567" t="s">
        <v>932</v>
      </c>
      <c r="CB623" s="567"/>
      <c r="CC623" s="567"/>
      <c r="CD623" s="567"/>
      <c r="CE623" s="568">
        <v>1</v>
      </c>
      <c r="CF623" s="568"/>
      <c r="CG623" s="568"/>
      <c r="CH623" s="567" t="s">
        <v>932</v>
      </c>
      <c r="CI623" s="567"/>
      <c r="CJ623" s="567"/>
      <c r="CK623" s="567"/>
      <c r="CL623" s="568" t="s">
        <v>932</v>
      </c>
      <c r="CM623" s="568"/>
      <c r="CN623" s="568"/>
    </row>
    <row r="624" hidden="1" customHeight="1" spans="1:92">
      <c r="A624" s="540" t="s">
        <v>980</v>
      </c>
      <c r="B624" s="541"/>
      <c r="C624" s="89" t="s">
        <v>1020</v>
      </c>
      <c r="D624" s="91"/>
      <c r="E624" s="90"/>
      <c r="F624" s="542">
        <v>407819</v>
      </c>
      <c r="G624" s="543"/>
      <c r="H624" s="544"/>
      <c r="I624" s="545" t="s">
        <v>100</v>
      </c>
      <c r="J624" s="546"/>
      <c r="K624" s="546"/>
      <c r="L624" s="546"/>
      <c r="M624" s="546"/>
      <c r="N624" s="546"/>
      <c r="O624" s="546"/>
      <c r="P624" s="546"/>
      <c r="Q624" s="546"/>
      <c r="R624" s="546"/>
      <c r="S624" s="546"/>
      <c r="T624" s="546"/>
      <c r="U624" s="546"/>
      <c r="V624" s="546"/>
      <c r="W624" s="546"/>
      <c r="X624" s="546"/>
      <c r="Y624" s="546"/>
      <c r="Z624" s="546"/>
      <c r="AA624" s="547"/>
      <c r="AB624" s="548" t="s">
        <v>101</v>
      </c>
      <c r="AC624" s="549"/>
      <c r="AD624" s="550">
        <v>231.2</v>
      </c>
      <c r="AE624" s="551"/>
      <c r="AF624" s="552"/>
      <c r="AG624" s="553">
        <v>0</v>
      </c>
      <c r="AH624" s="554"/>
      <c r="AI624" s="555" t="e">
        <v>#N/A</v>
      </c>
      <c r="AJ624" s="556"/>
      <c r="AK624" s="556"/>
      <c r="AL624" s="556"/>
      <c r="AM624" s="556"/>
      <c r="AN624" s="556"/>
      <c r="AO624" s="556"/>
      <c r="AP624" s="556"/>
      <c r="AQ624" s="556"/>
      <c r="AR624" s="556"/>
      <c r="AS624" s="556"/>
      <c r="AT624" s="556"/>
      <c r="AU624" s="556"/>
      <c r="AV624" s="557"/>
      <c r="AW624" s="558">
        <v>0</v>
      </c>
      <c r="AX624" s="559"/>
      <c r="AY624" s="560"/>
      <c r="AZ624" s="561">
        <v>1</v>
      </c>
      <c r="BA624" s="562"/>
      <c r="BB624" s="563"/>
      <c r="BC624" s="558">
        <v>0</v>
      </c>
      <c r="BD624" s="559"/>
      <c r="BE624" s="560"/>
      <c r="BF624" s="558">
        <v>182.49</v>
      </c>
      <c r="BG624" s="559"/>
      <c r="BH624" s="560"/>
      <c r="BI624" s="564">
        <v>0</v>
      </c>
      <c r="BJ624" s="565"/>
      <c r="BK624" s="565"/>
      <c r="BL624" s="566"/>
      <c r="BM624" s="567" t="s">
        <v>932</v>
      </c>
      <c r="BN624" s="567"/>
      <c r="BO624" s="567"/>
      <c r="BP624" s="567"/>
      <c r="BQ624" s="568" t="s">
        <v>932</v>
      </c>
      <c r="BR624" s="568"/>
      <c r="BS624" s="568"/>
      <c r="BT624" s="567" t="s">
        <v>932</v>
      </c>
      <c r="BU624" s="567"/>
      <c r="BV624" s="567"/>
      <c r="BW624" s="567"/>
      <c r="BX624" s="568" t="s">
        <v>932</v>
      </c>
      <c r="BY624" s="568"/>
      <c r="BZ624" s="568"/>
      <c r="CA624" s="567" t="s">
        <v>932</v>
      </c>
      <c r="CB624" s="567"/>
      <c r="CC624" s="567"/>
      <c r="CD624" s="567"/>
      <c r="CE624" s="568">
        <v>1</v>
      </c>
      <c r="CF624" s="568"/>
      <c r="CG624" s="568"/>
      <c r="CH624" s="567" t="s">
        <v>932</v>
      </c>
      <c r="CI624" s="567"/>
      <c r="CJ624" s="567"/>
      <c r="CK624" s="567"/>
      <c r="CL624" s="568" t="s">
        <v>932</v>
      </c>
      <c r="CM624" s="568"/>
      <c r="CN624" s="568"/>
    </row>
    <row r="625" hidden="1" customHeight="1" spans="1:92">
      <c r="A625" s="569"/>
      <c r="B625" s="570"/>
      <c r="C625" s="571"/>
      <c r="D625" s="572"/>
      <c r="E625" s="573"/>
      <c r="F625" s="574"/>
      <c r="G625" s="575"/>
      <c r="H625" s="576"/>
      <c r="I625" s="577"/>
      <c r="J625" s="578"/>
      <c r="K625" s="578"/>
      <c r="L625" s="578"/>
      <c r="M625" s="578"/>
      <c r="N625" s="578"/>
      <c r="O625" s="578"/>
      <c r="P625" s="578"/>
      <c r="Q625" s="578"/>
      <c r="R625" s="578"/>
      <c r="S625" s="578"/>
      <c r="T625" s="578"/>
      <c r="U625" s="578"/>
      <c r="V625" s="578"/>
      <c r="W625" s="578"/>
      <c r="X625" s="578"/>
      <c r="Y625" s="578"/>
      <c r="Z625" s="578"/>
      <c r="AA625" s="579"/>
      <c r="AB625" s="580"/>
      <c r="AC625" s="581"/>
      <c r="AD625" s="582"/>
      <c r="AE625" s="583"/>
      <c r="AF625" s="584"/>
      <c r="AG625" s="553">
        <v>0</v>
      </c>
      <c r="AH625" s="554"/>
      <c r="AI625" s="555" t="e">
        <v>#N/A</v>
      </c>
      <c r="AJ625" s="556"/>
      <c r="AK625" s="556"/>
      <c r="AL625" s="556"/>
      <c r="AM625" s="556"/>
      <c r="AN625" s="556"/>
      <c r="AO625" s="556"/>
      <c r="AP625" s="556"/>
      <c r="AQ625" s="556"/>
      <c r="AR625" s="556"/>
      <c r="AS625" s="556"/>
      <c r="AT625" s="556"/>
      <c r="AU625" s="556"/>
      <c r="AV625" s="557"/>
      <c r="AW625" s="558">
        <v>0</v>
      </c>
      <c r="AX625" s="559"/>
      <c r="AY625" s="560"/>
      <c r="AZ625" s="585"/>
      <c r="BA625" s="586"/>
      <c r="BB625" s="587"/>
      <c r="BC625" s="558">
        <v>0</v>
      </c>
      <c r="BD625" s="559"/>
      <c r="BE625" s="560"/>
      <c r="BF625" s="558">
        <v>182.49</v>
      </c>
      <c r="BG625" s="559"/>
      <c r="BH625" s="560"/>
      <c r="BI625" s="564">
        <v>0</v>
      </c>
      <c r="BJ625" s="565"/>
      <c r="BK625" s="565"/>
      <c r="BL625" s="566"/>
      <c r="BM625" s="567" t="s">
        <v>932</v>
      </c>
      <c r="BN625" s="567"/>
      <c r="BO625" s="567"/>
      <c r="BP625" s="567"/>
      <c r="BQ625" s="568" t="s">
        <v>932</v>
      </c>
      <c r="BR625" s="568"/>
      <c r="BS625" s="568"/>
      <c r="BT625" s="567" t="s">
        <v>932</v>
      </c>
      <c r="BU625" s="567"/>
      <c r="BV625" s="567"/>
      <c r="BW625" s="567"/>
      <c r="BX625" s="568" t="s">
        <v>932</v>
      </c>
      <c r="BY625" s="568"/>
      <c r="BZ625" s="568"/>
      <c r="CA625" s="567" t="s">
        <v>932</v>
      </c>
      <c r="CB625" s="567"/>
      <c r="CC625" s="567"/>
      <c r="CD625" s="567"/>
      <c r="CE625" s="568">
        <v>1</v>
      </c>
      <c r="CF625" s="568"/>
      <c r="CG625" s="568"/>
      <c r="CH625" s="567" t="s">
        <v>932</v>
      </c>
      <c r="CI625" s="567"/>
      <c r="CJ625" s="567"/>
      <c r="CK625" s="567"/>
      <c r="CL625" s="568" t="s">
        <v>932</v>
      </c>
      <c r="CM625" s="568"/>
      <c r="CN625" s="568"/>
    </row>
    <row r="626" hidden="1" customHeight="1" spans="1:92">
      <c r="A626" s="569"/>
      <c r="B626" s="570"/>
      <c r="C626" s="571"/>
      <c r="D626" s="572"/>
      <c r="E626" s="573"/>
      <c r="F626" s="574"/>
      <c r="G626" s="575"/>
      <c r="H626" s="576"/>
      <c r="I626" s="577"/>
      <c r="J626" s="578"/>
      <c r="K626" s="578"/>
      <c r="L626" s="578"/>
      <c r="M626" s="578"/>
      <c r="N626" s="578"/>
      <c r="O626" s="578"/>
      <c r="P626" s="578"/>
      <c r="Q626" s="578"/>
      <c r="R626" s="578"/>
      <c r="S626" s="578"/>
      <c r="T626" s="578"/>
      <c r="U626" s="578"/>
      <c r="V626" s="578"/>
      <c r="W626" s="578"/>
      <c r="X626" s="578"/>
      <c r="Y626" s="578"/>
      <c r="Z626" s="578"/>
      <c r="AA626" s="579"/>
      <c r="AB626" s="580"/>
      <c r="AC626" s="581"/>
      <c r="AD626" s="582"/>
      <c r="AE626" s="583"/>
      <c r="AF626" s="584"/>
      <c r="AG626" s="553">
        <v>0</v>
      </c>
      <c r="AH626" s="554"/>
      <c r="AI626" s="555" t="e">
        <v>#N/A</v>
      </c>
      <c r="AJ626" s="556"/>
      <c r="AK626" s="556"/>
      <c r="AL626" s="556"/>
      <c r="AM626" s="556"/>
      <c r="AN626" s="556"/>
      <c r="AO626" s="556"/>
      <c r="AP626" s="556"/>
      <c r="AQ626" s="556"/>
      <c r="AR626" s="556"/>
      <c r="AS626" s="556"/>
      <c r="AT626" s="556"/>
      <c r="AU626" s="556"/>
      <c r="AV626" s="557"/>
      <c r="AW626" s="558">
        <v>0</v>
      </c>
      <c r="AX626" s="559"/>
      <c r="AY626" s="560"/>
      <c r="AZ626" s="585"/>
      <c r="BA626" s="586"/>
      <c r="BB626" s="587"/>
      <c r="BC626" s="558">
        <v>0</v>
      </c>
      <c r="BD626" s="559"/>
      <c r="BE626" s="560"/>
      <c r="BF626" s="558">
        <v>182.49</v>
      </c>
      <c r="BG626" s="559"/>
      <c r="BH626" s="560"/>
      <c r="BI626" s="564">
        <v>0</v>
      </c>
      <c r="BJ626" s="565"/>
      <c r="BK626" s="565"/>
      <c r="BL626" s="566"/>
      <c r="BM626" s="567" t="s">
        <v>932</v>
      </c>
      <c r="BN626" s="567"/>
      <c r="BO626" s="567"/>
      <c r="BP626" s="567"/>
      <c r="BQ626" s="568" t="s">
        <v>932</v>
      </c>
      <c r="BR626" s="568"/>
      <c r="BS626" s="568"/>
      <c r="BT626" s="567" t="s">
        <v>932</v>
      </c>
      <c r="BU626" s="567"/>
      <c r="BV626" s="567"/>
      <c r="BW626" s="567"/>
      <c r="BX626" s="568" t="s">
        <v>932</v>
      </c>
      <c r="BY626" s="568"/>
      <c r="BZ626" s="568"/>
      <c r="CA626" s="567" t="s">
        <v>932</v>
      </c>
      <c r="CB626" s="567"/>
      <c r="CC626" s="567"/>
      <c r="CD626" s="567"/>
      <c r="CE626" s="568">
        <v>1</v>
      </c>
      <c r="CF626" s="568"/>
      <c r="CG626" s="568"/>
      <c r="CH626" s="567" t="s">
        <v>932</v>
      </c>
      <c r="CI626" s="567"/>
      <c r="CJ626" s="567"/>
      <c r="CK626" s="567"/>
      <c r="CL626" s="568" t="s">
        <v>932</v>
      </c>
      <c r="CM626" s="568"/>
      <c r="CN626" s="568"/>
    </row>
    <row r="627" hidden="1" customHeight="1" spans="1:92">
      <c r="A627" s="569"/>
      <c r="B627" s="570"/>
      <c r="C627" s="571"/>
      <c r="D627" s="572"/>
      <c r="E627" s="573"/>
      <c r="F627" s="574"/>
      <c r="G627" s="575"/>
      <c r="H627" s="576"/>
      <c r="I627" s="577"/>
      <c r="J627" s="578"/>
      <c r="K627" s="578"/>
      <c r="L627" s="578"/>
      <c r="M627" s="578"/>
      <c r="N627" s="578"/>
      <c r="O627" s="578"/>
      <c r="P627" s="578"/>
      <c r="Q627" s="578"/>
      <c r="R627" s="578"/>
      <c r="S627" s="578"/>
      <c r="T627" s="578"/>
      <c r="U627" s="578"/>
      <c r="V627" s="578"/>
      <c r="W627" s="578"/>
      <c r="X627" s="578"/>
      <c r="Y627" s="578"/>
      <c r="Z627" s="578"/>
      <c r="AA627" s="579"/>
      <c r="AB627" s="580"/>
      <c r="AC627" s="581"/>
      <c r="AD627" s="582"/>
      <c r="AE627" s="583"/>
      <c r="AF627" s="584"/>
      <c r="AG627" s="553">
        <v>0</v>
      </c>
      <c r="AH627" s="554"/>
      <c r="AI627" s="555" t="e">
        <v>#N/A</v>
      </c>
      <c r="AJ627" s="556"/>
      <c r="AK627" s="556"/>
      <c r="AL627" s="556"/>
      <c r="AM627" s="556"/>
      <c r="AN627" s="556"/>
      <c r="AO627" s="556"/>
      <c r="AP627" s="556"/>
      <c r="AQ627" s="556"/>
      <c r="AR627" s="556"/>
      <c r="AS627" s="556"/>
      <c r="AT627" s="556"/>
      <c r="AU627" s="556"/>
      <c r="AV627" s="557"/>
      <c r="AW627" s="558">
        <v>0</v>
      </c>
      <c r="AX627" s="559"/>
      <c r="AY627" s="560"/>
      <c r="AZ627" s="585"/>
      <c r="BA627" s="586"/>
      <c r="BB627" s="587"/>
      <c r="BC627" s="558">
        <v>0</v>
      </c>
      <c r="BD627" s="559"/>
      <c r="BE627" s="560"/>
      <c r="BF627" s="558">
        <v>182.49</v>
      </c>
      <c r="BG627" s="559"/>
      <c r="BH627" s="560"/>
      <c r="BI627" s="564">
        <v>0</v>
      </c>
      <c r="BJ627" s="565"/>
      <c r="BK627" s="565"/>
      <c r="BL627" s="566"/>
      <c r="BM627" s="567" t="s">
        <v>932</v>
      </c>
      <c r="BN627" s="567"/>
      <c r="BO627" s="567"/>
      <c r="BP627" s="567"/>
      <c r="BQ627" s="568" t="s">
        <v>932</v>
      </c>
      <c r="BR627" s="568"/>
      <c r="BS627" s="568"/>
      <c r="BT627" s="567" t="s">
        <v>932</v>
      </c>
      <c r="BU627" s="567"/>
      <c r="BV627" s="567"/>
      <c r="BW627" s="567"/>
      <c r="BX627" s="568" t="s">
        <v>932</v>
      </c>
      <c r="BY627" s="568"/>
      <c r="BZ627" s="568"/>
      <c r="CA627" s="567" t="s">
        <v>932</v>
      </c>
      <c r="CB627" s="567"/>
      <c r="CC627" s="567"/>
      <c r="CD627" s="567"/>
      <c r="CE627" s="568">
        <v>1</v>
      </c>
      <c r="CF627" s="568"/>
      <c r="CG627" s="568"/>
      <c r="CH627" s="567" t="s">
        <v>932</v>
      </c>
      <c r="CI627" s="567"/>
      <c r="CJ627" s="567"/>
      <c r="CK627" s="567"/>
      <c r="CL627" s="568" t="s">
        <v>932</v>
      </c>
      <c r="CM627" s="568"/>
      <c r="CN627" s="568"/>
    </row>
    <row r="628" hidden="1" customHeight="1" spans="1:92">
      <c r="A628" s="569"/>
      <c r="B628" s="570"/>
      <c r="C628" s="571"/>
      <c r="D628" s="572"/>
      <c r="E628" s="573"/>
      <c r="F628" s="574"/>
      <c r="G628" s="575"/>
      <c r="H628" s="576"/>
      <c r="I628" s="577"/>
      <c r="J628" s="578"/>
      <c r="K628" s="578"/>
      <c r="L628" s="578"/>
      <c r="M628" s="578"/>
      <c r="N628" s="578"/>
      <c r="O628" s="578"/>
      <c r="P628" s="578"/>
      <c r="Q628" s="578"/>
      <c r="R628" s="578"/>
      <c r="S628" s="578"/>
      <c r="T628" s="578"/>
      <c r="U628" s="578"/>
      <c r="V628" s="578"/>
      <c r="W628" s="578"/>
      <c r="X628" s="578"/>
      <c r="Y628" s="578"/>
      <c r="Z628" s="578"/>
      <c r="AA628" s="579"/>
      <c r="AB628" s="580"/>
      <c r="AC628" s="581"/>
      <c r="AD628" s="582"/>
      <c r="AE628" s="583"/>
      <c r="AF628" s="584"/>
      <c r="AG628" s="553">
        <v>0</v>
      </c>
      <c r="AH628" s="554"/>
      <c r="AI628" s="555" t="e">
        <v>#N/A</v>
      </c>
      <c r="AJ628" s="556"/>
      <c r="AK628" s="556"/>
      <c r="AL628" s="556"/>
      <c r="AM628" s="556"/>
      <c r="AN628" s="556"/>
      <c r="AO628" s="556"/>
      <c r="AP628" s="556"/>
      <c r="AQ628" s="556"/>
      <c r="AR628" s="556"/>
      <c r="AS628" s="556"/>
      <c r="AT628" s="556"/>
      <c r="AU628" s="556"/>
      <c r="AV628" s="557"/>
      <c r="AW628" s="558">
        <v>0</v>
      </c>
      <c r="AX628" s="559"/>
      <c r="AY628" s="560"/>
      <c r="AZ628" s="585"/>
      <c r="BA628" s="586"/>
      <c r="BB628" s="587"/>
      <c r="BC628" s="558">
        <v>0</v>
      </c>
      <c r="BD628" s="559"/>
      <c r="BE628" s="560"/>
      <c r="BF628" s="558">
        <v>182.49</v>
      </c>
      <c r="BG628" s="559"/>
      <c r="BH628" s="560"/>
      <c r="BI628" s="564">
        <v>0</v>
      </c>
      <c r="BJ628" s="565"/>
      <c r="BK628" s="565"/>
      <c r="BL628" s="566"/>
      <c r="BM628" s="567" t="s">
        <v>932</v>
      </c>
      <c r="BN628" s="567"/>
      <c r="BO628" s="567"/>
      <c r="BP628" s="567"/>
      <c r="BQ628" s="568" t="s">
        <v>932</v>
      </c>
      <c r="BR628" s="568"/>
      <c r="BS628" s="568"/>
      <c r="BT628" s="567" t="s">
        <v>932</v>
      </c>
      <c r="BU628" s="567"/>
      <c r="BV628" s="567"/>
      <c r="BW628" s="567"/>
      <c r="BX628" s="568" t="s">
        <v>932</v>
      </c>
      <c r="BY628" s="568"/>
      <c r="BZ628" s="568"/>
      <c r="CA628" s="567" t="s">
        <v>932</v>
      </c>
      <c r="CB628" s="567"/>
      <c r="CC628" s="567"/>
      <c r="CD628" s="567"/>
      <c r="CE628" s="568">
        <v>1</v>
      </c>
      <c r="CF628" s="568"/>
      <c r="CG628" s="568"/>
      <c r="CH628" s="567" t="s">
        <v>932</v>
      </c>
      <c r="CI628" s="567"/>
      <c r="CJ628" s="567"/>
      <c r="CK628" s="567"/>
      <c r="CL628" s="568" t="s">
        <v>932</v>
      </c>
      <c r="CM628" s="568"/>
      <c r="CN628" s="568"/>
    </row>
    <row r="629" hidden="1" customHeight="1" spans="1:92">
      <c r="A629" s="569"/>
      <c r="B629" s="570"/>
      <c r="C629" s="571"/>
      <c r="D629" s="572"/>
      <c r="E629" s="573"/>
      <c r="F629" s="574"/>
      <c r="G629" s="575"/>
      <c r="H629" s="576"/>
      <c r="I629" s="577"/>
      <c r="J629" s="578"/>
      <c r="K629" s="578"/>
      <c r="L629" s="578"/>
      <c r="M629" s="578"/>
      <c r="N629" s="578"/>
      <c r="O629" s="578"/>
      <c r="P629" s="578"/>
      <c r="Q629" s="578"/>
      <c r="R629" s="578"/>
      <c r="S629" s="578"/>
      <c r="T629" s="578"/>
      <c r="U629" s="578"/>
      <c r="V629" s="578"/>
      <c r="W629" s="578"/>
      <c r="X629" s="578"/>
      <c r="Y629" s="578"/>
      <c r="Z629" s="578"/>
      <c r="AA629" s="579"/>
      <c r="AB629" s="580"/>
      <c r="AC629" s="581"/>
      <c r="AD629" s="582"/>
      <c r="AE629" s="583"/>
      <c r="AF629" s="584"/>
      <c r="AG629" s="553">
        <v>0</v>
      </c>
      <c r="AH629" s="554"/>
      <c r="AI629" s="555" t="e">
        <v>#N/A</v>
      </c>
      <c r="AJ629" s="556"/>
      <c r="AK629" s="556"/>
      <c r="AL629" s="556"/>
      <c r="AM629" s="556"/>
      <c r="AN629" s="556"/>
      <c r="AO629" s="556"/>
      <c r="AP629" s="556"/>
      <c r="AQ629" s="556"/>
      <c r="AR629" s="556"/>
      <c r="AS629" s="556"/>
      <c r="AT629" s="556"/>
      <c r="AU629" s="556"/>
      <c r="AV629" s="557"/>
      <c r="AW629" s="558">
        <v>0</v>
      </c>
      <c r="AX629" s="559"/>
      <c r="AY629" s="560"/>
      <c r="AZ629" s="585"/>
      <c r="BA629" s="586"/>
      <c r="BB629" s="587"/>
      <c r="BC629" s="558">
        <v>0</v>
      </c>
      <c r="BD629" s="559"/>
      <c r="BE629" s="560"/>
      <c r="BF629" s="558">
        <v>182.49</v>
      </c>
      <c r="BG629" s="559"/>
      <c r="BH629" s="560"/>
      <c r="BI629" s="564">
        <v>0</v>
      </c>
      <c r="BJ629" s="565"/>
      <c r="BK629" s="565"/>
      <c r="BL629" s="566"/>
      <c r="BM629" s="567" t="s">
        <v>932</v>
      </c>
      <c r="BN629" s="567"/>
      <c r="BO629" s="567"/>
      <c r="BP629" s="567"/>
      <c r="BQ629" s="568" t="s">
        <v>932</v>
      </c>
      <c r="BR629" s="568"/>
      <c r="BS629" s="568"/>
      <c r="BT629" s="567" t="s">
        <v>932</v>
      </c>
      <c r="BU629" s="567"/>
      <c r="BV629" s="567"/>
      <c r="BW629" s="567"/>
      <c r="BX629" s="568" t="s">
        <v>932</v>
      </c>
      <c r="BY629" s="568"/>
      <c r="BZ629" s="568"/>
      <c r="CA629" s="567" t="s">
        <v>932</v>
      </c>
      <c r="CB629" s="567"/>
      <c r="CC629" s="567"/>
      <c r="CD629" s="567"/>
      <c r="CE629" s="568">
        <v>1</v>
      </c>
      <c r="CF629" s="568"/>
      <c r="CG629" s="568"/>
      <c r="CH629" s="567" t="s">
        <v>932</v>
      </c>
      <c r="CI629" s="567"/>
      <c r="CJ629" s="567"/>
      <c r="CK629" s="567"/>
      <c r="CL629" s="568" t="s">
        <v>932</v>
      </c>
      <c r="CM629" s="568"/>
      <c r="CN629" s="568"/>
    </row>
    <row r="630" hidden="1" customHeight="1" spans="1:92">
      <c r="A630" s="569"/>
      <c r="B630" s="570"/>
      <c r="C630" s="571"/>
      <c r="D630" s="572"/>
      <c r="E630" s="573"/>
      <c r="F630" s="574"/>
      <c r="G630" s="575"/>
      <c r="H630" s="576"/>
      <c r="I630" s="577"/>
      <c r="J630" s="578"/>
      <c r="K630" s="578"/>
      <c r="L630" s="578"/>
      <c r="M630" s="578"/>
      <c r="N630" s="578"/>
      <c r="O630" s="578"/>
      <c r="P630" s="578"/>
      <c r="Q630" s="578"/>
      <c r="R630" s="578"/>
      <c r="S630" s="578"/>
      <c r="T630" s="578"/>
      <c r="U630" s="578"/>
      <c r="V630" s="578"/>
      <c r="W630" s="578"/>
      <c r="X630" s="578"/>
      <c r="Y630" s="578"/>
      <c r="Z630" s="578"/>
      <c r="AA630" s="579"/>
      <c r="AB630" s="580"/>
      <c r="AC630" s="581"/>
      <c r="AD630" s="582"/>
      <c r="AE630" s="583"/>
      <c r="AF630" s="584"/>
      <c r="AG630" s="553">
        <v>0</v>
      </c>
      <c r="AH630" s="554"/>
      <c r="AI630" s="555" t="e">
        <v>#N/A</v>
      </c>
      <c r="AJ630" s="556"/>
      <c r="AK630" s="556"/>
      <c r="AL630" s="556"/>
      <c r="AM630" s="556"/>
      <c r="AN630" s="556"/>
      <c r="AO630" s="556"/>
      <c r="AP630" s="556"/>
      <c r="AQ630" s="556"/>
      <c r="AR630" s="556"/>
      <c r="AS630" s="556"/>
      <c r="AT630" s="556"/>
      <c r="AU630" s="556"/>
      <c r="AV630" s="557"/>
      <c r="AW630" s="558">
        <v>0</v>
      </c>
      <c r="AX630" s="559"/>
      <c r="AY630" s="560"/>
      <c r="AZ630" s="585"/>
      <c r="BA630" s="586"/>
      <c r="BB630" s="587"/>
      <c r="BC630" s="558">
        <v>0</v>
      </c>
      <c r="BD630" s="559"/>
      <c r="BE630" s="560"/>
      <c r="BF630" s="558">
        <v>182.49</v>
      </c>
      <c r="BG630" s="559"/>
      <c r="BH630" s="560"/>
      <c r="BI630" s="564">
        <v>0</v>
      </c>
      <c r="BJ630" s="565"/>
      <c r="BK630" s="565"/>
      <c r="BL630" s="566"/>
      <c r="BM630" s="567" t="s">
        <v>932</v>
      </c>
      <c r="BN630" s="567"/>
      <c r="BO630" s="567"/>
      <c r="BP630" s="567"/>
      <c r="BQ630" s="568" t="s">
        <v>932</v>
      </c>
      <c r="BR630" s="568"/>
      <c r="BS630" s="568"/>
      <c r="BT630" s="567" t="s">
        <v>932</v>
      </c>
      <c r="BU630" s="567"/>
      <c r="BV630" s="567"/>
      <c r="BW630" s="567"/>
      <c r="BX630" s="568" t="s">
        <v>932</v>
      </c>
      <c r="BY630" s="568"/>
      <c r="BZ630" s="568"/>
      <c r="CA630" s="567" t="s">
        <v>932</v>
      </c>
      <c r="CB630" s="567"/>
      <c r="CC630" s="567"/>
      <c r="CD630" s="567"/>
      <c r="CE630" s="568">
        <v>1</v>
      </c>
      <c r="CF630" s="568"/>
      <c r="CG630" s="568"/>
      <c r="CH630" s="567" t="s">
        <v>932</v>
      </c>
      <c r="CI630" s="567"/>
      <c r="CJ630" s="567"/>
      <c r="CK630" s="567"/>
      <c r="CL630" s="568" t="s">
        <v>932</v>
      </c>
      <c r="CM630" s="568"/>
      <c r="CN630" s="568"/>
    </row>
    <row r="631" hidden="1" customHeight="1" spans="1:92">
      <c r="A631" s="588"/>
      <c r="B631" s="589"/>
      <c r="C631" s="590"/>
      <c r="D631" s="591"/>
      <c r="E631" s="592"/>
      <c r="F631" s="593"/>
      <c r="G631" s="594"/>
      <c r="H631" s="595"/>
      <c r="I631" s="596"/>
      <c r="J631" s="597"/>
      <c r="K631" s="597"/>
      <c r="L631" s="597"/>
      <c r="M631" s="597"/>
      <c r="N631" s="597"/>
      <c r="O631" s="597"/>
      <c r="P631" s="597"/>
      <c r="Q631" s="597"/>
      <c r="R631" s="597"/>
      <c r="S631" s="597"/>
      <c r="T631" s="597"/>
      <c r="U631" s="597"/>
      <c r="V631" s="597"/>
      <c r="W631" s="597"/>
      <c r="X631" s="597"/>
      <c r="Y631" s="597"/>
      <c r="Z631" s="597"/>
      <c r="AA631" s="598"/>
      <c r="AB631" s="599"/>
      <c r="AC631" s="600"/>
      <c r="AD631" s="601"/>
      <c r="AE631" s="602"/>
      <c r="AF631" s="603"/>
      <c r="AG631" s="553">
        <v>0</v>
      </c>
      <c r="AH631" s="554"/>
      <c r="AI631" s="555" t="e">
        <v>#N/A</v>
      </c>
      <c r="AJ631" s="556"/>
      <c r="AK631" s="556"/>
      <c r="AL631" s="556"/>
      <c r="AM631" s="556"/>
      <c r="AN631" s="556"/>
      <c r="AO631" s="556"/>
      <c r="AP631" s="556"/>
      <c r="AQ631" s="556"/>
      <c r="AR631" s="556"/>
      <c r="AS631" s="556"/>
      <c r="AT631" s="556"/>
      <c r="AU631" s="556"/>
      <c r="AV631" s="557"/>
      <c r="AW631" s="558">
        <v>0</v>
      </c>
      <c r="AX631" s="559"/>
      <c r="AY631" s="560"/>
      <c r="AZ631" s="604"/>
      <c r="BA631" s="605"/>
      <c r="BB631" s="606"/>
      <c r="BC631" s="558">
        <v>0</v>
      </c>
      <c r="BD631" s="559"/>
      <c r="BE631" s="560"/>
      <c r="BF631" s="558">
        <v>182.49</v>
      </c>
      <c r="BG631" s="559"/>
      <c r="BH631" s="560"/>
      <c r="BI631" s="564">
        <v>0</v>
      </c>
      <c r="BJ631" s="565"/>
      <c r="BK631" s="565"/>
      <c r="BL631" s="566"/>
      <c r="BM631" s="567" t="s">
        <v>932</v>
      </c>
      <c r="BN631" s="567"/>
      <c r="BO631" s="567"/>
      <c r="BP631" s="567"/>
      <c r="BQ631" s="568" t="s">
        <v>932</v>
      </c>
      <c r="BR631" s="568"/>
      <c r="BS631" s="568"/>
      <c r="BT631" s="567" t="s">
        <v>932</v>
      </c>
      <c r="BU631" s="567"/>
      <c r="BV631" s="567"/>
      <c r="BW631" s="567"/>
      <c r="BX631" s="568" t="s">
        <v>932</v>
      </c>
      <c r="BY631" s="568"/>
      <c r="BZ631" s="568"/>
      <c r="CA631" s="567" t="s">
        <v>932</v>
      </c>
      <c r="CB631" s="567"/>
      <c r="CC631" s="567"/>
      <c r="CD631" s="567"/>
      <c r="CE631" s="568">
        <v>1</v>
      </c>
      <c r="CF631" s="568"/>
      <c r="CG631" s="568"/>
      <c r="CH631" s="567" t="s">
        <v>932</v>
      </c>
      <c r="CI631" s="567"/>
      <c r="CJ631" s="567"/>
      <c r="CK631" s="567"/>
      <c r="CL631" s="568" t="s">
        <v>932</v>
      </c>
      <c r="CM631" s="568"/>
      <c r="CN631" s="568"/>
    </row>
    <row r="632" hidden="1" customHeight="1" spans="1:92">
      <c r="BM632" s="607">
        <v>1.03231532025812</v>
      </c>
      <c r="BN632" s="608"/>
      <c r="BO632" s="608"/>
      <c r="BP632" s="609"/>
      <c r="BT632" s="607">
        <v>1.4932245668414</v>
      </c>
      <c r="BU632" s="608"/>
      <c r="BV632" s="608"/>
      <c r="BW632" s="609"/>
      <c r="CA632" s="607">
        <v>1.12346839153884</v>
      </c>
      <c r="CB632" s="608"/>
      <c r="CC632" s="608"/>
      <c r="CD632" s="609"/>
      <c r="CH632" s="607">
        <v>0.521500075199498</v>
      </c>
      <c r="CI632" s="608"/>
      <c r="CJ632" s="608"/>
      <c r="CK632" s="609"/>
    </row>
    <row r="633" customHeight="1" spans="1:92">
      <c r="C633" s="610"/>
      <c r="D633" s="610"/>
      <c r="E633" s="610"/>
      <c r="F633" s="69" t="s">
        <v>634</v>
      </c>
      <c r="G633" s="69"/>
      <c r="H633" s="69"/>
      <c r="I633" s="70" t="s">
        <v>635</v>
      </c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0"/>
      <c r="Y633" s="70"/>
      <c r="Z633" s="70"/>
      <c r="AA633" s="70"/>
      <c r="AB633" s="71" t="s">
        <v>1021</v>
      </c>
      <c r="AC633" s="71"/>
      <c r="AD633" s="71"/>
      <c r="AE633" s="71"/>
      <c r="AF633" s="71" t="s">
        <v>638</v>
      </c>
      <c r="AG633" s="71"/>
      <c r="AH633" s="71"/>
      <c r="AI633" s="71"/>
      <c r="AJ633" s="71" t="s">
        <v>1022</v>
      </c>
      <c r="AK633" s="71"/>
      <c r="AL633" s="71"/>
      <c r="AM633" s="71" t="s">
        <v>639</v>
      </c>
      <c r="AN633" s="71"/>
      <c r="AO633" s="71"/>
      <c r="AP633" s="71"/>
      <c r="AQ633" s="71" t="s">
        <v>1022</v>
      </c>
      <c r="AR633" s="71"/>
      <c r="AS633" s="71"/>
      <c r="AT633" s="71" t="s">
        <v>640</v>
      </c>
      <c r="AU633" s="71"/>
      <c r="AV633" s="71"/>
      <c r="AW633" s="71"/>
      <c r="AX633" s="71" t="s">
        <v>1022</v>
      </c>
      <c r="AY633" s="71"/>
      <c r="AZ633" s="71"/>
      <c r="BA633" s="71" t="s">
        <v>641</v>
      </c>
      <c r="BB633" s="71"/>
      <c r="BC633" s="71"/>
      <c r="BD633" s="71"/>
      <c r="BE633" s="71" t="s">
        <v>1022</v>
      </c>
      <c r="BF633" s="71"/>
      <c r="BG633" s="71"/>
    </row>
    <row r="634" customHeight="1" spans="1:92">
      <c r="C634" s="305"/>
      <c r="D634" s="305"/>
      <c r="E634" s="611"/>
      <c r="F634" s="612" t="s">
        <v>1066</v>
      </c>
      <c r="G634" s="612"/>
      <c r="H634" s="612"/>
      <c r="I634" s="519" t="s">
        <v>1067</v>
      </c>
      <c r="J634" s="519"/>
      <c r="K634" s="519"/>
      <c r="L634" s="519"/>
      <c r="M634" s="519"/>
      <c r="N634" s="519"/>
      <c r="O634" s="519"/>
      <c r="P634" s="519"/>
      <c r="Q634" s="519"/>
      <c r="R634" s="519"/>
      <c r="S634" s="519"/>
      <c r="T634" s="519"/>
      <c r="U634" s="519"/>
      <c r="V634" s="519"/>
      <c r="W634" s="519"/>
      <c r="X634" s="519"/>
      <c r="Y634" s="519"/>
      <c r="Z634" s="519"/>
      <c r="AA634" s="519"/>
      <c r="AB634" s="613">
        <v>0.196822376449473</v>
      </c>
      <c r="AC634" s="613"/>
      <c r="AD634" s="613"/>
      <c r="AE634" s="613"/>
      <c r="AF634" s="614">
        <v>0.00630107486849264</v>
      </c>
      <c r="AG634" s="614"/>
      <c r="AH634" s="614"/>
      <c r="AI634" s="614"/>
      <c r="AJ634" s="615">
        <v>1</v>
      </c>
      <c r="AK634" s="615"/>
      <c r="AL634" s="615"/>
      <c r="AM634" s="614">
        <v>0.0635671882968137</v>
      </c>
      <c r="AN634" s="614"/>
      <c r="AO634" s="614"/>
      <c r="AP634" s="614"/>
      <c r="AQ634" s="615">
        <v>1</v>
      </c>
      <c r="AR634" s="615"/>
      <c r="AS634" s="615"/>
      <c r="AT634" s="614">
        <v>0.0807040366451441</v>
      </c>
      <c r="AU634" s="614"/>
      <c r="AV634" s="614"/>
      <c r="AW634" s="614"/>
      <c r="AX634" s="615">
        <v>1</v>
      </c>
      <c r="AY634" s="615"/>
      <c r="AZ634" s="615"/>
      <c r="BA634" s="614">
        <v>0.0462500766390223</v>
      </c>
      <c r="BB634" s="614"/>
      <c r="BC634" s="614"/>
      <c r="BD634" s="614"/>
      <c r="BE634" s="615">
        <v>1</v>
      </c>
      <c r="BF634" s="615"/>
      <c r="BG634" s="615"/>
    </row>
    <row r="635" customHeight="1" spans="1:92">
      <c r="C635" s="305"/>
      <c r="D635" s="305"/>
      <c r="E635" s="611"/>
      <c r="F635" s="612" t="s">
        <v>1072</v>
      </c>
      <c r="G635" s="612"/>
      <c r="H635" s="612"/>
      <c r="I635" s="519" t="s">
        <v>1073</v>
      </c>
      <c r="J635" s="519"/>
      <c r="K635" s="519"/>
      <c r="L635" s="519"/>
      <c r="M635" s="519"/>
      <c r="N635" s="519"/>
      <c r="O635" s="519"/>
      <c r="P635" s="519"/>
      <c r="Q635" s="519"/>
      <c r="R635" s="519"/>
      <c r="S635" s="519"/>
      <c r="T635" s="519"/>
      <c r="U635" s="519"/>
      <c r="V635" s="519"/>
      <c r="W635" s="519"/>
      <c r="X635" s="519"/>
      <c r="Y635" s="519"/>
      <c r="Z635" s="519"/>
      <c r="AA635" s="519"/>
      <c r="AB635" s="613">
        <v>0.626241118817661</v>
      </c>
      <c r="AC635" s="613"/>
      <c r="AD635" s="613"/>
      <c r="AE635" s="613"/>
      <c r="AF635" s="614">
        <v>0.0213718390834725</v>
      </c>
      <c r="AG635" s="614"/>
      <c r="AH635" s="614"/>
      <c r="AI635" s="614"/>
      <c r="AJ635" s="615">
        <v>1</v>
      </c>
      <c r="AK635" s="615"/>
      <c r="AL635" s="615"/>
      <c r="AM635" s="614">
        <v>0.198525817557983</v>
      </c>
      <c r="AN635" s="614"/>
      <c r="AO635" s="614"/>
      <c r="AP635" s="614"/>
      <c r="AQ635" s="615">
        <v>1</v>
      </c>
      <c r="AR635" s="615"/>
      <c r="AS635" s="615"/>
      <c r="AT635" s="614">
        <v>0.257551410653737</v>
      </c>
      <c r="AU635" s="614"/>
      <c r="AV635" s="614"/>
      <c r="AW635" s="614"/>
      <c r="AX635" s="615">
        <v>1</v>
      </c>
      <c r="AY635" s="615"/>
      <c r="AZ635" s="615"/>
      <c r="BA635" s="614">
        <v>0.148792051522468</v>
      </c>
      <c r="BB635" s="614"/>
      <c r="BC635" s="614"/>
      <c r="BD635" s="614"/>
      <c r="BE635" s="615">
        <v>1</v>
      </c>
      <c r="BF635" s="615"/>
      <c r="BG635" s="615"/>
    </row>
    <row r="636" customHeight="1" spans="1:92">
      <c r="C636" s="305"/>
      <c r="D636" s="305"/>
      <c r="E636" s="611"/>
      <c r="F636" s="612" t="s">
        <v>1074</v>
      </c>
      <c r="G636" s="612"/>
      <c r="H636" s="612"/>
      <c r="I636" s="519" t="s">
        <v>1075</v>
      </c>
      <c r="J636" s="519"/>
      <c r="K636" s="519"/>
      <c r="L636" s="519"/>
      <c r="M636" s="519"/>
      <c r="N636" s="519"/>
      <c r="O636" s="519"/>
      <c r="P636" s="519"/>
      <c r="Q636" s="519"/>
      <c r="R636" s="519"/>
      <c r="S636" s="519"/>
      <c r="T636" s="519"/>
      <c r="U636" s="519"/>
      <c r="V636" s="519"/>
      <c r="W636" s="519"/>
      <c r="X636" s="519"/>
      <c r="Y636" s="519"/>
      <c r="Z636" s="519"/>
      <c r="AA636" s="519"/>
      <c r="AB636" s="613">
        <v>0.213792746999836</v>
      </c>
      <c r="AC636" s="613"/>
      <c r="AD636" s="613"/>
      <c r="AE636" s="613"/>
      <c r="AF636" s="614">
        <v>0.0146432483971724</v>
      </c>
      <c r="AG636" s="614"/>
      <c r="AH636" s="614"/>
      <c r="AI636" s="614"/>
      <c r="AJ636" s="615">
        <v>1</v>
      </c>
      <c r="AK636" s="615"/>
      <c r="AL636" s="615"/>
      <c r="AM636" s="614">
        <v>0.091609429557784</v>
      </c>
      <c r="AN636" s="614"/>
      <c r="AO636" s="614"/>
      <c r="AP636" s="614"/>
      <c r="AQ636" s="615">
        <v>1</v>
      </c>
      <c r="AR636" s="615"/>
      <c r="AS636" s="615"/>
      <c r="AT636" s="614">
        <v>0.0912397172447805</v>
      </c>
      <c r="AU636" s="614"/>
      <c r="AV636" s="614"/>
      <c r="AW636" s="614"/>
      <c r="AX636" s="615">
        <v>1</v>
      </c>
      <c r="AY636" s="615"/>
      <c r="AZ636" s="615"/>
      <c r="BA636" s="614">
        <v>0.0163003518000986</v>
      </c>
      <c r="BB636" s="614"/>
      <c r="BC636" s="614"/>
      <c r="BD636" s="614"/>
      <c r="BE636" s="615">
        <v>1</v>
      </c>
      <c r="BF636" s="615"/>
      <c r="BG636" s="615"/>
    </row>
    <row r="637" customHeight="1" spans="1:92">
      <c r="C637" s="305"/>
      <c r="D637" s="305"/>
      <c r="E637" s="611"/>
      <c r="F637" s="612" t="s">
        <v>1080</v>
      </c>
      <c r="G637" s="612"/>
      <c r="H637" s="612"/>
      <c r="I637" s="519" t="s">
        <v>1081</v>
      </c>
      <c r="J637" s="519"/>
      <c r="K637" s="519"/>
      <c r="L637" s="519"/>
      <c r="M637" s="519"/>
      <c r="N637" s="519"/>
      <c r="O637" s="519"/>
      <c r="P637" s="519"/>
      <c r="Q637" s="519"/>
      <c r="R637" s="519"/>
      <c r="S637" s="519"/>
      <c r="T637" s="519"/>
      <c r="U637" s="519"/>
      <c r="V637" s="519"/>
      <c r="W637" s="519"/>
      <c r="X637" s="519"/>
      <c r="Y637" s="519"/>
      <c r="Z637" s="519"/>
      <c r="AA637" s="519"/>
      <c r="AB637" s="613">
        <v>0.0839558940824763</v>
      </c>
      <c r="AC637" s="613"/>
      <c r="AD637" s="613"/>
      <c r="AE637" s="613"/>
      <c r="AF637" s="614">
        <v>0.00263636972497732</v>
      </c>
      <c r="AG637" s="614"/>
      <c r="AH637" s="614"/>
      <c r="AI637" s="614"/>
      <c r="AJ637" s="615">
        <v>1</v>
      </c>
      <c r="AK637" s="615"/>
      <c r="AL637" s="615"/>
      <c r="AM637" s="614">
        <v>0.0270608435165397</v>
      </c>
      <c r="AN637" s="614"/>
      <c r="AO637" s="614"/>
      <c r="AP637" s="614"/>
      <c r="AQ637" s="615">
        <v>1</v>
      </c>
      <c r="AR637" s="615"/>
      <c r="AS637" s="615"/>
      <c r="AT637" s="614">
        <v>0.0344585091420534</v>
      </c>
      <c r="AU637" s="614"/>
      <c r="AV637" s="614"/>
      <c r="AW637" s="614"/>
      <c r="AX637" s="615">
        <v>1</v>
      </c>
      <c r="AY637" s="615"/>
      <c r="AZ637" s="615"/>
      <c r="BA637" s="614">
        <v>0.0198001716989059</v>
      </c>
      <c r="BB637" s="614"/>
      <c r="BC637" s="614"/>
      <c r="BD637" s="614"/>
      <c r="BE637" s="615">
        <v>1</v>
      </c>
      <c r="BF637" s="615"/>
      <c r="BG637" s="615"/>
    </row>
    <row r="638" customHeight="1" spans="1:92">
      <c r="C638" s="305"/>
      <c r="D638" s="305"/>
      <c r="E638" s="611"/>
      <c r="F638" s="612" t="s">
        <v>1070</v>
      </c>
      <c r="G638" s="612"/>
      <c r="H638" s="612"/>
      <c r="I638" s="519" t="s">
        <v>1071</v>
      </c>
      <c r="J638" s="519"/>
      <c r="K638" s="519"/>
      <c r="L638" s="519"/>
      <c r="M638" s="519"/>
      <c r="N638" s="519"/>
      <c r="O638" s="519"/>
      <c r="P638" s="519"/>
      <c r="Q638" s="519"/>
      <c r="R638" s="519"/>
      <c r="S638" s="519"/>
      <c r="T638" s="519"/>
      <c r="U638" s="519"/>
      <c r="V638" s="519"/>
      <c r="W638" s="519"/>
      <c r="X638" s="519"/>
      <c r="Y638" s="519"/>
      <c r="Z638" s="519"/>
      <c r="AA638" s="519"/>
      <c r="AB638" s="613">
        <v>0.834988158423548</v>
      </c>
      <c r="AC638" s="613"/>
      <c r="AD638" s="613"/>
      <c r="AE638" s="613"/>
      <c r="AF638" s="614">
        <v>0.0284957854446299</v>
      </c>
      <c r="AG638" s="614"/>
      <c r="AH638" s="614"/>
      <c r="AI638" s="614"/>
      <c r="AJ638" s="615">
        <v>1</v>
      </c>
      <c r="AK638" s="615"/>
      <c r="AL638" s="615"/>
      <c r="AM638" s="614">
        <v>0.264701090077311</v>
      </c>
      <c r="AN638" s="614"/>
      <c r="AO638" s="614"/>
      <c r="AP638" s="614"/>
      <c r="AQ638" s="615">
        <v>1</v>
      </c>
      <c r="AR638" s="615"/>
      <c r="AS638" s="615"/>
      <c r="AT638" s="614">
        <v>0.34340188087165</v>
      </c>
      <c r="AU638" s="614"/>
      <c r="AV638" s="614"/>
      <c r="AW638" s="614"/>
      <c r="AX638" s="615">
        <v>1</v>
      </c>
      <c r="AY638" s="615"/>
      <c r="AZ638" s="615"/>
      <c r="BA638" s="614">
        <v>0.198389402029958</v>
      </c>
      <c r="BB638" s="614"/>
      <c r="BC638" s="614"/>
      <c r="BD638" s="614"/>
      <c r="BE638" s="615">
        <v>1</v>
      </c>
      <c r="BF638" s="615"/>
      <c r="BG638" s="615"/>
    </row>
    <row r="639" customHeight="1" spans="1:92">
      <c r="C639" s="305"/>
      <c r="D639" s="305"/>
      <c r="E639" s="611"/>
      <c r="F639" s="612" t="s">
        <v>1084</v>
      </c>
      <c r="G639" s="612"/>
      <c r="H639" s="612"/>
      <c r="I639" s="519" t="s">
        <v>1085</v>
      </c>
      <c r="J639" s="519"/>
      <c r="K639" s="519"/>
      <c r="L639" s="519"/>
      <c r="M639" s="519"/>
      <c r="N639" s="519"/>
      <c r="O639" s="519"/>
      <c r="P639" s="519"/>
      <c r="Q639" s="519"/>
      <c r="R639" s="519"/>
      <c r="S639" s="519"/>
      <c r="T639" s="519"/>
      <c r="U639" s="519"/>
      <c r="V639" s="519"/>
      <c r="W639" s="519"/>
      <c r="X639" s="519"/>
      <c r="Y639" s="519"/>
      <c r="Z639" s="519"/>
      <c r="AA639" s="519"/>
      <c r="AB639" s="613">
        <v>0.0369719564830885</v>
      </c>
      <c r="AC639" s="613"/>
      <c r="AD639" s="613"/>
      <c r="AE639" s="613"/>
      <c r="AF639" s="614">
        <v>0.00739439129661769</v>
      </c>
      <c r="AG639" s="614"/>
      <c r="AH639" s="614"/>
      <c r="AI639" s="614"/>
      <c r="AJ639" s="615">
        <v>1</v>
      </c>
      <c r="AK639" s="615"/>
      <c r="AL639" s="615"/>
      <c r="AM639" s="614">
        <v>0.0184859782415442</v>
      </c>
      <c r="AN639" s="614"/>
      <c r="AO639" s="614"/>
      <c r="AP639" s="614"/>
      <c r="AQ639" s="615">
        <v>1</v>
      </c>
      <c r="AR639" s="615"/>
      <c r="AS639" s="615"/>
      <c r="AT639" s="614">
        <v>0.0110915869449265</v>
      </c>
      <c r="AU639" s="614"/>
      <c r="AV639" s="614"/>
      <c r="AW639" s="614"/>
      <c r="AX639" s="615">
        <v>1</v>
      </c>
      <c r="AY639" s="615"/>
      <c r="AZ639" s="615"/>
      <c r="BA639" s="614">
        <v>0</v>
      </c>
      <c r="BB639" s="614"/>
      <c r="BC639" s="614"/>
      <c r="BD639" s="614"/>
      <c r="BE639" s="615">
        <v>0</v>
      </c>
      <c r="BF639" s="615"/>
      <c r="BG639" s="615"/>
    </row>
    <row r="640" customHeight="1" spans="1:92">
      <c r="C640" s="305"/>
      <c r="D640" s="305"/>
      <c r="E640" s="611"/>
      <c r="F640" s="612" t="s">
        <v>1060</v>
      </c>
      <c r="G640" s="612"/>
      <c r="H640" s="612"/>
      <c r="I640" s="519" t="s">
        <v>1061</v>
      </c>
      <c r="J640" s="519"/>
      <c r="K640" s="519"/>
      <c r="L640" s="519"/>
      <c r="M640" s="519"/>
      <c r="N640" s="519"/>
      <c r="O640" s="519"/>
      <c r="P640" s="519"/>
      <c r="Q640" s="519"/>
      <c r="R640" s="519"/>
      <c r="S640" s="519"/>
      <c r="T640" s="519"/>
      <c r="U640" s="519"/>
      <c r="V640" s="519"/>
      <c r="W640" s="519"/>
      <c r="X640" s="519"/>
      <c r="Y640" s="519"/>
      <c r="Z640" s="519"/>
      <c r="AA640" s="519"/>
      <c r="AB640" s="613">
        <v>0.158450669355046</v>
      </c>
      <c r="AC640" s="613"/>
      <c r="AD640" s="613"/>
      <c r="AE640" s="613"/>
      <c r="AF640" s="614">
        <v>0.099031668346904</v>
      </c>
      <c r="AG640" s="614"/>
      <c r="AH640" s="614"/>
      <c r="AI640" s="614"/>
      <c r="AJ640" s="615">
        <v>1</v>
      </c>
      <c r="AK640" s="615"/>
      <c r="AL640" s="615"/>
      <c r="AM640" s="614">
        <v>0.0594190010081424</v>
      </c>
      <c r="AN640" s="614"/>
      <c r="AO640" s="614"/>
      <c r="AP640" s="614"/>
      <c r="AQ640" s="615">
        <v>1</v>
      </c>
      <c r="AR640" s="615"/>
      <c r="AS640" s="615"/>
      <c r="AT640" s="614">
        <v>0</v>
      </c>
      <c r="AU640" s="614"/>
      <c r="AV640" s="614"/>
      <c r="AW640" s="614"/>
      <c r="AX640" s="615">
        <v>0</v>
      </c>
      <c r="AY640" s="615"/>
      <c r="AZ640" s="615"/>
      <c r="BA640" s="614">
        <v>0</v>
      </c>
      <c r="BB640" s="614"/>
      <c r="BC640" s="614"/>
      <c r="BD640" s="614"/>
      <c r="BE640" s="615">
        <v>0</v>
      </c>
      <c r="BF640" s="615"/>
      <c r="BG640" s="615"/>
    </row>
    <row r="641" customHeight="1" spans="3:59">
      <c r="C641" s="305"/>
      <c r="D641" s="305"/>
      <c r="E641" s="611"/>
      <c r="F641" s="612" t="s">
        <v>1058</v>
      </c>
      <c r="G641" s="612"/>
      <c r="H641" s="612"/>
      <c r="I641" s="519" t="s">
        <v>1059</v>
      </c>
      <c r="J641" s="519"/>
      <c r="K641" s="519"/>
      <c r="L641" s="519"/>
      <c r="M641" s="519"/>
      <c r="N641" s="519"/>
      <c r="O641" s="519"/>
      <c r="P641" s="519"/>
      <c r="Q641" s="519"/>
      <c r="R641" s="519"/>
      <c r="S641" s="519"/>
      <c r="T641" s="519"/>
      <c r="U641" s="519"/>
      <c r="V641" s="519"/>
      <c r="W641" s="519"/>
      <c r="X641" s="519"/>
      <c r="Y641" s="519"/>
      <c r="Z641" s="519"/>
      <c r="AA641" s="519"/>
      <c r="AB641" s="613">
        <v>0.0091483939994334</v>
      </c>
      <c r="AC641" s="613"/>
      <c r="AD641" s="613"/>
      <c r="AE641" s="613"/>
      <c r="AF641" s="614">
        <v>0.00171398482424982</v>
      </c>
      <c r="AG641" s="614"/>
      <c r="AH641" s="614"/>
      <c r="AI641" s="614"/>
      <c r="AJ641" s="615">
        <v>1</v>
      </c>
      <c r="AK641" s="615"/>
      <c r="AL641" s="615"/>
      <c r="AM641" s="614">
        <v>0.00535596452233287</v>
      </c>
      <c r="AN641" s="614"/>
      <c r="AO641" s="614"/>
      <c r="AP641" s="614"/>
      <c r="AQ641" s="615">
        <v>1</v>
      </c>
      <c r="AR641" s="615"/>
      <c r="AS641" s="615"/>
      <c r="AT641" s="614">
        <v>0.00207844465285072</v>
      </c>
      <c r="AU641" s="614"/>
      <c r="AV641" s="614"/>
      <c r="AW641" s="614"/>
      <c r="AX641" s="615">
        <v>1</v>
      </c>
      <c r="AY641" s="615"/>
      <c r="AZ641" s="615"/>
      <c r="BA641" s="614">
        <v>0</v>
      </c>
      <c r="BB641" s="614"/>
      <c r="BC641" s="614"/>
      <c r="BD641" s="614"/>
      <c r="BE641" s="615">
        <v>0</v>
      </c>
      <c r="BF641" s="615"/>
      <c r="BG641" s="615"/>
    </row>
    <row r="642" customHeight="1" spans="3:59">
      <c r="C642" s="305"/>
      <c r="D642" s="305"/>
      <c r="E642" s="611"/>
      <c r="F642" s="612" t="s">
        <v>1068</v>
      </c>
      <c r="G642" s="612"/>
      <c r="H642" s="612"/>
      <c r="I642" s="519" t="s">
        <v>1069</v>
      </c>
      <c r="J642" s="519"/>
      <c r="K642" s="519"/>
      <c r="L642" s="519"/>
      <c r="M642" s="519"/>
      <c r="N642" s="519"/>
      <c r="O642" s="519"/>
      <c r="P642" s="519"/>
      <c r="Q642" s="519"/>
      <c r="R642" s="519"/>
      <c r="S642" s="519"/>
      <c r="T642" s="519"/>
      <c r="U642" s="519"/>
      <c r="V642" s="519"/>
      <c r="W642" s="519"/>
      <c r="X642" s="519"/>
      <c r="Y642" s="519"/>
      <c r="Z642" s="519"/>
      <c r="AA642" s="519"/>
      <c r="AB642" s="613">
        <v>0.208747039605887</v>
      </c>
      <c r="AC642" s="613"/>
      <c r="AD642" s="613"/>
      <c r="AE642" s="613"/>
      <c r="AF642" s="614">
        <v>0.00712394636115748</v>
      </c>
      <c r="AG642" s="614"/>
      <c r="AH642" s="614"/>
      <c r="AI642" s="614"/>
      <c r="AJ642" s="615">
        <v>1</v>
      </c>
      <c r="AK642" s="615"/>
      <c r="AL642" s="615"/>
      <c r="AM642" s="614">
        <v>0.0661752725193277</v>
      </c>
      <c r="AN642" s="614"/>
      <c r="AO642" s="614"/>
      <c r="AP642" s="614"/>
      <c r="AQ642" s="615">
        <v>1</v>
      </c>
      <c r="AR642" s="615"/>
      <c r="AS642" s="615"/>
      <c r="AT642" s="614">
        <v>0.0858504702179124</v>
      </c>
      <c r="AU642" s="614"/>
      <c r="AV642" s="614"/>
      <c r="AW642" s="614"/>
      <c r="AX642" s="615">
        <v>1</v>
      </c>
      <c r="AY642" s="615"/>
      <c r="AZ642" s="615"/>
      <c r="BA642" s="614">
        <v>0.0495973505074895</v>
      </c>
      <c r="BB642" s="614"/>
      <c r="BC642" s="614"/>
      <c r="BD642" s="614"/>
      <c r="BE642" s="615">
        <v>1</v>
      </c>
      <c r="BF642" s="615"/>
      <c r="BG642" s="615"/>
    </row>
    <row r="643" customHeight="1" spans="3:59">
      <c r="C643" s="305"/>
      <c r="D643" s="305"/>
      <c r="E643" s="611"/>
      <c r="F643" s="612" t="s">
        <v>1076</v>
      </c>
      <c r="G643" s="612"/>
      <c r="H643" s="612"/>
      <c r="I643" s="519" t="s">
        <v>1077</v>
      </c>
      <c r="J643" s="519"/>
      <c r="K643" s="519"/>
      <c r="L643" s="519"/>
      <c r="M643" s="519"/>
      <c r="N643" s="519"/>
      <c r="O643" s="519"/>
      <c r="P643" s="519"/>
      <c r="Q643" s="519"/>
      <c r="R643" s="519"/>
      <c r="S643" s="519"/>
      <c r="T643" s="519"/>
      <c r="U643" s="519"/>
      <c r="V643" s="519"/>
      <c r="W643" s="519"/>
      <c r="X643" s="519"/>
      <c r="Y643" s="519"/>
      <c r="Z643" s="519"/>
      <c r="AA643" s="519"/>
      <c r="AB643" s="613">
        <v>0.213792746999836</v>
      </c>
      <c r="AC643" s="613"/>
      <c r="AD643" s="613"/>
      <c r="AE643" s="613"/>
      <c r="AF643" s="614">
        <v>0.0146432483971724</v>
      </c>
      <c r="AG643" s="614"/>
      <c r="AH643" s="614"/>
      <c r="AI643" s="614"/>
      <c r="AJ643" s="615">
        <v>1</v>
      </c>
      <c r="AK643" s="615"/>
      <c r="AL643" s="615"/>
      <c r="AM643" s="614">
        <v>0.091609429557784</v>
      </c>
      <c r="AN643" s="614"/>
      <c r="AO643" s="614"/>
      <c r="AP643" s="614"/>
      <c r="AQ643" s="615">
        <v>1</v>
      </c>
      <c r="AR643" s="615"/>
      <c r="AS643" s="615"/>
      <c r="AT643" s="614">
        <v>0.0912397172447805</v>
      </c>
      <c r="AU643" s="614"/>
      <c r="AV643" s="614"/>
      <c r="AW643" s="614"/>
      <c r="AX643" s="615">
        <v>1</v>
      </c>
      <c r="AY643" s="615"/>
      <c r="AZ643" s="615"/>
      <c r="BA643" s="614">
        <v>0.0163003518000986</v>
      </c>
      <c r="BB643" s="614"/>
      <c r="BC643" s="614"/>
      <c r="BD643" s="614"/>
      <c r="BE643" s="615">
        <v>1</v>
      </c>
      <c r="BF643" s="615"/>
      <c r="BG643" s="615"/>
    </row>
    <row r="644" customHeight="1" spans="3:59">
      <c r="C644" s="305"/>
      <c r="D644" s="305"/>
      <c r="E644" s="611"/>
      <c r="F644" s="612" t="s">
        <v>1062</v>
      </c>
      <c r="G644" s="612"/>
      <c r="H644" s="612"/>
      <c r="I644" s="519" t="s">
        <v>1063</v>
      </c>
      <c r="J644" s="519"/>
      <c r="K644" s="519"/>
      <c r="L644" s="519"/>
      <c r="M644" s="519"/>
      <c r="N644" s="519"/>
      <c r="O644" s="519"/>
      <c r="P644" s="519"/>
      <c r="Q644" s="519"/>
      <c r="R644" s="519"/>
      <c r="S644" s="519"/>
      <c r="T644" s="519"/>
      <c r="U644" s="519"/>
      <c r="V644" s="519"/>
      <c r="W644" s="519"/>
      <c r="X644" s="519"/>
      <c r="Y644" s="519"/>
      <c r="Z644" s="519"/>
      <c r="AA644" s="519"/>
      <c r="AB644" s="613">
        <v>0.657570277823442</v>
      </c>
      <c r="AC644" s="613"/>
      <c r="AD644" s="613"/>
      <c r="AE644" s="613"/>
      <c r="AF644" s="614">
        <v>0.410981423639651</v>
      </c>
      <c r="AG644" s="614"/>
      <c r="AH644" s="614"/>
      <c r="AI644" s="614"/>
      <c r="AJ644" s="615">
        <v>1</v>
      </c>
      <c r="AK644" s="615"/>
      <c r="AL644" s="615"/>
      <c r="AM644" s="614">
        <v>0.246588854183791</v>
      </c>
      <c r="AN644" s="614"/>
      <c r="AO644" s="614"/>
      <c r="AP644" s="614"/>
      <c r="AQ644" s="615">
        <v>1</v>
      </c>
      <c r="AR644" s="615"/>
      <c r="AS644" s="615"/>
      <c r="AT644" s="614">
        <v>0</v>
      </c>
      <c r="AU644" s="614"/>
      <c r="AV644" s="614"/>
      <c r="AW644" s="614"/>
      <c r="AX644" s="615">
        <v>0</v>
      </c>
      <c r="AY644" s="615"/>
      <c r="AZ644" s="615"/>
      <c r="BA644" s="614">
        <v>0</v>
      </c>
      <c r="BB644" s="614"/>
      <c r="BC644" s="614"/>
      <c r="BD644" s="614"/>
      <c r="BE644" s="615">
        <v>0</v>
      </c>
      <c r="BF644" s="615"/>
      <c r="BG644" s="615"/>
    </row>
    <row r="645" customHeight="1" spans="3:59">
      <c r="C645" s="305"/>
      <c r="D645" s="305"/>
      <c r="E645" s="611"/>
      <c r="F645" s="612" t="s">
        <v>1088</v>
      </c>
      <c r="G645" s="612"/>
      <c r="H645" s="612"/>
      <c r="I645" s="519" t="s">
        <v>1089</v>
      </c>
      <c r="J645" s="519"/>
      <c r="K645" s="519"/>
      <c r="L645" s="519"/>
      <c r="M645" s="519"/>
      <c r="N645" s="519"/>
      <c r="O645" s="519"/>
      <c r="P645" s="519"/>
      <c r="Q645" s="519"/>
      <c r="R645" s="519"/>
      <c r="S645" s="519"/>
      <c r="T645" s="519"/>
      <c r="U645" s="519"/>
      <c r="V645" s="519"/>
      <c r="W645" s="519"/>
      <c r="X645" s="519"/>
      <c r="Y645" s="519"/>
      <c r="Z645" s="519"/>
      <c r="AA645" s="519"/>
      <c r="AB645" s="613">
        <v>0.000215286235536748</v>
      </c>
      <c r="AC645" s="613"/>
      <c r="AD645" s="613"/>
      <c r="AE645" s="613"/>
      <c r="AF645" s="614">
        <v>0</v>
      </c>
      <c r="AG645" s="614"/>
      <c r="AH645" s="614"/>
      <c r="AI645" s="614"/>
      <c r="AJ645" s="615">
        <v>0</v>
      </c>
      <c r="AK645" s="615"/>
      <c r="AL645" s="615"/>
      <c r="AM645" s="614">
        <v>0</v>
      </c>
      <c r="AN645" s="614"/>
      <c r="AO645" s="614"/>
      <c r="AP645" s="614"/>
      <c r="AQ645" s="615">
        <v>0</v>
      </c>
      <c r="AR645" s="615"/>
      <c r="AS645" s="615"/>
      <c r="AT645" s="614">
        <v>8.61144942146991e-5</v>
      </c>
      <c r="AU645" s="614"/>
      <c r="AV645" s="614"/>
      <c r="AW645" s="614"/>
      <c r="AX645" s="615">
        <v>1</v>
      </c>
      <c r="AY645" s="615"/>
      <c r="AZ645" s="615"/>
      <c r="BA645" s="614">
        <v>0.000129171741322049</v>
      </c>
      <c r="BB645" s="614"/>
      <c r="BC645" s="614"/>
      <c r="BD645" s="614"/>
      <c r="BE645" s="615">
        <v>1</v>
      </c>
      <c r="BF645" s="615"/>
      <c r="BG645" s="615"/>
    </row>
    <row r="646" customHeight="1" spans="3:59">
      <c r="C646" s="305"/>
      <c r="D646" s="305"/>
      <c r="E646" s="611"/>
      <c r="F646" s="612" t="s">
        <v>1078</v>
      </c>
      <c r="G646" s="612"/>
      <c r="H646" s="612"/>
      <c r="I646" s="519" t="s">
        <v>1079</v>
      </c>
      <c r="J646" s="519"/>
      <c r="K646" s="519"/>
      <c r="L646" s="519"/>
      <c r="M646" s="519"/>
      <c r="N646" s="519"/>
      <c r="O646" s="519"/>
      <c r="P646" s="519"/>
      <c r="Q646" s="519"/>
      <c r="R646" s="519"/>
      <c r="S646" s="519"/>
      <c r="T646" s="519"/>
      <c r="U646" s="519"/>
      <c r="V646" s="519"/>
      <c r="W646" s="519"/>
      <c r="X646" s="519"/>
      <c r="Y646" s="519"/>
      <c r="Z646" s="519"/>
      <c r="AA646" s="519"/>
      <c r="AB646" s="613">
        <v>0.191707704289678</v>
      </c>
      <c r="AC646" s="613"/>
      <c r="AD646" s="613"/>
      <c r="AE646" s="613"/>
      <c r="AF646" s="614">
        <v>0</v>
      </c>
      <c r="AG646" s="614"/>
      <c r="AH646" s="614"/>
      <c r="AI646" s="614"/>
      <c r="AJ646" s="615">
        <v>0</v>
      </c>
      <c r="AK646" s="615"/>
      <c r="AL646" s="615"/>
      <c r="AM646" s="614">
        <v>0.0917605431865002</v>
      </c>
      <c r="AN646" s="614"/>
      <c r="AO646" s="614"/>
      <c r="AP646" s="614"/>
      <c r="AQ646" s="615">
        <v>1</v>
      </c>
      <c r="AR646" s="615"/>
      <c r="AS646" s="615"/>
      <c r="AT646" s="614">
        <v>0.0999471611031776</v>
      </c>
      <c r="AU646" s="614"/>
      <c r="AV646" s="614"/>
      <c r="AW646" s="614"/>
      <c r="AX646" s="615">
        <v>1</v>
      </c>
      <c r="AY646" s="615"/>
      <c r="AZ646" s="615"/>
      <c r="BA646" s="614">
        <v>0</v>
      </c>
      <c r="BB646" s="614"/>
      <c r="BC646" s="614"/>
      <c r="BD646" s="614"/>
      <c r="BE646" s="615">
        <v>0</v>
      </c>
      <c r="BF646" s="615"/>
      <c r="BG646" s="615"/>
    </row>
    <row r="647" customHeight="1" spans="3:59">
      <c r="C647" s="305"/>
      <c r="D647" s="305"/>
      <c r="E647" s="611"/>
      <c r="F647" s="612" t="s">
        <v>1056</v>
      </c>
      <c r="G647" s="612"/>
      <c r="H647" s="612"/>
      <c r="I647" s="519" t="s">
        <v>1057</v>
      </c>
      <c r="J647" s="519"/>
      <c r="K647" s="519"/>
      <c r="L647" s="519"/>
      <c r="M647" s="519"/>
      <c r="N647" s="519"/>
      <c r="O647" s="519"/>
      <c r="P647" s="519"/>
      <c r="Q647" s="519"/>
      <c r="R647" s="519"/>
      <c r="S647" s="519"/>
      <c r="T647" s="519"/>
      <c r="U647" s="519"/>
      <c r="V647" s="519"/>
      <c r="W647" s="519"/>
      <c r="X647" s="519"/>
      <c r="Y647" s="519"/>
      <c r="Z647" s="519"/>
      <c r="AA647" s="519"/>
      <c r="AB647" s="613">
        <v>0.0365935759977336</v>
      </c>
      <c r="AC647" s="613"/>
      <c r="AD647" s="613"/>
      <c r="AE647" s="613"/>
      <c r="AF647" s="614">
        <v>0.00685593929699927</v>
      </c>
      <c r="AG647" s="614"/>
      <c r="AH647" s="614"/>
      <c r="AI647" s="614"/>
      <c r="AJ647" s="615">
        <v>1</v>
      </c>
      <c r="AK647" s="615"/>
      <c r="AL647" s="615"/>
      <c r="AM647" s="614">
        <v>0.0214238580893315</v>
      </c>
      <c r="AN647" s="614"/>
      <c r="AO647" s="614"/>
      <c r="AP647" s="614"/>
      <c r="AQ647" s="615">
        <v>1</v>
      </c>
      <c r="AR647" s="615"/>
      <c r="AS647" s="615"/>
      <c r="AT647" s="614">
        <v>0.00831377861140286</v>
      </c>
      <c r="AU647" s="614"/>
      <c r="AV647" s="614"/>
      <c r="AW647" s="614"/>
      <c r="AX647" s="615">
        <v>1</v>
      </c>
      <c r="AY647" s="615"/>
      <c r="AZ647" s="615"/>
      <c r="BA647" s="614">
        <v>0</v>
      </c>
      <c r="BB647" s="614"/>
      <c r="BC647" s="614"/>
      <c r="BD647" s="614"/>
      <c r="BE647" s="615">
        <v>0</v>
      </c>
      <c r="BF647" s="615"/>
      <c r="BG647" s="615"/>
    </row>
    <row r="648" customHeight="1" spans="3:59">
      <c r="C648" s="305"/>
      <c r="D648" s="305"/>
      <c r="E648" s="611"/>
      <c r="F648" s="612" t="s">
        <v>1086</v>
      </c>
      <c r="G648" s="612"/>
      <c r="H648" s="612"/>
      <c r="I648" s="519" t="s">
        <v>1087</v>
      </c>
      <c r="J648" s="519"/>
      <c r="K648" s="519"/>
      <c r="L648" s="519"/>
      <c r="M648" s="519"/>
      <c r="N648" s="519"/>
      <c r="O648" s="519"/>
      <c r="P648" s="519"/>
      <c r="Q648" s="519"/>
      <c r="R648" s="519"/>
      <c r="S648" s="519"/>
      <c r="T648" s="519"/>
      <c r="U648" s="519"/>
      <c r="V648" s="519"/>
      <c r="W648" s="519"/>
      <c r="X648" s="519"/>
      <c r="Y648" s="519"/>
      <c r="Z648" s="519"/>
      <c r="AA648" s="519"/>
      <c r="AB648" s="613">
        <v>0.0432352457668913</v>
      </c>
      <c r="AC648" s="613"/>
      <c r="AD648" s="613"/>
      <c r="AE648" s="613"/>
      <c r="AF648" s="614">
        <v>0</v>
      </c>
      <c r="AG648" s="614"/>
      <c r="AH648" s="614"/>
      <c r="AI648" s="614"/>
      <c r="AJ648" s="615">
        <v>0</v>
      </c>
      <c r="AK648" s="615"/>
      <c r="AL648" s="615"/>
      <c r="AM648" s="614">
        <v>0</v>
      </c>
      <c r="AN648" s="614"/>
      <c r="AO648" s="614"/>
      <c r="AP648" s="614"/>
      <c r="AQ648" s="615">
        <v>0</v>
      </c>
      <c r="AR648" s="615"/>
      <c r="AS648" s="615"/>
      <c r="AT648" s="614">
        <v>0.0172940983067565</v>
      </c>
      <c r="AU648" s="614"/>
      <c r="AV648" s="614"/>
      <c r="AW648" s="614"/>
      <c r="AX648" s="615">
        <v>1</v>
      </c>
      <c r="AY648" s="615"/>
      <c r="AZ648" s="615"/>
      <c r="BA648" s="614">
        <v>0.0259411474601348</v>
      </c>
      <c r="BB648" s="614"/>
      <c r="BC648" s="614"/>
      <c r="BD648" s="614"/>
      <c r="BE648" s="615">
        <v>1</v>
      </c>
      <c r="BF648" s="615"/>
      <c r="BG648" s="615"/>
    </row>
    <row r="649" customHeight="1" spans="3:59">
      <c r="C649" s="305"/>
      <c r="D649" s="305"/>
      <c r="E649" s="611"/>
      <c r="F649" s="612" t="s">
        <v>1082</v>
      </c>
      <c r="G649" s="612"/>
      <c r="H649" s="612"/>
      <c r="I649" s="519" t="s">
        <v>1083</v>
      </c>
      <c r="J649" s="519"/>
      <c r="K649" s="519"/>
      <c r="L649" s="519"/>
      <c r="M649" s="519"/>
      <c r="N649" s="519"/>
      <c r="O649" s="519"/>
      <c r="P649" s="519"/>
      <c r="Q649" s="519"/>
      <c r="R649" s="519"/>
      <c r="S649" s="519"/>
      <c r="T649" s="519"/>
      <c r="U649" s="519"/>
      <c r="V649" s="519"/>
      <c r="W649" s="519"/>
      <c r="X649" s="519"/>
      <c r="Y649" s="519"/>
      <c r="Z649" s="519"/>
      <c r="AA649" s="519"/>
      <c r="AB649" s="613">
        <v>0.000352442342419108</v>
      </c>
      <c r="AC649" s="613"/>
      <c r="AD649" s="613"/>
      <c r="AE649" s="613"/>
      <c r="AF649" s="614">
        <v>7.04884684838217e-5</v>
      </c>
      <c r="AG649" s="614"/>
      <c r="AH649" s="614"/>
      <c r="AI649" s="614"/>
      <c r="AJ649" s="615">
        <v>1</v>
      </c>
      <c r="AK649" s="615"/>
      <c r="AL649" s="615"/>
      <c r="AM649" s="614">
        <v>0.000176221171209554</v>
      </c>
      <c r="AN649" s="614"/>
      <c r="AO649" s="614"/>
      <c r="AP649" s="614"/>
      <c r="AQ649" s="615">
        <v>1</v>
      </c>
      <c r="AR649" s="615"/>
      <c r="AS649" s="615"/>
      <c r="AT649" s="614">
        <v>0.000105732702725733</v>
      </c>
      <c r="AU649" s="614"/>
      <c r="AV649" s="614"/>
      <c r="AW649" s="614"/>
      <c r="AX649" s="615">
        <v>1</v>
      </c>
      <c r="AY649" s="615"/>
      <c r="AZ649" s="615"/>
      <c r="BA649" s="614">
        <v>0</v>
      </c>
      <c r="BB649" s="614"/>
      <c r="BC649" s="614"/>
      <c r="BD649" s="614"/>
      <c r="BE649" s="615">
        <v>0</v>
      </c>
      <c r="BF649" s="615"/>
      <c r="BG649" s="615"/>
    </row>
    <row r="650" customHeight="1" spans="3:59">
      <c r="C650" s="305"/>
      <c r="D650" s="305"/>
      <c r="E650" s="611"/>
      <c r="F650" s="612" t="s">
        <v>1064</v>
      </c>
      <c r="G650" s="612"/>
      <c r="H650" s="612"/>
      <c r="I650" s="519" t="s">
        <v>1065</v>
      </c>
      <c r="J650" s="519"/>
      <c r="K650" s="519"/>
      <c r="L650" s="519"/>
      <c r="M650" s="519"/>
      <c r="N650" s="519"/>
      <c r="O650" s="519"/>
      <c r="P650" s="519"/>
      <c r="Q650" s="519"/>
      <c r="R650" s="519"/>
      <c r="S650" s="519"/>
      <c r="T650" s="519"/>
      <c r="U650" s="519"/>
      <c r="V650" s="519"/>
      <c r="W650" s="519"/>
      <c r="X650" s="519"/>
      <c r="Y650" s="519"/>
      <c r="Z650" s="519"/>
      <c r="AA650" s="519"/>
      <c r="AB650" s="613">
        <v>0.657922720165862</v>
      </c>
      <c r="AC650" s="613"/>
      <c r="AD650" s="613"/>
      <c r="AE650" s="613"/>
      <c r="AF650" s="614">
        <v>0.411051912108135</v>
      </c>
      <c r="AG650" s="614"/>
      <c r="AH650" s="614"/>
      <c r="AI650" s="614"/>
      <c r="AJ650" s="615">
        <v>1</v>
      </c>
      <c r="AK650" s="615"/>
      <c r="AL650" s="615"/>
      <c r="AM650" s="614">
        <v>0.246765075355</v>
      </c>
      <c r="AN650" s="614"/>
      <c r="AO650" s="614"/>
      <c r="AP650" s="614"/>
      <c r="AQ650" s="615">
        <v>1</v>
      </c>
      <c r="AR650" s="615"/>
      <c r="AS650" s="615"/>
      <c r="AT650" s="614">
        <v>0.000105732702725733</v>
      </c>
      <c r="AU650" s="614"/>
      <c r="AV650" s="614"/>
      <c r="AW650" s="614"/>
      <c r="AX650" s="615">
        <v>1</v>
      </c>
      <c r="AY650" s="615"/>
      <c r="AZ650" s="615"/>
      <c r="BA650" s="614">
        <v>0</v>
      </c>
      <c r="BB650" s="614"/>
      <c r="BC650" s="614"/>
      <c r="BD650" s="614"/>
      <c r="BE650" s="615">
        <v>0</v>
      </c>
      <c r="BF650" s="615"/>
      <c r="BG650" s="615"/>
    </row>
    <row r="651" customHeight="1" spans="3:59">
      <c r="AF651" s="616" t="s">
        <v>1023</v>
      </c>
      <c r="AG651" s="616"/>
      <c r="AH651" s="616"/>
      <c r="AI651" s="616"/>
      <c r="AJ651" s="617">
        <v>14</v>
      </c>
      <c r="AK651" s="617"/>
      <c r="AL651" s="617"/>
      <c r="AM651" s="616" t="s">
        <v>1024</v>
      </c>
      <c r="AN651" s="616"/>
      <c r="AO651" s="616"/>
      <c r="AP651" s="616"/>
      <c r="AQ651" s="617">
        <v>15</v>
      </c>
      <c r="AR651" s="617"/>
      <c r="AS651" s="617"/>
      <c r="AT651" s="616" t="s">
        <v>1025</v>
      </c>
      <c r="AU651" s="616"/>
      <c r="AV651" s="616"/>
      <c r="AW651" s="616"/>
      <c r="AX651" s="617">
        <v>15</v>
      </c>
      <c r="AY651" s="617"/>
      <c r="AZ651" s="617"/>
      <c r="BA651" s="616" t="s">
        <v>1026</v>
      </c>
      <c r="BB651" s="616"/>
      <c r="BC651" s="616"/>
      <c r="BD651" s="616"/>
      <c r="BE651" s="617">
        <v>9</v>
      </c>
      <c r="BF651" s="617"/>
      <c r="BG651" s="617"/>
    </row>
    <row r="652" customHeight="1" spans="3:59">
      <c r="AF652" s="564">
        <v>1.03231532025812</v>
      </c>
      <c r="AG652" s="565"/>
      <c r="AH652" s="565"/>
      <c r="AI652" s="566"/>
      <c r="AM652" s="564">
        <v>1.49322456684139</v>
      </c>
      <c r="AN652" s="565"/>
      <c r="AO652" s="565"/>
      <c r="AP652" s="566"/>
      <c r="AT652" s="564">
        <v>1.12346839153884</v>
      </c>
      <c r="AU652" s="565"/>
      <c r="AV652" s="565"/>
      <c r="AW652" s="566"/>
      <c r="BA652" s="564">
        <v>0.521500075199498</v>
      </c>
      <c r="BB652" s="565"/>
      <c r="BC652" s="565"/>
      <c r="BD652" s="566"/>
    </row>
    <row r="653" customHeight="1" spans="3:59">
      <c r="AF653" s="564">
        <v>1.03231532025812</v>
      </c>
      <c r="AG653" s="565"/>
      <c r="AH653" s="565"/>
      <c r="AI653" s="566"/>
      <c r="AM653" s="564">
        <v>1.4932245668414</v>
      </c>
      <c r="AN653" s="565"/>
      <c r="AO653" s="565"/>
      <c r="AP653" s="566"/>
      <c r="AT653" s="564">
        <v>1.12346839153884</v>
      </c>
      <c r="AU653" s="565"/>
      <c r="AV653" s="565"/>
      <c r="AW653" s="566"/>
      <c r="BA653" s="564">
        <v>0.521500075199498</v>
      </c>
      <c r="BB653" s="565"/>
      <c r="BC653" s="565"/>
      <c r="BD653" s="566"/>
    </row>
  </sheetData>
  <mergeCells count="9451">
    <mergeCell ref="A4:H4"/>
    <mergeCell ref="I4:CN4"/>
    <mergeCell ref="A5:H5"/>
    <mergeCell ref="I5:CN5"/>
    <mergeCell ref="A6:H6"/>
    <mergeCell ref="I6:CN6"/>
    <mergeCell ref="A7:H7"/>
    <mergeCell ref="I7:CN7"/>
    <mergeCell ref="A8:H8"/>
    <mergeCell ref="I8:AH8"/>
    <mergeCell ref="CD8:CJ8"/>
    <mergeCell ref="CK8:CL8"/>
    <mergeCell ref="CM8:CN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CD11:CJ11"/>
    <mergeCell ref="CK11:CL11"/>
    <mergeCell ref="CM11:CN11"/>
    <mergeCell ref="A12:H12"/>
    <mergeCell ref="I12:U12"/>
    <mergeCell ref="V12:AH12"/>
    <mergeCell ref="A13:CN13"/>
    <mergeCell ref="A14:CN14"/>
    <mergeCell ref="A15:B15"/>
    <mergeCell ref="C15:E15"/>
    <mergeCell ref="F15:H15"/>
    <mergeCell ref="I15:AA15"/>
    <mergeCell ref="AB15:AC15"/>
    <mergeCell ref="AD15:AF15"/>
    <mergeCell ref="AG15:AH15"/>
    <mergeCell ref="AI15:AV15"/>
    <mergeCell ref="AW15:AY15"/>
    <mergeCell ref="AZ15:BB15"/>
    <mergeCell ref="BC15:BE15"/>
    <mergeCell ref="BF15:BH15"/>
    <mergeCell ref="BI15:BL15"/>
    <mergeCell ref="BM15:BP15"/>
    <mergeCell ref="BQ15:BS15"/>
    <mergeCell ref="BT15:BW15"/>
    <mergeCell ref="BX15:BZ15"/>
    <mergeCell ref="CA15:CD15"/>
    <mergeCell ref="CE15:CG15"/>
    <mergeCell ref="CH15:CK15"/>
    <mergeCell ref="CL15:CN15"/>
    <mergeCell ref="AG16:AH16"/>
    <mergeCell ref="AI16:AV16"/>
    <mergeCell ref="AW16:AY16"/>
    <mergeCell ref="BC16:BE16"/>
    <mergeCell ref="BF16:BH16"/>
    <mergeCell ref="BI16:BL16"/>
    <mergeCell ref="BM16:BP16"/>
    <mergeCell ref="BQ16:BS16"/>
    <mergeCell ref="BT16:BW16"/>
    <mergeCell ref="BX16:BZ16"/>
    <mergeCell ref="CA16:CD16"/>
    <mergeCell ref="CE16:CG16"/>
    <mergeCell ref="CH16:CK16"/>
    <mergeCell ref="CL16:CN16"/>
    <mergeCell ref="AG17:AH17"/>
    <mergeCell ref="AI17:AV17"/>
    <mergeCell ref="AW17:AY17"/>
    <mergeCell ref="BC17:BE17"/>
    <mergeCell ref="BF17:BH17"/>
    <mergeCell ref="BI17:BL17"/>
    <mergeCell ref="BM17:BP17"/>
    <mergeCell ref="BQ17:BS17"/>
    <mergeCell ref="BT17:BW17"/>
    <mergeCell ref="BX17:BZ17"/>
    <mergeCell ref="CA17:CD17"/>
    <mergeCell ref="CE17:CG17"/>
    <mergeCell ref="CH17:CK17"/>
    <mergeCell ref="CL17:CN17"/>
    <mergeCell ref="AG18:AH18"/>
    <mergeCell ref="AI18:AV18"/>
    <mergeCell ref="AW18:AY18"/>
    <mergeCell ref="BC18:BE18"/>
    <mergeCell ref="BF18:BH18"/>
    <mergeCell ref="BI18:BL18"/>
    <mergeCell ref="BM18:BP18"/>
    <mergeCell ref="BQ18:BS18"/>
    <mergeCell ref="BT18:BW18"/>
    <mergeCell ref="BX18:BZ18"/>
    <mergeCell ref="CA18:CD18"/>
    <mergeCell ref="CE18:CG18"/>
    <mergeCell ref="CH18:CK18"/>
    <mergeCell ref="CL18:CN18"/>
    <mergeCell ref="AG19:AH19"/>
    <mergeCell ref="AI19:AV19"/>
    <mergeCell ref="AW19:AY19"/>
    <mergeCell ref="BC19:BE19"/>
    <mergeCell ref="BF19:BH19"/>
    <mergeCell ref="BI19:BL19"/>
    <mergeCell ref="BM19:BP19"/>
    <mergeCell ref="BQ19:BS19"/>
    <mergeCell ref="BT19:BW19"/>
    <mergeCell ref="BX19:BZ19"/>
    <mergeCell ref="CA19:CD19"/>
    <mergeCell ref="CE19:CG19"/>
    <mergeCell ref="CH19:CK19"/>
    <mergeCell ref="CL19:CN19"/>
    <mergeCell ref="AG20:AH20"/>
    <mergeCell ref="AI20:AV20"/>
    <mergeCell ref="AW20:AY20"/>
    <mergeCell ref="BC20:BE20"/>
    <mergeCell ref="BF20:BH20"/>
    <mergeCell ref="BI20:BL20"/>
    <mergeCell ref="BM20:BP20"/>
    <mergeCell ref="BQ20:BS20"/>
    <mergeCell ref="BT20:BW20"/>
    <mergeCell ref="BX20:BZ20"/>
    <mergeCell ref="CA20:CD20"/>
    <mergeCell ref="CE20:CG20"/>
    <mergeCell ref="CH20:CK20"/>
    <mergeCell ref="CL20:CN20"/>
    <mergeCell ref="AG21:AH21"/>
    <mergeCell ref="AI21:AV21"/>
    <mergeCell ref="AW21:AY21"/>
    <mergeCell ref="BC21:BE21"/>
    <mergeCell ref="BF21:BH21"/>
    <mergeCell ref="BI21:BL21"/>
    <mergeCell ref="BM21:BP21"/>
    <mergeCell ref="BQ21:BS21"/>
    <mergeCell ref="BT21:BW21"/>
    <mergeCell ref="BX21:BZ21"/>
    <mergeCell ref="CA21:CD21"/>
    <mergeCell ref="CE21:CG21"/>
    <mergeCell ref="CH21:CK21"/>
    <mergeCell ref="CL21:CN21"/>
    <mergeCell ref="AG22:AH22"/>
    <mergeCell ref="AI22:AV22"/>
    <mergeCell ref="AW22:AY22"/>
    <mergeCell ref="BC22:BE22"/>
    <mergeCell ref="BF22:BH22"/>
    <mergeCell ref="BI22:BL22"/>
    <mergeCell ref="BM22:BP22"/>
    <mergeCell ref="BQ22:BS22"/>
    <mergeCell ref="BT22:BW22"/>
    <mergeCell ref="BX22:BZ22"/>
    <mergeCell ref="CA22:CD22"/>
    <mergeCell ref="CE22:CG22"/>
    <mergeCell ref="CH22:CK22"/>
    <mergeCell ref="CL22:CN22"/>
    <mergeCell ref="AG23:AH23"/>
    <mergeCell ref="AI23:AV23"/>
    <mergeCell ref="AW23:AY23"/>
    <mergeCell ref="BC23:BE23"/>
    <mergeCell ref="BF23:BH23"/>
    <mergeCell ref="BI23:BL23"/>
    <mergeCell ref="BM23:BP23"/>
    <mergeCell ref="BQ23:BS23"/>
    <mergeCell ref="BT23:BW23"/>
    <mergeCell ref="BX23:BZ23"/>
    <mergeCell ref="CA23:CD23"/>
    <mergeCell ref="CE23:CG23"/>
    <mergeCell ref="CH23:CK23"/>
    <mergeCell ref="CL23:CN23"/>
    <mergeCell ref="AG24:AH24"/>
    <mergeCell ref="AI24:AV24"/>
    <mergeCell ref="AW24:AY24"/>
    <mergeCell ref="BC24:BE24"/>
    <mergeCell ref="BF24:BH24"/>
    <mergeCell ref="BI24:BL24"/>
    <mergeCell ref="BM24:BP24"/>
    <mergeCell ref="BQ24:BS24"/>
    <mergeCell ref="BT24:BW24"/>
    <mergeCell ref="BX24:BZ24"/>
    <mergeCell ref="CA24:CD24"/>
    <mergeCell ref="CE24:CG24"/>
    <mergeCell ref="CH24:CK24"/>
    <mergeCell ref="CL24:CN24"/>
    <mergeCell ref="AG25:AH25"/>
    <mergeCell ref="AI25:AV25"/>
    <mergeCell ref="AW25:AY25"/>
    <mergeCell ref="BC25:BE25"/>
    <mergeCell ref="BF25:BH25"/>
    <mergeCell ref="BI25:BL25"/>
    <mergeCell ref="BM25:BP25"/>
    <mergeCell ref="BQ25:BS25"/>
    <mergeCell ref="BT25:BW25"/>
    <mergeCell ref="BX25:BZ25"/>
    <mergeCell ref="CA25:CD25"/>
    <mergeCell ref="CE25:CG25"/>
    <mergeCell ref="CH25:CK25"/>
    <mergeCell ref="CL25:CN25"/>
    <mergeCell ref="AG26:AH26"/>
    <mergeCell ref="AI26:AV26"/>
    <mergeCell ref="AW26:AY26"/>
    <mergeCell ref="BC26:BE26"/>
    <mergeCell ref="BF26:BH26"/>
    <mergeCell ref="BI26:BL26"/>
    <mergeCell ref="BM26:BP26"/>
    <mergeCell ref="BQ26:BS26"/>
    <mergeCell ref="BT26:BW26"/>
    <mergeCell ref="BX26:BZ26"/>
    <mergeCell ref="CA26:CD26"/>
    <mergeCell ref="CE26:CG26"/>
    <mergeCell ref="CH26:CK26"/>
    <mergeCell ref="CL26:CN26"/>
    <mergeCell ref="AG27:AH27"/>
    <mergeCell ref="AI27:AV27"/>
    <mergeCell ref="AW27:AY27"/>
    <mergeCell ref="BC27:BE27"/>
    <mergeCell ref="BF27:BH27"/>
    <mergeCell ref="BI27:BL27"/>
    <mergeCell ref="BM27:BP27"/>
    <mergeCell ref="BQ27:BS27"/>
    <mergeCell ref="BT27:BW27"/>
    <mergeCell ref="BX27:BZ27"/>
    <mergeCell ref="CA27:CD27"/>
    <mergeCell ref="CE27:CG27"/>
    <mergeCell ref="CH27:CK27"/>
    <mergeCell ref="CL27:CN27"/>
    <mergeCell ref="AG28:AH28"/>
    <mergeCell ref="AI28:AV28"/>
    <mergeCell ref="AW28:AY28"/>
    <mergeCell ref="BC28:BE28"/>
    <mergeCell ref="BF28:BH28"/>
    <mergeCell ref="BI28:BL28"/>
    <mergeCell ref="BM28:BP28"/>
    <mergeCell ref="BQ28:BS28"/>
    <mergeCell ref="BT28:BW28"/>
    <mergeCell ref="BX28:BZ28"/>
    <mergeCell ref="CA28:CD28"/>
    <mergeCell ref="CE28:CG28"/>
    <mergeCell ref="CH28:CK28"/>
    <mergeCell ref="CL28:CN28"/>
    <mergeCell ref="AG29:AH29"/>
    <mergeCell ref="AI29:AV29"/>
    <mergeCell ref="AW29:AY29"/>
    <mergeCell ref="BC29:BE29"/>
    <mergeCell ref="BF29:BH29"/>
    <mergeCell ref="BI29:BL29"/>
    <mergeCell ref="BM29:BP29"/>
    <mergeCell ref="BQ29:BS29"/>
    <mergeCell ref="BT29:BW29"/>
    <mergeCell ref="BX29:BZ29"/>
    <mergeCell ref="CA29:CD29"/>
    <mergeCell ref="CE29:CG29"/>
    <mergeCell ref="CH29:CK29"/>
    <mergeCell ref="CL29:CN29"/>
    <mergeCell ref="AG30:AH30"/>
    <mergeCell ref="AI30:AV30"/>
    <mergeCell ref="AW30:AY30"/>
    <mergeCell ref="BC30:BE30"/>
    <mergeCell ref="BF30:BH30"/>
    <mergeCell ref="BI30:BL30"/>
    <mergeCell ref="BM30:BP30"/>
    <mergeCell ref="BQ30:BS30"/>
    <mergeCell ref="BT30:BW30"/>
    <mergeCell ref="BX30:BZ30"/>
    <mergeCell ref="CA30:CD30"/>
    <mergeCell ref="CE30:CG30"/>
    <mergeCell ref="CH30:CK30"/>
    <mergeCell ref="CL30:CN30"/>
    <mergeCell ref="AG31:AH31"/>
    <mergeCell ref="AI31:AV31"/>
    <mergeCell ref="AW31:AY31"/>
    <mergeCell ref="BC31:BE31"/>
    <mergeCell ref="BF31:BH31"/>
    <mergeCell ref="BI31:BL31"/>
    <mergeCell ref="BM31:BP31"/>
    <mergeCell ref="BQ31:BS31"/>
    <mergeCell ref="BT31:BW31"/>
    <mergeCell ref="BX31:BZ31"/>
    <mergeCell ref="CA31:CD31"/>
    <mergeCell ref="CE31:CG31"/>
    <mergeCell ref="CH31:CK31"/>
    <mergeCell ref="CL31:CN31"/>
    <mergeCell ref="AG32:AH32"/>
    <mergeCell ref="AI32:AV32"/>
    <mergeCell ref="AW32:AY32"/>
    <mergeCell ref="BC32:BE32"/>
    <mergeCell ref="BF32:BH32"/>
    <mergeCell ref="BI32:BL32"/>
    <mergeCell ref="BM32:BP32"/>
    <mergeCell ref="BQ32:BS32"/>
    <mergeCell ref="BT32:BW32"/>
    <mergeCell ref="BX32:BZ32"/>
    <mergeCell ref="CA32:CD32"/>
    <mergeCell ref="CE32:CG32"/>
    <mergeCell ref="CH32:CK32"/>
    <mergeCell ref="CL32:CN32"/>
    <mergeCell ref="AG33:AH33"/>
    <mergeCell ref="AI33:AV33"/>
    <mergeCell ref="AW33:AY33"/>
    <mergeCell ref="BC33:BE33"/>
    <mergeCell ref="BF33:BH33"/>
    <mergeCell ref="BI33:BL33"/>
    <mergeCell ref="BM33:BP33"/>
    <mergeCell ref="BQ33:BS33"/>
    <mergeCell ref="BT33:BW33"/>
    <mergeCell ref="BX33:BZ33"/>
    <mergeCell ref="CA33:CD33"/>
    <mergeCell ref="CE33:CG33"/>
    <mergeCell ref="CH33:CK33"/>
    <mergeCell ref="CL33:CN33"/>
    <mergeCell ref="AG34:AH34"/>
    <mergeCell ref="AI34:AV34"/>
    <mergeCell ref="AW34:AY34"/>
    <mergeCell ref="BC34:BE34"/>
    <mergeCell ref="BF34:BH34"/>
    <mergeCell ref="BI34:BL34"/>
    <mergeCell ref="BM34:BP34"/>
    <mergeCell ref="BQ34:BS34"/>
    <mergeCell ref="BT34:BW34"/>
    <mergeCell ref="BX34:BZ34"/>
    <mergeCell ref="CA34:CD34"/>
    <mergeCell ref="CE34:CG34"/>
    <mergeCell ref="CH34:CK34"/>
    <mergeCell ref="CL34:CN34"/>
    <mergeCell ref="AG35:AH35"/>
    <mergeCell ref="AI35:AV35"/>
    <mergeCell ref="AW35:AY35"/>
    <mergeCell ref="BC35:BE35"/>
    <mergeCell ref="BF35:BH35"/>
    <mergeCell ref="BI35:BL35"/>
    <mergeCell ref="BM35:BP35"/>
    <mergeCell ref="BQ35:BS35"/>
    <mergeCell ref="BT35:BW35"/>
    <mergeCell ref="BX35:BZ35"/>
    <mergeCell ref="CA35:CD35"/>
    <mergeCell ref="CE35:CG35"/>
    <mergeCell ref="CH35:CK35"/>
    <mergeCell ref="CL35:CN35"/>
    <mergeCell ref="AG36:AH36"/>
    <mergeCell ref="AI36:AV36"/>
    <mergeCell ref="AW36:AY36"/>
    <mergeCell ref="BC36:BE36"/>
    <mergeCell ref="BF36:BH36"/>
    <mergeCell ref="BI36:BL36"/>
    <mergeCell ref="BM36:BP36"/>
    <mergeCell ref="BQ36:BS36"/>
    <mergeCell ref="BT36:BW36"/>
    <mergeCell ref="BX36:BZ36"/>
    <mergeCell ref="CA36:CD36"/>
    <mergeCell ref="CE36:CG36"/>
    <mergeCell ref="CH36:CK36"/>
    <mergeCell ref="CL36:CN36"/>
    <mergeCell ref="AG37:AH37"/>
    <mergeCell ref="AI37:AV37"/>
    <mergeCell ref="AW37:AY37"/>
    <mergeCell ref="BC37:BE37"/>
    <mergeCell ref="BF37:BH37"/>
    <mergeCell ref="BI37:BL37"/>
    <mergeCell ref="BM37:BP37"/>
    <mergeCell ref="BQ37:BS37"/>
    <mergeCell ref="BT37:BW37"/>
    <mergeCell ref="BX37:BZ37"/>
    <mergeCell ref="CA37:CD37"/>
    <mergeCell ref="CE37:CG37"/>
    <mergeCell ref="CH37:CK37"/>
    <mergeCell ref="CL37:CN37"/>
    <mergeCell ref="AG38:AH38"/>
    <mergeCell ref="AI38:AV38"/>
    <mergeCell ref="AW38:AY38"/>
    <mergeCell ref="BC38:BE38"/>
    <mergeCell ref="BF38:BH38"/>
    <mergeCell ref="BI38:BL38"/>
    <mergeCell ref="BM38:BP38"/>
    <mergeCell ref="BQ38:BS38"/>
    <mergeCell ref="BT38:BW38"/>
    <mergeCell ref="BX38:BZ38"/>
    <mergeCell ref="CA38:CD38"/>
    <mergeCell ref="CE38:CG38"/>
    <mergeCell ref="CH38:CK38"/>
    <mergeCell ref="CL38:CN38"/>
    <mergeCell ref="AG39:AH39"/>
    <mergeCell ref="AI39:AV39"/>
    <mergeCell ref="AW39:AY39"/>
    <mergeCell ref="BC39:BE39"/>
    <mergeCell ref="BF39:BH39"/>
    <mergeCell ref="BI39:BL39"/>
    <mergeCell ref="BM39:BP39"/>
    <mergeCell ref="BQ39:BS39"/>
    <mergeCell ref="BT39:BW39"/>
    <mergeCell ref="BX39:BZ39"/>
    <mergeCell ref="CA39:CD39"/>
    <mergeCell ref="CE39:CG39"/>
    <mergeCell ref="CH39:CK39"/>
    <mergeCell ref="CL39:CN39"/>
    <mergeCell ref="AG40:AH40"/>
    <mergeCell ref="AI40:AV40"/>
    <mergeCell ref="AW40:AY40"/>
    <mergeCell ref="BC40:BE40"/>
    <mergeCell ref="BF40:BH40"/>
    <mergeCell ref="BI40:BL40"/>
    <mergeCell ref="BM40:BP40"/>
    <mergeCell ref="BQ40:BS40"/>
    <mergeCell ref="BT40:BW40"/>
    <mergeCell ref="BX40:BZ40"/>
    <mergeCell ref="CA40:CD40"/>
    <mergeCell ref="CE40:CG40"/>
    <mergeCell ref="CH40:CK40"/>
    <mergeCell ref="CL40:CN40"/>
    <mergeCell ref="AG41:AH41"/>
    <mergeCell ref="AI41:AV41"/>
    <mergeCell ref="AW41:AY41"/>
    <mergeCell ref="BC41:BE41"/>
    <mergeCell ref="BF41:BH41"/>
    <mergeCell ref="BI41:BL41"/>
    <mergeCell ref="BM41:BP41"/>
    <mergeCell ref="BQ41:BS41"/>
    <mergeCell ref="BT41:BW41"/>
    <mergeCell ref="BX41:BZ41"/>
    <mergeCell ref="CA41:CD41"/>
    <mergeCell ref="CE41:CG41"/>
    <mergeCell ref="CH41:CK41"/>
    <mergeCell ref="CL41:CN41"/>
    <mergeCell ref="AG42:AH42"/>
    <mergeCell ref="AI42:AV42"/>
    <mergeCell ref="AW42:AY42"/>
    <mergeCell ref="BC42:BE42"/>
    <mergeCell ref="BF42:BH42"/>
    <mergeCell ref="BI42:BL42"/>
    <mergeCell ref="BM42:BP42"/>
    <mergeCell ref="BQ42:BS42"/>
    <mergeCell ref="BT42:BW42"/>
    <mergeCell ref="BX42:BZ42"/>
    <mergeCell ref="CA42:CD42"/>
    <mergeCell ref="CE42:CG42"/>
    <mergeCell ref="CH42:CK42"/>
    <mergeCell ref="CL42:CN42"/>
    <mergeCell ref="AG43:AH43"/>
    <mergeCell ref="AI43:AV43"/>
    <mergeCell ref="AW43:AY43"/>
    <mergeCell ref="BC43:BE43"/>
    <mergeCell ref="BF43:BH43"/>
    <mergeCell ref="BI43:BL43"/>
    <mergeCell ref="BM43:BP43"/>
    <mergeCell ref="BQ43:BS43"/>
    <mergeCell ref="BT43:BW43"/>
    <mergeCell ref="BX43:BZ43"/>
    <mergeCell ref="CA43:CD43"/>
    <mergeCell ref="CE43:CG43"/>
    <mergeCell ref="CH43:CK43"/>
    <mergeCell ref="CL43:CN43"/>
    <mergeCell ref="AG44:AH44"/>
    <mergeCell ref="AI44:AV44"/>
    <mergeCell ref="AW44:AY44"/>
    <mergeCell ref="BC44:BE44"/>
    <mergeCell ref="BF44:BH44"/>
    <mergeCell ref="BI44:BL44"/>
    <mergeCell ref="BM44:BP44"/>
    <mergeCell ref="BQ44:BS44"/>
    <mergeCell ref="BT44:BW44"/>
    <mergeCell ref="BX44:BZ44"/>
    <mergeCell ref="CA44:CD44"/>
    <mergeCell ref="CE44:CG44"/>
    <mergeCell ref="CH44:CK44"/>
    <mergeCell ref="CL44:CN44"/>
    <mergeCell ref="AG45:AH45"/>
    <mergeCell ref="AI45:AV45"/>
    <mergeCell ref="AW45:AY45"/>
    <mergeCell ref="BC45:BE45"/>
    <mergeCell ref="BF45:BH45"/>
    <mergeCell ref="BI45:BL45"/>
    <mergeCell ref="BM45:BP45"/>
    <mergeCell ref="BQ45:BS45"/>
    <mergeCell ref="BT45:BW45"/>
    <mergeCell ref="BX45:BZ45"/>
    <mergeCell ref="CA45:CD45"/>
    <mergeCell ref="CE45:CG45"/>
    <mergeCell ref="CH45:CK45"/>
    <mergeCell ref="CL45:CN45"/>
    <mergeCell ref="AG46:AH46"/>
    <mergeCell ref="AI46:AV46"/>
    <mergeCell ref="AW46:AY46"/>
    <mergeCell ref="BC46:BE46"/>
    <mergeCell ref="BF46:BH46"/>
    <mergeCell ref="BI46:BL46"/>
    <mergeCell ref="BM46:BP46"/>
    <mergeCell ref="BQ46:BS46"/>
    <mergeCell ref="BT46:BW46"/>
    <mergeCell ref="BX46:BZ46"/>
    <mergeCell ref="CA46:CD46"/>
    <mergeCell ref="CE46:CG46"/>
    <mergeCell ref="CH46:CK46"/>
    <mergeCell ref="CL46:CN46"/>
    <mergeCell ref="AG47:AH47"/>
    <mergeCell ref="AI47:AV47"/>
    <mergeCell ref="AW47:AY47"/>
    <mergeCell ref="BC47:BE47"/>
    <mergeCell ref="BF47:BH47"/>
    <mergeCell ref="BI47:BL47"/>
    <mergeCell ref="BM47:BP47"/>
    <mergeCell ref="BQ47:BS47"/>
    <mergeCell ref="BT47:BW47"/>
    <mergeCell ref="BX47:BZ47"/>
    <mergeCell ref="CA47:CD47"/>
    <mergeCell ref="CE47:CG47"/>
    <mergeCell ref="CH47:CK47"/>
    <mergeCell ref="CL47:CN47"/>
    <mergeCell ref="AG48:AH48"/>
    <mergeCell ref="AI48:AV48"/>
    <mergeCell ref="AW48:AY48"/>
    <mergeCell ref="BC48:BE48"/>
    <mergeCell ref="BF48:BH48"/>
    <mergeCell ref="BI48:BL48"/>
    <mergeCell ref="BM48:BP48"/>
    <mergeCell ref="BQ48:BS48"/>
    <mergeCell ref="BT48:BW48"/>
    <mergeCell ref="BX48:BZ48"/>
    <mergeCell ref="CA48:CD48"/>
    <mergeCell ref="CE48:CG48"/>
    <mergeCell ref="CH48:CK48"/>
    <mergeCell ref="CL48:CN48"/>
    <mergeCell ref="AG49:AH49"/>
    <mergeCell ref="AI49:AV49"/>
    <mergeCell ref="AW49:AY49"/>
    <mergeCell ref="BC49:BE49"/>
    <mergeCell ref="BF49:BH49"/>
    <mergeCell ref="BI49:BL49"/>
    <mergeCell ref="BM49:BP49"/>
    <mergeCell ref="BQ49:BS49"/>
    <mergeCell ref="BT49:BW49"/>
    <mergeCell ref="BX49:BZ49"/>
    <mergeCell ref="CA49:CD49"/>
    <mergeCell ref="CE49:CG49"/>
    <mergeCell ref="CH49:CK49"/>
    <mergeCell ref="CL49:CN49"/>
    <mergeCell ref="AG50:AH50"/>
    <mergeCell ref="AI50:AV50"/>
    <mergeCell ref="AW50:AY50"/>
    <mergeCell ref="BC50:BE50"/>
    <mergeCell ref="BF50:BH50"/>
    <mergeCell ref="BI50:BL50"/>
    <mergeCell ref="BM50:BP50"/>
    <mergeCell ref="BQ50:BS50"/>
    <mergeCell ref="BT50:BW50"/>
    <mergeCell ref="BX50:BZ50"/>
    <mergeCell ref="CA50:CD50"/>
    <mergeCell ref="CE50:CG50"/>
    <mergeCell ref="CH50:CK50"/>
    <mergeCell ref="CL50:CN50"/>
    <mergeCell ref="AG51:AH51"/>
    <mergeCell ref="AI51:AV51"/>
    <mergeCell ref="AW51:AY51"/>
    <mergeCell ref="BC51:BE51"/>
    <mergeCell ref="BF51:BH51"/>
    <mergeCell ref="BI51:BL51"/>
    <mergeCell ref="BM51:BP51"/>
    <mergeCell ref="BQ51:BS51"/>
    <mergeCell ref="BT51:BW51"/>
    <mergeCell ref="BX51:BZ51"/>
    <mergeCell ref="CA51:CD51"/>
    <mergeCell ref="CE51:CG51"/>
    <mergeCell ref="CH51:CK51"/>
    <mergeCell ref="CL51:CN51"/>
    <mergeCell ref="AG52:AH52"/>
    <mergeCell ref="AI52:AV52"/>
    <mergeCell ref="AW52:AY52"/>
    <mergeCell ref="BC52:BE52"/>
    <mergeCell ref="BF52:BH52"/>
    <mergeCell ref="BI52:BL52"/>
    <mergeCell ref="BM52:BP52"/>
    <mergeCell ref="BQ52:BS52"/>
    <mergeCell ref="BT52:BW52"/>
    <mergeCell ref="BX52:BZ52"/>
    <mergeCell ref="CA52:CD52"/>
    <mergeCell ref="CE52:CG52"/>
    <mergeCell ref="CH52:CK52"/>
    <mergeCell ref="CL52:CN52"/>
    <mergeCell ref="AG53:AH53"/>
    <mergeCell ref="AI53:AV53"/>
    <mergeCell ref="AW53:AY53"/>
    <mergeCell ref="BC53:BE53"/>
    <mergeCell ref="BF53:BH53"/>
    <mergeCell ref="BI53:BL53"/>
    <mergeCell ref="BM53:BP53"/>
    <mergeCell ref="BQ53:BS53"/>
    <mergeCell ref="BT53:BW53"/>
    <mergeCell ref="BX53:BZ53"/>
    <mergeCell ref="CA53:CD53"/>
    <mergeCell ref="CE53:CG53"/>
    <mergeCell ref="CH53:CK53"/>
    <mergeCell ref="CL53:CN53"/>
    <mergeCell ref="AG54:AH54"/>
    <mergeCell ref="AI54:AV54"/>
    <mergeCell ref="AW54:AY54"/>
    <mergeCell ref="BC54:BE54"/>
    <mergeCell ref="BF54:BH54"/>
    <mergeCell ref="BI54:BL54"/>
    <mergeCell ref="BM54:BP54"/>
    <mergeCell ref="BQ54:BS54"/>
    <mergeCell ref="BT54:BW54"/>
    <mergeCell ref="BX54:BZ54"/>
    <mergeCell ref="CA54:CD54"/>
    <mergeCell ref="CE54:CG54"/>
    <mergeCell ref="CH54:CK54"/>
    <mergeCell ref="CL54:CN54"/>
    <mergeCell ref="AG55:AH55"/>
    <mergeCell ref="AI55:AV55"/>
    <mergeCell ref="AW55:AY55"/>
    <mergeCell ref="BC55:BE55"/>
    <mergeCell ref="BF55:BH55"/>
    <mergeCell ref="BI55:BL55"/>
    <mergeCell ref="BM55:BP55"/>
    <mergeCell ref="BQ55:BS55"/>
    <mergeCell ref="BT55:BW55"/>
    <mergeCell ref="BX55:BZ55"/>
    <mergeCell ref="CA55:CD55"/>
    <mergeCell ref="CE55:CG55"/>
    <mergeCell ref="CH55:CK55"/>
    <mergeCell ref="CL55:CN55"/>
    <mergeCell ref="AG56:AH56"/>
    <mergeCell ref="AI56:AV56"/>
    <mergeCell ref="AW56:AY56"/>
    <mergeCell ref="BC56:BE56"/>
    <mergeCell ref="BF56:BH56"/>
    <mergeCell ref="BI56:BL56"/>
    <mergeCell ref="BM56:BP56"/>
    <mergeCell ref="BQ56:BS56"/>
    <mergeCell ref="BT56:BW56"/>
    <mergeCell ref="BX56:BZ56"/>
    <mergeCell ref="CA56:CD56"/>
    <mergeCell ref="CE56:CG56"/>
    <mergeCell ref="CH56:CK56"/>
    <mergeCell ref="CL56:CN56"/>
    <mergeCell ref="AG57:AH57"/>
    <mergeCell ref="AI57:AV57"/>
    <mergeCell ref="AW57:AY57"/>
    <mergeCell ref="BC57:BE57"/>
    <mergeCell ref="BF57:BH57"/>
    <mergeCell ref="BI57:BL57"/>
    <mergeCell ref="BM57:BP57"/>
    <mergeCell ref="BQ57:BS57"/>
    <mergeCell ref="BT57:BW57"/>
    <mergeCell ref="BX57:BZ57"/>
    <mergeCell ref="CA57:CD57"/>
    <mergeCell ref="CE57:CG57"/>
    <mergeCell ref="CH57:CK57"/>
    <mergeCell ref="CL57:CN57"/>
    <mergeCell ref="AG58:AH58"/>
    <mergeCell ref="AI58:AV58"/>
    <mergeCell ref="AW58:AY58"/>
    <mergeCell ref="BC58:BE58"/>
    <mergeCell ref="BF58:BH58"/>
    <mergeCell ref="BI58:BL58"/>
    <mergeCell ref="BM58:BP58"/>
    <mergeCell ref="BQ58:BS58"/>
    <mergeCell ref="BT58:BW58"/>
    <mergeCell ref="BX58:BZ58"/>
    <mergeCell ref="CA58:CD58"/>
    <mergeCell ref="CE58:CG58"/>
    <mergeCell ref="CH58:CK58"/>
    <mergeCell ref="CL58:CN58"/>
    <mergeCell ref="AG59:AH59"/>
    <mergeCell ref="AI59:AV59"/>
    <mergeCell ref="AW59:AY59"/>
    <mergeCell ref="BC59:BE59"/>
    <mergeCell ref="BF59:BH59"/>
    <mergeCell ref="BI59:BL59"/>
    <mergeCell ref="BM59:BP59"/>
    <mergeCell ref="BQ59:BS59"/>
    <mergeCell ref="BT59:BW59"/>
    <mergeCell ref="BX59:BZ59"/>
    <mergeCell ref="CA59:CD59"/>
    <mergeCell ref="CE59:CG59"/>
    <mergeCell ref="CH59:CK59"/>
    <mergeCell ref="CL59:CN59"/>
    <mergeCell ref="AG60:AH60"/>
    <mergeCell ref="AI60:AV60"/>
    <mergeCell ref="AW60:AY60"/>
    <mergeCell ref="BC60:BE60"/>
    <mergeCell ref="BF60:BH60"/>
    <mergeCell ref="BI60:BL60"/>
    <mergeCell ref="BM60:BP60"/>
    <mergeCell ref="BQ60:BS60"/>
    <mergeCell ref="BT60:BW60"/>
    <mergeCell ref="BX60:BZ60"/>
    <mergeCell ref="CA60:CD60"/>
    <mergeCell ref="CE60:CG60"/>
    <mergeCell ref="CH60:CK60"/>
    <mergeCell ref="CL60:CN60"/>
    <mergeCell ref="AG61:AH61"/>
    <mergeCell ref="AI61:AV61"/>
    <mergeCell ref="AW61:AY61"/>
    <mergeCell ref="BC61:BE61"/>
    <mergeCell ref="BF61:BH61"/>
    <mergeCell ref="BI61:BL61"/>
    <mergeCell ref="BM61:BP61"/>
    <mergeCell ref="BQ61:BS61"/>
    <mergeCell ref="BT61:BW61"/>
    <mergeCell ref="BX61:BZ61"/>
    <mergeCell ref="CA61:CD61"/>
    <mergeCell ref="CE61:CG61"/>
    <mergeCell ref="CH61:CK61"/>
    <mergeCell ref="CL61:CN61"/>
    <mergeCell ref="AG62:AH62"/>
    <mergeCell ref="AI62:AV62"/>
    <mergeCell ref="AW62:AY62"/>
    <mergeCell ref="BC62:BE62"/>
    <mergeCell ref="BF62:BH62"/>
    <mergeCell ref="BI62:BL62"/>
    <mergeCell ref="BM62:BP62"/>
    <mergeCell ref="BQ62:BS62"/>
    <mergeCell ref="BT62:BW62"/>
    <mergeCell ref="BX62:BZ62"/>
    <mergeCell ref="CA62:CD62"/>
    <mergeCell ref="CE62:CG62"/>
    <mergeCell ref="CH62:CK62"/>
    <mergeCell ref="CL62:CN62"/>
    <mergeCell ref="AG63:AH63"/>
    <mergeCell ref="AI63:AV63"/>
    <mergeCell ref="AW63:AY63"/>
    <mergeCell ref="BC63:BE63"/>
    <mergeCell ref="BF63:BH63"/>
    <mergeCell ref="BI63:BL63"/>
    <mergeCell ref="BM63:BP63"/>
    <mergeCell ref="BQ63:BS63"/>
    <mergeCell ref="BT63:BW63"/>
    <mergeCell ref="BX63:BZ63"/>
    <mergeCell ref="CA63:CD63"/>
    <mergeCell ref="CE63:CG63"/>
    <mergeCell ref="CH63:CK63"/>
    <mergeCell ref="CL63:CN63"/>
    <mergeCell ref="AG64:AH64"/>
    <mergeCell ref="AI64:AV64"/>
    <mergeCell ref="AW64:AY64"/>
    <mergeCell ref="BC64:BE64"/>
    <mergeCell ref="BF64:BH64"/>
    <mergeCell ref="BI64:BL64"/>
    <mergeCell ref="BM64:BP64"/>
    <mergeCell ref="BQ64:BS64"/>
    <mergeCell ref="BT64:BW64"/>
    <mergeCell ref="BX64:BZ64"/>
    <mergeCell ref="CA64:CD64"/>
    <mergeCell ref="CE64:CG64"/>
    <mergeCell ref="CH64:CK64"/>
    <mergeCell ref="CL64:CN64"/>
    <mergeCell ref="AG65:AH65"/>
    <mergeCell ref="AI65:AV65"/>
    <mergeCell ref="AW65:AY65"/>
    <mergeCell ref="BC65:BE65"/>
    <mergeCell ref="BF65:BH65"/>
    <mergeCell ref="BI65:BL65"/>
    <mergeCell ref="BM65:BP65"/>
    <mergeCell ref="BQ65:BS65"/>
    <mergeCell ref="BT65:BW65"/>
    <mergeCell ref="BX65:BZ65"/>
    <mergeCell ref="CA65:CD65"/>
    <mergeCell ref="CE65:CG65"/>
    <mergeCell ref="CH65:CK65"/>
    <mergeCell ref="CL65:CN65"/>
    <mergeCell ref="AG66:AH66"/>
    <mergeCell ref="AI66:AV66"/>
    <mergeCell ref="AW66:AY66"/>
    <mergeCell ref="BC66:BE66"/>
    <mergeCell ref="BF66:BH66"/>
    <mergeCell ref="BI66:BL66"/>
    <mergeCell ref="BM66:BP66"/>
    <mergeCell ref="BQ66:BS66"/>
    <mergeCell ref="BT66:BW66"/>
    <mergeCell ref="BX66:BZ66"/>
    <mergeCell ref="CA66:CD66"/>
    <mergeCell ref="CE66:CG66"/>
    <mergeCell ref="CH66:CK66"/>
    <mergeCell ref="CL66:CN66"/>
    <mergeCell ref="AG67:AH67"/>
    <mergeCell ref="AI67:AV67"/>
    <mergeCell ref="AW67:AY67"/>
    <mergeCell ref="BC67:BE67"/>
    <mergeCell ref="BF67:BH67"/>
    <mergeCell ref="BI67:BL67"/>
    <mergeCell ref="BM67:BP67"/>
    <mergeCell ref="BQ67:BS67"/>
    <mergeCell ref="BT67:BW67"/>
    <mergeCell ref="BX67:BZ67"/>
    <mergeCell ref="CA67:CD67"/>
    <mergeCell ref="CE67:CG67"/>
    <mergeCell ref="CH67:CK67"/>
    <mergeCell ref="CL67:CN67"/>
    <mergeCell ref="AG68:AH68"/>
    <mergeCell ref="AI68:AV68"/>
    <mergeCell ref="AW68:AY68"/>
    <mergeCell ref="BC68:BE68"/>
    <mergeCell ref="BF68:BH68"/>
    <mergeCell ref="BI68:BL68"/>
    <mergeCell ref="BM68:BP68"/>
    <mergeCell ref="BQ68:BS68"/>
    <mergeCell ref="BT68:BW68"/>
    <mergeCell ref="BX68:BZ68"/>
    <mergeCell ref="CA68:CD68"/>
    <mergeCell ref="CE68:CG68"/>
    <mergeCell ref="CH68:CK68"/>
    <mergeCell ref="CL68:CN68"/>
    <mergeCell ref="AG69:AH69"/>
    <mergeCell ref="AI69:AV69"/>
    <mergeCell ref="AW69:AY69"/>
    <mergeCell ref="BC69:BE69"/>
    <mergeCell ref="BF69:BH69"/>
    <mergeCell ref="BI69:BL69"/>
    <mergeCell ref="BM69:BP69"/>
    <mergeCell ref="BQ69:BS69"/>
    <mergeCell ref="BT69:BW69"/>
    <mergeCell ref="BX69:BZ69"/>
    <mergeCell ref="CA69:CD69"/>
    <mergeCell ref="CE69:CG69"/>
    <mergeCell ref="CH69:CK69"/>
    <mergeCell ref="CL69:CN69"/>
    <mergeCell ref="AG70:AH70"/>
    <mergeCell ref="AI70:AV70"/>
    <mergeCell ref="AW70:AY70"/>
    <mergeCell ref="BC70:BE70"/>
    <mergeCell ref="BF70:BH70"/>
    <mergeCell ref="BI70:BL70"/>
    <mergeCell ref="BM70:BP70"/>
    <mergeCell ref="BQ70:BS70"/>
    <mergeCell ref="BT70:BW70"/>
    <mergeCell ref="BX70:BZ70"/>
    <mergeCell ref="CA70:CD70"/>
    <mergeCell ref="CE70:CG70"/>
    <mergeCell ref="CH70:CK70"/>
    <mergeCell ref="CL70:CN70"/>
    <mergeCell ref="AG71:AH71"/>
    <mergeCell ref="AI71:AV71"/>
    <mergeCell ref="AW71:AY71"/>
    <mergeCell ref="BC71:BE71"/>
    <mergeCell ref="BF71:BH71"/>
    <mergeCell ref="BI71:BL71"/>
    <mergeCell ref="BM71:BP71"/>
    <mergeCell ref="BQ71:BS71"/>
    <mergeCell ref="BT71:BW71"/>
    <mergeCell ref="BX71:BZ71"/>
    <mergeCell ref="CA71:CD71"/>
    <mergeCell ref="CE71:CG71"/>
    <mergeCell ref="CH71:CK71"/>
    <mergeCell ref="CL71:CN71"/>
    <mergeCell ref="AG72:AH72"/>
    <mergeCell ref="AI72:AV72"/>
    <mergeCell ref="AW72:AY72"/>
    <mergeCell ref="BC72:BE72"/>
    <mergeCell ref="BF72:BH72"/>
    <mergeCell ref="BI72:BL72"/>
    <mergeCell ref="BM72:BP72"/>
    <mergeCell ref="BQ72:BS72"/>
    <mergeCell ref="BT72:BW72"/>
    <mergeCell ref="BX72:BZ72"/>
    <mergeCell ref="CA72:CD72"/>
    <mergeCell ref="CE72:CG72"/>
    <mergeCell ref="CH72:CK72"/>
    <mergeCell ref="CL72:CN72"/>
    <mergeCell ref="AG73:AH73"/>
    <mergeCell ref="AI73:AV73"/>
    <mergeCell ref="AW73:AY73"/>
    <mergeCell ref="BC73:BE73"/>
    <mergeCell ref="BF73:BH73"/>
    <mergeCell ref="BI73:BL73"/>
    <mergeCell ref="BM73:BP73"/>
    <mergeCell ref="BQ73:BS73"/>
    <mergeCell ref="BT73:BW73"/>
    <mergeCell ref="BX73:BZ73"/>
    <mergeCell ref="CA73:CD73"/>
    <mergeCell ref="CE73:CG73"/>
    <mergeCell ref="CH73:CK73"/>
    <mergeCell ref="CL73:CN73"/>
    <mergeCell ref="AG74:AH74"/>
    <mergeCell ref="AI74:AV74"/>
    <mergeCell ref="AW74:AY74"/>
    <mergeCell ref="BC74:BE74"/>
    <mergeCell ref="BF74:BH74"/>
    <mergeCell ref="BI74:BL74"/>
    <mergeCell ref="BM74:BP74"/>
    <mergeCell ref="BQ74:BS74"/>
    <mergeCell ref="BT74:BW74"/>
    <mergeCell ref="BX74:BZ74"/>
    <mergeCell ref="CA74:CD74"/>
    <mergeCell ref="CE74:CG74"/>
    <mergeCell ref="CH74:CK74"/>
    <mergeCell ref="CL74:CN74"/>
    <mergeCell ref="AG75:AH75"/>
    <mergeCell ref="AI75:AV75"/>
    <mergeCell ref="AW75:AY75"/>
    <mergeCell ref="BC75:BE75"/>
    <mergeCell ref="BF75:BH75"/>
    <mergeCell ref="BI75:BL75"/>
    <mergeCell ref="BM75:BP75"/>
    <mergeCell ref="BQ75:BS75"/>
    <mergeCell ref="BT75:BW75"/>
    <mergeCell ref="BX75:BZ75"/>
    <mergeCell ref="CA75:CD75"/>
    <mergeCell ref="CE75:CG75"/>
    <mergeCell ref="CH75:CK75"/>
    <mergeCell ref="CL75:CN75"/>
    <mergeCell ref="AG76:AH76"/>
    <mergeCell ref="AI76:AV76"/>
    <mergeCell ref="AW76:AY76"/>
    <mergeCell ref="BC76:BE76"/>
    <mergeCell ref="BF76:BH76"/>
    <mergeCell ref="BI76:BL76"/>
    <mergeCell ref="BM76:BP76"/>
    <mergeCell ref="BQ76:BS76"/>
    <mergeCell ref="BT76:BW76"/>
    <mergeCell ref="BX76:BZ76"/>
    <mergeCell ref="CA76:CD76"/>
    <mergeCell ref="CE76:CG76"/>
    <mergeCell ref="CH76:CK76"/>
    <mergeCell ref="CL76:CN76"/>
    <mergeCell ref="AG77:AH77"/>
    <mergeCell ref="AI77:AV77"/>
    <mergeCell ref="AW77:AY77"/>
    <mergeCell ref="BC77:BE77"/>
    <mergeCell ref="BF77:BH77"/>
    <mergeCell ref="BI77:BL77"/>
    <mergeCell ref="BM77:BP77"/>
    <mergeCell ref="BQ77:BS77"/>
    <mergeCell ref="BT77:BW77"/>
    <mergeCell ref="BX77:BZ77"/>
    <mergeCell ref="CA77:CD77"/>
    <mergeCell ref="CE77:CG77"/>
    <mergeCell ref="CH77:CK77"/>
    <mergeCell ref="CL77:CN77"/>
    <mergeCell ref="AG78:AH78"/>
    <mergeCell ref="AI78:AV78"/>
    <mergeCell ref="AW78:AY78"/>
    <mergeCell ref="BC78:BE78"/>
    <mergeCell ref="BF78:BH78"/>
    <mergeCell ref="BI78:BL78"/>
    <mergeCell ref="BM78:BP78"/>
    <mergeCell ref="BQ78:BS78"/>
    <mergeCell ref="BT78:BW78"/>
    <mergeCell ref="BX78:BZ78"/>
    <mergeCell ref="CA78:CD78"/>
    <mergeCell ref="CE78:CG78"/>
    <mergeCell ref="CH78:CK78"/>
    <mergeCell ref="CL78:CN78"/>
    <mergeCell ref="AG79:AH79"/>
    <mergeCell ref="AI79:AV79"/>
    <mergeCell ref="AW79:AY79"/>
    <mergeCell ref="BC79:BE79"/>
    <mergeCell ref="BF79:BH79"/>
    <mergeCell ref="BI79:BL79"/>
    <mergeCell ref="BM79:BP79"/>
    <mergeCell ref="BQ79:BS79"/>
    <mergeCell ref="BT79:BW79"/>
    <mergeCell ref="BX79:BZ79"/>
    <mergeCell ref="CA79:CD79"/>
    <mergeCell ref="CE79:CG79"/>
    <mergeCell ref="CH79:CK79"/>
    <mergeCell ref="CL79:CN79"/>
    <mergeCell ref="AG80:AH80"/>
    <mergeCell ref="AI80:AV80"/>
    <mergeCell ref="AW80:AY80"/>
    <mergeCell ref="BC80:BE80"/>
    <mergeCell ref="BF80:BH80"/>
    <mergeCell ref="BI80:BL80"/>
    <mergeCell ref="BM80:BP80"/>
    <mergeCell ref="BQ80:BS80"/>
    <mergeCell ref="BT80:BW80"/>
    <mergeCell ref="BX80:BZ80"/>
    <mergeCell ref="CA80:CD80"/>
    <mergeCell ref="CE80:CG80"/>
    <mergeCell ref="CH80:CK80"/>
    <mergeCell ref="CL80:CN80"/>
    <mergeCell ref="AG81:AH81"/>
    <mergeCell ref="AI81:AV81"/>
    <mergeCell ref="AW81:AY81"/>
    <mergeCell ref="BC81:BE81"/>
    <mergeCell ref="BF81:BH81"/>
    <mergeCell ref="BI81:BL81"/>
    <mergeCell ref="BM81:BP81"/>
    <mergeCell ref="BQ81:BS81"/>
    <mergeCell ref="BT81:BW81"/>
    <mergeCell ref="BX81:BZ81"/>
    <mergeCell ref="CA81:CD81"/>
    <mergeCell ref="CE81:CG81"/>
    <mergeCell ref="CH81:CK81"/>
    <mergeCell ref="CL81:CN81"/>
    <mergeCell ref="AG82:AH82"/>
    <mergeCell ref="AI82:AV82"/>
    <mergeCell ref="AW82:AY82"/>
    <mergeCell ref="BC82:BE82"/>
    <mergeCell ref="BF82:BH82"/>
    <mergeCell ref="BI82:BL82"/>
    <mergeCell ref="BM82:BP82"/>
    <mergeCell ref="BQ82:BS82"/>
    <mergeCell ref="BT82:BW82"/>
    <mergeCell ref="BX82:BZ82"/>
    <mergeCell ref="CA82:CD82"/>
    <mergeCell ref="CE82:CG82"/>
    <mergeCell ref="CH82:CK82"/>
    <mergeCell ref="CL82:CN82"/>
    <mergeCell ref="AG83:AH83"/>
    <mergeCell ref="AI83:AV83"/>
    <mergeCell ref="AW83:AY83"/>
    <mergeCell ref="BC83:BE83"/>
    <mergeCell ref="BF83:BH83"/>
    <mergeCell ref="BI83:BL83"/>
    <mergeCell ref="BM83:BP83"/>
    <mergeCell ref="BQ83:BS83"/>
    <mergeCell ref="BT83:BW83"/>
    <mergeCell ref="BX83:BZ83"/>
    <mergeCell ref="CA83:CD83"/>
    <mergeCell ref="CE83:CG83"/>
    <mergeCell ref="CH83:CK83"/>
    <mergeCell ref="CL83:CN83"/>
    <mergeCell ref="AG84:AH84"/>
    <mergeCell ref="AI84:AV84"/>
    <mergeCell ref="AW84:AY84"/>
    <mergeCell ref="BC84:BE84"/>
    <mergeCell ref="BF84:BH84"/>
    <mergeCell ref="BI84:BL84"/>
    <mergeCell ref="BM84:BP84"/>
    <mergeCell ref="BQ84:BS84"/>
    <mergeCell ref="BT84:BW84"/>
    <mergeCell ref="BX84:BZ84"/>
    <mergeCell ref="CA84:CD84"/>
    <mergeCell ref="CE84:CG84"/>
    <mergeCell ref="CH84:CK84"/>
    <mergeCell ref="CL84:CN84"/>
    <mergeCell ref="AG85:AH85"/>
    <mergeCell ref="AI85:AV85"/>
    <mergeCell ref="AW85:AY85"/>
    <mergeCell ref="BC85:BE85"/>
    <mergeCell ref="BF85:BH85"/>
    <mergeCell ref="BI85:BL85"/>
    <mergeCell ref="BM85:BP85"/>
    <mergeCell ref="BQ85:BS85"/>
    <mergeCell ref="BT85:BW85"/>
    <mergeCell ref="BX85:BZ85"/>
    <mergeCell ref="CA85:CD85"/>
    <mergeCell ref="CE85:CG85"/>
    <mergeCell ref="CH85:CK85"/>
    <mergeCell ref="CL85:CN85"/>
    <mergeCell ref="AG86:AH86"/>
    <mergeCell ref="AI86:AV86"/>
    <mergeCell ref="AW86:AY86"/>
    <mergeCell ref="BC86:BE86"/>
    <mergeCell ref="BF86:BH86"/>
    <mergeCell ref="BI86:BL86"/>
    <mergeCell ref="BM86:BP86"/>
    <mergeCell ref="BQ86:BS86"/>
    <mergeCell ref="BT86:BW86"/>
    <mergeCell ref="BX86:BZ86"/>
    <mergeCell ref="CA86:CD86"/>
    <mergeCell ref="CE86:CG86"/>
    <mergeCell ref="CH86:CK86"/>
    <mergeCell ref="CL86:CN86"/>
    <mergeCell ref="AG87:AH87"/>
    <mergeCell ref="AI87:AV87"/>
    <mergeCell ref="AW87:AY87"/>
    <mergeCell ref="BC87:BE87"/>
    <mergeCell ref="BF87:BH87"/>
    <mergeCell ref="BI87:BL87"/>
    <mergeCell ref="BM87:BP87"/>
    <mergeCell ref="BQ87:BS87"/>
    <mergeCell ref="BT87:BW87"/>
    <mergeCell ref="BX87:BZ87"/>
    <mergeCell ref="CA87:CD87"/>
    <mergeCell ref="CE87:CG87"/>
    <mergeCell ref="CH87:CK87"/>
    <mergeCell ref="CL87:CN87"/>
    <mergeCell ref="AG88:AH88"/>
    <mergeCell ref="AI88:AV88"/>
    <mergeCell ref="AW88:AY88"/>
    <mergeCell ref="BC88:BE88"/>
    <mergeCell ref="BF88:BH88"/>
    <mergeCell ref="BI88:BL88"/>
    <mergeCell ref="BM88:BP88"/>
    <mergeCell ref="BQ88:BS88"/>
    <mergeCell ref="BT88:BW88"/>
    <mergeCell ref="BX88:BZ88"/>
    <mergeCell ref="CA88:CD88"/>
    <mergeCell ref="CE88:CG88"/>
    <mergeCell ref="CH88:CK88"/>
    <mergeCell ref="CL88:CN88"/>
    <mergeCell ref="AG89:AH89"/>
    <mergeCell ref="AI89:AV89"/>
    <mergeCell ref="AW89:AY89"/>
    <mergeCell ref="BC89:BE89"/>
    <mergeCell ref="BF89:BH89"/>
    <mergeCell ref="BI89:BL89"/>
    <mergeCell ref="BM89:BP89"/>
    <mergeCell ref="BQ89:BS89"/>
    <mergeCell ref="BT89:BW89"/>
    <mergeCell ref="BX89:BZ89"/>
    <mergeCell ref="CA89:CD89"/>
    <mergeCell ref="CE89:CG89"/>
    <mergeCell ref="CH89:CK89"/>
    <mergeCell ref="CL89:CN89"/>
    <mergeCell ref="AG90:AH90"/>
    <mergeCell ref="AI90:AV90"/>
    <mergeCell ref="AW90:AY90"/>
    <mergeCell ref="BC90:BE90"/>
    <mergeCell ref="BF90:BH90"/>
    <mergeCell ref="BI90:BL90"/>
    <mergeCell ref="BM90:BP90"/>
    <mergeCell ref="BQ90:BS90"/>
    <mergeCell ref="BT90:BW90"/>
    <mergeCell ref="BX90:BZ90"/>
    <mergeCell ref="CA90:CD90"/>
    <mergeCell ref="CE90:CG90"/>
    <mergeCell ref="CH90:CK90"/>
    <mergeCell ref="CL90:CN90"/>
    <mergeCell ref="AG91:AH91"/>
    <mergeCell ref="AI91:AV91"/>
    <mergeCell ref="AW91:AY91"/>
    <mergeCell ref="BC91:BE91"/>
    <mergeCell ref="BF91:BH91"/>
    <mergeCell ref="BI91:BL91"/>
    <mergeCell ref="BM91:BP91"/>
    <mergeCell ref="BQ91:BS91"/>
    <mergeCell ref="BT91:BW91"/>
    <mergeCell ref="BX91:BZ91"/>
    <mergeCell ref="CA91:CD91"/>
    <mergeCell ref="CE91:CG91"/>
    <mergeCell ref="CH91:CK91"/>
    <mergeCell ref="CL91:CN91"/>
    <mergeCell ref="AG92:AH92"/>
    <mergeCell ref="AI92:AV92"/>
    <mergeCell ref="AW92:AY92"/>
    <mergeCell ref="BC92:BE92"/>
    <mergeCell ref="BF92:BH92"/>
    <mergeCell ref="BI92:BL92"/>
    <mergeCell ref="BM92:BP92"/>
    <mergeCell ref="BQ92:BS92"/>
    <mergeCell ref="BT92:BW92"/>
    <mergeCell ref="BX92:BZ92"/>
    <mergeCell ref="CA92:CD92"/>
    <mergeCell ref="CE92:CG92"/>
    <mergeCell ref="CH92:CK92"/>
    <mergeCell ref="CL92:CN92"/>
    <mergeCell ref="AG93:AH93"/>
    <mergeCell ref="AI93:AV93"/>
    <mergeCell ref="AW93:AY93"/>
    <mergeCell ref="BC93:BE93"/>
    <mergeCell ref="BF93:BH93"/>
    <mergeCell ref="BI93:BL93"/>
    <mergeCell ref="BM93:BP93"/>
    <mergeCell ref="BQ93:BS93"/>
    <mergeCell ref="BT93:BW93"/>
    <mergeCell ref="BX93:BZ93"/>
    <mergeCell ref="CA93:CD93"/>
    <mergeCell ref="CE93:CG93"/>
    <mergeCell ref="CH93:CK93"/>
    <mergeCell ref="CL93:CN93"/>
    <mergeCell ref="AG94:AH94"/>
    <mergeCell ref="AI94:AV94"/>
    <mergeCell ref="AW94:AY94"/>
    <mergeCell ref="BC94:BE94"/>
    <mergeCell ref="BF94:BH94"/>
    <mergeCell ref="BI94:BL94"/>
    <mergeCell ref="BM94:BP94"/>
    <mergeCell ref="BQ94:BS94"/>
    <mergeCell ref="BT94:BW94"/>
    <mergeCell ref="BX94:BZ94"/>
    <mergeCell ref="CA94:CD94"/>
    <mergeCell ref="CE94:CG94"/>
    <mergeCell ref="CH94:CK94"/>
    <mergeCell ref="CL94:CN94"/>
    <mergeCell ref="AG95:AH95"/>
    <mergeCell ref="AI95:AV95"/>
    <mergeCell ref="AW95:AY95"/>
    <mergeCell ref="BC95:BE95"/>
    <mergeCell ref="BF95:BH95"/>
    <mergeCell ref="BI95:BL95"/>
    <mergeCell ref="BM95:BP95"/>
    <mergeCell ref="BQ95:BS95"/>
    <mergeCell ref="BT95:BW95"/>
    <mergeCell ref="BX95:BZ95"/>
    <mergeCell ref="CA95:CD95"/>
    <mergeCell ref="CE95:CG95"/>
    <mergeCell ref="CH95:CK95"/>
    <mergeCell ref="CL95:CN95"/>
    <mergeCell ref="AG96:AH96"/>
    <mergeCell ref="AI96:AV96"/>
    <mergeCell ref="AW96:AY96"/>
    <mergeCell ref="BC96:BE96"/>
    <mergeCell ref="BF96:BH96"/>
    <mergeCell ref="BI96:BL96"/>
    <mergeCell ref="BM96:BP96"/>
    <mergeCell ref="BQ96:BS96"/>
    <mergeCell ref="BT96:BW96"/>
    <mergeCell ref="BX96:BZ96"/>
    <mergeCell ref="CA96:CD96"/>
    <mergeCell ref="CE96:CG96"/>
    <mergeCell ref="CH96:CK96"/>
    <mergeCell ref="CL96:CN96"/>
    <mergeCell ref="AG97:AH97"/>
    <mergeCell ref="AI97:AV97"/>
    <mergeCell ref="AW97:AY97"/>
    <mergeCell ref="BC97:BE97"/>
    <mergeCell ref="BF97:BH97"/>
    <mergeCell ref="BI97:BL97"/>
    <mergeCell ref="BM97:BP97"/>
    <mergeCell ref="BQ97:BS97"/>
    <mergeCell ref="BT97:BW97"/>
    <mergeCell ref="BX97:BZ97"/>
    <mergeCell ref="CA97:CD97"/>
    <mergeCell ref="CE97:CG97"/>
    <mergeCell ref="CH97:CK97"/>
    <mergeCell ref="CL97:CN97"/>
    <mergeCell ref="AG98:AH98"/>
    <mergeCell ref="AI98:AV98"/>
    <mergeCell ref="AW98:AY98"/>
    <mergeCell ref="BC98:BE98"/>
    <mergeCell ref="BF98:BH98"/>
    <mergeCell ref="BI98:BL98"/>
    <mergeCell ref="BM98:BP98"/>
    <mergeCell ref="BQ98:BS98"/>
    <mergeCell ref="BT98:BW98"/>
    <mergeCell ref="BX98:BZ98"/>
    <mergeCell ref="CA98:CD98"/>
    <mergeCell ref="CE98:CG98"/>
    <mergeCell ref="CH98:CK98"/>
    <mergeCell ref="CL98:CN98"/>
    <mergeCell ref="AG99:AH99"/>
    <mergeCell ref="AI99:AV99"/>
    <mergeCell ref="AW99:AY99"/>
    <mergeCell ref="BC99:BE99"/>
    <mergeCell ref="BF99:BH99"/>
    <mergeCell ref="BI99:BL99"/>
    <mergeCell ref="BM99:BP99"/>
    <mergeCell ref="BQ99:BS99"/>
    <mergeCell ref="BT99:BW99"/>
    <mergeCell ref="BX99:BZ99"/>
    <mergeCell ref="CA99:CD99"/>
    <mergeCell ref="CE99:CG99"/>
    <mergeCell ref="CH99:CK99"/>
    <mergeCell ref="CL99:CN99"/>
    <mergeCell ref="AG100:AH100"/>
    <mergeCell ref="AI100:AV100"/>
    <mergeCell ref="AW100:AY100"/>
    <mergeCell ref="BC100:BE100"/>
    <mergeCell ref="BF100:BH100"/>
    <mergeCell ref="BI100:BL100"/>
    <mergeCell ref="BM100:BP100"/>
    <mergeCell ref="BQ100:BS100"/>
    <mergeCell ref="BT100:BW100"/>
    <mergeCell ref="BX100:BZ100"/>
    <mergeCell ref="CA100:CD100"/>
    <mergeCell ref="CE100:CG100"/>
    <mergeCell ref="CH100:CK100"/>
    <mergeCell ref="CL100:CN100"/>
    <mergeCell ref="AG101:AH101"/>
    <mergeCell ref="AI101:AV101"/>
    <mergeCell ref="AW101:AY101"/>
    <mergeCell ref="BC101:BE101"/>
    <mergeCell ref="BF101:BH101"/>
    <mergeCell ref="BI101:BL101"/>
    <mergeCell ref="BM101:BP101"/>
    <mergeCell ref="BQ101:BS101"/>
    <mergeCell ref="BT101:BW101"/>
    <mergeCell ref="BX101:BZ101"/>
    <mergeCell ref="CA101:CD101"/>
    <mergeCell ref="CE101:CG101"/>
    <mergeCell ref="CH101:CK101"/>
    <mergeCell ref="CL101:CN101"/>
    <mergeCell ref="AG102:AH102"/>
    <mergeCell ref="AI102:AV102"/>
    <mergeCell ref="AW102:AY102"/>
    <mergeCell ref="BC102:BE102"/>
    <mergeCell ref="BF102:BH102"/>
    <mergeCell ref="BI102:BL102"/>
    <mergeCell ref="BM102:BP102"/>
    <mergeCell ref="BQ102:BS102"/>
    <mergeCell ref="BT102:BW102"/>
    <mergeCell ref="BX102:BZ102"/>
    <mergeCell ref="CA102:CD102"/>
    <mergeCell ref="CE102:CG102"/>
    <mergeCell ref="CH102:CK102"/>
    <mergeCell ref="CL102:CN102"/>
    <mergeCell ref="AG103:AH103"/>
    <mergeCell ref="AI103:AV103"/>
    <mergeCell ref="AW103:AY103"/>
    <mergeCell ref="BC103:BE103"/>
    <mergeCell ref="BF103:BH103"/>
    <mergeCell ref="BI103:BL103"/>
    <mergeCell ref="BM103:BP103"/>
    <mergeCell ref="BQ103:BS103"/>
    <mergeCell ref="BT103:BW103"/>
    <mergeCell ref="BX103:BZ103"/>
    <mergeCell ref="CA103:CD103"/>
    <mergeCell ref="CE103:CG103"/>
    <mergeCell ref="CH103:CK103"/>
    <mergeCell ref="CL103:CN103"/>
    <mergeCell ref="AG104:AH104"/>
    <mergeCell ref="AI104:AV104"/>
    <mergeCell ref="AW104:AY104"/>
    <mergeCell ref="BC104:BE104"/>
    <mergeCell ref="BF104:BH104"/>
    <mergeCell ref="BI104:BL104"/>
    <mergeCell ref="BM104:BP104"/>
    <mergeCell ref="BQ104:BS104"/>
    <mergeCell ref="BT104:BW104"/>
    <mergeCell ref="BX104:BZ104"/>
    <mergeCell ref="CA104:CD104"/>
    <mergeCell ref="CE104:CG104"/>
    <mergeCell ref="CH104:CK104"/>
    <mergeCell ref="CL104:CN104"/>
    <mergeCell ref="AG105:AH105"/>
    <mergeCell ref="AI105:AV105"/>
    <mergeCell ref="AW105:AY105"/>
    <mergeCell ref="BC105:BE105"/>
    <mergeCell ref="BF105:BH105"/>
    <mergeCell ref="BI105:BL105"/>
    <mergeCell ref="BM105:BP105"/>
    <mergeCell ref="BQ105:BS105"/>
    <mergeCell ref="BT105:BW105"/>
    <mergeCell ref="BX105:BZ105"/>
    <mergeCell ref="CA105:CD105"/>
    <mergeCell ref="CE105:CG105"/>
    <mergeCell ref="CH105:CK105"/>
    <mergeCell ref="CL105:CN105"/>
    <mergeCell ref="AG106:AH106"/>
    <mergeCell ref="AI106:AV106"/>
    <mergeCell ref="AW106:AY106"/>
    <mergeCell ref="BC106:BE106"/>
    <mergeCell ref="BF106:BH106"/>
    <mergeCell ref="BI106:BL106"/>
    <mergeCell ref="BM106:BP106"/>
    <mergeCell ref="BQ106:BS106"/>
    <mergeCell ref="BT106:BW106"/>
    <mergeCell ref="BX106:BZ106"/>
    <mergeCell ref="CA106:CD106"/>
    <mergeCell ref="CE106:CG106"/>
    <mergeCell ref="CH106:CK106"/>
    <mergeCell ref="CL106:CN106"/>
    <mergeCell ref="AG107:AH107"/>
    <mergeCell ref="AI107:AV107"/>
    <mergeCell ref="AW107:AY107"/>
    <mergeCell ref="BC107:BE107"/>
    <mergeCell ref="BF107:BH107"/>
    <mergeCell ref="BI107:BL107"/>
    <mergeCell ref="BM107:BP107"/>
    <mergeCell ref="BQ107:BS107"/>
    <mergeCell ref="BT107:BW107"/>
    <mergeCell ref="BX107:BZ107"/>
    <mergeCell ref="CA107:CD107"/>
    <mergeCell ref="CE107:CG107"/>
    <mergeCell ref="CH107:CK107"/>
    <mergeCell ref="CL107:CN107"/>
    <mergeCell ref="AG108:AH108"/>
    <mergeCell ref="AI108:AV108"/>
    <mergeCell ref="AW108:AY108"/>
    <mergeCell ref="BC108:BE108"/>
    <mergeCell ref="BF108:BH108"/>
    <mergeCell ref="BI108:BL108"/>
    <mergeCell ref="BM108:BP108"/>
    <mergeCell ref="BQ108:BS108"/>
    <mergeCell ref="BT108:BW108"/>
    <mergeCell ref="BX108:BZ108"/>
    <mergeCell ref="CA108:CD108"/>
    <mergeCell ref="CE108:CG108"/>
    <mergeCell ref="CH108:CK108"/>
    <mergeCell ref="CL108:CN108"/>
    <mergeCell ref="AG109:AH109"/>
    <mergeCell ref="AI109:AV109"/>
    <mergeCell ref="AW109:AY109"/>
    <mergeCell ref="BC109:BE109"/>
    <mergeCell ref="BF109:BH109"/>
    <mergeCell ref="BI109:BL109"/>
    <mergeCell ref="BM109:BP109"/>
    <mergeCell ref="BQ109:BS109"/>
    <mergeCell ref="BT109:BW109"/>
    <mergeCell ref="BX109:BZ109"/>
    <mergeCell ref="CA109:CD109"/>
    <mergeCell ref="CE109:CG109"/>
    <mergeCell ref="CH109:CK109"/>
    <mergeCell ref="CL109:CN109"/>
    <mergeCell ref="AG110:AH110"/>
    <mergeCell ref="AI110:AV110"/>
    <mergeCell ref="AW110:AY110"/>
    <mergeCell ref="BC110:BE110"/>
    <mergeCell ref="BF110:BH110"/>
    <mergeCell ref="BI110:BL110"/>
    <mergeCell ref="BM110:BP110"/>
    <mergeCell ref="BQ110:BS110"/>
    <mergeCell ref="BT110:BW110"/>
    <mergeCell ref="BX110:BZ110"/>
    <mergeCell ref="CA110:CD110"/>
    <mergeCell ref="CE110:CG110"/>
    <mergeCell ref="CH110:CK110"/>
    <mergeCell ref="CL110:CN110"/>
    <mergeCell ref="AG111:AH111"/>
    <mergeCell ref="AI111:AV111"/>
    <mergeCell ref="AW111:AY111"/>
    <mergeCell ref="BC111:BE111"/>
    <mergeCell ref="BF111:BH111"/>
    <mergeCell ref="BI111:BL111"/>
    <mergeCell ref="BM111:BP111"/>
    <mergeCell ref="BQ111:BS111"/>
    <mergeCell ref="BT111:BW111"/>
    <mergeCell ref="BX111:BZ111"/>
    <mergeCell ref="CA111:CD111"/>
    <mergeCell ref="CE111:CG111"/>
    <mergeCell ref="CH111:CK111"/>
    <mergeCell ref="CL111:CN111"/>
    <mergeCell ref="AG112:AH112"/>
    <mergeCell ref="AI112:AV112"/>
    <mergeCell ref="AW112:AY112"/>
    <mergeCell ref="BC112:BE112"/>
    <mergeCell ref="BF112:BH112"/>
    <mergeCell ref="BI112:BL112"/>
    <mergeCell ref="BM112:BP112"/>
    <mergeCell ref="BQ112:BS112"/>
    <mergeCell ref="BT112:BW112"/>
    <mergeCell ref="BX112:BZ112"/>
    <mergeCell ref="CA112:CD112"/>
    <mergeCell ref="CE112:CG112"/>
    <mergeCell ref="CH112:CK112"/>
    <mergeCell ref="CL112:CN112"/>
    <mergeCell ref="AG113:AH113"/>
    <mergeCell ref="AI113:AV113"/>
    <mergeCell ref="AW113:AY113"/>
    <mergeCell ref="BC113:BE113"/>
    <mergeCell ref="BF113:BH113"/>
    <mergeCell ref="BI113:BL113"/>
    <mergeCell ref="BM113:BP113"/>
    <mergeCell ref="BQ113:BS113"/>
    <mergeCell ref="BT113:BW113"/>
    <mergeCell ref="BX113:BZ113"/>
    <mergeCell ref="CA113:CD113"/>
    <mergeCell ref="CE113:CG113"/>
    <mergeCell ref="CH113:CK113"/>
    <mergeCell ref="CL113:CN113"/>
    <mergeCell ref="AG114:AH114"/>
    <mergeCell ref="AI114:AV114"/>
    <mergeCell ref="AW114:AY114"/>
    <mergeCell ref="BC114:BE114"/>
    <mergeCell ref="BF114:BH114"/>
    <mergeCell ref="BI114:BL114"/>
    <mergeCell ref="BM114:BP114"/>
    <mergeCell ref="BQ114:BS114"/>
    <mergeCell ref="BT114:BW114"/>
    <mergeCell ref="BX114:BZ114"/>
    <mergeCell ref="CA114:CD114"/>
    <mergeCell ref="CE114:CG114"/>
    <mergeCell ref="CH114:CK114"/>
    <mergeCell ref="CL114:CN114"/>
    <mergeCell ref="AG115:AH115"/>
    <mergeCell ref="AI115:AV115"/>
    <mergeCell ref="AW115:AY115"/>
    <mergeCell ref="BC115:BE115"/>
    <mergeCell ref="BF115:BH115"/>
    <mergeCell ref="BI115:BL115"/>
    <mergeCell ref="BM115:BP115"/>
    <mergeCell ref="BQ115:BS115"/>
    <mergeCell ref="BT115:BW115"/>
    <mergeCell ref="BX115:BZ115"/>
    <mergeCell ref="CA115:CD115"/>
    <mergeCell ref="CE115:CG115"/>
    <mergeCell ref="CH115:CK115"/>
    <mergeCell ref="CL115:CN115"/>
    <mergeCell ref="AG116:AH116"/>
    <mergeCell ref="AI116:AV116"/>
    <mergeCell ref="AW116:AY116"/>
    <mergeCell ref="BC116:BE116"/>
    <mergeCell ref="BF116:BH116"/>
    <mergeCell ref="BI116:BL116"/>
    <mergeCell ref="BM116:BP116"/>
    <mergeCell ref="BQ116:BS116"/>
    <mergeCell ref="BT116:BW116"/>
    <mergeCell ref="BX116:BZ116"/>
    <mergeCell ref="CA116:CD116"/>
    <mergeCell ref="CE116:CG116"/>
    <mergeCell ref="CH116:CK116"/>
    <mergeCell ref="CL116:CN116"/>
    <mergeCell ref="AG117:AH117"/>
    <mergeCell ref="AI117:AV117"/>
    <mergeCell ref="AW117:AY117"/>
    <mergeCell ref="BC117:BE117"/>
    <mergeCell ref="BF117:BH117"/>
    <mergeCell ref="BI117:BL117"/>
    <mergeCell ref="BM117:BP117"/>
    <mergeCell ref="BQ117:BS117"/>
    <mergeCell ref="BT117:BW117"/>
    <mergeCell ref="BX117:BZ117"/>
    <mergeCell ref="CA117:CD117"/>
    <mergeCell ref="CE117:CG117"/>
    <mergeCell ref="CH117:CK117"/>
    <mergeCell ref="CL117:CN117"/>
    <mergeCell ref="AG118:AH118"/>
    <mergeCell ref="AI118:AV118"/>
    <mergeCell ref="AW118:AY118"/>
    <mergeCell ref="BC118:BE118"/>
    <mergeCell ref="BF118:BH118"/>
    <mergeCell ref="BI118:BL118"/>
    <mergeCell ref="BM118:BP118"/>
    <mergeCell ref="BQ118:BS118"/>
    <mergeCell ref="BT118:BW118"/>
    <mergeCell ref="BX118:BZ118"/>
    <mergeCell ref="CA118:CD118"/>
    <mergeCell ref="CE118:CG118"/>
    <mergeCell ref="CH118:CK118"/>
    <mergeCell ref="CL118:CN118"/>
    <mergeCell ref="AG119:AH119"/>
    <mergeCell ref="AI119:AV119"/>
    <mergeCell ref="AW119:AY119"/>
    <mergeCell ref="BC119:BE119"/>
    <mergeCell ref="BF119:BH119"/>
    <mergeCell ref="BI119:BL119"/>
    <mergeCell ref="BM119:BP119"/>
    <mergeCell ref="BQ119:BS119"/>
    <mergeCell ref="BT119:BW119"/>
    <mergeCell ref="BX119:BZ119"/>
    <mergeCell ref="CA119:CD119"/>
    <mergeCell ref="CE119:CG119"/>
    <mergeCell ref="CH119:CK119"/>
    <mergeCell ref="CL119:CN119"/>
    <mergeCell ref="AG120:AH120"/>
    <mergeCell ref="AI120:AV120"/>
    <mergeCell ref="AW120:AY120"/>
    <mergeCell ref="BC120:BE120"/>
    <mergeCell ref="BF120:BH120"/>
    <mergeCell ref="BI120:BL120"/>
    <mergeCell ref="BM120:BP120"/>
    <mergeCell ref="BQ120:BS120"/>
    <mergeCell ref="BT120:BW120"/>
    <mergeCell ref="BX120:BZ120"/>
    <mergeCell ref="CA120:CD120"/>
    <mergeCell ref="CE120:CG120"/>
    <mergeCell ref="CH120:CK120"/>
    <mergeCell ref="CL120:CN120"/>
    <mergeCell ref="AG121:AH121"/>
    <mergeCell ref="AI121:AV121"/>
    <mergeCell ref="AW121:AY121"/>
    <mergeCell ref="BC121:BE121"/>
    <mergeCell ref="BF121:BH121"/>
    <mergeCell ref="BI121:BL121"/>
    <mergeCell ref="BM121:BP121"/>
    <mergeCell ref="BQ121:BS121"/>
    <mergeCell ref="BT121:BW121"/>
    <mergeCell ref="BX121:BZ121"/>
    <mergeCell ref="CA121:CD121"/>
    <mergeCell ref="CE121:CG121"/>
    <mergeCell ref="CH121:CK121"/>
    <mergeCell ref="CL121:CN121"/>
    <mergeCell ref="AG122:AH122"/>
    <mergeCell ref="AI122:AV122"/>
    <mergeCell ref="AW122:AY122"/>
    <mergeCell ref="BC122:BE122"/>
    <mergeCell ref="BF122:BH122"/>
    <mergeCell ref="BI122:BL122"/>
    <mergeCell ref="BM122:BP122"/>
    <mergeCell ref="BQ122:BS122"/>
    <mergeCell ref="BT122:BW122"/>
    <mergeCell ref="BX122:BZ122"/>
    <mergeCell ref="CA122:CD122"/>
    <mergeCell ref="CE122:CG122"/>
    <mergeCell ref="CH122:CK122"/>
    <mergeCell ref="CL122:CN122"/>
    <mergeCell ref="AG123:AH123"/>
    <mergeCell ref="AI123:AV123"/>
    <mergeCell ref="AW123:AY123"/>
    <mergeCell ref="BC123:BE123"/>
    <mergeCell ref="BF123:BH123"/>
    <mergeCell ref="BI123:BL123"/>
    <mergeCell ref="BM123:BP123"/>
    <mergeCell ref="BQ123:BS123"/>
    <mergeCell ref="BT123:BW123"/>
    <mergeCell ref="BX123:BZ123"/>
    <mergeCell ref="CA123:CD123"/>
    <mergeCell ref="CE123:CG123"/>
    <mergeCell ref="CH123:CK123"/>
    <mergeCell ref="CL123:CN123"/>
    <mergeCell ref="AG124:AH124"/>
    <mergeCell ref="AI124:AV124"/>
    <mergeCell ref="AW124:AY124"/>
    <mergeCell ref="BC124:BE124"/>
    <mergeCell ref="BF124:BH124"/>
    <mergeCell ref="BI124:BL124"/>
    <mergeCell ref="BM124:BP124"/>
    <mergeCell ref="BQ124:BS124"/>
    <mergeCell ref="BT124:BW124"/>
    <mergeCell ref="BX124:BZ124"/>
    <mergeCell ref="CA124:CD124"/>
    <mergeCell ref="CE124:CG124"/>
    <mergeCell ref="CH124:CK124"/>
    <mergeCell ref="CL124:CN124"/>
    <mergeCell ref="AG125:AH125"/>
    <mergeCell ref="AI125:AV125"/>
    <mergeCell ref="AW125:AY125"/>
    <mergeCell ref="BC125:BE125"/>
    <mergeCell ref="BF125:BH125"/>
    <mergeCell ref="BI125:BL125"/>
    <mergeCell ref="BM125:BP125"/>
    <mergeCell ref="BQ125:BS125"/>
    <mergeCell ref="BT125:BW125"/>
    <mergeCell ref="BX125:BZ125"/>
    <mergeCell ref="CA125:CD125"/>
    <mergeCell ref="CE125:CG125"/>
    <mergeCell ref="CH125:CK125"/>
    <mergeCell ref="CL125:CN125"/>
    <mergeCell ref="AG126:AH126"/>
    <mergeCell ref="AI126:AV126"/>
    <mergeCell ref="AW126:AY126"/>
    <mergeCell ref="BC126:BE126"/>
    <mergeCell ref="BF126:BH126"/>
    <mergeCell ref="BI126:BL126"/>
    <mergeCell ref="BM126:BP126"/>
    <mergeCell ref="BQ126:BS126"/>
    <mergeCell ref="BT126:BW126"/>
    <mergeCell ref="BX126:BZ126"/>
    <mergeCell ref="CA126:CD126"/>
    <mergeCell ref="CE126:CG126"/>
    <mergeCell ref="CH126:CK126"/>
    <mergeCell ref="CL126:CN126"/>
    <mergeCell ref="AG127:AH127"/>
    <mergeCell ref="AI127:AV127"/>
    <mergeCell ref="AW127:AY127"/>
    <mergeCell ref="BC127:BE127"/>
    <mergeCell ref="BF127:BH127"/>
    <mergeCell ref="BI127:BL127"/>
    <mergeCell ref="BM127:BP127"/>
    <mergeCell ref="BQ127:BS127"/>
    <mergeCell ref="BT127:BW127"/>
    <mergeCell ref="BX127:BZ127"/>
    <mergeCell ref="CA127:CD127"/>
    <mergeCell ref="CE127:CG127"/>
    <mergeCell ref="CH127:CK127"/>
    <mergeCell ref="CL127:CN127"/>
    <mergeCell ref="AG128:AH128"/>
    <mergeCell ref="AI128:AV128"/>
    <mergeCell ref="AW128:AY128"/>
    <mergeCell ref="BC128:BE128"/>
    <mergeCell ref="BF128:BH128"/>
    <mergeCell ref="BI128:BL128"/>
    <mergeCell ref="BM128:BP128"/>
    <mergeCell ref="BQ128:BS128"/>
    <mergeCell ref="BT128:BW128"/>
    <mergeCell ref="BX128:BZ128"/>
    <mergeCell ref="CA128:CD128"/>
    <mergeCell ref="CE128:CG128"/>
    <mergeCell ref="CH128:CK128"/>
    <mergeCell ref="CL128:CN128"/>
    <mergeCell ref="AG129:AH129"/>
    <mergeCell ref="AI129:AV129"/>
    <mergeCell ref="AW129:AY129"/>
    <mergeCell ref="BC129:BE129"/>
    <mergeCell ref="BF129:BH129"/>
    <mergeCell ref="BI129:BL129"/>
    <mergeCell ref="BM129:BP129"/>
    <mergeCell ref="BQ129:BS129"/>
    <mergeCell ref="BT129:BW129"/>
    <mergeCell ref="BX129:BZ129"/>
    <mergeCell ref="CA129:CD129"/>
    <mergeCell ref="CE129:CG129"/>
    <mergeCell ref="CH129:CK129"/>
    <mergeCell ref="CL129:CN129"/>
    <mergeCell ref="AG130:AH130"/>
    <mergeCell ref="AI130:AV130"/>
    <mergeCell ref="AW130:AY130"/>
    <mergeCell ref="BC130:BE130"/>
    <mergeCell ref="BF130:BH130"/>
    <mergeCell ref="BI130:BL130"/>
    <mergeCell ref="BM130:BP130"/>
    <mergeCell ref="BQ130:BS130"/>
    <mergeCell ref="BT130:BW130"/>
    <mergeCell ref="BX130:BZ130"/>
    <mergeCell ref="CA130:CD130"/>
    <mergeCell ref="CE130:CG130"/>
    <mergeCell ref="CH130:CK130"/>
    <mergeCell ref="CL130:CN130"/>
    <mergeCell ref="AG131:AH131"/>
    <mergeCell ref="AI131:AV131"/>
    <mergeCell ref="AW131:AY131"/>
    <mergeCell ref="BC131:BE131"/>
    <mergeCell ref="BF131:BH131"/>
    <mergeCell ref="BI131:BL131"/>
    <mergeCell ref="BM131:BP131"/>
    <mergeCell ref="BQ131:BS131"/>
    <mergeCell ref="BT131:BW131"/>
    <mergeCell ref="BX131:BZ131"/>
    <mergeCell ref="CA131:CD131"/>
    <mergeCell ref="CE131:CG131"/>
    <mergeCell ref="CH131:CK131"/>
    <mergeCell ref="CL131:CN131"/>
    <mergeCell ref="AG132:AH132"/>
    <mergeCell ref="AI132:AV132"/>
    <mergeCell ref="AW132:AY132"/>
    <mergeCell ref="BC132:BE132"/>
    <mergeCell ref="BF132:BH132"/>
    <mergeCell ref="BI132:BL132"/>
    <mergeCell ref="BM132:BP132"/>
    <mergeCell ref="BQ132:BS132"/>
    <mergeCell ref="BT132:BW132"/>
    <mergeCell ref="BX132:BZ132"/>
    <mergeCell ref="CA132:CD132"/>
    <mergeCell ref="CE132:CG132"/>
    <mergeCell ref="CH132:CK132"/>
    <mergeCell ref="CL132:CN132"/>
    <mergeCell ref="AG133:AH133"/>
    <mergeCell ref="AI133:AV133"/>
    <mergeCell ref="AW133:AY133"/>
    <mergeCell ref="BC133:BE133"/>
    <mergeCell ref="BF133:BH133"/>
    <mergeCell ref="BI133:BL133"/>
    <mergeCell ref="BM133:BP133"/>
    <mergeCell ref="BQ133:BS133"/>
    <mergeCell ref="BT133:BW133"/>
    <mergeCell ref="BX133:BZ133"/>
    <mergeCell ref="CA133:CD133"/>
    <mergeCell ref="CE133:CG133"/>
    <mergeCell ref="CH133:CK133"/>
    <mergeCell ref="CL133:CN133"/>
    <mergeCell ref="AG134:AH134"/>
    <mergeCell ref="AI134:AV134"/>
    <mergeCell ref="AW134:AY134"/>
    <mergeCell ref="BC134:BE134"/>
    <mergeCell ref="BF134:BH134"/>
    <mergeCell ref="BI134:BL134"/>
    <mergeCell ref="BM134:BP134"/>
    <mergeCell ref="BQ134:BS134"/>
    <mergeCell ref="BT134:BW134"/>
    <mergeCell ref="BX134:BZ134"/>
    <mergeCell ref="CA134:CD134"/>
    <mergeCell ref="CE134:CG134"/>
    <mergeCell ref="CH134:CK134"/>
    <mergeCell ref="CL134:CN134"/>
    <mergeCell ref="AG135:AH135"/>
    <mergeCell ref="AI135:AV135"/>
    <mergeCell ref="AW135:AY135"/>
    <mergeCell ref="BC135:BE135"/>
    <mergeCell ref="BF135:BH135"/>
    <mergeCell ref="BI135:BL135"/>
    <mergeCell ref="BM135:BP135"/>
    <mergeCell ref="BQ135:BS135"/>
    <mergeCell ref="BT135:BW135"/>
    <mergeCell ref="BX135:BZ135"/>
    <mergeCell ref="CA135:CD135"/>
    <mergeCell ref="CE135:CG135"/>
    <mergeCell ref="CH135:CK135"/>
    <mergeCell ref="CL135:CN135"/>
    <mergeCell ref="AG136:AH136"/>
    <mergeCell ref="AI136:AV136"/>
    <mergeCell ref="AW136:AY136"/>
    <mergeCell ref="BC136:BE136"/>
    <mergeCell ref="BF136:BH136"/>
    <mergeCell ref="BI136:BL136"/>
    <mergeCell ref="BM136:BP136"/>
    <mergeCell ref="BQ136:BS136"/>
    <mergeCell ref="BT136:BW136"/>
    <mergeCell ref="BX136:BZ136"/>
    <mergeCell ref="CA136:CD136"/>
    <mergeCell ref="CE136:CG136"/>
    <mergeCell ref="CH136:CK136"/>
    <mergeCell ref="CL136:CN136"/>
    <mergeCell ref="AG137:AH137"/>
    <mergeCell ref="AI137:AV137"/>
    <mergeCell ref="AW137:AY137"/>
    <mergeCell ref="BC137:BE137"/>
    <mergeCell ref="BF137:BH137"/>
    <mergeCell ref="BI137:BL137"/>
    <mergeCell ref="BM137:BP137"/>
    <mergeCell ref="BQ137:BS137"/>
    <mergeCell ref="BT137:BW137"/>
    <mergeCell ref="BX137:BZ137"/>
    <mergeCell ref="CA137:CD137"/>
    <mergeCell ref="CE137:CG137"/>
    <mergeCell ref="CH137:CK137"/>
    <mergeCell ref="CL137:CN137"/>
    <mergeCell ref="AG138:AH138"/>
    <mergeCell ref="AI138:AV138"/>
    <mergeCell ref="AW138:AY138"/>
    <mergeCell ref="BC138:BE138"/>
    <mergeCell ref="BF138:BH138"/>
    <mergeCell ref="BI138:BL138"/>
    <mergeCell ref="BM138:BP138"/>
    <mergeCell ref="BQ138:BS138"/>
    <mergeCell ref="BT138:BW138"/>
    <mergeCell ref="BX138:BZ138"/>
    <mergeCell ref="CA138:CD138"/>
    <mergeCell ref="CE138:CG138"/>
    <mergeCell ref="CH138:CK138"/>
    <mergeCell ref="CL138:CN138"/>
    <mergeCell ref="AG139:AH139"/>
    <mergeCell ref="AI139:AV139"/>
    <mergeCell ref="AW139:AY139"/>
    <mergeCell ref="BC139:BE139"/>
    <mergeCell ref="BF139:BH139"/>
    <mergeCell ref="BI139:BL139"/>
    <mergeCell ref="BM139:BP139"/>
    <mergeCell ref="BQ139:BS139"/>
    <mergeCell ref="BT139:BW139"/>
    <mergeCell ref="BX139:BZ139"/>
    <mergeCell ref="CA139:CD139"/>
    <mergeCell ref="CE139:CG139"/>
    <mergeCell ref="CH139:CK139"/>
    <mergeCell ref="CL139:CN139"/>
    <mergeCell ref="AG140:AH140"/>
    <mergeCell ref="AI140:AV140"/>
    <mergeCell ref="AW140:AY140"/>
    <mergeCell ref="BC140:BE140"/>
    <mergeCell ref="BF140:BH140"/>
    <mergeCell ref="BI140:BL140"/>
    <mergeCell ref="BM140:BP140"/>
    <mergeCell ref="BQ140:BS140"/>
    <mergeCell ref="BT140:BW140"/>
    <mergeCell ref="BX140:BZ140"/>
    <mergeCell ref="CA140:CD140"/>
    <mergeCell ref="CE140:CG140"/>
    <mergeCell ref="CH140:CK140"/>
    <mergeCell ref="CL140:CN140"/>
    <mergeCell ref="AG141:AH141"/>
    <mergeCell ref="AI141:AV141"/>
    <mergeCell ref="AW141:AY141"/>
    <mergeCell ref="BC141:BE141"/>
    <mergeCell ref="BF141:BH141"/>
    <mergeCell ref="BI141:BL141"/>
    <mergeCell ref="BM141:BP141"/>
    <mergeCell ref="BQ141:BS141"/>
    <mergeCell ref="BT141:BW141"/>
    <mergeCell ref="BX141:BZ141"/>
    <mergeCell ref="CA141:CD141"/>
    <mergeCell ref="CE141:CG141"/>
    <mergeCell ref="CH141:CK141"/>
    <mergeCell ref="CL141:CN141"/>
    <mergeCell ref="AG142:AH142"/>
    <mergeCell ref="AI142:AV142"/>
    <mergeCell ref="AW142:AY142"/>
    <mergeCell ref="BC142:BE142"/>
    <mergeCell ref="BF142:BH142"/>
    <mergeCell ref="BI142:BL142"/>
    <mergeCell ref="BM142:BP142"/>
    <mergeCell ref="BQ142:BS142"/>
    <mergeCell ref="BT142:BW142"/>
    <mergeCell ref="BX142:BZ142"/>
    <mergeCell ref="CA142:CD142"/>
    <mergeCell ref="CE142:CG142"/>
    <mergeCell ref="CH142:CK142"/>
    <mergeCell ref="CL142:CN142"/>
    <mergeCell ref="AG143:AH143"/>
    <mergeCell ref="AI143:AV143"/>
    <mergeCell ref="AW143:AY143"/>
    <mergeCell ref="BC143:BE143"/>
    <mergeCell ref="BF143:BH143"/>
    <mergeCell ref="BI143:BL143"/>
    <mergeCell ref="BM143:BP143"/>
    <mergeCell ref="BQ143:BS143"/>
    <mergeCell ref="BT143:BW143"/>
    <mergeCell ref="BX143:BZ143"/>
    <mergeCell ref="CA143:CD143"/>
    <mergeCell ref="CE143:CG143"/>
    <mergeCell ref="CH143:CK143"/>
    <mergeCell ref="CL143:CN143"/>
    <mergeCell ref="AG144:AH144"/>
    <mergeCell ref="AI144:AV144"/>
    <mergeCell ref="AW144:AY144"/>
    <mergeCell ref="BC144:BE144"/>
    <mergeCell ref="BF144:BH144"/>
    <mergeCell ref="BI144:BL144"/>
    <mergeCell ref="BM144:BP144"/>
    <mergeCell ref="BQ144:BS144"/>
    <mergeCell ref="BT144:BW144"/>
    <mergeCell ref="BX144:BZ144"/>
    <mergeCell ref="CA144:CD144"/>
    <mergeCell ref="CE144:CG144"/>
    <mergeCell ref="CH144:CK144"/>
    <mergeCell ref="CL144:CN144"/>
    <mergeCell ref="AG145:AH145"/>
    <mergeCell ref="AI145:AV145"/>
    <mergeCell ref="AW145:AY145"/>
    <mergeCell ref="BC145:BE145"/>
    <mergeCell ref="BF145:BH145"/>
    <mergeCell ref="BI145:BL145"/>
    <mergeCell ref="BM145:BP145"/>
    <mergeCell ref="BQ145:BS145"/>
    <mergeCell ref="BT145:BW145"/>
    <mergeCell ref="BX145:BZ145"/>
    <mergeCell ref="CA145:CD145"/>
    <mergeCell ref="CE145:CG145"/>
    <mergeCell ref="CH145:CK145"/>
    <mergeCell ref="CL145:CN145"/>
    <mergeCell ref="AG146:AH146"/>
    <mergeCell ref="AI146:AV146"/>
    <mergeCell ref="AW146:AY146"/>
    <mergeCell ref="BC146:BE146"/>
    <mergeCell ref="BF146:BH146"/>
    <mergeCell ref="BI146:BL146"/>
    <mergeCell ref="BM146:BP146"/>
    <mergeCell ref="BQ146:BS146"/>
    <mergeCell ref="BT146:BW146"/>
    <mergeCell ref="BX146:BZ146"/>
    <mergeCell ref="CA146:CD146"/>
    <mergeCell ref="CE146:CG146"/>
    <mergeCell ref="CH146:CK146"/>
    <mergeCell ref="CL146:CN146"/>
    <mergeCell ref="AG147:AH147"/>
    <mergeCell ref="AI147:AV147"/>
    <mergeCell ref="AW147:AY147"/>
    <mergeCell ref="BC147:BE147"/>
    <mergeCell ref="BF147:BH147"/>
    <mergeCell ref="BI147:BL147"/>
    <mergeCell ref="BM147:BP147"/>
    <mergeCell ref="BQ147:BS147"/>
    <mergeCell ref="BT147:BW147"/>
    <mergeCell ref="BX147:BZ147"/>
    <mergeCell ref="CA147:CD147"/>
    <mergeCell ref="CE147:CG147"/>
    <mergeCell ref="CH147:CK147"/>
    <mergeCell ref="CL147:CN147"/>
    <mergeCell ref="AG148:AH148"/>
    <mergeCell ref="AI148:AV148"/>
    <mergeCell ref="AW148:AY148"/>
    <mergeCell ref="BC148:BE148"/>
    <mergeCell ref="BF148:BH148"/>
    <mergeCell ref="BI148:BL148"/>
    <mergeCell ref="BM148:BP148"/>
    <mergeCell ref="BQ148:BS148"/>
    <mergeCell ref="BT148:BW148"/>
    <mergeCell ref="BX148:BZ148"/>
    <mergeCell ref="CA148:CD148"/>
    <mergeCell ref="CE148:CG148"/>
    <mergeCell ref="CH148:CK148"/>
    <mergeCell ref="CL148:CN148"/>
    <mergeCell ref="AG149:AH149"/>
    <mergeCell ref="AI149:AV149"/>
    <mergeCell ref="AW149:AY149"/>
    <mergeCell ref="BC149:BE149"/>
    <mergeCell ref="BF149:BH149"/>
    <mergeCell ref="BI149:BL149"/>
    <mergeCell ref="BM149:BP149"/>
    <mergeCell ref="BQ149:BS149"/>
    <mergeCell ref="BT149:BW149"/>
    <mergeCell ref="BX149:BZ149"/>
    <mergeCell ref="CA149:CD149"/>
    <mergeCell ref="CE149:CG149"/>
    <mergeCell ref="CH149:CK149"/>
    <mergeCell ref="CL149:CN149"/>
    <mergeCell ref="AG150:AH150"/>
    <mergeCell ref="AI150:AV150"/>
    <mergeCell ref="AW150:AY150"/>
    <mergeCell ref="BC150:BE150"/>
    <mergeCell ref="BF150:BH150"/>
    <mergeCell ref="BI150:BL150"/>
    <mergeCell ref="BM150:BP150"/>
    <mergeCell ref="BQ150:BS150"/>
    <mergeCell ref="BT150:BW150"/>
    <mergeCell ref="BX150:BZ150"/>
    <mergeCell ref="CA150:CD150"/>
    <mergeCell ref="CE150:CG150"/>
    <mergeCell ref="CH150:CK150"/>
    <mergeCell ref="CL150:CN150"/>
    <mergeCell ref="AG151:AH151"/>
    <mergeCell ref="AI151:AV151"/>
    <mergeCell ref="AW151:AY151"/>
    <mergeCell ref="BC151:BE151"/>
    <mergeCell ref="BF151:BH151"/>
    <mergeCell ref="BI151:BL151"/>
    <mergeCell ref="BM151:BP151"/>
    <mergeCell ref="BQ151:BS151"/>
    <mergeCell ref="BT151:BW151"/>
    <mergeCell ref="BX151:BZ151"/>
    <mergeCell ref="CA151:CD151"/>
    <mergeCell ref="CE151:CG151"/>
    <mergeCell ref="CH151:CK151"/>
    <mergeCell ref="CL151:CN151"/>
    <mergeCell ref="AG152:AH152"/>
    <mergeCell ref="AI152:AV152"/>
    <mergeCell ref="AW152:AY152"/>
    <mergeCell ref="BC152:BE152"/>
    <mergeCell ref="BF152:BH152"/>
    <mergeCell ref="BI152:BL152"/>
    <mergeCell ref="BM152:BP152"/>
    <mergeCell ref="BQ152:BS152"/>
    <mergeCell ref="BT152:BW152"/>
    <mergeCell ref="BX152:BZ152"/>
    <mergeCell ref="CA152:CD152"/>
    <mergeCell ref="CE152:CG152"/>
    <mergeCell ref="CH152:CK152"/>
    <mergeCell ref="CL152:CN152"/>
    <mergeCell ref="AG153:AH153"/>
    <mergeCell ref="AI153:AV153"/>
    <mergeCell ref="AW153:AY153"/>
    <mergeCell ref="BC153:BE153"/>
    <mergeCell ref="BF153:BH153"/>
    <mergeCell ref="BI153:BL153"/>
    <mergeCell ref="BM153:BP153"/>
    <mergeCell ref="BQ153:BS153"/>
    <mergeCell ref="BT153:BW153"/>
    <mergeCell ref="BX153:BZ153"/>
    <mergeCell ref="CA153:CD153"/>
    <mergeCell ref="CE153:CG153"/>
    <mergeCell ref="CH153:CK153"/>
    <mergeCell ref="CL153:CN153"/>
    <mergeCell ref="AG154:AH154"/>
    <mergeCell ref="AI154:AV154"/>
    <mergeCell ref="AW154:AY154"/>
    <mergeCell ref="BC154:BE154"/>
    <mergeCell ref="BF154:BH154"/>
    <mergeCell ref="BI154:BL154"/>
    <mergeCell ref="BM154:BP154"/>
    <mergeCell ref="BQ154:BS154"/>
    <mergeCell ref="BT154:BW154"/>
    <mergeCell ref="BX154:BZ154"/>
    <mergeCell ref="CA154:CD154"/>
    <mergeCell ref="CE154:CG154"/>
    <mergeCell ref="CH154:CK154"/>
    <mergeCell ref="CL154:CN154"/>
    <mergeCell ref="AG155:AH155"/>
    <mergeCell ref="AI155:AV155"/>
    <mergeCell ref="AW155:AY155"/>
    <mergeCell ref="BC155:BE155"/>
    <mergeCell ref="BF155:BH155"/>
    <mergeCell ref="BI155:BL155"/>
    <mergeCell ref="BM155:BP155"/>
    <mergeCell ref="BQ155:BS155"/>
    <mergeCell ref="BT155:BW155"/>
    <mergeCell ref="BX155:BZ155"/>
    <mergeCell ref="CA155:CD155"/>
    <mergeCell ref="CE155:CG155"/>
    <mergeCell ref="CH155:CK155"/>
    <mergeCell ref="CL155:CN155"/>
    <mergeCell ref="AG156:AH156"/>
    <mergeCell ref="AI156:AV156"/>
    <mergeCell ref="AW156:AY156"/>
    <mergeCell ref="BC156:BE156"/>
    <mergeCell ref="BF156:BH156"/>
    <mergeCell ref="BI156:BL156"/>
    <mergeCell ref="BM156:BP156"/>
    <mergeCell ref="BQ156:BS156"/>
    <mergeCell ref="BT156:BW156"/>
    <mergeCell ref="BX156:BZ156"/>
    <mergeCell ref="CA156:CD156"/>
    <mergeCell ref="CE156:CG156"/>
    <mergeCell ref="CH156:CK156"/>
    <mergeCell ref="CL156:CN156"/>
    <mergeCell ref="AG157:AH157"/>
    <mergeCell ref="AI157:AV157"/>
    <mergeCell ref="AW157:AY157"/>
    <mergeCell ref="BC157:BE157"/>
    <mergeCell ref="BF157:BH157"/>
    <mergeCell ref="BI157:BL157"/>
    <mergeCell ref="BM157:BP157"/>
    <mergeCell ref="BQ157:BS157"/>
    <mergeCell ref="BT157:BW157"/>
    <mergeCell ref="BX157:BZ157"/>
    <mergeCell ref="CA157:CD157"/>
    <mergeCell ref="CE157:CG157"/>
    <mergeCell ref="CH157:CK157"/>
    <mergeCell ref="CL157:CN157"/>
    <mergeCell ref="AG158:AH158"/>
    <mergeCell ref="AI158:AV158"/>
    <mergeCell ref="AW158:AY158"/>
    <mergeCell ref="BC158:BE158"/>
    <mergeCell ref="BF158:BH158"/>
    <mergeCell ref="BI158:BL158"/>
    <mergeCell ref="BM158:BP158"/>
    <mergeCell ref="BQ158:BS158"/>
    <mergeCell ref="BT158:BW158"/>
    <mergeCell ref="BX158:BZ158"/>
    <mergeCell ref="CA158:CD158"/>
    <mergeCell ref="CE158:CG158"/>
    <mergeCell ref="CH158:CK158"/>
    <mergeCell ref="CL158:CN158"/>
    <mergeCell ref="AG159:AH159"/>
    <mergeCell ref="AI159:AV159"/>
    <mergeCell ref="AW159:AY159"/>
    <mergeCell ref="BC159:BE159"/>
    <mergeCell ref="BF159:BH159"/>
    <mergeCell ref="BI159:BL159"/>
    <mergeCell ref="BM159:BP159"/>
    <mergeCell ref="BQ159:BS159"/>
    <mergeCell ref="BT159:BW159"/>
    <mergeCell ref="BX159:BZ159"/>
    <mergeCell ref="CA159:CD159"/>
    <mergeCell ref="CE159:CG159"/>
    <mergeCell ref="CH159:CK159"/>
    <mergeCell ref="CL159:CN159"/>
    <mergeCell ref="AG160:AH160"/>
    <mergeCell ref="AI160:AV160"/>
    <mergeCell ref="AW160:AY160"/>
    <mergeCell ref="BC160:BE160"/>
    <mergeCell ref="BF160:BH160"/>
    <mergeCell ref="BI160:BL160"/>
    <mergeCell ref="BM160:BP160"/>
    <mergeCell ref="BQ160:BS160"/>
    <mergeCell ref="BT160:BW160"/>
    <mergeCell ref="BX160:BZ160"/>
    <mergeCell ref="CA160:CD160"/>
    <mergeCell ref="CE160:CG160"/>
    <mergeCell ref="CH160:CK160"/>
    <mergeCell ref="CL160:CN160"/>
    <mergeCell ref="AG161:AH161"/>
    <mergeCell ref="AI161:AV161"/>
    <mergeCell ref="AW161:AY161"/>
    <mergeCell ref="BC161:BE161"/>
    <mergeCell ref="BF161:BH161"/>
    <mergeCell ref="BI161:BL161"/>
    <mergeCell ref="BM161:BP161"/>
    <mergeCell ref="BQ161:BS161"/>
    <mergeCell ref="BT161:BW161"/>
    <mergeCell ref="BX161:BZ161"/>
    <mergeCell ref="CA161:CD161"/>
    <mergeCell ref="CE161:CG161"/>
    <mergeCell ref="CH161:CK161"/>
    <mergeCell ref="CL161:CN161"/>
    <mergeCell ref="AG162:AH162"/>
    <mergeCell ref="AI162:AV162"/>
    <mergeCell ref="AW162:AY162"/>
    <mergeCell ref="BC162:BE162"/>
    <mergeCell ref="BF162:BH162"/>
    <mergeCell ref="BI162:BL162"/>
    <mergeCell ref="BM162:BP162"/>
    <mergeCell ref="BQ162:BS162"/>
    <mergeCell ref="BT162:BW162"/>
    <mergeCell ref="BX162:BZ162"/>
    <mergeCell ref="CA162:CD162"/>
    <mergeCell ref="CE162:CG162"/>
    <mergeCell ref="CH162:CK162"/>
    <mergeCell ref="CL162:CN162"/>
    <mergeCell ref="AG163:AH163"/>
    <mergeCell ref="AI163:AV163"/>
    <mergeCell ref="AW163:AY163"/>
    <mergeCell ref="BC163:BE163"/>
    <mergeCell ref="BF163:BH163"/>
    <mergeCell ref="BI163:BL163"/>
    <mergeCell ref="BM163:BP163"/>
    <mergeCell ref="BQ163:BS163"/>
    <mergeCell ref="BT163:BW163"/>
    <mergeCell ref="BX163:BZ163"/>
    <mergeCell ref="CA163:CD163"/>
    <mergeCell ref="CE163:CG163"/>
    <mergeCell ref="CH163:CK163"/>
    <mergeCell ref="CL163:CN163"/>
    <mergeCell ref="AG164:AH164"/>
    <mergeCell ref="AI164:AV164"/>
    <mergeCell ref="AW164:AY164"/>
    <mergeCell ref="BC164:BE164"/>
    <mergeCell ref="BF164:BH164"/>
    <mergeCell ref="BI164:BL164"/>
    <mergeCell ref="BM164:BP164"/>
    <mergeCell ref="BQ164:BS164"/>
    <mergeCell ref="BT164:BW164"/>
    <mergeCell ref="BX164:BZ164"/>
    <mergeCell ref="CA164:CD164"/>
    <mergeCell ref="CE164:CG164"/>
    <mergeCell ref="CH164:CK164"/>
    <mergeCell ref="CL164:CN164"/>
    <mergeCell ref="AG165:AH165"/>
    <mergeCell ref="AI165:AV165"/>
    <mergeCell ref="AW165:AY165"/>
    <mergeCell ref="BC165:BE165"/>
    <mergeCell ref="BF165:BH165"/>
    <mergeCell ref="BI165:BL165"/>
    <mergeCell ref="BM165:BP165"/>
    <mergeCell ref="BQ165:BS165"/>
    <mergeCell ref="BT165:BW165"/>
    <mergeCell ref="BX165:BZ165"/>
    <mergeCell ref="CA165:CD165"/>
    <mergeCell ref="CE165:CG165"/>
    <mergeCell ref="CH165:CK165"/>
    <mergeCell ref="CL165:CN165"/>
    <mergeCell ref="AG166:AH166"/>
    <mergeCell ref="AI166:AV166"/>
    <mergeCell ref="AW166:AY166"/>
    <mergeCell ref="BC166:BE166"/>
    <mergeCell ref="BF166:BH166"/>
    <mergeCell ref="BI166:BL166"/>
    <mergeCell ref="BM166:BP166"/>
    <mergeCell ref="BQ166:BS166"/>
    <mergeCell ref="BT166:BW166"/>
    <mergeCell ref="BX166:BZ166"/>
    <mergeCell ref="CA166:CD166"/>
    <mergeCell ref="CE166:CG166"/>
    <mergeCell ref="CH166:CK166"/>
    <mergeCell ref="CL166:CN166"/>
    <mergeCell ref="AG167:AH167"/>
    <mergeCell ref="AI167:AV167"/>
    <mergeCell ref="AW167:AY167"/>
    <mergeCell ref="BC167:BE167"/>
    <mergeCell ref="BF167:BH167"/>
    <mergeCell ref="BI167:BL167"/>
    <mergeCell ref="BM167:BP167"/>
    <mergeCell ref="BQ167:BS167"/>
    <mergeCell ref="BT167:BW167"/>
    <mergeCell ref="BX167:BZ167"/>
    <mergeCell ref="CA167:CD167"/>
    <mergeCell ref="CE167:CG167"/>
    <mergeCell ref="CH167:CK167"/>
    <mergeCell ref="CL167:CN167"/>
    <mergeCell ref="AG168:AH168"/>
    <mergeCell ref="AI168:AV168"/>
    <mergeCell ref="AW168:AY168"/>
    <mergeCell ref="BC168:BE168"/>
    <mergeCell ref="BF168:BH168"/>
    <mergeCell ref="BI168:BL168"/>
    <mergeCell ref="BM168:BP168"/>
    <mergeCell ref="BQ168:BS168"/>
    <mergeCell ref="BT168:BW168"/>
    <mergeCell ref="BX168:BZ168"/>
    <mergeCell ref="CA168:CD168"/>
    <mergeCell ref="CE168:CG168"/>
    <mergeCell ref="CH168:CK168"/>
    <mergeCell ref="CL168:CN168"/>
    <mergeCell ref="AG169:AH169"/>
    <mergeCell ref="AI169:AV169"/>
    <mergeCell ref="AW169:AY169"/>
    <mergeCell ref="BC169:BE169"/>
    <mergeCell ref="BF169:BH169"/>
    <mergeCell ref="BI169:BL169"/>
    <mergeCell ref="BM169:BP169"/>
    <mergeCell ref="BQ169:BS169"/>
    <mergeCell ref="BT169:BW169"/>
    <mergeCell ref="BX169:BZ169"/>
    <mergeCell ref="CA169:CD169"/>
    <mergeCell ref="CE169:CG169"/>
    <mergeCell ref="CH169:CK169"/>
    <mergeCell ref="CL169:CN169"/>
    <mergeCell ref="AG170:AH170"/>
    <mergeCell ref="AI170:AV170"/>
    <mergeCell ref="AW170:AY170"/>
    <mergeCell ref="BC170:BE170"/>
    <mergeCell ref="BF170:BH170"/>
    <mergeCell ref="BI170:BL170"/>
    <mergeCell ref="BM170:BP170"/>
    <mergeCell ref="BQ170:BS170"/>
    <mergeCell ref="BT170:BW170"/>
    <mergeCell ref="BX170:BZ170"/>
    <mergeCell ref="CA170:CD170"/>
    <mergeCell ref="CE170:CG170"/>
    <mergeCell ref="CH170:CK170"/>
    <mergeCell ref="CL170:CN170"/>
    <mergeCell ref="AG171:AH171"/>
    <mergeCell ref="AI171:AV171"/>
    <mergeCell ref="AW171:AY171"/>
    <mergeCell ref="BC171:BE171"/>
    <mergeCell ref="BF171:BH171"/>
    <mergeCell ref="BI171:BL171"/>
    <mergeCell ref="BM171:BP171"/>
    <mergeCell ref="BQ171:BS171"/>
    <mergeCell ref="BT171:BW171"/>
    <mergeCell ref="BX171:BZ171"/>
    <mergeCell ref="CA171:CD171"/>
    <mergeCell ref="CE171:CG171"/>
    <mergeCell ref="CH171:CK171"/>
    <mergeCell ref="CL171:CN171"/>
    <mergeCell ref="AG172:AH172"/>
    <mergeCell ref="AI172:AV172"/>
    <mergeCell ref="AW172:AY172"/>
    <mergeCell ref="BC172:BE172"/>
    <mergeCell ref="BF172:BH172"/>
    <mergeCell ref="BI172:BL172"/>
    <mergeCell ref="BM172:BP172"/>
    <mergeCell ref="BQ172:BS172"/>
    <mergeCell ref="BT172:BW172"/>
    <mergeCell ref="BX172:BZ172"/>
    <mergeCell ref="CA172:CD172"/>
    <mergeCell ref="CE172:CG172"/>
    <mergeCell ref="CH172:CK172"/>
    <mergeCell ref="CL172:CN172"/>
    <mergeCell ref="AG173:AH173"/>
    <mergeCell ref="AI173:AV173"/>
    <mergeCell ref="AW173:AY173"/>
    <mergeCell ref="BC173:BE173"/>
    <mergeCell ref="BF173:BH173"/>
    <mergeCell ref="BI173:BL173"/>
    <mergeCell ref="BM173:BP173"/>
    <mergeCell ref="BQ173:BS173"/>
    <mergeCell ref="BT173:BW173"/>
    <mergeCell ref="BX173:BZ173"/>
    <mergeCell ref="CA173:CD173"/>
    <mergeCell ref="CE173:CG173"/>
    <mergeCell ref="CH173:CK173"/>
    <mergeCell ref="CL173:CN173"/>
    <mergeCell ref="AG174:AH174"/>
    <mergeCell ref="AI174:AV174"/>
    <mergeCell ref="AW174:AY174"/>
    <mergeCell ref="BC174:BE174"/>
    <mergeCell ref="BF174:BH174"/>
    <mergeCell ref="BI174:BL174"/>
    <mergeCell ref="BM174:BP174"/>
    <mergeCell ref="BQ174:BS174"/>
    <mergeCell ref="BT174:BW174"/>
    <mergeCell ref="BX174:BZ174"/>
    <mergeCell ref="CA174:CD174"/>
    <mergeCell ref="CE174:CG174"/>
    <mergeCell ref="CH174:CK174"/>
    <mergeCell ref="CL174:CN174"/>
    <mergeCell ref="AG175:AH175"/>
    <mergeCell ref="AI175:AV175"/>
    <mergeCell ref="AW175:AY175"/>
    <mergeCell ref="BC175:BE175"/>
    <mergeCell ref="BF175:BH175"/>
    <mergeCell ref="BI175:BL175"/>
    <mergeCell ref="BM175:BP175"/>
    <mergeCell ref="BQ175:BS175"/>
    <mergeCell ref="BT175:BW175"/>
    <mergeCell ref="BX175:BZ175"/>
    <mergeCell ref="CA175:CD175"/>
    <mergeCell ref="CE175:CG175"/>
    <mergeCell ref="CH175:CK175"/>
    <mergeCell ref="CL175:CN175"/>
    <mergeCell ref="AG176:AH176"/>
    <mergeCell ref="AI176:AV176"/>
    <mergeCell ref="AW176:AY176"/>
    <mergeCell ref="BC176:BE176"/>
    <mergeCell ref="BF176:BH176"/>
    <mergeCell ref="BI176:BL176"/>
    <mergeCell ref="BM176:BP176"/>
    <mergeCell ref="BQ176:BS176"/>
    <mergeCell ref="BT176:BW176"/>
    <mergeCell ref="BX176:BZ176"/>
    <mergeCell ref="CA176:CD176"/>
    <mergeCell ref="CE176:CG176"/>
    <mergeCell ref="CH176:CK176"/>
    <mergeCell ref="CL176:CN176"/>
    <mergeCell ref="AG177:AH177"/>
    <mergeCell ref="AI177:AV177"/>
    <mergeCell ref="AW177:AY177"/>
    <mergeCell ref="BC177:BE177"/>
    <mergeCell ref="BF177:BH177"/>
    <mergeCell ref="BI177:BL177"/>
    <mergeCell ref="BM177:BP177"/>
    <mergeCell ref="BQ177:BS177"/>
    <mergeCell ref="BT177:BW177"/>
    <mergeCell ref="BX177:BZ177"/>
    <mergeCell ref="CA177:CD177"/>
    <mergeCell ref="CE177:CG177"/>
    <mergeCell ref="CH177:CK177"/>
    <mergeCell ref="CL177:CN177"/>
    <mergeCell ref="AG178:AH178"/>
    <mergeCell ref="AI178:AV178"/>
    <mergeCell ref="AW178:AY178"/>
    <mergeCell ref="BC178:BE178"/>
    <mergeCell ref="BF178:BH178"/>
    <mergeCell ref="BI178:BL178"/>
    <mergeCell ref="BM178:BP178"/>
    <mergeCell ref="BQ178:BS178"/>
    <mergeCell ref="BT178:BW178"/>
    <mergeCell ref="BX178:BZ178"/>
    <mergeCell ref="CA178:CD178"/>
    <mergeCell ref="CE178:CG178"/>
    <mergeCell ref="CH178:CK178"/>
    <mergeCell ref="CL178:CN178"/>
    <mergeCell ref="AG179:AH179"/>
    <mergeCell ref="AI179:AV179"/>
    <mergeCell ref="AW179:AY179"/>
    <mergeCell ref="BC179:BE179"/>
    <mergeCell ref="BF179:BH179"/>
    <mergeCell ref="BI179:BL179"/>
    <mergeCell ref="BM179:BP179"/>
    <mergeCell ref="BQ179:BS179"/>
    <mergeCell ref="BT179:BW179"/>
    <mergeCell ref="BX179:BZ179"/>
    <mergeCell ref="CA179:CD179"/>
    <mergeCell ref="CE179:CG179"/>
    <mergeCell ref="CH179:CK179"/>
    <mergeCell ref="CL179:CN179"/>
    <mergeCell ref="AG180:AH180"/>
    <mergeCell ref="AI180:AV180"/>
    <mergeCell ref="AW180:AY180"/>
    <mergeCell ref="BC180:BE180"/>
    <mergeCell ref="BF180:BH180"/>
    <mergeCell ref="BI180:BL180"/>
    <mergeCell ref="BM180:BP180"/>
    <mergeCell ref="BQ180:BS180"/>
    <mergeCell ref="BT180:BW180"/>
    <mergeCell ref="BX180:BZ180"/>
    <mergeCell ref="CA180:CD180"/>
    <mergeCell ref="CE180:CG180"/>
    <mergeCell ref="CH180:CK180"/>
    <mergeCell ref="CL180:CN180"/>
    <mergeCell ref="AG181:AH181"/>
    <mergeCell ref="AI181:AV181"/>
    <mergeCell ref="AW181:AY181"/>
    <mergeCell ref="BC181:BE181"/>
    <mergeCell ref="BF181:BH181"/>
    <mergeCell ref="BI181:BL181"/>
    <mergeCell ref="BM181:BP181"/>
    <mergeCell ref="BQ181:BS181"/>
    <mergeCell ref="BT181:BW181"/>
    <mergeCell ref="BX181:BZ181"/>
    <mergeCell ref="CA181:CD181"/>
    <mergeCell ref="CE181:CG181"/>
    <mergeCell ref="CH181:CK181"/>
    <mergeCell ref="CL181:CN181"/>
    <mergeCell ref="AG182:AH182"/>
    <mergeCell ref="AI182:AV182"/>
    <mergeCell ref="AW182:AY182"/>
    <mergeCell ref="BC182:BE182"/>
    <mergeCell ref="BF182:BH182"/>
    <mergeCell ref="BI182:BL182"/>
    <mergeCell ref="BM182:BP182"/>
    <mergeCell ref="BQ182:BS182"/>
    <mergeCell ref="BT182:BW182"/>
    <mergeCell ref="BX182:BZ182"/>
    <mergeCell ref="CA182:CD182"/>
    <mergeCell ref="CE182:CG182"/>
    <mergeCell ref="CH182:CK182"/>
    <mergeCell ref="CL182:CN182"/>
    <mergeCell ref="AG183:AH183"/>
    <mergeCell ref="AI183:AV183"/>
    <mergeCell ref="AW183:AY183"/>
    <mergeCell ref="BC183:BE183"/>
    <mergeCell ref="BF183:BH183"/>
    <mergeCell ref="BI183:BL183"/>
    <mergeCell ref="BM183:BP183"/>
    <mergeCell ref="BQ183:BS183"/>
    <mergeCell ref="BT183:BW183"/>
    <mergeCell ref="BX183:BZ183"/>
    <mergeCell ref="CA183:CD183"/>
    <mergeCell ref="CE183:CG183"/>
    <mergeCell ref="CH183:CK183"/>
    <mergeCell ref="CL183:CN183"/>
    <mergeCell ref="AG184:AH184"/>
    <mergeCell ref="AI184:AV184"/>
    <mergeCell ref="AW184:AY184"/>
    <mergeCell ref="BC184:BE184"/>
    <mergeCell ref="BF184:BH184"/>
    <mergeCell ref="BI184:BL184"/>
    <mergeCell ref="BM184:BP184"/>
    <mergeCell ref="BQ184:BS184"/>
    <mergeCell ref="BT184:BW184"/>
    <mergeCell ref="BX184:BZ184"/>
    <mergeCell ref="CA184:CD184"/>
    <mergeCell ref="CE184:CG184"/>
    <mergeCell ref="CH184:CK184"/>
    <mergeCell ref="CL184:CN184"/>
    <mergeCell ref="AG185:AH185"/>
    <mergeCell ref="AI185:AV185"/>
    <mergeCell ref="AW185:AY185"/>
    <mergeCell ref="BC185:BE185"/>
    <mergeCell ref="BF185:BH185"/>
    <mergeCell ref="BI185:BL185"/>
    <mergeCell ref="BM185:BP185"/>
    <mergeCell ref="BQ185:BS185"/>
    <mergeCell ref="BT185:BW185"/>
    <mergeCell ref="BX185:BZ185"/>
    <mergeCell ref="CA185:CD185"/>
    <mergeCell ref="CE185:CG185"/>
    <mergeCell ref="CH185:CK185"/>
    <mergeCell ref="CL185:CN185"/>
    <mergeCell ref="AG186:AH186"/>
    <mergeCell ref="AI186:AV186"/>
    <mergeCell ref="AW186:AY186"/>
    <mergeCell ref="BC186:BE186"/>
    <mergeCell ref="BF186:BH186"/>
    <mergeCell ref="BI186:BL186"/>
    <mergeCell ref="BM186:BP186"/>
    <mergeCell ref="BQ186:BS186"/>
    <mergeCell ref="BT186:BW186"/>
    <mergeCell ref="BX186:BZ186"/>
    <mergeCell ref="CA186:CD186"/>
    <mergeCell ref="CE186:CG186"/>
    <mergeCell ref="CH186:CK186"/>
    <mergeCell ref="CL186:CN186"/>
    <mergeCell ref="AG187:AH187"/>
    <mergeCell ref="AI187:AV187"/>
    <mergeCell ref="AW187:AY187"/>
    <mergeCell ref="BC187:BE187"/>
    <mergeCell ref="BF187:BH187"/>
    <mergeCell ref="BI187:BL187"/>
    <mergeCell ref="BM187:BP187"/>
    <mergeCell ref="BQ187:BS187"/>
    <mergeCell ref="BT187:BW187"/>
    <mergeCell ref="BX187:BZ187"/>
    <mergeCell ref="CA187:CD187"/>
    <mergeCell ref="CE187:CG187"/>
    <mergeCell ref="CH187:CK187"/>
    <mergeCell ref="CL187:CN187"/>
    <mergeCell ref="AG188:AH188"/>
    <mergeCell ref="AI188:AV188"/>
    <mergeCell ref="AW188:AY188"/>
    <mergeCell ref="BC188:BE188"/>
    <mergeCell ref="BF188:BH188"/>
    <mergeCell ref="BI188:BL188"/>
    <mergeCell ref="BM188:BP188"/>
    <mergeCell ref="BQ188:BS188"/>
    <mergeCell ref="BT188:BW188"/>
    <mergeCell ref="BX188:BZ188"/>
    <mergeCell ref="CA188:CD188"/>
    <mergeCell ref="CE188:CG188"/>
    <mergeCell ref="CH188:CK188"/>
    <mergeCell ref="CL188:CN188"/>
    <mergeCell ref="AG189:AH189"/>
    <mergeCell ref="AI189:AV189"/>
    <mergeCell ref="AW189:AY189"/>
    <mergeCell ref="BC189:BE189"/>
    <mergeCell ref="BF189:BH189"/>
    <mergeCell ref="BI189:BL189"/>
    <mergeCell ref="BM189:BP189"/>
    <mergeCell ref="BQ189:BS189"/>
    <mergeCell ref="BT189:BW189"/>
    <mergeCell ref="BX189:BZ189"/>
    <mergeCell ref="CA189:CD189"/>
    <mergeCell ref="CE189:CG189"/>
    <mergeCell ref="CH189:CK189"/>
    <mergeCell ref="CL189:CN189"/>
    <mergeCell ref="AG190:AH190"/>
    <mergeCell ref="AI190:AV190"/>
    <mergeCell ref="AW190:AY190"/>
    <mergeCell ref="BC190:BE190"/>
    <mergeCell ref="BF190:BH190"/>
    <mergeCell ref="BI190:BL190"/>
    <mergeCell ref="BM190:BP190"/>
    <mergeCell ref="BQ190:BS190"/>
    <mergeCell ref="BT190:BW190"/>
    <mergeCell ref="BX190:BZ190"/>
    <mergeCell ref="CA190:CD190"/>
    <mergeCell ref="CE190:CG190"/>
    <mergeCell ref="CH190:CK190"/>
    <mergeCell ref="CL190:CN190"/>
    <mergeCell ref="AG191:AH191"/>
    <mergeCell ref="AI191:AV191"/>
    <mergeCell ref="AW191:AY191"/>
    <mergeCell ref="BC191:BE191"/>
    <mergeCell ref="BF191:BH191"/>
    <mergeCell ref="BI191:BL191"/>
    <mergeCell ref="BM191:BP191"/>
    <mergeCell ref="BQ191:BS191"/>
    <mergeCell ref="BT191:BW191"/>
    <mergeCell ref="BX191:BZ191"/>
    <mergeCell ref="CA191:CD191"/>
    <mergeCell ref="CE191:CG191"/>
    <mergeCell ref="CH191:CK191"/>
    <mergeCell ref="CL191:CN191"/>
    <mergeCell ref="AG192:AH192"/>
    <mergeCell ref="AI192:AV192"/>
    <mergeCell ref="AW192:AY192"/>
    <mergeCell ref="BC192:BE192"/>
    <mergeCell ref="BF192:BH192"/>
    <mergeCell ref="BI192:BL192"/>
    <mergeCell ref="BM192:BP192"/>
    <mergeCell ref="BQ192:BS192"/>
    <mergeCell ref="BT192:BW192"/>
    <mergeCell ref="BX192:BZ192"/>
    <mergeCell ref="CA192:CD192"/>
    <mergeCell ref="CE192:CG192"/>
    <mergeCell ref="CH192:CK192"/>
    <mergeCell ref="CL192:CN192"/>
    <mergeCell ref="AG193:AH193"/>
    <mergeCell ref="AI193:AV193"/>
    <mergeCell ref="AW193:AY193"/>
    <mergeCell ref="BC193:BE193"/>
    <mergeCell ref="BF193:BH193"/>
    <mergeCell ref="BI193:BL193"/>
    <mergeCell ref="BM193:BP193"/>
    <mergeCell ref="BQ193:BS193"/>
    <mergeCell ref="BT193:BW193"/>
    <mergeCell ref="BX193:BZ193"/>
    <mergeCell ref="CA193:CD193"/>
    <mergeCell ref="CE193:CG193"/>
    <mergeCell ref="CH193:CK193"/>
    <mergeCell ref="CL193:CN193"/>
    <mergeCell ref="AG194:AH194"/>
    <mergeCell ref="AI194:AV194"/>
    <mergeCell ref="AW194:AY194"/>
    <mergeCell ref="BC194:BE194"/>
    <mergeCell ref="BF194:BH194"/>
    <mergeCell ref="BI194:BL194"/>
    <mergeCell ref="BM194:BP194"/>
    <mergeCell ref="BQ194:BS194"/>
    <mergeCell ref="BT194:BW194"/>
    <mergeCell ref="BX194:BZ194"/>
    <mergeCell ref="CA194:CD194"/>
    <mergeCell ref="CE194:CG194"/>
    <mergeCell ref="CH194:CK194"/>
    <mergeCell ref="CL194:CN194"/>
    <mergeCell ref="AG195:AH195"/>
    <mergeCell ref="AI195:AV195"/>
    <mergeCell ref="AW195:AY195"/>
    <mergeCell ref="BC195:BE195"/>
    <mergeCell ref="BF195:BH195"/>
    <mergeCell ref="BI195:BL195"/>
    <mergeCell ref="BM195:BP195"/>
    <mergeCell ref="BQ195:BS195"/>
    <mergeCell ref="BT195:BW195"/>
    <mergeCell ref="BX195:BZ195"/>
    <mergeCell ref="CA195:CD195"/>
    <mergeCell ref="CE195:CG195"/>
    <mergeCell ref="CH195:CK195"/>
    <mergeCell ref="CL195:CN195"/>
    <mergeCell ref="AG196:AH196"/>
    <mergeCell ref="AI196:AV196"/>
    <mergeCell ref="AW196:AY196"/>
    <mergeCell ref="BC196:BE196"/>
    <mergeCell ref="BF196:BH196"/>
    <mergeCell ref="BI196:BL196"/>
    <mergeCell ref="BM196:BP196"/>
    <mergeCell ref="BQ196:BS196"/>
    <mergeCell ref="BT196:BW196"/>
    <mergeCell ref="BX196:BZ196"/>
    <mergeCell ref="CA196:CD196"/>
    <mergeCell ref="CE196:CG196"/>
    <mergeCell ref="CH196:CK196"/>
    <mergeCell ref="CL196:CN196"/>
    <mergeCell ref="AG197:AH197"/>
    <mergeCell ref="AI197:AV197"/>
    <mergeCell ref="AW197:AY197"/>
    <mergeCell ref="BC197:BE197"/>
    <mergeCell ref="BF197:BH197"/>
    <mergeCell ref="BI197:BL197"/>
    <mergeCell ref="BM197:BP197"/>
    <mergeCell ref="BQ197:BS197"/>
    <mergeCell ref="BT197:BW197"/>
    <mergeCell ref="BX197:BZ197"/>
    <mergeCell ref="CA197:CD197"/>
    <mergeCell ref="CE197:CG197"/>
    <mergeCell ref="CH197:CK197"/>
    <mergeCell ref="CL197:CN197"/>
    <mergeCell ref="AG198:AH198"/>
    <mergeCell ref="AI198:AV198"/>
    <mergeCell ref="AW198:AY198"/>
    <mergeCell ref="BC198:BE198"/>
    <mergeCell ref="BF198:BH198"/>
    <mergeCell ref="BI198:BL198"/>
    <mergeCell ref="BM198:BP198"/>
    <mergeCell ref="BQ198:BS198"/>
    <mergeCell ref="BT198:BW198"/>
    <mergeCell ref="BX198:BZ198"/>
    <mergeCell ref="CA198:CD198"/>
    <mergeCell ref="CE198:CG198"/>
    <mergeCell ref="CH198:CK198"/>
    <mergeCell ref="CL198:CN198"/>
    <mergeCell ref="AG199:AH199"/>
    <mergeCell ref="AI199:AV199"/>
    <mergeCell ref="AW199:AY199"/>
    <mergeCell ref="BC199:BE199"/>
    <mergeCell ref="BF199:BH199"/>
    <mergeCell ref="BI199:BL199"/>
    <mergeCell ref="BM199:BP199"/>
    <mergeCell ref="BQ199:BS199"/>
    <mergeCell ref="BT199:BW199"/>
    <mergeCell ref="BX199:BZ199"/>
    <mergeCell ref="CA199:CD199"/>
    <mergeCell ref="CE199:CG199"/>
    <mergeCell ref="CH199:CK199"/>
    <mergeCell ref="CL199:CN199"/>
    <mergeCell ref="AG200:AH200"/>
    <mergeCell ref="AI200:AV200"/>
    <mergeCell ref="AW200:AY200"/>
    <mergeCell ref="BC200:BE200"/>
    <mergeCell ref="BF200:BH200"/>
    <mergeCell ref="BI200:BL200"/>
    <mergeCell ref="BM200:BP200"/>
    <mergeCell ref="BQ200:BS200"/>
    <mergeCell ref="BT200:BW200"/>
    <mergeCell ref="BX200:BZ200"/>
    <mergeCell ref="CA200:CD200"/>
    <mergeCell ref="CE200:CG200"/>
    <mergeCell ref="CH200:CK200"/>
    <mergeCell ref="CL200:CN200"/>
    <mergeCell ref="AG201:AH201"/>
    <mergeCell ref="AI201:AV201"/>
    <mergeCell ref="AW201:AY201"/>
    <mergeCell ref="BC201:BE201"/>
    <mergeCell ref="BF201:BH201"/>
    <mergeCell ref="BI201:BL201"/>
    <mergeCell ref="BM201:BP201"/>
    <mergeCell ref="BQ201:BS201"/>
    <mergeCell ref="BT201:BW201"/>
    <mergeCell ref="BX201:BZ201"/>
    <mergeCell ref="CA201:CD201"/>
    <mergeCell ref="CE201:CG201"/>
    <mergeCell ref="CH201:CK201"/>
    <mergeCell ref="CL201:CN201"/>
    <mergeCell ref="AG202:AH202"/>
    <mergeCell ref="AI202:AV202"/>
    <mergeCell ref="AW202:AY202"/>
    <mergeCell ref="BC202:BE202"/>
    <mergeCell ref="BF202:BH202"/>
    <mergeCell ref="BI202:BL202"/>
    <mergeCell ref="BM202:BP202"/>
    <mergeCell ref="BQ202:BS202"/>
    <mergeCell ref="BT202:BW202"/>
    <mergeCell ref="BX202:BZ202"/>
    <mergeCell ref="CA202:CD202"/>
    <mergeCell ref="CE202:CG202"/>
    <mergeCell ref="CH202:CK202"/>
    <mergeCell ref="CL202:CN202"/>
    <mergeCell ref="AG203:AH203"/>
    <mergeCell ref="AI203:AV203"/>
    <mergeCell ref="AW203:AY203"/>
    <mergeCell ref="BC203:BE203"/>
    <mergeCell ref="BF203:BH203"/>
    <mergeCell ref="BI203:BL203"/>
    <mergeCell ref="BM203:BP203"/>
    <mergeCell ref="BQ203:BS203"/>
    <mergeCell ref="BT203:BW203"/>
    <mergeCell ref="BX203:BZ203"/>
    <mergeCell ref="CA203:CD203"/>
    <mergeCell ref="CE203:CG203"/>
    <mergeCell ref="CH203:CK203"/>
    <mergeCell ref="CL203:CN203"/>
    <mergeCell ref="AG204:AH204"/>
    <mergeCell ref="AI204:AV204"/>
    <mergeCell ref="AW204:AY204"/>
    <mergeCell ref="BC204:BE204"/>
    <mergeCell ref="BF204:BH204"/>
    <mergeCell ref="BI204:BL204"/>
    <mergeCell ref="BM204:BP204"/>
    <mergeCell ref="BQ204:BS204"/>
    <mergeCell ref="BT204:BW204"/>
    <mergeCell ref="BX204:BZ204"/>
    <mergeCell ref="CA204:CD204"/>
    <mergeCell ref="CE204:CG204"/>
    <mergeCell ref="CH204:CK204"/>
    <mergeCell ref="CL204:CN204"/>
    <mergeCell ref="AG205:AH205"/>
    <mergeCell ref="AI205:AV205"/>
    <mergeCell ref="AW205:AY205"/>
    <mergeCell ref="BC205:BE205"/>
    <mergeCell ref="BF205:BH205"/>
    <mergeCell ref="BI205:BL205"/>
    <mergeCell ref="BM205:BP205"/>
    <mergeCell ref="BQ205:BS205"/>
    <mergeCell ref="BT205:BW205"/>
    <mergeCell ref="BX205:BZ205"/>
    <mergeCell ref="CA205:CD205"/>
    <mergeCell ref="CE205:CG205"/>
    <mergeCell ref="CH205:CK205"/>
    <mergeCell ref="CL205:CN205"/>
    <mergeCell ref="AG206:AH206"/>
    <mergeCell ref="AI206:AV206"/>
    <mergeCell ref="AW206:AY206"/>
    <mergeCell ref="BC206:BE206"/>
    <mergeCell ref="BF206:BH206"/>
    <mergeCell ref="BI206:BL206"/>
    <mergeCell ref="BM206:BP206"/>
    <mergeCell ref="BQ206:BS206"/>
    <mergeCell ref="BT206:BW206"/>
    <mergeCell ref="BX206:BZ206"/>
    <mergeCell ref="CA206:CD206"/>
    <mergeCell ref="CE206:CG206"/>
    <mergeCell ref="CH206:CK206"/>
    <mergeCell ref="CL206:CN206"/>
    <mergeCell ref="AG207:AH207"/>
    <mergeCell ref="AI207:AV207"/>
    <mergeCell ref="AW207:AY207"/>
    <mergeCell ref="BC207:BE207"/>
    <mergeCell ref="BF207:BH207"/>
    <mergeCell ref="BI207:BL207"/>
    <mergeCell ref="BM207:BP207"/>
    <mergeCell ref="BQ207:BS207"/>
    <mergeCell ref="BT207:BW207"/>
    <mergeCell ref="BX207:BZ207"/>
    <mergeCell ref="CA207:CD207"/>
    <mergeCell ref="CE207:CG207"/>
    <mergeCell ref="CH207:CK207"/>
    <mergeCell ref="CL207:CN207"/>
    <mergeCell ref="AG208:AH208"/>
    <mergeCell ref="AI208:AV208"/>
    <mergeCell ref="AW208:AY208"/>
    <mergeCell ref="BC208:BE208"/>
    <mergeCell ref="BF208:BH208"/>
    <mergeCell ref="BI208:BL208"/>
    <mergeCell ref="BM208:BP208"/>
    <mergeCell ref="BQ208:BS208"/>
    <mergeCell ref="BT208:BW208"/>
    <mergeCell ref="BX208:BZ208"/>
    <mergeCell ref="CA208:CD208"/>
    <mergeCell ref="CE208:CG208"/>
    <mergeCell ref="CH208:CK208"/>
    <mergeCell ref="CL208:CN208"/>
    <mergeCell ref="AG209:AH209"/>
    <mergeCell ref="AI209:AV209"/>
    <mergeCell ref="AW209:AY209"/>
    <mergeCell ref="BC209:BE209"/>
    <mergeCell ref="BF209:BH209"/>
    <mergeCell ref="BI209:BL209"/>
    <mergeCell ref="BM209:BP209"/>
    <mergeCell ref="BQ209:BS209"/>
    <mergeCell ref="BT209:BW209"/>
    <mergeCell ref="BX209:BZ209"/>
    <mergeCell ref="CA209:CD209"/>
    <mergeCell ref="CE209:CG209"/>
    <mergeCell ref="CH209:CK209"/>
    <mergeCell ref="CL209:CN209"/>
    <mergeCell ref="AG210:AH210"/>
    <mergeCell ref="AI210:AV210"/>
    <mergeCell ref="AW210:AY210"/>
    <mergeCell ref="BC210:BE210"/>
    <mergeCell ref="BF210:BH210"/>
    <mergeCell ref="BI210:BL210"/>
    <mergeCell ref="BM210:BP210"/>
    <mergeCell ref="BQ210:BS210"/>
    <mergeCell ref="BT210:BW210"/>
    <mergeCell ref="BX210:BZ210"/>
    <mergeCell ref="CA210:CD210"/>
    <mergeCell ref="CE210:CG210"/>
    <mergeCell ref="CH210:CK210"/>
    <mergeCell ref="CL210:CN210"/>
    <mergeCell ref="AG211:AH211"/>
    <mergeCell ref="AI211:AV211"/>
    <mergeCell ref="AW211:AY211"/>
    <mergeCell ref="BC211:BE211"/>
    <mergeCell ref="BF211:BH211"/>
    <mergeCell ref="BI211:BL211"/>
    <mergeCell ref="BM211:BP211"/>
    <mergeCell ref="BQ211:BS211"/>
    <mergeCell ref="BT211:BW211"/>
    <mergeCell ref="BX211:BZ211"/>
    <mergeCell ref="CA211:CD211"/>
    <mergeCell ref="CE211:CG211"/>
    <mergeCell ref="CH211:CK211"/>
    <mergeCell ref="CL211:CN211"/>
    <mergeCell ref="AG212:AH212"/>
    <mergeCell ref="AI212:AV212"/>
    <mergeCell ref="AW212:AY212"/>
    <mergeCell ref="BC212:BE212"/>
    <mergeCell ref="BF212:BH212"/>
    <mergeCell ref="BI212:BL212"/>
    <mergeCell ref="BM212:BP212"/>
    <mergeCell ref="BQ212:BS212"/>
    <mergeCell ref="BT212:BW212"/>
    <mergeCell ref="BX212:BZ212"/>
    <mergeCell ref="CA212:CD212"/>
    <mergeCell ref="CE212:CG212"/>
    <mergeCell ref="CH212:CK212"/>
    <mergeCell ref="CL212:CN212"/>
    <mergeCell ref="AG213:AH213"/>
    <mergeCell ref="AI213:AV213"/>
    <mergeCell ref="AW213:AY213"/>
    <mergeCell ref="BC213:BE213"/>
    <mergeCell ref="BF213:BH213"/>
    <mergeCell ref="BI213:BL213"/>
    <mergeCell ref="BM213:BP213"/>
    <mergeCell ref="BQ213:BS213"/>
    <mergeCell ref="BT213:BW213"/>
    <mergeCell ref="BX213:BZ213"/>
    <mergeCell ref="CA213:CD213"/>
    <mergeCell ref="CE213:CG213"/>
    <mergeCell ref="CH213:CK213"/>
    <mergeCell ref="CL213:CN213"/>
    <mergeCell ref="AG214:AH214"/>
    <mergeCell ref="AI214:AV214"/>
    <mergeCell ref="AW214:AY214"/>
    <mergeCell ref="BC214:BE214"/>
    <mergeCell ref="BF214:BH214"/>
    <mergeCell ref="BI214:BL214"/>
    <mergeCell ref="BM214:BP214"/>
    <mergeCell ref="BQ214:BS214"/>
    <mergeCell ref="BT214:BW214"/>
    <mergeCell ref="BX214:BZ214"/>
    <mergeCell ref="CA214:CD214"/>
    <mergeCell ref="CE214:CG214"/>
    <mergeCell ref="CH214:CK214"/>
    <mergeCell ref="CL214:CN214"/>
    <mergeCell ref="AG215:AH215"/>
    <mergeCell ref="AI215:AV215"/>
    <mergeCell ref="AW215:AY215"/>
    <mergeCell ref="BC215:BE215"/>
    <mergeCell ref="BF215:BH215"/>
    <mergeCell ref="BI215:BL215"/>
    <mergeCell ref="BM215:BP215"/>
    <mergeCell ref="BQ215:BS215"/>
    <mergeCell ref="BT215:BW215"/>
    <mergeCell ref="BX215:BZ215"/>
    <mergeCell ref="CA215:CD215"/>
    <mergeCell ref="CE215:CG215"/>
    <mergeCell ref="CH215:CK215"/>
    <mergeCell ref="CL215:CN215"/>
    <mergeCell ref="AG216:AH216"/>
    <mergeCell ref="AI216:AV216"/>
    <mergeCell ref="AW216:AY216"/>
    <mergeCell ref="BC216:BE216"/>
    <mergeCell ref="BF216:BH216"/>
    <mergeCell ref="BI216:BL216"/>
    <mergeCell ref="BM216:BP216"/>
    <mergeCell ref="BQ216:BS216"/>
    <mergeCell ref="BT216:BW216"/>
    <mergeCell ref="BX216:BZ216"/>
    <mergeCell ref="CA216:CD216"/>
    <mergeCell ref="CE216:CG216"/>
    <mergeCell ref="CH216:CK216"/>
    <mergeCell ref="CL216:CN216"/>
    <mergeCell ref="AG217:AH217"/>
    <mergeCell ref="AI217:AV217"/>
    <mergeCell ref="AW217:AY217"/>
    <mergeCell ref="BC217:BE217"/>
    <mergeCell ref="BF217:BH217"/>
    <mergeCell ref="BI217:BL217"/>
    <mergeCell ref="BM217:BP217"/>
    <mergeCell ref="BQ217:BS217"/>
    <mergeCell ref="BT217:BW217"/>
    <mergeCell ref="BX217:BZ217"/>
    <mergeCell ref="CA217:CD217"/>
    <mergeCell ref="CE217:CG217"/>
    <mergeCell ref="CH217:CK217"/>
    <mergeCell ref="CL217:CN217"/>
    <mergeCell ref="AG218:AH218"/>
    <mergeCell ref="AI218:AV218"/>
    <mergeCell ref="AW218:AY218"/>
    <mergeCell ref="BC218:BE218"/>
    <mergeCell ref="BF218:BH218"/>
    <mergeCell ref="BI218:BL218"/>
    <mergeCell ref="BM218:BP218"/>
    <mergeCell ref="BQ218:BS218"/>
    <mergeCell ref="BT218:BW218"/>
    <mergeCell ref="BX218:BZ218"/>
    <mergeCell ref="CA218:CD218"/>
    <mergeCell ref="CE218:CG218"/>
    <mergeCell ref="CH218:CK218"/>
    <mergeCell ref="CL218:CN218"/>
    <mergeCell ref="AG219:AH219"/>
    <mergeCell ref="AI219:AV219"/>
    <mergeCell ref="AW219:AY219"/>
    <mergeCell ref="BC219:BE219"/>
    <mergeCell ref="BF219:BH219"/>
    <mergeCell ref="BI219:BL219"/>
    <mergeCell ref="BM219:BP219"/>
    <mergeCell ref="BQ219:BS219"/>
    <mergeCell ref="BT219:BW219"/>
    <mergeCell ref="BX219:BZ219"/>
    <mergeCell ref="CA219:CD219"/>
    <mergeCell ref="CE219:CG219"/>
    <mergeCell ref="CH219:CK219"/>
    <mergeCell ref="CL219:CN219"/>
    <mergeCell ref="AG220:AH220"/>
    <mergeCell ref="AI220:AV220"/>
    <mergeCell ref="AW220:AY220"/>
    <mergeCell ref="BC220:BE220"/>
    <mergeCell ref="BF220:BH220"/>
    <mergeCell ref="BI220:BL220"/>
    <mergeCell ref="BM220:BP220"/>
    <mergeCell ref="BQ220:BS220"/>
    <mergeCell ref="BT220:BW220"/>
    <mergeCell ref="BX220:BZ220"/>
    <mergeCell ref="CA220:CD220"/>
    <mergeCell ref="CE220:CG220"/>
    <mergeCell ref="CH220:CK220"/>
    <mergeCell ref="CL220:CN220"/>
    <mergeCell ref="AG221:AH221"/>
    <mergeCell ref="AI221:AV221"/>
    <mergeCell ref="AW221:AY221"/>
    <mergeCell ref="BC221:BE221"/>
    <mergeCell ref="BF221:BH221"/>
    <mergeCell ref="BI221:BL221"/>
    <mergeCell ref="BM221:BP221"/>
    <mergeCell ref="BQ221:BS221"/>
    <mergeCell ref="BT221:BW221"/>
    <mergeCell ref="BX221:BZ221"/>
    <mergeCell ref="CA221:CD221"/>
    <mergeCell ref="CE221:CG221"/>
    <mergeCell ref="CH221:CK221"/>
    <mergeCell ref="CL221:CN221"/>
    <mergeCell ref="AG222:AH222"/>
    <mergeCell ref="AI222:AV222"/>
    <mergeCell ref="AW222:AY222"/>
    <mergeCell ref="BC222:BE222"/>
    <mergeCell ref="BF222:BH222"/>
    <mergeCell ref="BI222:BL222"/>
    <mergeCell ref="BM222:BP222"/>
    <mergeCell ref="BQ222:BS222"/>
    <mergeCell ref="BT222:BW222"/>
    <mergeCell ref="BX222:BZ222"/>
    <mergeCell ref="CA222:CD222"/>
    <mergeCell ref="CE222:CG222"/>
    <mergeCell ref="CH222:CK222"/>
    <mergeCell ref="CL222:CN222"/>
    <mergeCell ref="AG223:AH223"/>
    <mergeCell ref="AI223:AV223"/>
    <mergeCell ref="AW223:AY223"/>
    <mergeCell ref="BC223:BE223"/>
    <mergeCell ref="BF223:BH223"/>
    <mergeCell ref="BI223:BL223"/>
    <mergeCell ref="BM223:BP223"/>
    <mergeCell ref="BQ223:BS223"/>
    <mergeCell ref="BT223:BW223"/>
    <mergeCell ref="BX223:BZ223"/>
    <mergeCell ref="CA223:CD223"/>
    <mergeCell ref="CE223:CG223"/>
    <mergeCell ref="CH223:CK223"/>
    <mergeCell ref="CL223:CN223"/>
    <mergeCell ref="AG224:AH224"/>
    <mergeCell ref="AI224:AV224"/>
    <mergeCell ref="AW224:AY224"/>
    <mergeCell ref="BC224:BE224"/>
    <mergeCell ref="BF224:BH224"/>
    <mergeCell ref="BI224:BL224"/>
    <mergeCell ref="BM224:BP224"/>
    <mergeCell ref="BQ224:BS224"/>
    <mergeCell ref="BT224:BW224"/>
    <mergeCell ref="BX224:BZ224"/>
    <mergeCell ref="CA224:CD224"/>
    <mergeCell ref="CE224:CG224"/>
    <mergeCell ref="CH224:CK224"/>
    <mergeCell ref="CL224:CN224"/>
    <mergeCell ref="AG225:AH225"/>
    <mergeCell ref="AI225:AV225"/>
    <mergeCell ref="AW225:AY225"/>
    <mergeCell ref="BC225:BE225"/>
    <mergeCell ref="BF225:BH225"/>
    <mergeCell ref="BI225:BL225"/>
    <mergeCell ref="BM225:BP225"/>
    <mergeCell ref="BQ225:BS225"/>
    <mergeCell ref="BT225:BW225"/>
    <mergeCell ref="BX225:BZ225"/>
    <mergeCell ref="CA225:CD225"/>
    <mergeCell ref="CE225:CG225"/>
    <mergeCell ref="CH225:CK225"/>
    <mergeCell ref="CL225:CN225"/>
    <mergeCell ref="AG226:AH226"/>
    <mergeCell ref="AI226:AV226"/>
    <mergeCell ref="AW226:AY226"/>
    <mergeCell ref="BC226:BE226"/>
    <mergeCell ref="BF226:BH226"/>
    <mergeCell ref="BI226:BL226"/>
    <mergeCell ref="BM226:BP226"/>
    <mergeCell ref="BQ226:BS226"/>
    <mergeCell ref="BT226:BW226"/>
    <mergeCell ref="BX226:BZ226"/>
    <mergeCell ref="CA226:CD226"/>
    <mergeCell ref="CE226:CG226"/>
    <mergeCell ref="CH226:CK226"/>
    <mergeCell ref="CL226:CN226"/>
    <mergeCell ref="AG227:AH227"/>
    <mergeCell ref="AI227:AV227"/>
    <mergeCell ref="AW227:AY227"/>
    <mergeCell ref="BC227:BE227"/>
    <mergeCell ref="BF227:BH227"/>
    <mergeCell ref="BI227:BL227"/>
    <mergeCell ref="BM227:BP227"/>
    <mergeCell ref="BQ227:BS227"/>
    <mergeCell ref="BT227:BW227"/>
    <mergeCell ref="BX227:BZ227"/>
    <mergeCell ref="CA227:CD227"/>
    <mergeCell ref="CE227:CG227"/>
    <mergeCell ref="CH227:CK227"/>
    <mergeCell ref="CL227:CN227"/>
    <mergeCell ref="AG228:AH228"/>
    <mergeCell ref="AI228:AV228"/>
    <mergeCell ref="AW228:AY228"/>
    <mergeCell ref="BC228:BE228"/>
    <mergeCell ref="BF228:BH228"/>
    <mergeCell ref="BI228:BL228"/>
    <mergeCell ref="BM228:BP228"/>
    <mergeCell ref="BQ228:BS228"/>
    <mergeCell ref="BT228:BW228"/>
    <mergeCell ref="BX228:BZ228"/>
    <mergeCell ref="CA228:CD228"/>
    <mergeCell ref="CE228:CG228"/>
    <mergeCell ref="CH228:CK228"/>
    <mergeCell ref="CL228:CN228"/>
    <mergeCell ref="AG229:AH229"/>
    <mergeCell ref="AI229:AV229"/>
    <mergeCell ref="AW229:AY229"/>
    <mergeCell ref="BC229:BE229"/>
    <mergeCell ref="BF229:BH229"/>
    <mergeCell ref="BI229:BL229"/>
    <mergeCell ref="BM229:BP229"/>
    <mergeCell ref="BQ229:BS229"/>
    <mergeCell ref="BT229:BW229"/>
    <mergeCell ref="BX229:BZ229"/>
    <mergeCell ref="CA229:CD229"/>
    <mergeCell ref="CE229:CG229"/>
    <mergeCell ref="CH229:CK229"/>
    <mergeCell ref="CL229:CN229"/>
    <mergeCell ref="AG230:AH230"/>
    <mergeCell ref="AI230:AV230"/>
    <mergeCell ref="AW230:AY230"/>
    <mergeCell ref="BC230:BE230"/>
    <mergeCell ref="BF230:BH230"/>
    <mergeCell ref="BI230:BL230"/>
    <mergeCell ref="BM230:BP230"/>
    <mergeCell ref="BQ230:BS230"/>
    <mergeCell ref="BT230:BW230"/>
    <mergeCell ref="BX230:BZ230"/>
    <mergeCell ref="CA230:CD230"/>
    <mergeCell ref="CE230:CG230"/>
    <mergeCell ref="CH230:CK230"/>
    <mergeCell ref="CL230:CN230"/>
    <mergeCell ref="AG231:AH231"/>
    <mergeCell ref="AI231:AV231"/>
    <mergeCell ref="AW231:AY231"/>
    <mergeCell ref="BC231:BE231"/>
    <mergeCell ref="BF231:BH231"/>
    <mergeCell ref="BI231:BL231"/>
    <mergeCell ref="BM231:BP231"/>
    <mergeCell ref="BQ231:BS231"/>
    <mergeCell ref="BT231:BW231"/>
    <mergeCell ref="BX231:BZ231"/>
    <mergeCell ref="CA231:CD231"/>
    <mergeCell ref="CE231:CG231"/>
    <mergeCell ref="CH231:CK231"/>
    <mergeCell ref="CL231:CN231"/>
    <mergeCell ref="AG232:AH232"/>
    <mergeCell ref="AI232:AV232"/>
    <mergeCell ref="AW232:AY232"/>
    <mergeCell ref="BC232:BE232"/>
    <mergeCell ref="BF232:BH232"/>
    <mergeCell ref="BI232:BL232"/>
    <mergeCell ref="BM232:BP232"/>
    <mergeCell ref="BQ232:BS232"/>
    <mergeCell ref="BT232:BW232"/>
    <mergeCell ref="BX232:BZ232"/>
    <mergeCell ref="CA232:CD232"/>
    <mergeCell ref="CE232:CG232"/>
    <mergeCell ref="CH232:CK232"/>
    <mergeCell ref="CL232:CN232"/>
    <mergeCell ref="AG233:AH233"/>
    <mergeCell ref="AI233:AV233"/>
    <mergeCell ref="AW233:AY233"/>
    <mergeCell ref="BC233:BE233"/>
    <mergeCell ref="BF233:BH233"/>
    <mergeCell ref="BI233:BL233"/>
    <mergeCell ref="BM233:BP233"/>
    <mergeCell ref="BQ233:BS233"/>
    <mergeCell ref="BT233:BW233"/>
    <mergeCell ref="BX233:BZ233"/>
    <mergeCell ref="CA233:CD233"/>
    <mergeCell ref="CE233:CG233"/>
    <mergeCell ref="CH233:CK233"/>
    <mergeCell ref="CL233:CN233"/>
    <mergeCell ref="AG234:AH234"/>
    <mergeCell ref="AI234:AV234"/>
    <mergeCell ref="AW234:AY234"/>
    <mergeCell ref="BC234:BE234"/>
    <mergeCell ref="BF234:BH234"/>
    <mergeCell ref="BI234:BL234"/>
    <mergeCell ref="BM234:BP234"/>
    <mergeCell ref="BQ234:BS234"/>
    <mergeCell ref="BT234:BW234"/>
    <mergeCell ref="BX234:BZ234"/>
    <mergeCell ref="CA234:CD234"/>
    <mergeCell ref="CE234:CG234"/>
    <mergeCell ref="CH234:CK234"/>
    <mergeCell ref="CL234:CN234"/>
    <mergeCell ref="AG235:AH235"/>
    <mergeCell ref="AI235:AV235"/>
    <mergeCell ref="AW235:AY235"/>
    <mergeCell ref="BC235:BE235"/>
    <mergeCell ref="BF235:BH235"/>
    <mergeCell ref="BI235:BL235"/>
    <mergeCell ref="BM235:BP235"/>
    <mergeCell ref="BQ235:BS235"/>
    <mergeCell ref="BT235:BW235"/>
    <mergeCell ref="BX235:BZ235"/>
    <mergeCell ref="CA235:CD235"/>
    <mergeCell ref="CE235:CG235"/>
    <mergeCell ref="CH235:CK235"/>
    <mergeCell ref="CL235:CN235"/>
    <mergeCell ref="AG236:AH236"/>
    <mergeCell ref="AI236:AV236"/>
    <mergeCell ref="AW236:AY236"/>
    <mergeCell ref="BC236:BE236"/>
    <mergeCell ref="BF236:BH236"/>
    <mergeCell ref="BI236:BL236"/>
    <mergeCell ref="BM236:BP236"/>
    <mergeCell ref="BQ236:BS236"/>
    <mergeCell ref="BT236:BW236"/>
    <mergeCell ref="BX236:BZ236"/>
    <mergeCell ref="CA236:CD236"/>
    <mergeCell ref="CE236:CG236"/>
    <mergeCell ref="CH236:CK236"/>
    <mergeCell ref="CL236:CN236"/>
    <mergeCell ref="AG237:AH237"/>
    <mergeCell ref="AI237:AV237"/>
    <mergeCell ref="AW237:AY237"/>
    <mergeCell ref="BC237:BE237"/>
    <mergeCell ref="BF237:BH237"/>
    <mergeCell ref="BI237:BL237"/>
    <mergeCell ref="BM237:BP237"/>
    <mergeCell ref="BQ237:BS237"/>
    <mergeCell ref="BT237:BW237"/>
    <mergeCell ref="BX237:BZ237"/>
    <mergeCell ref="CA237:CD237"/>
    <mergeCell ref="CE237:CG237"/>
    <mergeCell ref="CH237:CK237"/>
    <mergeCell ref="CL237:CN237"/>
    <mergeCell ref="AG238:AH238"/>
    <mergeCell ref="AI238:AV238"/>
    <mergeCell ref="AW238:AY238"/>
    <mergeCell ref="BC238:BE238"/>
    <mergeCell ref="BF238:BH238"/>
    <mergeCell ref="BI238:BL238"/>
    <mergeCell ref="BM238:BP238"/>
    <mergeCell ref="BQ238:BS238"/>
    <mergeCell ref="BT238:BW238"/>
    <mergeCell ref="BX238:BZ238"/>
    <mergeCell ref="CA238:CD238"/>
    <mergeCell ref="CE238:CG238"/>
    <mergeCell ref="CH238:CK238"/>
    <mergeCell ref="CL238:CN238"/>
    <mergeCell ref="AG239:AH239"/>
    <mergeCell ref="AI239:AV239"/>
    <mergeCell ref="AW239:AY239"/>
    <mergeCell ref="BC239:BE239"/>
    <mergeCell ref="BF239:BH239"/>
    <mergeCell ref="BI239:BL239"/>
    <mergeCell ref="BM239:BP239"/>
    <mergeCell ref="BQ239:BS239"/>
    <mergeCell ref="BT239:BW239"/>
    <mergeCell ref="BX239:BZ239"/>
    <mergeCell ref="CA239:CD239"/>
    <mergeCell ref="CE239:CG239"/>
    <mergeCell ref="CH239:CK239"/>
    <mergeCell ref="CL239:CN239"/>
    <mergeCell ref="AG240:AH240"/>
    <mergeCell ref="AI240:AV240"/>
    <mergeCell ref="AW240:AY240"/>
    <mergeCell ref="BC240:BE240"/>
    <mergeCell ref="BF240:BH240"/>
    <mergeCell ref="BI240:BL240"/>
    <mergeCell ref="BM240:BP240"/>
    <mergeCell ref="BQ240:BS240"/>
    <mergeCell ref="BT240:BW240"/>
    <mergeCell ref="BX240:BZ240"/>
    <mergeCell ref="CA240:CD240"/>
    <mergeCell ref="CE240:CG240"/>
    <mergeCell ref="CH240:CK240"/>
    <mergeCell ref="CL240:CN240"/>
    <mergeCell ref="AG241:AH241"/>
    <mergeCell ref="AI241:AV241"/>
    <mergeCell ref="AW241:AY241"/>
    <mergeCell ref="BC241:BE241"/>
    <mergeCell ref="BF241:BH241"/>
    <mergeCell ref="BI241:BL241"/>
    <mergeCell ref="BM241:BP241"/>
    <mergeCell ref="BQ241:BS241"/>
    <mergeCell ref="BT241:BW241"/>
    <mergeCell ref="BX241:BZ241"/>
    <mergeCell ref="CA241:CD241"/>
    <mergeCell ref="CE241:CG241"/>
    <mergeCell ref="CH241:CK241"/>
    <mergeCell ref="CL241:CN241"/>
    <mergeCell ref="AG242:AH242"/>
    <mergeCell ref="AI242:AV242"/>
    <mergeCell ref="AW242:AY242"/>
    <mergeCell ref="BC242:BE242"/>
    <mergeCell ref="BF242:BH242"/>
    <mergeCell ref="BI242:BL242"/>
    <mergeCell ref="BM242:BP242"/>
    <mergeCell ref="BQ242:BS242"/>
    <mergeCell ref="BT242:BW242"/>
    <mergeCell ref="BX242:BZ242"/>
    <mergeCell ref="CA242:CD242"/>
    <mergeCell ref="CE242:CG242"/>
    <mergeCell ref="CH242:CK242"/>
    <mergeCell ref="CL242:CN242"/>
    <mergeCell ref="AG243:AH243"/>
    <mergeCell ref="AI243:AV243"/>
    <mergeCell ref="AW243:AY243"/>
    <mergeCell ref="BC243:BE243"/>
    <mergeCell ref="BF243:BH243"/>
    <mergeCell ref="BI243:BL243"/>
    <mergeCell ref="BM243:BP243"/>
    <mergeCell ref="BQ243:BS243"/>
    <mergeCell ref="BT243:BW243"/>
    <mergeCell ref="BX243:BZ243"/>
    <mergeCell ref="CA243:CD243"/>
    <mergeCell ref="CE243:CG243"/>
    <mergeCell ref="CH243:CK243"/>
    <mergeCell ref="CL243:CN243"/>
    <mergeCell ref="AG244:AH244"/>
    <mergeCell ref="AI244:AV244"/>
    <mergeCell ref="AW244:AY244"/>
    <mergeCell ref="BC244:BE244"/>
    <mergeCell ref="BF244:BH244"/>
    <mergeCell ref="BI244:BL244"/>
    <mergeCell ref="BM244:BP244"/>
    <mergeCell ref="BQ244:BS244"/>
    <mergeCell ref="BT244:BW244"/>
    <mergeCell ref="BX244:BZ244"/>
    <mergeCell ref="CA244:CD244"/>
    <mergeCell ref="CE244:CG244"/>
    <mergeCell ref="CH244:CK244"/>
    <mergeCell ref="CL244:CN244"/>
    <mergeCell ref="AG245:AH245"/>
    <mergeCell ref="AI245:AV245"/>
    <mergeCell ref="AW245:AY245"/>
    <mergeCell ref="BC245:BE245"/>
    <mergeCell ref="BF245:BH245"/>
    <mergeCell ref="BI245:BL245"/>
    <mergeCell ref="BM245:BP245"/>
    <mergeCell ref="BQ245:BS245"/>
    <mergeCell ref="BT245:BW245"/>
    <mergeCell ref="BX245:BZ245"/>
    <mergeCell ref="CA245:CD245"/>
    <mergeCell ref="CE245:CG245"/>
    <mergeCell ref="CH245:CK245"/>
    <mergeCell ref="CL245:CN245"/>
    <mergeCell ref="AG246:AH246"/>
    <mergeCell ref="AI246:AV246"/>
    <mergeCell ref="AW246:AY246"/>
    <mergeCell ref="BC246:BE246"/>
    <mergeCell ref="BF246:BH246"/>
    <mergeCell ref="BI246:BL246"/>
    <mergeCell ref="BM246:BP246"/>
    <mergeCell ref="BQ246:BS246"/>
    <mergeCell ref="BT246:BW246"/>
    <mergeCell ref="BX246:BZ246"/>
    <mergeCell ref="CA246:CD246"/>
    <mergeCell ref="CE246:CG246"/>
    <mergeCell ref="CH246:CK246"/>
    <mergeCell ref="CL246:CN246"/>
    <mergeCell ref="AG247:AH247"/>
    <mergeCell ref="AI247:AV247"/>
    <mergeCell ref="AW247:AY247"/>
    <mergeCell ref="BC247:BE247"/>
    <mergeCell ref="BF247:BH247"/>
    <mergeCell ref="BI247:BL247"/>
    <mergeCell ref="BM247:BP247"/>
    <mergeCell ref="BQ247:BS247"/>
    <mergeCell ref="BT247:BW247"/>
    <mergeCell ref="BX247:BZ247"/>
    <mergeCell ref="CA247:CD247"/>
    <mergeCell ref="CE247:CG247"/>
    <mergeCell ref="CH247:CK247"/>
    <mergeCell ref="CL247:CN247"/>
    <mergeCell ref="AG248:AH248"/>
    <mergeCell ref="AI248:AV248"/>
    <mergeCell ref="AW248:AY248"/>
    <mergeCell ref="BC248:BE248"/>
    <mergeCell ref="BF248:BH248"/>
    <mergeCell ref="BI248:BL248"/>
    <mergeCell ref="BM248:BP248"/>
    <mergeCell ref="BQ248:BS248"/>
    <mergeCell ref="BT248:BW248"/>
    <mergeCell ref="BX248:BZ248"/>
    <mergeCell ref="CA248:CD248"/>
    <mergeCell ref="CE248:CG248"/>
    <mergeCell ref="CH248:CK248"/>
    <mergeCell ref="CL248:CN248"/>
    <mergeCell ref="AG249:AH249"/>
    <mergeCell ref="AI249:AV249"/>
    <mergeCell ref="AW249:AY249"/>
    <mergeCell ref="BC249:BE249"/>
    <mergeCell ref="BF249:BH249"/>
    <mergeCell ref="BI249:BL249"/>
    <mergeCell ref="BM249:BP249"/>
    <mergeCell ref="BQ249:BS249"/>
    <mergeCell ref="BT249:BW249"/>
    <mergeCell ref="BX249:BZ249"/>
    <mergeCell ref="CA249:CD249"/>
    <mergeCell ref="CE249:CG249"/>
    <mergeCell ref="CH249:CK249"/>
    <mergeCell ref="CL249:CN249"/>
    <mergeCell ref="AG250:AH250"/>
    <mergeCell ref="AI250:AV250"/>
    <mergeCell ref="AW250:AY250"/>
    <mergeCell ref="BC250:BE250"/>
    <mergeCell ref="BF250:BH250"/>
    <mergeCell ref="BI250:BL250"/>
    <mergeCell ref="BM250:BP250"/>
    <mergeCell ref="BQ250:BS250"/>
    <mergeCell ref="BT250:BW250"/>
    <mergeCell ref="BX250:BZ250"/>
    <mergeCell ref="CA250:CD250"/>
    <mergeCell ref="CE250:CG250"/>
    <mergeCell ref="CH250:CK250"/>
    <mergeCell ref="CL250:CN250"/>
    <mergeCell ref="AG251:AH251"/>
    <mergeCell ref="AI251:AV251"/>
    <mergeCell ref="AW251:AY251"/>
    <mergeCell ref="BC251:BE251"/>
    <mergeCell ref="BF251:BH251"/>
    <mergeCell ref="BI251:BL251"/>
    <mergeCell ref="BM251:BP251"/>
    <mergeCell ref="BQ251:BS251"/>
    <mergeCell ref="BT251:BW251"/>
    <mergeCell ref="BX251:BZ251"/>
    <mergeCell ref="CA251:CD251"/>
    <mergeCell ref="CE251:CG251"/>
    <mergeCell ref="CH251:CK251"/>
    <mergeCell ref="CL251:CN251"/>
    <mergeCell ref="AG252:AH252"/>
    <mergeCell ref="AI252:AV252"/>
    <mergeCell ref="AW252:AY252"/>
    <mergeCell ref="BC252:BE252"/>
    <mergeCell ref="BF252:BH252"/>
    <mergeCell ref="BI252:BL252"/>
    <mergeCell ref="BM252:BP252"/>
    <mergeCell ref="BQ252:BS252"/>
    <mergeCell ref="BT252:BW252"/>
    <mergeCell ref="BX252:BZ252"/>
    <mergeCell ref="CA252:CD252"/>
    <mergeCell ref="CE252:CG252"/>
    <mergeCell ref="CH252:CK252"/>
    <mergeCell ref="CL252:CN252"/>
    <mergeCell ref="AG253:AH253"/>
    <mergeCell ref="AI253:AV253"/>
    <mergeCell ref="AW253:AY253"/>
    <mergeCell ref="BC253:BE253"/>
    <mergeCell ref="BF253:BH253"/>
    <mergeCell ref="BI253:BL253"/>
    <mergeCell ref="BM253:BP253"/>
    <mergeCell ref="BQ253:BS253"/>
    <mergeCell ref="BT253:BW253"/>
    <mergeCell ref="BX253:BZ253"/>
    <mergeCell ref="CA253:CD253"/>
    <mergeCell ref="CE253:CG253"/>
    <mergeCell ref="CH253:CK253"/>
    <mergeCell ref="CL253:CN253"/>
    <mergeCell ref="AG254:AH254"/>
    <mergeCell ref="AI254:AV254"/>
    <mergeCell ref="AW254:AY254"/>
    <mergeCell ref="BC254:BE254"/>
    <mergeCell ref="BF254:BH254"/>
    <mergeCell ref="BI254:BL254"/>
    <mergeCell ref="BM254:BP254"/>
    <mergeCell ref="BQ254:BS254"/>
    <mergeCell ref="BT254:BW254"/>
    <mergeCell ref="BX254:BZ254"/>
    <mergeCell ref="CA254:CD254"/>
    <mergeCell ref="CE254:CG254"/>
    <mergeCell ref="CH254:CK254"/>
    <mergeCell ref="CL254:CN254"/>
    <mergeCell ref="AG255:AH255"/>
    <mergeCell ref="AI255:AV255"/>
    <mergeCell ref="AW255:AY255"/>
    <mergeCell ref="BC255:BE255"/>
    <mergeCell ref="BF255:BH255"/>
    <mergeCell ref="BI255:BL255"/>
    <mergeCell ref="BM255:BP255"/>
    <mergeCell ref="BQ255:BS255"/>
    <mergeCell ref="BT255:BW255"/>
    <mergeCell ref="BX255:BZ255"/>
    <mergeCell ref="CA255:CD255"/>
    <mergeCell ref="CE255:CG255"/>
    <mergeCell ref="CH255:CK255"/>
    <mergeCell ref="CL255:CN255"/>
    <mergeCell ref="AG256:AH256"/>
    <mergeCell ref="AI256:AV256"/>
    <mergeCell ref="AW256:AY256"/>
    <mergeCell ref="BC256:BE256"/>
    <mergeCell ref="BF256:BH256"/>
    <mergeCell ref="BI256:BL256"/>
    <mergeCell ref="BM256:BP256"/>
    <mergeCell ref="BQ256:BS256"/>
    <mergeCell ref="BT256:BW256"/>
    <mergeCell ref="BX256:BZ256"/>
    <mergeCell ref="CA256:CD256"/>
    <mergeCell ref="CE256:CG256"/>
    <mergeCell ref="CH256:CK256"/>
    <mergeCell ref="CL256:CN256"/>
    <mergeCell ref="AG257:AH257"/>
    <mergeCell ref="AI257:AV257"/>
    <mergeCell ref="AW257:AY257"/>
    <mergeCell ref="BC257:BE257"/>
    <mergeCell ref="BF257:BH257"/>
    <mergeCell ref="BI257:BL257"/>
    <mergeCell ref="BM257:BP257"/>
    <mergeCell ref="BQ257:BS257"/>
    <mergeCell ref="BT257:BW257"/>
    <mergeCell ref="BX257:BZ257"/>
    <mergeCell ref="CA257:CD257"/>
    <mergeCell ref="CE257:CG257"/>
    <mergeCell ref="CH257:CK257"/>
    <mergeCell ref="CL257:CN257"/>
    <mergeCell ref="AG258:AH258"/>
    <mergeCell ref="AI258:AV258"/>
    <mergeCell ref="AW258:AY258"/>
    <mergeCell ref="BC258:BE258"/>
    <mergeCell ref="BF258:BH258"/>
    <mergeCell ref="BI258:BL258"/>
    <mergeCell ref="BM258:BP258"/>
    <mergeCell ref="BQ258:BS258"/>
    <mergeCell ref="BT258:BW258"/>
    <mergeCell ref="BX258:BZ258"/>
    <mergeCell ref="CA258:CD258"/>
    <mergeCell ref="CE258:CG258"/>
    <mergeCell ref="CH258:CK258"/>
    <mergeCell ref="CL258:CN258"/>
    <mergeCell ref="AG259:AH259"/>
    <mergeCell ref="AI259:AV259"/>
    <mergeCell ref="AW259:AY259"/>
    <mergeCell ref="BC259:BE259"/>
    <mergeCell ref="BF259:BH259"/>
    <mergeCell ref="BI259:BL259"/>
    <mergeCell ref="BM259:BP259"/>
    <mergeCell ref="BQ259:BS259"/>
    <mergeCell ref="BT259:BW259"/>
    <mergeCell ref="BX259:BZ259"/>
    <mergeCell ref="CA259:CD259"/>
    <mergeCell ref="CE259:CG259"/>
    <mergeCell ref="CH259:CK259"/>
    <mergeCell ref="CL259:CN259"/>
    <mergeCell ref="AG260:AH260"/>
    <mergeCell ref="AI260:AV260"/>
    <mergeCell ref="AW260:AY260"/>
    <mergeCell ref="BC260:BE260"/>
    <mergeCell ref="BF260:BH260"/>
    <mergeCell ref="BI260:BL260"/>
    <mergeCell ref="BM260:BP260"/>
    <mergeCell ref="BQ260:BS260"/>
    <mergeCell ref="BT260:BW260"/>
    <mergeCell ref="BX260:BZ260"/>
    <mergeCell ref="CA260:CD260"/>
    <mergeCell ref="CE260:CG260"/>
    <mergeCell ref="CH260:CK260"/>
    <mergeCell ref="CL260:CN260"/>
    <mergeCell ref="AG261:AH261"/>
    <mergeCell ref="AI261:AV261"/>
    <mergeCell ref="AW261:AY261"/>
    <mergeCell ref="BC261:BE261"/>
    <mergeCell ref="BF261:BH261"/>
    <mergeCell ref="BI261:BL261"/>
    <mergeCell ref="BM261:BP261"/>
    <mergeCell ref="BQ261:BS261"/>
    <mergeCell ref="BT261:BW261"/>
    <mergeCell ref="BX261:BZ261"/>
    <mergeCell ref="CA261:CD261"/>
    <mergeCell ref="CE261:CG261"/>
    <mergeCell ref="CH261:CK261"/>
    <mergeCell ref="CL261:CN261"/>
    <mergeCell ref="AG262:AH262"/>
    <mergeCell ref="AI262:AV262"/>
    <mergeCell ref="AW262:AY262"/>
    <mergeCell ref="BC262:BE262"/>
    <mergeCell ref="BF262:BH262"/>
    <mergeCell ref="BI262:BL262"/>
    <mergeCell ref="BM262:BP262"/>
    <mergeCell ref="BQ262:BS262"/>
    <mergeCell ref="BT262:BW262"/>
    <mergeCell ref="BX262:BZ262"/>
    <mergeCell ref="CA262:CD262"/>
    <mergeCell ref="CE262:CG262"/>
    <mergeCell ref="CH262:CK262"/>
    <mergeCell ref="CL262:CN262"/>
    <mergeCell ref="AG263:AH263"/>
    <mergeCell ref="AI263:AV263"/>
    <mergeCell ref="AW263:AY263"/>
    <mergeCell ref="BC263:BE263"/>
    <mergeCell ref="BF263:BH263"/>
    <mergeCell ref="BI263:BL263"/>
    <mergeCell ref="BM263:BP263"/>
    <mergeCell ref="BQ263:BS263"/>
    <mergeCell ref="BT263:BW263"/>
    <mergeCell ref="BX263:BZ263"/>
    <mergeCell ref="CA263:CD263"/>
    <mergeCell ref="CE263:CG263"/>
    <mergeCell ref="CH263:CK263"/>
    <mergeCell ref="CL263:CN263"/>
    <mergeCell ref="AG264:AH264"/>
    <mergeCell ref="AI264:AV264"/>
    <mergeCell ref="AW264:AY264"/>
    <mergeCell ref="BC264:BE264"/>
    <mergeCell ref="BF264:BH264"/>
    <mergeCell ref="BI264:BL264"/>
    <mergeCell ref="BM264:BP264"/>
    <mergeCell ref="BQ264:BS264"/>
    <mergeCell ref="BT264:BW264"/>
    <mergeCell ref="BX264:BZ264"/>
    <mergeCell ref="CA264:CD264"/>
    <mergeCell ref="CE264:CG264"/>
    <mergeCell ref="CH264:CK264"/>
    <mergeCell ref="CL264:CN264"/>
    <mergeCell ref="AG265:AH265"/>
    <mergeCell ref="AI265:AV265"/>
    <mergeCell ref="AW265:AY265"/>
    <mergeCell ref="BC265:BE265"/>
    <mergeCell ref="BF265:BH265"/>
    <mergeCell ref="BI265:BL265"/>
    <mergeCell ref="BM265:BP265"/>
    <mergeCell ref="BQ265:BS265"/>
    <mergeCell ref="BT265:BW265"/>
    <mergeCell ref="BX265:BZ265"/>
    <mergeCell ref="CA265:CD265"/>
    <mergeCell ref="CE265:CG265"/>
    <mergeCell ref="CH265:CK265"/>
    <mergeCell ref="CL265:CN265"/>
    <mergeCell ref="AG266:AH266"/>
    <mergeCell ref="AI266:AV266"/>
    <mergeCell ref="AW266:AY266"/>
    <mergeCell ref="BC266:BE266"/>
    <mergeCell ref="BF266:BH266"/>
    <mergeCell ref="BI266:BL266"/>
    <mergeCell ref="BM266:BP266"/>
    <mergeCell ref="BQ266:BS266"/>
    <mergeCell ref="BT266:BW266"/>
    <mergeCell ref="BX266:BZ266"/>
    <mergeCell ref="CA266:CD266"/>
    <mergeCell ref="CE266:CG266"/>
    <mergeCell ref="CH266:CK266"/>
    <mergeCell ref="CL266:CN266"/>
    <mergeCell ref="AG267:AH267"/>
    <mergeCell ref="AI267:AV267"/>
    <mergeCell ref="AW267:AY267"/>
    <mergeCell ref="BC267:BE267"/>
    <mergeCell ref="BF267:BH267"/>
    <mergeCell ref="BI267:BL267"/>
    <mergeCell ref="BM267:BP267"/>
    <mergeCell ref="BQ267:BS267"/>
    <mergeCell ref="BT267:BW267"/>
    <mergeCell ref="BX267:BZ267"/>
    <mergeCell ref="CA267:CD267"/>
    <mergeCell ref="CE267:CG267"/>
    <mergeCell ref="CH267:CK267"/>
    <mergeCell ref="CL267:CN267"/>
    <mergeCell ref="AG268:AH268"/>
    <mergeCell ref="AI268:AV268"/>
    <mergeCell ref="AW268:AY268"/>
    <mergeCell ref="BC268:BE268"/>
    <mergeCell ref="BF268:BH268"/>
    <mergeCell ref="BI268:BL268"/>
    <mergeCell ref="BM268:BP268"/>
    <mergeCell ref="BQ268:BS268"/>
    <mergeCell ref="BT268:BW268"/>
    <mergeCell ref="BX268:BZ268"/>
    <mergeCell ref="CA268:CD268"/>
    <mergeCell ref="CE268:CG268"/>
    <mergeCell ref="CH268:CK268"/>
    <mergeCell ref="CL268:CN268"/>
    <mergeCell ref="AG269:AH269"/>
    <mergeCell ref="AI269:AV269"/>
    <mergeCell ref="AW269:AY269"/>
    <mergeCell ref="BC269:BE269"/>
    <mergeCell ref="BF269:BH269"/>
    <mergeCell ref="BI269:BL269"/>
    <mergeCell ref="BM269:BP269"/>
    <mergeCell ref="BQ269:BS269"/>
    <mergeCell ref="BT269:BW269"/>
    <mergeCell ref="BX269:BZ269"/>
    <mergeCell ref="CA269:CD269"/>
    <mergeCell ref="CE269:CG269"/>
    <mergeCell ref="CH269:CK269"/>
    <mergeCell ref="CL269:CN269"/>
    <mergeCell ref="AG270:AH270"/>
    <mergeCell ref="AI270:AV270"/>
    <mergeCell ref="AW270:AY270"/>
    <mergeCell ref="BC270:BE270"/>
    <mergeCell ref="BF270:BH270"/>
    <mergeCell ref="BI270:BL270"/>
    <mergeCell ref="BM270:BP270"/>
    <mergeCell ref="BQ270:BS270"/>
    <mergeCell ref="BT270:BW270"/>
    <mergeCell ref="BX270:BZ270"/>
    <mergeCell ref="CA270:CD270"/>
    <mergeCell ref="CE270:CG270"/>
    <mergeCell ref="CH270:CK270"/>
    <mergeCell ref="CL270:CN270"/>
    <mergeCell ref="AG271:AH271"/>
    <mergeCell ref="AI271:AV271"/>
    <mergeCell ref="AW271:AY271"/>
    <mergeCell ref="BC271:BE271"/>
    <mergeCell ref="BF271:BH271"/>
    <mergeCell ref="BI271:BL271"/>
    <mergeCell ref="BM271:BP271"/>
    <mergeCell ref="BQ271:BS271"/>
    <mergeCell ref="BT271:BW271"/>
    <mergeCell ref="BX271:BZ271"/>
    <mergeCell ref="CA271:CD271"/>
    <mergeCell ref="CE271:CG271"/>
    <mergeCell ref="CH271:CK271"/>
    <mergeCell ref="CL271:CN271"/>
    <mergeCell ref="AG272:AH272"/>
    <mergeCell ref="AI272:AV272"/>
    <mergeCell ref="AW272:AY272"/>
    <mergeCell ref="BC272:BE272"/>
    <mergeCell ref="BF272:BH272"/>
    <mergeCell ref="BI272:BL272"/>
    <mergeCell ref="BM272:BP272"/>
    <mergeCell ref="BQ272:BS272"/>
    <mergeCell ref="BT272:BW272"/>
    <mergeCell ref="BX272:BZ272"/>
    <mergeCell ref="CA272:CD272"/>
    <mergeCell ref="CE272:CG272"/>
    <mergeCell ref="CH272:CK272"/>
    <mergeCell ref="CL272:CN272"/>
    <mergeCell ref="AG273:AH273"/>
    <mergeCell ref="AI273:AV273"/>
    <mergeCell ref="AW273:AY273"/>
    <mergeCell ref="BC273:BE273"/>
    <mergeCell ref="BF273:BH273"/>
    <mergeCell ref="BI273:BL273"/>
    <mergeCell ref="BM273:BP273"/>
    <mergeCell ref="BQ273:BS273"/>
    <mergeCell ref="BT273:BW273"/>
    <mergeCell ref="BX273:BZ273"/>
    <mergeCell ref="CA273:CD273"/>
    <mergeCell ref="CE273:CG273"/>
    <mergeCell ref="CH273:CK273"/>
    <mergeCell ref="CL273:CN273"/>
    <mergeCell ref="AG274:AH274"/>
    <mergeCell ref="AI274:AV274"/>
    <mergeCell ref="AW274:AY274"/>
    <mergeCell ref="BC274:BE274"/>
    <mergeCell ref="BF274:BH274"/>
    <mergeCell ref="BI274:BL274"/>
    <mergeCell ref="BM274:BP274"/>
    <mergeCell ref="BQ274:BS274"/>
    <mergeCell ref="BT274:BW274"/>
    <mergeCell ref="BX274:BZ274"/>
    <mergeCell ref="CA274:CD274"/>
    <mergeCell ref="CE274:CG274"/>
    <mergeCell ref="CH274:CK274"/>
    <mergeCell ref="CL274:CN274"/>
    <mergeCell ref="AG275:AH275"/>
    <mergeCell ref="AI275:AV275"/>
    <mergeCell ref="AW275:AY275"/>
    <mergeCell ref="BC275:BE275"/>
    <mergeCell ref="BF275:BH275"/>
    <mergeCell ref="BI275:BL275"/>
    <mergeCell ref="BM275:BP275"/>
    <mergeCell ref="BQ275:BS275"/>
    <mergeCell ref="BT275:BW275"/>
    <mergeCell ref="BX275:BZ275"/>
    <mergeCell ref="CA275:CD275"/>
    <mergeCell ref="CE275:CG275"/>
    <mergeCell ref="CH275:CK275"/>
    <mergeCell ref="CL275:CN275"/>
    <mergeCell ref="AG276:AH276"/>
    <mergeCell ref="AI276:AV276"/>
    <mergeCell ref="AW276:AY276"/>
    <mergeCell ref="BC276:BE276"/>
    <mergeCell ref="BF276:BH276"/>
    <mergeCell ref="BI276:BL276"/>
    <mergeCell ref="BM276:BP276"/>
    <mergeCell ref="BQ276:BS276"/>
    <mergeCell ref="BT276:BW276"/>
    <mergeCell ref="BX276:BZ276"/>
    <mergeCell ref="CA276:CD276"/>
    <mergeCell ref="CE276:CG276"/>
    <mergeCell ref="CH276:CK276"/>
    <mergeCell ref="CL276:CN276"/>
    <mergeCell ref="AG277:AH277"/>
    <mergeCell ref="AI277:AV277"/>
    <mergeCell ref="AW277:AY277"/>
    <mergeCell ref="BC277:BE277"/>
    <mergeCell ref="BF277:BH277"/>
    <mergeCell ref="BI277:BL277"/>
    <mergeCell ref="BM277:BP277"/>
    <mergeCell ref="BQ277:BS277"/>
    <mergeCell ref="BT277:BW277"/>
    <mergeCell ref="BX277:BZ277"/>
    <mergeCell ref="CA277:CD277"/>
    <mergeCell ref="CE277:CG277"/>
    <mergeCell ref="CH277:CK277"/>
    <mergeCell ref="CL277:CN277"/>
    <mergeCell ref="AG278:AH278"/>
    <mergeCell ref="AI278:AV278"/>
    <mergeCell ref="AW278:AY278"/>
    <mergeCell ref="BC278:BE278"/>
    <mergeCell ref="BF278:BH278"/>
    <mergeCell ref="BI278:BL278"/>
    <mergeCell ref="BM278:BP278"/>
    <mergeCell ref="BQ278:BS278"/>
    <mergeCell ref="BT278:BW278"/>
    <mergeCell ref="BX278:BZ278"/>
    <mergeCell ref="CA278:CD278"/>
    <mergeCell ref="CE278:CG278"/>
    <mergeCell ref="CH278:CK278"/>
    <mergeCell ref="CL278:CN278"/>
    <mergeCell ref="AG279:AH279"/>
    <mergeCell ref="AI279:AV279"/>
    <mergeCell ref="AW279:AY279"/>
    <mergeCell ref="BC279:BE279"/>
    <mergeCell ref="BF279:BH279"/>
    <mergeCell ref="BI279:BL279"/>
    <mergeCell ref="BM279:BP279"/>
    <mergeCell ref="BQ279:BS279"/>
    <mergeCell ref="BT279:BW279"/>
    <mergeCell ref="BX279:BZ279"/>
    <mergeCell ref="CA279:CD279"/>
    <mergeCell ref="CE279:CG279"/>
    <mergeCell ref="CH279:CK279"/>
    <mergeCell ref="CL279:CN279"/>
    <mergeCell ref="AG280:AH280"/>
    <mergeCell ref="AI280:AV280"/>
    <mergeCell ref="AW280:AY280"/>
    <mergeCell ref="BC280:BE280"/>
    <mergeCell ref="BF280:BH280"/>
    <mergeCell ref="BI280:BL280"/>
    <mergeCell ref="BM280:BP280"/>
    <mergeCell ref="BQ280:BS280"/>
    <mergeCell ref="BT280:BW280"/>
    <mergeCell ref="BX280:BZ280"/>
    <mergeCell ref="CA280:CD280"/>
    <mergeCell ref="CE280:CG280"/>
    <mergeCell ref="CH280:CK280"/>
    <mergeCell ref="CL280:CN280"/>
    <mergeCell ref="AG281:AH281"/>
    <mergeCell ref="AI281:AV281"/>
    <mergeCell ref="AW281:AY281"/>
    <mergeCell ref="BC281:BE281"/>
    <mergeCell ref="BF281:BH281"/>
    <mergeCell ref="BI281:BL281"/>
    <mergeCell ref="BM281:BP281"/>
    <mergeCell ref="BQ281:BS281"/>
    <mergeCell ref="BT281:BW281"/>
    <mergeCell ref="BX281:BZ281"/>
    <mergeCell ref="CA281:CD281"/>
    <mergeCell ref="CE281:CG281"/>
    <mergeCell ref="CH281:CK281"/>
    <mergeCell ref="CL281:CN281"/>
    <mergeCell ref="AG282:AH282"/>
    <mergeCell ref="AI282:AV282"/>
    <mergeCell ref="AW282:AY282"/>
    <mergeCell ref="BC282:BE282"/>
    <mergeCell ref="BF282:BH282"/>
    <mergeCell ref="BI282:BL282"/>
    <mergeCell ref="BM282:BP282"/>
    <mergeCell ref="BQ282:BS282"/>
    <mergeCell ref="BT282:BW282"/>
    <mergeCell ref="BX282:BZ282"/>
    <mergeCell ref="CA282:CD282"/>
    <mergeCell ref="CE282:CG282"/>
    <mergeCell ref="CH282:CK282"/>
    <mergeCell ref="CL282:CN282"/>
    <mergeCell ref="AG283:AH283"/>
    <mergeCell ref="AI283:AV283"/>
    <mergeCell ref="AW283:AY283"/>
    <mergeCell ref="BC283:BE283"/>
    <mergeCell ref="BF283:BH283"/>
    <mergeCell ref="BI283:BL283"/>
    <mergeCell ref="BM283:BP283"/>
    <mergeCell ref="BQ283:BS283"/>
    <mergeCell ref="BT283:BW283"/>
    <mergeCell ref="BX283:BZ283"/>
    <mergeCell ref="CA283:CD283"/>
    <mergeCell ref="CE283:CG283"/>
    <mergeCell ref="CH283:CK283"/>
    <mergeCell ref="CL283:CN283"/>
    <mergeCell ref="AG284:AH284"/>
    <mergeCell ref="AI284:AV284"/>
    <mergeCell ref="AW284:AY284"/>
    <mergeCell ref="BC284:BE284"/>
    <mergeCell ref="BF284:BH284"/>
    <mergeCell ref="BI284:BL284"/>
    <mergeCell ref="BM284:BP284"/>
    <mergeCell ref="BQ284:BS284"/>
    <mergeCell ref="BT284:BW284"/>
    <mergeCell ref="BX284:BZ284"/>
    <mergeCell ref="CA284:CD284"/>
    <mergeCell ref="CE284:CG284"/>
    <mergeCell ref="CH284:CK284"/>
    <mergeCell ref="CL284:CN284"/>
    <mergeCell ref="AG285:AH285"/>
    <mergeCell ref="AI285:AV285"/>
    <mergeCell ref="AW285:AY285"/>
    <mergeCell ref="BC285:BE285"/>
    <mergeCell ref="BF285:BH285"/>
    <mergeCell ref="BI285:BL285"/>
    <mergeCell ref="BM285:BP285"/>
    <mergeCell ref="BQ285:BS285"/>
    <mergeCell ref="BT285:BW285"/>
    <mergeCell ref="BX285:BZ285"/>
    <mergeCell ref="CA285:CD285"/>
    <mergeCell ref="CE285:CG285"/>
    <mergeCell ref="CH285:CK285"/>
    <mergeCell ref="CL285:CN285"/>
    <mergeCell ref="AG286:AH286"/>
    <mergeCell ref="AI286:AV286"/>
    <mergeCell ref="AW286:AY286"/>
    <mergeCell ref="BC286:BE286"/>
    <mergeCell ref="BF286:BH286"/>
    <mergeCell ref="BI286:BL286"/>
    <mergeCell ref="BM286:BP286"/>
    <mergeCell ref="BQ286:BS286"/>
    <mergeCell ref="BT286:BW286"/>
    <mergeCell ref="BX286:BZ286"/>
    <mergeCell ref="CA286:CD286"/>
    <mergeCell ref="CE286:CG286"/>
    <mergeCell ref="CH286:CK286"/>
    <mergeCell ref="CL286:CN286"/>
    <mergeCell ref="AG287:AH287"/>
    <mergeCell ref="AI287:AV287"/>
    <mergeCell ref="AW287:AY287"/>
    <mergeCell ref="BC287:BE287"/>
    <mergeCell ref="BF287:BH287"/>
    <mergeCell ref="BI287:BL287"/>
    <mergeCell ref="BM287:BP287"/>
    <mergeCell ref="BQ287:BS287"/>
    <mergeCell ref="BT287:BW287"/>
    <mergeCell ref="BX287:BZ287"/>
    <mergeCell ref="CA287:CD287"/>
    <mergeCell ref="CE287:CG287"/>
    <mergeCell ref="CH287:CK287"/>
    <mergeCell ref="CL287:CN287"/>
    <mergeCell ref="AG288:AH288"/>
    <mergeCell ref="AI288:AV288"/>
    <mergeCell ref="AW288:AY288"/>
    <mergeCell ref="BC288:BE288"/>
    <mergeCell ref="BF288:BH288"/>
    <mergeCell ref="BI288:BL288"/>
    <mergeCell ref="BM288:BP288"/>
    <mergeCell ref="BQ288:BS288"/>
    <mergeCell ref="BT288:BW288"/>
    <mergeCell ref="BX288:BZ288"/>
    <mergeCell ref="CA288:CD288"/>
    <mergeCell ref="CE288:CG288"/>
    <mergeCell ref="CH288:CK288"/>
    <mergeCell ref="CL288:CN288"/>
    <mergeCell ref="AG289:AH289"/>
    <mergeCell ref="AI289:AV289"/>
    <mergeCell ref="AW289:AY289"/>
    <mergeCell ref="BC289:BE289"/>
    <mergeCell ref="BF289:BH289"/>
    <mergeCell ref="BI289:BL289"/>
    <mergeCell ref="BM289:BP289"/>
    <mergeCell ref="BQ289:BS289"/>
    <mergeCell ref="BT289:BW289"/>
    <mergeCell ref="BX289:BZ289"/>
    <mergeCell ref="CA289:CD289"/>
    <mergeCell ref="CE289:CG289"/>
    <mergeCell ref="CH289:CK289"/>
    <mergeCell ref="CL289:CN289"/>
    <mergeCell ref="AG290:AH290"/>
    <mergeCell ref="AI290:AV290"/>
    <mergeCell ref="AW290:AY290"/>
    <mergeCell ref="BC290:BE290"/>
    <mergeCell ref="BF290:BH290"/>
    <mergeCell ref="BI290:BL290"/>
    <mergeCell ref="BM290:BP290"/>
    <mergeCell ref="BQ290:BS290"/>
    <mergeCell ref="BT290:BW290"/>
    <mergeCell ref="BX290:BZ290"/>
    <mergeCell ref="CA290:CD290"/>
    <mergeCell ref="CE290:CG290"/>
    <mergeCell ref="CH290:CK290"/>
    <mergeCell ref="CL290:CN290"/>
    <mergeCell ref="AG291:AH291"/>
    <mergeCell ref="AI291:AV291"/>
    <mergeCell ref="AW291:AY291"/>
    <mergeCell ref="BC291:BE291"/>
    <mergeCell ref="BF291:BH291"/>
    <mergeCell ref="BI291:BL291"/>
    <mergeCell ref="BM291:BP291"/>
    <mergeCell ref="BQ291:BS291"/>
    <mergeCell ref="BT291:BW291"/>
    <mergeCell ref="BX291:BZ291"/>
    <mergeCell ref="CA291:CD291"/>
    <mergeCell ref="CE291:CG291"/>
    <mergeCell ref="CH291:CK291"/>
    <mergeCell ref="CL291:CN291"/>
    <mergeCell ref="AG292:AH292"/>
    <mergeCell ref="AI292:AV292"/>
    <mergeCell ref="AW292:AY292"/>
    <mergeCell ref="BC292:BE292"/>
    <mergeCell ref="BF292:BH292"/>
    <mergeCell ref="BI292:BL292"/>
    <mergeCell ref="BM292:BP292"/>
    <mergeCell ref="BQ292:BS292"/>
    <mergeCell ref="BT292:BW292"/>
    <mergeCell ref="BX292:BZ292"/>
    <mergeCell ref="CA292:CD292"/>
    <mergeCell ref="CE292:CG292"/>
    <mergeCell ref="CH292:CK292"/>
    <mergeCell ref="CL292:CN292"/>
    <mergeCell ref="AG293:AH293"/>
    <mergeCell ref="AI293:AV293"/>
    <mergeCell ref="AW293:AY293"/>
    <mergeCell ref="BC293:BE293"/>
    <mergeCell ref="BF293:BH293"/>
    <mergeCell ref="BI293:BL293"/>
    <mergeCell ref="BM293:BP293"/>
    <mergeCell ref="BQ293:BS293"/>
    <mergeCell ref="BT293:BW293"/>
    <mergeCell ref="BX293:BZ293"/>
    <mergeCell ref="CA293:CD293"/>
    <mergeCell ref="CE293:CG293"/>
    <mergeCell ref="CH293:CK293"/>
    <mergeCell ref="CL293:CN293"/>
    <mergeCell ref="AG294:AH294"/>
    <mergeCell ref="AI294:AV294"/>
    <mergeCell ref="AW294:AY294"/>
    <mergeCell ref="BC294:BE294"/>
    <mergeCell ref="BF294:BH294"/>
    <mergeCell ref="BI294:BL294"/>
    <mergeCell ref="BM294:BP294"/>
    <mergeCell ref="BQ294:BS294"/>
    <mergeCell ref="BT294:BW294"/>
    <mergeCell ref="BX294:BZ294"/>
    <mergeCell ref="CA294:CD294"/>
    <mergeCell ref="CE294:CG294"/>
    <mergeCell ref="CH294:CK294"/>
    <mergeCell ref="CL294:CN294"/>
    <mergeCell ref="AG295:AH295"/>
    <mergeCell ref="AI295:AV295"/>
    <mergeCell ref="AW295:AY295"/>
    <mergeCell ref="BC295:BE295"/>
    <mergeCell ref="BF295:BH295"/>
    <mergeCell ref="BI295:BL295"/>
    <mergeCell ref="BM295:BP295"/>
    <mergeCell ref="BQ295:BS295"/>
    <mergeCell ref="BT295:BW295"/>
    <mergeCell ref="BX295:BZ295"/>
    <mergeCell ref="CA295:CD295"/>
    <mergeCell ref="CE295:CG295"/>
    <mergeCell ref="CH295:CK295"/>
    <mergeCell ref="CL295:CN295"/>
    <mergeCell ref="AG296:AH296"/>
    <mergeCell ref="AI296:AV296"/>
    <mergeCell ref="AW296:AY296"/>
    <mergeCell ref="BC296:BE296"/>
    <mergeCell ref="BF296:BH296"/>
    <mergeCell ref="BI296:BL296"/>
    <mergeCell ref="BM296:BP296"/>
    <mergeCell ref="BQ296:BS296"/>
    <mergeCell ref="BT296:BW296"/>
    <mergeCell ref="BX296:BZ296"/>
    <mergeCell ref="CA296:CD296"/>
    <mergeCell ref="CE296:CG296"/>
    <mergeCell ref="CH296:CK296"/>
    <mergeCell ref="CL296:CN296"/>
    <mergeCell ref="AG297:AH297"/>
    <mergeCell ref="AI297:AV297"/>
    <mergeCell ref="AW297:AY297"/>
    <mergeCell ref="BC297:BE297"/>
    <mergeCell ref="BF297:BH297"/>
    <mergeCell ref="BI297:BL297"/>
    <mergeCell ref="BM297:BP297"/>
    <mergeCell ref="BQ297:BS297"/>
    <mergeCell ref="BT297:BW297"/>
    <mergeCell ref="BX297:BZ297"/>
    <mergeCell ref="CA297:CD297"/>
    <mergeCell ref="CE297:CG297"/>
    <mergeCell ref="CH297:CK297"/>
    <mergeCell ref="CL297:CN297"/>
    <mergeCell ref="AG298:AH298"/>
    <mergeCell ref="AI298:AV298"/>
    <mergeCell ref="AW298:AY298"/>
    <mergeCell ref="BC298:BE298"/>
    <mergeCell ref="BF298:BH298"/>
    <mergeCell ref="BI298:BL298"/>
    <mergeCell ref="BM298:BP298"/>
    <mergeCell ref="BQ298:BS298"/>
    <mergeCell ref="BT298:BW298"/>
    <mergeCell ref="BX298:BZ298"/>
    <mergeCell ref="CA298:CD298"/>
    <mergeCell ref="CE298:CG298"/>
    <mergeCell ref="CH298:CK298"/>
    <mergeCell ref="CL298:CN298"/>
    <mergeCell ref="AG299:AH299"/>
    <mergeCell ref="AI299:AV299"/>
    <mergeCell ref="AW299:AY299"/>
    <mergeCell ref="BC299:BE299"/>
    <mergeCell ref="BF299:BH299"/>
    <mergeCell ref="BI299:BL299"/>
    <mergeCell ref="BM299:BP299"/>
    <mergeCell ref="BQ299:BS299"/>
    <mergeCell ref="BT299:BW299"/>
    <mergeCell ref="BX299:BZ299"/>
    <mergeCell ref="CA299:CD299"/>
    <mergeCell ref="CE299:CG299"/>
    <mergeCell ref="CH299:CK299"/>
    <mergeCell ref="CL299:CN299"/>
    <mergeCell ref="AG300:AH300"/>
    <mergeCell ref="AI300:AV300"/>
    <mergeCell ref="AW300:AY300"/>
    <mergeCell ref="BC300:BE300"/>
    <mergeCell ref="BF300:BH300"/>
    <mergeCell ref="BI300:BL300"/>
    <mergeCell ref="BM300:BP300"/>
    <mergeCell ref="BQ300:BS300"/>
    <mergeCell ref="BT300:BW300"/>
    <mergeCell ref="BX300:BZ300"/>
    <mergeCell ref="CA300:CD300"/>
    <mergeCell ref="CE300:CG300"/>
    <mergeCell ref="CH300:CK300"/>
    <mergeCell ref="CL300:CN300"/>
    <mergeCell ref="AG301:AH301"/>
    <mergeCell ref="AI301:AV301"/>
    <mergeCell ref="AW301:AY301"/>
    <mergeCell ref="BC301:BE301"/>
    <mergeCell ref="BF301:BH301"/>
    <mergeCell ref="BI301:BL301"/>
    <mergeCell ref="BM301:BP301"/>
    <mergeCell ref="BQ301:BS301"/>
    <mergeCell ref="BT301:BW301"/>
    <mergeCell ref="BX301:BZ301"/>
    <mergeCell ref="CA301:CD301"/>
    <mergeCell ref="CE301:CG301"/>
    <mergeCell ref="CH301:CK301"/>
    <mergeCell ref="CL301:CN301"/>
    <mergeCell ref="AG302:AH302"/>
    <mergeCell ref="AI302:AV302"/>
    <mergeCell ref="AW302:AY302"/>
    <mergeCell ref="BC302:BE302"/>
    <mergeCell ref="BF302:BH302"/>
    <mergeCell ref="BI302:BL302"/>
    <mergeCell ref="BM302:BP302"/>
    <mergeCell ref="BQ302:BS302"/>
    <mergeCell ref="BT302:BW302"/>
    <mergeCell ref="BX302:BZ302"/>
    <mergeCell ref="CA302:CD302"/>
    <mergeCell ref="CE302:CG302"/>
    <mergeCell ref="CH302:CK302"/>
    <mergeCell ref="CL302:CN302"/>
    <mergeCell ref="AG303:AH303"/>
    <mergeCell ref="AI303:AV303"/>
    <mergeCell ref="AW303:AY303"/>
    <mergeCell ref="BC303:BE303"/>
    <mergeCell ref="BF303:BH303"/>
    <mergeCell ref="BI303:BL303"/>
    <mergeCell ref="BM303:BP303"/>
    <mergeCell ref="BQ303:BS303"/>
    <mergeCell ref="BT303:BW303"/>
    <mergeCell ref="BX303:BZ303"/>
    <mergeCell ref="CA303:CD303"/>
    <mergeCell ref="CE303:CG303"/>
    <mergeCell ref="CH303:CK303"/>
    <mergeCell ref="CL303:CN303"/>
    <mergeCell ref="AG304:AH304"/>
    <mergeCell ref="AI304:AV304"/>
    <mergeCell ref="AW304:AY304"/>
    <mergeCell ref="BC304:BE304"/>
    <mergeCell ref="BF304:BH304"/>
    <mergeCell ref="BI304:BL304"/>
    <mergeCell ref="BM304:BP304"/>
    <mergeCell ref="BQ304:BS304"/>
    <mergeCell ref="BT304:BW304"/>
    <mergeCell ref="BX304:BZ304"/>
    <mergeCell ref="CA304:CD304"/>
    <mergeCell ref="CE304:CG304"/>
    <mergeCell ref="CH304:CK304"/>
    <mergeCell ref="CL304:CN304"/>
    <mergeCell ref="AG305:AH305"/>
    <mergeCell ref="AI305:AV305"/>
    <mergeCell ref="AW305:AY305"/>
    <mergeCell ref="BC305:BE305"/>
    <mergeCell ref="BF305:BH305"/>
    <mergeCell ref="BI305:BL305"/>
    <mergeCell ref="BM305:BP305"/>
    <mergeCell ref="BQ305:BS305"/>
    <mergeCell ref="BT305:BW305"/>
    <mergeCell ref="BX305:BZ305"/>
    <mergeCell ref="CA305:CD305"/>
    <mergeCell ref="CE305:CG305"/>
    <mergeCell ref="CH305:CK305"/>
    <mergeCell ref="CL305:CN305"/>
    <mergeCell ref="AG306:AH306"/>
    <mergeCell ref="AI306:AV306"/>
    <mergeCell ref="AW306:AY306"/>
    <mergeCell ref="BC306:BE306"/>
    <mergeCell ref="BF306:BH306"/>
    <mergeCell ref="BI306:BL306"/>
    <mergeCell ref="BM306:BP306"/>
    <mergeCell ref="BQ306:BS306"/>
    <mergeCell ref="BT306:BW306"/>
    <mergeCell ref="BX306:BZ306"/>
    <mergeCell ref="CA306:CD306"/>
    <mergeCell ref="CE306:CG306"/>
    <mergeCell ref="CH306:CK306"/>
    <mergeCell ref="CL306:CN306"/>
    <mergeCell ref="AG307:AH307"/>
    <mergeCell ref="AI307:AV307"/>
    <mergeCell ref="AW307:AY307"/>
    <mergeCell ref="BC307:BE307"/>
    <mergeCell ref="BF307:BH307"/>
    <mergeCell ref="BI307:BL307"/>
    <mergeCell ref="BM307:BP307"/>
    <mergeCell ref="BQ307:BS307"/>
    <mergeCell ref="BT307:BW307"/>
    <mergeCell ref="BX307:BZ307"/>
    <mergeCell ref="CA307:CD307"/>
    <mergeCell ref="CE307:CG307"/>
    <mergeCell ref="CH307:CK307"/>
    <mergeCell ref="CL307:CN307"/>
    <mergeCell ref="AG308:AH308"/>
    <mergeCell ref="AI308:AV308"/>
    <mergeCell ref="AW308:AY308"/>
    <mergeCell ref="BC308:BE308"/>
    <mergeCell ref="BF308:BH308"/>
    <mergeCell ref="BI308:BL308"/>
    <mergeCell ref="BM308:BP308"/>
    <mergeCell ref="BQ308:BS308"/>
    <mergeCell ref="BT308:BW308"/>
    <mergeCell ref="BX308:BZ308"/>
    <mergeCell ref="CA308:CD308"/>
    <mergeCell ref="CE308:CG308"/>
    <mergeCell ref="CH308:CK308"/>
    <mergeCell ref="CL308:CN308"/>
    <mergeCell ref="AG309:AH309"/>
    <mergeCell ref="AI309:AV309"/>
    <mergeCell ref="AW309:AY309"/>
    <mergeCell ref="BC309:BE309"/>
    <mergeCell ref="BF309:BH309"/>
    <mergeCell ref="BI309:BL309"/>
    <mergeCell ref="BM309:BP309"/>
    <mergeCell ref="BQ309:BS309"/>
    <mergeCell ref="BT309:BW309"/>
    <mergeCell ref="BX309:BZ309"/>
    <mergeCell ref="CA309:CD309"/>
    <mergeCell ref="CE309:CG309"/>
    <mergeCell ref="CH309:CK309"/>
    <mergeCell ref="CL309:CN309"/>
    <mergeCell ref="AG310:AH310"/>
    <mergeCell ref="AI310:AV310"/>
    <mergeCell ref="AW310:AY310"/>
    <mergeCell ref="BC310:BE310"/>
    <mergeCell ref="BF310:BH310"/>
    <mergeCell ref="BI310:BL310"/>
    <mergeCell ref="BM310:BP310"/>
    <mergeCell ref="BQ310:BS310"/>
    <mergeCell ref="BT310:BW310"/>
    <mergeCell ref="BX310:BZ310"/>
    <mergeCell ref="CA310:CD310"/>
    <mergeCell ref="CE310:CG310"/>
    <mergeCell ref="CH310:CK310"/>
    <mergeCell ref="CL310:CN310"/>
    <mergeCell ref="AG311:AH311"/>
    <mergeCell ref="AI311:AV311"/>
    <mergeCell ref="AW311:AY311"/>
    <mergeCell ref="BC311:BE311"/>
    <mergeCell ref="BF311:BH311"/>
    <mergeCell ref="BI311:BL311"/>
    <mergeCell ref="BM311:BP311"/>
    <mergeCell ref="BQ311:BS311"/>
    <mergeCell ref="BT311:BW311"/>
    <mergeCell ref="BX311:BZ311"/>
    <mergeCell ref="CA311:CD311"/>
    <mergeCell ref="CE311:CG311"/>
    <mergeCell ref="CH311:CK311"/>
    <mergeCell ref="CL311:CN311"/>
    <mergeCell ref="AG312:AH312"/>
    <mergeCell ref="AI312:AV312"/>
    <mergeCell ref="AW312:AY312"/>
    <mergeCell ref="BC312:BE312"/>
    <mergeCell ref="BF312:BH312"/>
    <mergeCell ref="BI312:BL312"/>
    <mergeCell ref="BM312:BP312"/>
    <mergeCell ref="BQ312:BS312"/>
    <mergeCell ref="BT312:BW312"/>
    <mergeCell ref="BX312:BZ312"/>
    <mergeCell ref="CA312:CD312"/>
    <mergeCell ref="CE312:CG312"/>
    <mergeCell ref="CH312:CK312"/>
    <mergeCell ref="CL312:CN312"/>
    <mergeCell ref="AG313:AH313"/>
    <mergeCell ref="AI313:AV313"/>
    <mergeCell ref="AW313:AY313"/>
    <mergeCell ref="BC313:BE313"/>
    <mergeCell ref="BF313:BH313"/>
    <mergeCell ref="BI313:BL313"/>
    <mergeCell ref="BM313:BP313"/>
    <mergeCell ref="BQ313:BS313"/>
    <mergeCell ref="BT313:BW313"/>
    <mergeCell ref="BX313:BZ313"/>
    <mergeCell ref="CA313:CD313"/>
    <mergeCell ref="CE313:CG313"/>
    <mergeCell ref="CH313:CK313"/>
    <mergeCell ref="CL313:CN313"/>
    <mergeCell ref="AG314:AH314"/>
    <mergeCell ref="AI314:AV314"/>
    <mergeCell ref="AW314:AY314"/>
    <mergeCell ref="BC314:BE314"/>
    <mergeCell ref="BF314:BH314"/>
    <mergeCell ref="BI314:BL314"/>
    <mergeCell ref="BM314:BP314"/>
    <mergeCell ref="BQ314:BS314"/>
    <mergeCell ref="BT314:BW314"/>
    <mergeCell ref="BX314:BZ314"/>
    <mergeCell ref="CA314:CD314"/>
    <mergeCell ref="CE314:CG314"/>
    <mergeCell ref="CH314:CK314"/>
    <mergeCell ref="CL314:CN314"/>
    <mergeCell ref="AG315:AH315"/>
    <mergeCell ref="AI315:AV315"/>
    <mergeCell ref="AW315:AY315"/>
    <mergeCell ref="BC315:BE315"/>
    <mergeCell ref="BF315:BH315"/>
    <mergeCell ref="BI315:BL315"/>
    <mergeCell ref="BM315:BP315"/>
    <mergeCell ref="BQ315:BS315"/>
    <mergeCell ref="BT315:BW315"/>
    <mergeCell ref="BX315:BZ315"/>
    <mergeCell ref="CA315:CD315"/>
    <mergeCell ref="CE315:CG315"/>
    <mergeCell ref="CH315:CK315"/>
    <mergeCell ref="CL315:CN315"/>
    <mergeCell ref="AG316:AH316"/>
    <mergeCell ref="AI316:AV316"/>
    <mergeCell ref="AW316:AY316"/>
    <mergeCell ref="BC316:BE316"/>
    <mergeCell ref="BF316:BH316"/>
    <mergeCell ref="BI316:BL316"/>
    <mergeCell ref="BM316:BP316"/>
    <mergeCell ref="BQ316:BS316"/>
    <mergeCell ref="BT316:BW316"/>
    <mergeCell ref="BX316:BZ316"/>
    <mergeCell ref="CA316:CD316"/>
    <mergeCell ref="CE316:CG316"/>
    <mergeCell ref="CH316:CK316"/>
    <mergeCell ref="CL316:CN316"/>
    <mergeCell ref="AG317:AH317"/>
    <mergeCell ref="AI317:AV317"/>
    <mergeCell ref="AW317:AY317"/>
    <mergeCell ref="BC317:BE317"/>
    <mergeCell ref="BF317:BH317"/>
    <mergeCell ref="BI317:BL317"/>
    <mergeCell ref="BM317:BP317"/>
    <mergeCell ref="BQ317:BS317"/>
    <mergeCell ref="BT317:BW317"/>
    <mergeCell ref="BX317:BZ317"/>
    <mergeCell ref="CA317:CD317"/>
    <mergeCell ref="CE317:CG317"/>
    <mergeCell ref="CH317:CK317"/>
    <mergeCell ref="CL317:CN317"/>
    <mergeCell ref="AG318:AH318"/>
    <mergeCell ref="AI318:AV318"/>
    <mergeCell ref="AW318:AY318"/>
    <mergeCell ref="BC318:BE318"/>
    <mergeCell ref="BF318:BH318"/>
    <mergeCell ref="BI318:BL318"/>
    <mergeCell ref="BM318:BP318"/>
    <mergeCell ref="BQ318:BS318"/>
    <mergeCell ref="BT318:BW318"/>
    <mergeCell ref="BX318:BZ318"/>
    <mergeCell ref="CA318:CD318"/>
    <mergeCell ref="CE318:CG318"/>
    <mergeCell ref="CH318:CK318"/>
    <mergeCell ref="CL318:CN318"/>
    <mergeCell ref="AG319:AH319"/>
    <mergeCell ref="AI319:AV319"/>
    <mergeCell ref="AW319:AY319"/>
    <mergeCell ref="BC319:BE319"/>
    <mergeCell ref="BF319:BH319"/>
    <mergeCell ref="BI319:BL319"/>
    <mergeCell ref="BM319:BP319"/>
    <mergeCell ref="BQ319:BS319"/>
    <mergeCell ref="BT319:BW319"/>
    <mergeCell ref="BX319:BZ319"/>
    <mergeCell ref="CA319:CD319"/>
    <mergeCell ref="CE319:CG319"/>
    <mergeCell ref="CH319:CK319"/>
    <mergeCell ref="CL319:CN319"/>
    <mergeCell ref="AG320:AH320"/>
    <mergeCell ref="AI320:AV320"/>
    <mergeCell ref="AW320:AY320"/>
    <mergeCell ref="BC320:BE320"/>
    <mergeCell ref="BF320:BH320"/>
    <mergeCell ref="BI320:BL320"/>
    <mergeCell ref="BM320:BP320"/>
    <mergeCell ref="BQ320:BS320"/>
    <mergeCell ref="BT320:BW320"/>
    <mergeCell ref="BX320:BZ320"/>
    <mergeCell ref="CA320:CD320"/>
    <mergeCell ref="CE320:CG320"/>
    <mergeCell ref="CH320:CK320"/>
    <mergeCell ref="CL320:CN320"/>
    <mergeCell ref="AG321:AH321"/>
    <mergeCell ref="AI321:AV321"/>
    <mergeCell ref="AW321:AY321"/>
    <mergeCell ref="BC321:BE321"/>
    <mergeCell ref="BF321:BH321"/>
    <mergeCell ref="BI321:BL321"/>
    <mergeCell ref="BM321:BP321"/>
    <mergeCell ref="BQ321:BS321"/>
    <mergeCell ref="BT321:BW321"/>
    <mergeCell ref="BX321:BZ321"/>
    <mergeCell ref="CA321:CD321"/>
    <mergeCell ref="CE321:CG321"/>
    <mergeCell ref="CH321:CK321"/>
    <mergeCell ref="CL321:CN321"/>
    <mergeCell ref="AG322:AH322"/>
    <mergeCell ref="AI322:AV322"/>
    <mergeCell ref="AW322:AY322"/>
    <mergeCell ref="BC322:BE322"/>
    <mergeCell ref="BF322:BH322"/>
    <mergeCell ref="BI322:BL322"/>
    <mergeCell ref="BM322:BP322"/>
    <mergeCell ref="BQ322:BS322"/>
    <mergeCell ref="BT322:BW322"/>
    <mergeCell ref="BX322:BZ322"/>
    <mergeCell ref="CA322:CD322"/>
    <mergeCell ref="CE322:CG322"/>
    <mergeCell ref="CH322:CK322"/>
    <mergeCell ref="CL322:CN322"/>
    <mergeCell ref="AG323:AH323"/>
    <mergeCell ref="AI323:AV323"/>
    <mergeCell ref="AW323:AY323"/>
    <mergeCell ref="BC323:BE323"/>
    <mergeCell ref="BF323:BH323"/>
    <mergeCell ref="BI323:BL323"/>
    <mergeCell ref="BM323:BP323"/>
    <mergeCell ref="BQ323:BS323"/>
    <mergeCell ref="BT323:BW323"/>
    <mergeCell ref="BX323:BZ323"/>
    <mergeCell ref="CA323:CD323"/>
    <mergeCell ref="CE323:CG323"/>
    <mergeCell ref="CH323:CK323"/>
    <mergeCell ref="CL323:CN323"/>
    <mergeCell ref="AG324:AH324"/>
    <mergeCell ref="AI324:AV324"/>
    <mergeCell ref="AW324:AY324"/>
    <mergeCell ref="BC324:BE324"/>
    <mergeCell ref="BF324:BH324"/>
    <mergeCell ref="BI324:BL324"/>
    <mergeCell ref="BM324:BP324"/>
    <mergeCell ref="BQ324:BS324"/>
    <mergeCell ref="BT324:BW324"/>
    <mergeCell ref="BX324:BZ324"/>
    <mergeCell ref="CA324:CD324"/>
    <mergeCell ref="CE324:CG324"/>
    <mergeCell ref="CH324:CK324"/>
    <mergeCell ref="CL324:CN324"/>
    <mergeCell ref="AG325:AH325"/>
    <mergeCell ref="AI325:AV325"/>
    <mergeCell ref="AW325:AY325"/>
    <mergeCell ref="BC325:BE325"/>
    <mergeCell ref="BF325:BH325"/>
    <mergeCell ref="BI325:BL325"/>
    <mergeCell ref="BM325:BP325"/>
    <mergeCell ref="BQ325:BS325"/>
    <mergeCell ref="BT325:BW325"/>
    <mergeCell ref="BX325:BZ325"/>
    <mergeCell ref="CA325:CD325"/>
    <mergeCell ref="CE325:CG325"/>
    <mergeCell ref="CH325:CK325"/>
    <mergeCell ref="CL325:CN325"/>
    <mergeCell ref="AG326:AH326"/>
    <mergeCell ref="AI326:AV326"/>
    <mergeCell ref="AW326:AY326"/>
    <mergeCell ref="BC326:BE326"/>
    <mergeCell ref="BF326:BH326"/>
    <mergeCell ref="BI326:BL326"/>
    <mergeCell ref="BM326:BP326"/>
    <mergeCell ref="BQ326:BS326"/>
    <mergeCell ref="BT326:BW326"/>
    <mergeCell ref="BX326:BZ326"/>
    <mergeCell ref="CA326:CD326"/>
    <mergeCell ref="CE326:CG326"/>
    <mergeCell ref="CH326:CK326"/>
    <mergeCell ref="CL326:CN326"/>
    <mergeCell ref="AG327:AH327"/>
    <mergeCell ref="AI327:AV327"/>
    <mergeCell ref="AW327:AY327"/>
    <mergeCell ref="BC327:BE327"/>
    <mergeCell ref="BF327:BH327"/>
    <mergeCell ref="BI327:BL327"/>
    <mergeCell ref="BM327:BP327"/>
    <mergeCell ref="BQ327:BS327"/>
    <mergeCell ref="BT327:BW327"/>
    <mergeCell ref="BX327:BZ327"/>
    <mergeCell ref="CA327:CD327"/>
    <mergeCell ref="CE327:CG327"/>
    <mergeCell ref="CH327:CK327"/>
    <mergeCell ref="CL327:CN327"/>
    <mergeCell ref="AG328:AH328"/>
    <mergeCell ref="AI328:AV328"/>
    <mergeCell ref="AW328:AY328"/>
    <mergeCell ref="BC328:BE328"/>
    <mergeCell ref="BF328:BH328"/>
    <mergeCell ref="BI328:BL328"/>
    <mergeCell ref="BM328:BP328"/>
    <mergeCell ref="BQ328:BS328"/>
    <mergeCell ref="BT328:BW328"/>
    <mergeCell ref="BX328:BZ328"/>
    <mergeCell ref="CA328:CD328"/>
    <mergeCell ref="CE328:CG328"/>
    <mergeCell ref="CH328:CK328"/>
    <mergeCell ref="CL328:CN328"/>
    <mergeCell ref="AG329:AH329"/>
    <mergeCell ref="AI329:AV329"/>
    <mergeCell ref="AW329:AY329"/>
    <mergeCell ref="BC329:BE329"/>
    <mergeCell ref="BF329:BH329"/>
    <mergeCell ref="BI329:BL329"/>
    <mergeCell ref="BM329:BP329"/>
    <mergeCell ref="BQ329:BS329"/>
    <mergeCell ref="BT329:BW329"/>
    <mergeCell ref="BX329:BZ329"/>
    <mergeCell ref="CA329:CD329"/>
    <mergeCell ref="CE329:CG329"/>
    <mergeCell ref="CH329:CK329"/>
    <mergeCell ref="CL329:CN329"/>
    <mergeCell ref="AG330:AH330"/>
    <mergeCell ref="AI330:AV330"/>
    <mergeCell ref="AW330:AY330"/>
    <mergeCell ref="BC330:BE330"/>
    <mergeCell ref="BF330:BH330"/>
    <mergeCell ref="BI330:BL330"/>
    <mergeCell ref="BM330:BP330"/>
    <mergeCell ref="BQ330:BS330"/>
    <mergeCell ref="BT330:BW330"/>
    <mergeCell ref="BX330:BZ330"/>
    <mergeCell ref="CA330:CD330"/>
    <mergeCell ref="CE330:CG330"/>
    <mergeCell ref="CH330:CK330"/>
    <mergeCell ref="CL330:CN330"/>
    <mergeCell ref="AG331:AH331"/>
    <mergeCell ref="AI331:AV331"/>
    <mergeCell ref="AW331:AY331"/>
    <mergeCell ref="BC331:BE331"/>
    <mergeCell ref="BF331:BH331"/>
    <mergeCell ref="BI331:BL331"/>
    <mergeCell ref="BM331:BP331"/>
    <mergeCell ref="BQ331:BS331"/>
    <mergeCell ref="BT331:BW331"/>
    <mergeCell ref="BX331:BZ331"/>
    <mergeCell ref="CA331:CD331"/>
    <mergeCell ref="CE331:CG331"/>
    <mergeCell ref="CH331:CK331"/>
    <mergeCell ref="CL331:CN331"/>
    <mergeCell ref="AG332:AH332"/>
    <mergeCell ref="AI332:AV332"/>
    <mergeCell ref="AW332:AY332"/>
    <mergeCell ref="BC332:BE332"/>
    <mergeCell ref="BF332:BH332"/>
    <mergeCell ref="BI332:BL332"/>
    <mergeCell ref="BM332:BP332"/>
    <mergeCell ref="BQ332:BS332"/>
    <mergeCell ref="BT332:BW332"/>
    <mergeCell ref="BX332:BZ332"/>
    <mergeCell ref="CA332:CD332"/>
    <mergeCell ref="CE332:CG332"/>
    <mergeCell ref="CH332:CK332"/>
    <mergeCell ref="CL332:CN332"/>
    <mergeCell ref="AG333:AH333"/>
    <mergeCell ref="AI333:AV333"/>
    <mergeCell ref="AW333:AY333"/>
    <mergeCell ref="BC333:BE333"/>
    <mergeCell ref="BF333:BH333"/>
    <mergeCell ref="BI333:BL333"/>
    <mergeCell ref="BM333:BP333"/>
    <mergeCell ref="BQ333:BS333"/>
    <mergeCell ref="BT333:BW333"/>
    <mergeCell ref="BX333:BZ333"/>
    <mergeCell ref="CA333:CD333"/>
    <mergeCell ref="CE333:CG333"/>
    <mergeCell ref="CH333:CK333"/>
    <mergeCell ref="CL333:CN333"/>
    <mergeCell ref="AG334:AH334"/>
    <mergeCell ref="AI334:AV334"/>
    <mergeCell ref="AW334:AY334"/>
    <mergeCell ref="BC334:BE334"/>
    <mergeCell ref="BF334:BH334"/>
    <mergeCell ref="BI334:BL334"/>
    <mergeCell ref="BM334:BP334"/>
    <mergeCell ref="BQ334:BS334"/>
    <mergeCell ref="BT334:BW334"/>
    <mergeCell ref="BX334:BZ334"/>
    <mergeCell ref="CA334:CD334"/>
    <mergeCell ref="CE334:CG334"/>
    <mergeCell ref="CH334:CK334"/>
    <mergeCell ref="CL334:CN334"/>
    <mergeCell ref="AG335:AH335"/>
    <mergeCell ref="AI335:AV335"/>
    <mergeCell ref="AW335:AY335"/>
    <mergeCell ref="BC335:BE335"/>
    <mergeCell ref="BF335:BH335"/>
    <mergeCell ref="BI335:BL335"/>
    <mergeCell ref="BM335:BP335"/>
    <mergeCell ref="BQ335:BS335"/>
    <mergeCell ref="BT335:BW335"/>
    <mergeCell ref="BX335:BZ335"/>
    <mergeCell ref="CA335:CD335"/>
    <mergeCell ref="CE335:CG335"/>
    <mergeCell ref="CH335:CK335"/>
    <mergeCell ref="CL335:CN335"/>
    <mergeCell ref="AG336:AH336"/>
    <mergeCell ref="AI336:AV336"/>
    <mergeCell ref="AW336:AY336"/>
    <mergeCell ref="BC336:BE336"/>
    <mergeCell ref="BF336:BH336"/>
    <mergeCell ref="BI336:BL336"/>
    <mergeCell ref="BM336:BP336"/>
    <mergeCell ref="BQ336:BS336"/>
    <mergeCell ref="BT336:BW336"/>
    <mergeCell ref="BX336:BZ336"/>
    <mergeCell ref="CA336:CD336"/>
    <mergeCell ref="CE336:CG336"/>
    <mergeCell ref="CH336:CK336"/>
    <mergeCell ref="CL336:CN336"/>
    <mergeCell ref="AG337:AH337"/>
    <mergeCell ref="AI337:AV337"/>
    <mergeCell ref="AW337:AY337"/>
    <mergeCell ref="BC337:BE337"/>
    <mergeCell ref="BF337:BH337"/>
    <mergeCell ref="BI337:BL337"/>
    <mergeCell ref="BM337:BP337"/>
    <mergeCell ref="BQ337:BS337"/>
    <mergeCell ref="BT337:BW337"/>
    <mergeCell ref="BX337:BZ337"/>
    <mergeCell ref="CA337:CD337"/>
    <mergeCell ref="CE337:CG337"/>
    <mergeCell ref="CH337:CK337"/>
    <mergeCell ref="CL337:CN337"/>
    <mergeCell ref="AG338:AH338"/>
    <mergeCell ref="AI338:AV338"/>
    <mergeCell ref="AW338:AY338"/>
    <mergeCell ref="BC338:BE338"/>
    <mergeCell ref="BF338:BH338"/>
    <mergeCell ref="BI338:BL338"/>
    <mergeCell ref="BM338:BP338"/>
    <mergeCell ref="BQ338:BS338"/>
    <mergeCell ref="BT338:BW338"/>
    <mergeCell ref="BX338:BZ338"/>
    <mergeCell ref="CA338:CD338"/>
    <mergeCell ref="CE338:CG338"/>
    <mergeCell ref="CH338:CK338"/>
    <mergeCell ref="CL338:CN338"/>
    <mergeCell ref="AG339:AH339"/>
    <mergeCell ref="AI339:AV339"/>
    <mergeCell ref="AW339:AY339"/>
    <mergeCell ref="BC339:BE339"/>
    <mergeCell ref="BF339:BH339"/>
    <mergeCell ref="BI339:BL339"/>
    <mergeCell ref="BM339:BP339"/>
    <mergeCell ref="BQ339:BS339"/>
    <mergeCell ref="BT339:BW339"/>
    <mergeCell ref="BX339:BZ339"/>
    <mergeCell ref="CA339:CD339"/>
    <mergeCell ref="CE339:CG339"/>
    <mergeCell ref="CH339:CK339"/>
    <mergeCell ref="CL339:CN339"/>
    <mergeCell ref="AG340:AH340"/>
    <mergeCell ref="AI340:AV340"/>
    <mergeCell ref="AW340:AY340"/>
    <mergeCell ref="BC340:BE340"/>
    <mergeCell ref="BF340:BH340"/>
    <mergeCell ref="BI340:BL340"/>
    <mergeCell ref="BM340:BP340"/>
    <mergeCell ref="BQ340:BS340"/>
    <mergeCell ref="BT340:BW340"/>
    <mergeCell ref="BX340:BZ340"/>
    <mergeCell ref="CA340:CD340"/>
    <mergeCell ref="CE340:CG340"/>
    <mergeCell ref="CH340:CK340"/>
    <mergeCell ref="CL340:CN340"/>
    <mergeCell ref="AG341:AH341"/>
    <mergeCell ref="AI341:AV341"/>
    <mergeCell ref="AW341:AY341"/>
    <mergeCell ref="BC341:BE341"/>
    <mergeCell ref="BF341:BH341"/>
    <mergeCell ref="BI341:BL341"/>
    <mergeCell ref="BM341:BP341"/>
    <mergeCell ref="BQ341:BS341"/>
    <mergeCell ref="BT341:BW341"/>
    <mergeCell ref="BX341:BZ341"/>
    <mergeCell ref="CA341:CD341"/>
    <mergeCell ref="CE341:CG341"/>
    <mergeCell ref="CH341:CK341"/>
    <mergeCell ref="CL341:CN341"/>
    <mergeCell ref="AG342:AH342"/>
    <mergeCell ref="AI342:AV342"/>
    <mergeCell ref="AW342:AY342"/>
    <mergeCell ref="BC342:BE342"/>
    <mergeCell ref="BF342:BH342"/>
    <mergeCell ref="BI342:BL342"/>
    <mergeCell ref="BM342:BP342"/>
    <mergeCell ref="BQ342:BS342"/>
    <mergeCell ref="BT342:BW342"/>
    <mergeCell ref="BX342:BZ342"/>
    <mergeCell ref="CA342:CD342"/>
    <mergeCell ref="CE342:CG342"/>
    <mergeCell ref="CH342:CK342"/>
    <mergeCell ref="CL342:CN342"/>
    <mergeCell ref="AG343:AH343"/>
    <mergeCell ref="AI343:AV343"/>
    <mergeCell ref="AW343:AY343"/>
    <mergeCell ref="BC343:BE343"/>
    <mergeCell ref="BF343:BH343"/>
    <mergeCell ref="BI343:BL343"/>
    <mergeCell ref="BM343:BP343"/>
    <mergeCell ref="BQ343:BS343"/>
    <mergeCell ref="BT343:BW343"/>
    <mergeCell ref="BX343:BZ343"/>
    <mergeCell ref="CA343:CD343"/>
    <mergeCell ref="CE343:CG343"/>
    <mergeCell ref="CH343:CK343"/>
    <mergeCell ref="CL343:CN343"/>
    <mergeCell ref="AG344:AH344"/>
    <mergeCell ref="AI344:AV344"/>
    <mergeCell ref="AW344:AY344"/>
    <mergeCell ref="BC344:BE344"/>
    <mergeCell ref="BF344:BH344"/>
    <mergeCell ref="BI344:BL344"/>
    <mergeCell ref="BM344:BP344"/>
    <mergeCell ref="BQ344:BS344"/>
    <mergeCell ref="BT344:BW344"/>
    <mergeCell ref="BX344:BZ344"/>
    <mergeCell ref="CA344:CD344"/>
    <mergeCell ref="CE344:CG344"/>
    <mergeCell ref="CH344:CK344"/>
    <mergeCell ref="CL344:CN344"/>
    <mergeCell ref="AG345:AH345"/>
    <mergeCell ref="AI345:AV345"/>
    <mergeCell ref="AW345:AY345"/>
    <mergeCell ref="BC345:BE345"/>
    <mergeCell ref="BF345:BH345"/>
    <mergeCell ref="BI345:BL345"/>
    <mergeCell ref="BM345:BP345"/>
    <mergeCell ref="BQ345:BS345"/>
    <mergeCell ref="BT345:BW345"/>
    <mergeCell ref="BX345:BZ345"/>
    <mergeCell ref="CA345:CD345"/>
    <mergeCell ref="CE345:CG345"/>
    <mergeCell ref="CH345:CK345"/>
    <mergeCell ref="CL345:CN345"/>
    <mergeCell ref="AG346:AH346"/>
    <mergeCell ref="AI346:AV346"/>
    <mergeCell ref="AW346:AY346"/>
    <mergeCell ref="BC346:BE346"/>
    <mergeCell ref="BF346:BH346"/>
    <mergeCell ref="BI346:BL346"/>
    <mergeCell ref="BM346:BP346"/>
    <mergeCell ref="BQ346:BS346"/>
    <mergeCell ref="BT346:BW346"/>
    <mergeCell ref="BX346:BZ346"/>
    <mergeCell ref="CA346:CD346"/>
    <mergeCell ref="CE346:CG346"/>
    <mergeCell ref="CH346:CK346"/>
    <mergeCell ref="CL346:CN346"/>
    <mergeCell ref="AG347:AH347"/>
    <mergeCell ref="AI347:AV347"/>
    <mergeCell ref="AW347:AY347"/>
    <mergeCell ref="BC347:BE347"/>
    <mergeCell ref="BF347:BH347"/>
    <mergeCell ref="BI347:BL347"/>
    <mergeCell ref="BM347:BP347"/>
    <mergeCell ref="BQ347:BS347"/>
    <mergeCell ref="BT347:BW347"/>
    <mergeCell ref="BX347:BZ347"/>
    <mergeCell ref="CA347:CD347"/>
    <mergeCell ref="CE347:CG347"/>
    <mergeCell ref="CH347:CK347"/>
    <mergeCell ref="CL347:CN347"/>
    <mergeCell ref="AG348:AH348"/>
    <mergeCell ref="AI348:AV348"/>
    <mergeCell ref="AW348:AY348"/>
    <mergeCell ref="BC348:BE348"/>
    <mergeCell ref="BF348:BH348"/>
    <mergeCell ref="BI348:BL348"/>
    <mergeCell ref="BM348:BP348"/>
    <mergeCell ref="BQ348:BS348"/>
    <mergeCell ref="BT348:BW348"/>
    <mergeCell ref="BX348:BZ348"/>
    <mergeCell ref="CA348:CD348"/>
    <mergeCell ref="CE348:CG348"/>
    <mergeCell ref="CH348:CK348"/>
    <mergeCell ref="CL348:CN348"/>
    <mergeCell ref="AG349:AH349"/>
    <mergeCell ref="AI349:AV349"/>
    <mergeCell ref="AW349:AY349"/>
    <mergeCell ref="BC349:BE349"/>
    <mergeCell ref="BF349:BH349"/>
    <mergeCell ref="BI349:BL349"/>
    <mergeCell ref="BM349:BP349"/>
    <mergeCell ref="BQ349:BS349"/>
    <mergeCell ref="BT349:BW349"/>
    <mergeCell ref="BX349:BZ349"/>
    <mergeCell ref="CA349:CD349"/>
    <mergeCell ref="CE349:CG349"/>
    <mergeCell ref="CH349:CK349"/>
    <mergeCell ref="CL349:CN349"/>
    <mergeCell ref="AG350:AH350"/>
    <mergeCell ref="AI350:AV350"/>
    <mergeCell ref="AW350:AY350"/>
    <mergeCell ref="BC350:BE350"/>
    <mergeCell ref="BF350:BH350"/>
    <mergeCell ref="BI350:BL350"/>
    <mergeCell ref="BM350:BP350"/>
    <mergeCell ref="BQ350:BS350"/>
    <mergeCell ref="BT350:BW350"/>
    <mergeCell ref="BX350:BZ350"/>
    <mergeCell ref="CA350:CD350"/>
    <mergeCell ref="CE350:CG350"/>
    <mergeCell ref="CH350:CK350"/>
    <mergeCell ref="CL350:CN350"/>
    <mergeCell ref="AG351:AH351"/>
    <mergeCell ref="AI351:AV351"/>
    <mergeCell ref="AW351:AY351"/>
    <mergeCell ref="BC351:BE351"/>
    <mergeCell ref="BF351:BH351"/>
    <mergeCell ref="BI351:BL351"/>
    <mergeCell ref="BM351:BP351"/>
    <mergeCell ref="BQ351:BS351"/>
    <mergeCell ref="BT351:BW351"/>
    <mergeCell ref="BX351:BZ351"/>
    <mergeCell ref="CA351:CD351"/>
    <mergeCell ref="CE351:CG351"/>
    <mergeCell ref="CH351:CK351"/>
    <mergeCell ref="CL351:CN351"/>
    <mergeCell ref="AG352:AH352"/>
    <mergeCell ref="AI352:AV352"/>
    <mergeCell ref="AW352:AY352"/>
    <mergeCell ref="BC352:BE352"/>
    <mergeCell ref="BF352:BH352"/>
    <mergeCell ref="BI352:BL352"/>
    <mergeCell ref="BM352:BP352"/>
    <mergeCell ref="BQ352:BS352"/>
    <mergeCell ref="BT352:BW352"/>
    <mergeCell ref="BX352:BZ352"/>
    <mergeCell ref="CA352:CD352"/>
    <mergeCell ref="CE352:CG352"/>
    <mergeCell ref="CH352:CK352"/>
    <mergeCell ref="CL352:CN352"/>
    <mergeCell ref="AG353:AH353"/>
    <mergeCell ref="AI353:AV353"/>
    <mergeCell ref="AW353:AY353"/>
    <mergeCell ref="BC353:BE353"/>
    <mergeCell ref="BF353:BH353"/>
    <mergeCell ref="BI353:BL353"/>
    <mergeCell ref="BM353:BP353"/>
    <mergeCell ref="BQ353:BS353"/>
    <mergeCell ref="BT353:BW353"/>
    <mergeCell ref="BX353:BZ353"/>
    <mergeCell ref="CA353:CD353"/>
    <mergeCell ref="CE353:CG353"/>
    <mergeCell ref="CH353:CK353"/>
    <mergeCell ref="CL353:CN353"/>
    <mergeCell ref="AG354:AH354"/>
    <mergeCell ref="AI354:AV354"/>
    <mergeCell ref="AW354:AY354"/>
    <mergeCell ref="BC354:BE354"/>
    <mergeCell ref="BF354:BH354"/>
    <mergeCell ref="BI354:BL354"/>
    <mergeCell ref="BM354:BP354"/>
    <mergeCell ref="BQ354:BS354"/>
    <mergeCell ref="BT354:BW354"/>
    <mergeCell ref="BX354:BZ354"/>
    <mergeCell ref="CA354:CD354"/>
    <mergeCell ref="CE354:CG354"/>
    <mergeCell ref="CH354:CK354"/>
    <mergeCell ref="CL354:CN354"/>
    <mergeCell ref="AG355:AH355"/>
    <mergeCell ref="AI355:AV355"/>
    <mergeCell ref="AW355:AY355"/>
    <mergeCell ref="BC355:BE355"/>
    <mergeCell ref="BF355:BH355"/>
    <mergeCell ref="BI355:BL355"/>
    <mergeCell ref="BM355:BP355"/>
    <mergeCell ref="BQ355:BS355"/>
    <mergeCell ref="BT355:BW355"/>
    <mergeCell ref="BX355:BZ355"/>
    <mergeCell ref="CA355:CD355"/>
    <mergeCell ref="CE355:CG355"/>
    <mergeCell ref="CH355:CK355"/>
    <mergeCell ref="CL355:CN355"/>
    <mergeCell ref="AG356:AH356"/>
    <mergeCell ref="AI356:AV356"/>
    <mergeCell ref="AW356:AY356"/>
    <mergeCell ref="BC356:BE356"/>
    <mergeCell ref="BF356:BH356"/>
    <mergeCell ref="BI356:BL356"/>
    <mergeCell ref="BM356:BP356"/>
    <mergeCell ref="BQ356:BS356"/>
    <mergeCell ref="BT356:BW356"/>
    <mergeCell ref="BX356:BZ356"/>
    <mergeCell ref="CA356:CD356"/>
    <mergeCell ref="CE356:CG356"/>
    <mergeCell ref="CH356:CK356"/>
    <mergeCell ref="CL356:CN356"/>
    <mergeCell ref="AG357:AH357"/>
    <mergeCell ref="AI357:AV357"/>
    <mergeCell ref="AW357:AY357"/>
    <mergeCell ref="BC357:BE357"/>
    <mergeCell ref="BF357:BH357"/>
    <mergeCell ref="BI357:BL357"/>
    <mergeCell ref="BM357:BP357"/>
    <mergeCell ref="BQ357:BS357"/>
    <mergeCell ref="BT357:BW357"/>
    <mergeCell ref="BX357:BZ357"/>
    <mergeCell ref="CA357:CD357"/>
    <mergeCell ref="CE357:CG357"/>
    <mergeCell ref="CH357:CK357"/>
    <mergeCell ref="CL357:CN357"/>
    <mergeCell ref="AG358:AH358"/>
    <mergeCell ref="AI358:AV358"/>
    <mergeCell ref="AW358:AY358"/>
    <mergeCell ref="BC358:BE358"/>
    <mergeCell ref="BF358:BH358"/>
    <mergeCell ref="BI358:BL358"/>
    <mergeCell ref="BM358:BP358"/>
    <mergeCell ref="BQ358:BS358"/>
    <mergeCell ref="BT358:BW358"/>
    <mergeCell ref="BX358:BZ358"/>
    <mergeCell ref="CA358:CD358"/>
    <mergeCell ref="CE358:CG358"/>
    <mergeCell ref="CH358:CK358"/>
    <mergeCell ref="CL358:CN358"/>
    <mergeCell ref="AG359:AH359"/>
    <mergeCell ref="AI359:AV359"/>
    <mergeCell ref="AW359:AY359"/>
    <mergeCell ref="BC359:BE359"/>
    <mergeCell ref="BF359:BH359"/>
    <mergeCell ref="BI359:BL359"/>
    <mergeCell ref="BM359:BP359"/>
    <mergeCell ref="BQ359:BS359"/>
    <mergeCell ref="BT359:BW359"/>
    <mergeCell ref="BX359:BZ359"/>
    <mergeCell ref="CA359:CD359"/>
    <mergeCell ref="CE359:CG359"/>
    <mergeCell ref="CH359:CK359"/>
    <mergeCell ref="CL359:CN359"/>
    <mergeCell ref="AG360:AH360"/>
    <mergeCell ref="AI360:AV360"/>
    <mergeCell ref="AW360:AY360"/>
    <mergeCell ref="BC360:BE360"/>
    <mergeCell ref="BF360:BH360"/>
    <mergeCell ref="BI360:BL360"/>
    <mergeCell ref="BM360:BP360"/>
    <mergeCell ref="BQ360:BS360"/>
    <mergeCell ref="BT360:BW360"/>
    <mergeCell ref="BX360:BZ360"/>
    <mergeCell ref="CA360:CD360"/>
    <mergeCell ref="CE360:CG360"/>
    <mergeCell ref="CH360:CK360"/>
    <mergeCell ref="CL360:CN360"/>
    <mergeCell ref="AG361:AH361"/>
    <mergeCell ref="AI361:AV361"/>
    <mergeCell ref="AW361:AY361"/>
    <mergeCell ref="BC361:BE361"/>
    <mergeCell ref="BF361:BH361"/>
    <mergeCell ref="BI361:BL361"/>
    <mergeCell ref="BM361:BP361"/>
    <mergeCell ref="BQ361:BS361"/>
    <mergeCell ref="BT361:BW361"/>
    <mergeCell ref="BX361:BZ361"/>
    <mergeCell ref="CA361:CD361"/>
    <mergeCell ref="CE361:CG361"/>
    <mergeCell ref="CH361:CK361"/>
    <mergeCell ref="CL361:CN361"/>
    <mergeCell ref="AG362:AH362"/>
    <mergeCell ref="AI362:AV362"/>
    <mergeCell ref="AW362:AY362"/>
    <mergeCell ref="BC362:BE362"/>
    <mergeCell ref="BF362:BH362"/>
    <mergeCell ref="BI362:BL362"/>
    <mergeCell ref="BM362:BP362"/>
    <mergeCell ref="BQ362:BS362"/>
    <mergeCell ref="BT362:BW362"/>
    <mergeCell ref="BX362:BZ362"/>
    <mergeCell ref="CA362:CD362"/>
    <mergeCell ref="CE362:CG362"/>
    <mergeCell ref="CH362:CK362"/>
    <mergeCell ref="CL362:CN362"/>
    <mergeCell ref="AG363:AH363"/>
    <mergeCell ref="AI363:AV363"/>
    <mergeCell ref="AW363:AY363"/>
    <mergeCell ref="BC363:BE363"/>
    <mergeCell ref="BF363:BH363"/>
    <mergeCell ref="BI363:BL363"/>
    <mergeCell ref="BM363:BP363"/>
    <mergeCell ref="BQ363:BS363"/>
    <mergeCell ref="BT363:BW363"/>
    <mergeCell ref="BX363:BZ363"/>
    <mergeCell ref="CA363:CD363"/>
    <mergeCell ref="CE363:CG363"/>
    <mergeCell ref="CH363:CK363"/>
    <mergeCell ref="CL363:CN363"/>
    <mergeCell ref="AG364:AH364"/>
    <mergeCell ref="AI364:AV364"/>
    <mergeCell ref="AW364:AY364"/>
    <mergeCell ref="BC364:BE364"/>
    <mergeCell ref="BF364:BH364"/>
    <mergeCell ref="BI364:BL364"/>
    <mergeCell ref="BM364:BP364"/>
    <mergeCell ref="BQ364:BS364"/>
    <mergeCell ref="BT364:BW364"/>
    <mergeCell ref="BX364:BZ364"/>
    <mergeCell ref="CA364:CD364"/>
    <mergeCell ref="CE364:CG364"/>
    <mergeCell ref="CH364:CK364"/>
    <mergeCell ref="CL364:CN364"/>
    <mergeCell ref="AG365:AH365"/>
    <mergeCell ref="AI365:AV365"/>
    <mergeCell ref="AW365:AY365"/>
    <mergeCell ref="BC365:BE365"/>
    <mergeCell ref="BF365:BH365"/>
    <mergeCell ref="BI365:BL365"/>
    <mergeCell ref="BM365:BP365"/>
    <mergeCell ref="BQ365:BS365"/>
    <mergeCell ref="BT365:BW365"/>
    <mergeCell ref="BX365:BZ365"/>
    <mergeCell ref="CA365:CD365"/>
    <mergeCell ref="CE365:CG365"/>
    <mergeCell ref="CH365:CK365"/>
    <mergeCell ref="CL365:CN365"/>
    <mergeCell ref="AG366:AH366"/>
    <mergeCell ref="AI366:AV366"/>
    <mergeCell ref="AW366:AY366"/>
    <mergeCell ref="BC366:BE366"/>
    <mergeCell ref="BF366:BH366"/>
    <mergeCell ref="BI366:BL366"/>
    <mergeCell ref="BM366:BP366"/>
    <mergeCell ref="BQ366:BS366"/>
    <mergeCell ref="BT366:BW366"/>
    <mergeCell ref="BX366:BZ366"/>
    <mergeCell ref="CA366:CD366"/>
    <mergeCell ref="CE366:CG366"/>
    <mergeCell ref="CH366:CK366"/>
    <mergeCell ref="CL366:CN366"/>
    <mergeCell ref="AG367:AH367"/>
    <mergeCell ref="AI367:AV367"/>
    <mergeCell ref="AW367:AY367"/>
    <mergeCell ref="BC367:BE367"/>
    <mergeCell ref="BF367:BH367"/>
    <mergeCell ref="BI367:BL367"/>
    <mergeCell ref="BM367:BP367"/>
    <mergeCell ref="BQ367:BS367"/>
    <mergeCell ref="BT367:BW367"/>
    <mergeCell ref="BX367:BZ367"/>
    <mergeCell ref="CA367:CD367"/>
    <mergeCell ref="CE367:CG367"/>
    <mergeCell ref="CH367:CK367"/>
    <mergeCell ref="CL367:CN367"/>
    <mergeCell ref="AG368:AH368"/>
    <mergeCell ref="AI368:AV368"/>
    <mergeCell ref="AW368:AY368"/>
    <mergeCell ref="BC368:BE368"/>
    <mergeCell ref="BF368:BH368"/>
    <mergeCell ref="BI368:BL368"/>
    <mergeCell ref="BM368:BP368"/>
    <mergeCell ref="BQ368:BS368"/>
    <mergeCell ref="BT368:BW368"/>
    <mergeCell ref="BX368:BZ368"/>
    <mergeCell ref="CA368:CD368"/>
    <mergeCell ref="CE368:CG368"/>
    <mergeCell ref="CH368:CK368"/>
    <mergeCell ref="CL368:CN368"/>
    <mergeCell ref="AG369:AH369"/>
    <mergeCell ref="AI369:AV369"/>
    <mergeCell ref="AW369:AY369"/>
    <mergeCell ref="BC369:BE369"/>
    <mergeCell ref="BF369:BH369"/>
    <mergeCell ref="BI369:BL369"/>
    <mergeCell ref="BM369:BP369"/>
    <mergeCell ref="BQ369:BS369"/>
    <mergeCell ref="BT369:BW369"/>
    <mergeCell ref="BX369:BZ369"/>
    <mergeCell ref="CA369:CD369"/>
    <mergeCell ref="CE369:CG369"/>
    <mergeCell ref="CH369:CK369"/>
    <mergeCell ref="CL369:CN369"/>
    <mergeCell ref="AG370:AH370"/>
    <mergeCell ref="AI370:AV370"/>
    <mergeCell ref="AW370:AY370"/>
    <mergeCell ref="BC370:BE370"/>
    <mergeCell ref="BF370:BH370"/>
    <mergeCell ref="BI370:BL370"/>
    <mergeCell ref="BM370:BP370"/>
    <mergeCell ref="BQ370:BS370"/>
    <mergeCell ref="BT370:BW370"/>
    <mergeCell ref="BX370:BZ370"/>
    <mergeCell ref="CA370:CD370"/>
    <mergeCell ref="CE370:CG370"/>
    <mergeCell ref="CH370:CK370"/>
    <mergeCell ref="CL370:CN370"/>
    <mergeCell ref="AG371:AH371"/>
    <mergeCell ref="AI371:AV371"/>
    <mergeCell ref="AW371:AY371"/>
    <mergeCell ref="BC371:BE371"/>
    <mergeCell ref="BF371:BH371"/>
    <mergeCell ref="BI371:BL371"/>
    <mergeCell ref="BM371:BP371"/>
    <mergeCell ref="BQ371:BS371"/>
    <mergeCell ref="BT371:BW371"/>
    <mergeCell ref="BX371:BZ371"/>
    <mergeCell ref="CA371:CD371"/>
    <mergeCell ref="CE371:CG371"/>
    <mergeCell ref="CH371:CK371"/>
    <mergeCell ref="CL371:CN371"/>
    <mergeCell ref="AG372:AH372"/>
    <mergeCell ref="AI372:AV372"/>
    <mergeCell ref="AW372:AY372"/>
    <mergeCell ref="BC372:BE372"/>
    <mergeCell ref="BF372:BH372"/>
    <mergeCell ref="BI372:BL372"/>
    <mergeCell ref="BM372:BP372"/>
    <mergeCell ref="BQ372:BS372"/>
    <mergeCell ref="BT372:BW372"/>
    <mergeCell ref="BX372:BZ372"/>
    <mergeCell ref="CA372:CD372"/>
    <mergeCell ref="CE372:CG372"/>
    <mergeCell ref="CH372:CK372"/>
    <mergeCell ref="CL372:CN372"/>
    <mergeCell ref="AG373:AH373"/>
    <mergeCell ref="AI373:AV373"/>
    <mergeCell ref="AW373:AY373"/>
    <mergeCell ref="BC373:BE373"/>
    <mergeCell ref="BF373:BH373"/>
    <mergeCell ref="BI373:BL373"/>
    <mergeCell ref="BM373:BP373"/>
    <mergeCell ref="BQ373:BS373"/>
    <mergeCell ref="BT373:BW373"/>
    <mergeCell ref="BX373:BZ373"/>
    <mergeCell ref="CA373:CD373"/>
    <mergeCell ref="CE373:CG373"/>
    <mergeCell ref="CH373:CK373"/>
    <mergeCell ref="CL373:CN373"/>
    <mergeCell ref="AG374:AH374"/>
    <mergeCell ref="AI374:AV374"/>
    <mergeCell ref="AW374:AY374"/>
    <mergeCell ref="BC374:BE374"/>
    <mergeCell ref="BF374:BH374"/>
    <mergeCell ref="BI374:BL374"/>
    <mergeCell ref="BM374:BP374"/>
    <mergeCell ref="BQ374:BS374"/>
    <mergeCell ref="BT374:BW374"/>
    <mergeCell ref="BX374:BZ374"/>
    <mergeCell ref="CA374:CD374"/>
    <mergeCell ref="CE374:CG374"/>
    <mergeCell ref="CH374:CK374"/>
    <mergeCell ref="CL374:CN374"/>
    <mergeCell ref="AG375:AH375"/>
    <mergeCell ref="AI375:AV375"/>
    <mergeCell ref="AW375:AY375"/>
    <mergeCell ref="BC375:BE375"/>
    <mergeCell ref="BF375:BH375"/>
    <mergeCell ref="BI375:BL375"/>
    <mergeCell ref="BM375:BP375"/>
    <mergeCell ref="BQ375:BS375"/>
    <mergeCell ref="BT375:BW375"/>
    <mergeCell ref="BX375:BZ375"/>
    <mergeCell ref="CA375:CD375"/>
    <mergeCell ref="CE375:CG375"/>
    <mergeCell ref="CH375:CK375"/>
    <mergeCell ref="CL375:CN375"/>
    <mergeCell ref="AG376:AH376"/>
    <mergeCell ref="AI376:AV376"/>
    <mergeCell ref="AW376:AY376"/>
    <mergeCell ref="BC376:BE376"/>
    <mergeCell ref="BF376:BH376"/>
    <mergeCell ref="BI376:BL376"/>
    <mergeCell ref="BM376:BP376"/>
    <mergeCell ref="BQ376:BS376"/>
    <mergeCell ref="BT376:BW376"/>
    <mergeCell ref="BX376:BZ376"/>
    <mergeCell ref="CA376:CD376"/>
    <mergeCell ref="CE376:CG376"/>
    <mergeCell ref="CH376:CK376"/>
    <mergeCell ref="CL376:CN376"/>
    <mergeCell ref="AG377:AH377"/>
    <mergeCell ref="AI377:AV377"/>
    <mergeCell ref="AW377:AY377"/>
    <mergeCell ref="BC377:BE377"/>
    <mergeCell ref="BF377:BH377"/>
    <mergeCell ref="BI377:BL377"/>
    <mergeCell ref="BM377:BP377"/>
    <mergeCell ref="BQ377:BS377"/>
    <mergeCell ref="BT377:BW377"/>
    <mergeCell ref="BX377:BZ377"/>
    <mergeCell ref="CA377:CD377"/>
    <mergeCell ref="CE377:CG377"/>
    <mergeCell ref="CH377:CK377"/>
    <mergeCell ref="CL377:CN377"/>
    <mergeCell ref="AG378:AH378"/>
    <mergeCell ref="AI378:AV378"/>
    <mergeCell ref="AW378:AY378"/>
    <mergeCell ref="BC378:BE378"/>
    <mergeCell ref="BF378:BH378"/>
    <mergeCell ref="BI378:BL378"/>
    <mergeCell ref="BM378:BP378"/>
    <mergeCell ref="BQ378:BS378"/>
    <mergeCell ref="BT378:BW378"/>
    <mergeCell ref="BX378:BZ378"/>
    <mergeCell ref="CA378:CD378"/>
    <mergeCell ref="CE378:CG378"/>
    <mergeCell ref="CH378:CK378"/>
    <mergeCell ref="CL378:CN378"/>
    <mergeCell ref="AG379:AH379"/>
    <mergeCell ref="AI379:AV379"/>
    <mergeCell ref="AW379:AY379"/>
    <mergeCell ref="BC379:BE379"/>
    <mergeCell ref="BF379:BH379"/>
    <mergeCell ref="BI379:BL379"/>
    <mergeCell ref="BM379:BP379"/>
    <mergeCell ref="BQ379:BS379"/>
    <mergeCell ref="BT379:BW379"/>
    <mergeCell ref="BX379:BZ379"/>
    <mergeCell ref="CA379:CD379"/>
    <mergeCell ref="CE379:CG379"/>
    <mergeCell ref="CH379:CK379"/>
    <mergeCell ref="CL379:CN379"/>
    <mergeCell ref="AG380:AH380"/>
    <mergeCell ref="AI380:AV380"/>
    <mergeCell ref="AW380:AY380"/>
    <mergeCell ref="BC380:BE380"/>
    <mergeCell ref="BF380:BH380"/>
    <mergeCell ref="BI380:BL380"/>
    <mergeCell ref="BM380:BP380"/>
    <mergeCell ref="BQ380:BS380"/>
    <mergeCell ref="BT380:BW380"/>
    <mergeCell ref="BX380:BZ380"/>
    <mergeCell ref="CA380:CD380"/>
    <mergeCell ref="CE380:CG380"/>
    <mergeCell ref="CH380:CK380"/>
    <mergeCell ref="CL380:CN380"/>
    <mergeCell ref="AG381:AH381"/>
    <mergeCell ref="AI381:AV381"/>
    <mergeCell ref="AW381:AY381"/>
    <mergeCell ref="BC381:BE381"/>
    <mergeCell ref="BF381:BH381"/>
    <mergeCell ref="BI381:BL381"/>
    <mergeCell ref="BM381:BP381"/>
    <mergeCell ref="BQ381:BS381"/>
    <mergeCell ref="BT381:BW381"/>
    <mergeCell ref="BX381:BZ381"/>
    <mergeCell ref="CA381:CD381"/>
    <mergeCell ref="CE381:CG381"/>
    <mergeCell ref="CH381:CK381"/>
    <mergeCell ref="CL381:CN381"/>
    <mergeCell ref="AG382:AH382"/>
    <mergeCell ref="AI382:AV382"/>
    <mergeCell ref="AW382:AY382"/>
    <mergeCell ref="BC382:BE382"/>
    <mergeCell ref="BF382:BH382"/>
    <mergeCell ref="BI382:BL382"/>
    <mergeCell ref="BM382:BP382"/>
    <mergeCell ref="BQ382:BS382"/>
    <mergeCell ref="BT382:BW382"/>
    <mergeCell ref="BX382:BZ382"/>
    <mergeCell ref="CA382:CD382"/>
    <mergeCell ref="CE382:CG382"/>
    <mergeCell ref="CH382:CK382"/>
    <mergeCell ref="CL382:CN382"/>
    <mergeCell ref="AG383:AH383"/>
    <mergeCell ref="AI383:AV383"/>
    <mergeCell ref="AW383:AY383"/>
    <mergeCell ref="BC383:BE383"/>
    <mergeCell ref="BF383:BH383"/>
    <mergeCell ref="BI383:BL383"/>
    <mergeCell ref="BM383:BP383"/>
    <mergeCell ref="BQ383:BS383"/>
    <mergeCell ref="BT383:BW383"/>
    <mergeCell ref="BX383:BZ383"/>
    <mergeCell ref="CA383:CD383"/>
    <mergeCell ref="CE383:CG383"/>
    <mergeCell ref="CH383:CK383"/>
    <mergeCell ref="CL383:CN383"/>
    <mergeCell ref="AG384:AH384"/>
    <mergeCell ref="AI384:AV384"/>
    <mergeCell ref="AW384:AY384"/>
    <mergeCell ref="BC384:BE384"/>
    <mergeCell ref="BF384:BH384"/>
    <mergeCell ref="BI384:BL384"/>
    <mergeCell ref="BM384:BP384"/>
    <mergeCell ref="BQ384:BS384"/>
    <mergeCell ref="BT384:BW384"/>
    <mergeCell ref="BX384:BZ384"/>
    <mergeCell ref="CA384:CD384"/>
    <mergeCell ref="CE384:CG384"/>
    <mergeCell ref="CH384:CK384"/>
    <mergeCell ref="CL384:CN384"/>
    <mergeCell ref="AG385:AH385"/>
    <mergeCell ref="AI385:AV385"/>
    <mergeCell ref="AW385:AY385"/>
    <mergeCell ref="BC385:BE385"/>
    <mergeCell ref="BF385:BH385"/>
    <mergeCell ref="BI385:BL385"/>
    <mergeCell ref="BM385:BP385"/>
    <mergeCell ref="BQ385:BS385"/>
    <mergeCell ref="BT385:BW385"/>
    <mergeCell ref="BX385:BZ385"/>
    <mergeCell ref="CA385:CD385"/>
    <mergeCell ref="CE385:CG385"/>
    <mergeCell ref="CH385:CK385"/>
    <mergeCell ref="CL385:CN385"/>
    <mergeCell ref="AG386:AH386"/>
    <mergeCell ref="AI386:AV386"/>
    <mergeCell ref="AW386:AY386"/>
    <mergeCell ref="BC386:BE386"/>
    <mergeCell ref="BF386:BH386"/>
    <mergeCell ref="BI386:BL386"/>
    <mergeCell ref="BM386:BP386"/>
    <mergeCell ref="BQ386:BS386"/>
    <mergeCell ref="BT386:BW386"/>
    <mergeCell ref="BX386:BZ386"/>
    <mergeCell ref="CA386:CD386"/>
    <mergeCell ref="CE386:CG386"/>
    <mergeCell ref="CH386:CK386"/>
    <mergeCell ref="CL386:CN386"/>
    <mergeCell ref="AG387:AH387"/>
    <mergeCell ref="AI387:AV387"/>
    <mergeCell ref="AW387:AY387"/>
    <mergeCell ref="BC387:BE387"/>
    <mergeCell ref="BF387:BH387"/>
    <mergeCell ref="BI387:BL387"/>
    <mergeCell ref="BM387:BP387"/>
    <mergeCell ref="BQ387:BS387"/>
    <mergeCell ref="BT387:BW387"/>
    <mergeCell ref="BX387:BZ387"/>
    <mergeCell ref="CA387:CD387"/>
    <mergeCell ref="CE387:CG387"/>
    <mergeCell ref="CH387:CK387"/>
    <mergeCell ref="CL387:CN387"/>
    <mergeCell ref="AG388:AH388"/>
    <mergeCell ref="AI388:AV388"/>
    <mergeCell ref="AW388:AY388"/>
    <mergeCell ref="BC388:BE388"/>
    <mergeCell ref="BF388:BH388"/>
    <mergeCell ref="BI388:BL388"/>
    <mergeCell ref="BM388:BP388"/>
    <mergeCell ref="BQ388:BS388"/>
    <mergeCell ref="BT388:BW388"/>
    <mergeCell ref="BX388:BZ388"/>
    <mergeCell ref="CA388:CD388"/>
    <mergeCell ref="CE388:CG388"/>
    <mergeCell ref="CH388:CK388"/>
    <mergeCell ref="CL388:CN388"/>
    <mergeCell ref="AG389:AH389"/>
    <mergeCell ref="AI389:AV389"/>
    <mergeCell ref="AW389:AY389"/>
    <mergeCell ref="BC389:BE389"/>
    <mergeCell ref="BF389:BH389"/>
    <mergeCell ref="BI389:BL389"/>
    <mergeCell ref="BM389:BP389"/>
    <mergeCell ref="BQ389:BS389"/>
    <mergeCell ref="BT389:BW389"/>
    <mergeCell ref="BX389:BZ389"/>
    <mergeCell ref="CA389:CD389"/>
    <mergeCell ref="CE389:CG389"/>
    <mergeCell ref="CH389:CK389"/>
    <mergeCell ref="CL389:CN389"/>
    <mergeCell ref="AG390:AH390"/>
    <mergeCell ref="AI390:AV390"/>
    <mergeCell ref="AW390:AY390"/>
    <mergeCell ref="BC390:BE390"/>
    <mergeCell ref="BF390:BH390"/>
    <mergeCell ref="BI390:BL390"/>
    <mergeCell ref="BM390:BP390"/>
    <mergeCell ref="BQ390:BS390"/>
    <mergeCell ref="BT390:BW390"/>
    <mergeCell ref="BX390:BZ390"/>
    <mergeCell ref="CA390:CD390"/>
    <mergeCell ref="CE390:CG390"/>
    <mergeCell ref="CH390:CK390"/>
    <mergeCell ref="CL390:CN390"/>
    <mergeCell ref="AG391:AH391"/>
    <mergeCell ref="AI391:AV391"/>
    <mergeCell ref="AW391:AY391"/>
    <mergeCell ref="BC391:BE391"/>
    <mergeCell ref="BF391:BH391"/>
    <mergeCell ref="BI391:BL391"/>
    <mergeCell ref="BM391:BP391"/>
    <mergeCell ref="BQ391:BS391"/>
    <mergeCell ref="BT391:BW391"/>
    <mergeCell ref="BX391:BZ391"/>
    <mergeCell ref="CA391:CD391"/>
    <mergeCell ref="CE391:CG391"/>
    <mergeCell ref="CH391:CK391"/>
    <mergeCell ref="CL391:CN391"/>
    <mergeCell ref="AG392:AH392"/>
    <mergeCell ref="AI392:AV392"/>
    <mergeCell ref="AW392:AY392"/>
    <mergeCell ref="BC392:BE392"/>
    <mergeCell ref="BF392:BH392"/>
    <mergeCell ref="BI392:BL392"/>
    <mergeCell ref="BM392:BP392"/>
    <mergeCell ref="BQ392:BS392"/>
    <mergeCell ref="BT392:BW392"/>
    <mergeCell ref="BX392:BZ392"/>
    <mergeCell ref="CA392:CD392"/>
    <mergeCell ref="CE392:CG392"/>
    <mergeCell ref="CH392:CK392"/>
    <mergeCell ref="CL392:CN392"/>
    <mergeCell ref="AG393:AH393"/>
    <mergeCell ref="AI393:AV393"/>
    <mergeCell ref="AW393:AY393"/>
    <mergeCell ref="BC393:BE393"/>
    <mergeCell ref="BF393:BH393"/>
    <mergeCell ref="BI393:BL393"/>
    <mergeCell ref="BM393:BP393"/>
    <mergeCell ref="BQ393:BS393"/>
    <mergeCell ref="BT393:BW393"/>
    <mergeCell ref="BX393:BZ393"/>
    <mergeCell ref="CA393:CD393"/>
    <mergeCell ref="CE393:CG393"/>
    <mergeCell ref="CH393:CK393"/>
    <mergeCell ref="CL393:CN393"/>
    <mergeCell ref="AG394:AH394"/>
    <mergeCell ref="AI394:AV394"/>
    <mergeCell ref="AW394:AY394"/>
    <mergeCell ref="BC394:BE394"/>
    <mergeCell ref="BF394:BH394"/>
    <mergeCell ref="BI394:BL394"/>
    <mergeCell ref="BM394:BP394"/>
    <mergeCell ref="BQ394:BS394"/>
    <mergeCell ref="BT394:BW394"/>
    <mergeCell ref="BX394:BZ394"/>
    <mergeCell ref="CA394:CD394"/>
    <mergeCell ref="CE394:CG394"/>
    <mergeCell ref="CH394:CK394"/>
    <mergeCell ref="CL394:CN394"/>
    <mergeCell ref="AG395:AH395"/>
    <mergeCell ref="AI395:AV395"/>
    <mergeCell ref="AW395:AY395"/>
    <mergeCell ref="BC395:BE395"/>
    <mergeCell ref="BF395:BH395"/>
    <mergeCell ref="BI395:BL395"/>
    <mergeCell ref="BM395:BP395"/>
    <mergeCell ref="BQ395:BS395"/>
    <mergeCell ref="BT395:BW395"/>
    <mergeCell ref="BX395:BZ395"/>
    <mergeCell ref="CA395:CD395"/>
    <mergeCell ref="CE395:CG395"/>
    <mergeCell ref="CH395:CK395"/>
    <mergeCell ref="CL395:CN395"/>
    <mergeCell ref="AG396:AH396"/>
    <mergeCell ref="AI396:AV396"/>
    <mergeCell ref="AW396:AY396"/>
    <mergeCell ref="BC396:BE396"/>
    <mergeCell ref="BF396:BH396"/>
    <mergeCell ref="BI396:BL396"/>
    <mergeCell ref="BM396:BP396"/>
    <mergeCell ref="BQ396:BS396"/>
    <mergeCell ref="BT396:BW396"/>
    <mergeCell ref="BX396:BZ396"/>
    <mergeCell ref="CA396:CD396"/>
    <mergeCell ref="CE396:CG396"/>
    <mergeCell ref="CH396:CK396"/>
    <mergeCell ref="CL396:CN396"/>
    <mergeCell ref="AG397:AH397"/>
    <mergeCell ref="AI397:AV397"/>
    <mergeCell ref="AW397:AY397"/>
    <mergeCell ref="BC397:BE397"/>
    <mergeCell ref="BF397:BH397"/>
    <mergeCell ref="BI397:BL397"/>
    <mergeCell ref="BM397:BP397"/>
    <mergeCell ref="BQ397:BS397"/>
    <mergeCell ref="BT397:BW397"/>
    <mergeCell ref="BX397:BZ397"/>
    <mergeCell ref="CA397:CD397"/>
    <mergeCell ref="CE397:CG397"/>
    <mergeCell ref="CH397:CK397"/>
    <mergeCell ref="CL397:CN397"/>
    <mergeCell ref="AG398:AH398"/>
    <mergeCell ref="AI398:AV398"/>
    <mergeCell ref="AW398:AY398"/>
    <mergeCell ref="BC398:BE398"/>
    <mergeCell ref="BF398:BH398"/>
    <mergeCell ref="BI398:BL398"/>
    <mergeCell ref="BM398:BP398"/>
    <mergeCell ref="BQ398:BS398"/>
    <mergeCell ref="BT398:BW398"/>
    <mergeCell ref="BX398:BZ398"/>
    <mergeCell ref="CA398:CD398"/>
    <mergeCell ref="CE398:CG398"/>
    <mergeCell ref="CH398:CK398"/>
    <mergeCell ref="CL398:CN398"/>
    <mergeCell ref="AG399:AH399"/>
    <mergeCell ref="AI399:AV399"/>
    <mergeCell ref="AW399:AY399"/>
    <mergeCell ref="BC399:BE399"/>
    <mergeCell ref="BF399:BH399"/>
    <mergeCell ref="BI399:BL399"/>
    <mergeCell ref="BM399:BP399"/>
    <mergeCell ref="BQ399:BS399"/>
    <mergeCell ref="BT399:BW399"/>
    <mergeCell ref="BX399:BZ399"/>
    <mergeCell ref="CA399:CD399"/>
    <mergeCell ref="CE399:CG399"/>
    <mergeCell ref="CH399:CK399"/>
    <mergeCell ref="CL399:CN399"/>
    <mergeCell ref="AG400:AH400"/>
    <mergeCell ref="AI400:AV400"/>
    <mergeCell ref="AW400:AY400"/>
    <mergeCell ref="BC400:BE400"/>
    <mergeCell ref="BF400:BH400"/>
    <mergeCell ref="BI400:BL400"/>
    <mergeCell ref="BM400:BP400"/>
    <mergeCell ref="BQ400:BS400"/>
    <mergeCell ref="BT400:BW400"/>
    <mergeCell ref="BX400:BZ400"/>
    <mergeCell ref="CA400:CD400"/>
    <mergeCell ref="CE400:CG400"/>
    <mergeCell ref="CH400:CK400"/>
    <mergeCell ref="CL400:CN400"/>
    <mergeCell ref="AG401:AH401"/>
    <mergeCell ref="AI401:AV401"/>
    <mergeCell ref="AW401:AY401"/>
    <mergeCell ref="BC401:BE401"/>
    <mergeCell ref="BF401:BH401"/>
    <mergeCell ref="BI401:BL401"/>
    <mergeCell ref="BM401:BP401"/>
    <mergeCell ref="BQ401:BS401"/>
    <mergeCell ref="BT401:BW401"/>
    <mergeCell ref="BX401:BZ401"/>
    <mergeCell ref="CA401:CD401"/>
    <mergeCell ref="CE401:CG401"/>
    <mergeCell ref="CH401:CK401"/>
    <mergeCell ref="CL401:CN401"/>
    <mergeCell ref="AG402:AH402"/>
    <mergeCell ref="AI402:AV402"/>
    <mergeCell ref="AW402:AY402"/>
    <mergeCell ref="BC402:BE402"/>
    <mergeCell ref="BF402:BH402"/>
    <mergeCell ref="BI402:BL402"/>
    <mergeCell ref="BM402:BP402"/>
    <mergeCell ref="BQ402:BS402"/>
    <mergeCell ref="BT402:BW402"/>
    <mergeCell ref="BX402:BZ402"/>
    <mergeCell ref="CA402:CD402"/>
    <mergeCell ref="CE402:CG402"/>
    <mergeCell ref="CH402:CK402"/>
    <mergeCell ref="CL402:CN402"/>
    <mergeCell ref="AG403:AH403"/>
    <mergeCell ref="AI403:AV403"/>
    <mergeCell ref="AW403:AY403"/>
    <mergeCell ref="BC403:BE403"/>
    <mergeCell ref="BF403:BH403"/>
    <mergeCell ref="BI403:BL403"/>
    <mergeCell ref="BM403:BP403"/>
    <mergeCell ref="BQ403:BS403"/>
    <mergeCell ref="BT403:BW403"/>
    <mergeCell ref="BX403:BZ403"/>
    <mergeCell ref="CA403:CD403"/>
    <mergeCell ref="CE403:CG403"/>
    <mergeCell ref="CH403:CK403"/>
    <mergeCell ref="CL403:CN403"/>
    <mergeCell ref="AG404:AH404"/>
    <mergeCell ref="AI404:AV404"/>
    <mergeCell ref="AW404:AY404"/>
    <mergeCell ref="BC404:BE404"/>
    <mergeCell ref="BF404:BH404"/>
    <mergeCell ref="BI404:BL404"/>
    <mergeCell ref="BM404:BP404"/>
    <mergeCell ref="BQ404:BS404"/>
    <mergeCell ref="BT404:BW404"/>
    <mergeCell ref="BX404:BZ404"/>
    <mergeCell ref="CA404:CD404"/>
    <mergeCell ref="CE404:CG404"/>
    <mergeCell ref="CH404:CK404"/>
    <mergeCell ref="CL404:CN404"/>
    <mergeCell ref="AG405:AH405"/>
    <mergeCell ref="AI405:AV405"/>
    <mergeCell ref="AW405:AY405"/>
    <mergeCell ref="BC405:BE405"/>
    <mergeCell ref="BF405:BH405"/>
    <mergeCell ref="BI405:BL405"/>
    <mergeCell ref="BM405:BP405"/>
    <mergeCell ref="BQ405:BS405"/>
    <mergeCell ref="BT405:BW405"/>
    <mergeCell ref="BX405:BZ405"/>
    <mergeCell ref="CA405:CD405"/>
    <mergeCell ref="CE405:CG405"/>
    <mergeCell ref="CH405:CK405"/>
    <mergeCell ref="CL405:CN405"/>
    <mergeCell ref="AG406:AH406"/>
    <mergeCell ref="AI406:AV406"/>
    <mergeCell ref="AW406:AY406"/>
    <mergeCell ref="BC406:BE406"/>
    <mergeCell ref="BF406:BH406"/>
    <mergeCell ref="BI406:BL406"/>
    <mergeCell ref="BM406:BP406"/>
    <mergeCell ref="BQ406:BS406"/>
    <mergeCell ref="BT406:BW406"/>
    <mergeCell ref="BX406:BZ406"/>
    <mergeCell ref="CA406:CD406"/>
    <mergeCell ref="CE406:CG406"/>
    <mergeCell ref="CH406:CK406"/>
    <mergeCell ref="CL406:CN406"/>
    <mergeCell ref="AG407:AH407"/>
    <mergeCell ref="AI407:AV407"/>
    <mergeCell ref="AW407:AY407"/>
    <mergeCell ref="BC407:BE407"/>
    <mergeCell ref="BF407:BH407"/>
    <mergeCell ref="BI407:BL407"/>
    <mergeCell ref="BM407:BP407"/>
    <mergeCell ref="BQ407:BS407"/>
    <mergeCell ref="BT407:BW407"/>
    <mergeCell ref="BX407:BZ407"/>
    <mergeCell ref="CA407:CD407"/>
    <mergeCell ref="CE407:CG407"/>
    <mergeCell ref="CH407:CK407"/>
    <mergeCell ref="CL407:CN407"/>
    <mergeCell ref="AG408:AH408"/>
    <mergeCell ref="AI408:AV408"/>
    <mergeCell ref="AW408:AY408"/>
    <mergeCell ref="BC408:BE408"/>
    <mergeCell ref="BF408:BH408"/>
    <mergeCell ref="BI408:BL408"/>
    <mergeCell ref="BM408:BP408"/>
    <mergeCell ref="BQ408:BS408"/>
    <mergeCell ref="BT408:BW408"/>
    <mergeCell ref="BX408:BZ408"/>
    <mergeCell ref="CA408:CD408"/>
    <mergeCell ref="CE408:CG408"/>
    <mergeCell ref="CH408:CK408"/>
    <mergeCell ref="CL408:CN408"/>
    <mergeCell ref="AG409:AH409"/>
    <mergeCell ref="AI409:AV409"/>
    <mergeCell ref="AW409:AY409"/>
    <mergeCell ref="BC409:BE409"/>
    <mergeCell ref="BF409:BH409"/>
    <mergeCell ref="BI409:BL409"/>
    <mergeCell ref="BM409:BP409"/>
    <mergeCell ref="BQ409:BS409"/>
    <mergeCell ref="BT409:BW409"/>
    <mergeCell ref="BX409:BZ409"/>
    <mergeCell ref="CA409:CD409"/>
    <mergeCell ref="CE409:CG409"/>
    <mergeCell ref="CH409:CK409"/>
    <mergeCell ref="CL409:CN409"/>
    <mergeCell ref="AG410:AH410"/>
    <mergeCell ref="AI410:AV410"/>
    <mergeCell ref="AW410:AY410"/>
    <mergeCell ref="BC410:BE410"/>
    <mergeCell ref="BF410:BH410"/>
    <mergeCell ref="BI410:BL410"/>
    <mergeCell ref="BM410:BP410"/>
    <mergeCell ref="BQ410:BS410"/>
    <mergeCell ref="BT410:BW410"/>
    <mergeCell ref="BX410:BZ410"/>
    <mergeCell ref="CA410:CD410"/>
    <mergeCell ref="CE410:CG410"/>
    <mergeCell ref="CH410:CK410"/>
    <mergeCell ref="CL410:CN410"/>
    <mergeCell ref="AG411:AH411"/>
    <mergeCell ref="AI411:AV411"/>
    <mergeCell ref="AW411:AY411"/>
    <mergeCell ref="BC411:BE411"/>
    <mergeCell ref="BF411:BH411"/>
    <mergeCell ref="BI411:BL411"/>
    <mergeCell ref="BM411:BP411"/>
    <mergeCell ref="BQ411:BS411"/>
    <mergeCell ref="BT411:BW411"/>
    <mergeCell ref="BX411:BZ411"/>
    <mergeCell ref="CA411:CD411"/>
    <mergeCell ref="CE411:CG411"/>
    <mergeCell ref="CH411:CK411"/>
    <mergeCell ref="CL411:CN411"/>
    <mergeCell ref="AG412:AH412"/>
    <mergeCell ref="AI412:AV412"/>
    <mergeCell ref="AW412:AY412"/>
    <mergeCell ref="BC412:BE412"/>
    <mergeCell ref="BF412:BH412"/>
    <mergeCell ref="BI412:BL412"/>
    <mergeCell ref="BM412:BP412"/>
    <mergeCell ref="BQ412:BS412"/>
    <mergeCell ref="BT412:BW412"/>
    <mergeCell ref="BX412:BZ412"/>
    <mergeCell ref="CA412:CD412"/>
    <mergeCell ref="CE412:CG412"/>
    <mergeCell ref="CH412:CK412"/>
    <mergeCell ref="CL412:CN412"/>
    <mergeCell ref="AG413:AH413"/>
    <mergeCell ref="AI413:AV413"/>
    <mergeCell ref="AW413:AY413"/>
    <mergeCell ref="BC413:BE413"/>
    <mergeCell ref="BF413:BH413"/>
    <mergeCell ref="BI413:BL413"/>
    <mergeCell ref="BM413:BP413"/>
    <mergeCell ref="BQ413:BS413"/>
    <mergeCell ref="BT413:BW413"/>
    <mergeCell ref="BX413:BZ413"/>
    <mergeCell ref="CA413:CD413"/>
    <mergeCell ref="CE413:CG413"/>
    <mergeCell ref="CH413:CK413"/>
    <mergeCell ref="CL413:CN413"/>
    <mergeCell ref="AG414:AH414"/>
    <mergeCell ref="AI414:AV414"/>
    <mergeCell ref="AW414:AY414"/>
    <mergeCell ref="BC414:BE414"/>
    <mergeCell ref="BF414:BH414"/>
    <mergeCell ref="BI414:BL414"/>
    <mergeCell ref="BM414:BP414"/>
    <mergeCell ref="BQ414:BS414"/>
    <mergeCell ref="BT414:BW414"/>
    <mergeCell ref="BX414:BZ414"/>
    <mergeCell ref="CA414:CD414"/>
    <mergeCell ref="CE414:CG414"/>
    <mergeCell ref="CH414:CK414"/>
    <mergeCell ref="CL414:CN414"/>
    <mergeCell ref="AG415:AH415"/>
    <mergeCell ref="AI415:AV415"/>
    <mergeCell ref="AW415:AY415"/>
    <mergeCell ref="BC415:BE415"/>
    <mergeCell ref="BF415:BH415"/>
    <mergeCell ref="BI415:BL415"/>
    <mergeCell ref="BM415:BP415"/>
    <mergeCell ref="BQ415:BS415"/>
    <mergeCell ref="BT415:BW415"/>
    <mergeCell ref="BX415:BZ415"/>
    <mergeCell ref="CA415:CD415"/>
    <mergeCell ref="CE415:CG415"/>
    <mergeCell ref="CH415:CK415"/>
    <mergeCell ref="CL415:CN415"/>
    <mergeCell ref="AG416:AH416"/>
    <mergeCell ref="AI416:AV416"/>
    <mergeCell ref="AW416:AY416"/>
    <mergeCell ref="BC416:BE416"/>
    <mergeCell ref="BF416:BH416"/>
    <mergeCell ref="BI416:BL416"/>
    <mergeCell ref="BM416:BP416"/>
    <mergeCell ref="BQ416:BS416"/>
    <mergeCell ref="BT416:BW416"/>
    <mergeCell ref="BX416:BZ416"/>
    <mergeCell ref="CA416:CD416"/>
    <mergeCell ref="CE416:CG416"/>
    <mergeCell ref="CH416:CK416"/>
    <mergeCell ref="CL416:CN416"/>
    <mergeCell ref="AG417:AH417"/>
    <mergeCell ref="AI417:AV417"/>
    <mergeCell ref="AW417:AY417"/>
    <mergeCell ref="BC417:BE417"/>
    <mergeCell ref="BF417:BH417"/>
    <mergeCell ref="BI417:BL417"/>
    <mergeCell ref="BM417:BP417"/>
    <mergeCell ref="BQ417:BS417"/>
    <mergeCell ref="BT417:BW417"/>
    <mergeCell ref="BX417:BZ417"/>
    <mergeCell ref="CA417:CD417"/>
    <mergeCell ref="CE417:CG417"/>
    <mergeCell ref="CH417:CK417"/>
    <mergeCell ref="CL417:CN417"/>
    <mergeCell ref="AG418:AH418"/>
    <mergeCell ref="AI418:AV418"/>
    <mergeCell ref="AW418:AY418"/>
    <mergeCell ref="BC418:BE418"/>
    <mergeCell ref="BF418:BH418"/>
    <mergeCell ref="BI418:BL418"/>
    <mergeCell ref="BM418:BP418"/>
    <mergeCell ref="BQ418:BS418"/>
    <mergeCell ref="BT418:BW418"/>
    <mergeCell ref="BX418:BZ418"/>
    <mergeCell ref="CA418:CD418"/>
    <mergeCell ref="CE418:CG418"/>
    <mergeCell ref="CH418:CK418"/>
    <mergeCell ref="CL418:CN418"/>
    <mergeCell ref="AG419:AH419"/>
    <mergeCell ref="AI419:AV419"/>
    <mergeCell ref="AW419:AY419"/>
    <mergeCell ref="BC419:BE419"/>
    <mergeCell ref="BF419:BH419"/>
    <mergeCell ref="BI419:BL419"/>
    <mergeCell ref="BM419:BP419"/>
    <mergeCell ref="BQ419:BS419"/>
    <mergeCell ref="BT419:BW419"/>
    <mergeCell ref="BX419:BZ419"/>
    <mergeCell ref="CA419:CD419"/>
    <mergeCell ref="CE419:CG419"/>
    <mergeCell ref="CH419:CK419"/>
    <mergeCell ref="CL419:CN419"/>
    <mergeCell ref="AG420:AH420"/>
    <mergeCell ref="AI420:AV420"/>
    <mergeCell ref="AW420:AY420"/>
    <mergeCell ref="BC420:BE420"/>
    <mergeCell ref="BF420:BH420"/>
    <mergeCell ref="BI420:BL420"/>
    <mergeCell ref="BM420:BP420"/>
    <mergeCell ref="BQ420:BS420"/>
    <mergeCell ref="BT420:BW420"/>
    <mergeCell ref="BX420:BZ420"/>
    <mergeCell ref="CA420:CD420"/>
    <mergeCell ref="CE420:CG420"/>
    <mergeCell ref="CH420:CK420"/>
    <mergeCell ref="CL420:CN420"/>
    <mergeCell ref="AG421:AH421"/>
    <mergeCell ref="AI421:AV421"/>
    <mergeCell ref="AW421:AY421"/>
    <mergeCell ref="BC421:BE421"/>
    <mergeCell ref="BF421:BH421"/>
    <mergeCell ref="BI421:BL421"/>
    <mergeCell ref="BM421:BP421"/>
    <mergeCell ref="BQ421:BS421"/>
    <mergeCell ref="BT421:BW421"/>
    <mergeCell ref="BX421:BZ421"/>
    <mergeCell ref="CA421:CD421"/>
    <mergeCell ref="CE421:CG421"/>
    <mergeCell ref="CH421:CK421"/>
    <mergeCell ref="CL421:CN421"/>
    <mergeCell ref="AG422:AH422"/>
    <mergeCell ref="AI422:AV422"/>
    <mergeCell ref="AW422:AY422"/>
    <mergeCell ref="BC422:BE422"/>
    <mergeCell ref="BF422:BH422"/>
    <mergeCell ref="BI422:BL422"/>
    <mergeCell ref="BM422:BP422"/>
    <mergeCell ref="BQ422:BS422"/>
    <mergeCell ref="BT422:BW422"/>
    <mergeCell ref="BX422:BZ422"/>
    <mergeCell ref="CA422:CD422"/>
    <mergeCell ref="CE422:CG422"/>
    <mergeCell ref="CH422:CK422"/>
    <mergeCell ref="CL422:CN422"/>
    <mergeCell ref="AG423:AH423"/>
    <mergeCell ref="AI423:AV423"/>
    <mergeCell ref="AW423:AY423"/>
    <mergeCell ref="BC423:BE423"/>
    <mergeCell ref="BF423:BH423"/>
    <mergeCell ref="BI423:BL423"/>
    <mergeCell ref="BM423:BP423"/>
    <mergeCell ref="BQ423:BS423"/>
    <mergeCell ref="BT423:BW423"/>
    <mergeCell ref="BX423:BZ423"/>
    <mergeCell ref="CA423:CD423"/>
    <mergeCell ref="CE423:CG423"/>
    <mergeCell ref="CH423:CK423"/>
    <mergeCell ref="CL423:CN423"/>
    <mergeCell ref="AG424:AH424"/>
    <mergeCell ref="AI424:AV424"/>
    <mergeCell ref="AW424:AY424"/>
    <mergeCell ref="BC424:BE424"/>
    <mergeCell ref="BF424:BH424"/>
    <mergeCell ref="BI424:BL424"/>
    <mergeCell ref="BM424:BP424"/>
    <mergeCell ref="BQ424:BS424"/>
    <mergeCell ref="BT424:BW424"/>
    <mergeCell ref="BX424:BZ424"/>
    <mergeCell ref="CA424:CD424"/>
    <mergeCell ref="CE424:CG424"/>
    <mergeCell ref="CH424:CK424"/>
    <mergeCell ref="CL424:CN424"/>
    <mergeCell ref="AG425:AH425"/>
    <mergeCell ref="AI425:AV425"/>
    <mergeCell ref="AW425:AY425"/>
    <mergeCell ref="BC425:BE425"/>
    <mergeCell ref="BF425:BH425"/>
    <mergeCell ref="BI425:BL425"/>
    <mergeCell ref="BM425:BP425"/>
    <mergeCell ref="BQ425:BS425"/>
    <mergeCell ref="BT425:BW425"/>
    <mergeCell ref="BX425:BZ425"/>
    <mergeCell ref="CA425:CD425"/>
    <mergeCell ref="CE425:CG425"/>
    <mergeCell ref="CH425:CK425"/>
    <mergeCell ref="CL425:CN425"/>
    <mergeCell ref="AG426:AH426"/>
    <mergeCell ref="AI426:AV426"/>
    <mergeCell ref="AW426:AY426"/>
    <mergeCell ref="BC426:BE426"/>
    <mergeCell ref="BF426:BH426"/>
    <mergeCell ref="BI426:BL426"/>
    <mergeCell ref="BM426:BP426"/>
    <mergeCell ref="BQ426:BS426"/>
    <mergeCell ref="BT426:BW426"/>
    <mergeCell ref="BX426:BZ426"/>
    <mergeCell ref="CA426:CD426"/>
    <mergeCell ref="CE426:CG426"/>
    <mergeCell ref="CH426:CK426"/>
    <mergeCell ref="CL426:CN426"/>
    <mergeCell ref="AG427:AH427"/>
    <mergeCell ref="AI427:AV427"/>
    <mergeCell ref="AW427:AY427"/>
    <mergeCell ref="BC427:BE427"/>
    <mergeCell ref="BF427:BH427"/>
    <mergeCell ref="BI427:BL427"/>
    <mergeCell ref="BM427:BP427"/>
    <mergeCell ref="BQ427:BS427"/>
    <mergeCell ref="BT427:BW427"/>
    <mergeCell ref="BX427:BZ427"/>
    <mergeCell ref="CA427:CD427"/>
    <mergeCell ref="CE427:CG427"/>
    <mergeCell ref="CH427:CK427"/>
    <mergeCell ref="CL427:CN427"/>
    <mergeCell ref="AG428:AH428"/>
    <mergeCell ref="AI428:AV428"/>
    <mergeCell ref="AW428:AY428"/>
    <mergeCell ref="BC428:BE428"/>
    <mergeCell ref="BF428:BH428"/>
    <mergeCell ref="BI428:BL428"/>
    <mergeCell ref="BM428:BP428"/>
    <mergeCell ref="BQ428:BS428"/>
    <mergeCell ref="BT428:BW428"/>
    <mergeCell ref="BX428:BZ428"/>
    <mergeCell ref="CA428:CD428"/>
    <mergeCell ref="CE428:CG428"/>
    <mergeCell ref="CH428:CK428"/>
    <mergeCell ref="CL428:CN428"/>
    <mergeCell ref="AG429:AH429"/>
    <mergeCell ref="AI429:AV429"/>
    <mergeCell ref="AW429:AY429"/>
    <mergeCell ref="BC429:BE429"/>
    <mergeCell ref="BF429:BH429"/>
    <mergeCell ref="BI429:BL429"/>
    <mergeCell ref="BM429:BP429"/>
    <mergeCell ref="BQ429:BS429"/>
    <mergeCell ref="BT429:BW429"/>
    <mergeCell ref="BX429:BZ429"/>
    <mergeCell ref="CA429:CD429"/>
    <mergeCell ref="CE429:CG429"/>
    <mergeCell ref="CH429:CK429"/>
    <mergeCell ref="CL429:CN429"/>
    <mergeCell ref="AG430:AH430"/>
    <mergeCell ref="AI430:AV430"/>
    <mergeCell ref="AW430:AY430"/>
    <mergeCell ref="BC430:BE430"/>
    <mergeCell ref="BF430:BH430"/>
    <mergeCell ref="BI430:BL430"/>
    <mergeCell ref="BM430:BP430"/>
    <mergeCell ref="BQ430:BS430"/>
    <mergeCell ref="BT430:BW430"/>
    <mergeCell ref="BX430:BZ430"/>
    <mergeCell ref="CA430:CD430"/>
    <mergeCell ref="CE430:CG430"/>
    <mergeCell ref="CH430:CK430"/>
    <mergeCell ref="CL430:CN430"/>
    <mergeCell ref="AG431:AH431"/>
    <mergeCell ref="AI431:AV431"/>
    <mergeCell ref="AW431:AY431"/>
    <mergeCell ref="BC431:BE431"/>
    <mergeCell ref="BF431:BH431"/>
    <mergeCell ref="BI431:BL431"/>
    <mergeCell ref="BM431:BP431"/>
    <mergeCell ref="BQ431:BS431"/>
    <mergeCell ref="BT431:BW431"/>
    <mergeCell ref="BX431:BZ431"/>
    <mergeCell ref="CA431:CD431"/>
    <mergeCell ref="CE431:CG431"/>
    <mergeCell ref="CH431:CK431"/>
    <mergeCell ref="CL431:CN431"/>
    <mergeCell ref="AG432:AH432"/>
    <mergeCell ref="AI432:AV432"/>
    <mergeCell ref="AW432:AY432"/>
    <mergeCell ref="BC432:BE432"/>
    <mergeCell ref="BF432:BH432"/>
    <mergeCell ref="BI432:BL432"/>
    <mergeCell ref="BM432:BP432"/>
    <mergeCell ref="BQ432:BS432"/>
    <mergeCell ref="BT432:BW432"/>
    <mergeCell ref="BX432:BZ432"/>
    <mergeCell ref="CA432:CD432"/>
    <mergeCell ref="CE432:CG432"/>
    <mergeCell ref="CH432:CK432"/>
    <mergeCell ref="CL432:CN432"/>
    <mergeCell ref="AG433:AH433"/>
    <mergeCell ref="AI433:AV433"/>
    <mergeCell ref="AW433:AY433"/>
    <mergeCell ref="BC433:BE433"/>
    <mergeCell ref="BF433:BH433"/>
    <mergeCell ref="BI433:BL433"/>
    <mergeCell ref="BM433:BP433"/>
    <mergeCell ref="BQ433:BS433"/>
    <mergeCell ref="BT433:BW433"/>
    <mergeCell ref="BX433:BZ433"/>
    <mergeCell ref="CA433:CD433"/>
    <mergeCell ref="CE433:CG433"/>
    <mergeCell ref="CH433:CK433"/>
    <mergeCell ref="CL433:CN433"/>
    <mergeCell ref="AG434:AH434"/>
    <mergeCell ref="AI434:AV434"/>
    <mergeCell ref="AW434:AY434"/>
    <mergeCell ref="BC434:BE434"/>
    <mergeCell ref="BF434:BH434"/>
    <mergeCell ref="BI434:BL434"/>
    <mergeCell ref="BM434:BP434"/>
    <mergeCell ref="BQ434:BS434"/>
    <mergeCell ref="BT434:BW434"/>
    <mergeCell ref="BX434:BZ434"/>
    <mergeCell ref="CA434:CD434"/>
    <mergeCell ref="CE434:CG434"/>
    <mergeCell ref="CH434:CK434"/>
    <mergeCell ref="CL434:CN434"/>
    <mergeCell ref="AG435:AH435"/>
    <mergeCell ref="AI435:AV435"/>
    <mergeCell ref="AW435:AY435"/>
    <mergeCell ref="BC435:BE435"/>
    <mergeCell ref="BF435:BH435"/>
    <mergeCell ref="BI435:BL435"/>
    <mergeCell ref="BM435:BP435"/>
    <mergeCell ref="BQ435:BS435"/>
    <mergeCell ref="BT435:BW435"/>
    <mergeCell ref="BX435:BZ435"/>
    <mergeCell ref="CA435:CD435"/>
    <mergeCell ref="CE435:CG435"/>
    <mergeCell ref="CH435:CK435"/>
    <mergeCell ref="CL435:CN435"/>
    <mergeCell ref="AG436:AH436"/>
    <mergeCell ref="AI436:AV436"/>
    <mergeCell ref="AW436:AY436"/>
    <mergeCell ref="BC436:BE436"/>
    <mergeCell ref="BF436:BH436"/>
    <mergeCell ref="BI436:BL436"/>
    <mergeCell ref="BM436:BP436"/>
    <mergeCell ref="BQ436:BS436"/>
    <mergeCell ref="BT436:BW436"/>
    <mergeCell ref="BX436:BZ436"/>
    <mergeCell ref="CA436:CD436"/>
    <mergeCell ref="CE436:CG436"/>
    <mergeCell ref="CH436:CK436"/>
    <mergeCell ref="CL436:CN436"/>
    <mergeCell ref="AG437:AH437"/>
    <mergeCell ref="AI437:AV437"/>
    <mergeCell ref="AW437:AY437"/>
    <mergeCell ref="BC437:BE437"/>
    <mergeCell ref="BF437:BH437"/>
    <mergeCell ref="BI437:BL437"/>
    <mergeCell ref="BM437:BP437"/>
    <mergeCell ref="BQ437:BS437"/>
    <mergeCell ref="BT437:BW437"/>
    <mergeCell ref="BX437:BZ437"/>
    <mergeCell ref="CA437:CD437"/>
    <mergeCell ref="CE437:CG437"/>
    <mergeCell ref="CH437:CK437"/>
    <mergeCell ref="CL437:CN437"/>
    <mergeCell ref="AG438:AH438"/>
    <mergeCell ref="AI438:AV438"/>
    <mergeCell ref="AW438:AY438"/>
    <mergeCell ref="BC438:BE438"/>
    <mergeCell ref="BF438:BH438"/>
    <mergeCell ref="BI438:BL438"/>
    <mergeCell ref="BM438:BP438"/>
    <mergeCell ref="BQ438:BS438"/>
    <mergeCell ref="BT438:BW438"/>
    <mergeCell ref="BX438:BZ438"/>
    <mergeCell ref="CA438:CD438"/>
    <mergeCell ref="CE438:CG438"/>
    <mergeCell ref="CH438:CK438"/>
    <mergeCell ref="CL438:CN438"/>
    <mergeCell ref="AG439:AH439"/>
    <mergeCell ref="AI439:AV439"/>
    <mergeCell ref="AW439:AY439"/>
    <mergeCell ref="BC439:BE439"/>
    <mergeCell ref="BF439:BH439"/>
    <mergeCell ref="BI439:BL439"/>
    <mergeCell ref="BM439:BP439"/>
    <mergeCell ref="BQ439:BS439"/>
    <mergeCell ref="BT439:BW439"/>
    <mergeCell ref="BX439:BZ439"/>
    <mergeCell ref="CA439:CD439"/>
    <mergeCell ref="CE439:CG439"/>
    <mergeCell ref="CH439:CK439"/>
    <mergeCell ref="CL439:CN439"/>
    <mergeCell ref="AG440:AH440"/>
    <mergeCell ref="AI440:AV440"/>
    <mergeCell ref="AW440:AY440"/>
    <mergeCell ref="BC440:BE440"/>
    <mergeCell ref="BF440:BH440"/>
    <mergeCell ref="BI440:BL440"/>
    <mergeCell ref="BM440:BP440"/>
    <mergeCell ref="BQ440:BS440"/>
    <mergeCell ref="BT440:BW440"/>
    <mergeCell ref="BX440:BZ440"/>
    <mergeCell ref="CA440:CD440"/>
    <mergeCell ref="CE440:CG440"/>
    <mergeCell ref="CH440:CK440"/>
    <mergeCell ref="CL440:CN440"/>
    <mergeCell ref="AG441:AH441"/>
    <mergeCell ref="AI441:AV441"/>
    <mergeCell ref="AW441:AY441"/>
    <mergeCell ref="BC441:BE441"/>
    <mergeCell ref="BF441:BH441"/>
    <mergeCell ref="BI441:BL441"/>
    <mergeCell ref="BM441:BP441"/>
    <mergeCell ref="BQ441:BS441"/>
    <mergeCell ref="BT441:BW441"/>
    <mergeCell ref="BX441:BZ441"/>
    <mergeCell ref="CA441:CD441"/>
    <mergeCell ref="CE441:CG441"/>
    <mergeCell ref="CH441:CK441"/>
    <mergeCell ref="CL441:CN441"/>
    <mergeCell ref="AG442:AH442"/>
    <mergeCell ref="AI442:AV442"/>
    <mergeCell ref="AW442:AY442"/>
    <mergeCell ref="BC442:BE442"/>
    <mergeCell ref="BF442:BH442"/>
    <mergeCell ref="BI442:BL442"/>
    <mergeCell ref="BM442:BP442"/>
    <mergeCell ref="BQ442:BS442"/>
    <mergeCell ref="BT442:BW442"/>
    <mergeCell ref="BX442:BZ442"/>
    <mergeCell ref="CA442:CD442"/>
    <mergeCell ref="CE442:CG442"/>
    <mergeCell ref="CH442:CK442"/>
    <mergeCell ref="CL442:CN442"/>
    <mergeCell ref="AG443:AH443"/>
    <mergeCell ref="AI443:AV443"/>
    <mergeCell ref="AW443:AY443"/>
    <mergeCell ref="BC443:BE443"/>
    <mergeCell ref="BF443:BH443"/>
    <mergeCell ref="BI443:BL443"/>
    <mergeCell ref="BM443:BP443"/>
    <mergeCell ref="BQ443:BS443"/>
    <mergeCell ref="BT443:BW443"/>
    <mergeCell ref="BX443:BZ443"/>
    <mergeCell ref="CA443:CD443"/>
    <mergeCell ref="CE443:CG443"/>
    <mergeCell ref="CH443:CK443"/>
    <mergeCell ref="CL443:CN443"/>
    <mergeCell ref="AG444:AH444"/>
    <mergeCell ref="AI444:AV444"/>
    <mergeCell ref="AW444:AY444"/>
    <mergeCell ref="BC444:BE444"/>
    <mergeCell ref="BF444:BH444"/>
    <mergeCell ref="BI444:BL444"/>
    <mergeCell ref="BM444:BP444"/>
    <mergeCell ref="BQ444:BS444"/>
    <mergeCell ref="BT444:BW444"/>
    <mergeCell ref="BX444:BZ444"/>
    <mergeCell ref="CA444:CD444"/>
    <mergeCell ref="CE444:CG444"/>
    <mergeCell ref="CH444:CK444"/>
    <mergeCell ref="CL444:CN444"/>
    <mergeCell ref="AG445:AH445"/>
    <mergeCell ref="AI445:AV445"/>
    <mergeCell ref="AW445:AY445"/>
    <mergeCell ref="BC445:BE445"/>
    <mergeCell ref="BF445:BH445"/>
    <mergeCell ref="BI445:BL445"/>
    <mergeCell ref="BM445:BP445"/>
    <mergeCell ref="BQ445:BS445"/>
    <mergeCell ref="BT445:BW445"/>
    <mergeCell ref="BX445:BZ445"/>
    <mergeCell ref="CA445:CD445"/>
    <mergeCell ref="CE445:CG445"/>
    <mergeCell ref="CH445:CK445"/>
    <mergeCell ref="CL445:CN445"/>
    <mergeCell ref="AG446:AH446"/>
    <mergeCell ref="AI446:AV446"/>
    <mergeCell ref="AW446:AY446"/>
    <mergeCell ref="BC446:BE446"/>
    <mergeCell ref="BF446:BH446"/>
    <mergeCell ref="BI446:BL446"/>
    <mergeCell ref="BM446:BP446"/>
    <mergeCell ref="BQ446:BS446"/>
    <mergeCell ref="BT446:BW446"/>
    <mergeCell ref="BX446:BZ446"/>
    <mergeCell ref="CA446:CD446"/>
    <mergeCell ref="CE446:CG446"/>
    <mergeCell ref="CH446:CK446"/>
    <mergeCell ref="CL446:CN446"/>
    <mergeCell ref="AG447:AH447"/>
    <mergeCell ref="AI447:AV447"/>
    <mergeCell ref="AW447:AY447"/>
    <mergeCell ref="BC447:BE447"/>
    <mergeCell ref="BF447:BH447"/>
    <mergeCell ref="BI447:BL447"/>
    <mergeCell ref="BM447:BP447"/>
    <mergeCell ref="BQ447:BS447"/>
    <mergeCell ref="BT447:BW447"/>
    <mergeCell ref="BX447:BZ447"/>
    <mergeCell ref="CA447:CD447"/>
    <mergeCell ref="CE447:CG447"/>
    <mergeCell ref="CH447:CK447"/>
    <mergeCell ref="CL447:CN447"/>
    <mergeCell ref="AG448:AH448"/>
    <mergeCell ref="AI448:AV448"/>
    <mergeCell ref="AW448:AY448"/>
    <mergeCell ref="BC448:BE448"/>
    <mergeCell ref="BF448:BH448"/>
    <mergeCell ref="BI448:BL448"/>
    <mergeCell ref="BM448:BP448"/>
    <mergeCell ref="BQ448:BS448"/>
    <mergeCell ref="BT448:BW448"/>
    <mergeCell ref="BX448:BZ448"/>
    <mergeCell ref="CA448:CD448"/>
    <mergeCell ref="CE448:CG448"/>
    <mergeCell ref="CH448:CK448"/>
    <mergeCell ref="CL448:CN448"/>
    <mergeCell ref="AG449:AH449"/>
    <mergeCell ref="AI449:AV449"/>
    <mergeCell ref="AW449:AY449"/>
    <mergeCell ref="BC449:BE449"/>
    <mergeCell ref="BF449:BH449"/>
    <mergeCell ref="BI449:BL449"/>
    <mergeCell ref="BM449:BP449"/>
    <mergeCell ref="BQ449:BS449"/>
    <mergeCell ref="BT449:BW449"/>
    <mergeCell ref="BX449:BZ449"/>
    <mergeCell ref="CA449:CD449"/>
    <mergeCell ref="CE449:CG449"/>
    <mergeCell ref="CH449:CK449"/>
    <mergeCell ref="CL449:CN449"/>
    <mergeCell ref="AG450:AH450"/>
    <mergeCell ref="AI450:AV450"/>
    <mergeCell ref="AW450:AY450"/>
    <mergeCell ref="BC450:BE450"/>
    <mergeCell ref="BF450:BH450"/>
    <mergeCell ref="BI450:BL450"/>
    <mergeCell ref="BM450:BP450"/>
    <mergeCell ref="BQ450:BS450"/>
    <mergeCell ref="BT450:BW450"/>
    <mergeCell ref="BX450:BZ450"/>
    <mergeCell ref="CA450:CD450"/>
    <mergeCell ref="CE450:CG450"/>
    <mergeCell ref="CH450:CK450"/>
    <mergeCell ref="CL450:CN450"/>
    <mergeCell ref="AG451:AH451"/>
    <mergeCell ref="AI451:AV451"/>
    <mergeCell ref="AW451:AY451"/>
    <mergeCell ref="BC451:BE451"/>
    <mergeCell ref="BF451:BH451"/>
    <mergeCell ref="BI451:BL451"/>
    <mergeCell ref="BM451:BP451"/>
    <mergeCell ref="BQ451:BS451"/>
    <mergeCell ref="BT451:BW451"/>
    <mergeCell ref="BX451:BZ451"/>
    <mergeCell ref="CA451:CD451"/>
    <mergeCell ref="CE451:CG451"/>
    <mergeCell ref="CH451:CK451"/>
    <mergeCell ref="CL451:CN451"/>
    <mergeCell ref="AG452:AH452"/>
    <mergeCell ref="AI452:AV452"/>
    <mergeCell ref="AW452:AY452"/>
    <mergeCell ref="BC452:BE452"/>
    <mergeCell ref="BF452:BH452"/>
    <mergeCell ref="BI452:BL452"/>
    <mergeCell ref="BM452:BP452"/>
    <mergeCell ref="BQ452:BS452"/>
    <mergeCell ref="BT452:BW452"/>
    <mergeCell ref="BX452:BZ452"/>
    <mergeCell ref="CA452:CD452"/>
    <mergeCell ref="CE452:CG452"/>
    <mergeCell ref="CH452:CK452"/>
    <mergeCell ref="CL452:CN452"/>
    <mergeCell ref="AG453:AH453"/>
    <mergeCell ref="AI453:AV453"/>
    <mergeCell ref="AW453:AY453"/>
    <mergeCell ref="BC453:BE453"/>
    <mergeCell ref="BF453:BH453"/>
    <mergeCell ref="BI453:BL453"/>
    <mergeCell ref="BM453:BP453"/>
    <mergeCell ref="BQ453:BS453"/>
    <mergeCell ref="BT453:BW453"/>
    <mergeCell ref="BX453:BZ453"/>
    <mergeCell ref="CA453:CD453"/>
    <mergeCell ref="CE453:CG453"/>
    <mergeCell ref="CH453:CK453"/>
    <mergeCell ref="CL453:CN453"/>
    <mergeCell ref="AG454:AH454"/>
    <mergeCell ref="AI454:AV454"/>
    <mergeCell ref="AW454:AY454"/>
    <mergeCell ref="BC454:BE454"/>
    <mergeCell ref="BF454:BH454"/>
    <mergeCell ref="BI454:BL454"/>
    <mergeCell ref="BM454:BP454"/>
    <mergeCell ref="BQ454:BS454"/>
    <mergeCell ref="BT454:BW454"/>
    <mergeCell ref="BX454:BZ454"/>
    <mergeCell ref="CA454:CD454"/>
    <mergeCell ref="CE454:CG454"/>
    <mergeCell ref="CH454:CK454"/>
    <mergeCell ref="CL454:CN454"/>
    <mergeCell ref="AG455:AH455"/>
    <mergeCell ref="AI455:AV455"/>
    <mergeCell ref="AW455:AY455"/>
    <mergeCell ref="BC455:BE455"/>
    <mergeCell ref="BF455:BH455"/>
    <mergeCell ref="BI455:BL455"/>
    <mergeCell ref="BM455:BP455"/>
    <mergeCell ref="BQ455:BS455"/>
    <mergeCell ref="BT455:BW455"/>
    <mergeCell ref="BX455:BZ455"/>
    <mergeCell ref="CA455:CD455"/>
    <mergeCell ref="CE455:CG455"/>
    <mergeCell ref="CH455:CK455"/>
    <mergeCell ref="CL455:CN455"/>
    <mergeCell ref="AG456:AH456"/>
    <mergeCell ref="AI456:AV456"/>
    <mergeCell ref="AW456:AY456"/>
    <mergeCell ref="BC456:BE456"/>
    <mergeCell ref="BF456:BH456"/>
    <mergeCell ref="BI456:BL456"/>
    <mergeCell ref="BM456:BP456"/>
    <mergeCell ref="BQ456:BS456"/>
    <mergeCell ref="BT456:BW456"/>
    <mergeCell ref="BX456:BZ456"/>
    <mergeCell ref="CA456:CD456"/>
    <mergeCell ref="CE456:CG456"/>
    <mergeCell ref="CH456:CK456"/>
    <mergeCell ref="CL456:CN456"/>
    <mergeCell ref="AG457:AH457"/>
    <mergeCell ref="AI457:AV457"/>
    <mergeCell ref="AW457:AY457"/>
    <mergeCell ref="BC457:BE457"/>
    <mergeCell ref="BF457:BH457"/>
    <mergeCell ref="BI457:BL457"/>
    <mergeCell ref="BM457:BP457"/>
    <mergeCell ref="BQ457:BS457"/>
    <mergeCell ref="BT457:BW457"/>
    <mergeCell ref="BX457:BZ457"/>
    <mergeCell ref="CA457:CD457"/>
    <mergeCell ref="CE457:CG457"/>
    <mergeCell ref="CH457:CK457"/>
    <mergeCell ref="CL457:CN457"/>
    <mergeCell ref="AG458:AH458"/>
    <mergeCell ref="AI458:AV458"/>
    <mergeCell ref="AW458:AY458"/>
    <mergeCell ref="BC458:BE458"/>
    <mergeCell ref="BF458:BH458"/>
    <mergeCell ref="BI458:BL458"/>
    <mergeCell ref="BM458:BP458"/>
    <mergeCell ref="BQ458:BS458"/>
    <mergeCell ref="BT458:BW458"/>
    <mergeCell ref="BX458:BZ458"/>
    <mergeCell ref="CA458:CD458"/>
    <mergeCell ref="CE458:CG458"/>
    <mergeCell ref="CH458:CK458"/>
    <mergeCell ref="CL458:CN458"/>
    <mergeCell ref="AG459:AH459"/>
    <mergeCell ref="AI459:AV459"/>
    <mergeCell ref="AW459:AY459"/>
    <mergeCell ref="BC459:BE459"/>
    <mergeCell ref="BF459:BH459"/>
    <mergeCell ref="BI459:BL459"/>
    <mergeCell ref="BM459:BP459"/>
    <mergeCell ref="BQ459:BS459"/>
    <mergeCell ref="BT459:BW459"/>
    <mergeCell ref="BX459:BZ459"/>
    <mergeCell ref="CA459:CD459"/>
    <mergeCell ref="CE459:CG459"/>
    <mergeCell ref="CH459:CK459"/>
    <mergeCell ref="CL459:CN459"/>
    <mergeCell ref="AG460:AH460"/>
    <mergeCell ref="AI460:AV460"/>
    <mergeCell ref="AW460:AY460"/>
    <mergeCell ref="BC460:BE460"/>
    <mergeCell ref="BF460:BH460"/>
    <mergeCell ref="BI460:BL460"/>
    <mergeCell ref="BM460:BP460"/>
    <mergeCell ref="BQ460:BS460"/>
    <mergeCell ref="BT460:BW460"/>
    <mergeCell ref="BX460:BZ460"/>
    <mergeCell ref="CA460:CD460"/>
    <mergeCell ref="CE460:CG460"/>
    <mergeCell ref="CH460:CK460"/>
    <mergeCell ref="CL460:CN460"/>
    <mergeCell ref="AG461:AH461"/>
    <mergeCell ref="AI461:AV461"/>
    <mergeCell ref="AW461:AY461"/>
    <mergeCell ref="BC461:BE461"/>
    <mergeCell ref="BF461:BH461"/>
    <mergeCell ref="BI461:BL461"/>
    <mergeCell ref="BM461:BP461"/>
    <mergeCell ref="BQ461:BS461"/>
    <mergeCell ref="BT461:BW461"/>
    <mergeCell ref="BX461:BZ461"/>
    <mergeCell ref="CA461:CD461"/>
    <mergeCell ref="CE461:CG461"/>
    <mergeCell ref="CH461:CK461"/>
    <mergeCell ref="CL461:CN461"/>
    <mergeCell ref="AG462:AH462"/>
    <mergeCell ref="AI462:AV462"/>
    <mergeCell ref="AW462:AY462"/>
    <mergeCell ref="BC462:BE462"/>
    <mergeCell ref="BF462:BH462"/>
    <mergeCell ref="BI462:BL462"/>
    <mergeCell ref="BM462:BP462"/>
    <mergeCell ref="BQ462:BS462"/>
    <mergeCell ref="BT462:BW462"/>
    <mergeCell ref="BX462:BZ462"/>
    <mergeCell ref="CA462:CD462"/>
    <mergeCell ref="CE462:CG462"/>
    <mergeCell ref="CH462:CK462"/>
    <mergeCell ref="CL462:CN462"/>
    <mergeCell ref="AG463:AH463"/>
    <mergeCell ref="AI463:AV463"/>
    <mergeCell ref="AW463:AY463"/>
    <mergeCell ref="BC463:BE463"/>
    <mergeCell ref="BF463:BH463"/>
    <mergeCell ref="BI463:BL463"/>
    <mergeCell ref="BM463:BP463"/>
    <mergeCell ref="BQ463:BS463"/>
    <mergeCell ref="BT463:BW463"/>
    <mergeCell ref="BX463:BZ463"/>
    <mergeCell ref="CA463:CD463"/>
    <mergeCell ref="CE463:CG463"/>
    <mergeCell ref="CH463:CK463"/>
    <mergeCell ref="CL463:CN463"/>
    <mergeCell ref="AG464:AH464"/>
    <mergeCell ref="AI464:AV464"/>
    <mergeCell ref="AW464:AY464"/>
    <mergeCell ref="BC464:BE464"/>
    <mergeCell ref="BF464:BH464"/>
    <mergeCell ref="BI464:BL464"/>
    <mergeCell ref="BM464:BP464"/>
    <mergeCell ref="BQ464:BS464"/>
    <mergeCell ref="BT464:BW464"/>
    <mergeCell ref="BX464:BZ464"/>
    <mergeCell ref="CA464:CD464"/>
    <mergeCell ref="CE464:CG464"/>
    <mergeCell ref="CH464:CK464"/>
    <mergeCell ref="CL464:CN464"/>
    <mergeCell ref="AG465:AH465"/>
    <mergeCell ref="AI465:AV465"/>
    <mergeCell ref="AW465:AY465"/>
    <mergeCell ref="BC465:BE465"/>
    <mergeCell ref="BF465:BH465"/>
    <mergeCell ref="BI465:BL465"/>
    <mergeCell ref="BM465:BP465"/>
    <mergeCell ref="BQ465:BS465"/>
    <mergeCell ref="BT465:BW465"/>
    <mergeCell ref="BX465:BZ465"/>
    <mergeCell ref="CA465:CD465"/>
    <mergeCell ref="CE465:CG465"/>
    <mergeCell ref="CH465:CK465"/>
    <mergeCell ref="CL465:CN465"/>
    <mergeCell ref="AG466:AH466"/>
    <mergeCell ref="AI466:AV466"/>
    <mergeCell ref="AW466:AY466"/>
    <mergeCell ref="BC466:BE466"/>
    <mergeCell ref="BF466:BH466"/>
    <mergeCell ref="BI466:BL466"/>
    <mergeCell ref="BM466:BP466"/>
    <mergeCell ref="BQ466:BS466"/>
    <mergeCell ref="BT466:BW466"/>
    <mergeCell ref="BX466:BZ466"/>
    <mergeCell ref="CA466:CD466"/>
    <mergeCell ref="CE466:CG466"/>
    <mergeCell ref="CH466:CK466"/>
    <mergeCell ref="CL466:CN466"/>
    <mergeCell ref="AG467:AH467"/>
    <mergeCell ref="AI467:AV467"/>
    <mergeCell ref="AW467:AY467"/>
    <mergeCell ref="BC467:BE467"/>
    <mergeCell ref="BF467:BH467"/>
    <mergeCell ref="BI467:BL467"/>
    <mergeCell ref="BM467:BP467"/>
    <mergeCell ref="BQ467:BS467"/>
    <mergeCell ref="BT467:BW467"/>
    <mergeCell ref="BX467:BZ467"/>
    <mergeCell ref="CA467:CD467"/>
    <mergeCell ref="CE467:CG467"/>
    <mergeCell ref="CH467:CK467"/>
    <mergeCell ref="CL467:CN467"/>
    <mergeCell ref="AG468:AH468"/>
    <mergeCell ref="AI468:AV468"/>
    <mergeCell ref="AW468:AY468"/>
    <mergeCell ref="BC468:BE468"/>
    <mergeCell ref="BF468:BH468"/>
    <mergeCell ref="BI468:BL468"/>
    <mergeCell ref="BM468:BP468"/>
    <mergeCell ref="BQ468:BS468"/>
    <mergeCell ref="BT468:BW468"/>
    <mergeCell ref="BX468:BZ468"/>
    <mergeCell ref="CA468:CD468"/>
    <mergeCell ref="CE468:CG468"/>
    <mergeCell ref="CH468:CK468"/>
    <mergeCell ref="CL468:CN468"/>
    <mergeCell ref="AG469:AH469"/>
    <mergeCell ref="AI469:AV469"/>
    <mergeCell ref="AW469:AY469"/>
    <mergeCell ref="BC469:BE469"/>
    <mergeCell ref="BF469:BH469"/>
    <mergeCell ref="BI469:BL469"/>
    <mergeCell ref="BM469:BP469"/>
    <mergeCell ref="BQ469:BS469"/>
    <mergeCell ref="BT469:BW469"/>
    <mergeCell ref="BX469:BZ469"/>
    <mergeCell ref="CA469:CD469"/>
    <mergeCell ref="CE469:CG469"/>
    <mergeCell ref="CH469:CK469"/>
    <mergeCell ref="CL469:CN469"/>
    <mergeCell ref="AG470:AH470"/>
    <mergeCell ref="AI470:AV470"/>
    <mergeCell ref="AW470:AY470"/>
    <mergeCell ref="BC470:BE470"/>
    <mergeCell ref="BF470:BH470"/>
    <mergeCell ref="BI470:BL470"/>
    <mergeCell ref="BM470:BP470"/>
    <mergeCell ref="BQ470:BS470"/>
    <mergeCell ref="BT470:BW470"/>
    <mergeCell ref="BX470:BZ470"/>
    <mergeCell ref="CA470:CD470"/>
    <mergeCell ref="CE470:CG470"/>
    <mergeCell ref="CH470:CK470"/>
    <mergeCell ref="CL470:CN470"/>
    <mergeCell ref="AG471:AH471"/>
    <mergeCell ref="AI471:AV471"/>
    <mergeCell ref="AW471:AY471"/>
    <mergeCell ref="BC471:BE471"/>
    <mergeCell ref="BF471:BH471"/>
    <mergeCell ref="BI471:BL471"/>
    <mergeCell ref="BM471:BP471"/>
    <mergeCell ref="BQ471:BS471"/>
    <mergeCell ref="BT471:BW471"/>
    <mergeCell ref="BX471:BZ471"/>
    <mergeCell ref="CA471:CD471"/>
    <mergeCell ref="CE471:CG471"/>
    <mergeCell ref="CH471:CK471"/>
    <mergeCell ref="CL471:CN471"/>
    <mergeCell ref="AG472:AH472"/>
    <mergeCell ref="AI472:AV472"/>
    <mergeCell ref="AW472:AY472"/>
    <mergeCell ref="BC472:BE472"/>
    <mergeCell ref="BF472:BH472"/>
    <mergeCell ref="BI472:BL472"/>
    <mergeCell ref="BM472:BP472"/>
    <mergeCell ref="BQ472:BS472"/>
    <mergeCell ref="BT472:BW472"/>
    <mergeCell ref="BX472:BZ472"/>
    <mergeCell ref="CA472:CD472"/>
    <mergeCell ref="CE472:CG472"/>
    <mergeCell ref="CH472:CK472"/>
    <mergeCell ref="CL472:CN472"/>
    <mergeCell ref="AG473:AH473"/>
    <mergeCell ref="AI473:AV473"/>
    <mergeCell ref="AW473:AY473"/>
    <mergeCell ref="BC473:BE473"/>
    <mergeCell ref="BF473:BH473"/>
    <mergeCell ref="BI473:BL473"/>
    <mergeCell ref="BM473:BP473"/>
    <mergeCell ref="BQ473:BS473"/>
    <mergeCell ref="BT473:BW473"/>
    <mergeCell ref="BX473:BZ473"/>
    <mergeCell ref="CA473:CD473"/>
    <mergeCell ref="CE473:CG473"/>
    <mergeCell ref="CH473:CK473"/>
    <mergeCell ref="CL473:CN473"/>
    <mergeCell ref="AG474:AH474"/>
    <mergeCell ref="AI474:AV474"/>
    <mergeCell ref="AW474:AY474"/>
    <mergeCell ref="BC474:BE474"/>
    <mergeCell ref="BF474:BH474"/>
    <mergeCell ref="BI474:BL474"/>
    <mergeCell ref="BM474:BP474"/>
    <mergeCell ref="BQ474:BS474"/>
    <mergeCell ref="BT474:BW474"/>
    <mergeCell ref="BX474:BZ474"/>
    <mergeCell ref="CA474:CD474"/>
    <mergeCell ref="CE474:CG474"/>
    <mergeCell ref="CH474:CK474"/>
    <mergeCell ref="CL474:CN474"/>
    <mergeCell ref="AG475:AH475"/>
    <mergeCell ref="AI475:AV475"/>
    <mergeCell ref="AW475:AY475"/>
    <mergeCell ref="BC475:BE475"/>
    <mergeCell ref="BF475:BH475"/>
    <mergeCell ref="BI475:BL475"/>
    <mergeCell ref="BM475:BP475"/>
    <mergeCell ref="BQ475:BS475"/>
    <mergeCell ref="BT475:BW475"/>
    <mergeCell ref="BX475:BZ475"/>
    <mergeCell ref="CA475:CD475"/>
    <mergeCell ref="CE475:CG475"/>
    <mergeCell ref="CH475:CK475"/>
    <mergeCell ref="CL475:CN475"/>
    <mergeCell ref="AG476:AH476"/>
    <mergeCell ref="AI476:AV476"/>
    <mergeCell ref="AW476:AY476"/>
    <mergeCell ref="BC476:BE476"/>
    <mergeCell ref="BF476:BH476"/>
    <mergeCell ref="BI476:BL476"/>
    <mergeCell ref="BM476:BP476"/>
    <mergeCell ref="BQ476:BS476"/>
    <mergeCell ref="BT476:BW476"/>
    <mergeCell ref="BX476:BZ476"/>
    <mergeCell ref="CA476:CD476"/>
    <mergeCell ref="CE476:CG476"/>
    <mergeCell ref="CH476:CK476"/>
    <mergeCell ref="CL476:CN476"/>
    <mergeCell ref="AG477:AH477"/>
    <mergeCell ref="AI477:AV477"/>
    <mergeCell ref="AW477:AY477"/>
    <mergeCell ref="BC477:BE477"/>
    <mergeCell ref="BF477:BH477"/>
    <mergeCell ref="BI477:BL477"/>
    <mergeCell ref="BM477:BP477"/>
    <mergeCell ref="BQ477:BS477"/>
    <mergeCell ref="BT477:BW477"/>
    <mergeCell ref="BX477:BZ477"/>
    <mergeCell ref="CA477:CD477"/>
    <mergeCell ref="CE477:CG477"/>
    <mergeCell ref="CH477:CK477"/>
    <mergeCell ref="CL477:CN477"/>
    <mergeCell ref="AG478:AH478"/>
    <mergeCell ref="AI478:AV478"/>
    <mergeCell ref="AW478:AY478"/>
    <mergeCell ref="BC478:BE478"/>
    <mergeCell ref="BF478:BH478"/>
    <mergeCell ref="BI478:BL478"/>
    <mergeCell ref="BM478:BP478"/>
    <mergeCell ref="BQ478:BS478"/>
    <mergeCell ref="BT478:BW478"/>
    <mergeCell ref="BX478:BZ478"/>
    <mergeCell ref="CA478:CD478"/>
    <mergeCell ref="CE478:CG478"/>
    <mergeCell ref="CH478:CK478"/>
    <mergeCell ref="CL478:CN478"/>
    <mergeCell ref="AG479:AH479"/>
    <mergeCell ref="AI479:AV479"/>
    <mergeCell ref="AW479:AY479"/>
    <mergeCell ref="BC479:BE479"/>
    <mergeCell ref="BF479:BH479"/>
    <mergeCell ref="BI479:BL479"/>
    <mergeCell ref="BM479:BP479"/>
    <mergeCell ref="BQ479:BS479"/>
    <mergeCell ref="BT479:BW479"/>
    <mergeCell ref="BX479:BZ479"/>
    <mergeCell ref="CA479:CD479"/>
    <mergeCell ref="CE479:CG479"/>
    <mergeCell ref="CH479:CK479"/>
    <mergeCell ref="CL479:CN479"/>
    <mergeCell ref="AG480:AH480"/>
    <mergeCell ref="AI480:AV480"/>
    <mergeCell ref="AW480:AY480"/>
    <mergeCell ref="BC480:BE480"/>
    <mergeCell ref="BF480:BH480"/>
    <mergeCell ref="BI480:BL480"/>
    <mergeCell ref="BM480:BP480"/>
    <mergeCell ref="BQ480:BS480"/>
    <mergeCell ref="BT480:BW480"/>
    <mergeCell ref="BX480:BZ480"/>
    <mergeCell ref="CA480:CD480"/>
    <mergeCell ref="CE480:CG480"/>
    <mergeCell ref="CH480:CK480"/>
    <mergeCell ref="CL480:CN480"/>
    <mergeCell ref="AG481:AH481"/>
    <mergeCell ref="AI481:AV481"/>
    <mergeCell ref="AW481:AY481"/>
    <mergeCell ref="BC481:BE481"/>
    <mergeCell ref="BF481:BH481"/>
    <mergeCell ref="BI481:BL481"/>
    <mergeCell ref="BM481:BP481"/>
    <mergeCell ref="BQ481:BS481"/>
    <mergeCell ref="BT481:BW481"/>
    <mergeCell ref="BX481:BZ481"/>
    <mergeCell ref="CA481:CD481"/>
    <mergeCell ref="CE481:CG481"/>
    <mergeCell ref="CH481:CK481"/>
    <mergeCell ref="CL481:CN481"/>
    <mergeCell ref="AG482:AH482"/>
    <mergeCell ref="AI482:AV482"/>
    <mergeCell ref="AW482:AY482"/>
    <mergeCell ref="BC482:BE482"/>
    <mergeCell ref="BF482:BH482"/>
    <mergeCell ref="BI482:BL482"/>
    <mergeCell ref="BM482:BP482"/>
    <mergeCell ref="BQ482:BS482"/>
    <mergeCell ref="BT482:BW482"/>
    <mergeCell ref="BX482:BZ482"/>
    <mergeCell ref="CA482:CD482"/>
    <mergeCell ref="CE482:CG482"/>
    <mergeCell ref="CH482:CK482"/>
    <mergeCell ref="CL482:CN482"/>
    <mergeCell ref="AG483:AH483"/>
    <mergeCell ref="AI483:AV483"/>
    <mergeCell ref="AW483:AY483"/>
    <mergeCell ref="BC483:BE483"/>
    <mergeCell ref="BF483:BH483"/>
    <mergeCell ref="BI483:BL483"/>
    <mergeCell ref="BM483:BP483"/>
    <mergeCell ref="BQ483:BS483"/>
    <mergeCell ref="BT483:BW483"/>
    <mergeCell ref="BX483:BZ483"/>
    <mergeCell ref="CA483:CD483"/>
    <mergeCell ref="CE483:CG483"/>
    <mergeCell ref="CH483:CK483"/>
    <mergeCell ref="CL483:CN483"/>
    <mergeCell ref="AG484:AH484"/>
    <mergeCell ref="AI484:AV484"/>
    <mergeCell ref="AW484:AY484"/>
    <mergeCell ref="BC484:BE484"/>
    <mergeCell ref="BF484:BH484"/>
    <mergeCell ref="BI484:BL484"/>
    <mergeCell ref="BM484:BP484"/>
    <mergeCell ref="BQ484:BS484"/>
    <mergeCell ref="BT484:BW484"/>
    <mergeCell ref="BX484:BZ484"/>
    <mergeCell ref="CA484:CD484"/>
    <mergeCell ref="CE484:CG484"/>
    <mergeCell ref="CH484:CK484"/>
    <mergeCell ref="CL484:CN484"/>
    <mergeCell ref="AG485:AH485"/>
    <mergeCell ref="AI485:AV485"/>
    <mergeCell ref="AW485:AY485"/>
    <mergeCell ref="BC485:BE485"/>
    <mergeCell ref="BF485:BH485"/>
    <mergeCell ref="BI485:BL485"/>
    <mergeCell ref="BM485:BP485"/>
    <mergeCell ref="BQ485:BS485"/>
    <mergeCell ref="BT485:BW485"/>
    <mergeCell ref="BX485:BZ485"/>
    <mergeCell ref="CA485:CD485"/>
    <mergeCell ref="CE485:CG485"/>
    <mergeCell ref="CH485:CK485"/>
    <mergeCell ref="CL485:CN485"/>
    <mergeCell ref="AG486:AH486"/>
    <mergeCell ref="AI486:AV486"/>
    <mergeCell ref="AW486:AY486"/>
    <mergeCell ref="BC486:BE486"/>
    <mergeCell ref="BF486:BH486"/>
    <mergeCell ref="BI486:BL486"/>
    <mergeCell ref="BM486:BP486"/>
    <mergeCell ref="BQ486:BS486"/>
    <mergeCell ref="BT486:BW486"/>
    <mergeCell ref="BX486:BZ486"/>
    <mergeCell ref="CA486:CD486"/>
    <mergeCell ref="CE486:CG486"/>
    <mergeCell ref="CH486:CK486"/>
    <mergeCell ref="CL486:CN486"/>
    <mergeCell ref="AG487:AH487"/>
    <mergeCell ref="AI487:AV487"/>
    <mergeCell ref="AW487:AY487"/>
    <mergeCell ref="BC487:BE487"/>
    <mergeCell ref="BF487:BH487"/>
    <mergeCell ref="BI487:BL487"/>
    <mergeCell ref="BM487:BP487"/>
    <mergeCell ref="BQ487:BS487"/>
    <mergeCell ref="BT487:BW487"/>
    <mergeCell ref="BX487:BZ487"/>
    <mergeCell ref="CA487:CD487"/>
    <mergeCell ref="CE487:CG487"/>
    <mergeCell ref="CH487:CK487"/>
    <mergeCell ref="CL487:CN487"/>
    <mergeCell ref="AG488:AH488"/>
    <mergeCell ref="AI488:AV488"/>
    <mergeCell ref="AW488:AY488"/>
    <mergeCell ref="BC488:BE488"/>
    <mergeCell ref="BF488:BH488"/>
    <mergeCell ref="BI488:BL488"/>
    <mergeCell ref="BM488:BP488"/>
    <mergeCell ref="BQ488:BS488"/>
    <mergeCell ref="BT488:BW488"/>
    <mergeCell ref="BX488:BZ488"/>
    <mergeCell ref="CA488:CD488"/>
    <mergeCell ref="CE488:CG488"/>
    <mergeCell ref="CH488:CK488"/>
    <mergeCell ref="CL488:CN488"/>
    <mergeCell ref="AG489:AH489"/>
    <mergeCell ref="AI489:AV489"/>
    <mergeCell ref="AW489:AY489"/>
    <mergeCell ref="BC489:BE489"/>
    <mergeCell ref="BF489:BH489"/>
    <mergeCell ref="BI489:BL489"/>
    <mergeCell ref="BM489:BP489"/>
    <mergeCell ref="BQ489:BS489"/>
    <mergeCell ref="BT489:BW489"/>
    <mergeCell ref="BX489:BZ489"/>
    <mergeCell ref="CA489:CD489"/>
    <mergeCell ref="CE489:CG489"/>
    <mergeCell ref="CH489:CK489"/>
    <mergeCell ref="CL489:CN489"/>
    <mergeCell ref="AG490:AH490"/>
    <mergeCell ref="AI490:AV490"/>
    <mergeCell ref="AW490:AY490"/>
    <mergeCell ref="BC490:BE490"/>
    <mergeCell ref="BF490:BH490"/>
    <mergeCell ref="BI490:BL490"/>
    <mergeCell ref="BM490:BP490"/>
    <mergeCell ref="BQ490:BS490"/>
    <mergeCell ref="BT490:BW490"/>
    <mergeCell ref="BX490:BZ490"/>
    <mergeCell ref="CA490:CD490"/>
    <mergeCell ref="CE490:CG490"/>
    <mergeCell ref="CH490:CK490"/>
    <mergeCell ref="CL490:CN490"/>
    <mergeCell ref="AG491:AH491"/>
    <mergeCell ref="AI491:AV491"/>
    <mergeCell ref="AW491:AY491"/>
    <mergeCell ref="BC491:BE491"/>
    <mergeCell ref="BF491:BH491"/>
    <mergeCell ref="BI491:BL491"/>
    <mergeCell ref="BM491:BP491"/>
    <mergeCell ref="BQ491:BS491"/>
    <mergeCell ref="BT491:BW491"/>
    <mergeCell ref="BX491:BZ491"/>
    <mergeCell ref="CA491:CD491"/>
    <mergeCell ref="CE491:CG491"/>
    <mergeCell ref="CH491:CK491"/>
    <mergeCell ref="CL491:CN491"/>
    <mergeCell ref="AG492:AH492"/>
    <mergeCell ref="AI492:AV492"/>
    <mergeCell ref="AW492:AY492"/>
    <mergeCell ref="BC492:BE492"/>
    <mergeCell ref="BF492:BH492"/>
    <mergeCell ref="BI492:BL492"/>
    <mergeCell ref="BM492:BP492"/>
    <mergeCell ref="BQ492:BS492"/>
    <mergeCell ref="BT492:BW492"/>
    <mergeCell ref="BX492:BZ492"/>
    <mergeCell ref="CA492:CD492"/>
    <mergeCell ref="CE492:CG492"/>
    <mergeCell ref="CH492:CK492"/>
    <mergeCell ref="CL492:CN492"/>
    <mergeCell ref="AG493:AH493"/>
    <mergeCell ref="AI493:AV493"/>
    <mergeCell ref="AW493:AY493"/>
    <mergeCell ref="BC493:BE493"/>
    <mergeCell ref="BF493:BH493"/>
    <mergeCell ref="BI493:BL493"/>
    <mergeCell ref="BM493:BP493"/>
    <mergeCell ref="BQ493:BS493"/>
    <mergeCell ref="BT493:BW493"/>
    <mergeCell ref="BX493:BZ493"/>
    <mergeCell ref="CA493:CD493"/>
    <mergeCell ref="CE493:CG493"/>
    <mergeCell ref="CH493:CK493"/>
    <mergeCell ref="CL493:CN493"/>
    <mergeCell ref="AG494:AH494"/>
    <mergeCell ref="AI494:AV494"/>
    <mergeCell ref="AW494:AY494"/>
    <mergeCell ref="BC494:BE494"/>
    <mergeCell ref="BF494:BH494"/>
    <mergeCell ref="BI494:BL494"/>
    <mergeCell ref="BM494:BP494"/>
    <mergeCell ref="BQ494:BS494"/>
    <mergeCell ref="BT494:BW494"/>
    <mergeCell ref="BX494:BZ494"/>
    <mergeCell ref="CA494:CD494"/>
    <mergeCell ref="CE494:CG494"/>
    <mergeCell ref="CH494:CK494"/>
    <mergeCell ref="CL494:CN494"/>
    <mergeCell ref="AG495:AH495"/>
    <mergeCell ref="AI495:AV495"/>
    <mergeCell ref="AW495:AY495"/>
    <mergeCell ref="BC495:BE495"/>
    <mergeCell ref="BF495:BH495"/>
    <mergeCell ref="BI495:BL495"/>
    <mergeCell ref="BM495:BP495"/>
    <mergeCell ref="BQ495:BS495"/>
    <mergeCell ref="BT495:BW495"/>
    <mergeCell ref="BX495:BZ495"/>
    <mergeCell ref="CA495:CD495"/>
    <mergeCell ref="CE495:CG495"/>
    <mergeCell ref="CH495:CK495"/>
    <mergeCell ref="CL495:CN495"/>
    <mergeCell ref="AG496:AH496"/>
    <mergeCell ref="AI496:AV496"/>
    <mergeCell ref="AW496:AY496"/>
    <mergeCell ref="BC496:BE496"/>
    <mergeCell ref="BF496:BH496"/>
    <mergeCell ref="BI496:BL496"/>
    <mergeCell ref="BM496:BP496"/>
    <mergeCell ref="BQ496:BS496"/>
    <mergeCell ref="BT496:BW496"/>
    <mergeCell ref="BX496:BZ496"/>
    <mergeCell ref="CA496:CD496"/>
    <mergeCell ref="CE496:CG496"/>
    <mergeCell ref="CH496:CK496"/>
    <mergeCell ref="CL496:CN496"/>
    <mergeCell ref="AG497:AH497"/>
    <mergeCell ref="AI497:AV497"/>
    <mergeCell ref="AW497:AY497"/>
    <mergeCell ref="BC497:BE497"/>
    <mergeCell ref="BF497:BH497"/>
    <mergeCell ref="BI497:BL497"/>
    <mergeCell ref="BM497:BP497"/>
    <mergeCell ref="BQ497:BS497"/>
    <mergeCell ref="BT497:BW497"/>
    <mergeCell ref="BX497:BZ497"/>
    <mergeCell ref="CA497:CD497"/>
    <mergeCell ref="CE497:CG497"/>
    <mergeCell ref="CH497:CK497"/>
    <mergeCell ref="CL497:CN497"/>
    <mergeCell ref="AG498:AH498"/>
    <mergeCell ref="AI498:AV498"/>
    <mergeCell ref="AW498:AY498"/>
    <mergeCell ref="BC498:BE498"/>
    <mergeCell ref="BF498:BH498"/>
    <mergeCell ref="BI498:BL498"/>
    <mergeCell ref="BM498:BP498"/>
    <mergeCell ref="BQ498:BS498"/>
    <mergeCell ref="BT498:BW498"/>
    <mergeCell ref="BX498:BZ498"/>
    <mergeCell ref="CA498:CD498"/>
    <mergeCell ref="CE498:CG498"/>
    <mergeCell ref="CH498:CK498"/>
    <mergeCell ref="CL498:CN498"/>
    <mergeCell ref="AG499:AH499"/>
    <mergeCell ref="AI499:AV499"/>
    <mergeCell ref="AW499:AY499"/>
    <mergeCell ref="BC499:BE499"/>
    <mergeCell ref="BF499:BH499"/>
    <mergeCell ref="BI499:BL499"/>
    <mergeCell ref="BM499:BP499"/>
    <mergeCell ref="BQ499:BS499"/>
    <mergeCell ref="BT499:BW499"/>
    <mergeCell ref="BX499:BZ499"/>
    <mergeCell ref="CA499:CD499"/>
    <mergeCell ref="CE499:CG499"/>
    <mergeCell ref="CH499:CK499"/>
    <mergeCell ref="CL499:CN499"/>
    <mergeCell ref="AG500:AH500"/>
    <mergeCell ref="AI500:AV500"/>
    <mergeCell ref="AW500:AY500"/>
    <mergeCell ref="BC500:BE500"/>
    <mergeCell ref="BF500:BH500"/>
    <mergeCell ref="BI500:BL500"/>
    <mergeCell ref="BM500:BP500"/>
    <mergeCell ref="BQ500:BS500"/>
    <mergeCell ref="BT500:BW500"/>
    <mergeCell ref="BX500:BZ500"/>
    <mergeCell ref="CA500:CD500"/>
    <mergeCell ref="CE500:CG500"/>
    <mergeCell ref="CH500:CK500"/>
    <mergeCell ref="CL500:CN500"/>
    <mergeCell ref="AG501:AH501"/>
    <mergeCell ref="AI501:AV501"/>
    <mergeCell ref="AW501:AY501"/>
    <mergeCell ref="BC501:BE501"/>
    <mergeCell ref="BF501:BH501"/>
    <mergeCell ref="BI501:BL501"/>
    <mergeCell ref="BM501:BP501"/>
    <mergeCell ref="BQ501:BS501"/>
    <mergeCell ref="BT501:BW501"/>
    <mergeCell ref="BX501:BZ501"/>
    <mergeCell ref="CA501:CD501"/>
    <mergeCell ref="CE501:CG501"/>
    <mergeCell ref="CH501:CK501"/>
    <mergeCell ref="CL501:CN501"/>
    <mergeCell ref="AG502:AH502"/>
    <mergeCell ref="AI502:AV502"/>
    <mergeCell ref="AW502:AY502"/>
    <mergeCell ref="BC502:BE502"/>
    <mergeCell ref="BF502:BH502"/>
    <mergeCell ref="BI502:BL502"/>
    <mergeCell ref="BM502:BP502"/>
    <mergeCell ref="BQ502:BS502"/>
    <mergeCell ref="BT502:BW502"/>
    <mergeCell ref="BX502:BZ502"/>
    <mergeCell ref="CA502:CD502"/>
    <mergeCell ref="CE502:CG502"/>
    <mergeCell ref="CH502:CK502"/>
    <mergeCell ref="CL502:CN502"/>
    <mergeCell ref="AG503:AH503"/>
    <mergeCell ref="AI503:AV503"/>
    <mergeCell ref="AW503:AY503"/>
    <mergeCell ref="BC503:BE503"/>
    <mergeCell ref="BF503:BH503"/>
    <mergeCell ref="BI503:BL503"/>
    <mergeCell ref="BM503:BP503"/>
    <mergeCell ref="BQ503:BS503"/>
    <mergeCell ref="BT503:BW503"/>
    <mergeCell ref="BX503:BZ503"/>
    <mergeCell ref="CA503:CD503"/>
    <mergeCell ref="CE503:CG503"/>
    <mergeCell ref="CH503:CK503"/>
    <mergeCell ref="CL503:CN503"/>
    <mergeCell ref="AG504:AH504"/>
    <mergeCell ref="AI504:AV504"/>
    <mergeCell ref="AW504:AY504"/>
    <mergeCell ref="BC504:BE504"/>
    <mergeCell ref="BF504:BH504"/>
    <mergeCell ref="BI504:BL504"/>
    <mergeCell ref="BM504:BP504"/>
    <mergeCell ref="BQ504:BS504"/>
    <mergeCell ref="BT504:BW504"/>
    <mergeCell ref="BX504:BZ504"/>
    <mergeCell ref="CA504:CD504"/>
    <mergeCell ref="CE504:CG504"/>
    <mergeCell ref="CH504:CK504"/>
    <mergeCell ref="CL504:CN504"/>
    <mergeCell ref="AG505:AH505"/>
    <mergeCell ref="AI505:AV505"/>
    <mergeCell ref="AW505:AY505"/>
    <mergeCell ref="BC505:BE505"/>
    <mergeCell ref="BF505:BH505"/>
    <mergeCell ref="BI505:BL505"/>
    <mergeCell ref="BM505:BP505"/>
    <mergeCell ref="BQ505:BS505"/>
    <mergeCell ref="BT505:BW505"/>
    <mergeCell ref="BX505:BZ505"/>
    <mergeCell ref="CA505:CD505"/>
    <mergeCell ref="CE505:CG505"/>
    <mergeCell ref="CH505:CK505"/>
    <mergeCell ref="CL505:CN505"/>
    <mergeCell ref="AG506:AH506"/>
    <mergeCell ref="AI506:AV506"/>
    <mergeCell ref="AW506:AY506"/>
    <mergeCell ref="BC506:BE506"/>
    <mergeCell ref="BF506:BH506"/>
    <mergeCell ref="BI506:BL506"/>
    <mergeCell ref="BM506:BP506"/>
    <mergeCell ref="BQ506:BS506"/>
    <mergeCell ref="BT506:BW506"/>
    <mergeCell ref="BX506:BZ506"/>
    <mergeCell ref="CA506:CD506"/>
    <mergeCell ref="CE506:CG506"/>
    <mergeCell ref="CH506:CK506"/>
    <mergeCell ref="CL506:CN506"/>
    <mergeCell ref="AG507:AH507"/>
    <mergeCell ref="AI507:AV507"/>
    <mergeCell ref="AW507:AY507"/>
    <mergeCell ref="BC507:BE507"/>
    <mergeCell ref="BF507:BH507"/>
    <mergeCell ref="BI507:BL507"/>
    <mergeCell ref="BM507:BP507"/>
    <mergeCell ref="BQ507:BS507"/>
    <mergeCell ref="BT507:BW507"/>
    <mergeCell ref="BX507:BZ507"/>
    <mergeCell ref="CA507:CD507"/>
    <mergeCell ref="CE507:CG507"/>
    <mergeCell ref="CH507:CK507"/>
    <mergeCell ref="CL507:CN507"/>
    <mergeCell ref="AG508:AH508"/>
    <mergeCell ref="AI508:AV508"/>
    <mergeCell ref="AW508:AY508"/>
    <mergeCell ref="BC508:BE508"/>
    <mergeCell ref="BF508:BH508"/>
    <mergeCell ref="BI508:BL508"/>
    <mergeCell ref="BM508:BP508"/>
    <mergeCell ref="BQ508:BS508"/>
    <mergeCell ref="BT508:BW508"/>
    <mergeCell ref="BX508:BZ508"/>
    <mergeCell ref="CA508:CD508"/>
    <mergeCell ref="CE508:CG508"/>
    <mergeCell ref="CH508:CK508"/>
    <mergeCell ref="CL508:CN508"/>
    <mergeCell ref="AG509:AH509"/>
    <mergeCell ref="AI509:AV509"/>
    <mergeCell ref="AW509:AY509"/>
    <mergeCell ref="BC509:BE509"/>
    <mergeCell ref="BF509:BH509"/>
    <mergeCell ref="BI509:BL509"/>
    <mergeCell ref="BM509:BP509"/>
    <mergeCell ref="BQ509:BS509"/>
    <mergeCell ref="BT509:BW509"/>
    <mergeCell ref="BX509:BZ509"/>
    <mergeCell ref="CA509:CD509"/>
    <mergeCell ref="CE509:CG509"/>
    <mergeCell ref="CH509:CK509"/>
    <mergeCell ref="CL509:CN509"/>
    <mergeCell ref="AG510:AH510"/>
    <mergeCell ref="AI510:AV510"/>
    <mergeCell ref="AW510:AY510"/>
    <mergeCell ref="BC510:BE510"/>
    <mergeCell ref="BF510:BH510"/>
    <mergeCell ref="BI510:BL510"/>
    <mergeCell ref="BM510:BP510"/>
    <mergeCell ref="BQ510:BS510"/>
    <mergeCell ref="BT510:BW510"/>
    <mergeCell ref="BX510:BZ510"/>
    <mergeCell ref="CA510:CD510"/>
    <mergeCell ref="CE510:CG510"/>
    <mergeCell ref="CH510:CK510"/>
    <mergeCell ref="CL510:CN510"/>
    <mergeCell ref="AG511:AH511"/>
    <mergeCell ref="AI511:AV511"/>
    <mergeCell ref="AW511:AY511"/>
    <mergeCell ref="BC511:BE511"/>
    <mergeCell ref="BF511:BH511"/>
    <mergeCell ref="BI511:BL511"/>
    <mergeCell ref="BM511:BP511"/>
    <mergeCell ref="BQ511:BS511"/>
    <mergeCell ref="BT511:BW511"/>
    <mergeCell ref="BX511:BZ511"/>
    <mergeCell ref="CA511:CD511"/>
    <mergeCell ref="CE511:CG511"/>
    <mergeCell ref="CH511:CK511"/>
    <mergeCell ref="CL511:CN511"/>
    <mergeCell ref="AG512:AH512"/>
    <mergeCell ref="AI512:AV512"/>
    <mergeCell ref="AW512:AY512"/>
    <mergeCell ref="BC512:BE512"/>
    <mergeCell ref="BF512:BH512"/>
    <mergeCell ref="BI512:BL512"/>
    <mergeCell ref="BM512:BP512"/>
    <mergeCell ref="BQ512:BS512"/>
    <mergeCell ref="BT512:BW512"/>
    <mergeCell ref="BX512:BZ512"/>
    <mergeCell ref="CA512:CD512"/>
    <mergeCell ref="CE512:CG512"/>
    <mergeCell ref="CH512:CK512"/>
    <mergeCell ref="CL512:CN512"/>
    <mergeCell ref="AG513:AH513"/>
    <mergeCell ref="AI513:AV513"/>
    <mergeCell ref="AW513:AY513"/>
    <mergeCell ref="BC513:BE513"/>
    <mergeCell ref="BF513:BH513"/>
    <mergeCell ref="BI513:BL513"/>
    <mergeCell ref="BM513:BP513"/>
    <mergeCell ref="BQ513:BS513"/>
    <mergeCell ref="BT513:BW513"/>
    <mergeCell ref="BX513:BZ513"/>
    <mergeCell ref="CA513:CD513"/>
    <mergeCell ref="CE513:CG513"/>
    <mergeCell ref="CH513:CK513"/>
    <mergeCell ref="CL513:CN513"/>
    <mergeCell ref="AG514:AH514"/>
    <mergeCell ref="AI514:AV514"/>
    <mergeCell ref="AW514:AY514"/>
    <mergeCell ref="BC514:BE514"/>
    <mergeCell ref="BF514:BH514"/>
    <mergeCell ref="BI514:BL514"/>
    <mergeCell ref="BM514:BP514"/>
    <mergeCell ref="BQ514:BS514"/>
    <mergeCell ref="BT514:BW514"/>
    <mergeCell ref="BX514:BZ514"/>
    <mergeCell ref="CA514:CD514"/>
    <mergeCell ref="CE514:CG514"/>
    <mergeCell ref="CH514:CK514"/>
    <mergeCell ref="CL514:CN514"/>
    <mergeCell ref="AG515:AH515"/>
    <mergeCell ref="AI515:AV515"/>
    <mergeCell ref="AW515:AY515"/>
    <mergeCell ref="BC515:BE515"/>
    <mergeCell ref="BF515:BH515"/>
    <mergeCell ref="BI515:BL515"/>
    <mergeCell ref="BM515:BP515"/>
    <mergeCell ref="BQ515:BS515"/>
    <mergeCell ref="BT515:BW515"/>
    <mergeCell ref="BX515:BZ515"/>
    <mergeCell ref="CA515:CD515"/>
    <mergeCell ref="CE515:CG515"/>
    <mergeCell ref="CH515:CK515"/>
    <mergeCell ref="CL515:CN515"/>
    <mergeCell ref="AG516:AH516"/>
    <mergeCell ref="AI516:AV516"/>
    <mergeCell ref="AW516:AY516"/>
    <mergeCell ref="BC516:BE516"/>
    <mergeCell ref="BF516:BH516"/>
    <mergeCell ref="BI516:BL516"/>
    <mergeCell ref="BM516:BP516"/>
    <mergeCell ref="BQ516:BS516"/>
    <mergeCell ref="BT516:BW516"/>
    <mergeCell ref="BX516:BZ516"/>
    <mergeCell ref="CA516:CD516"/>
    <mergeCell ref="CE516:CG516"/>
    <mergeCell ref="CH516:CK516"/>
    <mergeCell ref="CL516:CN516"/>
    <mergeCell ref="AG517:AH517"/>
    <mergeCell ref="AI517:AV517"/>
    <mergeCell ref="AW517:AY517"/>
    <mergeCell ref="BC517:BE517"/>
    <mergeCell ref="BF517:BH517"/>
    <mergeCell ref="BI517:BL517"/>
    <mergeCell ref="BM517:BP517"/>
    <mergeCell ref="BQ517:BS517"/>
    <mergeCell ref="BT517:BW517"/>
    <mergeCell ref="BX517:BZ517"/>
    <mergeCell ref="CA517:CD517"/>
    <mergeCell ref="CE517:CG517"/>
    <mergeCell ref="CH517:CK517"/>
    <mergeCell ref="CL517:CN517"/>
    <mergeCell ref="AG518:AH518"/>
    <mergeCell ref="AI518:AV518"/>
    <mergeCell ref="AW518:AY518"/>
    <mergeCell ref="BC518:BE518"/>
    <mergeCell ref="BF518:BH518"/>
    <mergeCell ref="BI518:BL518"/>
    <mergeCell ref="BM518:BP518"/>
    <mergeCell ref="BQ518:BS518"/>
    <mergeCell ref="BT518:BW518"/>
    <mergeCell ref="BX518:BZ518"/>
    <mergeCell ref="CA518:CD518"/>
    <mergeCell ref="CE518:CG518"/>
    <mergeCell ref="CH518:CK518"/>
    <mergeCell ref="CL518:CN518"/>
    <mergeCell ref="AG519:AH519"/>
    <mergeCell ref="AI519:AV519"/>
    <mergeCell ref="AW519:AY519"/>
    <mergeCell ref="BC519:BE519"/>
    <mergeCell ref="BF519:BH519"/>
    <mergeCell ref="BI519:BL519"/>
    <mergeCell ref="BM519:BP519"/>
    <mergeCell ref="BQ519:BS519"/>
    <mergeCell ref="BT519:BW519"/>
    <mergeCell ref="BX519:BZ519"/>
    <mergeCell ref="CA519:CD519"/>
    <mergeCell ref="CE519:CG519"/>
    <mergeCell ref="CH519:CK519"/>
    <mergeCell ref="CL519:CN519"/>
    <mergeCell ref="AG520:AH520"/>
    <mergeCell ref="AI520:AV520"/>
    <mergeCell ref="AW520:AY520"/>
    <mergeCell ref="BC520:BE520"/>
    <mergeCell ref="BF520:BH520"/>
    <mergeCell ref="BI520:BL520"/>
    <mergeCell ref="BM520:BP520"/>
    <mergeCell ref="BQ520:BS520"/>
    <mergeCell ref="BT520:BW520"/>
    <mergeCell ref="BX520:BZ520"/>
    <mergeCell ref="CA520:CD520"/>
    <mergeCell ref="CE520:CG520"/>
    <mergeCell ref="CH520:CK520"/>
    <mergeCell ref="CL520:CN520"/>
    <mergeCell ref="AG521:AH521"/>
    <mergeCell ref="AI521:AV521"/>
    <mergeCell ref="AW521:AY521"/>
    <mergeCell ref="BC521:BE521"/>
    <mergeCell ref="BF521:BH521"/>
    <mergeCell ref="BI521:BL521"/>
    <mergeCell ref="BM521:BP521"/>
    <mergeCell ref="BQ521:BS521"/>
    <mergeCell ref="BT521:BW521"/>
    <mergeCell ref="BX521:BZ521"/>
    <mergeCell ref="CA521:CD521"/>
    <mergeCell ref="CE521:CG521"/>
    <mergeCell ref="CH521:CK521"/>
    <mergeCell ref="CL521:CN521"/>
    <mergeCell ref="AG522:AH522"/>
    <mergeCell ref="AI522:AV522"/>
    <mergeCell ref="AW522:AY522"/>
    <mergeCell ref="BC522:BE522"/>
    <mergeCell ref="BF522:BH522"/>
    <mergeCell ref="BI522:BL522"/>
    <mergeCell ref="BM522:BP522"/>
    <mergeCell ref="BQ522:BS522"/>
    <mergeCell ref="BT522:BW522"/>
    <mergeCell ref="BX522:BZ522"/>
    <mergeCell ref="CA522:CD522"/>
    <mergeCell ref="CE522:CG522"/>
    <mergeCell ref="CH522:CK522"/>
    <mergeCell ref="CL522:CN522"/>
    <mergeCell ref="AG523:AH523"/>
    <mergeCell ref="AI523:AV523"/>
    <mergeCell ref="AW523:AY523"/>
    <mergeCell ref="BC523:BE523"/>
    <mergeCell ref="BF523:BH523"/>
    <mergeCell ref="BI523:BL523"/>
    <mergeCell ref="BM523:BP523"/>
    <mergeCell ref="BQ523:BS523"/>
    <mergeCell ref="BT523:BW523"/>
    <mergeCell ref="BX523:BZ523"/>
    <mergeCell ref="CA523:CD523"/>
    <mergeCell ref="CE523:CG523"/>
    <mergeCell ref="CH523:CK523"/>
    <mergeCell ref="CL523:CN523"/>
    <mergeCell ref="AG524:AH524"/>
    <mergeCell ref="AI524:AV524"/>
    <mergeCell ref="AW524:AY524"/>
    <mergeCell ref="BC524:BE524"/>
    <mergeCell ref="BF524:BH524"/>
    <mergeCell ref="BI524:BL524"/>
    <mergeCell ref="BM524:BP524"/>
    <mergeCell ref="BQ524:BS524"/>
    <mergeCell ref="BT524:BW524"/>
    <mergeCell ref="BX524:BZ524"/>
    <mergeCell ref="CA524:CD524"/>
    <mergeCell ref="CE524:CG524"/>
    <mergeCell ref="CH524:CK524"/>
    <mergeCell ref="CL524:CN524"/>
    <mergeCell ref="AG525:AH525"/>
    <mergeCell ref="AI525:AV525"/>
    <mergeCell ref="AW525:AY525"/>
    <mergeCell ref="BC525:BE525"/>
    <mergeCell ref="BF525:BH525"/>
    <mergeCell ref="BI525:BL525"/>
    <mergeCell ref="BM525:BP525"/>
    <mergeCell ref="BQ525:BS525"/>
    <mergeCell ref="BT525:BW525"/>
    <mergeCell ref="BX525:BZ525"/>
    <mergeCell ref="CA525:CD525"/>
    <mergeCell ref="CE525:CG525"/>
    <mergeCell ref="CH525:CK525"/>
    <mergeCell ref="CL525:CN525"/>
    <mergeCell ref="AG526:AH526"/>
    <mergeCell ref="AI526:AV526"/>
    <mergeCell ref="AW526:AY526"/>
    <mergeCell ref="BC526:BE526"/>
    <mergeCell ref="BF526:BH526"/>
    <mergeCell ref="BI526:BL526"/>
    <mergeCell ref="BM526:BP526"/>
    <mergeCell ref="BQ526:BS526"/>
    <mergeCell ref="BT526:BW526"/>
    <mergeCell ref="BX526:BZ526"/>
    <mergeCell ref="CA526:CD526"/>
    <mergeCell ref="CE526:CG526"/>
    <mergeCell ref="CH526:CK526"/>
    <mergeCell ref="CL526:CN526"/>
    <mergeCell ref="AG527:AH527"/>
    <mergeCell ref="AI527:AV527"/>
    <mergeCell ref="AW527:AY527"/>
    <mergeCell ref="BC527:BE527"/>
    <mergeCell ref="BF527:BH527"/>
    <mergeCell ref="BI527:BL527"/>
    <mergeCell ref="BM527:BP527"/>
    <mergeCell ref="BQ527:BS527"/>
    <mergeCell ref="BT527:BW527"/>
    <mergeCell ref="BX527:BZ527"/>
    <mergeCell ref="CA527:CD527"/>
    <mergeCell ref="CE527:CG527"/>
    <mergeCell ref="CH527:CK527"/>
    <mergeCell ref="CL527:CN527"/>
    <mergeCell ref="AG528:AH528"/>
    <mergeCell ref="AI528:AV528"/>
    <mergeCell ref="AW528:AY528"/>
    <mergeCell ref="BC528:BE528"/>
    <mergeCell ref="BF528:BH528"/>
    <mergeCell ref="BI528:BL528"/>
    <mergeCell ref="BM528:BP528"/>
    <mergeCell ref="BQ528:BS528"/>
    <mergeCell ref="BT528:BW528"/>
    <mergeCell ref="BX528:BZ528"/>
    <mergeCell ref="CA528:CD528"/>
    <mergeCell ref="CE528:CG528"/>
    <mergeCell ref="CH528:CK528"/>
    <mergeCell ref="CL528:CN528"/>
    <mergeCell ref="AG529:AH529"/>
    <mergeCell ref="AI529:AV529"/>
    <mergeCell ref="AW529:AY529"/>
    <mergeCell ref="BC529:BE529"/>
    <mergeCell ref="BF529:BH529"/>
    <mergeCell ref="BI529:BL529"/>
    <mergeCell ref="BM529:BP529"/>
    <mergeCell ref="BQ529:BS529"/>
    <mergeCell ref="BT529:BW529"/>
    <mergeCell ref="BX529:BZ529"/>
    <mergeCell ref="CA529:CD529"/>
    <mergeCell ref="CE529:CG529"/>
    <mergeCell ref="CH529:CK529"/>
    <mergeCell ref="CL529:CN529"/>
    <mergeCell ref="AG530:AH530"/>
    <mergeCell ref="AI530:AV530"/>
    <mergeCell ref="AW530:AY530"/>
    <mergeCell ref="BC530:BE530"/>
    <mergeCell ref="BF530:BH530"/>
    <mergeCell ref="BI530:BL530"/>
    <mergeCell ref="BM530:BP530"/>
    <mergeCell ref="BQ530:BS530"/>
    <mergeCell ref="BT530:BW530"/>
    <mergeCell ref="BX530:BZ530"/>
    <mergeCell ref="CA530:CD530"/>
    <mergeCell ref="CE530:CG530"/>
    <mergeCell ref="CH530:CK530"/>
    <mergeCell ref="CL530:CN530"/>
    <mergeCell ref="AG531:AH531"/>
    <mergeCell ref="AI531:AV531"/>
    <mergeCell ref="AW531:AY531"/>
    <mergeCell ref="BC531:BE531"/>
    <mergeCell ref="BF531:BH531"/>
    <mergeCell ref="BI531:BL531"/>
    <mergeCell ref="BM531:BP531"/>
    <mergeCell ref="BQ531:BS531"/>
    <mergeCell ref="BT531:BW531"/>
    <mergeCell ref="BX531:BZ531"/>
    <mergeCell ref="CA531:CD531"/>
    <mergeCell ref="CE531:CG531"/>
    <mergeCell ref="CH531:CK531"/>
    <mergeCell ref="CL531:CN531"/>
    <mergeCell ref="AG532:AH532"/>
    <mergeCell ref="AI532:AV532"/>
    <mergeCell ref="AW532:AY532"/>
    <mergeCell ref="BC532:BE532"/>
    <mergeCell ref="BF532:BH532"/>
    <mergeCell ref="BI532:BL532"/>
    <mergeCell ref="BM532:BP532"/>
    <mergeCell ref="BQ532:BS532"/>
    <mergeCell ref="BT532:BW532"/>
    <mergeCell ref="BX532:BZ532"/>
    <mergeCell ref="CA532:CD532"/>
    <mergeCell ref="CE532:CG532"/>
    <mergeCell ref="CH532:CK532"/>
    <mergeCell ref="CL532:CN532"/>
    <mergeCell ref="AG533:AH533"/>
    <mergeCell ref="AI533:AV533"/>
    <mergeCell ref="AW533:AY533"/>
    <mergeCell ref="BC533:BE533"/>
    <mergeCell ref="BF533:BH533"/>
    <mergeCell ref="BI533:BL533"/>
    <mergeCell ref="BM533:BP533"/>
    <mergeCell ref="BQ533:BS533"/>
    <mergeCell ref="BT533:BW533"/>
    <mergeCell ref="BX533:BZ533"/>
    <mergeCell ref="CA533:CD533"/>
    <mergeCell ref="CE533:CG533"/>
    <mergeCell ref="CH533:CK533"/>
    <mergeCell ref="CL533:CN533"/>
    <mergeCell ref="AG534:AH534"/>
    <mergeCell ref="AI534:AV534"/>
    <mergeCell ref="AW534:AY534"/>
    <mergeCell ref="BC534:BE534"/>
    <mergeCell ref="BF534:BH534"/>
    <mergeCell ref="BI534:BL534"/>
    <mergeCell ref="BM534:BP534"/>
    <mergeCell ref="BQ534:BS534"/>
    <mergeCell ref="BT534:BW534"/>
    <mergeCell ref="BX534:BZ534"/>
    <mergeCell ref="CA534:CD534"/>
    <mergeCell ref="CE534:CG534"/>
    <mergeCell ref="CH534:CK534"/>
    <mergeCell ref="CL534:CN534"/>
    <mergeCell ref="AG535:AH535"/>
    <mergeCell ref="AI535:AV535"/>
    <mergeCell ref="AW535:AY535"/>
    <mergeCell ref="BC535:BE535"/>
    <mergeCell ref="BF535:BH535"/>
    <mergeCell ref="BI535:BL535"/>
    <mergeCell ref="BM535:BP535"/>
    <mergeCell ref="BQ535:BS535"/>
    <mergeCell ref="BT535:BW535"/>
    <mergeCell ref="BX535:BZ535"/>
    <mergeCell ref="CA535:CD535"/>
    <mergeCell ref="CE535:CG535"/>
    <mergeCell ref="CH535:CK535"/>
    <mergeCell ref="CL535:CN535"/>
    <mergeCell ref="AG536:AH536"/>
    <mergeCell ref="AI536:AV536"/>
    <mergeCell ref="AW536:AY536"/>
    <mergeCell ref="BC536:BE536"/>
    <mergeCell ref="BF536:BH536"/>
    <mergeCell ref="BI536:BL536"/>
    <mergeCell ref="BM536:BP536"/>
    <mergeCell ref="BQ536:BS536"/>
    <mergeCell ref="BT536:BW536"/>
    <mergeCell ref="BX536:BZ536"/>
    <mergeCell ref="CA536:CD536"/>
    <mergeCell ref="CE536:CG536"/>
    <mergeCell ref="CH536:CK536"/>
    <mergeCell ref="CL536:CN536"/>
    <mergeCell ref="AG537:AH537"/>
    <mergeCell ref="AI537:AV537"/>
    <mergeCell ref="AW537:AY537"/>
    <mergeCell ref="BC537:BE537"/>
    <mergeCell ref="BF537:BH537"/>
    <mergeCell ref="BI537:BL537"/>
    <mergeCell ref="BM537:BP537"/>
    <mergeCell ref="BQ537:BS537"/>
    <mergeCell ref="BT537:BW537"/>
    <mergeCell ref="BX537:BZ537"/>
    <mergeCell ref="CA537:CD537"/>
    <mergeCell ref="CE537:CG537"/>
    <mergeCell ref="CH537:CK537"/>
    <mergeCell ref="CL537:CN537"/>
    <mergeCell ref="AG538:AH538"/>
    <mergeCell ref="AI538:AV538"/>
    <mergeCell ref="AW538:AY538"/>
    <mergeCell ref="BC538:BE538"/>
    <mergeCell ref="BF538:BH538"/>
    <mergeCell ref="BI538:BL538"/>
    <mergeCell ref="BM538:BP538"/>
    <mergeCell ref="BQ538:BS538"/>
    <mergeCell ref="BT538:BW538"/>
    <mergeCell ref="BX538:BZ538"/>
    <mergeCell ref="CA538:CD538"/>
    <mergeCell ref="CE538:CG538"/>
    <mergeCell ref="CH538:CK538"/>
    <mergeCell ref="CL538:CN538"/>
    <mergeCell ref="AG539:AH539"/>
    <mergeCell ref="AI539:AV539"/>
    <mergeCell ref="AW539:AY539"/>
    <mergeCell ref="BC539:BE539"/>
    <mergeCell ref="BF539:BH539"/>
    <mergeCell ref="BI539:BL539"/>
    <mergeCell ref="BM539:BP539"/>
    <mergeCell ref="BQ539:BS539"/>
    <mergeCell ref="BT539:BW539"/>
    <mergeCell ref="BX539:BZ539"/>
    <mergeCell ref="CA539:CD539"/>
    <mergeCell ref="CE539:CG539"/>
    <mergeCell ref="CH539:CK539"/>
    <mergeCell ref="CL539:CN539"/>
    <mergeCell ref="AG540:AH540"/>
    <mergeCell ref="AI540:AV540"/>
    <mergeCell ref="AW540:AY540"/>
    <mergeCell ref="BC540:BE540"/>
    <mergeCell ref="BF540:BH540"/>
    <mergeCell ref="BI540:BL540"/>
    <mergeCell ref="BM540:BP540"/>
    <mergeCell ref="BQ540:BS540"/>
    <mergeCell ref="BT540:BW540"/>
    <mergeCell ref="BX540:BZ540"/>
    <mergeCell ref="CA540:CD540"/>
    <mergeCell ref="CE540:CG540"/>
    <mergeCell ref="CH540:CK540"/>
    <mergeCell ref="CL540:CN540"/>
    <mergeCell ref="AG541:AH541"/>
    <mergeCell ref="AI541:AV541"/>
    <mergeCell ref="AW541:AY541"/>
    <mergeCell ref="BC541:BE541"/>
    <mergeCell ref="BF541:BH541"/>
    <mergeCell ref="BI541:BL541"/>
    <mergeCell ref="BM541:BP541"/>
    <mergeCell ref="BQ541:BS541"/>
    <mergeCell ref="BT541:BW541"/>
    <mergeCell ref="BX541:BZ541"/>
    <mergeCell ref="CA541:CD541"/>
    <mergeCell ref="CE541:CG541"/>
    <mergeCell ref="CH541:CK541"/>
    <mergeCell ref="CL541:CN541"/>
    <mergeCell ref="AG542:AH542"/>
    <mergeCell ref="AI542:AV542"/>
    <mergeCell ref="AW542:AY542"/>
    <mergeCell ref="BC542:BE542"/>
    <mergeCell ref="BF542:BH542"/>
    <mergeCell ref="BI542:BL542"/>
    <mergeCell ref="BM542:BP542"/>
    <mergeCell ref="BQ542:BS542"/>
    <mergeCell ref="BT542:BW542"/>
    <mergeCell ref="BX542:BZ542"/>
    <mergeCell ref="CA542:CD542"/>
    <mergeCell ref="CE542:CG542"/>
    <mergeCell ref="CH542:CK542"/>
    <mergeCell ref="CL542:CN542"/>
    <mergeCell ref="AG543:AH543"/>
    <mergeCell ref="AI543:AV543"/>
    <mergeCell ref="AW543:AY543"/>
    <mergeCell ref="BC543:BE543"/>
    <mergeCell ref="BF543:BH543"/>
    <mergeCell ref="BI543:BL543"/>
    <mergeCell ref="BM543:BP543"/>
    <mergeCell ref="BQ543:BS543"/>
    <mergeCell ref="BT543:BW543"/>
    <mergeCell ref="BX543:BZ543"/>
    <mergeCell ref="CA543:CD543"/>
    <mergeCell ref="CE543:CG543"/>
    <mergeCell ref="CH543:CK543"/>
    <mergeCell ref="CL543:CN543"/>
    <mergeCell ref="AG544:AH544"/>
    <mergeCell ref="AI544:AV544"/>
    <mergeCell ref="AW544:AY544"/>
    <mergeCell ref="BC544:BE544"/>
    <mergeCell ref="BF544:BH544"/>
    <mergeCell ref="BI544:BL544"/>
    <mergeCell ref="BM544:BP544"/>
    <mergeCell ref="BQ544:BS544"/>
    <mergeCell ref="BT544:BW544"/>
    <mergeCell ref="BX544:BZ544"/>
    <mergeCell ref="CA544:CD544"/>
    <mergeCell ref="CE544:CG544"/>
    <mergeCell ref="CH544:CK544"/>
    <mergeCell ref="CL544:CN544"/>
    <mergeCell ref="AG545:AH545"/>
    <mergeCell ref="AI545:AV545"/>
    <mergeCell ref="AW545:AY545"/>
    <mergeCell ref="BC545:BE545"/>
    <mergeCell ref="BF545:BH545"/>
    <mergeCell ref="BI545:BL545"/>
    <mergeCell ref="BM545:BP545"/>
    <mergeCell ref="BQ545:BS545"/>
    <mergeCell ref="BT545:BW545"/>
    <mergeCell ref="BX545:BZ545"/>
    <mergeCell ref="CA545:CD545"/>
    <mergeCell ref="CE545:CG545"/>
    <mergeCell ref="CH545:CK545"/>
    <mergeCell ref="CL545:CN545"/>
    <mergeCell ref="AG546:AH546"/>
    <mergeCell ref="AI546:AV546"/>
    <mergeCell ref="AW546:AY546"/>
    <mergeCell ref="BC546:BE546"/>
    <mergeCell ref="BF546:BH546"/>
    <mergeCell ref="BI546:BL546"/>
    <mergeCell ref="BM546:BP546"/>
    <mergeCell ref="BQ546:BS546"/>
    <mergeCell ref="BT546:BW546"/>
    <mergeCell ref="BX546:BZ546"/>
    <mergeCell ref="CA546:CD546"/>
    <mergeCell ref="CE546:CG546"/>
    <mergeCell ref="CH546:CK546"/>
    <mergeCell ref="CL546:CN546"/>
    <mergeCell ref="AG547:AH547"/>
    <mergeCell ref="AI547:AV547"/>
    <mergeCell ref="AW547:AY547"/>
    <mergeCell ref="BC547:BE547"/>
    <mergeCell ref="BF547:BH547"/>
    <mergeCell ref="BI547:BL547"/>
    <mergeCell ref="BM547:BP547"/>
    <mergeCell ref="BQ547:BS547"/>
    <mergeCell ref="BT547:BW547"/>
    <mergeCell ref="BX547:BZ547"/>
    <mergeCell ref="CA547:CD547"/>
    <mergeCell ref="CE547:CG547"/>
    <mergeCell ref="CH547:CK547"/>
    <mergeCell ref="CL547:CN547"/>
    <mergeCell ref="AG548:AH548"/>
    <mergeCell ref="AI548:AV548"/>
    <mergeCell ref="AW548:AY548"/>
    <mergeCell ref="BC548:BE548"/>
    <mergeCell ref="BF548:BH548"/>
    <mergeCell ref="BI548:BL548"/>
    <mergeCell ref="BM548:BP548"/>
    <mergeCell ref="BQ548:BS548"/>
    <mergeCell ref="BT548:BW548"/>
    <mergeCell ref="BX548:BZ548"/>
    <mergeCell ref="CA548:CD548"/>
    <mergeCell ref="CE548:CG548"/>
    <mergeCell ref="CH548:CK548"/>
    <mergeCell ref="CL548:CN548"/>
    <mergeCell ref="AG549:AH549"/>
    <mergeCell ref="AI549:AV549"/>
    <mergeCell ref="AW549:AY549"/>
    <mergeCell ref="BC549:BE549"/>
    <mergeCell ref="BF549:BH549"/>
    <mergeCell ref="BI549:BL549"/>
    <mergeCell ref="BM549:BP549"/>
    <mergeCell ref="BQ549:BS549"/>
    <mergeCell ref="BT549:BW549"/>
    <mergeCell ref="BX549:BZ549"/>
    <mergeCell ref="CA549:CD549"/>
    <mergeCell ref="CE549:CG549"/>
    <mergeCell ref="CH549:CK549"/>
    <mergeCell ref="CL549:CN549"/>
    <mergeCell ref="AG550:AH550"/>
    <mergeCell ref="AI550:AV550"/>
    <mergeCell ref="AW550:AY550"/>
    <mergeCell ref="BC550:BE550"/>
    <mergeCell ref="BF550:BH550"/>
    <mergeCell ref="BI550:BL550"/>
    <mergeCell ref="BM550:BP550"/>
    <mergeCell ref="BQ550:BS550"/>
    <mergeCell ref="BT550:BW550"/>
    <mergeCell ref="BX550:BZ550"/>
    <mergeCell ref="CA550:CD550"/>
    <mergeCell ref="CE550:CG550"/>
    <mergeCell ref="CH550:CK550"/>
    <mergeCell ref="CL550:CN550"/>
    <mergeCell ref="AG551:AH551"/>
    <mergeCell ref="AI551:AV551"/>
    <mergeCell ref="AW551:AY551"/>
    <mergeCell ref="BC551:BE551"/>
    <mergeCell ref="BF551:BH551"/>
    <mergeCell ref="BI551:BL551"/>
    <mergeCell ref="BM551:BP551"/>
    <mergeCell ref="BQ551:BS551"/>
    <mergeCell ref="BT551:BW551"/>
    <mergeCell ref="BX551:BZ551"/>
    <mergeCell ref="CA551:CD551"/>
    <mergeCell ref="CE551:CG551"/>
    <mergeCell ref="CH551:CK551"/>
    <mergeCell ref="CL551:CN551"/>
    <mergeCell ref="AG552:AH552"/>
    <mergeCell ref="AI552:AV552"/>
    <mergeCell ref="AW552:AY552"/>
    <mergeCell ref="BC552:BE552"/>
    <mergeCell ref="BF552:BH552"/>
    <mergeCell ref="BI552:BL552"/>
    <mergeCell ref="BM552:BP552"/>
    <mergeCell ref="BQ552:BS552"/>
    <mergeCell ref="BT552:BW552"/>
    <mergeCell ref="BX552:BZ552"/>
    <mergeCell ref="CA552:CD552"/>
    <mergeCell ref="CE552:CG552"/>
    <mergeCell ref="CH552:CK552"/>
    <mergeCell ref="CL552:CN552"/>
    <mergeCell ref="AG553:AH553"/>
    <mergeCell ref="AI553:AV553"/>
    <mergeCell ref="AW553:AY553"/>
    <mergeCell ref="BC553:BE553"/>
    <mergeCell ref="BF553:BH553"/>
    <mergeCell ref="BI553:BL553"/>
    <mergeCell ref="BM553:BP553"/>
    <mergeCell ref="BQ553:BS553"/>
    <mergeCell ref="BT553:BW553"/>
    <mergeCell ref="BX553:BZ553"/>
    <mergeCell ref="CA553:CD553"/>
    <mergeCell ref="CE553:CG553"/>
    <mergeCell ref="CH553:CK553"/>
    <mergeCell ref="CL553:CN553"/>
    <mergeCell ref="AG554:AH554"/>
    <mergeCell ref="AI554:AV554"/>
    <mergeCell ref="AW554:AY554"/>
    <mergeCell ref="BC554:BE554"/>
    <mergeCell ref="BF554:BH554"/>
    <mergeCell ref="BI554:BL554"/>
    <mergeCell ref="BM554:BP554"/>
    <mergeCell ref="BQ554:BS554"/>
    <mergeCell ref="BT554:BW554"/>
    <mergeCell ref="BX554:BZ554"/>
    <mergeCell ref="CA554:CD554"/>
    <mergeCell ref="CE554:CG554"/>
    <mergeCell ref="CH554:CK554"/>
    <mergeCell ref="CL554:CN554"/>
    <mergeCell ref="AG555:AH555"/>
    <mergeCell ref="AI555:AV555"/>
    <mergeCell ref="AW555:AY555"/>
    <mergeCell ref="BC555:BE555"/>
    <mergeCell ref="BF555:BH555"/>
    <mergeCell ref="BI555:BL555"/>
    <mergeCell ref="BM555:BP555"/>
    <mergeCell ref="BQ555:BS555"/>
    <mergeCell ref="BT555:BW555"/>
    <mergeCell ref="BX555:BZ555"/>
    <mergeCell ref="CA555:CD555"/>
    <mergeCell ref="CE555:CG555"/>
    <mergeCell ref="CH555:CK555"/>
    <mergeCell ref="CL555:CN555"/>
    <mergeCell ref="AG556:AH556"/>
    <mergeCell ref="AI556:AV556"/>
    <mergeCell ref="AW556:AY556"/>
    <mergeCell ref="BC556:BE556"/>
    <mergeCell ref="BF556:BH556"/>
    <mergeCell ref="BI556:BL556"/>
    <mergeCell ref="BM556:BP556"/>
    <mergeCell ref="BQ556:BS556"/>
    <mergeCell ref="BT556:BW556"/>
    <mergeCell ref="BX556:BZ556"/>
    <mergeCell ref="CA556:CD556"/>
    <mergeCell ref="CE556:CG556"/>
    <mergeCell ref="CH556:CK556"/>
    <mergeCell ref="CL556:CN556"/>
    <mergeCell ref="AG557:AH557"/>
    <mergeCell ref="AI557:AV557"/>
    <mergeCell ref="AW557:AY557"/>
    <mergeCell ref="BC557:BE557"/>
    <mergeCell ref="BF557:BH557"/>
    <mergeCell ref="BI557:BL557"/>
    <mergeCell ref="BM557:BP557"/>
    <mergeCell ref="BQ557:BS557"/>
    <mergeCell ref="BT557:BW557"/>
    <mergeCell ref="BX557:BZ557"/>
    <mergeCell ref="CA557:CD557"/>
    <mergeCell ref="CE557:CG557"/>
    <mergeCell ref="CH557:CK557"/>
    <mergeCell ref="CL557:CN557"/>
    <mergeCell ref="AG558:AH558"/>
    <mergeCell ref="AI558:AV558"/>
    <mergeCell ref="AW558:AY558"/>
    <mergeCell ref="BC558:BE558"/>
    <mergeCell ref="BF558:BH558"/>
    <mergeCell ref="BI558:BL558"/>
    <mergeCell ref="BM558:BP558"/>
    <mergeCell ref="BQ558:BS558"/>
    <mergeCell ref="BT558:BW558"/>
    <mergeCell ref="BX558:BZ558"/>
    <mergeCell ref="CA558:CD558"/>
    <mergeCell ref="CE558:CG558"/>
    <mergeCell ref="CH558:CK558"/>
    <mergeCell ref="CL558:CN558"/>
    <mergeCell ref="AG559:AH559"/>
    <mergeCell ref="AI559:AV559"/>
    <mergeCell ref="AW559:AY559"/>
    <mergeCell ref="BC559:BE559"/>
    <mergeCell ref="BF559:BH559"/>
    <mergeCell ref="BI559:BL559"/>
    <mergeCell ref="BM559:BP559"/>
    <mergeCell ref="BQ559:BS559"/>
    <mergeCell ref="BT559:BW559"/>
    <mergeCell ref="BX559:BZ559"/>
    <mergeCell ref="CA559:CD559"/>
    <mergeCell ref="CE559:CG559"/>
    <mergeCell ref="CH559:CK559"/>
    <mergeCell ref="CL559:CN559"/>
    <mergeCell ref="AG560:AH560"/>
    <mergeCell ref="AI560:AV560"/>
    <mergeCell ref="AW560:AY560"/>
    <mergeCell ref="BC560:BE560"/>
    <mergeCell ref="BF560:BH560"/>
    <mergeCell ref="BI560:BL560"/>
    <mergeCell ref="BM560:BP560"/>
    <mergeCell ref="BQ560:BS560"/>
    <mergeCell ref="BT560:BW560"/>
    <mergeCell ref="BX560:BZ560"/>
    <mergeCell ref="CA560:CD560"/>
    <mergeCell ref="CE560:CG560"/>
    <mergeCell ref="CH560:CK560"/>
    <mergeCell ref="CL560:CN560"/>
    <mergeCell ref="AG561:AH561"/>
    <mergeCell ref="AI561:AV561"/>
    <mergeCell ref="AW561:AY561"/>
    <mergeCell ref="BC561:BE561"/>
    <mergeCell ref="BF561:BH561"/>
    <mergeCell ref="BI561:BL561"/>
    <mergeCell ref="BM561:BP561"/>
    <mergeCell ref="BQ561:BS561"/>
    <mergeCell ref="BT561:BW561"/>
    <mergeCell ref="BX561:BZ561"/>
    <mergeCell ref="CA561:CD561"/>
    <mergeCell ref="CE561:CG561"/>
    <mergeCell ref="CH561:CK561"/>
    <mergeCell ref="CL561:CN561"/>
    <mergeCell ref="AG562:AH562"/>
    <mergeCell ref="AI562:AV562"/>
    <mergeCell ref="AW562:AY562"/>
    <mergeCell ref="BC562:BE562"/>
    <mergeCell ref="BF562:BH562"/>
    <mergeCell ref="BI562:BL562"/>
    <mergeCell ref="BM562:BP562"/>
    <mergeCell ref="BQ562:BS562"/>
    <mergeCell ref="BT562:BW562"/>
    <mergeCell ref="BX562:BZ562"/>
    <mergeCell ref="CA562:CD562"/>
    <mergeCell ref="CE562:CG562"/>
    <mergeCell ref="CH562:CK562"/>
    <mergeCell ref="CL562:CN562"/>
    <mergeCell ref="AG563:AH563"/>
    <mergeCell ref="AI563:AV563"/>
    <mergeCell ref="AW563:AY563"/>
    <mergeCell ref="BC563:BE563"/>
    <mergeCell ref="BF563:BH563"/>
    <mergeCell ref="BI563:BL563"/>
    <mergeCell ref="BM563:BP563"/>
    <mergeCell ref="BQ563:BS563"/>
    <mergeCell ref="BT563:BW563"/>
    <mergeCell ref="BX563:BZ563"/>
    <mergeCell ref="CA563:CD563"/>
    <mergeCell ref="CE563:CG563"/>
    <mergeCell ref="CH563:CK563"/>
    <mergeCell ref="CL563:CN563"/>
    <mergeCell ref="AG564:AH564"/>
    <mergeCell ref="AI564:AV564"/>
    <mergeCell ref="AW564:AY564"/>
    <mergeCell ref="BC564:BE564"/>
    <mergeCell ref="BF564:BH564"/>
    <mergeCell ref="BI564:BL564"/>
    <mergeCell ref="BM564:BP564"/>
    <mergeCell ref="BQ564:BS564"/>
    <mergeCell ref="BT564:BW564"/>
    <mergeCell ref="BX564:BZ564"/>
    <mergeCell ref="CA564:CD564"/>
    <mergeCell ref="CE564:CG564"/>
    <mergeCell ref="CH564:CK564"/>
    <mergeCell ref="CL564:CN564"/>
    <mergeCell ref="AG565:AH565"/>
    <mergeCell ref="AI565:AV565"/>
    <mergeCell ref="AW565:AY565"/>
    <mergeCell ref="BC565:BE565"/>
    <mergeCell ref="BF565:BH565"/>
    <mergeCell ref="BI565:BL565"/>
    <mergeCell ref="BM565:BP565"/>
    <mergeCell ref="BQ565:BS565"/>
    <mergeCell ref="BT565:BW565"/>
    <mergeCell ref="BX565:BZ565"/>
    <mergeCell ref="CA565:CD565"/>
    <mergeCell ref="CE565:CG565"/>
    <mergeCell ref="CH565:CK565"/>
    <mergeCell ref="CL565:CN565"/>
    <mergeCell ref="AG566:AH566"/>
    <mergeCell ref="AI566:AV566"/>
    <mergeCell ref="AW566:AY566"/>
    <mergeCell ref="BC566:BE566"/>
    <mergeCell ref="BF566:BH566"/>
    <mergeCell ref="BI566:BL566"/>
    <mergeCell ref="BM566:BP566"/>
    <mergeCell ref="BQ566:BS566"/>
    <mergeCell ref="BT566:BW566"/>
    <mergeCell ref="BX566:BZ566"/>
    <mergeCell ref="CA566:CD566"/>
    <mergeCell ref="CE566:CG566"/>
    <mergeCell ref="CH566:CK566"/>
    <mergeCell ref="CL566:CN566"/>
    <mergeCell ref="AG567:AH567"/>
    <mergeCell ref="AI567:AV567"/>
    <mergeCell ref="AW567:AY567"/>
    <mergeCell ref="BC567:BE567"/>
    <mergeCell ref="BF567:BH567"/>
    <mergeCell ref="BI567:BL567"/>
    <mergeCell ref="BM567:BP567"/>
    <mergeCell ref="BQ567:BS567"/>
    <mergeCell ref="BT567:BW567"/>
    <mergeCell ref="BX567:BZ567"/>
    <mergeCell ref="CA567:CD567"/>
    <mergeCell ref="CE567:CG567"/>
    <mergeCell ref="CH567:CK567"/>
    <mergeCell ref="CL567:CN567"/>
    <mergeCell ref="AG568:AH568"/>
    <mergeCell ref="AI568:AV568"/>
    <mergeCell ref="AW568:AY568"/>
    <mergeCell ref="BC568:BE568"/>
    <mergeCell ref="BF568:BH568"/>
    <mergeCell ref="BI568:BL568"/>
    <mergeCell ref="BM568:BP568"/>
    <mergeCell ref="BQ568:BS568"/>
    <mergeCell ref="BT568:BW568"/>
    <mergeCell ref="BX568:BZ568"/>
    <mergeCell ref="CA568:CD568"/>
    <mergeCell ref="CE568:CG568"/>
    <mergeCell ref="CH568:CK568"/>
    <mergeCell ref="CL568:CN568"/>
    <mergeCell ref="AG569:AH569"/>
    <mergeCell ref="AI569:AV569"/>
    <mergeCell ref="AW569:AY569"/>
    <mergeCell ref="BC569:BE569"/>
    <mergeCell ref="BF569:BH569"/>
    <mergeCell ref="BI569:BL569"/>
    <mergeCell ref="BM569:BP569"/>
    <mergeCell ref="BQ569:BS569"/>
    <mergeCell ref="BT569:BW569"/>
    <mergeCell ref="BX569:BZ569"/>
    <mergeCell ref="CA569:CD569"/>
    <mergeCell ref="CE569:CG569"/>
    <mergeCell ref="CH569:CK569"/>
    <mergeCell ref="CL569:CN569"/>
    <mergeCell ref="AG570:AH570"/>
    <mergeCell ref="AI570:AV570"/>
    <mergeCell ref="AW570:AY570"/>
    <mergeCell ref="BC570:BE570"/>
    <mergeCell ref="BF570:BH570"/>
    <mergeCell ref="BI570:BL570"/>
    <mergeCell ref="BM570:BP570"/>
    <mergeCell ref="BQ570:BS570"/>
    <mergeCell ref="BT570:BW570"/>
    <mergeCell ref="BX570:BZ570"/>
    <mergeCell ref="CA570:CD570"/>
    <mergeCell ref="CE570:CG570"/>
    <mergeCell ref="CH570:CK570"/>
    <mergeCell ref="CL570:CN570"/>
    <mergeCell ref="AG571:AH571"/>
    <mergeCell ref="AI571:AV571"/>
    <mergeCell ref="AW571:AY571"/>
    <mergeCell ref="BC571:BE571"/>
    <mergeCell ref="BF571:BH571"/>
    <mergeCell ref="BI571:BL571"/>
    <mergeCell ref="BM571:BP571"/>
    <mergeCell ref="BQ571:BS571"/>
    <mergeCell ref="BT571:BW571"/>
    <mergeCell ref="BX571:BZ571"/>
    <mergeCell ref="CA571:CD571"/>
    <mergeCell ref="CE571:CG571"/>
    <mergeCell ref="CH571:CK571"/>
    <mergeCell ref="CL571:CN571"/>
    <mergeCell ref="AG572:AH572"/>
    <mergeCell ref="AI572:AV572"/>
    <mergeCell ref="AW572:AY572"/>
    <mergeCell ref="BC572:BE572"/>
    <mergeCell ref="BF572:BH572"/>
    <mergeCell ref="BI572:BL572"/>
    <mergeCell ref="BM572:BP572"/>
    <mergeCell ref="BQ572:BS572"/>
    <mergeCell ref="BT572:BW572"/>
    <mergeCell ref="BX572:BZ572"/>
    <mergeCell ref="CA572:CD572"/>
    <mergeCell ref="CE572:CG572"/>
    <mergeCell ref="CH572:CK572"/>
    <mergeCell ref="CL572:CN572"/>
    <mergeCell ref="AG573:AH573"/>
    <mergeCell ref="AI573:AV573"/>
    <mergeCell ref="AW573:AY573"/>
    <mergeCell ref="BC573:BE573"/>
    <mergeCell ref="BF573:BH573"/>
    <mergeCell ref="BI573:BL573"/>
    <mergeCell ref="BM573:BP573"/>
    <mergeCell ref="BQ573:BS573"/>
    <mergeCell ref="BT573:BW573"/>
    <mergeCell ref="BX573:BZ573"/>
    <mergeCell ref="CA573:CD573"/>
    <mergeCell ref="CE573:CG573"/>
    <mergeCell ref="CH573:CK573"/>
    <mergeCell ref="CL573:CN573"/>
    <mergeCell ref="AG574:AH574"/>
    <mergeCell ref="AI574:AV574"/>
    <mergeCell ref="AW574:AY574"/>
    <mergeCell ref="BC574:BE574"/>
    <mergeCell ref="BF574:BH574"/>
    <mergeCell ref="BI574:BL574"/>
    <mergeCell ref="BM574:BP574"/>
    <mergeCell ref="BQ574:BS574"/>
    <mergeCell ref="BT574:BW574"/>
    <mergeCell ref="BX574:BZ574"/>
    <mergeCell ref="CA574:CD574"/>
    <mergeCell ref="CE574:CG574"/>
    <mergeCell ref="CH574:CK574"/>
    <mergeCell ref="CL574:CN574"/>
    <mergeCell ref="AG575:AH575"/>
    <mergeCell ref="AI575:AV575"/>
    <mergeCell ref="AW575:AY575"/>
    <mergeCell ref="BC575:BE575"/>
    <mergeCell ref="BF575:BH575"/>
    <mergeCell ref="BI575:BL575"/>
    <mergeCell ref="BM575:BP575"/>
    <mergeCell ref="BQ575:BS575"/>
    <mergeCell ref="BT575:BW575"/>
    <mergeCell ref="BX575:BZ575"/>
    <mergeCell ref="CA575:CD575"/>
    <mergeCell ref="CE575:CG575"/>
    <mergeCell ref="CH575:CK575"/>
    <mergeCell ref="CL575:CN575"/>
    <mergeCell ref="AG576:AH576"/>
    <mergeCell ref="AI576:AV576"/>
    <mergeCell ref="AW576:AY576"/>
    <mergeCell ref="BC576:BE576"/>
    <mergeCell ref="BF576:BH576"/>
    <mergeCell ref="BI576:BL576"/>
    <mergeCell ref="BM576:BP576"/>
    <mergeCell ref="BQ576:BS576"/>
    <mergeCell ref="BT576:BW576"/>
    <mergeCell ref="BX576:BZ576"/>
    <mergeCell ref="CA576:CD576"/>
    <mergeCell ref="CE576:CG576"/>
    <mergeCell ref="CH576:CK576"/>
    <mergeCell ref="CL576:CN576"/>
    <mergeCell ref="AG577:AH577"/>
    <mergeCell ref="AI577:AV577"/>
    <mergeCell ref="AW577:AY577"/>
    <mergeCell ref="BC577:BE577"/>
    <mergeCell ref="BF577:BH577"/>
    <mergeCell ref="BI577:BL577"/>
    <mergeCell ref="BM577:BP577"/>
    <mergeCell ref="BQ577:BS577"/>
    <mergeCell ref="BT577:BW577"/>
    <mergeCell ref="BX577:BZ577"/>
    <mergeCell ref="CA577:CD577"/>
    <mergeCell ref="CE577:CG577"/>
    <mergeCell ref="CH577:CK577"/>
    <mergeCell ref="CL577:CN577"/>
    <mergeCell ref="AG578:AH578"/>
    <mergeCell ref="AI578:AV578"/>
    <mergeCell ref="AW578:AY578"/>
    <mergeCell ref="BC578:BE578"/>
    <mergeCell ref="BF578:BH578"/>
    <mergeCell ref="BI578:BL578"/>
    <mergeCell ref="BM578:BP578"/>
    <mergeCell ref="BQ578:BS578"/>
    <mergeCell ref="BT578:BW578"/>
    <mergeCell ref="BX578:BZ578"/>
    <mergeCell ref="CA578:CD578"/>
    <mergeCell ref="CE578:CG578"/>
    <mergeCell ref="CH578:CK578"/>
    <mergeCell ref="CL578:CN578"/>
    <mergeCell ref="AG579:AH579"/>
    <mergeCell ref="AI579:AV579"/>
    <mergeCell ref="AW579:AY579"/>
    <mergeCell ref="BC579:BE579"/>
    <mergeCell ref="BF579:BH579"/>
    <mergeCell ref="BI579:BL579"/>
    <mergeCell ref="BM579:BP579"/>
    <mergeCell ref="BQ579:BS579"/>
    <mergeCell ref="BT579:BW579"/>
    <mergeCell ref="BX579:BZ579"/>
    <mergeCell ref="CA579:CD579"/>
    <mergeCell ref="CE579:CG579"/>
    <mergeCell ref="CH579:CK579"/>
    <mergeCell ref="CL579:CN579"/>
    <mergeCell ref="AG580:AH580"/>
    <mergeCell ref="AI580:AV580"/>
    <mergeCell ref="AW580:AY580"/>
    <mergeCell ref="BC580:BE580"/>
    <mergeCell ref="BF580:BH580"/>
    <mergeCell ref="BI580:BL580"/>
    <mergeCell ref="BM580:BP580"/>
    <mergeCell ref="BQ580:BS580"/>
    <mergeCell ref="BT580:BW580"/>
    <mergeCell ref="BX580:BZ580"/>
    <mergeCell ref="CA580:CD580"/>
    <mergeCell ref="CE580:CG580"/>
    <mergeCell ref="CH580:CK580"/>
    <mergeCell ref="CL580:CN580"/>
    <mergeCell ref="AG581:AH581"/>
    <mergeCell ref="AI581:AV581"/>
    <mergeCell ref="AW581:AY581"/>
    <mergeCell ref="BC581:BE581"/>
    <mergeCell ref="BF581:BH581"/>
    <mergeCell ref="BI581:BL581"/>
    <mergeCell ref="BM581:BP581"/>
    <mergeCell ref="BQ581:BS581"/>
    <mergeCell ref="BT581:BW581"/>
    <mergeCell ref="BX581:BZ581"/>
    <mergeCell ref="CA581:CD581"/>
    <mergeCell ref="CE581:CG581"/>
    <mergeCell ref="CH581:CK581"/>
    <mergeCell ref="CL581:CN581"/>
    <mergeCell ref="AG582:AH582"/>
    <mergeCell ref="AI582:AV582"/>
    <mergeCell ref="AW582:AY582"/>
    <mergeCell ref="BC582:BE582"/>
    <mergeCell ref="BF582:BH582"/>
    <mergeCell ref="BI582:BL582"/>
    <mergeCell ref="BM582:BP582"/>
    <mergeCell ref="BQ582:BS582"/>
    <mergeCell ref="BT582:BW582"/>
    <mergeCell ref="BX582:BZ582"/>
    <mergeCell ref="CA582:CD582"/>
    <mergeCell ref="CE582:CG582"/>
    <mergeCell ref="CH582:CK582"/>
    <mergeCell ref="CL582:CN582"/>
    <mergeCell ref="AG583:AH583"/>
    <mergeCell ref="AI583:AV583"/>
    <mergeCell ref="AW583:AY583"/>
    <mergeCell ref="BC583:BE583"/>
    <mergeCell ref="BF583:BH583"/>
    <mergeCell ref="BI583:BL583"/>
    <mergeCell ref="BM583:BP583"/>
    <mergeCell ref="BQ583:BS583"/>
    <mergeCell ref="BT583:BW583"/>
    <mergeCell ref="BX583:BZ583"/>
    <mergeCell ref="CA583:CD583"/>
    <mergeCell ref="CE583:CG583"/>
    <mergeCell ref="CH583:CK583"/>
    <mergeCell ref="CL583:CN583"/>
    <mergeCell ref="AG584:AH584"/>
    <mergeCell ref="AI584:AV584"/>
    <mergeCell ref="AW584:AY584"/>
    <mergeCell ref="BC584:BE584"/>
    <mergeCell ref="BF584:BH584"/>
    <mergeCell ref="BI584:BL584"/>
    <mergeCell ref="BM584:BP584"/>
    <mergeCell ref="BQ584:BS584"/>
    <mergeCell ref="BT584:BW584"/>
    <mergeCell ref="BX584:BZ584"/>
    <mergeCell ref="CA584:CD584"/>
    <mergeCell ref="CE584:CG584"/>
    <mergeCell ref="CH584:CK584"/>
    <mergeCell ref="CL584:CN584"/>
    <mergeCell ref="AG585:AH585"/>
    <mergeCell ref="AI585:AV585"/>
    <mergeCell ref="AW585:AY585"/>
    <mergeCell ref="BC585:BE585"/>
    <mergeCell ref="BF585:BH585"/>
    <mergeCell ref="BI585:BL585"/>
    <mergeCell ref="BM585:BP585"/>
    <mergeCell ref="BQ585:BS585"/>
    <mergeCell ref="BT585:BW585"/>
    <mergeCell ref="BX585:BZ585"/>
    <mergeCell ref="CA585:CD585"/>
    <mergeCell ref="CE585:CG585"/>
    <mergeCell ref="CH585:CK585"/>
    <mergeCell ref="CL585:CN585"/>
    <mergeCell ref="AG586:AH586"/>
    <mergeCell ref="AI586:AV586"/>
    <mergeCell ref="AW586:AY586"/>
    <mergeCell ref="BC586:BE586"/>
    <mergeCell ref="BF586:BH586"/>
    <mergeCell ref="BI586:BL586"/>
    <mergeCell ref="BM586:BP586"/>
    <mergeCell ref="BQ586:BS586"/>
    <mergeCell ref="BT586:BW586"/>
    <mergeCell ref="BX586:BZ586"/>
    <mergeCell ref="CA586:CD586"/>
    <mergeCell ref="CE586:CG586"/>
    <mergeCell ref="CH586:CK586"/>
    <mergeCell ref="CL586:CN586"/>
    <mergeCell ref="AG587:AH587"/>
    <mergeCell ref="AI587:AV587"/>
    <mergeCell ref="AW587:AY587"/>
    <mergeCell ref="BC587:BE587"/>
    <mergeCell ref="BF587:BH587"/>
    <mergeCell ref="BI587:BL587"/>
    <mergeCell ref="BM587:BP587"/>
    <mergeCell ref="BQ587:BS587"/>
    <mergeCell ref="BT587:BW587"/>
    <mergeCell ref="BX587:BZ587"/>
    <mergeCell ref="CA587:CD587"/>
    <mergeCell ref="CE587:CG587"/>
    <mergeCell ref="CH587:CK587"/>
    <mergeCell ref="CL587:CN587"/>
    <mergeCell ref="AG588:AH588"/>
    <mergeCell ref="AI588:AV588"/>
    <mergeCell ref="AW588:AY588"/>
    <mergeCell ref="BC588:BE588"/>
    <mergeCell ref="BF588:BH588"/>
    <mergeCell ref="BI588:BL588"/>
    <mergeCell ref="BM588:BP588"/>
    <mergeCell ref="BQ588:BS588"/>
    <mergeCell ref="BT588:BW588"/>
    <mergeCell ref="BX588:BZ588"/>
    <mergeCell ref="CA588:CD588"/>
    <mergeCell ref="CE588:CG588"/>
    <mergeCell ref="CH588:CK588"/>
    <mergeCell ref="CL588:CN588"/>
    <mergeCell ref="AG589:AH589"/>
    <mergeCell ref="AI589:AV589"/>
    <mergeCell ref="AW589:AY589"/>
    <mergeCell ref="BC589:BE589"/>
    <mergeCell ref="BF589:BH589"/>
    <mergeCell ref="BI589:BL589"/>
    <mergeCell ref="BM589:BP589"/>
    <mergeCell ref="BQ589:BS589"/>
    <mergeCell ref="BT589:BW589"/>
    <mergeCell ref="BX589:BZ589"/>
    <mergeCell ref="CA589:CD589"/>
    <mergeCell ref="CE589:CG589"/>
    <mergeCell ref="CH589:CK589"/>
    <mergeCell ref="CL589:CN589"/>
    <mergeCell ref="AG590:AH590"/>
    <mergeCell ref="AI590:AV590"/>
    <mergeCell ref="AW590:AY590"/>
    <mergeCell ref="BC590:BE590"/>
    <mergeCell ref="BF590:BH590"/>
    <mergeCell ref="BI590:BL590"/>
    <mergeCell ref="BM590:BP590"/>
    <mergeCell ref="BQ590:BS590"/>
    <mergeCell ref="BT590:BW590"/>
    <mergeCell ref="BX590:BZ590"/>
    <mergeCell ref="CA590:CD590"/>
    <mergeCell ref="CE590:CG590"/>
    <mergeCell ref="CH590:CK590"/>
    <mergeCell ref="CL590:CN590"/>
    <mergeCell ref="AG591:AH591"/>
    <mergeCell ref="AI591:AV591"/>
    <mergeCell ref="AW591:AY591"/>
    <mergeCell ref="BC591:BE591"/>
    <mergeCell ref="BF591:BH591"/>
    <mergeCell ref="BI591:BL591"/>
    <mergeCell ref="BM591:BP591"/>
    <mergeCell ref="BQ591:BS591"/>
    <mergeCell ref="BT591:BW591"/>
    <mergeCell ref="BX591:BZ591"/>
    <mergeCell ref="CA591:CD591"/>
    <mergeCell ref="CE591:CG591"/>
    <mergeCell ref="CH591:CK591"/>
    <mergeCell ref="CL591:CN591"/>
    <mergeCell ref="AG592:AH592"/>
    <mergeCell ref="AI592:AV592"/>
    <mergeCell ref="AW592:AY592"/>
    <mergeCell ref="BC592:BE592"/>
    <mergeCell ref="BF592:BH592"/>
    <mergeCell ref="BI592:BL592"/>
    <mergeCell ref="BM592:BP592"/>
    <mergeCell ref="BQ592:BS592"/>
    <mergeCell ref="BT592:BW592"/>
    <mergeCell ref="BX592:BZ592"/>
    <mergeCell ref="CA592:CD592"/>
    <mergeCell ref="CE592:CG592"/>
    <mergeCell ref="CH592:CK592"/>
    <mergeCell ref="CL592:CN592"/>
    <mergeCell ref="AG593:AH593"/>
    <mergeCell ref="AI593:AV593"/>
    <mergeCell ref="AW593:AY593"/>
    <mergeCell ref="BC593:BE593"/>
    <mergeCell ref="BF593:BH593"/>
    <mergeCell ref="BI593:BL593"/>
    <mergeCell ref="BM593:BP593"/>
    <mergeCell ref="BQ593:BS593"/>
    <mergeCell ref="BT593:BW593"/>
    <mergeCell ref="BX593:BZ593"/>
    <mergeCell ref="CA593:CD593"/>
    <mergeCell ref="CE593:CG593"/>
    <mergeCell ref="CH593:CK593"/>
    <mergeCell ref="CL593:CN593"/>
    <mergeCell ref="AG594:AH594"/>
    <mergeCell ref="AI594:AV594"/>
    <mergeCell ref="AW594:AY594"/>
    <mergeCell ref="BC594:BE594"/>
    <mergeCell ref="BF594:BH594"/>
    <mergeCell ref="BI594:BL594"/>
    <mergeCell ref="BM594:BP594"/>
    <mergeCell ref="BQ594:BS594"/>
    <mergeCell ref="BT594:BW594"/>
    <mergeCell ref="BX594:BZ594"/>
    <mergeCell ref="CA594:CD594"/>
    <mergeCell ref="CE594:CG594"/>
    <mergeCell ref="CH594:CK594"/>
    <mergeCell ref="CL594:CN594"/>
    <mergeCell ref="AG595:AH595"/>
    <mergeCell ref="AI595:AV595"/>
    <mergeCell ref="AW595:AY595"/>
    <mergeCell ref="BC595:BE595"/>
    <mergeCell ref="BF595:BH595"/>
    <mergeCell ref="BI595:BL595"/>
    <mergeCell ref="BM595:BP595"/>
    <mergeCell ref="BQ595:BS595"/>
    <mergeCell ref="BT595:BW595"/>
    <mergeCell ref="BX595:BZ595"/>
    <mergeCell ref="CA595:CD595"/>
    <mergeCell ref="CE595:CG595"/>
    <mergeCell ref="CH595:CK595"/>
    <mergeCell ref="CL595:CN595"/>
    <mergeCell ref="AG596:AH596"/>
    <mergeCell ref="AI596:AV596"/>
    <mergeCell ref="AW596:AY596"/>
    <mergeCell ref="BC596:BE596"/>
    <mergeCell ref="BF596:BH596"/>
    <mergeCell ref="BI596:BL596"/>
    <mergeCell ref="BM596:BP596"/>
    <mergeCell ref="BQ596:BS596"/>
    <mergeCell ref="BT596:BW596"/>
    <mergeCell ref="BX596:BZ596"/>
    <mergeCell ref="CA596:CD596"/>
    <mergeCell ref="CE596:CG596"/>
    <mergeCell ref="CH596:CK596"/>
    <mergeCell ref="CL596:CN596"/>
    <mergeCell ref="AG597:AH597"/>
    <mergeCell ref="AI597:AV597"/>
    <mergeCell ref="AW597:AY597"/>
    <mergeCell ref="BC597:BE597"/>
    <mergeCell ref="BF597:BH597"/>
    <mergeCell ref="BI597:BL597"/>
    <mergeCell ref="BM597:BP597"/>
    <mergeCell ref="BQ597:BS597"/>
    <mergeCell ref="BT597:BW597"/>
    <mergeCell ref="BX597:BZ597"/>
    <mergeCell ref="CA597:CD597"/>
    <mergeCell ref="CE597:CG597"/>
    <mergeCell ref="CH597:CK597"/>
    <mergeCell ref="CL597:CN597"/>
    <mergeCell ref="AG598:AH598"/>
    <mergeCell ref="AI598:AV598"/>
    <mergeCell ref="AW598:AY598"/>
    <mergeCell ref="BC598:BE598"/>
    <mergeCell ref="BF598:BH598"/>
    <mergeCell ref="BI598:BL598"/>
    <mergeCell ref="BM598:BP598"/>
    <mergeCell ref="BQ598:BS598"/>
    <mergeCell ref="BT598:BW598"/>
    <mergeCell ref="BX598:BZ598"/>
    <mergeCell ref="CA598:CD598"/>
    <mergeCell ref="CE598:CG598"/>
    <mergeCell ref="CH598:CK598"/>
    <mergeCell ref="CL598:CN598"/>
    <mergeCell ref="AG599:AH599"/>
    <mergeCell ref="AI599:AV599"/>
    <mergeCell ref="AW599:AY599"/>
    <mergeCell ref="BC599:BE599"/>
    <mergeCell ref="BF599:BH599"/>
    <mergeCell ref="BI599:BL599"/>
    <mergeCell ref="BM599:BP599"/>
    <mergeCell ref="BQ599:BS599"/>
    <mergeCell ref="BT599:BW599"/>
    <mergeCell ref="BX599:BZ599"/>
    <mergeCell ref="CA599:CD599"/>
    <mergeCell ref="CE599:CG599"/>
    <mergeCell ref="CH599:CK599"/>
    <mergeCell ref="CL599:CN599"/>
    <mergeCell ref="AG600:AH600"/>
    <mergeCell ref="AI600:AV600"/>
    <mergeCell ref="AW600:AY600"/>
    <mergeCell ref="BC600:BE600"/>
    <mergeCell ref="BF600:BH600"/>
    <mergeCell ref="BI600:BL600"/>
    <mergeCell ref="BM600:BP600"/>
    <mergeCell ref="BQ600:BS600"/>
    <mergeCell ref="BT600:BW600"/>
    <mergeCell ref="BX600:BZ600"/>
    <mergeCell ref="CA600:CD600"/>
    <mergeCell ref="CE600:CG600"/>
    <mergeCell ref="CH600:CK600"/>
    <mergeCell ref="CL600:CN600"/>
    <mergeCell ref="AG601:AH601"/>
    <mergeCell ref="AI601:AV601"/>
    <mergeCell ref="AW601:AY601"/>
    <mergeCell ref="BC601:BE601"/>
    <mergeCell ref="BF601:BH601"/>
    <mergeCell ref="BI601:BL601"/>
    <mergeCell ref="BM601:BP601"/>
    <mergeCell ref="BQ601:BS601"/>
    <mergeCell ref="BT601:BW601"/>
    <mergeCell ref="BX601:BZ601"/>
    <mergeCell ref="CA601:CD601"/>
    <mergeCell ref="CE601:CG601"/>
    <mergeCell ref="CH601:CK601"/>
    <mergeCell ref="CL601:CN601"/>
    <mergeCell ref="AG602:AH602"/>
    <mergeCell ref="AI602:AV602"/>
    <mergeCell ref="AW602:AY602"/>
    <mergeCell ref="BC602:BE602"/>
    <mergeCell ref="BF602:BH602"/>
    <mergeCell ref="BI602:BL602"/>
    <mergeCell ref="BM602:BP602"/>
    <mergeCell ref="BQ602:BS602"/>
    <mergeCell ref="BT602:BW602"/>
    <mergeCell ref="BX602:BZ602"/>
    <mergeCell ref="CA602:CD602"/>
    <mergeCell ref="CE602:CG602"/>
    <mergeCell ref="CH602:CK602"/>
    <mergeCell ref="CL602:CN602"/>
    <mergeCell ref="AG603:AH603"/>
    <mergeCell ref="AI603:AV603"/>
    <mergeCell ref="AW603:AY603"/>
    <mergeCell ref="BC603:BE603"/>
    <mergeCell ref="BF603:BH603"/>
    <mergeCell ref="BI603:BL603"/>
    <mergeCell ref="BM603:BP603"/>
    <mergeCell ref="BQ603:BS603"/>
    <mergeCell ref="BT603:BW603"/>
    <mergeCell ref="BX603:BZ603"/>
    <mergeCell ref="CA603:CD603"/>
    <mergeCell ref="CE603:CG603"/>
    <mergeCell ref="CH603:CK603"/>
    <mergeCell ref="CL603:CN603"/>
    <mergeCell ref="AG604:AH604"/>
    <mergeCell ref="AI604:AV604"/>
    <mergeCell ref="AW604:AY604"/>
    <mergeCell ref="BC604:BE604"/>
    <mergeCell ref="BF604:BH604"/>
    <mergeCell ref="BI604:BL604"/>
    <mergeCell ref="BM604:BP604"/>
    <mergeCell ref="BQ604:BS604"/>
    <mergeCell ref="BT604:BW604"/>
    <mergeCell ref="BX604:BZ604"/>
    <mergeCell ref="CA604:CD604"/>
    <mergeCell ref="CE604:CG604"/>
    <mergeCell ref="CH604:CK604"/>
    <mergeCell ref="CL604:CN604"/>
    <mergeCell ref="AG605:AH605"/>
    <mergeCell ref="AI605:AV605"/>
    <mergeCell ref="AW605:AY605"/>
    <mergeCell ref="BC605:BE605"/>
    <mergeCell ref="BF605:BH605"/>
    <mergeCell ref="BI605:BL605"/>
    <mergeCell ref="BM605:BP605"/>
    <mergeCell ref="BQ605:BS605"/>
    <mergeCell ref="BT605:BW605"/>
    <mergeCell ref="BX605:BZ605"/>
    <mergeCell ref="CA605:CD605"/>
    <mergeCell ref="CE605:CG605"/>
    <mergeCell ref="CH605:CK605"/>
    <mergeCell ref="CL605:CN605"/>
    <mergeCell ref="AG606:AH606"/>
    <mergeCell ref="AI606:AV606"/>
    <mergeCell ref="AW606:AY606"/>
    <mergeCell ref="BC606:BE606"/>
    <mergeCell ref="BF606:BH606"/>
    <mergeCell ref="BI606:BL606"/>
    <mergeCell ref="BM606:BP606"/>
    <mergeCell ref="BQ606:BS606"/>
    <mergeCell ref="BT606:BW606"/>
    <mergeCell ref="BX606:BZ606"/>
    <mergeCell ref="CA606:CD606"/>
    <mergeCell ref="CE606:CG606"/>
    <mergeCell ref="CH606:CK606"/>
    <mergeCell ref="CL606:CN606"/>
    <mergeCell ref="AG607:AH607"/>
    <mergeCell ref="AI607:AV607"/>
    <mergeCell ref="AW607:AY607"/>
    <mergeCell ref="BC607:BE607"/>
    <mergeCell ref="BF607:BH607"/>
    <mergeCell ref="BI607:BL607"/>
    <mergeCell ref="BM607:BP607"/>
    <mergeCell ref="BQ607:BS607"/>
    <mergeCell ref="BT607:BW607"/>
    <mergeCell ref="BX607:BZ607"/>
    <mergeCell ref="CA607:CD607"/>
    <mergeCell ref="CE607:CG607"/>
    <mergeCell ref="CH607:CK607"/>
    <mergeCell ref="CL607:CN607"/>
    <mergeCell ref="AG608:AH608"/>
    <mergeCell ref="AI608:AV608"/>
    <mergeCell ref="AW608:AY608"/>
    <mergeCell ref="BC608:BE608"/>
    <mergeCell ref="BF608:BH608"/>
    <mergeCell ref="BI608:BL608"/>
    <mergeCell ref="BM608:BP608"/>
    <mergeCell ref="BQ608:BS608"/>
    <mergeCell ref="BT608:BW608"/>
    <mergeCell ref="BX608:BZ608"/>
    <mergeCell ref="CA608:CD608"/>
    <mergeCell ref="CE608:CG608"/>
    <mergeCell ref="CH608:CK608"/>
    <mergeCell ref="CL608:CN608"/>
    <mergeCell ref="AG609:AH609"/>
    <mergeCell ref="AI609:AV609"/>
    <mergeCell ref="AW609:AY609"/>
    <mergeCell ref="BC609:BE609"/>
    <mergeCell ref="BF609:BH609"/>
    <mergeCell ref="BI609:BL609"/>
    <mergeCell ref="BM609:BP609"/>
    <mergeCell ref="BQ609:BS609"/>
    <mergeCell ref="BT609:BW609"/>
    <mergeCell ref="BX609:BZ609"/>
    <mergeCell ref="CA609:CD609"/>
    <mergeCell ref="CE609:CG609"/>
    <mergeCell ref="CH609:CK609"/>
    <mergeCell ref="CL609:CN609"/>
    <mergeCell ref="AG610:AH610"/>
    <mergeCell ref="AI610:AV610"/>
    <mergeCell ref="AW610:AY610"/>
    <mergeCell ref="BC610:BE610"/>
    <mergeCell ref="BF610:BH610"/>
    <mergeCell ref="BI610:BL610"/>
    <mergeCell ref="BM610:BP610"/>
    <mergeCell ref="BQ610:BS610"/>
    <mergeCell ref="BT610:BW610"/>
    <mergeCell ref="BX610:BZ610"/>
    <mergeCell ref="CA610:CD610"/>
    <mergeCell ref="CE610:CG610"/>
    <mergeCell ref="CH610:CK610"/>
    <mergeCell ref="CL610:CN610"/>
    <mergeCell ref="AG611:AH611"/>
    <mergeCell ref="AI611:AV611"/>
    <mergeCell ref="AW611:AY611"/>
    <mergeCell ref="BC611:BE611"/>
    <mergeCell ref="BF611:BH611"/>
    <mergeCell ref="BI611:BL611"/>
    <mergeCell ref="BM611:BP611"/>
    <mergeCell ref="BQ611:BS611"/>
    <mergeCell ref="BT611:BW611"/>
    <mergeCell ref="BX611:BZ611"/>
    <mergeCell ref="CA611:CD611"/>
    <mergeCell ref="CE611:CG611"/>
    <mergeCell ref="CH611:CK611"/>
    <mergeCell ref="CL611:CN611"/>
    <mergeCell ref="AG612:AH612"/>
    <mergeCell ref="AI612:AV612"/>
    <mergeCell ref="AW612:AY612"/>
    <mergeCell ref="BC612:BE612"/>
    <mergeCell ref="BF612:BH612"/>
    <mergeCell ref="BI612:BL612"/>
    <mergeCell ref="BM612:BP612"/>
    <mergeCell ref="BQ612:BS612"/>
    <mergeCell ref="BT612:BW612"/>
    <mergeCell ref="BX612:BZ612"/>
    <mergeCell ref="CA612:CD612"/>
    <mergeCell ref="CE612:CG612"/>
    <mergeCell ref="CH612:CK612"/>
    <mergeCell ref="CL612:CN612"/>
    <mergeCell ref="AG613:AH613"/>
    <mergeCell ref="AI613:AV613"/>
    <mergeCell ref="AW613:AY613"/>
    <mergeCell ref="BC613:BE613"/>
    <mergeCell ref="BF613:BH613"/>
    <mergeCell ref="BI613:BL613"/>
    <mergeCell ref="BM613:BP613"/>
    <mergeCell ref="BQ613:BS613"/>
    <mergeCell ref="BT613:BW613"/>
    <mergeCell ref="BX613:BZ613"/>
    <mergeCell ref="CA613:CD613"/>
    <mergeCell ref="CE613:CG613"/>
    <mergeCell ref="CH613:CK613"/>
    <mergeCell ref="CL613:CN613"/>
    <mergeCell ref="AG614:AH614"/>
    <mergeCell ref="AI614:AV614"/>
    <mergeCell ref="AW614:AY614"/>
    <mergeCell ref="BC614:BE614"/>
    <mergeCell ref="BF614:BH614"/>
    <mergeCell ref="BI614:BL614"/>
    <mergeCell ref="BM614:BP614"/>
    <mergeCell ref="BQ614:BS614"/>
    <mergeCell ref="BT614:BW614"/>
    <mergeCell ref="BX614:BZ614"/>
    <mergeCell ref="CA614:CD614"/>
    <mergeCell ref="CE614:CG614"/>
    <mergeCell ref="CH614:CK614"/>
    <mergeCell ref="CL614:CN614"/>
    <mergeCell ref="AG615:AH615"/>
    <mergeCell ref="AI615:AV615"/>
    <mergeCell ref="AW615:AY615"/>
    <mergeCell ref="BC615:BE615"/>
    <mergeCell ref="BF615:BH615"/>
    <mergeCell ref="BI615:BL615"/>
    <mergeCell ref="BM615:BP615"/>
    <mergeCell ref="BQ615:BS615"/>
    <mergeCell ref="BT615:BW615"/>
    <mergeCell ref="BX615:BZ615"/>
    <mergeCell ref="CA615:CD615"/>
    <mergeCell ref="CE615:CG615"/>
    <mergeCell ref="CH615:CK615"/>
    <mergeCell ref="CL615:CN615"/>
    <mergeCell ref="AG616:AH616"/>
    <mergeCell ref="AI616:AV616"/>
    <mergeCell ref="AW616:AY616"/>
    <mergeCell ref="BC616:BE616"/>
    <mergeCell ref="BF616:BH616"/>
    <mergeCell ref="BI616:BL616"/>
    <mergeCell ref="BM616:BP616"/>
    <mergeCell ref="BQ616:BS616"/>
    <mergeCell ref="BT616:BW616"/>
    <mergeCell ref="BX616:BZ616"/>
    <mergeCell ref="CA616:CD616"/>
    <mergeCell ref="CE616:CG616"/>
    <mergeCell ref="CH616:CK616"/>
    <mergeCell ref="CL616:CN616"/>
    <mergeCell ref="AG617:AH617"/>
    <mergeCell ref="AI617:AV617"/>
    <mergeCell ref="AW617:AY617"/>
    <mergeCell ref="BC617:BE617"/>
    <mergeCell ref="BF617:BH617"/>
    <mergeCell ref="BI617:BL617"/>
    <mergeCell ref="BM617:BP617"/>
    <mergeCell ref="BQ617:BS617"/>
    <mergeCell ref="BT617:BW617"/>
    <mergeCell ref="BX617:BZ617"/>
    <mergeCell ref="CA617:CD617"/>
    <mergeCell ref="CE617:CG617"/>
    <mergeCell ref="CH617:CK617"/>
    <mergeCell ref="CL617:CN617"/>
    <mergeCell ref="AG618:AH618"/>
    <mergeCell ref="AI618:AV618"/>
    <mergeCell ref="AW618:AY618"/>
    <mergeCell ref="BC618:BE618"/>
    <mergeCell ref="BF618:BH618"/>
    <mergeCell ref="BI618:BL618"/>
    <mergeCell ref="BM618:BP618"/>
    <mergeCell ref="BQ618:BS618"/>
    <mergeCell ref="BT618:BW618"/>
    <mergeCell ref="BX618:BZ618"/>
    <mergeCell ref="CA618:CD618"/>
    <mergeCell ref="CE618:CG618"/>
    <mergeCell ref="CH618:CK618"/>
    <mergeCell ref="CL618:CN618"/>
    <mergeCell ref="AG619:AH619"/>
    <mergeCell ref="AI619:AV619"/>
    <mergeCell ref="AW619:AY619"/>
    <mergeCell ref="BC619:BE619"/>
    <mergeCell ref="BF619:BH619"/>
    <mergeCell ref="BI619:BL619"/>
    <mergeCell ref="BM619:BP619"/>
    <mergeCell ref="BQ619:BS619"/>
    <mergeCell ref="BT619:BW619"/>
    <mergeCell ref="BX619:BZ619"/>
    <mergeCell ref="CA619:CD619"/>
    <mergeCell ref="CE619:CG619"/>
    <mergeCell ref="CH619:CK619"/>
    <mergeCell ref="CL619:CN619"/>
    <mergeCell ref="AG620:AH620"/>
    <mergeCell ref="AI620:AV620"/>
    <mergeCell ref="AW620:AY620"/>
    <mergeCell ref="BC620:BE620"/>
    <mergeCell ref="BF620:BH620"/>
    <mergeCell ref="BI620:BL620"/>
    <mergeCell ref="BM620:BP620"/>
    <mergeCell ref="BQ620:BS620"/>
    <mergeCell ref="BT620:BW620"/>
    <mergeCell ref="BX620:BZ620"/>
    <mergeCell ref="CA620:CD620"/>
    <mergeCell ref="CE620:CG620"/>
    <mergeCell ref="CH620:CK620"/>
    <mergeCell ref="CL620:CN620"/>
    <mergeCell ref="AG621:AH621"/>
    <mergeCell ref="AI621:AV621"/>
    <mergeCell ref="AW621:AY621"/>
    <mergeCell ref="BC621:BE621"/>
    <mergeCell ref="BF621:BH621"/>
    <mergeCell ref="BI621:BL621"/>
    <mergeCell ref="BM621:BP621"/>
    <mergeCell ref="BQ621:BS621"/>
    <mergeCell ref="BT621:BW621"/>
    <mergeCell ref="BX621:BZ621"/>
    <mergeCell ref="CA621:CD621"/>
    <mergeCell ref="CE621:CG621"/>
    <mergeCell ref="CH621:CK621"/>
    <mergeCell ref="CL621:CN621"/>
    <mergeCell ref="AG622:AH622"/>
    <mergeCell ref="AI622:AV622"/>
    <mergeCell ref="AW622:AY622"/>
    <mergeCell ref="BC622:BE622"/>
    <mergeCell ref="BF622:BH622"/>
    <mergeCell ref="BI622:BL622"/>
    <mergeCell ref="BM622:BP622"/>
    <mergeCell ref="BQ622:BS622"/>
    <mergeCell ref="BT622:BW622"/>
    <mergeCell ref="BX622:BZ622"/>
    <mergeCell ref="CA622:CD622"/>
    <mergeCell ref="CE622:CG622"/>
    <mergeCell ref="CH622:CK622"/>
    <mergeCell ref="CL622:CN622"/>
    <mergeCell ref="AG623:AH623"/>
    <mergeCell ref="AI623:AV623"/>
    <mergeCell ref="AW623:AY623"/>
    <mergeCell ref="BC623:BE623"/>
    <mergeCell ref="BF623:BH623"/>
    <mergeCell ref="BI623:BL623"/>
    <mergeCell ref="BM623:BP623"/>
    <mergeCell ref="BQ623:BS623"/>
    <mergeCell ref="BT623:BW623"/>
    <mergeCell ref="BX623:BZ623"/>
    <mergeCell ref="CA623:CD623"/>
    <mergeCell ref="CE623:CG623"/>
    <mergeCell ref="CH623:CK623"/>
    <mergeCell ref="CL623:CN623"/>
    <mergeCell ref="AG624:AH624"/>
    <mergeCell ref="AI624:AV624"/>
    <mergeCell ref="AW624:AY624"/>
    <mergeCell ref="BC624:BE624"/>
    <mergeCell ref="BF624:BH624"/>
    <mergeCell ref="BI624:BL624"/>
    <mergeCell ref="BM624:BP624"/>
    <mergeCell ref="BQ624:BS624"/>
    <mergeCell ref="BT624:BW624"/>
    <mergeCell ref="BX624:BZ624"/>
    <mergeCell ref="CA624:CD624"/>
    <mergeCell ref="CE624:CG624"/>
    <mergeCell ref="CH624:CK624"/>
    <mergeCell ref="CL624:CN624"/>
    <mergeCell ref="AG625:AH625"/>
    <mergeCell ref="AI625:AV625"/>
    <mergeCell ref="AW625:AY625"/>
    <mergeCell ref="BC625:BE625"/>
    <mergeCell ref="BF625:BH625"/>
    <mergeCell ref="BI625:BL625"/>
    <mergeCell ref="BM625:BP625"/>
    <mergeCell ref="BQ625:BS625"/>
    <mergeCell ref="BT625:BW625"/>
    <mergeCell ref="BX625:BZ625"/>
    <mergeCell ref="CA625:CD625"/>
    <mergeCell ref="CE625:CG625"/>
    <mergeCell ref="CH625:CK625"/>
    <mergeCell ref="CL625:CN625"/>
    <mergeCell ref="AG626:AH626"/>
    <mergeCell ref="AI626:AV626"/>
    <mergeCell ref="AW626:AY626"/>
    <mergeCell ref="BC626:BE626"/>
    <mergeCell ref="BF626:BH626"/>
    <mergeCell ref="BI626:BL626"/>
    <mergeCell ref="BM626:BP626"/>
    <mergeCell ref="BQ626:BS626"/>
    <mergeCell ref="BT626:BW626"/>
    <mergeCell ref="BX626:BZ626"/>
    <mergeCell ref="CA626:CD626"/>
    <mergeCell ref="CE626:CG626"/>
    <mergeCell ref="CH626:CK626"/>
    <mergeCell ref="CL626:CN626"/>
    <mergeCell ref="AG627:AH627"/>
    <mergeCell ref="AI627:AV627"/>
    <mergeCell ref="AW627:AY627"/>
    <mergeCell ref="BC627:BE627"/>
    <mergeCell ref="BF627:BH627"/>
    <mergeCell ref="BI627:BL627"/>
    <mergeCell ref="BM627:BP627"/>
    <mergeCell ref="BQ627:BS627"/>
    <mergeCell ref="BT627:BW627"/>
    <mergeCell ref="BX627:BZ627"/>
    <mergeCell ref="CA627:CD627"/>
    <mergeCell ref="CE627:CG627"/>
    <mergeCell ref="CH627:CK627"/>
    <mergeCell ref="CL627:CN627"/>
    <mergeCell ref="AG628:AH628"/>
    <mergeCell ref="AI628:AV628"/>
    <mergeCell ref="AW628:AY628"/>
    <mergeCell ref="BC628:BE628"/>
    <mergeCell ref="BF628:BH628"/>
    <mergeCell ref="BI628:BL628"/>
    <mergeCell ref="BM628:BP628"/>
    <mergeCell ref="BQ628:BS628"/>
    <mergeCell ref="BT628:BW628"/>
    <mergeCell ref="BX628:BZ628"/>
    <mergeCell ref="CA628:CD628"/>
    <mergeCell ref="CE628:CG628"/>
    <mergeCell ref="CH628:CK628"/>
    <mergeCell ref="CL628:CN628"/>
    <mergeCell ref="AG629:AH629"/>
    <mergeCell ref="AI629:AV629"/>
    <mergeCell ref="AW629:AY629"/>
    <mergeCell ref="BC629:BE629"/>
    <mergeCell ref="BF629:BH629"/>
    <mergeCell ref="BI629:BL629"/>
    <mergeCell ref="BM629:BP629"/>
    <mergeCell ref="BQ629:BS629"/>
    <mergeCell ref="BT629:BW629"/>
    <mergeCell ref="BX629:BZ629"/>
    <mergeCell ref="CA629:CD629"/>
    <mergeCell ref="CE629:CG629"/>
    <mergeCell ref="CH629:CK629"/>
    <mergeCell ref="CL629:CN629"/>
    <mergeCell ref="AG630:AH630"/>
    <mergeCell ref="AI630:AV630"/>
    <mergeCell ref="AW630:AY630"/>
    <mergeCell ref="BC630:BE630"/>
    <mergeCell ref="BF630:BH630"/>
    <mergeCell ref="BI630:BL630"/>
    <mergeCell ref="BM630:BP630"/>
    <mergeCell ref="BQ630:BS630"/>
    <mergeCell ref="BT630:BW630"/>
    <mergeCell ref="BX630:BZ630"/>
    <mergeCell ref="CA630:CD630"/>
    <mergeCell ref="CE630:CG630"/>
    <mergeCell ref="CH630:CK630"/>
    <mergeCell ref="CL630:CN630"/>
    <mergeCell ref="AG631:AH631"/>
    <mergeCell ref="AI631:AV631"/>
    <mergeCell ref="AW631:AY631"/>
    <mergeCell ref="BC631:BE631"/>
    <mergeCell ref="BF631:BH631"/>
    <mergeCell ref="BI631:BL631"/>
    <mergeCell ref="BM631:BP631"/>
    <mergeCell ref="BQ631:BS631"/>
    <mergeCell ref="BT631:BW631"/>
    <mergeCell ref="BX631:BZ631"/>
    <mergeCell ref="CA631:CD631"/>
    <mergeCell ref="CE631:CG631"/>
    <mergeCell ref="CH631:CK631"/>
    <mergeCell ref="CL631:CN631"/>
    <mergeCell ref="BM632:BP632"/>
    <mergeCell ref="BT632:BW632"/>
    <mergeCell ref="CA632:CD632"/>
    <mergeCell ref="CH632:CK632"/>
    <mergeCell ref="F633:H633"/>
    <mergeCell ref="I633:AA633"/>
    <mergeCell ref="AB633:AE633"/>
    <mergeCell ref="AF633:AI633"/>
    <mergeCell ref="AJ633:AL633"/>
    <mergeCell ref="AM633:AP633"/>
    <mergeCell ref="AQ633:AS633"/>
    <mergeCell ref="AT633:AW633"/>
    <mergeCell ref="AX633:AZ633"/>
    <mergeCell ref="BA633:BD633"/>
    <mergeCell ref="BE633:BG633"/>
    <mergeCell ref="C634:E634"/>
    <mergeCell ref="F634:H634"/>
    <mergeCell ref="I634:AA634"/>
    <mergeCell ref="AB634:AE634"/>
    <mergeCell ref="AF634:AI634"/>
    <mergeCell ref="AJ634:AL634"/>
    <mergeCell ref="AM634:AP634"/>
    <mergeCell ref="AQ634:AS634"/>
    <mergeCell ref="AT634:AW634"/>
    <mergeCell ref="AX634:AZ634"/>
    <mergeCell ref="BA634:BD634"/>
    <mergeCell ref="BE634:BG634"/>
    <mergeCell ref="C635:E635"/>
    <mergeCell ref="F635:H635"/>
    <mergeCell ref="I635:AA635"/>
    <mergeCell ref="AB635:AE635"/>
    <mergeCell ref="AF635:AI635"/>
    <mergeCell ref="AJ635:AL635"/>
    <mergeCell ref="AM635:AP635"/>
    <mergeCell ref="AQ635:AS635"/>
    <mergeCell ref="AT635:AW635"/>
    <mergeCell ref="AX635:AZ635"/>
    <mergeCell ref="BA635:BD635"/>
    <mergeCell ref="BE635:BG635"/>
    <mergeCell ref="C636:E636"/>
    <mergeCell ref="F636:H636"/>
    <mergeCell ref="I636:AA636"/>
    <mergeCell ref="AB636:AE636"/>
    <mergeCell ref="AF636:AI636"/>
    <mergeCell ref="AJ636:AL636"/>
    <mergeCell ref="AM636:AP636"/>
    <mergeCell ref="AQ636:AS636"/>
    <mergeCell ref="AT636:AW636"/>
    <mergeCell ref="AX636:AZ636"/>
    <mergeCell ref="BA636:BD636"/>
    <mergeCell ref="BE636:BG636"/>
    <mergeCell ref="C637:E637"/>
    <mergeCell ref="F637:H637"/>
    <mergeCell ref="I637:AA637"/>
    <mergeCell ref="AB637:AE637"/>
    <mergeCell ref="AF637:AI637"/>
    <mergeCell ref="AJ637:AL637"/>
    <mergeCell ref="AM637:AP637"/>
    <mergeCell ref="AQ637:AS637"/>
    <mergeCell ref="AT637:AW637"/>
    <mergeCell ref="AX637:AZ637"/>
    <mergeCell ref="BA637:BD637"/>
    <mergeCell ref="BE637:BG637"/>
    <mergeCell ref="C638:E638"/>
    <mergeCell ref="F638:H638"/>
    <mergeCell ref="I638:AA638"/>
    <mergeCell ref="AB638:AE638"/>
    <mergeCell ref="AF638:AI638"/>
    <mergeCell ref="AJ638:AL638"/>
    <mergeCell ref="AM638:AP638"/>
    <mergeCell ref="AQ638:AS638"/>
    <mergeCell ref="AT638:AW638"/>
    <mergeCell ref="AX638:AZ638"/>
    <mergeCell ref="BA638:BD638"/>
    <mergeCell ref="BE638:BG638"/>
    <mergeCell ref="C639:E639"/>
    <mergeCell ref="F639:H639"/>
    <mergeCell ref="I639:AA639"/>
    <mergeCell ref="AB639:AE639"/>
    <mergeCell ref="AF639:AI639"/>
    <mergeCell ref="AJ639:AL639"/>
    <mergeCell ref="AM639:AP639"/>
    <mergeCell ref="AQ639:AS639"/>
    <mergeCell ref="AT639:AW639"/>
    <mergeCell ref="AX639:AZ639"/>
    <mergeCell ref="BA639:BD639"/>
    <mergeCell ref="BE639:BG639"/>
    <mergeCell ref="C640:E640"/>
    <mergeCell ref="F640:H640"/>
    <mergeCell ref="I640:AA640"/>
    <mergeCell ref="AB640:AE640"/>
    <mergeCell ref="AF640:AI640"/>
    <mergeCell ref="AJ640:AL640"/>
    <mergeCell ref="AM640:AP640"/>
    <mergeCell ref="AQ640:AS640"/>
    <mergeCell ref="AT640:AW640"/>
    <mergeCell ref="AX640:AZ640"/>
    <mergeCell ref="BA640:BD640"/>
    <mergeCell ref="BE640:BG640"/>
    <mergeCell ref="C641:E641"/>
    <mergeCell ref="F641:H641"/>
    <mergeCell ref="I641:AA641"/>
    <mergeCell ref="AB641:AE641"/>
    <mergeCell ref="AF641:AI641"/>
    <mergeCell ref="AJ641:AL641"/>
    <mergeCell ref="AM641:AP641"/>
    <mergeCell ref="AQ641:AS641"/>
    <mergeCell ref="AT641:AW641"/>
    <mergeCell ref="AX641:AZ641"/>
    <mergeCell ref="BA641:BD641"/>
    <mergeCell ref="BE641:BG641"/>
    <mergeCell ref="C642:E642"/>
    <mergeCell ref="F642:H642"/>
    <mergeCell ref="I642:AA642"/>
    <mergeCell ref="AB642:AE642"/>
    <mergeCell ref="AF642:AI642"/>
    <mergeCell ref="AJ642:AL642"/>
    <mergeCell ref="AM642:AP642"/>
    <mergeCell ref="AQ642:AS642"/>
    <mergeCell ref="AT642:AW642"/>
    <mergeCell ref="AX642:AZ642"/>
    <mergeCell ref="BA642:BD642"/>
    <mergeCell ref="BE642:BG642"/>
    <mergeCell ref="C643:E643"/>
    <mergeCell ref="F643:H643"/>
    <mergeCell ref="I643:AA643"/>
    <mergeCell ref="AB643:AE643"/>
    <mergeCell ref="AF643:AI643"/>
    <mergeCell ref="AJ643:AL643"/>
    <mergeCell ref="AM643:AP643"/>
    <mergeCell ref="AQ643:AS643"/>
    <mergeCell ref="AT643:AW643"/>
    <mergeCell ref="AX643:AZ643"/>
    <mergeCell ref="BA643:BD643"/>
    <mergeCell ref="BE643:BG643"/>
    <mergeCell ref="C644:E644"/>
    <mergeCell ref="F644:H644"/>
    <mergeCell ref="I644:AA644"/>
    <mergeCell ref="AB644:AE644"/>
    <mergeCell ref="AF644:AI644"/>
    <mergeCell ref="AJ644:AL644"/>
    <mergeCell ref="AM644:AP644"/>
    <mergeCell ref="AQ644:AS644"/>
    <mergeCell ref="AT644:AW644"/>
    <mergeCell ref="AX644:AZ644"/>
    <mergeCell ref="BA644:BD644"/>
    <mergeCell ref="BE644:BG644"/>
    <mergeCell ref="C645:E645"/>
    <mergeCell ref="F645:H645"/>
    <mergeCell ref="I645:AA645"/>
    <mergeCell ref="AB645:AE645"/>
    <mergeCell ref="AF645:AI645"/>
    <mergeCell ref="AJ645:AL645"/>
    <mergeCell ref="AM645:AP645"/>
    <mergeCell ref="AQ645:AS645"/>
    <mergeCell ref="AT645:AW645"/>
    <mergeCell ref="AX645:AZ645"/>
    <mergeCell ref="BA645:BD645"/>
    <mergeCell ref="BE645:BG645"/>
    <mergeCell ref="C646:E646"/>
    <mergeCell ref="F646:H646"/>
    <mergeCell ref="I646:AA646"/>
    <mergeCell ref="AB646:AE646"/>
    <mergeCell ref="AF646:AI646"/>
    <mergeCell ref="AJ646:AL646"/>
    <mergeCell ref="AM646:AP646"/>
    <mergeCell ref="AQ646:AS646"/>
    <mergeCell ref="AT646:AW646"/>
    <mergeCell ref="AX646:AZ646"/>
    <mergeCell ref="BA646:BD646"/>
    <mergeCell ref="BE646:BG646"/>
    <mergeCell ref="C647:E647"/>
    <mergeCell ref="F647:H647"/>
    <mergeCell ref="I647:AA647"/>
    <mergeCell ref="AB647:AE647"/>
    <mergeCell ref="AF647:AI647"/>
    <mergeCell ref="AJ647:AL647"/>
    <mergeCell ref="AM647:AP647"/>
    <mergeCell ref="AQ647:AS647"/>
    <mergeCell ref="AT647:AW647"/>
    <mergeCell ref="AX647:AZ647"/>
    <mergeCell ref="BA647:BD647"/>
    <mergeCell ref="BE647:BG647"/>
    <mergeCell ref="C648:E648"/>
    <mergeCell ref="F648:H648"/>
    <mergeCell ref="I648:AA648"/>
    <mergeCell ref="AB648:AE648"/>
    <mergeCell ref="AF648:AI648"/>
    <mergeCell ref="AJ648:AL648"/>
    <mergeCell ref="AM648:AP648"/>
    <mergeCell ref="AQ648:AS648"/>
    <mergeCell ref="AT648:AW648"/>
    <mergeCell ref="AX648:AZ648"/>
    <mergeCell ref="BA648:BD648"/>
    <mergeCell ref="BE648:BG648"/>
    <mergeCell ref="C649:E649"/>
    <mergeCell ref="F649:H649"/>
    <mergeCell ref="I649:AA649"/>
    <mergeCell ref="AB649:AE649"/>
    <mergeCell ref="AF649:AI649"/>
    <mergeCell ref="AJ649:AL649"/>
    <mergeCell ref="AM649:AP649"/>
    <mergeCell ref="AQ649:AS649"/>
    <mergeCell ref="AT649:AW649"/>
    <mergeCell ref="AX649:AZ649"/>
    <mergeCell ref="BA649:BD649"/>
    <mergeCell ref="BE649:BG649"/>
    <mergeCell ref="C650:E650"/>
    <mergeCell ref="F650:H650"/>
    <mergeCell ref="I650:AA650"/>
    <mergeCell ref="AB650:AE650"/>
    <mergeCell ref="AF650:AI650"/>
    <mergeCell ref="AJ650:AL650"/>
    <mergeCell ref="AM650:AP650"/>
    <mergeCell ref="AQ650:AS650"/>
    <mergeCell ref="AT650:AW650"/>
    <mergeCell ref="AX650:AZ650"/>
    <mergeCell ref="BA650:BD650"/>
    <mergeCell ref="BE650:BG650"/>
    <mergeCell ref="AF651:AI651"/>
    <mergeCell ref="AJ651:AL651"/>
    <mergeCell ref="AM651:AP651"/>
    <mergeCell ref="AQ651:AS651"/>
    <mergeCell ref="AT651:AW651"/>
    <mergeCell ref="AX651:AZ651"/>
    <mergeCell ref="BA651:BD651"/>
    <mergeCell ref="BE651:BG651"/>
    <mergeCell ref="AF652:AI652"/>
    <mergeCell ref="AM652:AP652"/>
    <mergeCell ref="AT652:AW652"/>
    <mergeCell ref="BA652:BD652"/>
    <mergeCell ref="AF653:AI653"/>
    <mergeCell ref="AM653:AP653"/>
    <mergeCell ref="AT653:AW653"/>
    <mergeCell ref="BA653:BD653"/>
    <mergeCell ref="A368:B375"/>
    <mergeCell ref="C368:E375"/>
    <mergeCell ref="F368:H375"/>
    <mergeCell ref="AD368:AF375"/>
    <mergeCell ref="I368:AA375"/>
    <mergeCell ref="AB368:AC375"/>
    <mergeCell ref="AZ368:BB375"/>
    <mergeCell ref="A360:B367"/>
    <mergeCell ref="C360:E367"/>
    <mergeCell ref="F360:H367"/>
    <mergeCell ref="AD360:AF367"/>
    <mergeCell ref="I360:AA367"/>
    <mergeCell ref="AB360:AC367"/>
    <mergeCell ref="AZ360:BB367"/>
    <mergeCell ref="A344:B351"/>
    <mergeCell ref="C344:E351"/>
    <mergeCell ref="F344:H351"/>
    <mergeCell ref="AD344:AF351"/>
    <mergeCell ref="I344:AA351"/>
    <mergeCell ref="AB344:AC351"/>
    <mergeCell ref="AZ344:BB351"/>
    <mergeCell ref="A336:B343"/>
    <mergeCell ref="C336:E343"/>
    <mergeCell ref="F336:H343"/>
    <mergeCell ref="AD336:AF343"/>
    <mergeCell ref="I336:AA343"/>
    <mergeCell ref="AB336:AC343"/>
    <mergeCell ref="AZ336:BB343"/>
    <mergeCell ref="A328:B335"/>
    <mergeCell ref="C328:E335"/>
    <mergeCell ref="F328:H335"/>
    <mergeCell ref="AD328:AF335"/>
    <mergeCell ref="I328:AA335"/>
    <mergeCell ref="AB328:AC335"/>
    <mergeCell ref="AZ328:BB335"/>
    <mergeCell ref="A320:B327"/>
    <mergeCell ref="C320:E327"/>
    <mergeCell ref="F320:H327"/>
    <mergeCell ref="AD320:AF327"/>
    <mergeCell ref="I320:AA327"/>
    <mergeCell ref="AB320:AC327"/>
    <mergeCell ref="AZ320:BB327"/>
    <mergeCell ref="A312:B319"/>
    <mergeCell ref="C312:E319"/>
    <mergeCell ref="F312:H319"/>
    <mergeCell ref="AD312:AF319"/>
    <mergeCell ref="I312:AA319"/>
    <mergeCell ref="AB312:AC319"/>
    <mergeCell ref="AZ312:BB319"/>
    <mergeCell ref="A112:B119"/>
    <mergeCell ref="C112:E119"/>
    <mergeCell ref="F112:H119"/>
    <mergeCell ref="AD112:AF119"/>
    <mergeCell ref="I112:AA119"/>
    <mergeCell ref="AB112:AC119"/>
    <mergeCell ref="AZ112:BB119"/>
    <mergeCell ref="A104:B111"/>
    <mergeCell ref="C104:E111"/>
    <mergeCell ref="F104:H111"/>
    <mergeCell ref="AD104:AF111"/>
    <mergeCell ref="I104:AA111"/>
    <mergeCell ref="AB104:AC111"/>
    <mergeCell ref="AZ104:BB111"/>
    <mergeCell ref="A432:B439"/>
    <mergeCell ref="C432:E439"/>
    <mergeCell ref="F432:H439"/>
    <mergeCell ref="AD432:AF439"/>
    <mergeCell ref="I432:AA439"/>
    <mergeCell ref="AB432:AC439"/>
    <mergeCell ref="AZ432:BB439"/>
    <mergeCell ref="A424:B431"/>
    <mergeCell ref="C424:E431"/>
    <mergeCell ref="F424:H431"/>
    <mergeCell ref="AD424:AF431"/>
    <mergeCell ref="I424:AA431"/>
    <mergeCell ref="AB424:AC431"/>
    <mergeCell ref="AZ424:BB431"/>
    <mergeCell ref="AZ24:BB31"/>
    <mergeCell ref="AZ128:BB135"/>
    <mergeCell ref="AB136:AC143"/>
    <mergeCell ref="C136:E143"/>
    <mergeCell ref="F136:H143"/>
    <mergeCell ref="AD136:AF143"/>
    <mergeCell ref="AZ136:BB143"/>
    <mergeCell ref="AZ96:BB103"/>
    <mergeCell ref="AZ200:BB207"/>
    <mergeCell ref="A152:B159"/>
    <mergeCell ref="C152:E159"/>
    <mergeCell ref="F152:H159"/>
    <mergeCell ref="AD152:AF159"/>
    <mergeCell ref="I152:AA159"/>
    <mergeCell ref="AB152:AC159"/>
    <mergeCell ref="AZ152:BB159"/>
    <mergeCell ref="A144:B151"/>
    <mergeCell ref="C144:E151"/>
    <mergeCell ref="F144:H151"/>
    <mergeCell ref="AD144:AF151"/>
    <mergeCell ref="I144:AA151"/>
    <mergeCell ref="AB144:AC151"/>
    <mergeCell ref="A128:B135"/>
    <mergeCell ref="C128:E135"/>
    <mergeCell ref="F128:H135"/>
    <mergeCell ref="AD128:AF135"/>
    <mergeCell ref="I128:AA135"/>
    <mergeCell ref="AB128:AC135"/>
    <mergeCell ref="A136:B143"/>
    <mergeCell ref="I136:AA143"/>
    <mergeCell ref="AZ144:BB151"/>
    <mergeCell ref="A120:B127"/>
    <mergeCell ref="C120:E127"/>
    <mergeCell ref="F120:H127"/>
    <mergeCell ref="AD120:AF127"/>
    <mergeCell ref="I120:AA127"/>
    <mergeCell ref="AB120:AC127"/>
    <mergeCell ref="AZ120:BB127"/>
    <mergeCell ref="A96:B103"/>
    <mergeCell ref="C96:E103"/>
    <mergeCell ref="F96:H103"/>
    <mergeCell ref="AD96:AF103"/>
    <mergeCell ref="I96:AA103"/>
    <mergeCell ref="AB96:AC103"/>
    <mergeCell ref="A24:B31"/>
    <mergeCell ref="C24:E31"/>
    <mergeCell ref="F24:H31"/>
    <mergeCell ref="AD24:AF31"/>
    <mergeCell ref="I24:AA31"/>
    <mergeCell ref="AB24:AC31"/>
    <mergeCell ref="A56:B63"/>
    <mergeCell ref="A48:B55"/>
    <mergeCell ref="A32:B39"/>
    <mergeCell ref="C56:E63"/>
    <mergeCell ref="F56:H63"/>
    <mergeCell ref="AD56:AF63"/>
    <mergeCell ref="I56:AA63"/>
    <mergeCell ref="AB56:AC63"/>
    <mergeCell ref="C48:E55"/>
    <mergeCell ref="F48:H55"/>
    <mergeCell ref="AD48:AF55"/>
    <mergeCell ref="I48:AA55"/>
    <mergeCell ref="AB48:AC55"/>
    <mergeCell ref="C32:E39"/>
    <mergeCell ref="F32:H39"/>
    <mergeCell ref="AD32:AF39"/>
    <mergeCell ref="I32:AA39"/>
    <mergeCell ref="AB32:AC39"/>
    <mergeCell ref="AZ48:BB55"/>
    <mergeCell ref="AZ56:BB63"/>
    <mergeCell ref="AZ32:BB39"/>
    <mergeCell ref="AB16:AC23"/>
    <mergeCell ref="C16:E23"/>
    <mergeCell ref="F16:H23"/>
    <mergeCell ref="AD16:AF23"/>
    <mergeCell ref="I16:AA23"/>
    <mergeCell ref="A16:B23"/>
    <mergeCell ref="AZ16:BB23"/>
    <mergeCell ref="AZ40:BB47"/>
    <mergeCell ref="A40:B47"/>
    <mergeCell ref="C40:E47"/>
    <mergeCell ref="F40:H47"/>
    <mergeCell ref="AD40:AF47"/>
    <mergeCell ref="I40:AA47"/>
    <mergeCell ref="AB40:AC47"/>
    <mergeCell ref="A64:B71"/>
    <mergeCell ref="C64:E71"/>
    <mergeCell ref="F64:H71"/>
    <mergeCell ref="AD64:AF71"/>
    <mergeCell ref="I64:AA71"/>
    <mergeCell ref="AB64:AC71"/>
    <mergeCell ref="AZ64:BB71"/>
    <mergeCell ref="AZ80:BB87"/>
    <mergeCell ref="A88:B95"/>
    <mergeCell ref="C88:E95"/>
    <mergeCell ref="F88:H95"/>
    <mergeCell ref="AD88:AF95"/>
    <mergeCell ref="I88:AA95"/>
    <mergeCell ref="AB88:AC95"/>
    <mergeCell ref="AZ88:BB95"/>
    <mergeCell ref="A80:B87"/>
    <mergeCell ref="C80:E87"/>
    <mergeCell ref="F80:H87"/>
    <mergeCell ref="AD80:AF87"/>
    <mergeCell ref="I80:AA87"/>
    <mergeCell ref="AB80:AC87"/>
    <mergeCell ref="A176:B183"/>
    <mergeCell ref="C176:E183"/>
    <mergeCell ref="F176:H183"/>
    <mergeCell ref="AD176:AF183"/>
    <mergeCell ref="I176:AA183"/>
    <mergeCell ref="AB176:AC183"/>
    <mergeCell ref="I200:AA207"/>
    <mergeCell ref="AB200:AC207"/>
    <mergeCell ref="A168:B175"/>
    <mergeCell ref="A200:B207"/>
    <mergeCell ref="C200:E207"/>
    <mergeCell ref="F200:H207"/>
    <mergeCell ref="AD200:AF207"/>
    <mergeCell ref="AZ168:BB175"/>
    <mergeCell ref="C168:E175"/>
    <mergeCell ref="F168:H175"/>
    <mergeCell ref="AD168:AF175"/>
    <mergeCell ref="I168:AA175"/>
    <mergeCell ref="AB168:AC175"/>
    <mergeCell ref="AZ176:BB183"/>
    <mergeCell ref="A192:B199"/>
    <mergeCell ref="C192:E199"/>
    <mergeCell ref="F192:H199"/>
    <mergeCell ref="AD192:AF199"/>
    <mergeCell ref="I192:AA199"/>
    <mergeCell ref="AB192:AC199"/>
    <mergeCell ref="A240:B247"/>
    <mergeCell ref="C240:E247"/>
    <mergeCell ref="F240:H247"/>
    <mergeCell ref="AD240:AF247"/>
    <mergeCell ref="I240:AA247"/>
    <mergeCell ref="AB240:AC247"/>
    <mergeCell ref="AZ192:BB199"/>
    <mergeCell ref="A184:B191"/>
    <mergeCell ref="C184:E191"/>
    <mergeCell ref="F184:H191"/>
    <mergeCell ref="AD184:AF191"/>
    <mergeCell ref="I184:AA191"/>
    <mergeCell ref="AB184:AC191"/>
    <mergeCell ref="AZ184:BB191"/>
    <mergeCell ref="A208:B215"/>
    <mergeCell ref="C208:E215"/>
    <mergeCell ref="F208:H215"/>
    <mergeCell ref="AD208:AF215"/>
    <mergeCell ref="I208:AA215"/>
    <mergeCell ref="AB208:AC215"/>
    <mergeCell ref="AZ208:BB215"/>
    <mergeCell ref="AZ216:BB223"/>
    <mergeCell ref="A216:B223"/>
    <mergeCell ref="C216:E223"/>
    <mergeCell ref="F216:H223"/>
    <mergeCell ref="AD216:AF223"/>
    <mergeCell ref="I216:AA223"/>
    <mergeCell ref="AB216:AC223"/>
    <mergeCell ref="A224:B231"/>
    <mergeCell ref="C224:E231"/>
    <mergeCell ref="F224:H231"/>
    <mergeCell ref="AD224:AF231"/>
    <mergeCell ref="I224:AA231"/>
    <mergeCell ref="AB224:AC231"/>
    <mergeCell ref="AZ224:BB231"/>
    <mergeCell ref="AZ232:BB239"/>
    <mergeCell ref="A232:B239"/>
    <mergeCell ref="C232:E239"/>
    <mergeCell ref="F232:H239"/>
    <mergeCell ref="AD232:AF239"/>
    <mergeCell ref="I232:AA239"/>
    <mergeCell ref="AB232:AC239"/>
    <mergeCell ref="AZ240:BB247"/>
    <mergeCell ref="A248:B255"/>
    <mergeCell ref="C248:E255"/>
    <mergeCell ref="F248:H255"/>
    <mergeCell ref="AD248:AF255"/>
    <mergeCell ref="I248:AA255"/>
    <mergeCell ref="AB248:AC255"/>
    <mergeCell ref="AZ248:BB255"/>
    <mergeCell ref="AZ256:BB263"/>
    <mergeCell ref="A264:B271"/>
    <mergeCell ref="C264:E271"/>
    <mergeCell ref="F264:H271"/>
    <mergeCell ref="AD264:AF271"/>
    <mergeCell ref="I264:AA271"/>
    <mergeCell ref="AB264:AC271"/>
    <mergeCell ref="A256:B263"/>
    <mergeCell ref="C256:E263"/>
    <mergeCell ref="F256:H263"/>
    <mergeCell ref="AD256:AF263"/>
    <mergeCell ref="I256:AA263"/>
    <mergeCell ref="AB256:AC263"/>
    <mergeCell ref="AZ264:BB271"/>
    <mergeCell ref="AZ272:BB279"/>
    <mergeCell ref="A272:B279"/>
    <mergeCell ref="C272:E279"/>
    <mergeCell ref="F272:H279"/>
    <mergeCell ref="AD272:AF279"/>
    <mergeCell ref="I272:AA279"/>
    <mergeCell ref="AB272:AC279"/>
    <mergeCell ref="AZ280:BB287"/>
    <mergeCell ref="A280:B287"/>
    <mergeCell ref="C280:E287"/>
    <mergeCell ref="F280:H287"/>
    <mergeCell ref="AD280:AF287"/>
    <mergeCell ref="I280:AA287"/>
    <mergeCell ref="AB280:AC287"/>
    <mergeCell ref="A288:B295"/>
    <mergeCell ref="C288:E295"/>
    <mergeCell ref="F288:H295"/>
    <mergeCell ref="AD288:AF295"/>
    <mergeCell ref="I288:AA295"/>
    <mergeCell ref="AB288:AC295"/>
    <mergeCell ref="AZ288:BB295"/>
    <mergeCell ref="AZ296:BB303"/>
    <mergeCell ref="AZ352:BB359"/>
    <mergeCell ref="A296:B303"/>
    <mergeCell ref="C296:E303"/>
    <mergeCell ref="F296:H303"/>
    <mergeCell ref="AD296:AF303"/>
    <mergeCell ref="I296:AA303"/>
    <mergeCell ref="AB296:AC303"/>
    <mergeCell ref="A376:B383"/>
    <mergeCell ref="C376:E383"/>
    <mergeCell ref="F376:H383"/>
    <mergeCell ref="AD376:AF383"/>
    <mergeCell ref="I376:AA383"/>
    <mergeCell ref="AB376:AC383"/>
    <mergeCell ref="AZ376:BB383"/>
    <mergeCell ref="A352:B359"/>
    <mergeCell ref="C352:E359"/>
    <mergeCell ref="F352:H359"/>
    <mergeCell ref="AD352:AF359"/>
    <mergeCell ref="I352:AA359"/>
    <mergeCell ref="AB352:AC359"/>
    <mergeCell ref="A384:B391"/>
    <mergeCell ref="C384:E391"/>
    <mergeCell ref="F384:H391"/>
    <mergeCell ref="AD384:AF391"/>
    <mergeCell ref="I384:AA391"/>
    <mergeCell ref="AB384:AC391"/>
    <mergeCell ref="AZ384:BB391"/>
    <mergeCell ref="AZ392:BB399"/>
    <mergeCell ref="A392:B399"/>
    <mergeCell ref="C392:E399"/>
    <mergeCell ref="F392:H399"/>
    <mergeCell ref="AD392:AF399"/>
    <mergeCell ref="I392:AA399"/>
    <mergeCell ref="AB392:AC399"/>
    <mergeCell ref="A400:B407"/>
    <mergeCell ref="C400:E407"/>
    <mergeCell ref="F400:H407"/>
    <mergeCell ref="AD400:AF407"/>
    <mergeCell ref="I400:AA407"/>
    <mergeCell ref="AB400:AC407"/>
    <mergeCell ref="AZ400:BB407"/>
    <mergeCell ref="AZ408:BB415"/>
    <mergeCell ref="A408:B415"/>
    <mergeCell ref="C408:E415"/>
    <mergeCell ref="F408:H415"/>
    <mergeCell ref="AD408:AF415"/>
    <mergeCell ref="I408:AA415"/>
    <mergeCell ref="AB408:AC415"/>
    <mergeCell ref="AB448:AC455"/>
    <mergeCell ref="C448:E455"/>
    <mergeCell ref="F448:H455"/>
    <mergeCell ref="AD448:AF455"/>
    <mergeCell ref="AZ448:BB455"/>
    <mergeCell ref="AZ416:BB423"/>
    <mergeCell ref="A416:B423"/>
    <mergeCell ref="C416:E423"/>
    <mergeCell ref="F416:H423"/>
    <mergeCell ref="AD416:AF423"/>
    <mergeCell ref="I416:AA423"/>
    <mergeCell ref="AB416:AC423"/>
    <mergeCell ref="A440:B447"/>
    <mergeCell ref="C440:E447"/>
    <mergeCell ref="F440:H447"/>
    <mergeCell ref="AD440:AF447"/>
    <mergeCell ref="I440:AA447"/>
    <mergeCell ref="AB440:AC447"/>
    <mergeCell ref="AZ440:BB447"/>
    <mergeCell ref="A456:B463"/>
    <mergeCell ref="C456:E463"/>
    <mergeCell ref="F456:H463"/>
    <mergeCell ref="AD456:AF463"/>
    <mergeCell ref="I456:AA463"/>
    <mergeCell ref="AB456:AC463"/>
    <mergeCell ref="AZ456:BB463"/>
    <mergeCell ref="A616:B623"/>
    <mergeCell ref="C616:E623"/>
    <mergeCell ref="F616:H623"/>
    <mergeCell ref="AD616:AF623"/>
    <mergeCell ref="I616:AA623"/>
    <mergeCell ref="AB616:AC623"/>
    <mergeCell ref="AZ616:BB623"/>
    <mergeCell ref="A72:B79"/>
    <mergeCell ref="C72:E79"/>
    <mergeCell ref="F72:H79"/>
    <mergeCell ref="AD72:AF79"/>
    <mergeCell ref="I72:AA79"/>
    <mergeCell ref="AB72:AC79"/>
    <mergeCell ref="AZ72:BB79"/>
    <mergeCell ref="AZ304:BB311"/>
    <mergeCell ref="AB304:AC311"/>
    <mergeCell ref="C304:E311"/>
    <mergeCell ref="F304:H311"/>
    <mergeCell ref="AD304:AF311"/>
    <mergeCell ref="A160:B167"/>
    <mergeCell ref="C160:E167"/>
    <mergeCell ref="F160:H167"/>
    <mergeCell ref="AD160:AF167"/>
    <mergeCell ref="I160:AA167"/>
    <mergeCell ref="AB160:AC167"/>
    <mergeCell ref="AZ160:BB167"/>
    <mergeCell ref="A304:B311"/>
    <mergeCell ref="I304:AA311"/>
    <mergeCell ref="A448:B455"/>
    <mergeCell ref="I448:AA455"/>
    <mergeCell ref="A464:B471"/>
    <mergeCell ref="C464:E471"/>
    <mergeCell ref="F464:H471"/>
    <mergeCell ref="AD464:AF471"/>
    <mergeCell ref="I464:AA471"/>
    <mergeCell ref="AB464:AC471"/>
    <mergeCell ref="AZ464:BB471"/>
    <mergeCell ref="A472:B479"/>
    <mergeCell ref="C472:E479"/>
    <mergeCell ref="F472:H479"/>
    <mergeCell ref="AD472:AF479"/>
    <mergeCell ref="I472:AA479"/>
    <mergeCell ref="AB472:AC479"/>
    <mergeCell ref="AZ472:BB479"/>
    <mergeCell ref="A480:B487"/>
    <mergeCell ref="C480:E487"/>
    <mergeCell ref="F480:H487"/>
    <mergeCell ref="AD480:AF487"/>
    <mergeCell ref="I480:AA487"/>
    <mergeCell ref="AB480:AC487"/>
    <mergeCell ref="AZ480:BB487"/>
    <mergeCell ref="A488:B495"/>
    <mergeCell ref="C488:E495"/>
    <mergeCell ref="F488:H495"/>
    <mergeCell ref="AD488:AF495"/>
    <mergeCell ref="I488:AA495"/>
    <mergeCell ref="AB488:AC495"/>
    <mergeCell ref="AZ488:BB495"/>
    <mergeCell ref="A496:B503"/>
    <mergeCell ref="C496:E503"/>
    <mergeCell ref="F496:H503"/>
    <mergeCell ref="AD496:AF503"/>
    <mergeCell ref="I496:AA503"/>
    <mergeCell ref="AB496:AC503"/>
    <mergeCell ref="AZ496:BB503"/>
    <mergeCell ref="A504:B511"/>
    <mergeCell ref="C504:E511"/>
    <mergeCell ref="F504:H511"/>
    <mergeCell ref="AD504:AF511"/>
    <mergeCell ref="I504:AA511"/>
    <mergeCell ref="AB504:AC511"/>
    <mergeCell ref="AZ504:BB511"/>
    <mergeCell ref="A512:B519"/>
    <mergeCell ref="C512:E519"/>
    <mergeCell ref="F512:H519"/>
    <mergeCell ref="AD512:AF519"/>
    <mergeCell ref="I512:AA519"/>
    <mergeCell ref="AB512:AC519"/>
    <mergeCell ref="AZ512:BB519"/>
    <mergeCell ref="A520:B527"/>
    <mergeCell ref="C520:E527"/>
    <mergeCell ref="F520:H527"/>
    <mergeCell ref="AD520:AF527"/>
    <mergeCell ref="I520:AA527"/>
    <mergeCell ref="AB520:AC527"/>
    <mergeCell ref="AZ520:BB527"/>
    <mergeCell ref="A528:B535"/>
    <mergeCell ref="C528:E535"/>
    <mergeCell ref="F528:H535"/>
    <mergeCell ref="AD528:AF535"/>
    <mergeCell ref="I528:AA535"/>
    <mergeCell ref="AB528:AC535"/>
    <mergeCell ref="AZ528:BB535"/>
    <mergeCell ref="A536:B543"/>
    <mergeCell ref="C536:E543"/>
    <mergeCell ref="F536:H543"/>
    <mergeCell ref="AD536:AF543"/>
    <mergeCell ref="I536:AA543"/>
    <mergeCell ref="AB536:AC543"/>
    <mergeCell ref="AZ536:BB543"/>
    <mergeCell ref="A544:B551"/>
    <mergeCell ref="C544:E551"/>
    <mergeCell ref="F544:H551"/>
    <mergeCell ref="AD544:AF551"/>
    <mergeCell ref="I544:AA551"/>
    <mergeCell ref="AB544:AC551"/>
    <mergeCell ref="AZ544:BB551"/>
    <mergeCell ref="A552:B559"/>
    <mergeCell ref="C552:E559"/>
    <mergeCell ref="F552:H559"/>
    <mergeCell ref="AD552:AF559"/>
    <mergeCell ref="I552:AA559"/>
    <mergeCell ref="AB552:AC559"/>
    <mergeCell ref="AZ552:BB559"/>
    <mergeCell ref="A560:B567"/>
    <mergeCell ref="C560:E567"/>
    <mergeCell ref="F560:H567"/>
    <mergeCell ref="AD560:AF567"/>
    <mergeCell ref="I560:AA567"/>
    <mergeCell ref="AB560:AC567"/>
    <mergeCell ref="AZ560:BB567"/>
    <mergeCell ref="A568:B575"/>
    <mergeCell ref="C568:E575"/>
    <mergeCell ref="F568:H575"/>
    <mergeCell ref="AD568:AF575"/>
    <mergeCell ref="I568:AA575"/>
    <mergeCell ref="AB568:AC575"/>
    <mergeCell ref="AZ568:BB575"/>
    <mergeCell ref="A576:B583"/>
    <mergeCell ref="C576:E583"/>
    <mergeCell ref="F576:H583"/>
    <mergeCell ref="AD576:AF583"/>
    <mergeCell ref="I576:AA583"/>
    <mergeCell ref="AB576:AC583"/>
    <mergeCell ref="AZ576:BB583"/>
    <mergeCell ref="A584:B591"/>
    <mergeCell ref="C584:E591"/>
    <mergeCell ref="F584:H591"/>
    <mergeCell ref="AD584:AF591"/>
    <mergeCell ref="I584:AA591"/>
    <mergeCell ref="AB584:AC591"/>
    <mergeCell ref="AZ584:BB591"/>
    <mergeCell ref="A592:B599"/>
    <mergeCell ref="C592:E599"/>
    <mergeCell ref="F592:H599"/>
    <mergeCell ref="AD592:AF599"/>
    <mergeCell ref="I592:AA599"/>
    <mergeCell ref="AB592:AC599"/>
    <mergeCell ref="AZ592:BB599"/>
    <mergeCell ref="A600:B607"/>
    <mergeCell ref="C600:E607"/>
    <mergeCell ref="F600:H607"/>
    <mergeCell ref="AD600:AF607"/>
    <mergeCell ref="I600:AA607"/>
    <mergeCell ref="AB600:AC607"/>
    <mergeCell ref="AZ600:BB607"/>
    <mergeCell ref="A608:B615"/>
    <mergeCell ref="C608:E615"/>
    <mergeCell ref="F608:H615"/>
    <mergeCell ref="AD608:AF615"/>
    <mergeCell ref="I608:AA615"/>
    <mergeCell ref="AB608:AC615"/>
    <mergeCell ref="AZ608:BB615"/>
    <mergeCell ref="A624:B631"/>
    <mergeCell ref="C624:E631"/>
    <mergeCell ref="F624:H631"/>
    <mergeCell ref="AD624:AF631"/>
    <mergeCell ref="I624:AA631"/>
    <mergeCell ref="AB624:AC631"/>
    <mergeCell ref="AZ624:BB631"/>
  </mergeCells>
  <conditionalFormatting sqref="AB634:AE650">
    <cfRule type="cellIs" dxfId="0" priority="1" operator="equal">
      <formula>0</formula>
    </cfRule>
  </conditionalFormatting>
  <printOptions horizontalCentered="1"/>
  <pageMargins left="0.393700787401575" right="0.393700787401575" top="0.196850393700787" bottom="0.393700787401575" header="0" footer="0.118110236220472"/>
  <pageSetup paperSize="9" scale="72" fitToHeight="23" orientation="landscape"/>
  <headerFooter>
    <oddFooter>&amp;L&amp;G&amp;R&amp;9Projeto Executivo de Engenharia, Estudos e
Orçamentos para a Construção de Ponte Rodoviária
em Concreto Armado - Rodovia Vicinal</oddFooter>
  </headerFooter>
  <rowBreaks count="2" manualBreakCount="2">
    <brk id="352" max="91" man="1"/>
    <brk id="511" max="91" man="1"/>
  </rowBreaks>
  <drawing r:id="rId1"/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A1:BQ57"/>
  <sheetViews>
    <sheetView showGridLines="0" view="pageBreakPreview" zoomScale="150" zoomScaleNormal="160" workbookViewId="0">
      <selection activeCell="A1" sqref="A1"/>
    </sheetView>
  </sheetViews>
  <sheetFormatPr defaultColWidth="9.1047619047619" defaultRowHeight="17.4" customHeight="1"/>
  <cols>
    <col min="1" max="99" width="2.1047619047619" style="29" customWidth="1"/>
    <col min="100" max="100" width="9.1047619047619" style="29" customWidth="1"/>
    <col min="101" max="16384" width="9.1047619047619" style="29"/>
  </cols>
  <sheetData>
    <row r="1" ht="12.6" customHeight="1"/>
    <row r="2" ht="12.6" customHeight="1"/>
    <row r="3" ht="12.6" customHeight="1"/>
    <row r="4" ht="12.75" customHeight="1" spans="1:69">
      <c r="A4" s="40" t="s">
        <v>17</v>
      </c>
      <c r="B4" s="41"/>
      <c r="C4" s="41"/>
      <c r="D4" s="41"/>
      <c r="E4" s="41"/>
      <c r="F4" s="41"/>
      <c r="G4" s="41"/>
      <c r="H4" s="41"/>
      <c r="I4" s="42" t="str">
        <f>IF(Dados!I4="","",Dados!I4)</f>
        <v>CONSTRUÇÃO DE PONTE RODOVIÁRIA EM CONCRETO ARMADO</v>
      </c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3"/>
    </row>
    <row r="5" ht="12.75" customHeight="1" spans="1:69">
      <c r="A5" s="44" t="str">
        <f>Dados!A5</f>
        <v>MUNICÍPIO:</v>
      </c>
      <c r="B5" s="45"/>
      <c r="C5" s="45"/>
      <c r="D5" s="45"/>
      <c r="E5" s="45"/>
      <c r="F5" s="45"/>
      <c r="G5" s="45"/>
      <c r="H5" s="45"/>
      <c r="I5" s="46" t="str">
        <f>IF(Dados!I5="","",Dados!I5)</f>
        <v>DEODÁPOLIS/MS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7"/>
    </row>
    <row r="6" ht="12.75" customHeight="1" spans="1:69">
      <c r="A6" s="44" t="str">
        <f>Dados!A6</f>
        <v>RODOVIA/ESTRADA:</v>
      </c>
      <c r="B6" s="45"/>
      <c r="C6" s="45"/>
      <c r="D6" s="45"/>
      <c r="E6" s="45"/>
      <c r="F6" s="45"/>
      <c r="G6" s="45"/>
      <c r="H6" s="45"/>
      <c r="I6" s="46" t="str">
        <f>IF(Dados!I6="","",Dados!I6)</f>
        <v>ESTRADA VICINAL 14ª LINHA (LADO NASCENTE)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7"/>
    </row>
    <row r="7" ht="12.75" customHeight="1" spans="1:69">
      <c r="A7" s="44" t="str">
        <f>Dados!A7</f>
        <v>LOCAL:</v>
      </c>
      <c r="B7" s="45"/>
      <c r="C7" s="45"/>
      <c r="D7" s="45"/>
      <c r="E7" s="45"/>
      <c r="F7" s="45"/>
      <c r="G7" s="45"/>
      <c r="H7" s="45"/>
      <c r="I7" s="46" t="str">
        <f>IF(Dados!I7="","",Dados!I7)</f>
        <v>PONTE SOBRE O CÓRREGO IRETAN</v>
      </c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7"/>
    </row>
    <row r="8" ht="12.75" customHeight="1" spans="1:69">
      <c r="A8" s="44" t="str">
        <f>Dados!A8</f>
        <v>COORDENADAS:</v>
      </c>
      <c r="B8" s="45"/>
      <c r="C8" s="45"/>
      <c r="D8" s="45"/>
      <c r="E8" s="45"/>
      <c r="F8" s="45"/>
      <c r="G8" s="45"/>
      <c r="H8" s="45"/>
      <c r="I8" s="49" t="str">
        <f>IF(Dados!I8="","",Dados!I8)</f>
        <v>22°14'28.18"S, 54º04'37.28"O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79" t="str">
        <f>Dados!AI8</f>
        <v>ÁREA:</v>
      </c>
      <c r="BB8" s="479"/>
      <c r="BC8" s="479"/>
      <c r="BD8" s="479"/>
      <c r="BE8" s="479"/>
      <c r="BF8" s="479"/>
      <c r="BG8" s="479"/>
      <c r="BH8" s="479"/>
      <c r="BI8" s="479"/>
      <c r="BJ8" s="479"/>
      <c r="BK8" s="479"/>
      <c r="BL8" s="479"/>
      <c r="BM8" s="479"/>
      <c r="BN8" s="51">
        <f>IF(Dados!AO8="","",Dados!AO8)</f>
        <v>90</v>
      </c>
      <c r="BO8" s="51"/>
      <c r="BP8" s="52" t="s">
        <v>7</v>
      </c>
      <c r="BQ8" s="53"/>
    </row>
    <row r="9" ht="12.75" customHeight="1" spans="1:69">
      <c r="A9" s="44" t="str">
        <f>Dados!A9</f>
        <v>COMPRIMENTO:</v>
      </c>
      <c r="B9" s="45"/>
      <c r="C9" s="45"/>
      <c r="D9" s="45"/>
      <c r="E9" s="45"/>
      <c r="F9" s="45"/>
      <c r="G9" s="45"/>
      <c r="H9" s="45"/>
      <c r="I9" s="54">
        <f>IF(Dados!I9="","",Dados!I9)</f>
        <v>15</v>
      </c>
      <c r="J9" s="54"/>
      <c r="K9" s="52" t="s">
        <v>9</v>
      </c>
      <c r="L9" s="52"/>
      <c r="M9" s="55"/>
      <c r="N9" s="55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BK9"/>
      <c r="BL9"/>
      <c r="BM9"/>
      <c r="BN9"/>
      <c r="BO9"/>
      <c r="BP9"/>
      <c r="BQ9" s="56"/>
    </row>
    <row r="10" ht="12.75" customHeight="1" spans="1:69">
      <c r="A10" s="44" t="str">
        <f>Dados!A10</f>
        <v>LARGURA:</v>
      </c>
      <c r="B10" s="45"/>
      <c r="C10" s="45"/>
      <c r="D10" s="45"/>
      <c r="E10" s="45"/>
      <c r="F10" s="45"/>
      <c r="G10" s="45"/>
      <c r="H10" s="45"/>
      <c r="I10" s="54">
        <f>IF(Dados!I10="","",Dados!I10)</f>
        <v>6</v>
      </c>
      <c r="J10" s="54"/>
      <c r="K10" s="52" t="s">
        <v>9</v>
      </c>
      <c r="L10" s="52"/>
      <c r="M10" s="55"/>
      <c r="N10" s="55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Q10" s="480"/>
    </row>
    <row r="11" ht="12.75" customHeight="1" spans="1:69">
      <c r="A11" s="44" t="s">
        <v>11</v>
      </c>
      <c r="B11" s="45"/>
      <c r="C11" s="45"/>
      <c r="D11" s="45"/>
      <c r="E11" s="45"/>
      <c r="F11" s="45"/>
      <c r="G11" s="45"/>
      <c r="H11" s="45"/>
      <c r="I11" s="45" t="str">
        <f>Dados!I11</f>
        <v>INSUMO</v>
      </c>
      <c r="J11" s="45"/>
      <c r="K11" s="45"/>
      <c r="L11" s="57">
        <f>IF(Dados!L11="","",Dados!L11)</f>
        <v>0.1527</v>
      </c>
      <c r="M11" s="57"/>
      <c r="N11" s="57"/>
      <c r="O11" s="45" t="str">
        <f>Dados!O11</f>
        <v>SERVIÇO</v>
      </c>
      <c r="P11" s="45"/>
      <c r="Q11" s="45"/>
      <c r="R11" s="57">
        <f>IF(Dados!R11="","",Dados!R11)</f>
        <v>0.2391</v>
      </c>
      <c r="S11" s="57"/>
      <c r="T11" s="57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BA11" s="479" t="str">
        <f>Dados!AI11</f>
        <v>PRAZO DE EXECUÇÃO:</v>
      </c>
      <c r="BB11" s="479"/>
      <c r="BC11" s="479"/>
      <c r="BD11" s="479"/>
      <c r="BE11" s="479"/>
      <c r="BF11" s="479"/>
      <c r="BG11" s="479"/>
      <c r="BH11" s="479"/>
      <c r="BI11" s="479"/>
      <c r="BJ11" s="479"/>
      <c r="BK11" s="479"/>
      <c r="BL11" s="479"/>
      <c r="BM11" s="479"/>
      <c r="BN11" s="58">
        <f>IF(Dados!AO11="","",Dados!AO11)</f>
        <v>120</v>
      </c>
      <c r="BO11" s="58"/>
      <c r="BP11" s="52" t="s">
        <v>15</v>
      </c>
      <c r="BQ11" s="53"/>
    </row>
    <row r="12" ht="12.75" customHeight="1" spans="1:69">
      <c r="A12" s="59" t="s">
        <v>16</v>
      </c>
      <c r="B12" s="60"/>
      <c r="C12" s="60"/>
      <c r="D12" s="60"/>
      <c r="E12" s="60"/>
      <c r="F12" s="60"/>
      <c r="G12" s="60"/>
      <c r="H12" s="60"/>
      <c r="I12" s="61" t="str">
        <f>IF(Dados!I12="","",Dados!I12)</f>
        <v>SEM DESONERAÇÃO SICRO (JANEIRO/2026)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tr">
        <f>IF(Dados!U12="","",Dados!U12)</f>
        <v>NÃO DESONERADO SINAPI (JANEIRO/2026)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4"/>
    </row>
    <row r="13" ht="6" customHeight="1" spans="1:69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</row>
    <row r="14" ht="12.75" customHeight="1" spans="1:69">
      <c r="A14" s="481" t="s">
        <v>1090</v>
      </c>
      <c r="B14" s="482"/>
      <c r="C14" s="482"/>
      <c r="D14" s="482"/>
      <c r="E14" s="482"/>
      <c r="F14" s="482"/>
      <c r="G14" s="482"/>
      <c r="H14" s="482"/>
      <c r="I14" s="482"/>
      <c r="J14" s="482"/>
      <c r="K14" s="482"/>
      <c r="L14" s="482"/>
      <c r="M14" s="482"/>
      <c r="N14" s="482"/>
      <c r="O14" s="482"/>
      <c r="P14" s="482"/>
      <c r="Q14" s="482"/>
      <c r="R14" s="482"/>
      <c r="S14" s="482"/>
      <c r="T14" s="482"/>
      <c r="U14" s="482"/>
      <c r="V14" s="482"/>
      <c r="W14" s="482"/>
      <c r="X14" s="482"/>
      <c r="Y14" s="482"/>
      <c r="Z14" s="482"/>
      <c r="AA14" s="482"/>
      <c r="AB14" s="482"/>
      <c r="AC14" s="482"/>
      <c r="AD14" s="482"/>
      <c r="AE14" s="482"/>
      <c r="AF14" s="482"/>
      <c r="AG14" s="482"/>
      <c r="AH14" s="482"/>
      <c r="AI14" s="482"/>
      <c r="AJ14" s="482"/>
      <c r="AK14" s="482"/>
      <c r="AL14" s="482"/>
      <c r="AM14" s="482"/>
      <c r="AN14" s="482"/>
      <c r="AO14" s="482"/>
      <c r="AP14" s="482"/>
      <c r="AQ14" s="482"/>
      <c r="AR14" s="482"/>
      <c r="AS14" s="482"/>
      <c r="AT14" s="482"/>
      <c r="AU14" s="482"/>
      <c r="AV14" s="482"/>
      <c r="AW14" s="482"/>
      <c r="AX14" s="482"/>
      <c r="AY14" s="482"/>
      <c r="AZ14" s="482"/>
      <c r="BA14" s="482"/>
      <c r="BB14" s="482"/>
      <c r="BC14" s="482"/>
      <c r="BD14" s="482"/>
      <c r="BE14" s="482"/>
      <c r="BF14" s="482"/>
      <c r="BG14" s="482"/>
      <c r="BH14" s="482"/>
      <c r="BI14" s="482"/>
      <c r="BJ14" s="482"/>
      <c r="BK14" s="482"/>
      <c r="BL14" s="482"/>
      <c r="BM14" s="482"/>
      <c r="BN14" s="482"/>
      <c r="BO14" s="482"/>
      <c r="BP14" s="482"/>
      <c r="BQ14" s="483"/>
    </row>
    <row r="15" s="478" customFormat="1" ht="12.75" customHeight="1" spans="1:69">
      <c r="A15" s="484" t="s">
        <v>1091</v>
      </c>
      <c r="B15" s="485"/>
      <c r="C15" s="485"/>
      <c r="D15" s="485"/>
      <c r="E15" s="485"/>
      <c r="F15" s="485"/>
      <c r="G15" s="485"/>
      <c r="H15" s="485"/>
      <c r="I15" s="485"/>
      <c r="J15" s="485"/>
      <c r="K15" s="485"/>
      <c r="L15" s="485"/>
      <c r="M15" s="485"/>
      <c r="N15" s="485"/>
      <c r="O15" s="485"/>
      <c r="P15" s="485"/>
      <c r="Q15" s="485"/>
      <c r="R15" s="485"/>
      <c r="S15" s="485"/>
      <c r="T15" s="485"/>
      <c r="U15" s="485"/>
      <c r="V15" s="485"/>
      <c r="W15" s="485"/>
      <c r="X15" s="485"/>
      <c r="Y15" s="485"/>
      <c r="Z15" s="485"/>
      <c r="AA15" s="485"/>
      <c r="AB15" s="485"/>
      <c r="AC15" s="485"/>
      <c r="AD15" s="485"/>
      <c r="AE15" s="485"/>
      <c r="AF15" s="485"/>
      <c r="AG15" s="485"/>
      <c r="AH15" s="485"/>
      <c r="AI15" s="485"/>
      <c r="AJ15" s="485"/>
      <c r="AK15" s="485"/>
      <c r="AL15" s="485"/>
      <c r="AM15" s="485"/>
      <c r="AN15" s="485"/>
      <c r="AO15" s="485"/>
      <c r="AP15" s="485"/>
      <c r="AQ15" s="485"/>
      <c r="AR15" s="485"/>
      <c r="AS15" s="485"/>
      <c r="AT15" s="485"/>
      <c r="AU15" s="485"/>
      <c r="AV15" s="485"/>
      <c r="AW15" s="485"/>
      <c r="AX15" s="485"/>
      <c r="AY15" s="485"/>
      <c r="AZ15" s="485"/>
      <c r="BA15" s="485"/>
      <c r="BB15" s="485"/>
      <c r="BC15" s="485"/>
      <c r="BD15" s="485"/>
      <c r="BE15" s="485"/>
      <c r="BF15" s="485"/>
      <c r="BG15" s="485"/>
      <c r="BH15" s="485"/>
      <c r="BI15" s="485"/>
      <c r="BJ15" s="485"/>
      <c r="BK15" s="485"/>
      <c r="BL15" s="485"/>
      <c r="BM15" s="485"/>
      <c r="BN15" s="485"/>
      <c r="BO15" s="485"/>
      <c r="BP15" s="485"/>
      <c r="BQ15" s="486"/>
    </row>
    <row r="16" ht="17.7" customHeight="1" spans="1:69">
      <c r="A16" s="69" t="s">
        <v>31</v>
      </c>
      <c r="B16" s="69"/>
      <c r="C16" s="69" t="s">
        <v>633</v>
      </c>
      <c r="D16" s="69"/>
      <c r="E16" s="69"/>
      <c r="F16" s="69" t="s">
        <v>634</v>
      </c>
      <c r="G16" s="69"/>
      <c r="H16" s="69"/>
      <c r="I16" s="70" t="s">
        <v>823</v>
      </c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66" t="s">
        <v>72</v>
      </c>
      <c r="AC16" s="67"/>
      <c r="AD16" s="67"/>
      <c r="AE16" s="67"/>
      <c r="AF16" s="67"/>
      <c r="AG16" s="67"/>
      <c r="AH16" s="67"/>
      <c r="AI16" s="67"/>
      <c r="AJ16" s="67"/>
      <c r="AK16" s="487" t="s">
        <v>666</v>
      </c>
      <c r="AL16" s="488"/>
      <c r="AM16" s="489"/>
      <c r="AN16" s="487" t="s">
        <v>824</v>
      </c>
      <c r="AO16" s="488"/>
      <c r="AP16" s="489"/>
      <c r="AQ16" s="490" t="s">
        <v>1092</v>
      </c>
      <c r="AR16" s="491"/>
      <c r="AS16" s="492"/>
      <c r="AT16" s="296" t="s">
        <v>1093</v>
      </c>
      <c r="AU16" s="297"/>
      <c r="AV16" s="297"/>
      <c r="AW16" s="297"/>
      <c r="AX16" s="297"/>
      <c r="AY16" s="297"/>
      <c r="AZ16" s="297"/>
      <c r="BA16" s="297"/>
      <c r="BB16" s="297"/>
      <c r="BC16" s="490" t="s">
        <v>1094</v>
      </c>
      <c r="BD16" s="491"/>
      <c r="BE16" s="492"/>
      <c r="BF16" s="73" t="s">
        <v>1095</v>
      </c>
      <c r="BG16" s="74"/>
      <c r="BH16" s="75"/>
      <c r="BI16" s="74" t="s">
        <v>1096</v>
      </c>
      <c r="BJ16" s="74"/>
      <c r="BK16" s="75"/>
      <c r="BL16" s="73" t="s">
        <v>1097</v>
      </c>
      <c r="BM16" s="74"/>
      <c r="BN16" s="75"/>
      <c r="BO16" s="74" t="s">
        <v>1098</v>
      </c>
      <c r="BP16" s="74"/>
      <c r="BQ16" s="75"/>
    </row>
    <row r="17" ht="17.7" customHeight="1" spans="1:69">
      <c r="A17" s="69"/>
      <c r="B17" s="69"/>
      <c r="C17" s="69"/>
      <c r="D17" s="69"/>
      <c r="E17" s="69"/>
      <c r="F17" s="69"/>
      <c r="G17" s="69"/>
      <c r="H17" s="69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7" t="s">
        <v>828</v>
      </c>
      <c r="AC17" s="77"/>
      <c r="AD17" s="78"/>
      <c r="AE17" s="77" t="s">
        <v>829</v>
      </c>
      <c r="AF17" s="77"/>
      <c r="AG17" s="78"/>
      <c r="AH17" s="77" t="s">
        <v>830</v>
      </c>
      <c r="AI17" s="77"/>
      <c r="AJ17" s="78"/>
      <c r="AK17" s="493"/>
      <c r="AL17" s="494"/>
      <c r="AM17" s="495"/>
      <c r="AN17" s="493"/>
      <c r="AO17" s="494"/>
      <c r="AP17" s="495"/>
      <c r="AQ17" s="496"/>
      <c r="AR17" s="497"/>
      <c r="AS17" s="498"/>
      <c r="AT17" s="77" t="s">
        <v>828</v>
      </c>
      <c r="AU17" s="77"/>
      <c r="AV17" s="78"/>
      <c r="AW17" s="77" t="s">
        <v>829</v>
      </c>
      <c r="AX17" s="77"/>
      <c r="AY17" s="78"/>
      <c r="AZ17" s="77" t="s">
        <v>830</v>
      </c>
      <c r="BA17" s="77"/>
      <c r="BB17" s="78"/>
      <c r="BC17" s="496"/>
      <c r="BD17" s="497"/>
      <c r="BE17" s="498"/>
      <c r="BF17" s="499"/>
      <c r="BG17" s="79"/>
      <c r="BH17" s="80"/>
      <c r="BI17" s="79"/>
      <c r="BJ17" s="79"/>
      <c r="BK17" s="80"/>
      <c r="BL17" s="499"/>
      <c r="BM17" s="79"/>
      <c r="BN17" s="80"/>
      <c r="BO17" s="79"/>
      <c r="BP17" s="79"/>
      <c r="BQ17" s="80"/>
    </row>
    <row r="18" ht="17.7" customHeight="1" spans="1:69">
      <c r="A18" s="69"/>
      <c r="B18" s="69"/>
      <c r="C18" s="69"/>
      <c r="D18" s="69"/>
      <c r="E18" s="69"/>
      <c r="F18" s="69"/>
      <c r="G18" s="69"/>
      <c r="H18" s="69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7" t="s">
        <v>831</v>
      </c>
      <c r="AC18" s="77"/>
      <c r="AD18" s="78"/>
      <c r="AE18" s="77" t="s">
        <v>831</v>
      </c>
      <c r="AF18" s="77"/>
      <c r="AG18" s="78"/>
      <c r="AH18" s="77" t="s">
        <v>831</v>
      </c>
      <c r="AI18" s="77"/>
      <c r="AJ18" s="78"/>
      <c r="AK18" s="500"/>
      <c r="AL18" s="501"/>
      <c r="AM18" s="502"/>
      <c r="AN18" s="500"/>
      <c r="AO18" s="501"/>
      <c r="AP18" s="502"/>
      <c r="AQ18" s="503"/>
      <c r="AR18" s="504"/>
      <c r="AS18" s="505"/>
      <c r="AT18" s="77" t="s">
        <v>831</v>
      </c>
      <c r="AU18" s="77"/>
      <c r="AV18" s="78"/>
      <c r="AW18" s="77" t="s">
        <v>831</v>
      </c>
      <c r="AX18" s="77"/>
      <c r="AY18" s="78"/>
      <c r="AZ18" s="77" t="s">
        <v>831</v>
      </c>
      <c r="BA18" s="77"/>
      <c r="BB18" s="78"/>
      <c r="BC18" s="503"/>
      <c r="BD18" s="504"/>
      <c r="BE18" s="505"/>
      <c r="BF18" s="71" t="s">
        <v>1030</v>
      </c>
      <c r="BG18" s="71"/>
      <c r="BH18" s="71"/>
      <c r="BI18" s="84"/>
      <c r="BJ18" s="84"/>
      <c r="BK18" s="85"/>
      <c r="BL18" s="83"/>
      <c r="BM18" s="84"/>
      <c r="BN18" s="85"/>
      <c r="BO18" s="84"/>
      <c r="BP18" s="84"/>
      <c r="BQ18" s="85"/>
    </row>
    <row r="19" customHeight="1" spans="1:69">
      <c r="A19" s="89" t="s">
        <v>835</v>
      </c>
      <c r="B19" s="90"/>
      <c r="C19" s="203"/>
      <c r="D19" s="204"/>
      <c r="E19" s="205"/>
      <c r="F19" s="203" t="s">
        <v>1084</v>
      </c>
      <c r="G19" s="204"/>
      <c r="H19" s="205"/>
      <c r="I19" s="506" t="str">
        <f>+VLOOKUP(F19,Equipamentos!A:K,2,"falso")</f>
        <v>Guindaste móvel sobre pneus com 6 eixos com capacidade máxima de 350 t - 450 kW</v>
      </c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8"/>
      <c r="AB19" s="105">
        <f>Dados!$Y$21</f>
        <v>256.8</v>
      </c>
      <c r="AC19" s="106"/>
      <c r="AD19" s="107"/>
      <c r="AE19" s="105">
        <f>Dados!$AE$21</f>
        <v>0</v>
      </c>
      <c r="AF19" s="106"/>
      <c r="AG19" s="107"/>
      <c r="AH19" s="105">
        <f>Dados!$AK$21</f>
        <v>7.2</v>
      </c>
      <c r="AI19" s="106"/>
      <c r="AJ19" s="107"/>
      <c r="AK19" s="509" t="s">
        <v>879</v>
      </c>
      <c r="AL19" s="510"/>
      <c r="AM19" s="511"/>
      <c r="AN19" s="105">
        <v>2</v>
      </c>
      <c r="AO19" s="106"/>
      <c r="AP19" s="107"/>
      <c r="AQ19" s="509" t="str">
        <f>F19</f>
        <v>E9094</v>
      </c>
      <c r="AR19" s="510"/>
      <c r="AS19" s="511"/>
      <c r="AT19" s="509">
        <v>60</v>
      </c>
      <c r="AU19" s="510"/>
      <c r="AV19" s="511"/>
      <c r="AW19" s="509">
        <v>50</v>
      </c>
      <c r="AX19" s="510"/>
      <c r="AY19" s="511"/>
      <c r="AZ19" s="509">
        <v>40</v>
      </c>
      <c r="BA19" s="510"/>
      <c r="BB19" s="511"/>
      <c r="BC19" s="96">
        <f t="shared" ref="BC19:BC24" si="0">ROUND((AB19/AT19)+(AE19/AW19)+(AH19/AZ19),2)</f>
        <v>4.46</v>
      </c>
      <c r="BD19" s="97"/>
      <c r="BE19" s="98"/>
      <c r="BF19" s="105">
        <v>1</v>
      </c>
      <c r="BG19" s="106"/>
      <c r="BH19" s="107"/>
      <c r="BI19" s="105">
        <v>1</v>
      </c>
      <c r="BJ19" s="106"/>
      <c r="BK19" s="107"/>
      <c r="BL19" s="512">
        <f>IF(F19="","",+VLOOKUP(AQ19,Equipamentos!A:K,10,"falso"))</f>
        <v>2404.8902</v>
      </c>
      <c r="BM19" s="513"/>
      <c r="BN19" s="514"/>
      <c r="BO19" s="515">
        <f t="shared" ref="BO19:BO24" si="1">IF(F19="","",ROUND(AN19*BC19*BF19*BI19*BL19,2))</f>
        <v>21451.62</v>
      </c>
      <c r="BP19" s="516"/>
      <c r="BQ19" s="517"/>
    </row>
    <row r="20" customHeight="1" spans="1:69">
      <c r="A20" s="89" t="s">
        <v>838</v>
      </c>
      <c r="B20" s="90"/>
      <c r="C20" s="89"/>
      <c r="D20" s="91"/>
      <c r="E20" s="90"/>
      <c r="F20" s="518" t="s">
        <v>1088</v>
      </c>
      <c r="G20" s="518"/>
      <c r="H20" s="518"/>
      <c r="I20" s="519" t="str">
        <f>+VLOOKUP(F20,Equipamentos!A:K,2,"falso")</f>
        <v>Caminhão demarcador de faixas com sistema de pintura a frio - 28 kW/129 kW</v>
      </c>
      <c r="J20" s="519"/>
      <c r="K20" s="519"/>
      <c r="L20" s="519"/>
      <c r="M20" s="519"/>
      <c r="N20" s="519"/>
      <c r="O20" s="519"/>
      <c r="P20" s="519"/>
      <c r="Q20" s="519"/>
      <c r="R20" s="519"/>
      <c r="S20" s="519"/>
      <c r="T20" s="519"/>
      <c r="U20" s="519"/>
      <c r="V20" s="519"/>
      <c r="W20" s="519"/>
      <c r="X20" s="519"/>
      <c r="Y20" s="519"/>
      <c r="Z20" s="519"/>
      <c r="AA20" s="519"/>
      <c r="AB20" s="105">
        <f>Dados!$Y$21</f>
        <v>256.8</v>
      </c>
      <c r="AC20" s="106"/>
      <c r="AD20" s="107"/>
      <c r="AE20" s="105">
        <f>Dados!$AE$21</f>
        <v>0</v>
      </c>
      <c r="AF20" s="106"/>
      <c r="AG20" s="107"/>
      <c r="AH20" s="105">
        <f>Dados!$AK$21</f>
        <v>7.2</v>
      </c>
      <c r="AI20" s="106"/>
      <c r="AJ20" s="107"/>
      <c r="AK20" s="509" t="s">
        <v>879</v>
      </c>
      <c r="AL20" s="510"/>
      <c r="AM20" s="511"/>
      <c r="AN20" s="105">
        <v>1</v>
      </c>
      <c r="AO20" s="106"/>
      <c r="AP20" s="107"/>
      <c r="AQ20" s="509" t="str">
        <f>F20</f>
        <v>E9644</v>
      </c>
      <c r="AR20" s="510"/>
      <c r="AS20" s="511"/>
      <c r="AT20" s="509">
        <v>60</v>
      </c>
      <c r="AU20" s="510"/>
      <c r="AV20" s="511"/>
      <c r="AW20" s="509">
        <v>50</v>
      </c>
      <c r="AX20" s="510"/>
      <c r="AY20" s="511"/>
      <c r="AZ20" s="509">
        <v>40</v>
      </c>
      <c r="BA20" s="510"/>
      <c r="BB20" s="511"/>
      <c r="BC20" s="96">
        <f t="shared" si="0"/>
        <v>4.46</v>
      </c>
      <c r="BD20" s="97"/>
      <c r="BE20" s="98"/>
      <c r="BF20" s="105">
        <v>1</v>
      </c>
      <c r="BG20" s="106"/>
      <c r="BH20" s="107"/>
      <c r="BI20" s="105">
        <v>1</v>
      </c>
      <c r="BJ20" s="106"/>
      <c r="BK20" s="107"/>
      <c r="BL20" s="512">
        <f>IF(F20="","",+VLOOKUP(AQ20,Equipamentos!A:K,10,"falso"))</f>
        <v>460.2465</v>
      </c>
      <c r="BM20" s="513"/>
      <c r="BN20" s="514"/>
      <c r="BO20" s="515">
        <f t="shared" si="1"/>
        <v>2052.7</v>
      </c>
      <c r="BP20" s="516"/>
      <c r="BQ20" s="517"/>
    </row>
    <row r="21" customHeight="1" spans="1:69">
      <c r="A21" s="89" t="s">
        <v>840</v>
      </c>
      <c r="B21" s="90"/>
      <c r="C21" s="89"/>
      <c r="D21" s="91"/>
      <c r="E21" s="90"/>
      <c r="F21" s="518" t="s">
        <v>1056</v>
      </c>
      <c r="G21" s="518"/>
      <c r="H21" s="518"/>
      <c r="I21" s="519" t="str">
        <f>+VLOOKUP(F21,Equipamentos!A:K,2,"falso")</f>
        <v>Caminhão basculante com capacidade de 14 m³ - 210 kW</v>
      </c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105">
        <f>Dados!$Y$21</f>
        <v>256.8</v>
      </c>
      <c r="AC21" s="106"/>
      <c r="AD21" s="107"/>
      <c r="AE21" s="105">
        <f>Dados!$AE$21</f>
        <v>0</v>
      </c>
      <c r="AF21" s="106"/>
      <c r="AG21" s="107"/>
      <c r="AH21" s="105">
        <f>Dados!$AK$21</f>
        <v>7.2</v>
      </c>
      <c r="AI21" s="106"/>
      <c r="AJ21" s="107"/>
      <c r="AK21" s="509" t="s">
        <v>879</v>
      </c>
      <c r="AL21" s="510"/>
      <c r="AM21" s="511"/>
      <c r="AN21" s="105">
        <v>1</v>
      </c>
      <c r="AO21" s="106"/>
      <c r="AP21" s="107"/>
      <c r="AQ21" s="509" t="str">
        <f>F21</f>
        <v>E9667</v>
      </c>
      <c r="AR21" s="510"/>
      <c r="AS21" s="511"/>
      <c r="AT21" s="509">
        <v>60</v>
      </c>
      <c r="AU21" s="510"/>
      <c r="AV21" s="511"/>
      <c r="AW21" s="509">
        <v>50</v>
      </c>
      <c r="AX21" s="510"/>
      <c r="AY21" s="511"/>
      <c r="AZ21" s="509">
        <v>40</v>
      </c>
      <c r="BA21" s="510"/>
      <c r="BB21" s="511"/>
      <c r="BC21" s="96">
        <f t="shared" si="0"/>
        <v>4.46</v>
      </c>
      <c r="BD21" s="97"/>
      <c r="BE21" s="98"/>
      <c r="BF21" s="105">
        <v>1</v>
      </c>
      <c r="BG21" s="106"/>
      <c r="BH21" s="107"/>
      <c r="BI21" s="105">
        <v>1</v>
      </c>
      <c r="BJ21" s="106"/>
      <c r="BK21" s="107"/>
      <c r="BL21" s="512">
        <f>IF(F21="","",+VLOOKUP(AQ21,Equipamentos!A:K,10,"falso"))</f>
        <v>326.8179</v>
      </c>
      <c r="BM21" s="513"/>
      <c r="BN21" s="514"/>
      <c r="BO21" s="515">
        <f t="shared" si="1"/>
        <v>1457.61</v>
      </c>
      <c r="BP21" s="516"/>
      <c r="BQ21" s="517"/>
    </row>
    <row r="22" customHeight="1" spans="1:69">
      <c r="A22" s="89" t="s">
        <v>842</v>
      </c>
      <c r="B22" s="90"/>
      <c r="C22" s="89"/>
      <c r="D22" s="91"/>
      <c r="E22" s="90"/>
      <c r="F22" s="518" t="s">
        <v>1086</v>
      </c>
      <c r="G22" s="518"/>
      <c r="H22" s="518"/>
      <c r="I22" s="519" t="str">
        <f>+VLOOKUP(F22,Equipamentos!A:K,2,"falso")</f>
        <v>Caminhão carroceria com capacidade de 5 t - 120 kW</v>
      </c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105">
        <f>Dados!$Y$21</f>
        <v>256.8</v>
      </c>
      <c r="AC22" s="106"/>
      <c r="AD22" s="107"/>
      <c r="AE22" s="105">
        <f>Dados!$AE$21</f>
        <v>0</v>
      </c>
      <c r="AF22" s="106"/>
      <c r="AG22" s="107"/>
      <c r="AH22" s="105">
        <f>Dados!$AK$21</f>
        <v>7.2</v>
      </c>
      <c r="AI22" s="106"/>
      <c r="AJ22" s="107"/>
      <c r="AK22" s="509" t="s">
        <v>879</v>
      </c>
      <c r="AL22" s="510"/>
      <c r="AM22" s="511"/>
      <c r="AN22" s="105">
        <v>1</v>
      </c>
      <c r="AO22" s="106"/>
      <c r="AP22" s="107"/>
      <c r="AQ22" s="509" t="str">
        <f>F22</f>
        <v>E9687</v>
      </c>
      <c r="AR22" s="510"/>
      <c r="AS22" s="511"/>
      <c r="AT22" s="509">
        <v>60</v>
      </c>
      <c r="AU22" s="510"/>
      <c r="AV22" s="511"/>
      <c r="AW22" s="509">
        <v>50</v>
      </c>
      <c r="AX22" s="510"/>
      <c r="AY22" s="511"/>
      <c r="AZ22" s="509">
        <v>40</v>
      </c>
      <c r="BA22" s="510"/>
      <c r="BB22" s="511"/>
      <c r="BC22" s="96">
        <f t="shared" si="0"/>
        <v>4.46</v>
      </c>
      <c r="BD22" s="97"/>
      <c r="BE22" s="98"/>
      <c r="BF22" s="105">
        <v>1</v>
      </c>
      <c r="BG22" s="106"/>
      <c r="BH22" s="107"/>
      <c r="BI22" s="105">
        <v>1</v>
      </c>
      <c r="BJ22" s="106"/>
      <c r="BK22" s="107"/>
      <c r="BL22" s="512">
        <f>IF(F22="","",+VLOOKUP(AQ22,Equipamentos!A:K,10,"falso"))</f>
        <v>174.0453</v>
      </c>
      <c r="BM22" s="513"/>
      <c r="BN22" s="514"/>
      <c r="BO22" s="515">
        <f t="shared" si="1"/>
        <v>776.24</v>
      </c>
      <c r="BP22" s="516"/>
      <c r="BQ22" s="517"/>
    </row>
    <row r="23" customHeight="1" spans="1:69">
      <c r="A23" s="89" t="s">
        <v>845</v>
      </c>
      <c r="B23" s="90"/>
      <c r="C23" s="89"/>
      <c r="D23" s="91"/>
      <c r="E23" s="90"/>
      <c r="F23" s="518" t="s">
        <v>682</v>
      </c>
      <c r="G23" s="518"/>
      <c r="H23" s="518"/>
      <c r="I23" s="519" t="str">
        <f>+VLOOKUP(F23,Equipamentos!A:K,2,"falso")</f>
        <v>Veículo leve - 53 kW (sem motorista)</v>
      </c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105">
        <f>Dados!$Y$21</f>
        <v>256.8</v>
      </c>
      <c r="AC23" s="106"/>
      <c r="AD23" s="107"/>
      <c r="AE23" s="105">
        <f>Dados!$AE$21</f>
        <v>0</v>
      </c>
      <c r="AF23" s="106"/>
      <c r="AG23" s="107"/>
      <c r="AH23" s="105">
        <f>Dados!$AK$21</f>
        <v>7.2</v>
      </c>
      <c r="AI23" s="106"/>
      <c r="AJ23" s="107"/>
      <c r="AK23" s="509" t="s">
        <v>879</v>
      </c>
      <c r="AL23" s="510"/>
      <c r="AM23" s="511"/>
      <c r="AN23" s="105">
        <v>2</v>
      </c>
      <c r="AO23" s="106"/>
      <c r="AP23" s="107"/>
      <c r="AQ23" s="509" t="s">
        <v>1099</v>
      </c>
      <c r="AR23" s="510"/>
      <c r="AS23" s="511"/>
      <c r="AT23" s="509">
        <v>60</v>
      </c>
      <c r="AU23" s="510"/>
      <c r="AV23" s="511"/>
      <c r="AW23" s="509">
        <v>50</v>
      </c>
      <c r="AX23" s="510"/>
      <c r="AY23" s="511"/>
      <c r="AZ23" s="509">
        <v>40</v>
      </c>
      <c r="BA23" s="510"/>
      <c r="BB23" s="511"/>
      <c r="BC23" s="96">
        <f t="shared" si="0"/>
        <v>4.46</v>
      </c>
      <c r="BD23" s="97"/>
      <c r="BE23" s="98"/>
      <c r="BF23" s="105">
        <v>1</v>
      </c>
      <c r="BG23" s="106"/>
      <c r="BH23" s="107"/>
      <c r="BI23" s="105">
        <v>1</v>
      </c>
      <c r="BJ23" s="106"/>
      <c r="BK23" s="107"/>
      <c r="BL23" s="512">
        <f>IF(F23="","",+VLOOKUP(AQ23,Equipamentos!A:K,10,"falso"))</f>
        <v>69.3408</v>
      </c>
      <c r="BM23" s="513"/>
      <c r="BN23" s="514"/>
      <c r="BO23" s="515">
        <f t="shared" si="1"/>
        <v>618.52</v>
      </c>
      <c r="BP23" s="516"/>
      <c r="BQ23" s="517"/>
    </row>
    <row r="24" customHeight="1" spans="1:69">
      <c r="A24" s="89" t="s">
        <v>1100</v>
      </c>
      <c r="B24" s="90"/>
      <c r="C24" s="89"/>
      <c r="D24" s="91"/>
      <c r="E24" s="90"/>
      <c r="F24" s="518" t="s">
        <v>696</v>
      </c>
      <c r="G24" s="518"/>
      <c r="H24" s="518"/>
      <c r="I24" s="519" t="str">
        <f>+VLOOKUP(F24,Equipamentos!A:K,2,"falso")</f>
        <v>Veículo tipo van furgão com capacidade de 1,38 t - 100 kW</v>
      </c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105">
        <f>Dados!$Y$21</f>
        <v>256.8</v>
      </c>
      <c r="AC24" s="106"/>
      <c r="AD24" s="107"/>
      <c r="AE24" s="105">
        <f>Dados!$AE$21</f>
        <v>0</v>
      </c>
      <c r="AF24" s="106"/>
      <c r="AG24" s="107"/>
      <c r="AH24" s="105">
        <f>Dados!$AK$21</f>
        <v>7.2</v>
      </c>
      <c r="AI24" s="106"/>
      <c r="AJ24" s="107"/>
      <c r="AK24" s="509" t="s">
        <v>879</v>
      </c>
      <c r="AL24" s="510"/>
      <c r="AM24" s="511"/>
      <c r="AN24" s="105">
        <v>1</v>
      </c>
      <c r="AO24" s="106"/>
      <c r="AP24" s="107"/>
      <c r="AQ24" s="509" t="str">
        <f>F24</f>
        <v>E9125</v>
      </c>
      <c r="AR24" s="510"/>
      <c r="AS24" s="511"/>
      <c r="AT24" s="509">
        <v>60</v>
      </c>
      <c r="AU24" s="510"/>
      <c r="AV24" s="511"/>
      <c r="AW24" s="509">
        <v>50</v>
      </c>
      <c r="AX24" s="510"/>
      <c r="AY24" s="511"/>
      <c r="AZ24" s="509">
        <v>40</v>
      </c>
      <c r="BA24" s="510"/>
      <c r="BB24" s="511"/>
      <c r="BC24" s="96">
        <f t="shared" si="0"/>
        <v>4.46</v>
      </c>
      <c r="BD24" s="97"/>
      <c r="BE24" s="98"/>
      <c r="BF24" s="105">
        <v>1</v>
      </c>
      <c r="BG24" s="106"/>
      <c r="BH24" s="107"/>
      <c r="BI24" s="105">
        <v>1</v>
      </c>
      <c r="BJ24" s="106"/>
      <c r="BK24" s="107"/>
      <c r="BL24" s="512">
        <f>IF(F24="","",+VLOOKUP(AQ24,Equipamentos!A:K,10,"falso"))</f>
        <v>93.7824</v>
      </c>
      <c r="BM24" s="513"/>
      <c r="BN24" s="514"/>
      <c r="BO24" s="515">
        <f t="shared" si="1"/>
        <v>418.27</v>
      </c>
      <c r="BP24" s="516"/>
      <c r="BQ24" s="517"/>
    </row>
    <row r="25" customHeight="1" spans="1:69">
      <c r="A25" s="520"/>
      <c r="B25" s="521"/>
      <c r="C25" s="521"/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  <c r="AG25" s="521"/>
      <c r="AH25" s="521"/>
      <c r="AI25" s="521"/>
      <c r="AJ25" s="521"/>
      <c r="AK25" s="521"/>
      <c r="AL25" s="521"/>
      <c r="AM25" s="521"/>
      <c r="AN25" s="521"/>
      <c r="AO25" s="521"/>
      <c r="AP25" s="521"/>
      <c r="AQ25" s="521"/>
      <c r="AR25" s="521"/>
      <c r="AS25" s="521"/>
      <c r="AT25" s="521"/>
      <c r="AU25" s="521"/>
      <c r="AV25" s="521"/>
      <c r="AW25" s="521"/>
      <c r="AX25" s="521"/>
      <c r="AY25" s="521"/>
      <c r="AZ25" s="522" t="s">
        <v>1101</v>
      </c>
      <c r="BA25" s="522"/>
      <c r="BB25" s="522"/>
      <c r="BC25" s="522"/>
      <c r="BD25" s="522"/>
      <c r="BE25" s="522"/>
      <c r="BF25" s="522"/>
      <c r="BG25" s="522"/>
      <c r="BH25" s="522"/>
      <c r="BI25" s="522"/>
      <c r="BJ25" s="522"/>
      <c r="BK25" s="522"/>
      <c r="BL25" s="522"/>
      <c r="BM25" s="522"/>
      <c r="BN25" s="522"/>
      <c r="BO25" s="523">
        <f>SUM(BO19:BQ24)</f>
        <v>26774.96</v>
      </c>
      <c r="BP25" s="524"/>
      <c r="BQ25" s="525"/>
    </row>
    <row r="26" s="478" customFormat="1" customHeight="1" spans="1:69">
      <c r="A26" s="484" t="s">
        <v>1102</v>
      </c>
      <c r="B26" s="485"/>
      <c r="C26" s="485"/>
      <c r="D26" s="485"/>
      <c r="E26" s="485"/>
      <c r="F26" s="485"/>
      <c r="G26" s="485"/>
      <c r="H26" s="485"/>
      <c r="I26" s="485"/>
      <c r="J26" s="485"/>
      <c r="K26" s="485"/>
      <c r="L26" s="485"/>
      <c r="M26" s="485"/>
      <c r="N26" s="485"/>
      <c r="O26" s="485"/>
      <c r="P26" s="485"/>
      <c r="Q26" s="485"/>
      <c r="R26" s="485"/>
      <c r="S26" s="485"/>
      <c r="T26" s="485"/>
      <c r="U26" s="485"/>
      <c r="V26" s="485"/>
      <c r="W26" s="485"/>
      <c r="X26" s="485"/>
      <c r="Y26" s="485"/>
      <c r="Z26" s="485"/>
      <c r="AA26" s="485"/>
      <c r="AB26" s="485"/>
      <c r="AC26" s="485"/>
      <c r="AD26" s="485"/>
      <c r="AE26" s="485"/>
      <c r="AF26" s="485"/>
      <c r="AG26" s="485"/>
      <c r="AH26" s="485"/>
      <c r="AI26" s="485"/>
      <c r="AJ26" s="485"/>
      <c r="AK26" s="485"/>
      <c r="AL26" s="485"/>
      <c r="AM26" s="485"/>
      <c r="AN26" s="485"/>
      <c r="AO26" s="485"/>
      <c r="AP26" s="485"/>
      <c r="AQ26" s="485"/>
      <c r="AR26" s="485"/>
      <c r="AS26" s="485"/>
      <c r="AT26" s="485"/>
      <c r="AU26" s="485"/>
      <c r="AV26" s="485"/>
      <c r="AW26" s="485"/>
      <c r="AX26" s="485"/>
      <c r="AY26" s="485"/>
      <c r="AZ26" s="485"/>
      <c r="BA26" s="485"/>
      <c r="BB26" s="485"/>
      <c r="BC26" s="485"/>
      <c r="BD26" s="485"/>
      <c r="BE26" s="485"/>
      <c r="BF26" s="485"/>
      <c r="BG26" s="485"/>
      <c r="BH26" s="485"/>
      <c r="BI26" s="485"/>
      <c r="BJ26" s="485"/>
      <c r="BK26" s="485"/>
      <c r="BL26" s="485"/>
      <c r="BM26" s="485"/>
      <c r="BN26" s="485"/>
      <c r="BO26" s="485"/>
      <c r="BP26" s="485"/>
      <c r="BQ26" s="486"/>
    </row>
    <row r="27" customHeight="1" spans="1:69">
      <c r="A27" s="69" t="s">
        <v>31</v>
      </c>
      <c r="B27" s="69"/>
      <c r="C27" s="69" t="s">
        <v>633</v>
      </c>
      <c r="D27" s="69"/>
      <c r="E27" s="69"/>
      <c r="F27" s="69" t="s">
        <v>634</v>
      </c>
      <c r="G27" s="69"/>
      <c r="H27" s="69"/>
      <c r="I27" s="70" t="s">
        <v>823</v>
      </c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66" t="s">
        <v>72</v>
      </c>
      <c r="AC27" s="67"/>
      <c r="AD27" s="67"/>
      <c r="AE27" s="67"/>
      <c r="AF27" s="67"/>
      <c r="AG27" s="67"/>
      <c r="AH27" s="67"/>
      <c r="AI27" s="67"/>
      <c r="AJ27" s="67"/>
      <c r="AK27" s="487" t="s">
        <v>666</v>
      </c>
      <c r="AL27" s="488"/>
      <c r="AM27" s="489"/>
      <c r="AN27" s="487" t="s">
        <v>824</v>
      </c>
      <c r="AO27" s="488"/>
      <c r="AP27" s="489"/>
      <c r="AQ27" s="490" t="s">
        <v>1092</v>
      </c>
      <c r="AR27" s="491"/>
      <c r="AS27" s="492"/>
      <c r="AT27" s="296" t="s">
        <v>1093</v>
      </c>
      <c r="AU27" s="297"/>
      <c r="AV27" s="297"/>
      <c r="AW27" s="297"/>
      <c r="AX27" s="297"/>
      <c r="AY27" s="297"/>
      <c r="AZ27" s="297"/>
      <c r="BA27" s="297"/>
      <c r="BB27" s="297"/>
      <c r="BC27" s="490" t="s">
        <v>1094</v>
      </c>
      <c r="BD27" s="491"/>
      <c r="BE27" s="492"/>
      <c r="BF27" s="73" t="s">
        <v>1095</v>
      </c>
      <c r="BG27" s="74"/>
      <c r="BH27" s="75"/>
      <c r="BI27" s="74" t="s">
        <v>1096</v>
      </c>
      <c r="BJ27" s="74"/>
      <c r="BK27" s="75"/>
      <c r="BL27" s="73" t="s">
        <v>1097</v>
      </c>
      <c r="BM27" s="74"/>
      <c r="BN27" s="75"/>
      <c r="BO27" s="74" t="s">
        <v>1098</v>
      </c>
      <c r="BP27" s="74"/>
      <c r="BQ27" s="75"/>
    </row>
    <row r="28" customHeight="1" spans="1:69">
      <c r="A28" s="69"/>
      <c r="B28" s="69"/>
      <c r="C28" s="69"/>
      <c r="D28" s="69"/>
      <c r="E28" s="69"/>
      <c r="F28" s="69"/>
      <c r="G28" s="69"/>
      <c r="H28" s="69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7" t="s">
        <v>828</v>
      </c>
      <c r="AC28" s="77"/>
      <c r="AD28" s="78"/>
      <c r="AE28" s="77" t="s">
        <v>829</v>
      </c>
      <c r="AF28" s="77"/>
      <c r="AG28" s="78"/>
      <c r="AH28" s="77" t="s">
        <v>830</v>
      </c>
      <c r="AI28" s="77"/>
      <c r="AJ28" s="78"/>
      <c r="AK28" s="493"/>
      <c r="AL28" s="494"/>
      <c r="AM28" s="495"/>
      <c r="AN28" s="493"/>
      <c r="AO28" s="494"/>
      <c r="AP28" s="495"/>
      <c r="AQ28" s="496"/>
      <c r="AR28" s="497"/>
      <c r="AS28" s="498"/>
      <c r="AT28" s="77" t="s">
        <v>828</v>
      </c>
      <c r="AU28" s="77"/>
      <c r="AV28" s="78"/>
      <c r="AW28" s="77" t="s">
        <v>829</v>
      </c>
      <c r="AX28" s="77"/>
      <c r="AY28" s="78"/>
      <c r="AZ28" s="77" t="s">
        <v>830</v>
      </c>
      <c r="BA28" s="77"/>
      <c r="BB28" s="78"/>
      <c r="BC28" s="496"/>
      <c r="BD28" s="497"/>
      <c r="BE28" s="498"/>
      <c r="BF28" s="499"/>
      <c r="BG28" s="79"/>
      <c r="BH28" s="80"/>
      <c r="BI28" s="79"/>
      <c r="BJ28" s="79"/>
      <c r="BK28" s="80"/>
      <c r="BL28" s="499"/>
      <c r="BM28" s="79"/>
      <c r="BN28" s="80"/>
      <c r="BO28" s="79"/>
      <c r="BP28" s="79"/>
      <c r="BQ28" s="80"/>
    </row>
    <row r="29" customHeight="1" spans="1:69">
      <c r="A29" s="69"/>
      <c r="B29" s="69"/>
      <c r="C29" s="69"/>
      <c r="D29" s="69"/>
      <c r="E29" s="69"/>
      <c r="F29" s="69"/>
      <c r="G29" s="69"/>
      <c r="H29" s="69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7" t="s">
        <v>831</v>
      </c>
      <c r="AC29" s="77"/>
      <c r="AD29" s="78"/>
      <c r="AE29" s="77" t="s">
        <v>831</v>
      </c>
      <c r="AF29" s="77"/>
      <c r="AG29" s="78"/>
      <c r="AH29" s="77" t="s">
        <v>831</v>
      </c>
      <c r="AI29" s="77"/>
      <c r="AJ29" s="78"/>
      <c r="AK29" s="500"/>
      <c r="AL29" s="501"/>
      <c r="AM29" s="502"/>
      <c r="AN29" s="500"/>
      <c r="AO29" s="501"/>
      <c r="AP29" s="502"/>
      <c r="AQ29" s="503"/>
      <c r="AR29" s="504"/>
      <c r="AS29" s="505"/>
      <c r="AT29" s="77" t="s">
        <v>831</v>
      </c>
      <c r="AU29" s="77"/>
      <c r="AV29" s="78"/>
      <c r="AW29" s="77" t="s">
        <v>831</v>
      </c>
      <c r="AX29" s="77"/>
      <c r="AY29" s="78"/>
      <c r="AZ29" s="77" t="s">
        <v>831</v>
      </c>
      <c r="BA29" s="77"/>
      <c r="BB29" s="78"/>
      <c r="BC29" s="503"/>
      <c r="BD29" s="504"/>
      <c r="BE29" s="505"/>
      <c r="BF29" s="71" t="s">
        <v>1030</v>
      </c>
      <c r="BG29" s="71"/>
      <c r="BH29" s="71"/>
      <c r="BI29" s="84"/>
      <c r="BJ29" s="84"/>
      <c r="BK29" s="85"/>
      <c r="BL29" s="83"/>
      <c r="BM29" s="84"/>
      <c r="BN29" s="85"/>
      <c r="BO29" s="84"/>
      <c r="BP29" s="84"/>
      <c r="BQ29" s="85"/>
    </row>
    <row r="30" customHeight="1" spans="1:69">
      <c r="A30" s="89" t="s">
        <v>850</v>
      </c>
      <c r="B30" s="90"/>
      <c r="C30" s="89"/>
      <c r="D30" s="91"/>
      <c r="E30" s="90"/>
      <c r="F30" s="526" t="s">
        <v>779</v>
      </c>
      <c r="G30" s="526"/>
      <c r="H30" s="526"/>
      <c r="I30" s="519" t="str">
        <f>+VLOOKUP(F30,Materiais!A:D,2,"falso")</f>
        <v>Contêiner com 2 banheiros - L = 2,44 m e C = 6,09 m (1 TEU)</v>
      </c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105">
        <f>Dados!$Y$21</f>
        <v>256.8</v>
      </c>
      <c r="AC30" s="106"/>
      <c r="AD30" s="107"/>
      <c r="AE30" s="105">
        <f>Dados!$AE$21</f>
        <v>0</v>
      </c>
      <c r="AF30" s="106"/>
      <c r="AG30" s="107"/>
      <c r="AH30" s="105">
        <f>Dados!$AK$21</f>
        <v>7.2</v>
      </c>
      <c r="AI30" s="106"/>
      <c r="AJ30" s="107"/>
      <c r="AK30" s="509" t="s">
        <v>879</v>
      </c>
      <c r="AL30" s="510"/>
      <c r="AM30" s="511"/>
      <c r="AN30" s="105">
        <f ca="1">SUMIF('Canteiro Qtd'!$T$50:$W$55,'Mobilização EQP'!$F30,'Canteiro Qtd'!$A$50:$B$55)</f>
        <v>1</v>
      </c>
      <c r="AO30" s="106"/>
      <c r="AP30" s="107"/>
      <c r="AQ30" s="509" t="s">
        <v>1103</v>
      </c>
      <c r="AR30" s="510"/>
      <c r="AS30" s="511"/>
      <c r="AT30" s="509">
        <v>60</v>
      </c>
      <c r="AU30" s="510"/>
      <c r="AV30" s="511"/>
      <c r="AW30" s="509">
        <v>50</v>
      </c>
      <c r="AX30" s="510"/>
      <c r="AY30" s="511"/>
      <c r="AZ30" s="509">
        <v>40</v>
      </c>
      <c r="BA30" s="510"/>
      <c r="BB30" s="511"/>
      <c r="BC30" s="96">
        <f t="shared" ref="BC30:BC37" si="2">ROUND((AB30/AT30)+(AE30/AW30)+(AH30/AZ30),2)</f>
        <v>4.46</v>
      </c>
      <c r="BD30" s="97"/>
      <c r="BE30" s="98"/>
      <c r="BF30" s="105">
        <v>1</v>
      </c>
      <c r="BG30" s="106"/>
      <c r="BH30" s="107"/>
      <c r="BI30" s="105">
        <v>2</v>
      </c>
      <c r="BJ30" s="106"/>
      <c r="BK30" s="107"/>
      <c r="BL30" s="512">
        <f>IF(F30="","",+VLOOKUP(AQ30,Equipamentos!A:K,10,"falso"))</f>
        <v>430.6894</v>
      </c>
      <c r="BM30" s="513"/>
      <c r="BN30" s="514"/>
      <c r="BO30" s="515">
        <f ca="1">IF(F30="","",ROUND(AN30*BC30*BF30*BI30*BL30,2))</f>
        <v>3841.75</v>
      </c>
      <c r="BP30" s="516"/>
      <c r="BQ30" s="517"/>
    </row>
    <row r="31" customHeight="1" spans="1:69">
      <c r="A31" s="89" t="s">
        <v>853</v>
      </c>
      <c r="B31" s="90"/>
      <c r="C31" s="89"/>
      <c r="D31" s="91"/>
      <c r="E31" s="90"/>
      <c r="F31" s="526" t="s">
        <v>772</v>
      </c>
      <c r="G31" s="526"/>
      <c r="H31" s="526"/>
      <c r="I31" s="519" t="str">
        <f>+VLOOKUP(F31,Materiais!A:D,2,"falso")</f>
        <v>Contêiner com janela - L = 2,44 m e C = 6,09 m (1 TEU)</v>
      </c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105">
        <f>Dados!$Y$21</f>
        <v>256.8</v>
      </c>
      <c r="AC31" s="106"/>
      <c r="AD31" s="107"/>
      <c r="AE31" s="105">
        <f>Dados!$AE$21</f>
        <v>0</v>
      </c>
      <c r="AF31" s="106"/>
      <c r="AG31" s="107"/>
      <c r="AH31" s="105">
        <f>Dados!$AK$21</f>
        <v>7.2</v>
      </c>
      <c r="AI31" s="106"/>
      <c r="AJ31" s="107"/>
      <c r="AK31" s="509" t="s">
        <v>879</v>
      </c>
      <c r="AL31" s="510"/>
      <c r="AM31" s="511"/>
      <c r="AN31" s="105">
        <f ca="1">SUMIF('Canteiro Qtd'!$T$50:$W$55,'Mobilização EQP'!$F31,'Canteiro Qtd'!$A$50:$B$55)</f>
        <v>2</v>
      </c>
      <c r="AO31" s="106"/>
      <c r="AP31" s="107"/>
      <c r="AQ31" s="509" t="s">
        <v>1103</v>
      </c>
      <c r="AR31" s="510"/>
      <c r="AS31" s="511"/>
      <c r="AT31" s="509">
        <v>60</v>
      </c>
      <c r="AU31" s="510"/>
      <c r="AV31" s="511"/>
      <c r="AW31" s="509">
        <v>50</v>
      </c>
      <c r="AX31" s="510"/>
      <c r="AY31" s="511"/>
      <c r="AZ31" s="509">
        <v>40</v>
      </c>
      <c r="BA31" s="510"/>
      <c r="BB31" s="511"/>
      <c r="BC31" s="96">
        <f t="shared" si="2"/>
        <v>4.46</v>
      </c>
      <c r="BD31" s="97"/>
      <c r="BE31" s="98"/>
      <c r="BF31" s="105">
        <v>1</v>
      </c>
      <c r="BG31" s="106"/>
      <c r="BH31" s="107"/>
      <c r="BI31" s="105">
        <v>2</v>
      </c>
      <c r="BJ31" s="106"/>
      <c r="BK31" s="107"/>
      <c r="BL31" s="512">
        <f>IF(F31="","",+VLOOKUP(AQ31,Equipamentos!A:K,10,"falso"))</f>
        <v>430.6894</v>
      </c>
      <c r="BM31" s="513"/>
      <c r="BN31" s="514"/>
      <c r="BO31" s="515">
        <f ca="1" t="shared" ref="BO31:BO37" si="3">IF(F31="","",ROUND(AN31*BC31*BF31*BI31*BL31,2))</f>
        <v>7683.5</v>
      </c>
      <c r="BP31" s="516"/>
      <c r="BQ31" s="517"/>
    </row>
    <row r="32" customHeight="1" spans="1:69">
      <c r="A32" s="89" t="s">
        <v>856</v>
      </c>
      <c r="B32" s="90"/>
      <c r="C32" s="89"/>
      <c r="D32" s="91"/>
      <c r="E32" s="90"/>
      <c r="F32" s="526" t="s">
        <v>776</v>
      </c>
      <c r="G32" s="526"/>
      <c r="H32" s="526"/>
      <c r="I32" s="519" t="str">
        <f>+VLOOKUP(F32,Materiais!A:D,2,"falso")</f>
        <v>Contêiner com janela - L = 4,88 m e C = 6,09 m (1 TEU duplo)</v>
      </c>
      <c r="J32" s="519"/>
      <c r="K32" s="519"/>
      <c r="L32" s="519"/>
      <c r="M32" s="519"/>
      <c r="N32" s="519"/>
      <c r="O32" s="519"/>
      <c r="P32" s="519"/>
      <c r="Q32" s="519"/>
      <c r="R32" s="519"/>
      <c r="S32" s="519"/>
      <c r="T32" s="519"/>
      <c r="U32" s="519"/>
      <c r="V32" s="519"/>
      <c r="W32" s="519"/>
      <c r="X32" s="519"/>
      <c r="Y32" s="519"/>
      <c r="Z32" s="519"/>
      <c r="AA32" s="519"/>
      <c r="AB32" s="105">
        <f>Dados!$Y$21</f>
        <v>256.8</v>
      </c>
      <c r="AC32" s="106"/>
      <c r="AD32" s="107"/>
      <c r="AE32" s="105">
        <f>Dados!$AE$21</f>
        <v>0</v>
      </c>
      <c r="AF32" s="106"/>
      <c r="AG32" s="107"/>
      <c r="AH32" s="105">
        <f>Dados!$AK$21</f>
        <v>7.2</v>
      </c>
      <c r="AI32" s="106"/>
      <c r="AJ32" s="107"/>
      <c r="AK32" s="509" t="s">
        <v>879</v>
      </c>
      <c r="AL32" s="510"/>
      <c r="AM32" s="511"/>
      <c r="AN32" s="105">
        <f ca="1">SUMIF('Canteiro Qtd'!$T$50:$W$55,'Mobilização EQP'!$F32,'Canteiro Qtd'!$A$50:$B$55)</f>
        <v>1</v>
      </c>
      <c r="AO32" s="106"/>
      <c r="AP32" s="107"/>
      <c r="AQ32" s="509" t="s">
        <v>1104</v>
      </c>
      <c r="AR32" s="510"/>
      <c r="AS32" s="511"/>
      <c r="AT32" s="509">
        <v>60</v>
      </c>
      <c r="AU32" s="510"/>
      <c r="AV32" s="511"/>
      <c r="AW32" s="509">
        <v>50</v>
      </c>
      <c r="AX32" s="510"/>
      <c r="AY32" s="511"/>
      <c r="AZ32" s="509">
        <v>40</v>
      </c>
      <c r="BA32" s="510"/>
      <c r="BB32" s="511"/>
      <c r="BC32" s="96">
        <f t="shared" si="2"/>
        <v>4.46</v>
      </c>
      <c r="BD32" s="97"/>
      <c r="BE32" s="98"/>
      <c r="BF32" s="105">
        <v>1</v>
      </c>
      <c r="BG32" s="106"/>
      <c r="BH32" s="107"/>
      <c r="BI32" s="105">
        <v>2</v>
      </c>
      <c r="BJ32" s="106"/>
      <c r="BK32" s="107"/>
      <c r="BL32" s="512">
        <f>IF(F32="","",+VLOOKUP(AQ32,Equipamentos!A:K,10,"falso"))</f>
        <v>478.0725</v>
      </c>
      <c r="BM32" s="513"/>
      <c r="BN32" s="514"/>
      <c r="BO32" s="515">
        <f ca="1" t="shared" si="3"/>
        <v>4264.41</v>
      </c>
      <c r="BP32" s="516"/>
      <c r="BQ32" s="517"/>
    </row>
    <row r="33" customHeight="1" spans="1:69">
      <c r="A33" s="89" t="s">
        <v>858</v>
      </c>
      <c r="B33" s="90"/>
      <c r="C33" s="89"/>
      <c r="D33" s="91"/>
      <c r="E33" s="90"/>
      <c r="F33" s="526" t="s">
        <v>774</v>
      </c>
      <c r="G33" s="526"/>
      <c r="H33" s="526"/>
      <c r="I33" s="519" t="str">
        <f>+VLOOKUP(F33,Materiais!A:D,2,"falso")</f>
        <v>Contêiner com janela e 2 banheiros - L = 4,88 m e C = 6,09 m (1 TEU duplo)</v>
      </c>
      <c r="J33" s="519"/>
      <c r="K33" s="519"/>
      <c r="L33" s="519"/>
      <c r="M33" s="519"/>
      <c r="N33" s="519"/>
      <c r="O33" s="519"/>
      <c r="P33" s="519"/>
      <c r="Q33" s="519"/>
      <c r="R33" s="519"/>
      <c r="S33" s="519"/>
      <c r="T33" s="519"/>
      <c r="U33" s="519"/>
      <c r="V33" s="519"/>
      <c r="W33" s="519"/>
      <c r="X33" s="519"/>
      <c r="Y33" s="519"/>
      <c r="Z33" s="519"/>
      <c r="AA33" s="519"/>
      <c r="AB33" s="105">
        <f>Dados!$Y$21</f>
        <v>256.8</v>
      </c>
      <c r="AC33" s="106"/>
      <c r="AD33" s="107"/>
      <c r="AE33" s="105">
        <f>Dados!$AE$21</f>
        <v>0</v>
      </c>
      <c r="AF33" s="106"/>
      <c r="AG33" s="107"/>
      <c r="AH33" s="105">
        <f>Dados!$AK$21</f>
        <v>7.2</v>
      </c>
      <c r="AI33" s="106"/>
      <c r="AJ33" s="107"/>
      <c r="AK33" s="509" t="s">
        <v>879</v>
      </c>
      <c r="AL33" s="510"/>
      <c r="AM33" s="511"/>
      <c r="AN33" s="105">
        <f ca="1">SUMIF('Canteiro Qtd'!$T$50:$W$55,'Mobilização EQP'!$F33,'Canteiro Qtd'!$A$50:$B$55)</f>
        <v>1</v>
      </c>
      <c r="AO33" s="106"/>
      <c r="AP33" s="107"/>
      <c r="AQ33" s="509" t="s">
        <v>1104</v>
      </c>
      <c r="AR33" s="510"/>
      <c r="AS33" s="511"/>
      <c r="AT33" s="509">
        <v>60</v>
      </c>
      <c r="AU33" s="510"/>
      <c r="AV33" s="511"/>
      <c r="AW33" s="509">
        <v>50</v>
      </c>
      <c r="AX33" s="510"/>
      <c r="AY33" s="511"/>
      <c r="AZ33" s="509">
        <v>40</v>
      </c>
      <c r="BA33" s="510"/>
      <c r="BB33" s="511"/>
      <c r="BC33" s="96">
        <f t="shared" si="2"/>
        <v>4.46</v>
      </c>
      <c r="BD33" s="97"/>
      <c r="BE33" s="98"/>
      <c r="BF33" s="105">
        <v>1</v>
      </c>
      <c r="BG33" s="106"/>
      <c r="BH33" s="107"/>
      <c r="BI33" s="105">
        <v>2</v>
      </c>
      <c r="BJ33" s="106"/>
      <c r="BK33" s="107"/>
      <c r="BL33" s="512">
        <f>IF(F33="","",+VLOOKUP(AQ33,Equipamentos!A:K,10,"falso"))</f>
        <v>478.0725</v>
      </c>
      <c r="BM33" s="513"/>
      <c r="BN33" s="514"/>
      <c r="BO33" s="515">
        <f ca="1" t="shared" si="3"/>
        <v>4264.41</v>
      </c>
      <c r="BP33" s="516"/>
      <c r="BQ33" s="517"/>
    </row>
    <row r="34" customHeight="1" spans="1:69">
      <c r="A34" s="89" t="s">
        <v>861</v>
      </c>
      <c r="B34" s="90"/>
      <c r="C34" s="89"/>
      <c r="D34" s="91"/>
      <c r="E34" s="90"/>
      <c r="F34" s="526" t="s">
        <v>769</v>
      </c>
      <c r="G34" s="526"/>
      <c r="H34" s="526"/>
      <c r="I34" s="519" t="str">
        <f>+VLOOKUP(F34,Materiais!A:D,2,"falso")</f>
        <v>Contêiner com revestimento térmico, janela e banheiro - L = 2,44 m e C = 6,09 m (1 TEU)</v>
      </c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105">
        <f>Dados!$Y$21</f>
        <v>256.8</v>
      </c>
      <c r="AC34" s="106"/>
      <c r="AD34" s="107"/>
      <c r="AE34" s="105">
        <f>Dados!$AE$21</f>
        <v>0</v>
      </c>
      <c r="AF34" s="106"/>
      <c r="AG34" s="107"/>
      <c r="AH34" s="105">
        <f>Dados!$AK$21</f>
        <v>7.2</v>
      </c>
      <c r="AI34" s="106"/>
      <c r="AJ34" s="107"/>
      <c r="AK34" s="509" t="s">
        <v>879</v>
      </c>
      <c r="AL34" s="510"/>
      <c r="AM34" s="511"/>
      <c r="AN34" s="105">
        <f ca="1">SUMIF('Canteiro Qtd'!$T$50:$W$55,'Mobilização EQP'!$F34,'Canteiro Qtd'!$A$50:$B$55)</f>
        <v>5</v>
      </c>
      <c r="AO34" s="106"/>
      <c r="AP34" s="107"/>
      <c r="AQ34" s="509" t="s">
        <v>1103</v>
      </c>
      <c r="AR34" s="510"/>
      <c r="AS34" s="511"/>
      <c r="AT34" s="509">
        <v>60</v>
      </c>
      <c r="AU34" s="510"/>
      <c r="AV34" s="511"/>
      <c r="AW34" s="509">
        <v>50</v>
      </c>
      <c r="AX34" s="510"/>
      <c r="AY34" s="511"/>
      <c r="AZ34" s="509">
        <v>40</v>
      </c>
      <c r="BA34" s="510"/>
      <c r="BB34" s="511"/>
      <c r="BC34" s="96">
        <f t="shared" si="2"/>
        <v>4.46</v>
      </c>
      <c r="BD34" s="97"/>
      <c r="BE34" s="98"/>
      <c r="BF34" s="105">
        <v>1</v>
      </c>
      <c r="BG34" s="106"/>
      <c r="BH34" s="107"/>
      <c r="BI34" s="105">
        <v>2</v>
      </c>
      <c r="BJ34" s="106"/>
      <c r="BK34" s="107"/>
      <c r="BL34" s="512">
        <f>IF(F34="","",+VLOOKUP(AQ34,Equipamentos!A:K,10,"falso"))</f>
        <v>430.6894</v>
      </c>
      <c r="BM34" s="513"/>
      <c r="BN34" s="514"/>
      <c r="BO34" s="515">
        <f ca="1" t="shared" si="3"/>
        <v>19208.75</v>
      </c>
      <c r="BP34" s="516"/>
      <c r="BQ34" s="517"/>
    </row>
    <row r="35" customHeight="1" spans="1:69">
      <c r="A35" s="89" t="s">
        <v>863</v>
      </c>
      <c r="B35" s="90"/>
      <c r="C35" s="89"/>
      <c r="D35" s="91"/>
      <c r="E35" s="90"/>
      <c r="F35" s="526" t="s">
        <v>783</v>
      </c>
      <c r="G35" s="526"/>
      <c r="H35" s="526"/>
      <c r="I35" s="519" t="str">
        <f>+VLOOKUP(F35,Materiais!A:D,2,"falso")</f>
        <v>Contêiner com 3 janelas para guarita - L = 2,44 m e C = 3,05 m (1/2 TEU)</v>
      </c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105">
        <f>Dados!$Y$21</f>
        <v>256.8</v>
      </c>
      <c r="AC35" s="106"/>
      <c r="AD35" s="107"/>
      <c r="AE35" s="105">
        <f>Dados!$AE$21</f>
        <v>0</v>
      </c>
      <c r="AF35" s="106"/>
      <c r="AG35" s="107"/>
      <c r="AH35" s="105">
        <f>Dados!$AK$21</f>
        <v>7.2</v>
      </c>
      <c r="AI35" s="106"/>
      <c r="AJ35" s="107"/>
      <c r="AK35" s="509" t="s">
        <v>879</v>
      </c>
      <c r="AL35" s="510"/>
      <c r="AM35" s="511"/>
      <c r="AN35" s="105">
        <f ca="1">SUMIF('Canteiro Qtd'!$T$50:$W$55,'Mobilização EQP'!$F35,'Canteiro Qtd'!$A$50:$B$55)</f>
        <v>1</v>
      </c>
      <c r="AO35" s="106"/>
      <c r="AP35" s="107"/>
      <c r="AQ35" s="509" t="s">
        <v>1104</v>
      </c>
      <c r="AR35" s="510"/>
      <c r="AS35" s="511"/>
      <c r="AT35" s="509">
        <v>60</v>
      </c>
      <c r="AU35" s="510"/>
      <c r="AV35" s="511"/>
      <c r="AW35" s="509">
        <v>50</v>
      </c>
      <c r="AX35" s="510"/>
      <c r="AY35" s="511"/>
      <c r="AZ35" s="509">
        <v>40</v>
      </c>
      <c r="BA35" s="510"/>
      <c r="BB35" s="511"/>
      <c r="BC35" s="96">
        <f t="shared" si="2"/>
        <v>4.46</v>
      </c>
      <c r="BD35" s="97"/>
      <c r="BE35" s="98"/>
      <c r="BF35" s="105">
        <v>0.33</v>
      </c>
      <c r="BG35" s="106"/>
      <c r="BH35" s="107"/>
      <c r="BI35" s="105">
        <v>2</v>
      </c>
      <c r="BJ35" s="106"/>
      <c r="BK35" s="107"/>
      <c r="BL35" s="512">
        <f>IF(F35="","",+VLOOKUP(AQ35,Equipamentos!A:K,10,"falso"))</f>
        <v>478.0725</v>
      </c>
      <c r="BM35" s="513"/>
      <c r="BN35" s="514"/>
      <c r="BO35" s="515">
        <f ca="1" t="shared" si="3"/>
        <v>1407.25</v>
      </c>
      <c r="BP35" s="516"/>
      <c r="BQ35" s="517"/>
    </row>
    <row r="36" customHeight="1" spans="1:69">
      <c r="A36" s="89" t="s">
        <v>865</v>
      </c>
      <c r="B36" s="90"/>
      <c r="C36" s="89"/>
      <c r="D36" s="91"/>
      <c r="E36" s="90"/>
      <c r="F36" s="518" t="s">
        <v>1060</v>
      </c>
      <c r="G36" s="518"/>
      <c r="H36" s="518"/>
      <c r="I36" s="519" t="str">
        <f>+VLOOKUP(F36,Equipamentos!A:K,2,"falso")</f>
        <v>Bate-estaca de gravidade para 6 t - 119 kW</v>
      </c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105">
        <f>Dados!$Y$21</f>
        <v>256.8</v>
      </c>
      <c r="AC36" s="106"/>
      <c r="AD36" s="107"/>
      <c r="AE36" s="105">
        <f>Dados!$AE$21</f>
        <v>0</v>
      </c>
      <c r="AF36" s="106"/>
      <c r="AG36" s="107"/>
      <c r="AH36" s="105">
        <f>Dados!$AK$21</f>
        <v>7.2</v>
      </c>
      <c r="AI36" s="106"/>
      <c r="AJ36" s="107"/>
      <c r="AK36" s="509" t="s">
        <v>879</v>
      </c>
      <c r="AL36" s="510"/>
      <c r="AM36" s="511"/>
      <c r="AN36" s="105">
        <v>1</v>
      </c>
      <c r="AO36" s="106"/>
      <c r="AP36" s="107"/>
      <c r="AQ36" s="509" t="s">
        <v>1103</v>
      </c>
      <c r="AR36" s="510"/>
      <c r="AS36" s="511"/>
      <c r="AT36" s="509">
        <v>60</v>
      </c>
      <c r="AU36" s="510"/>
      <c r="AV36" s="511"/>
      <c r="AW36" s="509">
        <v>50</v>
      </c>
      <c r="AX36" s="510"/>
      <c r="AY36" s="511"/>
      <c r="AZ36" s="509">
        <v>40</v>
      </c>
      <c r="BA36" s="510"/>
      <c r="BB36" s="511"/>
      <c r="BC36" s="96">
        <f t="shared" si="2"/>
        <v>4.46</v>
      </c>
      <c r="BD36" s="97"/>
      <c r="BE36" s="98"/>
      <c r="BF36" s="105">
        <v>2</v>
      </c>
      <c r="BG36" s="106"/>
      <c r="BH36" s="107"/>
      <c r="BI36" s="105">
        <v>2</v>
      </c>
      <c r="BJ36" s="106"/>
      <c r="BK36" s="107"/>
      <c r="BL36" s="512">
        <f>IF(F36="","",+VLOOKUP(AQ36,Equipamentos!A:K,10,"falso"))</f>
        <v>430.6894</v>
      </c>
      <c r="BM36" s="513"/>
      <c r="BN36" s="514"/>
      <c r="BO36" s="515">
        <f t="shared" si="3"/>
        <v>7683.5</v>
      </c>
      <c r="BP36" s="516"/>
      <c r="BQ36" s="517"/>
    </row>
    <row r="37" customHeight="1" spans="1:69">
      <c r="A37" s="89" t="s">
        <v>867</v>
      </c>
      <c r="B37" s="90"/>
      <c r="C37" s="89"/>
      <c r="D37" s="91"/>
      <c r="E37" s="90"/>
      <c r="F37" s="518" t="s">
        <v>1058</v>
      </c>
      <c r="G37" s="518"/>
      <c r="H37" s="518"/>
      <c r="I37" s="519" t="str">
        <f>+VLOOKUP(F37,Equipamentos!A:K,2,"falso")</f>
        <v>Escavadeira hidráulica sobre esteiras com caçamba com capacidade de 1,56 m³ - 118 kW</v>
      </c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105">
        <f>Dados!$Y$21</f>
        <v>256.8</v>
      </c>
      <c r="AC37" s="106"/>
      <c r="AD37" s="107"/>
      <c r="AE37" s="105">
        <f>Dados!$AE$21</f>
        <v>0</v>
      </c>
      <c r="AF37" s="106"/>
      <c r="AG37" s="107"/>
      <c r="AH37" s="105">
        <f>Dados!$AK$21</f>
        <v>7.2</v>
      </c>
      <c r="AI37" s="106"/>
      <c r="AJ37" s="107"/>
      <c r="AK37" s="509" t="s">
        <v>879</v>
      </c>
      <c r="AL37" s="510"/>
      <c r="AM37" s="511"/>
      <c r="AN37" s="105">
        <v>1</v>
      </c>
      <c r="AO37" s="106"/>
      <c r="AP37" s="107"/>
      <c r="AQ37" s="509" t="s">
        <v>1104</v>
      </c>
      <c r="AR37" s="510"/>
      <c r="AS37" s="511"/>
      <c r="AT37" s="509">
        <v>60</v>
      </c>
      <c r="AU37" s="510"/>
      <c r="AV37" s="511"/>
      <c r="AW37" s="509">
        <v>50</v>
      </c>
      <c r="AX37" s="510"/>
      <c r="AY37" s="511"/>
      <c r="AZ37" s="509">
        <v>40</v>
      </c>
      <c r="BA37" s="510"/>
      <c r="BB37" s="511"/>
      <c r="BC37" s="96">
        <f t="shared" si="2"/>
        <v>4.46</v>
      </c>
      <c r="BD37" s="97"/>
      <c r="BE37" s="98"/>
      <c r="BF37" s="105">
        <v>1</v>
      </c>
      <c r="BG37" s="106"/>
      <c r="BH37" s="107"/>
      <c r="BI37" s="105">
        <v>2</v>
      </c>
      <c r="BJ37" s="106"/>
      <c r="BK37" s="107"/>
      <c r="BL37" s="512">
        <f>IF(F37="","",+VLOOKUP(AQ37,Equipamentos!A:K,10,"falso"))</f>
        <v>478.0725</v>
      </c>
      <c r="BM37" s="513"/>
      <c r="BN37" s="514"/>
      <c r="BO37" s="515">
        <f t="shared" si="3"/>
        <v>4264.41</v>
      </c>
      <c r="BP37" s="516"/>
      <c r="BQ37" s="517"/>
    </row>
    <row r="38" customHeight="1" spans="1:69">
      <c r="A38" s="520"/>
      <c r="B38" s="521"/>
      <c r="C38" s="521"/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  <c r="AG38" s="521"/>
      <c r="AH38" s="521"/>
      <c r="AI38" s="521"/>
      <c r="AJ38" s="521"/>
      <c r="AK38" s="521"/>
      <c r="AL38" s="521"/>
      <c r="AM38" s="521"/>
      <c r="AN38" s="521"/>
      <c r="AO38" s="521"/>
      <c r="AP38" s="521"/>
      <c r="AQ38" s="521"/>
      <c r="AR38" s="521"/>
      <c r="AS38" s="521"/>
      <c r="AT38" s="521"/>
      <c r="AU38" s="521"/>
      <c r="AV38" s="521"/>
      <c r="AW38" s="521"/>
      <c r="AX38" s="521"/>
      <c r="AY38" s="521"/>
      <c r="AZ38" s="522" t="s">
        <v>1105</v>
      </c>
      <c r="BA38" s="522"/>
      <c r="BB38" s="522"/>
      <c r="BC38" s="522"/>
      <c r="BD38" s="522"/>
      <c r="BE38" s="522"/>
      <c r="BF38" s="522"/>
      <c r="BG38" s="522"/>
      <c r="BH38" s="522"/>
      <c r="BI38" s="522"/>
      <c r="BJ38" s="522"/>
      <c r="BK38" s="522"/>
      <c r="BL38" s="522"/>
      <c r="BM38" s="522"/>
      <c r="BN38" s="522"/>
      <c r="BO38" s="527">
        <f ca="1">SUM(BO30:BQ37)</f>
        <v>52617.98</v>
      </c>
      <c r="BP38" s="528"/>
      <c r="BQ38" s="529"/>
    </row>
    <row r="39" s="478" customFormat="1" customHeight="1" spans="1:69">
      <c r="A39" s="484" t="s">
        <v>1106</v>
      </c>
      <c r="B39" s="485"/>
      <c r="C39" s="485"/>
      <c r="D39" s="485"/>
      <c r="E39" s="485"/>
      <c r="F39" s="485"/>
      <c r="G39" s="485"/>
      <c r="H39" s="485"/>
      <c r="I39" s="485"/>
      <c r="J39" s="485"/>
      <c r="K39" s="485"/>
      <c r="L39" s="485"/>
      <c r="M39" s="485"/>
      <c r="N39" s="485"/>
      <c r="O39" s="485"/>
      <c r="P39" s="485"/>
      <c r="Q39" s="485"/>
      <c r="R39" s="485"/>
      <c r="S39" s="485"/>
      <c r="T39" s="485"/>
      <c r="U39" s="485"/>
      <c r="V39" s="485"/>
      <c r="W39" s="485"/>
      <c r="X39" s="485"/>
      <c r="Y39" s="485"/>
      <c r="Z39" s="485"/>
      <c r="AA39" s="485"/>
      <c r="AB39" s="485"/>
      <c r="AC39" s="485"/>
      <c r="AD39" s="485"/>
      <c r="AE39" s="485"/>
      <c r="AF39" s="485"/>
      <c r="AG39" s="485"/>
      <c r="AH39" s="485"/>
      <c r="AI39" s="485"/>
      <c r="AJ39" s="485"/>
      <c r="AK39" s="485"/>
      <c r="AL39" s="485"/>
      <c r="AM39" s="485"/>
      <c r="AN39" s="485"/>
      <c r="AO39" s="485"/>
      <c r="AP39" s="485"/>
      <c r="AQ39" s="485"/>
      <c r="AR39" s="485"/>
      <c r="AS39" s="485"/>
      <c r="AT39" s="485"/>
      <c r="AU39" s="485"/>
      <c r="AV39" s="485"/>
      <c r="AW39" s="485"/>
      <c r="AX39" s="485"/>
      <c r="AY39" s="485"/>
      <c r="AZ39" s="485"/>
      <c r="BA39" s="485"/>
      <c r="BB39" s="485"/>
      <c r="BC39" s="485"/>
      <c r="BD39" s="485"/>
      <c r="BE39" s="485"/>
      <c r="BF39" s="485"/>
      <c r="BG39" s="485"/>
      <c r="BH39" s="485"/>
      <c r="BI39" s="485"/>
      <c r="BJ39" s="485"/>
      <c r="BK39" s="485"/>
      <c r="BL39" s="485"/>
      <c r="BM39" s="485"/>
      <c r="BN39" s="485"/>
      <c r="BO39" s="485"/>
      <c r="BP39" s="485"/>
      <c r="BQ39" s="486"/>
    </row>
    <row r="40" customHeight="1" spans="1:69">
      <c r="A40" s="69" t="s">
        <v>31</v>
      </c>
      <c r="B40" s="69"/>
      <c r="C40" s="69" t="s">
        <v>633</v>
      </c>
      <c r="D40" s="69"/>
      <c r="E40" s="69"/>
      <c r="F40" s="69" t="s">
        <v>634</v>
      </c>
      <c r="G40" s="69"/>
      <c r="H40" s="69"/>
      <c r="I40" s="70" t="s">
        <v>823</v>
      </c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66" t="s">
        <v>72</v>
      </c>
      <c r="AC40" s="67"/>
      <c r="AD40" s="67"/>
      <c r="AE40" s="67"/>
      <c r="AF40" s="67"/>
      <c r="AG40" s="67"/>
      <c r="AH40" s="67"/>
      <c r="AI40" s="67"/>
      <c r="AJ40" s="67"/>
      <c r="AK40" s="487" t="s">
        <v>666</v>
      </c>
      <c r="AL40" s="488"/>
      <c r="AM40" s="489"/>
      <c r="AN40" s="487" t="s">
        <v>824</v>
      </c>
      <c r="AO40" s="488"/>
      <c r="AP40" s="489"/>
      <c r="AQ40" s="490" t="s">
        <v>1092</v>
      </c>
      <c r="AR40" s="491"/>
      <c r="AS40" s="492"/>
      <c r="AT40" s="296" t="s">
        <v>1093</v>
      </c>
      <c r="AU40" s="297"/>
      <c r="AV40" s="297"/>
      <c r="AW40" s="297"/>
      <c r="AX40" s="297"/>
      <c r="AY40" s="297"/>
      <c r="AZ40" s="297"/>
      <c r="BA40" s="297"/>
      <c r="BB40" s="297"/>
      <c r="BC40" s="490" t="s">
        <v>1094</v>
      </c>
      <c r="BD40" s="491"/>
      <c r="BE40" s="492"/>
      <c r="BF40" s="73" t="s">
        <v>1095</v>
      </c>
      <c r="BG40" s="74"/>
      <c r="BH40" s="75"/>
      <c r="BI40" s="74" t="s">
        <v>1096</v>
      </c>
      <c r="BJ40" s="74"/>
      <c r="BK40" s="75"/>
      <c r="BL40" s="73" t="s">
        <v>1097</v>
      </c>
      <c r="BM40" s="74"/>
      <c r="BN40" s="75"/>
      <c r="BO40" s="74" t="s">
        <v>1098</v>
      </c>
      <c r="BP40" s="74"/>
      <c r="BQ40" s="75"/>
    </row>
    <row r="41" customHeight="1" spans="1:69">
      <c r="A41" s="69"/>
      <c r="B41" s="69"/>
      <c r="C41" s="69"/>
      <c r="D41" s="69"/>
      <c r="E41" s="69"/>
      <c r="F41" s="69"/>
      <c r="G41" s="69"/>
      <c r="H41" s="69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7" t="s">
        <v>828</v>
      </c>
      <c r="AC41" s="77"/>
      <c r="AD41" s="78"/>
      <c r="AE41" s="77" t="s">
        <v>829</v>
      </c>
      <c r="AF41" s="77"/>
      <c r="AG41" s="78"/>
      <c r="AH41" s="77" t="s">
        <v>830</v>
      </c>
      <c r="AI41" s="77"/>
      <c r="AJ41" s="78"/>
      <c r="AK41" s="493"/>
      <c r="AL41" s="494"/>
      <c r="AM41" s="495"/>
      <c r="AN41" s="493"/>
      <c r="AO41" s="494"/>
      <c r="AP41" s="495"/>
      <c r="AQ41" s="496"/>
      <c r="AR41" s="497"/>
      <c r="AS41" s="498"/>
      <c r="AT41" s="77" t="s">
        <v>828</v>
      </c>
      <c r="AU41" s="77"/>
      <c r="AV41" s="78"/>
      <c r="AW41" s="77" t="s">
        <v>829</v>
      </c>
      <c r="AX41" s="77"/>
      <c r="AY41" s="78"/>
      <c r="AZ41" s="77" t="s">
        <v>830</v>
      </c>
      <c r="BA41" s="77"/>
      <c r="BB41" s="78"/>
      <c r="BC41" s="496"/>
      <c r="BD41" s="497"/>
      <c r="BE41" s="498"/>
      <c r="BF41" s="499"/>
      <c r="BG41" s="79"/>
      <c r="BH41" s="80"/>
      <c r="BI41" s="79"/>
      <c r="BJ41" s="79"/>
      <c r="BK41" s="80"/>
      <c r="BL41" s="499"/>
      <c r="BM41" s="79"/>
      <c r="BN41" s="80"/>
      <c r="BO41" s="79"/>
      <c r="BP41" s="79"/>
      <c r="BQ41" s="80"/>
    </row>
    <row r="42" customHeight="1" spans="1:69">
      <c r="A42" s="69"/>
      <c r="B42" s="69"/>
      <c r="C42" s="69"/>
      <c r="D42" s="69"/>
      <c r="E42" s="69"/>
      <c r="F42" s="69"/>
      <c r="G42" s="69"/>
      <c r="H42" s="69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7" t="s">
        <v>831</v>
      </c>
      <c r="AC42" s="77"/>
      <c r="AD42" s="78"/>
      <c r="AE42" s="77" t="s">
        <v>831</v>
      </c>
      <c r="AF42" s="77"/>
      <c r="AG42" s="78"/>
      <c r="AH42" s="77" t="s">
        <v>831</v>
      </c>
      <c r="AI42" s="77"/>
      <c r="AJ42" s="78"/>
      <c r="AK42" s="500"/>
      <c r="AL42" s="501"/>
      <c r="AM42" s="502"/>
      <c r="AN42" s="500"/>
      <c r="AO42" s="501"/>
      <c r="AP42" s="502"/>
      <c r="AQ42" s="503"/>
      <c r="AR42" s="504"/>
      <c r="AS42" s="505"/>
      <c r="AT42" s="77" t="s">
        <v>831</v>
      </c>
      <c r="AU42" s="77"/>
      <c r="AV42" s="78"/>
      <c r="AW42" s="77" t="s">
        <v>831</v>
      </c>
      <c r="AX42" s="77"/>
      <c r="AY42" s="78"/>
      <c r="AZ42" s="77" t="s">
        <v>831</v>
      </c>
      <c r="BA42" s="77"/>
      <c r="BB42" s="78"/>
      <c r="BC42" s="503"/>
      <c r="BD42" s="504"/>
      <c r="BE42" s="505"/>
      <c r="BF42" s="71" t="s">
        <v>1030</v>
      </c>
      <c r="BG42" s="71"/>
      <c r="BH42" s="71"/>
      <c r="BI42" s="84"/>
      <c r="BJ42" s="84"/>
      <c r="BK42" s="85"/>
      <c r="BL42" s="83"/>
      <c r="BM42" s="84"/>
      <c r="BN42" s="85"/>
      <c r="BO42" s="84"/>
      <c r="BP42" s="84"/>
      <c r="BQ42" s="85"/>
    </row>
    <row r="43" customHeight="1" spans="1:69">
      <c r="A43" s="89" t="s">
        <v>1107</v>
      </c>
      <c r="B43" s="90"/>
      <c r="C43" s="89"/>
      <c r="D43" s="91"/>
      <c r="E43" s="90"/>
      <c r="F43" s="518" t="s">
        <v>1066</v>
      </c>
      <c r="G43" s="518"/>
      <c r="H43" s="518"/>
      <c r="I43" s="519" t="str">
        <f>+VLOOKUP(F43,Equipamentos!A:K,2,"falso")</f>
        <v>Balança plataforma digital à bateria, com mesa de 75 x 75 cm e capacidade de 500 kg</v>
      </c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105">
        <f>Dados!$Y$21</f>
        <v>256.8</v>
      </c>
      <c r="AC43" s="106"/>
      <c r="AD43" s="107"/>
      <c r="AE43" s="105">
        <f>Dados!$AE$21</f>
        <v>0</v>
      </c>
      <c r="AF43" s="106"/>
      <c r="AG43" s="107"/>
      <c r="AH43" s="105">
        <f>Dados!$AK$21</f>
        <v>7.2</v>
      </c>
      <c r="AI43" s="106"/>
      <c r="AJ43" s="107"/>
      <c r="AK43" s="509" t="s">
        <v>879</v>
      </c>
      <c r="AL43" s="510"/>
      <c r="AM43" s="511"/>
      <c r="AN43" s="105">
        <v>1</v>
      </c>
      <c r="AO43" s="106"/>
      <c r="AP43" s="107"/>
      <c r="AQ43" s="509" t="s">
        <v>1108</v>
      </c>
      <c r="AR43" s="510"/>
      <c r="AS43" s="511"/>
      <c r="AT43" s="509">
        <v>60</v>
      </c>
      <c r="AU43" s="510"/>
      <c r="AV43" s="511"/>
      <c r="AW43" s="509">
        <v>50</v>
      </c>
      <c r="AX43" s="510"/>
      <c r="AY43" s="511"/>
      <c r="AZ43" s="509">
        <v>40</v>
      </c>
      <c r="BA43" s="510"/>
      <c r="BB43" s="511"/>
      <c r="BC43" s="96">
        <f t="shared" ref="BC43:BC53" si="4">ROUND((AB43/AT43)+(AE43/AW43)+(AH43/AZ43),2)</f>
        <v>4.46</v>
      </c>
      <c r="BD43" s="97"/>
      <c r="BE43" s="98"/>
      <c r="BF43" s="105">
        <v>0</v>
      </c>
      <c r="BG43" s="106"/>
      <c r="BH43" s="107"/>
      <c r="BI43" s="105">
        <v>0</v>
      </c>
      <c r="BJ43" s="106"/>
      <c r="BK43" s="107"/>
      <c r="BL43" s="512">
        <f>IF(F43="","",+VLOOKUP(AQ43,Equipamentos!A:K,10,"falso"))</f>
        <v>403.8049</v>
      </c>
      <c r="BM43" s="513"/>
      <c r="BN43" s="514"/>
      <c r="BO43" s="515">
        <v>0</v>
      </c>
      <c r="BP43" s="516"/>
      <c r="BQ43" s="517"/>
    </row>
    <row r="44" customHeight="1" spans="1:69">
      <c r="A44" s="89" t="s">
        <v>1109</v>
      </c>
      <c r="B44" s="90"/>
      <c r="C44" s="89"/>
      <c r="D44" s="91"/>
      <c r="E44" s="90"/>
      <c r="F44" s="518" t="s">
        <v>1072</v>
      </c>
      <c r="G44" s="518"/>
      <c r="H44" s="518"/>
      <c r="I44" s="519" t="str">
        <f>+VLOOKUP(F44,Equipamentos!A:K,2,"falso")</f>
        <v>Transportador manual gerica com capacidade de 180 l</v>
      </c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105">
        <f>Dados!$Y$21</f>
        <v>256.8</v>
      </c>
      <c r="AC44" s="106"/>
      <c r="AD44" s="107"/>
      <c r="AE44" s="105">
        <f>Dados!$AE$21</f>
        <v>0</v>
      </c>
      <c r="AF44" s="106"/>
      <c r="AG44" s="107"/>
      <c r="AH44" s="105">
        <f>Dados!$AK$21</f>
        <v>7.2</v>
      </c>
      <c r="AI44" s="106"/>
      <c r="AJ44" s="107"/>
      <c r="AK44" s="509" t="s">
        <v>879</v>
      </c>
      <c r="AL44" s="510"/>
      <c r="AM44" s="511"/>
      <c r="AN44" s="105">
        <v>3</v>
      </c>
      <c r="AO44" s="106"/>
      <c r="AP44" s="107"/>
      <c r="AQ44" s="509" t="s">
        <v>1108</v>
      </c>
      <c r="AR44" s="510"/>
      <c r="AS44" s="511"/>
      <c r="AT44" s="509">
        <v>60</v>
      </c>
      <c r="AU44" s="510"/>
      <c r="AV44" s="511"/>
      <c r="AW44" s="509">
        <v>50</v>
      </c>
      <c r="AX44" s="510"/>
      <c r="AY44" s="511"/>
      <c r="AZ44" s="509">
        <v>40</v>
      </c>
      <c r="BA44" s="510"/>
      <c r="BB44" s="511"/>
      <c r="BC44" s="96">
        <f t="shared" si="4"/>
        <v>4.46</v>
      </c>
      <c r="BD44" s="97"/>
      <c r="BE44" s="98"/>
      <c r="BF44" s="105">
        <v>0</v>
      </c>
      <c r="BG44" s="106"/>
      <c r="BH44" s="107"/>
      <c r="BI44" s="105">
        <v>0</v>
      </c>
      <c r="BJ44" s="106"/>
      <c r="BK44" s="107"/>
      <c r="BL44" s="512">
        <f>IF(F44="","",+VLOOKUP(AQ44,Equipamentos!A:K,10,"falso"))</f>
        <v>403.8049</v>
      </c>
      <c r="BM44" s="513"/>
      <c r="BN44" s="514"/>
      <c r="BO44" s="515">
        <v>0</v>
      </c>
      <c r="BP44" s="516"/>
      <c r="BQ44" s="517"/>
    </row>
    <row r="45" customHeight="1" spans="1:69">
      <c r="A45" s="89" t="s">
        <v>1110</v>
      </c>
      <c r="B45" s="90"/>
      <c r="C45" s="203"/>
      <c r="D45" s="204"/>
      <c r="E45" s="205"/>
      <c r="F45" s="518" t="s">
        <v>1074</v>
      </c>
      <c r="G45" s="518"/>
      <c r="H45" s="518"/>
      <c r="I45" s="519" t="str">
        <f>+VLOOKUP(F45,Equipamentos!A:K,2,"falso")</f>
        <v>Grupo gerador - 14 kVA</v>
      </c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105">
        <f>Dados!$Y$21</f>
        <v>256.8</v>
      </c>
      <c r="AC45" s="106"/>
      <c r="AD45" s="107"/>
      <c r="AE45" s="105">
        <f>Dados!$AE$21</f>
        <v>0</v>
      </c>
      <c r="AF45" s="106"/>
      <c r="AG45" s="107"/>
      <c r="AH45" s="105">
        <f>Dados!$AK$21</f>
        <v>7.2</v>
      </c>
      <c r="AI45" s="106"/>
      <c r="AJ45" s="107"/>
      <c r="AK45" s="509" t="s">
        <v>879</v>
      </c>
      <c r="AL45" s="510"/>
      <c r="AM45" s="511"/>
      <c r="AN45" s="105">
        <v>2</v>
      </c>
      <c r="AO45" s="106"/>
      <c r="AP45" s="107"/>
      <c r="AQ45" s="509" t="s">
        <v>1108</v>
      </c>
      <c r="AR45" s="510"/>
      <c r="AS45" s="511"/>
      <c r="AT45" s="509">
        <v>60</v>
      </c>
      <c r="AU45" s="510"/>
      <c r="AV45" s="511"/>
      <c r="AW45" s="509">
        <v>50</v>
      </c>
      <c r="AX45" s="510"/>
      <c r="AY45" s="511"/>
      <c r="AZ45" s="509">
        <v>40</v>
      </c>
      <c r="BA45" s="510"/>
      <c r="BB45" s="511"/>
      <c r="BC45" s="96">
        <f t="shared" si="4"/>
        <v>4.46</v>
      </c>
      <c r="BD45" s="97"/>
      <c r="BE45" s="98"/>
      <c r="BF45" s="105">
        <v>0</v>
      </c>
      <c r="BG45" s="106"/>
      <c r="BH45" s="107"/>
      <c r="BI45" s="105">
        <v>0</v>
      </c>
      <c r="BJ45" s="106"/>
      <c r="BK45" s="107"/>
      <c r="BL45" s="512">
        <f>IF(F45="","",+VLOOKUP(AQ45,Equipamentos!A:K,10,"falso"))</f>
        <v>403.8049</v>
      </c>
      <c r="BM45" s="513"/>
      <c r="BN45" s="514"/>
      <c r="BO45" s="515">
        <v>0</v>
      </c>
      <c r="BP45" s="516"/>
      <c r="BQ45" s="517"/>
    </row>
    <row r="46" customHeight="1" spans="1:69">
      <c r="A46" s="89" t="s">
        <v>1111</v>
      </c>
      <c r="B46" s="90"/>
      <c r="C46" s="203"/>
      <c r="D46" s="204"/>
      <c r="E46" s="205"/>
      <c r="F46" s="518" t="s">
        <v>1080</v>
      </c>
      <c r="G46" s="518"/>
      <c r="H46" s="518"/>
      <c r="I46" s="519" t="str">
        <f>+VLOOKUP(F46,Equipamentos!A:K,2,"falso")</f>
        <v>Vibrador de imersão para concreto - 4,10 kW</v>
      </c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105">
        <f>Dados!$Y$21</f>
        <v>256.8</v>
      </c>
      <c r="AC46" s="106"/>
      <c r="AD46" s="107"/>
      <c r="AE46" s="105">
        <f>Dados!$AE$21</f>
        <v>0</v>
      </c>
      <c r="AF46" s="106"/>
      <c r="AG46" s="107"/>
      <c r="AH46" s="105">
        <f>Dados!$AK$21</f>
        <v>7.2</v>
      </c>
      <c r="AI46" s="106"/>
      <c r="AJ46" s="107"/>
      <c r="AK46" s="509" t="s">
        <v>879</v>
      </c>
      <c r="AL46" s="510"/>
      <c r="AM46" s="511"/>
      <c r="AN46" s="105">
        <v>4</v>
      </c>
      <c r="AO46" s="106"/>
      <c r="AP46" s="107"/>
      <c r="AQ46" s="509" t="s">
        <v>1108</v>
      </c>
      <c r="AR46" s="510"/>
      <c r="AS46" s="511"/>
      <c r="AT46" s="509">
        <v>60</v>
      </c>
      <c r="AU46" s="510"/>
      <c r="AV46" s="511"/>
      <c r="AW46" s="509">
        <v>50</v>
      </c>
      <c r="AX46" s="510"/>
      <c r="AY46" s="511"/>
      <c r="AZ46" s="509">
        <v>40</v>
      </c>
      <c r="BA46" s="510"/>
      <c r="BB46" s="511"/>
      <c r="BC46" s="96">
        <f t="shared" si="4"/>
        <v>4.46</v>
      </c>
      <c r="BD46" s="97"/>
      <c r="BE46" s="98"/>
      <c r="BF46" s="105">
        <v>0</v>
      </c>
      <c r="BG46" s="106"/>
      <c r="BH46" s="107"/>
      <c r="BI46" s="105">
        <v>0</v>
      </c>
      <c r="BJ46" s="106"/>
      <c r="BK46" s="107"/>
      <c r="BL46" s="512">
        <f>IF(F46="","",+VLOOKUP(AQ46,Equipamentos!A:K,10,"falso"))</f>
        <v>403.8049</v>
      </c>
      <c r="BM46" s="513"/>
      <c r="BN46" s="514"/>
      <c r="BO46" s="515">
        <v>0</v>
      </c>
      <c r="BP46" s="516"/>
      <c r="BQ46" s="517"/>
    </row>
    <row r="47" customHeight="1" spans="1:69">
      <c r="A47" s="89" t="s">
        <v>1112</v>
      </c>
      <c r="B47" s="90"/>
      <c r="C47" s="203"/>
      <c r="D47" s="204"/>
      <c r="E47" s="205"/>
      <c r="F47" s="518" t="s">
        <v>1070</v>
      </c>
      <c r="G47" s="518"/>
      <c r="H47" s="518"/>
      <c r="I47" s="519" t="str">
        <f>+VLOOKUP(F47,Equipamentos!A:K,2,"falso")</f>
        <v>Transportador manual carrinho de mão com capacidade de 80 l</v>
      </c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105">
        <f>Dados!$Y$21</f>
        <v>256.8</v>
      </c>
      <c r="AC47" s="106"/>
      <c r="AD47" s="107"/>
      <c r="AE47" s="105">
        <f>Dados!$AE$21</f>
        <v>0</v>
      </c>
      <c r="AF47" s="106"/>
      <c r="AG47" s="107"/>
      <c r="AH47" s="105">
        <f>Dados!$AK$21</f>
        <v>7.2</v>
      </c>
      <c r="AI47" s="106"/>
      <c r="AJ47" s="107"/>
      <c r="AK47" s="509" t="s">
        <v>879</v>
      </c>
      <c r="AL47" s="510"/>
      <c r="AM47" s="511"/>
      <c r="AN47" s="105">
        <v>2</v>
      </c>
      <c r="AO47" s="106"/>
      <c r="AP47" s="107"/>
      <c r="AQ47" s="509" t="s">
        <v>1108</v>
      </c>
      <c r="AR47" s="510"/>
      <c r="AS47" s="511"/>
      <c r="AT47" s="509">
        <v>60</v>
      </c>
      <c r="AU47" s="510"/>
      <c r="AV47" s="511"/>
      <c r="AW47" s="509">
        <v>50</v>
      </c>
      <c r="AX47" s="510"/>
      <c r="AY47" s="511"/>
      <c r="AZ47" s="509">
        <v>40</v>
      </c>
      <c r="BA47" s="510"/>
      <c r="BB47" s="511"/>
      <c r="BC47" s="96">
        <f t="shared" si="4"/>
        <v>4.46</v>
      </c>
      <c r="BD47" s="97"/>
      <c r="BE47" s="98"/>
      <c r="BF47" s="105">
        <v>0</v>
      </c>
      <c r="BG47" s="106"/>
      <c r="BH47" s="107"/>
      <c r="BI47" s="105">
        <v>0</v>
      </c>
      <c r="BJ47" s="106"/>
      <c r="BK47" s="107"/>
      <c r="BL47" s="512">
        <f>IF(F47="","",+VLOOKUP(AQ47,Equipamentos!A:K,10,"falso"))</f>
        <v>403.8049</v>
      </c>
      <c r="BM47" s="513"/>
      <c r="BN47" s="514"/>
      <c r="BO47" s="515">
        <v>0</v>
      </c>
      <c r="BP47" s="516"/>
      <c r="BQ47" s="517"/>
    </row>
    <row r="48" customHeight="1" spans="1:69">
      <c r="A48" s="89" t="s">
        <v>1113</v>
      </c>
      <c r="B48" s="90"/>
      <c r="C48" s="203"/>
      <c r="D48" s="204"/>
      <c r="E48" s="205"/>
      <c r="F48" s="518" t="s">
        <v>1068</v>
      </c>
      <c r="G48" s="518"/>
      <c r="H48" s="518"/>
      <c r="I48" s="519" t="str">
        <f>+VLOOKUP(F48,Equipamentos!A:K,2,"falso")</f>
        <v>Betoneira com motor a gasolina com capacidade de 600 l - 10 kW</v>
      </c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105">
        <f>Dados!$Y$21</f>
        <v>256.8</v>
      </c>
      <c r="AC48" s="106"/>
      <c r="AD48" s="107"/>
      <c r="AE48" s="105">
        <f>Dados!$AE$21</f>
        <v>0</v>
      </c>
      <c r="AF48" s="106"/>
      <c r="AG48" s="107"/>
      <c r="AH48" s="105">
        <f>Dados!$AK$21</f>
        <v>7.2</v>
      </c>
      <c r="AI48" s="106"/>
      <c r="AJ48" s="107"/>
      <c r="AK48" s="509" t="s">
        <v>879</v>
      </c>
      <c r="AL48" s="510"/>
      <c r="AM48" s="511"/>
      <c r="AN48" s="105">
        <v>2</v>
      </c>
      <c r="AO48" s="106"/>
      <c r="AP48" s="107"/>
      <c r="AQ48" s="509" t="s">
        <v>1108</v>
      </c>
      <c r="AR48" s="510"/>
      <c r="AS48" s="511"/>
      <c r="AT48" s="509">
        <v>60</v>
      </c>
      <c r="AU48" s="510"/>
      <c r="AV48" s="511"/>
      <c r="AW48" s="509">
        <v>50</v>
      </c>
      <c r="AX48" s="510"/>
      <c r="AY48" s="511"/>
      <c r="AZ48" s="509">
        <v>40</v>
      </c>
      <c r="BA48" s="510"/>
      <c r="BB48" s="511"/>
      <c r="BC48" s="96">
        <f t="shared" si="4"/>
        <v>4.46</v>
      </c>
      <c r="BD48" s="97"/>
      <c r="BE48" s="98"/>
      <c r="BF48" s="105">
        <v>0</v>
      </c>
      <c r="BG48" s="106"/>
      <c r="BH48" s="107"/>
      <c r="BI48" s="105">
        <v>0</v>
      </c>
      <c r="BJ48" s="106"/>
      <c r="BK48" s="107"/>
      <c r="BL48" s="512">
        <f>IF(F48="","",+VLOOKUP(AQ48,Equipamentos!A:K,10,"falso"))</f>
        <v>403.8049</v>
      </c>
      <c r="BM48" s="513"/>
      <c r="BN48" s="514"/>
      <c r="BO48" s="515">
        <v>0</v>
      </c>
      <c r="BP48" s="516"/>
      <c r="BQ48" s="517"/>
    </row>
    <row r="49" customHeight="1" spans="1:69">
      <c r="A49" s="89" t="s">
        <v>1114</v>
      </c>
      <c r="B49" s="90"/>
      <c r="C49" s="203"/>
      <c r="D49" s="204"/>
      <c r="E49" s="205"/>
      <c r="F49" s="518" t="s">
        <v>1076</v>
      </c>
      <c r="G49" s="518"/>
      <c r="H49" s="518"/>
      <c r="I49" s="519" t="str">
        <f>+VLOOKUP(F49,Equipamentos!A:K,2,"falso")</f>
        <v>Serra circular com bancada - D = 30 cm - 4 kW</v>
      </c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105">
        <f>Dados!$Y$21</f>
        <v>256.8</v>
      </c>
      <c r="AC49" s="106"/>
      <c r="AD49" s="107"/>
      <c r="AE49" s="105">
        <f>Dados!$AE$21</f>
        <v>0</v>
      </c>
      <c r="AF49" s="106"/>
      <c r="AG49" s="107"/>
      <c r="AH49" s="105">
        <f>Dados!$AK$21</f>
        <v>7.2</v>
      </c>
      <c r="AI49" s="106"/>
      <c r="AJ49" s="107"/>
      <c r="AK49" s="509" t="s">
        <v>879</v>
      </c>
      <c r="AL49" s="510"/>
      <c r="AM49" s="511"/>
      <c r="AN49" s="105">
        <v>1</v>
      </c>
      <c r="AO49" s="106"/>
      <c r="AP49" s="107"/>
      <c r="AQ49" s="509" t="s">
        <v>1108</v>
      </c>
      <c r="AR49" s="510"/>
      <c r="AS49" s="511"/>
      <c r="AT49" s="509">
        <v>60</v>
      </c>
      <c r="AU49" s="510"/>
      <c r="AV49" s="511"/>
      <c r="AW49" s="509">
        <v>50</v>
      </c>
      <c r="AX49" s="510"/>
      <c r="AY49" s="511"/>
      <c r="AZ49" s="509">
        <v>40</v>
      </c>
      <c r="BA49" s="510"/>
      <c r="BB49" s="511"/>
      <c r="BC49" s="96">
        <f t="shared" si="4"/>
        <v>4.46</v>
      </c>
      <c r="BD49" s="97"/>
      <c r="BE49" s="98"/>
      <c r="BF49" s="105">
        <v>0</v>
      </c>
      <c r="BG49" s="106"/>
      <c r="BH49" s="107"/>
      <c r="BI49" s="105">
        <v>0</v>
      </c>
      <c r="BJ49" s="106"/>
      <c r="BK49" s="107"/>
      <c r="BL49" s="512">
        <f>IF(F49="","",+VLOOKUP(AQ49,Equipamentos!A:K,10,"falso"))</f>
        <v>403.8049</v>
      </c>
      <c r="BM49" s="513"/>
      <c r="BN49" s="514"/>
      <c r="BO49" s="515">
        <v>0</v>
      </c>
      <c r="BP49" s="516"/>
      <c r="BQ49" s="517"/>
    </row>
    <row r="50" customHeight="1" spans="1:69">
      <c r="A50" s="89" t="s">
        <v>1115</v>
      </c>
      <c r="B50" s="90"/>
      <c r="C50" s="203"/>
      <c r="D50" s="204"/>
      <c r="E50" s="205"/>
      <c r="F50" s="518" t="s">
        <v>1062</v>
      </c>
      <c r="G50" s="518"/>
      <c r="H50" s="518"/>
      <c r="I50" s="519" t="str">
        <f>+VLOOKUP(F50,Equipamentos!A:K,2,"falso")</f>
        <v>Bomba submersível com capacidade de 75 m³/h - 3,6 kW</v>
      </c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105">
        <f>Dados!$Y$21</f>
        <v>256.8</v>
      </c>
      <c r="AC50" s="106"/>
      <c r="AD50" s="107"/>
      <c r="AE50" s="105">
        <f>Dados!$AE$21</f>
        <v>0</v>
      </c>
      <c r="AF50" s="106"/>
      <c r="AG50" s="107"/>
      <c r="AH50" s="105">
        <f>Dados!$AK$21</f>
        <v>7.2</v>
      </c>
      <c r="AI50" s="106"/>
      <c r="AJ50" s="107"/>
      <c r="AK50" s="509" t="s">
        <v>879</v>
      </c>
      <c r="AL50" s="510"/>
      <c r="AM50" s="511"/>
      <c r="AN50" s="105">
        <v>2</v>
      </c>
      <c r="AO50" s="106"/>
      <c r="AP50" s="107"/>
      <c r="AQ50" s="509" t="s">
        <v>1108</v>
      </c>
      <c r="AR50" s="510"/>
      <c r="AS50" s="511"/>
      <c r="AT50" s="509">
        <v>60</v>
      </c>
      <c r="AU50" s="510"/>
      <c r="AV50" s="511"/>
      <c r="AW50" s="509">
        <v>50</v>
      </c>
      <c r="AX50" s="510"/>
      <c r="AY50" s="511"/>
      <c r="AZ50" s="509">
        <v>40</v>
      </c>
      <c r="BA50" s="510"/>
      <c r="BB50" s="511"/>
      <c r="BC50" s="96">
        <f t="shared" si="4"/>
        <v>4.46</v>
      </c>
      <c r="BD50" s="97"/>
      <c r="BE50" s="98"/>
      <c r="BF50" s="105">
        <v>0</v>
      </c>
      <c r="BG50" s="106"/>
      <c r="BH50" s="107"/>
      <c r="BI50" s="105">
        <v>0</v>
      </c>
      <c r="BJ50" s="106"/>
      <c r="BK50" s="107"/>
      <c r="BL50" s="512">
        <f>IF(F50="","",+VLOOKUP(AQ50,Equipamentos!A:K,10,"falso"))</f>
        <v>403.8049</v>
      </c>
      <c r="BM50" s="513"/>
      <c r="BN50" s="514"/>
      <c r="BO50" s="515">
        <v>0</v>
      </c>
      <c r="BP50" s="516"/>
      <c r="BQ50" s="517"/>
    </row>
    <row r="51" customHeight="1" spans="1:69">
      <c r="A51" s="89" t="s">
        <v>1116</v>
      </c>
      <c r="B51" s="90"/>
      <c r="C51" s="203"/>
      <c r="D51" s="204"/>
      <c r="E51" s="205"/>
      <c r="F51" s="518" t="s">
        <v>1078</v>
      </c>
      <c r="G51" s="518"/>
      <c r="H51" s="518"/>
      <c r="I51" s="519" t="str">
        <f>+VLOOKUP(F51,Equipamentos!A:K,2,"falso")</f>
        <v>Compactador manual com soquete vibratório - 4,10 kW</v>
      </c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105">
        <f>Dados!$Y$21</f>
        <v>256.8</v>
      </c>
      <c r="AC51" s="106"/>
      <c r="AD51" s="107"/>
      <c r="AE51" s="105">
        <f>Dados!$AE$21</f>
        <v>0</v>
      </c>
      <c r="AF51" s="106"/>
      <c r="AG51" s="107"/>
      <c r="AH51" s="105">
        <f>Dados!$AK$21</f>
        <v>7.2</v>
      </c>
      <c r="AI51" s="106"/>
      <c r="AJ51" s="107"/>
      <c r="AK51" s="509" t="s">
        <v>879</v>
      </c>
      <c r="AL51" s="510"/>
      <c r="AM51" s="511"/>
      <c r="AN51" s="105">
        <v>3</v>
      </c>
      <c r="AO51" s="106"/>
      <c r="AP51" s="107"/>
      <c r="AQ51" s="509" t="s">
        <v>1108</v>
      </c>
      <c r="AR51" s="510"/>
      <c r="AS51" s="511"/>
      <c r="AT51" s="509">
        <v>60</v>
      </c>
      <c r="AU51" s="510"/>
      <c r="AV51" s="511"/>
      <c r="AW51" s="509">
        <v>50</v>
      </c>
      <c r="AX51" s="510"/>
      <c r="AY51" s="511"/>
      <c r="AZ51" s="509">
        <v>40</v>
      </c>
      <c r="BA51" s="510"/>
      <c r="BB51" s="511"/>
      <c r="BC51" s="96">
        <f t="shared" si="4"/>
        <v>4.46</v>
      </c>
      <c r="BD51" s="97"/>
      <c r="BE51" s="98"/>
      <c r="BF51" s="105">
        <v>0</v>
      </c>
      <c r="BG51" s="106"/>
      <c r="BH51" s="107"/>
      <c r="BI51" s="105">
        <v>0</v>
      </c>
      <c r="BJ51" s="106"/>
      <c r="BK51" s="107"/>
      <c r="BL51" s="512">
        <f>IF(F51="","",+VLOOKUP(AQ51,Equipamentos!A:K,10,"falso"))</f>
        <v>403.8049</v>
      </c>
      <c r="BM51" s="513"/>
      <c r="BN51" s="514"/>
      <c r="BO51" s="515">
        <v>0</v>
      </c>
      <c r="BP51" s="516"/>
      <c r="BQ51" s="517"/>
    </row>
    <row r="52" customHeight="1" spans="1:69">
      <c r="A52" s="89" t="s">
        <v>1117</v>
      </c>
      <c r="B52" s="90"/>
      <c r="C52" s="203"/>
      <c r="D52" s="204"/>
      <c r="E52" s="205"/>
      <c r="F52" s="518" t="s">
        <v>1082</v>
      </c>
      <c r="G52" s="518"/>
      <c r="H52" s="518"/>
      <c r="I52" s="519" t="str">
        <f>+VLOOKUP(F52,Equipamentos!A:K,2,"falso")</f>
        <v>Máquina policorte - 2,20 kW</v>
      </c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105">
        <f>Dados!$Y$21</f>
        <v>256.8</v>
      </c>
      <c r="AC52" s="106"/>
      <c r="AD52" s="107"/>
      <c r="AE52" s="105">
        <f>Dados!$AE$21</f>
        <v>0</v>
      </c>
      <c r="AF52" s="106"/>
      <c r="AG52" s="107"/>
      <c r="AH52" s="105">
        <f>Dados!$AK$21</f>
        <v>7.2</v>
      </c>
      <c r="AI52" s="106"/>
      <c r="AJ52" s="107"/>
      <c r="AK52" s="509" t="s">
        <v>879</v>
      </c>
      <c r="AL52" s="510"/>
      <c r="AM52" s="511"/>
      <c r="AN52" s="105">
        <v>1</v>
      </c>
      <c r="AO52" s="106"/>
      <c r="AP52" s="107"/>
      <c r="AQ52" s="509" t="s">
        <v>1108</v>
      </c>
      <c r="AR52" s="510"/>
      <c r="AS52" s="511"/>
      <c r="AT52" s="509">
        <v>60</v>
      </c>
      <c r="AU52" s="510"/>
      <c r="AV52" s="511"/>
      <c r="AW52" s="509">
        <v>50</v>
      </c>
      <c r="AX52" s="510"/>
      <c r="AY52" s="511"/>
      <c r="AZ52" s="509">
        <v>40</v>
      </c>
      <c r="BA52" s="510"/>
      <c r="BB52" s="511"/>
      <c r="BC52" s="96">
        <f t="shared" si="4"/>
        <v>4.46</v>
      </c>
      <c r="BD52" s="97"/>
      <c r="BE52" s="98"/>
      <c r="BF52" s="105">
        <v>0</v>
      </c>
      <c r="BG52" s="106"/>
      <c r="BH52" s="107"/>
      <c r="BI52" s="105">
        <v>0</v>
      </c>
      <c r="BJ52" s="106"/>
      <c r="BK52" s="107"/>
      <c r="BL52" s="512">
        <f>IF(F52="","",+VLOOKUP(AQ52,Equipamentos!A:K,10,"falso"))</f>
        <v>403.8049</v>
      </c>
      <c r="BM52" s="513"/>
      <c r="BN52" s="514"/>
      <c r="BO52" s="515">
        <v>0</v>
      </c>
      <c r="BP52" s="516"/>
      <c r="BQ52" s="517"/>
    </row>
    <row r="53" customHeight="1" spans="1:69">
      <c r="A53" s="89" t="s">
        <v>1118</v>
      </c>
      <c r="B53" s="90"/>
      <c r="C53" s="203"/>
      <c r="D53" s="204"/>
      <c r="E53" s="205"/>
      <c r="F53" s="518" t="s">
        <v>1064</v>
      </c>
      <c r="G53" s="518"/>
      <c r="H53" s="518"/>
      <c r="I53" s="519" t="str">
        <f>+VLOOKUP(F53,Equipamentos!A:K,2,"falso")</f>
        <v>Grupo gerador - 7,2 kVA</v>
      </c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105">
        <f>Dados!$Y$21</f>
        <v>256.8</v>
      </c>
      <c r="AC53" s="106"/>
      <c r="AD53" s="107"/>
      <c r="AE53" s="105">
        <f>Dados!$AE$21</f>
        <v>0</v>
      </c>
      <c r="AF53" s="106"/>
      <c r="AG53" s="107"/>
      <c r="AH53" s="105">
        <f>Dados!$AK$21</f>
        <v>7.2</v>
      </c>
      <c r="AI53" s="106"/>
      <c r="AJ53" s="107"/>
      <c r="AK53" s="509" t="s">
        <v>879</v>
      </c>
      <c r="AL53" s="510"/>
      <c r="AM53" s="511"/>
      <c r="AN53" s="105">
        <v>1</v>
      </c>
      <c r="AO53" s="106"/>
      <c r="AP53" s="107"/>
      <c r="AQ53" s="509" t="s">
        <v>1108</v>
      </c>
      <c r="AR53" s="510"/>
      <c r="AS53" s="511"/>
      <c r="AT53" s="509">
        <v>60</v>
      </c>
      <c r="AU53" s="510"/>
      <c r="AV53" s="511"/>
      <c r="AW53" s="509">
        <v>50</v>
      </c>
      <c r="AX53" s="510"/>
      <c r="AY53" s="511"/>
      <c r="AZ53" s="509">
        <v>40</v>
      </c>
      <c r="BA53" s="510"/>
      <c r="BB53" s="511"/>
      <c r="BC53" s="96">
        <f t="shared" si="4"/>
        <v>4.46</v>
      </c>
      <c r="BD53" s="97"/>
      <c r="BE53" s="98"/>
      <c r="BF53" s="105">
        <v>0</v>
      </c>
      <c r="BG53" s="106"/>
      <c r="BH53" s="107"/>
      <c r="BI53" s="105">
        <v>0</v>
      </c>
      <c r="BJ53" s="106"/>
      <c r="BK53" s="107"/>
      <c r="BL53" s="512">
        <f>IF(F53="","",+VLOOKUP(AQ53,Equipamentos!A:K,10,"falso"))</f>
        <v>403.8049</v>
      </c>
      <c r="BM53" s="513"/>
      <c r="BN53" s="514"/>
      <c r="BO53" s="515">
        <v>0</v>
      </c>
      <c r="BP53" s="516"/>
      <c r="BQ53" s="517"/>
    </row>
    <row r="54" customHeight="1" spans="1:69">
      <c r="A54" s="520"/>
      <c r="B54" s="521"/>
      <c r="C54" s="521"/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G54" s="521"/>
      <c r="AH54" s="521"/>
      <c r="AI54" s="521"/>
      <c r="AJ54" s="521"/>
      <c r="AK54" s="521"/>
      <c r="AL54" s="521"/>
      <c r="AM54" s="521"/>
      <c r="AN54" s="521"/>
      <c r="AO54" s="521"/>
      <c r="AP54" s="521"/>
      <c r="AQ54" s="521"/>
      <c r="AR54" s="521"/>
      <c r="AS54" s="521"/>
      <c r="AT54" s="521"/>
      <c r="AU54" s="521"/>
      <c r="AV54" s="521"/>
      <c r="AW54" s="521"/>
      <c r="AX54" s="521"/>
      <c r="AY54" s="521"/>
      <c r="AZ54" s="522" t="s">
        <v>1119</v>
      </c>
      <c r="BA54" s="522"/>
      <c r="BB54" s="522"/>
      <c r="BC54" s="522"/>
      <c r="BD54" s="522"/>
      <c r="BE54" s="522"/>
      <c r="BF54" s="522"/>
      <c r="BG54" s="522"/>
      <c r="BH54" s="522"/>
      <c r="BI54" s="522"/>
      <c r="BJ54" s="522"/>
      <c r="BK54" s="522"/>
      <c r="BL54" s="522"/>
      <c r="BM54" s="522"/>
      <c r="BN54" s="522"/>
      <c r="BO54" s="523">
        <f>SUM(BO43:BQ53)</f>
        <v>0</v>
      </c>
      <c r="BP54" s="524"/>
      <c r="BQ54" s="525"/>
    </row>
    <row r="55" customHeight="1" spans="1:69">
      <c r="A55" s="530"/>
      <c r="B55" s="531"/>
      <c r="C55" s="531"/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  <c r="AG55" s="531"/>
      <c r="AH55" s="531"/>
      <c r="AI55" s="531"/>
      <c r="AJ55" s="531"/>
      <c r="AK55" s="531"/>
      <c r="AL55" s="531"/>
      <c r="AM55" s="531"/>
      <c r="AN55" s="531"/>
      <c r="AO55" s="531"/>
      <c r="AP55" s="531"/>
      <c r="AQ55" s="531"/>
      <c r="AR55" s="531"/>
      <c r="AS55" s="531"/>
      <c r="AT55" s="531"/>
      <c r="AU55" s="531"/>
      <c r="AV55" s="531"/>
      <c r="AW55" s="531"/>
      <c r="AX55" s="531"/>
      <c r="AY55" s="531"/>
      <c r="AZ55" s="532" t="s">
        <v>1120</v>
      </c>
      <c r="BA55" s="532"/>
      <c r="BB55" s="532"/>
      <c r="BC55" s="532"/>
      <c r="BD55" s="532"/>
      <c r="BE55" s="532"/>
      <c r="BF55" s="532"/>
      <c r="BG55" s="532"/>
      <c r="BH55" s="532"/>
      <c r="BI55" s="532"/>
      <c r="BJ55" s="532"/>
      <c r="BK55" s="532"/>
      <c r="BL55" s="532"/>
      <c r="BM55" s="532"/>
      <c r="BN55" s="532"/>
      <c r="BO55" s="527">
        <f ca="1">SUM(BO25,BO38,BO54)</f>
        <v>79392.94</v>
      </c>
      <c r="BP55" s="528"/>
      <c r="BQ55" s="529"/>
    </row>
    <row r="56" customHeight="1" spans="1:69">
      <c r="A56" s="530"/>
      <c r="B56" s="531"/>
      <c r="C56" s="531"/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531"/>
      <c r="S56" s="531"/>
      <c r="T56" s="531"/>
      <c r="U56" s="531"/>
      <c r="V56" s="531"/>
      <c r="W56" s="531"/>
      <c r="X56" s="531"/>
      <c r="Y56" s="531"/>
      <c r="Z56" s="531"/>
      <c r="AA56" s="531"/>
      <c r="AB56" s="531"/>
      <c r="AC56" s="531"/>
      <c r="AD56" s="531"/>
      <c r="AE56" s="531"/>
      <c r="AF56" s="531"/>
      <c r="AG56" s="531"/>
      <c r="AH56" s="531"/>
      <c r="AI56" s="531"/>
      <c r="AJ56" s="531"/>
      <c r="AK56" s="531"/>
      <c r="AL56" s="531"/>
      <c r="AM56" s="531"/>
      <c r="AN56" s="531"/>
      <c r="AO56" s="531"/>
      <c r="AP56" s="531"/>
      <c r="AQ56" s="531"/>
      <c r="AR56" s="531"/>
      <c r="AS56" s="531"/>
      <c r="AT56" s="531"/>
      <c r="AU56" s="531"/>
      <c r="AV56" s="531"/>
      <c r="AW56" s="531"/>
      <c r="AX56" s="531"/>
      <c r="AY56" s="531"/>
      <c r="AZ56" s="532" t="str">
        <f>CONCATENATE("BDI (",R11*100,"%):")</f>
        <v>BDI (23,91%):</v>
      </c>
      <c r="BA56" s="532"/>
      <c r="BB56" s="532"/>
      <c r="BC56" s="532"/>
      <c r="BD56" s="532"/>
      <c r="BE56" s="532"/>
      <c r="BF56" s="532"/>
      <c r="BG56" s="532"/>
      <c r="BH56" s="532"/>
      <c r="BI56" s="532"/>
      <c r="BJ56" s="532"/>
      <c r="BK56" s="532"/>
      <c r="BL56" s="532"/>
      <c r="BM56" s="532"/>
      <c r="BN56" s="532"/>
      <c r="BO56" s="527">
        <f ca="1">ROUND(BO55*$R$11,2)</f>
        <v>18982.85</v>
      </c>
      <c r="BP56" s="528"/>
      <c r="BQ56" s="529"/>
    </row>
    <row r="57" customHeight="1" spans="1:69">
      <c r="A57" s="530"/>
      <c r="B57" s="531"/>
      <c r="C57" s="531"/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G57" s="531"/>
      <c r="AH57" s="531"/>
      <c r="AI57" s="531"/>
      <c r="AJ57" s="531"/>
      <c r="AK57" s="531"/>
      <c r="AL57" s="531"/>
      <c r="AM57" s="531"/>
      <c r="AN57" s="531"/>
      <c r="AO57" s="531"/>
      <c r="AP57" s="531"/>
      <c r="AQ57" s="531"/>
      <c r="AR57" s="531"/>
      <c r="AS57" s="531"/>
      <c r="AT57" s="531"/>
      <c r="AU57" s="531"/>
      <c r="AV57" s="531"/>
      <c r="AW57" s="531"/>
      <c r="AX57" s="531"/>
      <c r="AY57" s="531"/>
      <c r="AZ57" s="531"/>
      <c r="BA57" s="531"/>
      <c r="BB57" s="531"/>
      <c r="BC57" s="531"/>
      <c r="BD57" s="531"/>
      <c r="BE57" s="531"/>
      <c r="BF57" s="531"/>
      <c r="BG57" s="531"/>
      <c r="BH57" s="531"/>
      <c r="BI57" s="531"/>
      <c r="BJ57" s="531"/>
      <c r="BK57" s="531"/>
      <c r="BL57" s="531"/>
      <c r="BM57" s="531"/>
      <c r="BN57" s="532" t="s">
        <v>1121</v>
      </c>
      <c r="BO57" s="527">
        <f ca="1">SUM(BO55:BQ56)</f>
        <v>98375.79</v>
      </c>
      <c r="BP57" s="528"/>
      <c r="BQ57" s="529"/>
    </row>
  </sheetData>
  <mergeCells count="576">
    <mergeCell ref="A4:H4"/>
    <mergeCell ref="I4:BQ4"/>
    <mergeCell ref="A5:H5"/>
    <mergeCell ref="I5:BQ5"/>
    <mergeCell ref="A6:H6"/>
    <mergeCell ref="I6:BQ6"/>
    <mergeCell ref="A7:H7"/>
    <mergeCell ref="I7:BQ7"/>
    <mergeCell ref="A8:H8"/>
    <mergeCell ref="BA8:BM8"/>
    <mergeCell ref="BN8:BO8"/>
    <mergeCell ref="BP8:BQ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BA11:BM11"/>
    <mergeCell ref="BN11:BO11"/>
    <mergeCell ref="BP11:BQ11"/>
    <mergeCell ref="A12:H12"/>
    <mergeCell ref="I12:U12"/>
    <mergeCell ref="V12:AH12"/>
    <mergeCell ref="A13:BQ13"/>
    <mergeCell ref="A14:BQ14"/>
    <mergeCell ref="A15:BQ15"/>
    <mergeCell ref="AB16:AJ16"/>
    <mergeCell ref="AT16:BB16"/>
    <mergeCell ref="AB17:AD17"/>
    <mergeCell ref="AE17:AG17"/>
    <mergeCell ref="AH17:AJ17"/>
    <mergeCell ref="AT17:AV17"/>
    <mergeCell ref="AW17:AY17"/>
    <mergeCell ref="AZ17:BB17"/>
    <mergeCell ref="AB18:AD18"/>
    <mergeCell ref="AE18:AG18"/>
    <mergeCell ref="AH18:AJ18"/>
    <mergeCell ref="AT18:AV18"/>
    <mergeCell ref="AW18:AY18"/>
    <mergeCell ref="AZ18:BB18"/>
    <mergeCell ref="BF18:BH18"/>
    <mergeCell ref="A19:B19"/>
    <mergeCell ref="C19:E19"/>
    <mergeCell ref="F19:H19"/>
    <mergeCell ref="I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Z19:BB19"/>
    <mergeCell ref="BC19:BE19"/>
    <mergeCell ref="BF19:BH19"/>
    <mergeCell ref="BI19:BK19"/>
    <mergeCell ref="BL19:BN19"/>
    <mergeCell ref="BO19:BQ19"/>
    <mergeCell ref="A20:B20"/>
    <mergeCell ref="C20:E20"/>
    <mergeCell ref="F20:H20"/>
    <mergeCell ref="I20:AA20"/>
    <mergeCell ref="AB20:AD20"/>
    <mergeCell ref="AE20:AG20"/>
    <mergeCell ref="AH20:AJ20"/>
    <mergeCell ref="AK20:AM20"/>
    <mergeCell ref="AN20:AP20"/>
    <mergeCell ref="AQ20:AS20"/>
    <mergeCell ref="AT20:AV20"/>
    <mergeCell ref="AW20:AY20"/>
    <mergeCell ref="AZ20:BB20"/>
    <mergeCell ref="BC20:BE20"/>
    <mergeCell ref="BF20:BH20"/>
    <mergeCell ref="BI20:BK20"/>
    <mergeCell ref="BL20:BN20"/>
    <mergeCell ref="BO20:BQ20"/>
    <mergeCell ref="A21:B21"/>
    <mergeCell ref="C21:E21"/>
    <mergeCell ref="F21:H21"/>
    <mergeCell ref="I21:AA21"/>
    <mergeCell ref="AB21:AD21"/>
    <mergeCell ref="AE21:AG21"/>
    <mergeCell ref="AH21:AJ21"/>
    <mergeCell ref="AK21:AM21"/>
    <mergeCell ref="AN21:AP21"/>
    <mergeCell ref="AQ21:AS21"/>
    <mergeCell ref="AT21:AV21"/>
    <mergeCell ref="AW21:AY21"/>
    <mergeCell ref="AZ21:BB21"/>
    <mergeCell ref="BC21:BE21"/>
    <mergeCell ref="BF21:BH21"/>
    <mergeCell ref="BI21:BK21"/>
    <mergeCell ref="BL21:BN21"/>
    <mergeCell ref="BO21:BQ21"/>
    <mergeCell ref="A22:B22"/>
    <mergeCell ref="C22:E22"/>
    <mergeCell ref="F22:H22"/>
    <mergeCell ref="I22:AA22"/>
    <mergeCell ref="AB22:AD22"/>
    <mergeCell ref="AE22:AG22"/>
    <mergeCell ref="AH22:AJ22"/>
    <mergeCell ref="AK22:AM22"/>
    <mergeCell ref="AN22:AP22"/>
    <mergeCell ref="AQ22:AS22"/>
    <mergeCell ref="AT22:AV22"/>
    <mergeCell ref="AW22:AY22"/>
    <mergeCell ref="AZ22:BB22"/>
    <mergeCell ref="BC22:BE22"/>
    <mergeCell ref="BF22:BH22"/>
    <mergeCell ref="BI22:BK22"/>
    <mergeCell ref="BL22:BN22"/>
    <mergeCell ref="BO22:BQ22"/>
    <mergeCell ref="A23:B23"/>
    <mergeCell ref="C23:E23"/>
    <mergeCell ref="F23:H23"/>
    <mergeCell ref="I23:AA23"/>
    <mergeCell ref="AB23:AD23"/>
    <mergeCell ref="AE23:AG23"/>
    <mergeCell ref="AH23:AJ23"/>
    <mergeCell ref="AK23:AM23"/>
    <mergeCell ref="AN23:AP23"/>
    <mergeCell ref="AQ23:AS23"/>
    <mergeCell ref="AT23:AV23"/>
    <mergeCell ref="AW23:AY23"/>
    <mergeCell ref="AZ23:BB23"/>
    <mergeCell ref="BC23:BE23"/>
    <mergeCell ref="BF23:BH23"/>
    <mergeCell ref="BI23:BK23"/>
    <mergeCell ref="BL23:BN23"/>
    <mergeCell ref="BO23:BQ23"/>
    <mergeCell ref="A24:B24"/>
    <mergeCell ref="C24:E24"/>
    <mergeCell ref="F24:H24"/>
    <mergeCell ref="I24:AA24"/>
    <mergeCell ref="AB24:AD24"/>
    <mergeCell ref="AE24:AG24"/>
    <mergeCell ref="AH24:AJ24"/>
    <mergeCell ref="AK24:AM24"/>
    <mergeCell ref="AN24:AP24"/>
    <mergeCell ref="AQ24:AS24"/>
    <mergeCell ref="AT24:AV24"/>
    <mergeCell ref="AW24:AY24"/>
    <mergeCell ref="AZ24:BB24"/>
    <mergeCell ref="BC24:BE24"/>
    <mergeCell ref="BF24:BH24"/>
    <mergeCell ref="BI24:BK24"/>
    <mergeCell ref="BL24:BN24"/>
    <mergeCell ref="BO24:BQ24"/>
    <mergeCell ref="AZ25:BN25"/>
    <mergeCell ref="BO25:BQ25"/>
    <mergeCell ref="A26:BQ26"/>
    <mergeCell ref="AB27:AJ27"/>
    <mergeCell ref="AT27:BB27"/>
    <mergeCell ref="AB28:AD28"/>
    <mergeCell ref="AE28:AG28"/>
    <mergeCell ref="AH28:AJ28"/>
    <mergeCell ref="AT28:AV28"/>
    <mergeCell ref="AW28:AY28"/>
    <mergeCell ref="AZ28:BB28"/>
    <mergeCell ref="AB29:AD29"/>
    <mergeCell ref="AE29:AG29"/>
    <mergeCell ref="AH29:AJ29"/>
    <mergeCell ref="AT29:AV29"/>
    <mergeCell ref="AW29:AY29"/>
    <mergeCell ref="AZ29:BB29"/>
    <mergeCell ref="BF29:BH29"/>
    <mergeCell ref="A30:B30"/>
    <mergeCell ref="C30:E30"/>
    <mergeCell ref="F30:H30"/>
    <mergeCell ref="I30:AA30"/>
    <mergeCell ref="AB30:AD30"/>
    <mergeCell ref="AE30:AG30"/>
    <mergeCell ref="AH30:AJ30"/>
    <mergeCell ref="AK30:AM30"/>
    <mergeCell ref="AN30:AP30"/>
    <mergeCell ref="AQ30:AS30"/>
    <mergeCell ref="AT30:AV30"/>
    <mergeCell ref="AW30:AY30"/>
    <mergeCell ref="AZ30:BB30"/>
    <mergeCell ref="BC30:BE30"/>
    <mergeCell ref="BF30:BH30"/>
    <mergeCell ref="BI30:BK30"/>
    <mergeCell ref="BL30:BN30"/>
    <mergeCell ref="BO30:BQ30"/>
    <mergeCell ref="A31:B31"/>
    <mergeCell ref="C31:E31"/>
    <mergeCell ref="F31:H31"/>
    <mergeCell ref="I31:AA31"/>
    <mergeCell ref="AB31:AD31"/>
    <mergeCell ref="AE31:AG31"/>
    <mergeCell ref="AH31:AJ31"/>
    <mergeCell ref="AK31:AM31"/>
    <mergeCell ref="AN31:AP31"/>
    <mergeCell ref="AQ31:AS31"/>
    <mergeCell ref="AT31:AV31"/>
    <mergeCell ref="AW31:AY31"/>
    <mergeCell ref="AZ31:BB31"/>
    <mergeCell ref="BC31:BE31"/>
    <mergeCell ref="BF31:BH31"/>
    <mergeCell ref="BI31:BK31"/>
    <mergeCell ref="BL31:BN31"/>
    <mergeCell ref="BO31:BQ31"/>
    <mergeCell ref="A32:B32"/>
    <mergeCell ref="C32:E32"/>
    <mergeCell ref="F32:H32"/>
    <mergeCell ref="I32:AA32"/>
    <mergeCell ref="AB32:AD32"/>
    <mergeCell ref="AE32:AG32"/>
    <mergeCell ref="AH32:AJ32"/>
    <mergeCell ref="AK32:AM32"/>
    <mergeCell ref="AN32:AP32"/>
    <mergeCell ref="AQ32:AS32"/>
    <mergeCell ref="AT32:AV32"/>
    <mergeCell ref="AW32:AY32"/>
    <mergeCell ref="AZ32:BB32"/>
    <mergeCell ref="BC32:BE32"/>
    <mergeCell ref="BF32:BH32"/>
    <mergeCell ref="BI32:BK32"/>
    <mergeCell ref="BL32:BN32"/>
    <mergeCell ref="BO32:BQ32"/>
    <mergeCell ref="A33:B33"/>
    <mergeCell ref="C33:E33"/>
    <mergeCell ref="F33:H33"/>
    <mergeCell ref="I33:AA33"/>
    <mergeCell ref="AB33:AD33"/>
    <mergeCell ref="AE33:AG33"/>
    <mergeCell ref="AH33:AJ33"/>
    <mergeCell ref="AK33:AM33"/>
    <mergeCell ref="AN33:AP33"/>
    <mergeCell ref="AQ33:AS33"/>
    <mergeCell ref="AT33:AV33"/>
    <mergeCell ref="AW33:AY33"/>
    <mergeCell ref="AZ33:BB33"/>
    <mergeCell ref="BC33:BE33"/>
    <mergeCell ref="BF33:BH33"/>
    <mergeCell ref="BI33:BK33"/>
    <mergeCell ref="BL33:BN33"/>
    <mergeCell ref="BO33:BQ33"/>
    <mergeCell ref="A34:B34"/>
    <mergeCell ref="C34:E34"/>
    <mergeCell ref="F34:H34"/>
    <mergeCell ref="I34:AA34"/>
    <mergeCell ref="AB34:AD34"/>
    <mergeCell ref="AE34:AG34"/>
    <mergeCell ref="AH34:AJ34"/>
    <mergeCell ref="AK34:AM34"/>
    <mergeCell ref="AN34:AP34"/>
    <mergeCell ref="AQ34:AS34"/>
    <mergeCell ref="AT34:AV34"/>
    <mergeCell ref="AW34:AY34"/>
    <mergeCell ref="AZ34:BB34"/>
    <mergeCell ref="BC34:BE34"/>
    <mergeCell ref="BF34:BH34"/>
    <mergeCell ref="BI34:BK34"/>
    <mergeCell ref="BL34:BN34"/>
    <mergeCell ref="BO34:BQ34"/>
    <mergeCell ref="A35:B35"/>
    <mergeCell ref="C35:E35"/>
    <mergeCell ref="F35:H35"/>
    <mergeCell ref="I35:AA35"/>
    <mergeCell ref="AB35:AD35"/>
    <mergeCell ref="AE35:AG35"/>
    <mergeCell ref="AH35:AJ35"/>
    <mergeCell ref="AK35:AM35"/>
    <mergeCell ref="AN35:AP35"/>
    <mergeCell ref="AQ35:AS35"/>
    <mergeCell ref="AT35:AV35"/>
    <mergeCell ref="AW35:AY35"/>
    <mergeCell ref="AZ35:BB35"/>
    <mergeCell ref="BC35:BE35"/>
    <mergeCell ref="BF35:BH35"/>
    <mergeCell ref="BI35:BK35"/>
    <mergeCell ref="BL35:BN35"/>
    <mergeCell ref="BO35:BQ35"/>
    <mergeCell ref="A36:B36"/>
    <mergeCell ref="C36:E36"/>
    <mergeCell ref="F36:H36"/>
    <mergeCell ref="I36:AA36"/>
    <mergeCell ref="AB36:AD36"/>
    <mergeCell ref="AE36:AG36"/>
    <mergeCell ref="AH36:AJ36"/>
    <mergeCell ref="AK36:AM36"/>
    <mergeCell ref="AN36:AP36"/>
    <mergeCell ref="AQ36:AS36"/>
    <mergeCell ref="AT36:AV36"/>
    <mergeCell ref="AW36:AY36"/>
    <mergeCell ref="AZ36:BB36"/>
    <mergeCell ref="BC36:BE36"/>
    <mergeCell ref="BF36:BH36"/>
    <mergeCell ref="BI36:BK36"/>
    <mergeCell ref="BL36:BN36"/>
    <mergeCell ref="BO36:BQ36"/>
    <mergeCell ref="A37:B37"/>
    <mergeCell ref="C37:E37"/>
    <mergeCell ref="F37:H37"/>
    <mergeCell ref="I37:AA37"/>
    <mergeCell ref="AB37:AD37"/>
    <mergeCell ref="AE37:AG37"/>
    <mergeCell ref="AH37:AJ37"/>
    <mergeCell ref="AK37:AM37"/>
    <mergeCell ref="AN37:AP37"/>
    <mergeCell ref="AQ37:AS37"/>
    <mergeCell ref="AT37:AV37"/>
    <mergeCell ref="AW37:AY37"/>
    <mergeCell ref="AZ37:BB37"/>
    <mergeCell ref="BC37:BE37"/>
    <mergeCell ref="BF37:BH37"/>
    <mergeCell ref="BI37:BK37"/>
    <mergeCell ref="BL37:BN37"/>
    <mergeCell ref="BO37:BQ37"/>
    <mergeCell ref="AZ38:BN38"/>
    <mergeCell ref="BO38:BQ38"/>
    <mergeCell ref="A39:BQ39"/>
    <mergeCell ref="AB40:AJ40"/>
    <mergeCell ref="AT40:BB40"/>
    <mergeCell ref="AB41:AD41"/>
    <mergeCell ref="AE41:AG41"/>
    <mergeCell ref="AH41:AJ41"/>
    <mergeCell ref="AT41:AV41"/>
    <mergeCell ref="AW41:AY41"/>
    <mergeCell ref="AZ41:BB41"/>
    <mergeCell ref="AB42:AD42"/>
    <mergeCell ref="AE42:AG42"/>
    <mergeCell ref="AH42:AJ42"/>
    <mergeCell ref="AT42:AV42"/>
    <mergeCell ref="AW42:AY42"/>
    <mergeCell ref="AZ42:BB42"/>
    <mergeCell ref="BF42:BH42"/>
    <mergeCell ref="A43:B43"/>
    <mergeCell ref="C43:E43"/>
    <mergeCell ref="F43:H43"/>
    <mergeCell ref="I43:AA43"/>
    <mergeCell ref="AB43:AD43"/>
    <mergeCell ref="AE43:AG43"/>
    <mergeCell ref="AH43:AJ43"/>
    <mergeCell ref="AK43:AM43"/>
    <mergeCell ref="AN43:AP43"/>
    <mergeCell ref="AQ43:AS43"/>
    <mergeCell ref="AT43:AV43"/>
    <mergeCell ref="AW43:AY43"/>
    <mergeCell ref="AZ43:BB43"/>
    <mergeCell ref="BC43:BE43"/>
    <mergeCell ref="BF43:BH43"/>
    <mergeCell ref="BI43:BK43"/>
    <mergeCell ref="BL43:BN43"/>
    <mergeCell ref="BO43:BQ43"/>
    <mergeCell ref="A44:B44"/>
    <mergeCell ref="C44:E44"/>
    <mergeCell ref="F44:H44"/>
    <mergeCell ref="I44:AA44"/>
    <mergeCell ref="AB44:AD44"/>
    <mergeCell ref="AE44:AG44"/>
    <mergeCell ref="AH44:AJ44"/>
    <mergeCell ref="AK44:AM44"/>
    <mergeCell ref="AN44:AP44"/>
    <mergeCell ref="AQ44:AS44"/>
    <mergeCell ref="AT44:AV44"/>
    <mergeCell ref="AW44:AY44"/>
    <mergeCell ref="AZ44:BB44"/>
    <mergeCell ref="BC44:BE44"/>
    <mergeCell ref="BF44:BH44"/>
    <mergeCell ref="BI44:BK44"/>
    <mergeCell ref="BL44:BN44"/>
    <mergeCell ref="BO44:BQ44"/>
    <mergeCell ref="A45:B45"/>
    <mergeCell ref="C45:E45"/>
    <mergeCell ref="F45:H45"/>
    <mergeCell ref="I45:AA45"/>
    <mergeCell ref="AB45:AD45"/>
    <mergeCell ref="AE45:AG45"/>
    <mergeCell ref="AH45:AJ45"/>
    <mergeCell ref="AK45:AM45"/>
    <mergeCell ref="AN45:AP45"/>
    <mergeCell ref="AQ45:AS45"/>
    <mergeCell ref="AT45:AV45"/>
    <mergeCell ref="AW45:AY45"/>
    <mergeCell ref="AZ45:BB45"/>
    <mergeCell ref="BC45:BE45"/>
    <mergeCell ref="BF45:BH45"/>
    <mergeCell ref="BI45:BK45"/>
    <mergeCell ref="BL45:BN45"/>
    <mergeCell ref="BO45:BQ45"/>
    <mergeCell ref="A46:B46"/>
    <mergeCell ref="C46:E46"/>
    <mergeCell ref="F46:H46"/>
    <mergeCell ref="I46:AA46"/>
    <mergeCell ref="AB46:AD46"/>
    <mergeCell ref="AE46:AG46"/>
    <mergeCell ref="AH46:AJ46"/>
    <mergeCell ref="AK46:AM46"/>
    <mergeCell ref="AN46:AP46"/>
    <mergeCell ref="AQ46:AS46"/>
    <mergeCell ref="AT46:AV46"/>
    <mergeCell ref="AW46:AY46"/>
    <mergeCell ref="AZ46:BB46"/>
    <mergeCell ref="BC46:BE46"/>
    <mergeCell ref="BF46:BH46"/>
    <mergeCell ref="BI46:BK46"/>
    <mergeCell ref="BL46:BN46"/>
    <mergeCell ref="BO46:BQ46"/>
    <mergeCell ref="A47:B47"/>
    <mergeCell ref="C47:E47"/>
    <mergeCell ref="F47:H47"/>
    <mergeCell ref="I47:AA47"/>
    <mergeCell ref="AB47:AD47"/>
    <mergeCell ref="AE47:AG47"/>
    <mergeCell ref="AH47:AJ47"/>
    <mergeCell ref="AK47:AM47"/>
    <mergeCell ref="AN47:AP47"/>
    <mergeCell ref="AQ47:AS47"/>
    <mergeCell ref="AT47:AV47"/>
    <mergeCell ref="AW47:AY47"/>
    <mergeCell ref="AZ47:BB47"/>
    <mergeCell ref="BC47:BE47"/>
    <mergeCell ref="BF47:BH47"/>
    <mergeCell ref="BI47:BK47"/>
    <mergeCell ref="BL47:BN47"/>
    <mergeCell ref="BO47:BQ47"/>
    <mergeCell ref="A48:B48"/>
    <mergeCell ref="C48:E48"/>
    <mergeCell ref="F48:H48"/>
    <mergeCell ref="I48:AA48"/>
    <mergeCell ref="AB48:AD48"/>
    <mergeCell ref="AE48:AG48"/>
    <mergeCell ref="AH48:AJ48"/>
    <mergeCell ref="AK48:AM48"/>
    <mergeCell ref="AN48:AP48"/>
    <mergeCell ref="AQ48:AS48"/>
    <mergeCell ref="AT48:AV48"/>
    <mergeCell ref="AW48:AY48"/>
    <mergeCell ref="AZ48:BB48"/>
    <mergeCell ref="BC48:BE48"/>
    <mergeCell ref="BF48:BH48"/>
    <mergeCell ref="BI48:BK48"/>
    <mergeCell ref="BL48:BN48"/>
    <mergeCell ref="BO48:BQ48"/>
    <mergeCell ref="A49:B49"/>
    <mergeCell ref="C49:E49"/>
    <mergeCell ref="F49:H49"/>
    <mergeCell ref="I49:AA49"/>
    <mergeCell ref="AB49:AD49"/>
    <mergeCell ref="AE49:AG49"/>
    <mergeCell ref="AH49:AJ49"/>
    <mergeCell ref="AK49:AM49"/>
    <mergeCell ref="AN49:AP49"/>
    <mergeCell ref="AQ49:AS49"/>
    <mergeCell ref="AT49:AV49"/>
    <mergeCell ref="AW49:AY49"/>
    <mergeCell ref="AZ49:BB49"/>
    <mergeCell ref="BC49:BE49"/>
    <mergeCell ref="BF49:BH49"/>
    <mergeCell ref="BI49:BK49"/>
    <mergeCell ref="BL49:BN49"/>
    <mergeCell ref="BO49:BQ49"/>
    <mergeCell ref="A50:B50"/>
    <mergeCell ref="C50:E50"/>
    <mergeCell ref="F50:H50"/>
    <mergeCell ref="I50:AA50"/>
    <mergeCell ref="AB50:AD50"/>
    <mergeCell ref="AE50:AG50"/>
    <mergeCell ref="AH50:AJ50"/>
    <mergeCell ref="AK50:AM50"/>
    <mergeCell ref="AN50:AP50"/>
    <mergeCell ref="AQ50:AS50"/>
    <mergeCell ref="AT50:AV50"/>
    <mergeCell ref="AW50:AY50"/>
    <mergeCell ref="AZ50:BB50"/>
    <mergeCell ref="BC50:BE50"/>
    <mergeCell ref="BF50:BH50"/>
    <mergeCell ref="BI50:BK50"/>
    <mergeCell ref="BL50:BN50"/>
    <mergeCell ref="BO50:BQ50"/>
    <mergeCell ref="A51:B51"/>
    <mergeCell ref="C51:E51"/>
    <mergeCell ref="F51:H51"/>
    <mergeCell ref="I51:AA51"/>
    <mergeCell ref="AB51:AD51"/>
    <mergeCell ref="AE51:AG51"/>
    <mergeCell ref="AH51:AJ51"/>
    <mergeCell ref="AK51:AM51"/>
    <mergeCell ref="AN51:AP51"/>
    <mergeCell ref="AQ51:AS51"/>
    <mergeCell ref="AT51:AV51"/>
    <mergeCell ref="AW51:AY51"/>
    <mergeCell ref="AZ51:BB51"/>
    <mergeCell ref="BC51:BE51"/>
    <mergeCell ref="BF51:BH51"/>
    <mergeCell ref="BI51:BK51"/>
    <mergeCell ref="BL51:BN51"/>
    <mergeCell ref="BO51:BQ51"/>
    <mergeCell ref="A52:B52"/>
    <mergeCell ref="C52:E52"/>
    <mergeCell ref="F52:H52"/>
    <mergeCell ref="I52:AA52"/>
    <mergeCell ref="AB52:AD52"/>
    <mergeCell ref="AE52:AG52"/>
    <mergeCell ref="AH52:AJ52"/>
    <mergeCell ref="AK52:AM52"/>
    <mergeCell ref="AN52:AP52"/>
    <mergeCell ref="AQ52:AS52"/>
    <mergeCell ref="AT52:AV52"/>
    <mergeCell ref="AW52:AY52"/>
    <mergeCell ref="AZ52:BB52"/>
    <mergeCell ref="BC52:BE52"/>
    <mergeCell ref="BF52:BH52"/>
    <mergeCell ref="BI52:BK52"/>
    <mergeCell ref="BL52:BN52"/>
    <mergeCell ref="BO52:BQ52"/>
    <mergeCell ref="A53:B53"/>
    <mergeCell ref="C53:E53"/>
    <mergeCell ref="F53:H53"/>
    <mergeCell ref="I53:AA53"/>
    <mergeCell ref="AB53:AD53"/>
    <mergeCell ref="AE53:AG53"/>
    <mergeCell ref="AH53:AJ53"/>
    <mergeCell ref="AK53:AM53"/>
    <mergeCell ref="AN53:AP53"/>
    <mergeCell ref="AQ53:AS53"/>
    <mergeCell ref="AT53:AV53"/>
    <mergeCell ref="AW53:AY53"/>
    <mergeCell ref="AZ53:BB53"/>
    <mergeCell ref="BC53:BE53"/>
    <mergeCell ref="BF53:BH53"/>
    <mergeCell ref="BI53:BK53"/>
    <mergeCell ref="BL53:BN53"/>
    <mergeCell ref="BO53:BQ53"/>
    <mergeCell ref="AZ54:BN54"/>
    <mergeCell ref="BO54:BQ54"/>
    <mergeCell ref="AZ55:BN55"/>
    <mergeCell ref="BO55:BQ55"/>
    <mergeCell ref="AZ56:BN56"/>
    <mergeCell ref="BO56:BQ56"/>
    <mergeCell ref="BO57:BQ57"/>
    <mergeCell ref="AK40:AM42"/>
    <mergeCell ref="AN40:AP42"/>
    <mergeCell ref="AQ40:AS42"/>
    <mergeCell ref="BC40:BE42"/>
    <mergeCell ref="BI40:BK42"/>
    <mergeCell ref="BL40:BN42"/>
    <mergeCell ref="BO40:BQ42"/>
    <mergeCell ref="A27:B29"/>
    <mergeCell ref="AK27:AM29"/>
    <mergeCell ref="AN27:AP29"/>
    <mergeCell ref="AQ27:AS29"/>
    <mergeCell ref="BC27:BE29"/>
    <mergeCell ref="BI27:BK29"/>
    <mergeCell ref="BL27:BN29"/>
    <mergeCell ref="BO27:BQ29"/>
    <mergeCell ref="BF40:BH41"/>
    <mergeCell ref="AK16:AM18"/>
    <mergeCell ref="AN16:AP18"/>
    <mergeCell ref="AQ16:AS18"/>
    <mergeCell ref="BC16:BE18"/>
    <mergeCell ref="BI16:BK18"/>
    <mergeCell ref="BL16:BN18"/>
    <mergeCell ref="BO16:BQ18"/>
    <mergeCell ref="A16:B18"/>
    <mergeCell ref="C16:E18"/>
    <mergeCell ref="F16:H18"/>
    <mergeCell ref="I16:AA18"/>
    <mergeCell ref="BF16:BH17"/>
    <mergeCell ref="BF27:BH28"/>
    <mergeCell ref="I27:AA29"/>
    <mergeCell ref="C27:E29"/>
    <mergeCell ref="F27:H29"/>
    <mergeCell ref="I40:AA42"/>
    <mergeCell ref="C40:E42"/>
    <mergeCell ref="F40:H42"/>
    <mergeCell ref="A40:B42"/>
  </mergeCells>
  <printOptions horizontalCentered="1"/>
  <pageMargins left="0.393700787401575" right="0.393700787401575" top="0.196850393700787" bottom="0.393700787401575" header="0" footer="0.0393700787401575"/>
  <pageSetup paperSize="9" scale="95" fitToHeight="13" orientation="landscape"/>
  <headerFooter>
    <oddFooter>&amp;L&amp;G&amp;R&amp;9Projeto Executivo de Engenharia, Estudos e
Orçamentos para a Construção de Ponte Rodoviária
em Concreto Armado - Rodovia Vicinal</oddFooter>
  </headerFooter>
  <rowBreaks count="1" manualBreakCount="1">
    <brk id="36" max="16383" man="1"/>
  </rowBreaks>
  <drawing r:id="rId1"/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70C0"/>
  </sheetPr>
  <dimension ref="A1:G6526"/>
  <sheetViews>
    <sheetView workbookViewId="0">
      <selection activeCell="G1568" sqref="G1568"/>
    </sheetView>
  </sheetViews>
  <sheetFormatPr defaultColWidth="9" defaultRowHeight="15" outlineLevelCol="6"/>
  <cols>
    <col min="1" max="1" width="9.43809523809524" customWidth="1"/>
    <col min="2" max="2" width="110.666666666667" customWidth="1"/>
    <col min="3" max="3" width="9.43809523809524" customWidth="1"/>
    <col min="4" max="5" width="13.552380952381" customWidth="1"/>
    <col min="6" max="7" width="10.1047619047619" customWidth="1"/>
  </cols>
  <sheetData>
    <row r="1" ht="30" customHeight="1" spans="1:7">
      <c r="A1" s="25" t="s">
        <v>55</v>
      </c>
      <c r="B1" s="2" t="s">
        <v>1122</v>
      </c>
      <c r="C1" s="26" t="s">
        <v>1123</v>
      </c>
      <c r="D1" s="3" t="s">
        <v>1124</v>
      </c>
      <c r="E1" s="3" t="s">
        <v>1125</v>
      </c>
      <c r="F1" s="3" t="s">
        <v>1126</v>
      </c>
      <c r="G1" s="3" t="s">
        <v>1127</v>
      </c>
    </row>
    <row r="2" ht="15.75" customHeight="1" spans="1:7">
      <c r="A2" s="4" t="s">
        <v>1128</v>
      </c>
      <c r="B2" s="5" t="s">
        <v>1129</v>
      </c>
      <c r="C2" s="4" t="s">
        <v>1130</v>
      </c>
      <c r="D2" s="475">
        <v>154.68</v>
      </c>
      <c r="E2" s="476">
        <v>0.03632</v>
      </c>
      <c r="F2" s="6">
        <v>1.0757</v>
      </c>
      <c r="G2" s="6">
        <v>2</v>
      </c>
    </row>
    <row r="3" ht="15.75" customHeight="1" spans="1:7">
      <c r="A3" s="4" t="s">
        <v>1131</v>
      </c>
      <c r="B3" s="5" t="s">
        <v>1132</v>
      </c>
      <c r="C3" s="4" t="s">
        <v>1130</v>
      </c>
      <c r="D3" s="475">
        <v>126.96</v>
      </c>
      <c r="E3" s="476">
        <v>0.03632</v>
      </c>
      <c r="F3" s="6">
        <v>0.1793</v>
      </c>
      <c r="G3" s="6">
        <v>6</v>
      </c>
    </row>
    <row r="4" ht="15.75" customHeight="1" spans="1:7">
      <c r="A4" s="4" t="s">
        <v>1133</v>
      </c>
      <c r="B4" s="5" t="s">
        <v>1134</v>
      </c>
      <c r="C4" s="4" t="s">
        <v>82</v>
      </c>
      <c r="D4" s="475">
        <v>4952.18</v>
      </c>
      <c r="E4" s="476">
        <v>0.03814</v>
      </c>
      <c r="F4" s="6">
        <v>4.7686</v>
      </c>
      <c r="G4" s="6">
        <v>2</v>
      </c>
    </row>
    <row r="5" ht="15.75" customHeight="1" spans="1:7">
      <c r="A5" s="4" t="s">
        <v>1135</v>
      </c>
      <c r="B5" s="5" t="s">
        <v>1136</v>
      </c>
      <c r="C5" s="4" t="s">
        <v>82</v>
      </c>
      <c r="D5" s="475">
        <v>30015.08</v>
      </c>
      <c r="E5" s="476">
        <v>0.03814</v>
      </c>
      <c r="F5" s="6">
        <v>7.4266</v>
      </c>
      <c r="G5" s="6">
        <v>1</v>
      </c>
    </row>
    <row r="6" ht="15.75" customHeight="1" spans="1:7">
      <c r="A6" s="4" t="s">
        <v>1137</v>
      </c>
      <c r="B6" s="5" t="s">
        <v>1138</v>
      </c>
      <c r="C6" s="4" t="s">
        <v>82</v>
      </c>
      <c r="D6" s="475">
        <v>8308.02</v>
      </c>
      <c r="E6" s="476">
        <v>0.03814</v>
      </c>
      <c r="F6" s="6">
        <v>5.1483</v>
      </c>
      <c r="G6" s="6">
        <v>1.75</v>
      </c>
    </row>
    <row r="7" ht="15.75" customHeight="1" spans="1:7">
      <c r="A7" s="4" t="s">
        <v>1139</v>
      </c>
      <c r="B7" s="5" t="s">
        <v>1140</v>
      </c>
      <c r="C7" s="4" t="s">
        <v>82</v>
      </c>
      <c r="D7" s="475">
        <v>10399.28</v>
      </c>
      <c r="E7" s="476">
        <v>0.03814</v>
      </c>
      <c r="F7" s="6">
        <v>5.4331</v>
      </c>
      <c r="G7" s="6">
        <v>1.6</v>
      </c>
    </row>
    <row r="8" ht="15.75" customHeight="1" spans="1:7">
      <c r="A8" s="4" t="s">
        <v>1141</v>
      </c>
      <c r="B8" s="5" t="s">
        <v>1142</v>
      </c>
      <c r="C8" s="4" t="s">
        <v>82</v>
      </c>
      <c r="D8" s="475">
        <v>15045.96</v>
      </c>
      <c r="E8" s="476">
        <v>0.03814</v>
      </c>
      <c r="F8" s="6">
        <v>5.7768</v>
      </c>
      <c r="G8" s="6">
        <v>1.45</v>
      </c>
    </row>
    <row r="9" ht="15.75" customHeight="1" spans="1:7">
      <c r="A9" s="4" t="s">
        <v>1143</v>
      </c>
      <c r="B9" s="5" t="s">
        <v>1144</v>
      </c>
      <c r="C9" s="4" t="s">
        <v>82</v>
      </c>
      <c r="D9" s="475">
        <v>21131.98</v>
      </c>
      <c r="E9" s="476">
        <v>0.03814</v>
      </c>
      <c r="F9" s="6">
        <v>6.3634</v>
      </c>
      <c r="G9" s="6">
        <v>1.25</v>
      </c>
    </row>
    <row r="10" ht="15.75" customHeight="1" spans="1:7">
      <c r="A10" s="4" t="s">
        <v>1145</v>
      </c>
      <c r="B10" s="5" t="s">
        <v>1146</v>
      </c>
      <c r="C10" s="4" t="s">
        <v>82</v>
      </c>
      <c r="D10" s="475">
        <v>2763.26</v>
      </c>
      <c r="E10" s="476">
        <v>0.03814</v>
      </c>
      <c r="F10" s="6">
        <v>4.237</v>
      </c>
      <c r="G10" s="6">
        <v>2.5</v>
      </c>
    </row>
    <row r="11" ht="15.75" customHeight="1" spans="1:7">
      <c r="A11" s="4" t="s">
        <v>1147</v>
      </c>
      <c r="B11" s="5" t="s">
        <v>1148</v>
      </c>
      <c r="C11" s="4" t="s">
        <v>82</v>
      </c>
      <c r="D11" s="475">
        <v>5211.21</v>
      </c>
      <c r="E11" s="476">
        <v>0.03814</v>
      </c>
      <c r="F11" s="6">
        <v>4.7686</v>
      </c>
      <c r="G11" s="6">
        <v>2</v>
      </c>
    </row>
    <row r="12" ht="15.75" customHeight="1" spans="1:7">
      <c r="A12" s="4" t="s">
        <v>1149</v>
      </c>
      <c r="B12" s="5" t="s">
        <v>1150</v>
      </c>
      <c r="C12" s="4" t="s">
        <v>82</v>
      </c>
      <c r="D12" s="475">
        <v>31416.15</v>
      </c>
      <c r="E12" s="476">
        <v>0.03814</v>
      </c>
      <c r="F12" s="6">
        <v>7.4266</v>
      </c>
      <c r="G12" s="6">
        <v>1</v>
      </c>
    </row>
    <row r="13" ht="15.75" customHeight="1" spans="1:7">
      <c r="A13" s="4" t="s">
        <v>1151</v>
      </c>
      <c r="B13" s="5" t="s">
        <v>1152</v>
      </c>
      <c r="C13" s="4" t="s">
        <v>82</v>
      </c>
      <c r="D13" s="475">
        <v>8200.6</v>
      </c>
      <c r="E13" s="476">
        <v>0.03814</v>
      </c>
      <c r="F13" s="6">
        <v>5.1483</v>
      </c>
      <c r="G13" s="6">
        <v>1.75</v>
      </c>
    </row>
    <row r="14" ht="15.75" customHeight="1" spans="1:7">
      <c r="A14" s="4" t="s">
        <v>1153</v>
      </c>
      <c r="B14" s="5" t="s">
        <v>1154</v>
      </c>
      <c r="C14" s="4" t="s">
        <v>82</v>
      </c>
      <c r="D14" s="475">
        <v>11996.09</v>
      </c>
      <c r="E14" s="476">
        <v>0.03814</v>
      </c>
      <c r="F14" s="6">
        <v>5.4331</v>
      </c>
      <c r="G14" s="6">
        <v>1.6</v>
      </c>
    </row>
    <row r="15" ht="15.75" customHeight="1" spans="1:7">
      <c r="A15" s="4" t="s">
        <v>1155</v>
      </c>
      <c r="B15" s="5" t="s">
        <v>1156</v>
      </c>
      <c r="C15" s="4" t="s">
        <v>82</v>
      </c>
      <c r="D15" s="475">
        <v>16898.81</v>
      </c>
      <c r="E15" s="476">
        <v>0.03814</v>
      </c>
      <c r="F15" s="6">
        <v>5.7768</v>
      </c>
      <c r="G15" s="6">
        <v>1.45</v>
      </c>
    </row>
    <row r="16" ht="15.75" customHeight="1" spans="1:7">
      <c r="A16" s="4" t="s">
        <v>1157</v>
      </c>
      <c r="B16" s="5" t="s">
        <v>1158</v>
      </c>
      <c r="C16" s="4" t="s">
        <v>82</v>
      </c>
      <c r="D16" s="475">
        <v>23379.56</v>
      </c>
      <c r="E16" s="476">
        <v>0.03814</v>
      </c>
      <c r="F16" s="6">
        <v>6.3634</v>
      </c>
      <c r="G16" s="6">
        <v>1.25</v>
      </c>
    </row>
    <row r="17" ht="15.75" customHeight="1" spans="1:7">
      <c r="A17" s="4" t="s">
        <v>1159</v>
      </c>
      <c r="B17" s="5" t="s">
        <v>1160</v>
      </c>
      <c r="C17" s="4" t="s">
        <v>82</v>
      </c>
      <c r="D17" s="475">
        <v>5031.24</v>
      </c>
      <c r="E17" s="476">
        <v>0.03814</v>
      </c>
      <c r="F17" s="6">
        <v>4.237</v>
      </c>
      <c r="G17" s="6">
        <v>2.5</v>
      </c>
    </row>
    <row r="18" ht="15.75" customHeight="1" spans="1:7">
      <c r="A18" s="4" t="s">
        <v>1161</v>
      </c>
      <c r="B18" s="5" t="s">
        <v>1162</v>
      </c>
      <c r="C18" s="4" t="s">
        <v>82</v>
      </c>
      <c r="D18" s="475">
        <v>6799.04</v>
      </c>
      <c r="E18" s="476">
        <v>0.03814</v>
      </c>
      <c r="F18" s="6">
        <v>4.7686</v>
      </c>
      <c r="G18" s="6">
        <v>2</v>
      </c>
    </row>
    <row r="19" ht="15.75" customHeight="1" spans="1:7">
      <c r="A19" s="4" t="s">
        <v>1163</v>
      </c>
      <c r="B19" s="5" t="s">
        <v>1164</v>
      </c>
      <c r="C19" s="4" t="s">
        <v>82</v>
      </c>
      <c r="D19" s="475">
        <v>49849.22</v>
      </c>
      <c r="E19" s="476">
        <v>0.03814</v>
      </c>
      <c r="F19" s="6">
        <v>7.4266</v>
      </c>
      <c r="G19" s="6">
        <v>1</v>
      </c>
    </row>
    <row r="20" ht="15.75" customHeight="1" spans="1:7">
      <c r="A20" s="4" t="s">
        <v>1165</v>
      </c>
      <c r="B20" s="5" t="s">
        <v>1166</v>
      </c>
      <c r="C20" s="4" t="s">
        <v>82</v>
      </c>
      <c r="D20" s="475">
        <v>9779.96</v>
      </c>
      <c r="E20" s="476">
        <v>0.03814</v>
      </c>
      <c r="F20" s="6">
        <v>5.1483</v>
      </c>
      <c r="G20" s="6">
        <v>1.75</v>
      </c>
    </row>
    <row r="21" ht="15.75" customHeight="1" spans="1:7">
      <c r="A21" s="4" t="s">
        <v>1167</v>
      </c>
      <c r="B21" s="5" t="s">
        <v>1168</v>
      </c>
      <c r="C21" s="4" t="s">
        <v>82</v>
      </c>
      <c r="D21" s="475">
        <v>18318.15</v>
      </c>
      <c r="E21" s="476">
        <v>0.03814</v>
      </c>
      <c r="F21" s="6">
        <v>5.4331</v>
      </c>
      <c r="G21" s="6">
        <v>1.6</v>
      </c>
    </row>
    <row r="22" ht="15.75" customHeight="1" spans="1:7">
      <c r="A22" s="4" t="s">
        <v>1169</v>
      </c>
      <c r="B22" s="5" t="s">
        <v>1170</v>
      </c>
      <c r="C22" s="4" t="s">
        <v>82</v>
      </c>
      <c r="D22" s="475">
        <v>25615</v>
      </c>
      <c r="E22" s="476">
        <v>0.03814</v>
      </c>
      <c r="F22" s="6">
        <v>5.7768</v>
      </c>
      <c r="G22" s="6">
        <v>1.45</v>
      </c>
    </row>
    <row r="23" ht="15.75" customHeight="1" spans="1:7">
      <c r="A23" s="4" t="s">
        <v>1171</v>
      </c>
      <c r="B23" s="5" t="s">
        <v>1172</v>
      </c>
      <c r="C23" s="4" t="s">
        <v>82</v>
      </c>
      <c r="D23" s="475">
        <v>27223.76</v>
      </c>
      <c r="E23" s="476">
        <v>0.03814</v>
      </c>
      <c r="F23" s="6">
        <v>6.3634</v>
      </c>
      <c r="G23" s="6">
        <v>1.25</v>
      </c>
    </row>
    <row r="24" ht="15.75" customHeight="1" spans="1:7">
      <c r="A24" s="4" t="s">
        <v>1173</v>
      </c>
      <c r="B24" s="5" t="s">
        <v>1174</v>
      </c>
      <c r="C24" s="4" t="s">
        <v>82</v>
      </c>
      <c r="D24" s="475">
        <v>5131.07</v>
      </c>
      <c r="E24" s="476">
        <v>0.03814</v>
      </c>
      <c r="F24" s="6">
        <v>4.237</v>
      </c>
      <c r="G24" s="6">
        <v>2.5</v>
      </c>
    </row>
    <row r="25" ht="15.75" customHeight="1" spans="1:7">
      <c r="A25" s="4" t="s">
        <v>1175</v>
      </c>
      <c r="B25" s="5" t="s">
        <v>1176</v>
      </c>
      <c r="C25" s="4" t="s">
        <v>82</v>
      </c>
      <c r="D25" s="475">
        <v>8544.64</v>
      </c>
      <c r="E25" s="476">
        <v>0.03814</v>
      </c>
      <c r="F25" s="6">
        <v>4.7686</v>
      </c>
      <c r="G25" s="6">
        <v>2</v>
      </c>
    </row>
    <row r="26" ht="15.75" customHeight="1" spans="1:7">
      <c r="A26" s="4" t="s">
        <v>1177</v>
      </c>
      <c r="B26" s="5" t="s">
        <v>1178</v>
      </c>
      <c r="C26" s="4" t="s">
        <v>82</v>
      </c>
      <c r="D26" s="475">
        <v>13384.04</v>
      </c>
      <c r="E26" s="476">
        <v>0.03814</v>
      </c>
      <c r="F26" s="6">
        <v>4.9085</v>
      </c>
      <c r="G26" s="6">
        <v>1.9</v>
      </c>
    </row>
    <row r="27" ht="15.75" customHeight="1" spans="1:7">
      <c r="A27" s="4" t="s">
        <v>1179</v>
      </c>
      <c r="B27" s="5" t="s">
        <v>1180</v>
      </c>
      <c r="C27" s="4" t="s">
        <v>82</v>
      </c>
      <c r="D27" s="475">
        <v>82822.82</v>
      </c>
      <c r="E27" s="476">
        <v>0.03814</v>
      </c>
      <c r="F27" s="6">
        <v>7.4266</v>
      </c>
      <c r="G27" s="6">
        <v>1</v>
      </c>
    </row>
    <row r="28" ht="15.75" customHeight="1" spans="1:7">
      <c r="A28" s="4" t="s">
        <v>1181</v>
      </c>
      <c r="B28" s="5" t="s">
        <v>1182</v>
      </c>
      <c r="C28" s="4" t="s">
        <v>82</v>
      </c>
      <c r="D28" s="475">
        <v>15357.19</v>
      </c>
      <c r="E28" s="476">
        <v>0.03814</v>
      </c>
      <c r="F28" s="6">
        <v>5.0639</v>
      </c>
      <c r="G28" s="6">
        <v>1.8</v>
      </c>
    </row>
    <row r="29" ht="15.75" customHeight="1" spans="1:7">
      <c r="A29" s="4" t="s">
        <v>1183</v>
      </c>
      <c r="B29" s="5" t="s">
        <v>1184</v>
      </c>
      <c r="C29" s="4" t="s">
        <v>82</v>
      </c>
      <c r="D29" s="475">
        <v>18515.77</v>
      </c>
      <c r="E29" s="476">
        <v>0.03814</v>
      </c>
      <c r="F29" s="6">
        <v>5.1483</v>
      </c>
      <c r="G29" s="6">
        <v>1.75</v>
      </c>
    </row>
    <row r="30" ht="15.75" customHeight="1" spans="1:7">
      <c r="A30" s="4" t="s">
        <v>1185</v>
      </c>
      <c r="B30" s="5" t="s">
        <v>1186</v>
      </c>
      <c r="C30" s="4" t="s">
        <v>82</v>
      </c>
      <c r="D30" s="475">
        <v>21028.27</v>
      </c>
      <c r="E30" s="476">
        <v>0.03814</v>
      </c>
      <c r="F30" s="6">
        <v>5.2377</v>
      </c>
      <c r="G30" s="6">
        <v>1.7</v>
      </c>
    </row>
    <row r="31" ht="15.75" customHeight="1" spans="1:7">
      <c r="A31" s="4" t="s">
        <v>1187</v>
      </c>
      <c r="B31" s="5" t="s">
        <v>1188</v>
      </c>
      <c r="C31" s="4" t="s">
        <v>82</v>
      </c>
      <c r="D31" s="475">
        <v>25531.74</v>
      </c>
      <c r="E31" s="476">
        <v>0.03814</v>
      </c>
      <c r="F31" s="6">
        <v>5.3324</v>
      </c>
      <c r="G31" s="6">
        <v>1.65</v>
      </c>
    </row>
    <row r="32" ht="15.75" customHeight="1" spans="1:7">
      <c r="A32" s="4" t="s">
        <v>1189</v>
      </c>
      <c r="B32" s="5" t="s">
        <v>1190</v>
      </c>
      <c r="C32" s="4" t="s">
        <v>82</v>
      </c>
      <c r="D32" s="475">
        <v>34765.94</v>
      </c>
      <c r="E32" s="476">
        <v>0.03814</v>
      </c>
      <c r="F32" s="6">
        <v>5.4331</v>
      </c>
      <c r="G32" s="6">
        <v>1.6</v>
      </c>
    </row>
    <row r="33" ht="15.75" customHeight="1" spans="1:7">
      <c r="A33" s="4" t="s">
        <v>1191</v>
      </c>
      <c r="B33" s="5" t="s">
        <v>1192</v>
      </c>
      <c r="C33" s="4" t="s">
        <v>82</v>
      </c>
      <c r="D33" s="475">
        <v>37391.12</v>
      </c>
      <c r="E33" s="476">
        <v>0.03814</v>
      </c>
      <c r="F33" s="6">
        <v>5.5403</v>
      </c>
      <c r="G33" s="6">
        <v>1.55</v>
      </c>
    </row>
    <row r="34" ht="15.75" customHeight="1" spans="1:7">
      <c r="A34" s="4" t="s">
        <v>1193</v>
      </c>
      <c r="B34" s="5" t="s">
        <v>1194</v>
      </c>
      <c r="C34" s="4" t="s">
        <v>82</v>
      </c>
      <c r="D34" s="475">
        <v>40253.59</v>
      </c>
      <c r="E34" s="476">
        <v>0.03814</v>
      </c>
      <c r="F34" s="6">
        <v>5.6546</v>
      </c>
      <c r="G34" s="6">
        <v>1.5</v>
      </c>
    </row>
    <row r="35" ht="15.75" customHeight="1" spans="1:7">
      <c r="A35" s="4" t="s">
        <v>1195</v>
      </c>
      <c r="B35" s="5" t="s">
        <v>1196</v>
      </c>
      <c r="C35" s="4" t="s">
        <v>82</v>
      </c>
      <c r="D35" s="475">
        <v>41843.51</v>
      </c>
      <c r="E35" s="476">
        <v>0.03814</v>
      </c>
      <c r="F35" s="6">
        <v>5.7768</v>
      </c>
      <c r="G35" s="6">
        <v>1.45</v>
      </c>
    </row>
    <row r="36" ht="15.75" customHeight="1" spans="1:7">
      <c r="A36" s="4" t="s">
        <v>1197</v>
      </c>
      <c r="B36" s="5" t="s">
        <v>1198</v>
      </c>
      <c r="C36" s="4" t="s">
        <v>82</v>
      </c>
      <c r="D36" s="475">
        <v>47125.17</v>
      </c>
      <c r="E36" s="476">
        <v>0.03814</v>
      </c>
      <c r="F36" s="6">
        <v>5.9078</v>
      </c>
      <c r="G36" s="6">
        <v>1.4</v>
      </c>
    </row>
    <row r="37" ht="15.75" customHeight="1" spans="1:7">
      <c r="A37" s="4" t="s">
        <v>1199</v>
      </c>
      <c r="B37" s="5" t="s">
        <v>1200</v>
      </c>
      <c r="C37" s="4" t="s">
        <v>82</v>
      </c>
      <c r="D37" s="475">
        <v>50887.08</v>
      </c>
      <c r="E37" s="476">
        <v>0.03814</v>
      </c>
      <c r="F37" s="6">
        <v>6.0484</v>
      </c>
      <c r="G37" s="6">
        <v>1.35</v>
      </c>
    </row>
    <row r="38" ht="15.75" customHeight="1" spans="1:7">
      <c r="A38" s="4" t="s">
        <v>1201</v>
      </c>
      <c r="B38" s="5" t="s">
        <v>1202</v>
      </c>
      <c r="C38" s="4" t="s">
        <v>82</v>
      </c>
      <c r="D38" s="475">
        <v>60343.01</v>
      </c>
      <c r="E38" s="476">
        <v>0.03814</v>
      </c>
      <c r="F38" s="6">
        <v>6.1998</v>
      </c>
      <c r="G38" s="6">
        <v>1.3</v>
      </c>
    </row>
    <row r="39" ht="15.75" customHeight="1" spans="1:7">
      <c r="A39" s="4" t="s">
        <v>1203</v>
      </c>
      <c r="B39" s="5" t="s">
        <v>1204</v>
      </c>
      <c r="C39" s="4" t="s">
        <v>82</v>
      </c>
      <c r="D39" s="475">
        <v>63308.78</v>
      </c>
      <c r="E39" s="476">
        <v>0.03814</v>
      </c>
      <c r="F39" s="6">
        <v>6.3634</v>
      </c>
      <c r="G39" s="6">
        <v>1.25</v>
      </c>
    </row>
    <row r="40" ht="15.75" customHeight="1" spans="1:7">
      <c r="A40" s="4" t="s">
        <v>1205</v>
      </c>
      <c r="B40" s="5" t="s">
        <v>1206</v>
      </c>
      <c r="C40" s="4" t="s">
        <v>82</v>
      </c>
      <c r="D40" s="475">
        <v>63160.77</v>
      </c>
      <c r="E40" s="476">
        <v>0.03814</v>
      </c>
      <c r="F40" s="6">
        <v>6.5407</v>
      </c>
      <c r="G40" s="6">
        <v>1.2</v>
      </c>
    </row>
    <row r="41" ht="15.75" customHeight="1" spans="1:7">
      <c r="A41" s="4" t="s">
        <v>1207</v>
      </c>
      <c r="B41" s="5" t="s">
        <v>1208</v>
      </c>
      <c r="C41" s="4" t="s">
        <v>82</v>
      </c>
      <c r="D41" s="475">
        <v>63192.91</v>
      </c>
      <c r="E41" s="476">
        <v>0.03814</v>
      </c>
      <c r="F41" s="6">
        <v>6.7333</v>
      </c>
      <c r="G41" s="6">
        <v>1.15</v>
      </c>
    </row>
    <row r="42" ht="15.75" customHeight="1" spans="1:7">
      <c r="A42" s="4" t="s">
        <v>1209</v>
      </c>
      <c r="B42" s="5" t="s">
        <v>1210</v>
      </c>
      <c r="C42" s="4" t="s">
        <v>82</v>
      </c>
      <c r="D42" s="475">
        <v>74337.86</v>
      </c>
      <c r="E42" s="476">
        <v>0.03814</v>
      </c>
      <c r="F42" s="6">
        <v>6.9434</v>
      </c>
      <c r="G42" s="6">
        <v>1.1</v>
      </c>
    </row>
    <row r="43" ht="15.75" customHeight="1" spans="1:7">
      <c r="A43" s="4" t="s">
        <v>1211</v>
      </c>
      <c r="B43" s="5" t="s">
        <v>1212</v>
      </c>
      <c r="C43" s="4" t="s">
        <v>82</v>
      </c>
      <c r="D43" s="475">
        <v>78866.39</v>
      </c>
      <c r="E43" s="476">
        <v>0.03814</v>
      </c>
      <c r="F43" s="6">
        <v>7.1735</v>
      </c>
      <c r="G43" s="6">
        <v>1.05</v>
      </c>
    </row>
    <row r="44" ht="15.75" customHeight="1" spans="1:7">
      <c r="A44" s="4" t="s">
        <v>1213</v>
      </c>
      <c r="B44" s="5" t="s">
        <v>1214</v>
      </c>
      <c r="C44" s="4" t="s">
        <v>82</v>
      </c>
      <c r="D44" s="475">
        <v>9104.58</v>
      </c>
      <c r="E44" s="476">
        <v>0.03814</v>
      </c>
      <c r="F44" s="6">
        <v>4.7686</v>
      </c>
      <c r="G44" s="6">
        <v>2</v>
      </c>
    </row>
    <row r="45" ht="15.75" customHeight="1" spans="1:7">
      <c r="A45" s="4" t="s">
        <v>1215</v>
      </c>
      <c r="B45" s="5" t="s">
        <v>1216</v>
      </c>
      <c r="C45" s="4" t="s">
        <v>82</v>
      </c>
      <c r="D45" s="475">
        <v>12632.34</v>
      </c>
      <c r="E45" s="476">
        <v>0.03814</v>
      </c>
      <c r="F45" s="6">
        <v>4.9085</v>
      </c>
      <c r="G45" s="6">
        <v>1.9</v>
      </c>
    </row>
    <row r="46" ht="15.75" customHeight="1" spans="1:7">
      <c r="A46" s="4" t="s">
        <v>1217</v>
      </c>
      <c r="B46" s="5" t="s">
        <v>1218</v>
      </c>
      <c r="C46" s="4" t="s">
        <v>82</v>
      </c>
      <c r="D46" s="475">
        <v>78860.88</v>
      </c>
      <c r="E46" s="476">
        <v>0.03814</v>
      </c>
      <c r="F46" s="6">
        <v>7.4266</v>
      </c>
      <c r="G46" s="6">
        <v>1</v>
      </c>
    </row>
    <row r="47" ht="15.75" customHeight="1" spans="1:7">
      <c r="A47" s="4" t="s">
        <v>1219</v>
      </c>
      <c r="B47" s="5" t="s">
        <v>1220</v>
      </c>
      <c r="C47" s="4" t="s">
        <v>82</v>
      </c>
      <c r="D47" s="475">
        <v>16563.37</v>
      </c>
      <c r="E47" s="476">
        <v>0.03814</v>
      </c>
      <c r="F47" s="6">
        <v>5.0639</v>
      </c>
      <c r="G47" s="6">
        <v>1.8</v>
      </c>
    </row>
    <row r="48" ht="15.75" customHeight="1" spans="1:7">
      <c r="A48" s="4" t="s">
        <v>1221</v>
      </c>
      <c r="B48" s="5" t="s">
        <v>1222</v>
      </c>
      <c r="C48" s="4" t="s">
        <v>82</v>
      </c>
      <c r="D48" s="475">
        <v>19803.56</v>
      </c>
      <c r="E48" s="476">
        <v>0.03814</v>
      </c>
      <c r="F48" s="6">
        <v>5.1483</v>
      </c>
      <c r="G48" s="6">
        <v>1.75</v>
      </c>
    </row>
    <row r="49" ht="15.75" customHeight="1" spans="1:7">
      <c r="A49" s="4" t="s">
        <v>1223</v>
      </c>
      <c r="B49" s="5" t="s">
        <v>1224</v>
      </c>
      <c r="C49" s="4" t="s">
        <v>82</v>
      </c>
      <c r="D49" s="475">
        <v>22863.98</v>
      </c>
      <c r="E49" s="476">
        <v>0.03814</v>
      </c>
      <c r="F49" s="6">
        <v>5.2377</v>
      </c>
      <c r="G49" s="6">
        <v>1.7</v>
      </c>
    </row>
    <row r="50" ht="15.75" customHeight="1" spans="1:7">
      <c r="A50" s="4" t="s">
        <v>1225</v>
      </c>
      <c r="B50" s="5" t="s">
        <v>1226</v>
      </c>
      <c r="C50" s="4" t="s">
        <v>82</v>
      </c>
      <c r="D50" s="475">
        <v>25850.88</v>
      </c>
      <c r="E50" s="476">
        <v>0.03814</v>
      </c>
      <c r="F50" s="6">
        <v>5.3324</v>
      </c>
      <c r="G50" s="6">
        <v>1.65</v>
      </c>
    </row>
    <row r="51" ht="15.75" customHeight="1" spans="1:7">
      <c r="A51" s="4" t="s">
        <v>1227</v>
      </c>
      <c r="B51" s="5" t="s">
        <v>1228</v>
      </c>
      <c r="C51" s="4" t="s">
        <v>82</v>
      </c>
      <c r="D51" s="475">
        <v>29309.31</v>
      </c>
      <c r="E51" s="476">
        <v>0.03814</v>
      </c>
      <c r="F51" s="6">
        <v>5.4331</v>
      </c>
      <c r="G51" s="6">
        <v>1.6</v>
      </c>
    </row>
    <row r="52" ht="15.75" customHeight="1" spans="1:7">
      <c r="A52" s="4" t="s">
        <v>1229</v>
      </c>
      <c r="B52" s="5" t="s">
        <v>1230</v>
      </c>
      <c r="C52" s="4" t="s">
        <v>82</v>
      </c>
      <c r="D52" s="475">
        <v>33826.25</v>
      </c>
      <c r="E52" s="476">
        <v>0.03814</v>
      </c>
      <c r="F52" s="6">
        <v>5.5403</v>
      </c>
      <c r="G52" s="6">
        <v>1.55</v>
      </c>
    </row>
    <row r="53" ht="15.75" customHeight="1" spans="1:7">
      <c r="A53" s="4" t="s">
        <v>1231</v>
      </c>
      <c r="B53" s="5" t="s">
        <v>1232</v>
      </c>
      <c r="C53" s="4" t="s">
        <v>82</v>
      </c>
      <c r="D53" s="475">
        <v>37650.97</v>
      </c>
      <c r="E53" s="476">
        <v>0.03814</v>
      </c>
      <c r="F53" s="6">
        <v>5.6546</v>
      </c>
      <c r="G53" s="6">
        <v>1.5</v>
      </c>
    </row>
    <row r="54" ht="15.75" customHeight="1" spans="1:7">
      <c r="A54" s="4" t="s">
        <v>1233</v>
      </c>
      <c r="B54" s="5" t="s">
        <v>1234</v>
      </c>
      <c r="C54" s="4" t="s">
        <v>82</v>
      </c>
      <c r="D54" s="475">
        <v>40717.61</v>
      </c>
      <c r="E54" s="476">
        <v>0.03814</v>
      </c>
      <c r="F54" s="6">
        <v>5.7768</v>
      </c>
      <c r="G54" s="6">
        <v>1.45</v>
      </c>
    </row>
    <row r="55" ht="15.75" customHeight="1" spans="1:7">
      <c r="A55" s="4" t="s">
        <v>1235</v>
      </c>
      <c r="B55" s="5" t="s">
        <v>1236</v>
      </c>
      <c r="C55" s="4" t="s">
        <v>82</v>
      </c>
      <c r="D55" s="475">
        <v>46123.87</v>
      </c>
      <c r="E55" s="476">
        <v>0.03814</v>
      </c>
      <c r="F55" s="6">
        <v>5.9078</v>
      </c>
      <c r="G55" s="6">
        <v>1.4</v>
      </c>
    </row>
    <row r="56" ht="15.75" customHeight="1" spans="1:7">
      <c r="A56" s="4" t="s">
        <v>1237</v>
      </c>
      <c r="B56" s="5" t="s">
        <v>1238</v>
      </c>
      <c r="C56" s="4" t="s">
        <v>82</v>
      </c>
      <c r="D56" s="475">
        <v>49834.85</v>
      </c>
      <c r="E56" s="476">
        <v>0.03814</v>
      </c>
      <c r="F56" s="6">
        <v>6.0484</v>
      </c>
      <c r="G56" s="6">
        <v>1.35</v>
      </c>
    </row>
    <row r="57" ht="15.75" customHeight="1" spans="1:7">
      <c r="A57" s="4" t="s">
        <v>1239</v>
      </c>
      <c r="B57" s="5" t="s">
        <v>1240</v>
      </c>
      <c r="C57" s="4" t="s">
        <v>82</v>
      </c>
      <c r="D57" s="475">
        <v>53641.96</v>
      </c>
      <c r="E57" s="476">
        <v>0.03814</v>
      </c>
      <c r="F57" s="6">
        <v>6.1998</v>
      </c>
      <c r="G57" s="6">
        <v>1.3</v>
      </c>
    </row>
    <row r="58" ht="15.75" customHeight="1" spans="1:7">
      <c r="A58" s="4" t="s">
        <v>1241</v>
      </c>
      <c r="B58" s="5" t="s">
        <v>1242</v>
      </c>
      <c r="C58" s="4" t="s">
        <v>82</v>
      </c>
      <c r="D58" s="475">
        <v>57845.93</v>
      </c>
      <c r="E58" s="476">
        <v>0.03814</v>
      </c>
      <c r="F58" s="6">
        <v>6.3634</v>
      </c>
      <c r="G58" s="6">
        <v>1.25</v>
      </c>
    </row>
    <row r="59" ht="15.75" customHeight="1" spans="1:7">
      <c r="A59" s="4" t="s">
        <v>1243</v>
      </c>
      <c r="B59" s="5" t="s">
        <v>1244</v>
      </c>
      <c r="C59" s="4" t="s">
        <v>82</v>
      </c>
      <c r="D59" s="475">
        <v>61529.82</v>
      </c>
      <c r="E59" s="476">
        <v>0.03814</v>
      </c>
      <c r="F59" s="6">
        <v>6.5407</v>
      </c>
      <c r="G59" s="6">
        <v>1.2</v>
      </c>
    </row>
    <row r="60" ht="15.75" customHeight="1" spans="1:7">
      <c r="A60" s="4" t="s">
        <v>1245</v>
      </c>
      <c r="B60" s="5" t="s">
        <v>1246</v>
      </c>
      <c r="C60" s="4" t="s">
        <v>82</v>
      </c>
      <c r="D60" s="475">
        <v>67004.15</v>
      </c>
      <c r="E60" s="476">
        <v>0.03814</v>
      </c>
      <c r="F60" s="6">
        <v>6.7333</v>
      </c>
      <c r="G60" s="6">
        <v>1.15</v>
      </c>
    </row>
    <row r="61" ht="15.75" customHeight="1" spans="1:7">
      <c r="A61" s="4" t="s">
        <v>1247</v>
      </c>
      <c r="B61" s="5" t="s">
        <v>1248</v>
      </c>
      <c r="C61" s="4" t="s">
        <v>82</v>
      </c>
      <c r="D61" s="475">
        <v>70820.35</v>
      </c>
      <c r="E61" s="476">
        <v>0.03814</v>
      </c>
      <c r="F61" s="6">
        <v>6.9434</v>
      </c>
      <c r="G61" s="6">
        <v>1.1</v>
      </c>
    </row>
    <row r="62" ht="15.75" customHeight="1" spans="1:7">
      <c r="A62" s="4" t="s">
        <v>1249</v>
      </c>
      <c r="B62" s="5" t="s">
        <v>1250</v>
      </c>
      <c r="C62" s="4" t="s">
        <v>82</v>
      </c>
      <c r="D62" s="475">
        <v>75120.24</v>
      </c>
      <c r="E62" s="476">
        <v>0.03814</v>
      </c>
      <c r="F62" s="6">
        <v>7.1735</v>
      </c>
      <c r="G62" s="6">
        <v>1.05</v>
      </c>
    </row>
    <row r="63" ht="15.75" customHeight="1" spans="1:7">
      <c r="A63" s="4" t="s">
        <v>1251</v>
      </c>
      <c r="B63" s="5" t="s">
        <v>1252</v>
      </c>
      <c r="C63" s="4" t="s">
        <v>82</v>
      </c>
      <c r="D63" s="475">
        <v>12159.34</v>
      </c>
      <c r="E63" s="476">
        <v>0.03814</v>
      </c>
      <c r="F63" s="6">
        <v>4.7686</v>
      </c>
      <c r="G63" s="6">
        <v>2</v>
      </c>
    </row>
    <row r="64" ht="15.75" customHeight="1" spans="1:7">
      <c r="A64" s="4" t="s">
        <v>1253</v>
      </c>
      <c r="B64" s="5" t="s">
        <v>1254</v>
      </c>
      <c r="C64" s="4" t="s">
        <v>82</v>
      </c>
      <c r="D64" s="475">
        <v>16452.41</v>
      </c>
      <c r="E64" s="476">
        <v>0.03814</v>
      </c>
      <c r="F64" s="6">
        <v>4.9085</v>
      </c>
      <c r="G64" s="6">
        <v>1.9</v>
      </c>
    </row>
    <row r="65" ht="15.75" customHeight="1" spans="1:7">
      <c r="A65" s="4" t="s">
        <v>1255</v>
      </c>
      <c r="B65" s="5" t="s">
        <v>1256</v>
      </c>
      <c r="C65" s="4" t="s">
        <v>82</v>
      </c>
      <c r="D65" s="475">
        <v>90102.95</v>
      </c>
      <c r="E65" s="476">
        <v>0.03814</v>
      </c>
      <c r="F65" s="6">
        <v>7.4266</v>
      </c>
      <c r="G65" s="6">
        <v>1</v>
      </c>
    </row>
    <row r="66" ht="15.75" customHeight="1" spans="1:7">
      <c r="A66" s="4" t="s">
        <v>1257</v>
      </c>
      <c r="B66" s="5" t="s">
        <v>1258</v>
      </c>
      <c r="C66" s="4" t="s">
        <v>82</v>
      </c>
      <c r="D66" s="475">
        <v>20053.71</v>
      </c>
      <c r="E66" s="476">
        <v>0.03814</v>
      </c>
      <c r="F66" s="6">
        <v>5.0639</v>
      </c>
      <c r="G66" s="6">
        <v>1.8</v>
      </c>
    </row>
    <row r="67" ht="15.75" customHeight="1" spans="1:7">
      <c r="A67" s="4" t="s">
        <v>1259</v>
      </c>
      <c r="B67" s="5" t="s">
        <v>1260</v>
      </c>
      <c r="C67" s="4" t="s">
        <v>82</v>
      </c>
      <c r="D67" s="475">
        <v>23798.09</v>
      </c>
      <c r="E67" s="476">
        <v>0.03814</v>
      </c>
      <c r="F67" s="6">
        <v>5.1483</v>
      </c>
      <c r="G67" s="6">
        <v>1.75</v>
      </c>
    </row>
    <row r="68" ht="15.75" customHeight="1" spans="1:7">
      <c r="A68" s="4" t="s">
        <v>1261</v>
      </c>
      <c r="B68" s="5" t="s">
        <v>1262</v>
      </c>
      <c r="C68" s="4" t="s">
        <v>82</v>
      </c>
      <c r="D68" s="475">
        <v>27214.89</v>
      </c>
      <c r="E68" s="476">
        <v>0.03814</v>
      </c>
      <c r="F68" s="6">
        <v>5.2377</v>
      </c>
      <c r="G68" s="6">
        <v>1.7</v>
      </c>
    </row>
    <row r="69" ht="15.75" customHeight="1" spans="1:7">
      <c r="A69" s="4" t="s">
        <v>1263</v>
      </c>
      <c r="B69" s="5" t="s">
        <v>1264</v>
      </c>
      <c r="C69" s="4" t="s">
        <v>82</v>
      </c>
      <c r="D69" s="475">
        <v>31544.71</v>
      </c>
      <c r="E69" s="476">
        <v>0.03814</v>
      </c>
      <c r="F69" s="6">
        <v>5.3324</v>
      </c>
      <c r="G69" s="6">
        <v>1.65</v>
      </c>
    </row>
    <row r="70" ht="15.75" customHeight="1" spans="1:7">
      <c r="A70" s="4" t="s">
        <v>1265</v>
      </c>
      <c r="B70" s="5" t="s">
        <v>1266</v>
      </c>
      <c r="C70" s="4" t="s">
        <v>82</v>
      </c>
      <c r="D70" s="475">
        <v>35317.94</v>
      </c>
      <c r="E70" s="476">
        <v>0.03814</v>
      </c>
      <c r="F70" s="6">
        <v>5.4331</v>
      </c>
      <c r="G70" s="6">
        <v>1.6</v>
      </c>
    </row>
    <row r="71" ht="15.75" customHeight="1" spans="1:7">
      <c r="A71" s="4" t="s">
        <v>1267</v>
      </c>
      <c r="B71" s="5" t="s">
        <v>1268</v>
      </c>
      <c r="C71" s="4" t="s">
        <v>82</v>
      </c>
      <c r="D71" s="475">
        <v>40304.22</v>
      </c>
      <c r="E71" s="476">
        <v>0.03814</v>
      </c>
      <c r="F71" s="6">
        <v>5.5403</v>
      </c>
      <c r="G71" s="6">
        <v>1.55</v>
      </c>
    </row>
    <row r="72" ht="15.75" customHeight="1" spans="1:7">
      <c r="A72" s="4" t="s">
        <v>1269</v>
      </c>
      <c r="B72" s="5" t="s">
        <v>1270</v>
      </c>
      <c r="C72" s="4" t="s">
        <v>82</v>
      </c>
      <c r="D72" s="475">
        <v>49239.45</v>
      </c>
      <c r="E72" s="476">
        <v>0.03814</v>
      </c>
      <c r="F72" s="6">
        <v>5.6546</v>
      </c>
      <c r="G72" s="6">
        <v>1.5</v>
      </c>
    </row>
    <row r="73" ht="15.75" customHeight="1" spans="1:7">
      <c r="A73" s="4" t="s">
        <v>1271</v>
      </c>
      <c r="B73" s="5" t="s">
        <v>1272</v>
      </c>
      <c r="C73" s="4" t="s">
        <v>82</v>
      </c>
      <c r="D73" s="475">
        <v>48384.83</v>
      </c>
      <c r="E73" s="476">
        <v>0.03814</v>
      </c>
      <c r="F73" s="6">
        <v>5.7768</v>
      </c>
      <c r="G73" s="6">
        <v>1.45</v>
      </c>
    </row>
    <row r="74" ht="15.75" customHeight="1" spans="1:7">
      <c r="A74" s="4" t="s">
        <v>1273</v>
      </c>
      <c r="B74" s="5" t="s">
        <v>1274</v>
      </c>
      <c r="C74" s="4" t="s">
        <v>82</v>
      </c>
      <c r="D74" s="475">
        <v>54302.51</v>
      </c>
      <c r="E74" s="476">
        <v>0.03814</v>
      </c>
      <c r="F74" s="6">
        <v>5.9078</v>
      </c>
      <c r="G74" s="6">
        <v>1.4</v>
      </c>
    </row>
    <row r="75" ht="15.75" customHeight="1" spans="1:7">
      <c r="A75" s="4" t="s">
        <v>1275</v>
      </c>
      <c r="B75" s="5" t="s">
        <v>1276</v>
      </c>
      <c r="C75" s="4" t="s">
        <v>82</v>
      </c>
      <c r="D75" s="475">
        <v>57942.04</v>
      </c>
      <c r="E75" s="476">
        <v>0.03814</v>
      </c>
      <c r="F75" s="6">
        <v>6.0484</v>
      </c>
      <c r="G75" s="6">
        <v>1.35</v>
      </c>
    </row>
    <row r="76" ht="15.75" customHeight="1" spans="1:7">
      <c r="A76" s="4" t="s">
        <v>1277</v>
      </c>
      <c r="B76" s="5" t="s">
        <v>1278</v>
      </c>
      <c r="C76" s="4" t="s">
        <v>82</v>
      </c>
      <c r="D76" s="475">
        <v>62219.97</v>
      </c>
      <c r="E76" s="476">
        <v>0.03814</v>
      </c>
      <c r="F76" s="6">
        <v>6.1998</v>
      </c>
      <c r="G76" s="6">
        <v>1.3</v>
      </c>
    </row>
    <row r="77" ht="15.75" customHeight="1" spans="1:7">
      <c r="A77" s="4" t="s">
        <v>1279</v>
      </c>
      <c r="B77" s="5" t="s">
        <v>1280</v>
      </c>
      <c r="C77" s="4" t="s">
        <v>82</v>
      </c>
      <c r="D77" s="475">
        <v>66781.86</v>
      </c>
      <c r="E77" s="476">
        <v>0.03814</v>
      </c>
      <c r="F77" s="6">
        <v>6.3634</v>
      </c>
      <c r="G77" s="6">
        <v>1.25</v>
      </c>
    </row>
    <row r="78" ht="15.75" customHeight="1" spans="1:7">
      <c r="A78" s="4" t="s">
        <v>1281</v>
      </c>
      <c r="B78" s="5" t="s">
        <v>1282</v>
      </c>
      <c r="C78" s="4" t="s">
        <v>82</v>
      </c>
      <c r="D78" s="475">
        <v>70944.6</v>
      </c>
      <c r="E78" s="476">
        <v>0.03814</v>
      </c>
      <c r="F78" s="6">
        <v>6.5407</v>
      </c>
      <c r="G78" s="6">
        <v>1.2</v>
      </c>
    </row>
    <row r="79" ht="15.75" customHeight="1" spans="1:7">
      <c r="A79" s="4" t="s">
        <v>1283</v>
      </c>
      <c r="B79" s="5" t="s">
        <v>1284</v>
      </c>
      <c r="C79" s="4" t="s">
        <v>82</v>
      </c>
      <c r="D79" s="475">
        <v>76448.41</v>
      </c>
      <c r="E79" s="476">
        <v>0.03814</v>
      </c>
      <c r="F79" s="6">
        <v>6.7333</v>
      </c>
      <c r="G79" s="6">
        <v>1.15</v>
      </c>
    </row>
    <row r="80" ht="15.75" customHeight="1" spans="1:7">
      <c r="A80" s="4" t="s">
        <v>1285</v>
      </c>
      <c r="B80" s="5" t="s">
        <v>1286</v>
      </c>
      <c r="C80" s="4" t="s">
        <v>82</v>
      </c>
      <c r="D80" s="475">
        <v>80921.84</v>
      </c>
      <c r="E80" s="476">
        <v>0.03814</v>
      </c>
      <c r="F80" s="6">
        <v>6.9434</v>
      </c>
      <c r="G80" s="6">
        <v>1.1</v>
      </c>
    </row>
    <row r="81" ht="15.75" customHeight="1" spans="1:7">
      <c r="A81" s="4" t="s">
        <v>1287</v>
      </c>
      <c r="B81" s="5" t="s">
        <v>1288</v>
      </c>
      <c r="C81" s="4" t="s">
        <v>82</v>
      </c>
      <c r="D81" s="475">
        <v>85564.24</v>
      </c>
      <c r="E81" s="476">
        <v>0.03814</v>
      </c>
      <c r="F81" s="6">
        <v>7.1735</v>
      </c>
      <c r="G81" s="6">
        <v>1.05</v>
      </c>
    </row>
    <row r="82" ht="15.75" customHeight="1" spans="1:7">
      <c r="A82" s="4" t="s">
        <v>1289</v>
      </c>
      <c r="B82" s="5" t="s">
        <v>1290</v>
      </c>
      <c r="C82" s="4" t="s">
        <v>9</v>
      </c>
      <c r="D82" s="475">
        <v>298.98</v>
      </c>
      <c r="E82" s="476">
        <v>0.03814</v>
      </c>
      <c r="F82" s="6">
        <v>0.8119</v>
      </c>
      <c r="G82" s="6">
        <v>2.5</v>
      </c>
    </row>
    <row r="83" ht="15.75" customHeight="1" spans="1:7">
      <c r="A83" s="4" t="s">
        <v>1291</v>
      </c>
      <c r="B83" s="5" t="s">
        <v>1292</v>
      </c>
      <c r="C83" s="4" t="s">
        <v>9</v>
      </c>
      <c r="D83" s="475">
        <v>328.41</v>
      </c>
      <c r="E83" s="476">
        <v>0.03814</v>
      </c>
      <c r="F83" s="6">
        <v>0.9226</v>
      </c>
      <c r="G83" s="6">
        <v>2.2</v>
      </c>
    </row>
    <row r="84" ht="15.75" customHeight="1" spans="1:7">
      <c r="A84" s="4" t="s">
        <v>1293</v>
      </c>
      <c r="B84" s="5" t="s">
        <v>1294</v>
      </c>
      <c r="C84" s="4" t="s">
        <v>9</v>
      </c>
      <c r="D84" s="475">
        <v>490.04</v>
      </c>
      <c r="E84" s="476">
        <v>0.03814</v>
      </c>
      <c r="F84" s="6">
        <v>1.0149</v>
      </c>
      <c r="G84" s="6">
        <v>2</v>
      </c>
    </row>
    <row r="85" ht="15.75" customHeight="1" spans="1:7">
      <c r="A85" s="4" t="s">
        <v>1295</v>
      </c>
      <c r="B85" s="5" t="s">
        <v>1296</v>
      </c>
      <c r="C85" s="4" t="s">
        <v>9</v>
      </c>
      <c r="D85" s="475">
        <v>571.6</v>
      </c>
      <c r="E85" s="476">
        <v>0.03814</v>
      </c>
      <c r="F85" s="6">
        <v>1.1277</v>
      </c>
      <c r="G85" s="6">
        <v>1.8</v>
      </c>
    </row>
    <row r="86" ht="15.75" customHeight="1" spans="1:7">
      <c r="A86" s="4" t="s">
        <v>1297</v>
      </c>
      <c r="B86" s="5" t="s">
        <v>1298</v>
      </c>
      <c r="C86" s="4" t="s">
        <v>9</v>
      </c>
      <c r="D86" s="475">
        <v>603.35</v>
      </c>
      <c r="E86" s="476">
        <v>0.03814</v>
      </c>
      <c r="F86" s="6">
        <v>1.194</v>
      </c>
      <c r="G86" s="6">
        <v>1.7</v>
      </c>
    </row>
    <row r="87" ht="15.75" customHeight="1" spans="1:7">
      <c r="A87" s="4" t="s">
        <v>1299</v>
      </c>
      <c r="B87" s="5" t="s">
        <v>1300</v>
      </c>
      <c r="C87" s="4" t="s">
        <v>9</v>
      </c>
      <c r="D87" s="475">
        <v>0</v>
      </c>
      <c r="E87" s="476">
        <v>0</v>
      </c>
      <c r="F87" s="6">
        <v>0</v>
      </c>
      <c r="G87" s="6">
        <v>1</v>
      </c>
    </row>
    <row r="88" ht="15.75" customHeight="1" spans="1:7">
      <c r="A88" s="477" t="s">
        <v>1301</v>
      </c>
      <c r="B88" s="5" t="s">
        <v>1302</v>
      </c>
      <c r="C88" s="4" t="s">
        <v>9</v>
      </c>
      <c r="D88" s="475">
        <v>35.54</v>
      </c>
      <c r="E88" s="476">
        <v>0.03814</v>
      </c>
      <c r="F88" s="6">
        <v>0.5974</v>
      </c>
      <c r="G88" s="6">
        <v>5</v>
      </c>
    </row>
    <row r="89" ht="15.75" customHeight="1" spans="1:7">
      <c r="A89" s="4" t="s">
        <v>1303</v>
      </c>
      <c r="B89" s="5" t="s">
        <v>1304</v>
      </c>
      <c r="C89" s="4" t="s">
        <v>101</v>
      </c>
      <c r="D89" s="475">
        <v>13.55</v>
      </c>
      <c r="E89" s="476">
        <v>0</v>
      </c>
      <c r="F89" s="6">
        <v>0</v>
      </c>
      <c r="G89" s="6">
        <v>1</v>
      </c>
    </row>
    <row r="90" ht="15.75" customHeight="1" spans="1:7">
      <c r="A90" s="4" t="s">
        <v>1305</v>
      </c>
      <c r="B90" s="5" t="s">
        <v>100</v>
      </c>
      <c r="C90" s="4" t="s">
        <v>101</v>
      </c>
      <c r="D90" s="475">
        <v>13.74</v>
      </c>
      <c r="E90" s="476">
        <v>0</v>
      </c>
      <c r="F90" s="6">
        <v>0</v>
      </c>
      <c r="G90" s="6">
        <v>1</v>
      </c>
    </row>
    <row r="91" ht="15.75" customHeight="1" spans="1:7">
      <c r="A91" s="4" t="s">
        <v>1306</v>
      </c>
      <c r="B91" s="5" t="s">
        <v>129</v>
      </c>
      <c r="C91" s="4" t="s">
        <v>101</v>
      </c>
      <c r="D91" s="475">
        <v>14.86</v>
      </c>
      <c r="E91" s="476">
        <v>0</v>
      </c>
      <c r="F91" s="6">
        <v>0</v>
      </c>
      <c r="G91" s="6">
        <v>1</v>
      </c>
    </row>
    <row r="92" ht="15.75" customHeight="1" spans="1:7">
      <c r="A92" s="4" t="s">
        <v>1307</v>
      </c>
      <c r="B92" s="5" t="s">
        <v>1308</v>
      </c>
      <c r="C92" s="4" t="s">
        <v>101</v>
      </c>
      <c r="D92" s="475">
        <v>17.2</v>
      </c>
      <c r="E92" s="476">
        <v>0.03632</v>
      </c>
      <c r="F92" s="6">
        <v>0.3359</v>
      </c>
      <c r="G92" s="6">
        <v>1</v>
      </c>
    </row>
    <row r="93" ht="15.75" customHeight="1" spans="1:7">
      <c r="A93" s="4" t="s">
        <v>1309</v>
      </c>
      <c r="B93" s="5" t="s">
        <v>1310</v>
      </c>
      <c r="C93" s="4" t="s">
        <v>82</v>
      </c>
      <c r="D93" s="475">
        <v>17.95</v>
      </c>
      <c r="E93" s="476">
        <v>0</v>
      </c>
      <c r="F93" s="6">
        <v>0</v>
      </c>
      <c r="G93" s="6">
        <v>15.56</v>
      </c>
    </row>
    <row r="94" ht="15.75" customHeight="1" spans="1:7">
      <c r="A94" s="4" t="s">
        <v>1311</v>
      </c>
      <c r="B94" s="5" t="s">
        <v>1312</v>
      </c>
      <c r="C94" s="4" t="s">
        <v>82</v>
      </c>
      <c r="D94" s="475">
        <v>24.49</v>
      </c>
      <c r="E94" s="476">
        <v>0</v>
      </c>
      <c r="F94" s="6">
        <v>0</v>
      </c>
      <c r="G94" s="6">
        <v>12.77</v>
      </c>
    </row>
    <row r="95" ht="15.75" customHeight="1" spans="1:7">
      <c r="A95" s="4" t="s">
        <v>1313</v>
      </c>
      <c r="B95" s="5" t="s">
        <v>1314</v>
      </c>
      <c r="C95" s="4" t="s">
        <v>82</v>
      </c>
      <c r="D95" s="475">
        <v>34.17</v>
      </c>
      <c r="E95" s="476">
        <v>0</v>
      </c>
      <c r="F95" s="6">
        <v>0</v>
      </c>
      <c r="G95" s="6">
        <v>10.83</v>
      </c>
    </row>
    <row r="96" ht="15.75" customHeight="1" spans="1:7">
      <c r="A96" s="4" t="s">
        <v>1315</v>
      </c>
      <c r="B96" s="5" t="s">
        <v>1316</v>
      </c>
      <c r="C96" s="4" t="s">
        <v>82</v>
      </c>
      <c r="D96" s="475">
        <v>45.51</v>
      </c>
      <c r="E96" s="476">
        <v>0</v>
      </c>
      <c r="F96" s="6">
        <v>0</v>
      </c>
      <c r="G96" s="6">
        <v>9.05455</v>
      </c>
    </row>
    <row r="97" ht="15.75" customHeight="1" spans="1:7">
      <c r="A97" s="4" t="s">
        <v>1317</v>
      </c>
      <c r="B97" s="5" t="s">
        <v>1318</v>
      </c>
      <c r="C97" s="4" t="s">
        <v>82</v>
      </c>
      <c r="D97" s="475">
        <v>66.89</v>
      </c>
      <c r="E97" s="476">
        <v>0</v>
      </c>
      <c r="F97" s="6">
        <v>0</v>
      </c>
      <c r="G97" s="6">
        <v>7.32353</v>
      </c>
    </row>
    <row r="98" ht="15.75" customHeight="1" spans="1:7">
      <c r="A98" s="4" t="s">
        <v>1319</v>
      </c>
      <c r="B98" s="5" t="s">
        <v>1320</v>
      </c>
      <c r="C98" s="4" t="s">
        <v>82</v>
      </c>
      <c r="D98" s="475">
        <v>21.42</v>
      </c>
      <c r="E98" s="476">
        <v>0</v>
      </c>
      <c r="F98" s="6">
        <v>0</v>
      </c>
      <c r="G98" s="6">
        <v>16.6</v>
      </c>
    </row>
    <row r="99" ht="15.75" customHeight="1" spans="1:7">
      <c r="A99" s="4" t="s">
        <v>1321</v>
      </c>
      <c r="B99" s="5" t="s">
        <v>1322</v>
      </c>
      <c r="C99" s="4" t="s">
        <v>82</v>
      </c>
      <c r="D99" s="475">
        <v>26.9</v>
      </c>
      <c r="E99" s="476">
        <v>0</v>
      </c>
      <c r="F99" s="6">
        <v>0</v>
      </c>
      <c r="G99" s="6">
        <v>15.09</v>
      </c>
    </row>
    <row r="100" ht="15.75" customHeight="1" spans="1:7">
      <c r="A100" s="4" t="s">
        <v>1323</v>
      </c>
      <c r="B100" s="5" t="s">
        <v>1324</v>
      </c>
      <c r="C100" s="4" t="s">
        <v>82</v>
      </c>
      <c r="D100" s="475">
        <v>40.11</v>
      </c>
      <c r="E100" s="476">
        <v>0</v>
      </c>
      <c r="F100" s="6">
        <v>0</v>
      </c>
      <c r="G100" s="6">
        <v>13.46</v>
      </c>
    </row>
    <row r="101" ht="15.75" customHeight="1" spans="1:7">
      <c r="A101" s="4" t="s">
        <v>1325</v>
      </c>
      <c r="B101" s="5" t="s">
        <v>1326</v>
      </c>
      <c r="C101" s="4" t="s">
        <v>82</v>
      </c>
      <c r="D101" s="475">
        <v>67.27</v>
      </c>
      <c r="E101" s="476">
        <v>0</v>
      </c>
      <c r="F101" s="6">
        <v>0</v>
      </c>
      <c r="G101" s="6">
        <v>11.07</v>
      </c>
    </row>
    <row r="102" ht="15.75" customHeight="1" spans="1:7">
      <c r="A102" s="4" t="s">
        <v>1327</v>
      </c>
      <c r="B102" s="5" t="s">
        <v>1328</v>
      </c>
      <c r="C102" s="4" t="s">
        <v>82</v>
      </c>
      <c r="D102" s="475">
        <v>130.8</v>
      </c>
      <c r="E102" s="476">
        <v>0</v>
      </c>
      <c r="F102" s="6">
        <v>0</v>
      </c>
      <c r="G102" s="6">
        <v>9.96</v>
      </c>
    </row>
    <row r="103" ht="15.75" customHeight="1" spans="1:7">
      <c r="A103" s="4" t="s">
        <v>1329</v>
      </c>
      <c r="B103" s="5" t="s">
        <v>1330</v>
      </c>
      <c r="C103" s="4" t="s">
        <v>101</v>
      </c>
      <c r="D103" s="475">
        <v>11.28</v>
      </c>
      <c r="E103" s="476">
        <v>0</v>
      </c>
      <c r="F103" s="6">
        <v>0</v>
      </c>
      <c r="G103" s="6">
        <v>1</v>
      </c>
    </row>
    <row r="104" ht="15.75" customHeight="1" spans="1:7">
      <c r="A104" s="4" t="s">
        <v>1331</v>
      </c>
      <c r="B104" s="5" t="s">
        <v>1332</v>
      </c>
      <c r="C104" s="4" t="s">
        <v>101</v>
      </c>
      <c r="D104" s="475">
        <v>12.12</v>
      </c>
      <c r="E104" s="476">
        <v>0</v>
      </c>
      <c r="F104" s="6">
        <v>0</v>
      </c>
      <c r="G104" s="6">
        <v>25</v>
      </c>
    </row>
    <row r="105" ht="30" customHeight="1" spans="1:7">
      <c r="A105" s="4" t="s">
        <v>1333</v>
      </c>
      <c r="B105" s="5" t="s">
        <v>1334</v>
      </c>
      <c r="C105" s="4" t="s">
        <v>9</v>
      </c>
      <c r="D105" s="475">
        <v>55920.6</v>
      </c>
      <c r="E105" s="476">
        <v>0.04722</v>
      </c>
      <c r="F105" s="6">
        <v>110.3209</v>
      </c>
      <c r="G105" s="6">
        <v>0.25</v>
      </c>
    </row>
    <row r="106" ht="30" customHeight="1" spans="1:7">
      <c r="A106" s="4" t="s">
        <v>1335</v>
      </c>
      <c r="B106" s="5" t="s">
        <v>1336</v>
      </c>
      <c r="C106" s="4" t="s">
        <v>9</v>
      </c>
      <c r="D106" s="475">
        <v>55352.07</v>
      </c>
      <c r="E106" s="476">
        <v>0.04722</v>
      </c>
      <c r="F106" s="6">
        <v>110.3209</v>
      </c>
      <c r="G106" s="6">
        <v>0.25</v>
      </c>
    </row>
    <row r="107" ht="30" customHeight="1" spans="1:7">
      <c r="A107" s="4" t="s">
        <v>1337</v>
      </c>
      <c r="B107" s="5" t="s">
        <v>1338</v>
      </c>
      <c r="C107" s="4" t="s">
        <v>9</v>
      </c>
      <c r="D107" s="475">
        <v>56701.83</v>
      </c>
      <c r="E107" s="476">
        <v>0.04722</v>
      </c>
      <c r="F107" s="6">
        <v>115.0345</v>
      </c>
      <c r="G107" s="6">
        <v>0.24</v>
      </c>
    </row>
    <row r="108" ht="30" customHeight="1" spans="1:7">
      <c r="A108" s="4" t="s">
        <v>1339</v>
      </c>
      <c r="B108" s="5" t="s">
        <v>1340</v>
      </c>
      <c r="C108" s="4" t="s">
        <v>9</v>
      </c>
      <c r="D108" s="475">
        <v>55773.75</v>
      </c>
      <c r="E108" s="476">
        <v>0.04722</v>
      </c>
      <c r="F108" s="6">
        <v>115.0345</v>
      </c>
      <c r="G108" s="6">
        <v>0.24</v>
      </c>
    </row>
    <row r="109" ht="30" customHeight="1" spans="1:7">
      <c r="A109" s="4" t="s">
        <v>1341</v>
      </c>
      <c r="B109" s="5" t="s">
        <v>1342</v>
      </c>
      <c r="C109" s="4" t="s">
        <v>9</v>
      </c>
      <c r="D109" s="475">
        <v>51586.57</v>
      </c>
      <c r="E109" s="476">
        <v>0.04722</v>
      </c>
      <c r="F109" s="6">
        <v>77.5721</v>
      </c>
      <c r="G109" s="6">
        <v>0.35</v>
      </c>
    </row>
    <row r="110" ht="30" customHeight="1" spans="1:7">
      <c r="A110" s="4" t="s">
        <v>1343</v>
      </c>
      <c r="B110" s="5" t="s">
        <v>1344</v>
      </c>
      <c r="C110" s="4" t="s">
        <v>9</v>
      </c>
      <c r="D110" s="475">
        <v>51440.01</v>
      </c>
      <c r="E110" s="476">
        <v>0.04722</v>
      </c>
      <c r="F110" s="6">
        <v>77.5721</v>
      </c>
      <c r="G110" s="6">
        <v>0.35</v>
      </c>
    </row>
    <row r="111" ht="30" customHeight="1" spans="1:7">
      <c r="A111" s="4" t="s">
        <v>1345</v>
      </c>
      <c r="B111" s="5" t="s">
        <v>1346</v>
      </c>
      <c r="C111" s="4" t="s">
        <v>9</v>
      </c>
      <c r="D111" s="475">
        <v>57854.26</v>
      </c>
      <c r="E111" s="476">
        <v>0.04722</v>
      </c>
      <c r="F111" s="6">
        <v>139.4966</v>
      </c>
      <c r="G111" s="6">
        <v>0.2</v>
      </c>
    </row>
    <row r="112" ht="30" customHeight="1" spans="1:7">
      <c r="A112" s="4" t="s">
        <v>1347</v>
      </c>
      <c r="B112" s="5" t="s">
        <v>1348</v>
      </c>
      <c r="C112" s="4" t="s">
        <v>9</v>
      </c>
      <c r="D112" s="475">
        <v>57263.41</v>
      </c>
      <c r="E112" s="476">
        <v>0.04722</v>
      </c>
      <c r="F112" s="6">
        <v>139.4966</v>
      </c>
      <c r="G112" s="6">
        <v>0.2</v>
      </c>
    </row>
    <row r="113" ht="30" customHeight="1" spans="1:7">
      <c r="A113" s="4" t="s">
        <v>1349</v>
      </c>
      <c r="B113" s="5" t="s">
        <v>1350</v>
      </c>
      <c r="C113" s="4" t="s">
        <v>9</v>
      </c>
      <c r="D113" s="475">
        <v>66573.62</v>
      </c>
      <c r="E113" s="476">
        <v>0.04722</v>
      </c>
      <c r="F113" s="6">
        <v>99.6725</v>
      </c>
      <c r="G113" s="6">
        <v>0.3</v>
      </c>
    </row>
    <row r="114" ht="30" customHeight="1" spans="1:7">
      <c r="A114" s="4" t="s">
        <v>1351</v>
      </c>
      <c r="B114" s="5" t="s">
        <v>1352</v>
      </c>
      <c r="C114" s="4" t="s">
        <v>9</v>
      </c>
      <c r="D114" s="475">
        <v>66033.95</v>
      </c>
      <c r="E114" s="476">
        <v>0.04722</v>
      </c>
      <c r="F114" s="6">
        <v>99.6725</v>
      </c>
      <c r="G114" s="6">
        <v>0.3</v>
      </c>
    </row>
    <row r="115" ht="30" customHeight="1" spans="1:7">
      <c r="A115" s="4" t="s">
        <v>1353</v>
      </c>
      <c r="B115" s="5" t="s">
        <v>1354</v>
      </c>
      <c r="C115" s="4" t="s">
        <v>9</v>
      </c>
      <c r="D115" s="475">
        <v>60791.8</v>
      </c>
      <c r="E115" s="476">
        <v>0.04722</v>
      </c>
      <c r="F115" s="6">
        <v>159.7086</v>
      </c>
      <c r="G115" s="6">
        <v>0.19</v>
      </c>
    </row>
    <row r="116" ht="30" customHeight="1" spans="1:7">
      <c r="A116" s="4" t="s">
        <v>1355</v>
      </c>
      <c r="B116" s="5" t="s">
        <v>1356</v>
      </c>
      <c r="C116" s="4" t="s">
        <v>9</v>
      </c>
      <c r="D116" s="475">
        <v>60156.28</v>
      </c>
      <c r="E116" s="476">
        <v>0.04722</v>
      </c>
      <c r="F116" s="6">
        <v>159.7086</v>
      </c>
      <c r="G116" s="6">
        <v>0.19</v>
      </c>
    </row>
    <row r="117" ht="30" customHeight="1" spans="1:7">
      <c r="A117" s="4" t="s">
        <v>1357</v>
      </c>
      <c r="B117" s="5" t="s">
        <v>1358</v>
      </c>
      <c r="C117" s="4" t="s">
        <v>9</v>
      </c>
      <c r="D117" s="475">
        <v>73860.75</v>
      </c>
      <c r="E117" s="476">
        <v>0.04722</v>
      </c>
      <c r="F117" s="6">
        <v>160.0754</v>
      </c>
      <c r="G117" s="6">
        <v>0.19</v>
      </c>
    </row>
    <row r="118" ht="30" customHeight="1" spans="1:7">
      <c r="A118" s="4" t="s">
        <v>1359</v>
      </c>
      <c r="B118" s="5" t="s">
        <v>1360</v>
      </c>
      <c r="C118" s="4" t="s">
        <v>9</v>
      </c>
      <c r="D118" s="475">
        <v>73257.17</v>
      </c>
      <c r="E118" s="476">
        <v>0.04722</v>
      </c>
      <c r="F118" s="6">
        <v>160.0754</v>
      </c>
      <c r="G118" s="6">
        <v>0.19</v>
      </c>
    </row>
    <row r="119" ht="30" customHeight="1" spans="1:7">
      <c r="A119" s="4" t="s">
        <v>1361</v>
      </c>
      <c r="B119" s="5" t="s">
        <v>1362</v>
      </c>
      <c r="C119" s="4" t="s">
        <v>9</v>
      </c>
      <c r="D119" s="475">
        <v>77036.03</v>
      </c>
      <c r="E119" s="476">
        <v>0.04722</v>
      </c>
      <c r="F119" s="6">
        <v>159.5049</v>
      </c>
      <c r="G119" s="6">
        <v>0.19</v>
      </c>
    </row>
    <row r="120" ht="30" customHeight="1" spans="1:7">
      <c r="A120" s="4" t="s">
        <v>1363</v>
      </c>
      <c r="B120" s="5" t="s">
        <v>1364</v>
      </c>
      <c r="C120" s="4" t="s">
        <v>9</v>
      </c>
      <c r="D120" s="475">
        <v>76380.93</v>
      </c>
      <c r="E120" s="476">
        <v>0.04722</v>
      </c>
      <c r="F120" s="6">
        <v>159.5049</v>
      </c>
      <c r="G120" s="6">
        <v>0.19</v>
      </c>
    </row>
    <row r="121" ht="30" customHeight="1" spans="1:7">
      <c r="A121" s="4" t="s">
        <v>1365</v>
      </c>
      <c r="B121" s="5" t="s">
        <v>1366</v>
      </c>
      <c r="C121" s="4" t="s">
        <v>9</v>
      </c>
      <c r="D121" s="475">
        <v>65705.25</v>
      </c>
      <c r="E121" s="476">
        <v>0.04722</v>
      </c>
      <c r="F121" s="6">
        <v>167.9238</v>
      </c>
      <c r="G121" s="6">
        <v>0.18</v>
      </c>
    </row>
    <row r="122" ht="30" customHeight="1" spans="1:7">
      <c r="A122" s="4" t="s">
        <v>1367</v>
      </c>
      <c r="B122" s="5" t="s">
        <v>1368</v>
      </c>
      <c r="C122" s="4" t="s">
        <v>9</v>
      </c>
      <c r="D122" s="475">
        <v>64973.59</v>
      </c>
      <c r="E122" s="476">
        <v>0.04722</v>
      </c>
      <c r="F122" s="6">
        <v>167.9238</v>
      </c>
      <c r="G122" s="6">
        <v>0.18</v>
      </c>
    </row>
    <row r="123" ht="30" customHeight="1" spans="1:7">
      <c r="A123" s="4" t="s">
        <v>1369</v>
      </c>
      <c r="B123" s="5" t="s">
        <v>1370</v>
      </c>
      <c r="C123" s="4" t="s">
        <v>9</v>
      </c>
      <c r="D123" s="475">
        <v>83152.65</v>
      </c>
      <c r="E123" s="476">
        <v>0.04722</v>
      </c>
      <c r="F123" s="6">
        <v>167.7202</v>
      </c>
      <c r="G123" s="6">
        <v>0.18</v>
      </c>
    </row>
    <row r="124" ht="30" customHeight="1" spans="1:7">
      <c r="A124" s="4" t="s">
        <v>1371</v>
      </c>
      <c r="B124" s="5" t="s">
        <v>1372</v>
      </c>
      <c r="C124" s="4" t="s">
        <v>9</v>
      </c>
      <c r="D124" s="475">
        <v>82397.77</v>
      </c>
      <c r="E124" s="476">
        <v>0.04722</v>
      </c>
      <c r="F124" s="6">
        <v>167.7202</v>
      </c>
      <c r="G124" s="6">
        <v>0.18</v>
      </c>
    </row>
    <row r="125" ht="30" customHeight="1" spans="1:7">
      <c r="A125" s="4" t="s">
        <v>1373</v>
      </c>
      <c r="B125" s="5" t="s">
        <v>1374</v>
      </c>
      <c r="C125" s="4" t="s">
        <v>9</v>
      </c>
      <c r="D125" s="475">
        <v>27016.39</v>
      </c>
      <c r="E125" s="476">
        <v>0.04722</v>
      </c>
      <c r="F125" s="6">
        <v>26.9876</v>
      </c>
      <c r="G125" s="6">
        <v>0.9</v>
      </c>
    </row>
    <row r="126" ht="30" customHeight="1" spans="1:7">
      <c r="A126" s="4" t="s">
        <v>1375</v>
      </c>
      <c r="B126" s="5" t="s">
        <v>1376</v>
      </c>
      <c r="C126" s="4" t="s">
        <v>9</v>
      </c>
      <c r="D126" s="475">
        <v>26818.51</v>
      </c>
      <c r="E126" s="476">
        <v>0.04722</v>
      </c>
      <c r="F126" s="6">
        <v>26.9876</v>
      </c>
      <c r="G126" s="6">
        <v>0.9</v>
      </c>
    </row>
    <row r="127" ht="30" customHeight="1" spans="1:7">
      <c r="A127" s="4" t="s">
        <v>1377</v>
      </c>
      <c r="B127" s="5" t="s">
        <v>1378</v>
      </c>
      <c r="C127" s="4" t="s">
        <v>9</v>
      </c>
      <c r="D127" s="475">
        <v>31742.82</v>
      </c>
      <c r="E127" s="476">
        <v>0.04722</v>
      </c>
      <c r="F127" s="6">
        <v>40.9084</v>
      </c>
      <c r="G127" s="6">
        <v>0.6</v>
      </c>
    </row>
    <row r="128" ht="30" customHeight="1" spans="1:7">
      <c r="A128" s="4" t="s">
        <v>1379</v>
      </c>
      <c r="B128" s="5" t="s">
        <v>1380</v>
      </c>
      <c r="C128" s="4" t="s">
        <v>9</v>
      </c>
      <c r="D128" s="475">
        <v>31515.36</v>
      </c>
      <c r="E128" s="476">
        <v>0.04722</v>
      </c>
      <c r="F128" s="6">
        <v>40.9084</v>
      </c>
      <c r="G128" s="6">
        <v>0.6</v>
      </c>
    </row>
    <row r="129" ht="30" customHeight="1" spans="1:7">
      <c r="A129" s="4" t="s">
        <v>1381</v>
      </c>
      <c r="B129" s="5" t="s">
        <v>1382</v>
      </c>
      <c r="C129" s="4" t="s">
        <v>9</v>
      </c>
      <c r="D129" s="475">
        <v>31874.92</v>
      </c>
      <c r="E129" s="476">
        <v>0.04722</v>
      </c>
      <c r="F129" s="6">
        <v>29.2562</v>
      </c>
      <c r="G129" s="6">
        <v>0.83</v>
      </c>
    </row>
    <row r="130" ht="30" customHeight="1" spans="1:7">
      <c r="A130" s="4" t="s">
        <v>1383</v>
      </c>
      <c r="B130" s="5" t="s">
        <v>1384</v>
      </c>
      <c r="C130" s="4" t="s">
        <v>9</v>
      </c>
      <c r="D130" s="475">
        <v>32106.68</v>
      </c>
      <c r="E130" s="476">
        <v>0.04722</v>
      </c>
      <c r="F130" s="6">
        <v>29.2562</v>
      </c>
      <c r="G130" s="6">
        <v>0.83</v>
      </c>
    </row>
    <row r="131" ht="30" customHeight="1" spans="1:7">
      <c r="A131" s="4" t="s">
        <v>1385</v>
      </c>
      <c r="B131" s="5" t="s">
        <v>1386</v>
      </c>
      <c r="C131" s="4" t="s">
        <v>9</v>
      </c>
      <c r="D131" s="475">
        <v>33291.81</v>
      </c>
      <c r="E131" s="476">
        <v>0.04722</v>
      </c>
      <c r="F131" s="6">
        <v>37.0858</v>
      </c>
      <c r="G131" s="6">
        <v>0.66</v>
      </c>
    </row>
    <row r="132" ht="30" customHeight="1" spans="1:7">
      <c r="A132" s="4" t="s">
        <v>1387</v>
      </c>
      <c r="B132" s="5" t="s">
        <v>1388</v>
      </c>
      <c r="C132" s="4" t="s">
        <v>9</v>
      </c>
      <c r="D132" s="475">
        <v>33050.29</v>
      </c>
      <c r="E132" s="476">
        <v>0.04722</v>
      </c>
      <c r="F132" s="6">
        <v>37.0858</v>
      </c>
      <c r="G132" s="6">
        <v>0.66</v>
      </c>
    </row>
    <row r="133" ht="30" customHeight="1" spans="1:7">
      <c r="A133" s="4" t="s">
        <v>1389</v>
      </c>
      <c r="B133" s="5" t="s">
        <v>1390</v>
      </c>
      <c r="C133" s="4" t="s">
        <v>9</v>
      </c>
      <c r="D133" s="475">
        <v>37835.39</v>
      </c>
      <c r="E133" s="476">
        <v>0.04722</v>
      </c>
      <c r="F133" s="6">
        <v>43.8227</v>
      </c>
      <c r="G133" s="6">
        <v>0.56</v>
      </c>
    </row>
    <row r="134" ht="30" customHeight="1" spans="1:7">
      <c r="A134" s="4" t="s">
        <v>1391</v>
      </c>
      <c r="B134" s="5" t="s">
        <v>1392</v>
      </c>
      <c r="C134" s="4" t="s">
        <v>9</v>
      </c>
      <c r="D134" s="475">
        <v>37544.84</v>
      </c>
      <c r="E134" s="476">
        <v>0.04722</v>
      </c>
      <c r="F134" s="6">
        <v>43.8227</v>
      </c>
      <c r="G134" s="6">
        <v>0.56</v>
      </c>
    </row>
    <row r="135" ht="30" customHeight="1" spans="1:7">
      <c r="A135" s="4" t="s">
        <v>1393</v>
      </c>
      <c r="B135" s="5" t="s">
        <v>1394</v>
      </c>
      <c r="C135" s="4" t="s">
        <v>9</v>
      </c>
      <c r="D135" s="475">
        <v>37865.05</v>
      </c>
      <c r="E135" s="476">
        <v>0.04722</v>
      </c>
      <c r="F135" s="6">
        <v>51.3315</v>
      </c>
      <c r="G135" s="6">
        <v>0.48</v>
      </c>
    </row>
    <row r="136" ht="30" customHeight="1" spans="1:7">
      <c r="A136" s="4" t="s">
        <v>1395</v>
      </c>
      <c r="B136" s="5" t="s">
        <v>1396</v>
      </c>
      <c r="C136" s="4" t="s">
        <v>9</v>
      </c>
      <c r="D136" s="475">
        <v>37582.47</v>
      </c>
      <c r="E136" s="476">
        <v>0.04722</v>
      </c>
      <c r="F136" s="6">
        <v>51.3315</v>
      </c>
      <c r="G136" s="6">
        <v>0.48</v>
      </c>
    </row>
    <row r="137" ht="30" customHeight="1" spans="1:7">
      <c r="A137" s="4" t="s">
        <v>1397</v>
      </c>
      <c r="B137" s="5" t="s">
        <v>1398</v>
      </c>
      <c r="C137" s="4" t="s">
        <v>9</v>
      </c>
      <c r="D137" s="475">
        <v>33880.08</v>
      </c>
      <c r="E137" s="476">
        <v>0.04722</v>
      </c>
      <c r="F137" s="6">
        <v>37.5847</v>
      </c>
      <c r="G137" s="6">
        <v>0.65</v>
      </c>
    </row>
    <row r="138" ht="30" customHeight="1" spans="1:7">
      <c r="A138" s="4" t="s">
        <v>1399</v>
      </c>
      <c r="B138" s="5" t="s">
        <v>1400</v>
      </c>
      <c r="C138" s="4" t="s">
        <v>9</v>
      </c>
      <c r="D138" s="475">
        <v>33630.75</v>
      </c>
      <c r="E138" s="476">
        <v>0.04722</v>
      </c>
      <c r="F138" s="6">
        <v>37.5847</v>
      </c>
      <c r="G138" s="6">
        <v>0.65</v>
      </c>
    </row>
    <row r="139" ht="30" customHeight="1" spans="1:7">
      <c r="A139" s="4" t="s">
        <v>1401</v>
      </c>
      <c r="B139" s="5" t="s">
        <v>1402</v>
      </c>
      <c r="C139" s="4" t="s">
        <v>9</v>
      </c>
      <c r="D139" s="475">
        <v>34512.78</v>
      </c>
      <c r="E139" s="476">
        <v>0.04722</v>
      </c>
      <c r="F139" s="6">
        <v>38.1911</v>
      </c>
      <c r="G139" s="6">
        <v>0.64</v>
      </c>
    </row>
    <row r="140" ht="30" customHeight="1" spans="1:7">
      <c r="A140" s="4" t="s">
        <v>1403</v>
      </c>
      <c r="B140" s="5" t="s">
        <v>1404</v>
      </c>
      <c r="C140" s="4" t="s">
        <v>9</v>
      </c>
      <c r="D140" s="475">
        <v>34250.23</v>
      </c>
      <c r="E140" s="476">
        <v>0.04722</v>
      </c>
      <c r="F140" s="6">
        <v>38.1911</v>
      </c>
      <c r="G140" s="6">
        <v>0.64</v>
      </c>
    </row>
    <row r="141" ht="30" customHeight="1" spans="1:7">
      <c r="A141" s="4" t="s">
        <v>1405</v>
      </c>
      <c r="B141" s="5" t="s">
        <v>1406</v>
      </c>
      <c r="C141" s="4" t="s">
        <v>9</v>
      </c>
      <c r="D141" s="475">
        <v>39749.53</v>
      </c>
      <c r="E141" s="476">
        <v>0.04722</v>
      </c>
      <c r="F141" s="6">
        <v>52.3161</v>
      </c>
      <c r="G141" s="6">
        <v>0.47</v>
      </c>
    </row>
    <row r="142" ht="30" customHeight="1" spans="1:7">
      <c r="A142" s="4" t="s">
        <v>1407</v>
      </c>
      <c r="B142" s="5" t="s">
        <v>1408</v>
      </c>
      <c r="C142" s="4" t="s">
        <v>9</v>
      </c>
      <c r="D142" s="475">
        <v>39429.33</v>
      </c>
      <c r="E142" s="476">
        <v>0.04722</v>
      </c>
      <c r="F142" s="6">
        <v>52.3161</v>
      </c>
      <c r="G142" s="6">
        <v>0.47</v>
      </c>
    </row>
    <row r="143" ht="30" customHeight="1" spans="1:7">
      <c r="A143" s="4" t="s">
        <v>1409</v>
      </c>
      <c r="B143" s="5" t="s">
        <v>1410</v>
      </c>
      <c r="C143" s="4" t="s">
        <v>9</v>
      </c>
      <c r="D143" s="475">
        <v>37373.51</v>
      </c>
      <c r="E143" s="476">
        <v>0.04722</v>
      </c>
      <c r="F143" s="6">
        <v>38.683</v>
      </c>
      <c r="G143" s="6">
        <v>0.63</v>
      </c>
    </row>
    <row r="144" ht="30" customHeight="1" spans="1:7">
      <c r="A144" s="4" t="s">
        <v>1411</v>
      </c>
      <c r="B144" s="5" t="s">
        <v>1412</v>
      </c>
      <c r="C144" s="4" t="s">
        <v>9</v>
      </c>
      <c r="D144" s="475">
        <v>37074.17</v>
      </c>
      <c r="E144" s="476">
        <v>0.04722</v>
      </c>
      <c r="F144" s="6">
        <v>38.683</v>
      </c>
      <c r="G144" s="6">
        <v>0.63</v>
      </c>
    </row>
    <row r="145" ht="30" customHeight="1" spans="1:7">
      <c r="A145" s="4" t="s">
        <v>1413</v>
      </c>
      <c r="B145" s="5" t="s">
        <v>1414</v>
      </c>
      <c r="C145" s="4" t="s">
        <v>9</v>
      </c>
      <c r="D145" s="475">
        <v>36889.39</v>
      </c>
      <c r="E145" s="476">
        <v>0.04722</v>
      </c>
      <c r="F145" s="6">
        <v>39.1377</v>
      </c>
      <c r="G145" s="6">
        <v>0.62</v>
      </c>
    </row>
    <row r="146" ht="30" customHeight="1" spans="1:7">
      <c r="A146" s="4" t="s">
        <v>1415</v>
      </c>
      <c r="B146" s="5" t="s">
        <v>1416</v>
      </c>
      <c r="C146" s="4" t="s">
        <v>9</v>
      </c>
      <c r="D146" s="475">
        <v>36591.16</v>
      </c>
      <c r="E146" s="476">
        <v>0.04722</v>
      </c>
      <c r="F146" s="6">
        <v>39.1377</v>
      </c>
      <c r="G146" s="6">
        <v>0.62</v>
      </c>
    </row>
    <row r="147" ht="30" customHeight="1" spans="1:7">
      <c r="A147" s="4" t="s">
        <v>1417</v>
      </c>
      <c r="B147" s="5" t="s">
        <v>1418</v>
      </c>
      <c r="C147" s="4" t="s">
        <v>9</v>
      </c>
      <c r="D147" s="475">
        <v>41001</v>
      </c>
      <c r="E147" s="476">
        <v>0.04722</v>
      </c>
      <c r="F147" s="6">
        <v>50.5945</v>
      </c>
      <c r="G147" s="6">
        <v>0.46</v>
      </c>
    </row>
    <row r="148" ht="30" customHeight="1" spans="1:7">
      <c r="A148" s="4" t="s">
        <v>1419</v>
      </c>
      <c r="B148" s="5" t="s">
        <v>1420</v>
      </c>
      <c r="C148" s="4" t="s">
        <v>9</v>
      </c>
      <c r="D148" s="475">
        <v>40657.06</v>
      </c>
      <c r="E148" s="476">
        <v>0.04722</v>
      </c>
      <c r="F148" s="6">
        <v>50.5945</v>
      </c>
      <c r="G148" s="6">
        <v>0.46</v>
      </c>
    </row>
    <row r="149" ht="30" customHeight="1" spans="1:7">
      <c r="A149" s="4" t="s">
        <v>1421</v>
      </c>
      <c r="B149" s="5" t="s">
        <v>1422</v>
      </c>
      <c r="C149" s="4" t="s">
        <v>9</v>
      </c>
      <c r="D149" s="475">
        <v>38207.43</v>
      </c>
      <c r="E149" s="476">
        <v>0.04722</v>
      </c>
      <c r="F149" s="6">
        <v>50.719</v>
      </c>
      <c r="G149" s="6">
        <v>0.53</v>
      </c>
    </row>
    <row r="150" ht="30" customHeight="1" spans="1:7">
      <c r="A150" s="4" t="s">
        <v>1423</v>
      </c>
      <c r="B150" s="5" t="s">
        <v>1424</v>
      </c>
      <c r="C150" s="4" t="s">
        <v>9</v>
      </c>
      <c r="D150" s="475">
        <v>37893.65</v>
      </c>
      <c r="E150" s="476">
        <v>0.04722</v>
      </c>
      <c r="F150" s="6">
        <v>50.719</v>
      </c>
      <c r="G150" s="6">
        <v>0.53</v>
      </c>
    </row>
    <row r="151" ht="30" customHeight="1" spans="1:7">
      <c r="A151" s="4" t="s">
        <v>1425</v>
      </c>
      <c r="B151" s="5" t="s">
        <v>1426</v>
      </c>
      <c r="C151" s="4" t="s">
        <v>9</v>
      </c>
      <c r="D151" s="475">
        <v>41626.41</v>
      </c>
      <c r="E151" s="476">
        <v>0.04722</v>
      </c>
      <c r="F151" s="6">
        <v>51.7016</v>
      </c>
      <c r="G151" s="6">
        <v>0.45</v>
      </c>
    </row>
    <row r="152" ht="30" customHeight="1" spans="1:7">
      <c r="A152" s="4" t="s">
        <v>1427</v>
      </c>
      <c r="B152" s="5" t="s">
        <v>1428</v>
      </c>
      <c r="C152" s="4" t="s">
        <v>9</v>
      </c>
      <c r="D152" s="475">
        <v>41271.47</v>
      </c>
      <c r="E152" s="476">
        <v>0.04722</v>
      </c>
      <c r="F152" s="6">
        <v>51.7016</v>
      </c>
      <c r="G152" s="6">
        <v>0.45</v>
      </c>
    </row>
    <row r="153" ht="30" customHeight="1" spans="1:7">
      <c r="A153" s="4" t="s">
        <v>1429</v>
      </c>
      <c r="B153" s="5" t="s">
        <v>1430</v>
      </c>
      <c r="C153" s="4" t="s">
        <v>9</v>
      </c>
      <c r="D153" s="475">
        <v>42823.7</v>
      </c>
      <c r="E153" s="476">
        <v>0.04722</v>
      </c>
      <c r="F153" s="6">
        <v>58.47</v>
      </c>
      <c r="G153" s="6">
        <v>0.44</v>
      </c>
    </row>
    <row r="154" ht="30" customHeight="1" spans="1:7">
      <c r="A154" s="4" t="s">
        <v>1431</v>
      </c>
      <c r="B154" s="5" t="s">
        <v>1432</v>
      </c>
      <c r="C154" s="4" t="s">
        <v>9</v>
      </c>
      <c r="D154" s="475">
        <v>42451.65</v>
      </c>
      <c r="E154" s="476">
        <v>0.04722</v>
      </c>
      <c r="F154" s="6">
        <v>58.47</v>
      </c>
      <c r="G154" s="6">
        <v>0.44</v>
      </c>
    </row>
    <row r="155" ht="30" customHeight="1" spans="1:7">
      <c r="A155" s="4" t="s">
        <v>1433</v>
      </c>
      <c r="B155" s="5" t="s">
        <v>1434</v>
      </c>
      <c r="C155" s="4" t="s">
        <v>9</v>
      </c>
      <c r="D155" s="475">
        <v>39393.17</v>
      </c>
      <c r="E155" s="476">
        <v>0.04722</v>
      </c>
      <c r="F155" s="6">
        <v>51.7243</v>
      </c>
      <c r="G155" s="6">
        <v>0.52</v>
      </c>
    </row>
    <row r="156" ht="30" customHeight="1" spans="1:7">
      <c r="A156" s="4" t="s">
        <v>1435</v>
      </c>
      <c r="B156" s="5" t="s">
        <v>1436</v>
      </c>
      <c r="C156" s="4" t="s">
        <v>9</v>
      </c>
      <c r="D156" s="475">
        <v>39060.53</v>
      </c>
      <c r="E156" s="476">
        <v>0.04722</v>
      </c>
      <c r="F156" s="6">
        <v>51.7243</v>
      </c>
      <c r="G156" s="6">
        <v>0.52</v>
      </c>
    </row>
    <row r="157" ht="30" customHeight="1" spans="1:7">
      <c r="A157" s="4" t="s">
        <v>1437</v>
      </c>
      <c r="B157" s="5" t="s">
        <v>1438</v>
      </c>
      <c r="C157" s="4" t="s">
        <v>9</v>
      </c>
      <c r="D157" s="475">
        <v>41246.05</v>
      </c>
      <c r="E157" s="476">
        <v>0.04722</v>
      </c>
      <c r="F157" s="6">
        <v>53.8555</v>
      </c>
      <c r="G157" s="6">
        <v>0.5</v>
      </c>
    </row>
    <row r="158" ht="30" customHeight="1" spans="1:7">
      <c r="A158" s="4" t="s">
        <v>1439</v>
      </c>
      <c r="B158" s="5" t="s">
        <v>1440</v>
      </c>
      <c r="C158" s="4" t="s">
        <v>9</v>
      </c>
      <c r="D158" s="475">
        <v>40881.76</v>
      </c>
      <c r="E158" s="476">
        <v>0.04722</v>
      </c>
      <c r="F158" s="6">
        <v>53.8555</v>
      </c>
      <c r="G158" s="6">
        <v>0.5</v>
      </c>
    </row>
    <row r="159" ht="30" customHeight="1" spans="1:7">
      <c r="A159" s="4" t="s">
        <v>1441</v>
      </c>
      <c r="B159" s="5" t="s">
        <v>1442</v>
      </c>
      <c r="C159" s="4" t="s">
        <v>9</v>
      </c>
      <c r="D159" s="475">
        <v>45436.53</v>
      </c>
      <c r="E159" s="476">
        <v>0.04722</v>
      </c>
      <c r="F159" s="6">
        <v>63.2431</v>
      </c>
      <c r="G159" s="6">
        <v>0.43</v>
      </c>
    </row>
    <row r="160" ht="30" customHeight="1" spans="1:7">
      <c r="A160" s="4" t="s">
        <v>1443</v>
      </c>
      <c r="B160" s="5" t="s">
        <v>1444</v>
      </c>
      <c r="C160" s="4" t="s">
        <v>9</v>
      </c>
      <c r="D160" s="475">
        <v>45010.89</v>
      </c>
      <c r="E160" s="476">
        <v>0.04722</v>
      </c>
      <c r="F160" s="6">
        <v>63.2431</v>
      </c>
      <c r="G160" s="6">
        <v>0.43</v>
      </c>
    </row>
    <row r="161" ht="30" customHeight="1" spans="1:7">
      <c r="A161" s="4" t="s">
        <v>1445</v>
      </c>
      <c r="B161" s="5" t="s">
        <v>1446</v>
      </c>
      <c r="C161" s="4" t="s">
        <v>9</v>
      </c>
      <c r="D161" s="475">
        <v>48440.48</v>
      </c>
      <c r="E161" s="476">
        <v>0.04722</v>
      </c>
      <c r="F161" s="6">
        <v>64.0812</v>
      </c>
      <c r="G161" s="6">
        <v>0.42</v>
      </c>
    </row>
    <row r="162" ht="30" customHeight="1" spans="1:7">
      <c r="A162" s="4" t="s">
        <v>1447</v>
      </c>
      <c r="B162" s="5" t="s">
        <v>1448</v>
      </c>
      <c r="C162" s="4" t="s">
        <v>9</v>
      </c>
      <c r="D162" s="475">
        <v>47972.62</v>
      </c>
      <c r="E162" s="476">
        <v>0.04722</v>
      </c>
      <c r="F162" s="6">
        <v>64.0812</v>
      </c>
      <c r="G162" s="6">
        <v>0.42</v>
      </c>
    </row>
    <row r="163" ht="30" customHeight="1" spans="1:7">
      <c r="A163" s="4" t="s">
        <v>1449</v>
      </c>
      <c r="B163" s="5" t="s">
        <v>1450</v>
      </c>
      <c r="C163" s="4" t="s">
        <v>9</v>
      </c>
      <c r="D163" s="475">
        <v>45493.7</v>
      </c>
      <c r="E163" s="476">
        <v>0.04722</v>
      </c>
      <c r="F163" s="6">
        <v>72.4103</v>
      </c>
      <c r="G163" s="6">
        <v>0.38</v>
      </c>
    </row>
    <row r="164" ht="30" customHeight="1" spans="1:7">
      <c r="A164" s="4" t="s">
        <v>1451</v>
      </c>
      <c r="B164" s="5" t="s">
        <v>1452</v>
      </c>
      <c r="C164" s="4" t="s">
        <v>9</v>
      </c>
      <c r="D164" s="475">
        <v>45079.8</v>
      </c>
      <c r="E164" s="476">
        <v>0.04722</v>
      </c>
      <c r="F164" s="6">
        <v>72.4103</v>
      </c>
      <c r="G164" s="6">
        <v>0.38</v>
      </c>
    </row>
    <row r="165" ht="30" customHeight="1" spans="1:7">
      <c r="A165" s="4" t="s">
        <v>1453</v>
      </c>
      <c r="B165" s="5" t="s">
        <v>1454</v>
      </c>
      <c r="C165" s="4" t="s">
        <v>9</v>
      </c>
      <c r="D165" s="475">
        <v>46209.49</v>
      </c>
      <c r="E165" s="476">
        <v>0.04722</v>
      </c>
      <c r="F165" s="6">
        <v>76.5284</v>
      </c>
      <c r="G165" s="6">
        <v>0.36</v>
      </c>
    </row>
    <row r="166" ht="30" customHeight="1" spans="1:7">
      <c r="A166" s="4" t="s">
        <v>1455</v>
      </c>
      <c r="B166" s="5" t="s">
        <v>1456</v>
      </c>
      <c r="C166" s="4" t="s">
        <v>9</v>
      </c>
      <c r="D166" s="475">
        <v>45783.14</v>
      </c>
      <c r="E166" s="476">
        <v>0.04722</v>
      </c>
      <c r="F166" s="6">
        <v>76.5284</v>
      </c>
      <c r="G166" s="6">
        <v>0.36</v>
      </c>
    </row>
    <row r="167" ht="30" customHeight="1" spans="1:7">
      <c r="A167" s="4" t="s">
        <v>1457</v>
      </c>
      <c r="B167" s="5" t="s">
        <v>1458</v>
      </c>
      <c r="C167" s="4" t="s">
        <v>9</v>
      </c>
      <c r="D167" s="475">
        <v>50379.84</v>
      </c>
      <c r="E167" s="476">
        <v>0.04722</v>
      </c>
      <c r="F167" s="6">
        <v>73.2177</v>
      </c>
      <c r="G167" s="6">
        <v>0.37</v>
      </c>
    </row>
    <row r="168" ht="30" customHeight="1" spans="1:7">
      <c r="A168" s="4" t="s">
        <v>1459</v>
      </c>
      <c r="B168" s="5" t="s">
        <v>1460</v>
      </c>
      <c r="C168" s="4" t="s">
        <v>9</v>
      </c>
      <c r="D168" s="475">
        <v>49879.19</v>
      </c>
      <c r="E168" s="476">
        <v>0.04722</v>
      </c>
      <c r="F168" s="6">
        <v>73.2177</v>
      </c>
      <c r="G168" s="6">
        <v>0.37</v>
      </c>
    </row>
    <row r="169" ht="30" customHeight="1" spans="1:7">
      <c r="A169" s="4" t="s">
        <v>1461</v>
      </c>
      <c r="B169" s="5" t="s">
        <v>1462</v>
      </c>
      <c r="C169" s="4" t="s">
        <v>9</v>
      </c>
      <c r="D169" s="475">
        <v>49907.94</v>
      </c>
      <c r="E169" s="476">
        <v>0.04722</v>
      </c>
      <c r="F169" s="6">
        <v>77.8875</v>
      </c>
      <c r="G169" s="6">
        <v>0.35</v>
      </c>
    </row>
    <row r="170" ht="30" customHeight="1" spans="1:7">
      <c r="A170" s="4" t="s">
        <v>1463</v>
      </c>
      <c r="B170" s="5" t="s">
        <v>1464</v>
      </c>
      <c r="C170" s="4" t="s">
        <v>9</v>
      </c>
      <c r="D170" s="475">
        <v>49418.73</v>
      </c>
      <c r="E170" s="476">
        <v>0.04722</v>
      </c>
      <c r="F170" s="6">
        <v>77.8875</v>
      </c>
      <c r="G170" s="6">
        <v>0.35</v>
      </c>
    </row>
    <row r="171" ht="30" customHeight="1" spans="1:7">
      <c r="A171" s="4" t="s">
        <v>1465</v>
      </c>
      <c r="B171" s="5" t="s">
        <v>1466</v>
      </c>
      <c r="C171" s="4" t="s">
        <v>9</v>
      </c>
      <c r="D171" s="475">
        <v>49234</v>
      </c>
      <c r="E171" s="476">
        <v>0.04722</v>
      </c>
      <c r="F171" s="6">
        <v>78.0408</v>
      </c>
      <c r="G171" s="6">
        <v>0.35</v>
      </c>
    </row>
    <row r="172" ht="30" customHeight="1" spans="1:7">
      <c r="A172" s="4" t="s">
        <v>1467</v>
      </c>
      <c r="B172" s="5" t="s">
        <v>1468</v>
      </c>
      <c r="C172" s="4" t="s">
        <v>9</v>
      </c>
      <c r="D172" s="475">
        <v>48760.42</v>
      </c>
      <c r="E172" s="476">
        <v>0.04722</v>
      </c>
      <c r="F172" s="6">
        <v>78.0408</v>
      </c>
      <c r="G172" s="6">
        <v>0.35</v>
      </c>
    </row>
    <row r="173" ht="30" customHeight="1" spans="1:7">
      <c r="A173" s="4" t="s">
        <v>1469</v>
      </c>
      <c r="B173" s="5" t="s">
        <v>1470</v>
      </c>
      <c r="C173" s="4" t="s">
        <v>9</v>
      </c>
      <c r="D173" s="475">
        <v>55078.08</v>
      </c>
      <c r="E173" s="476">
        <v>0.04722</v>
      </c>
      <c r="F173" s="6">
        <v>105.9706</v>
      </c>
      <c r="G173" s="6">
        <v>0.26</v>
      </c>
    </row>
    <row r="174" ht="30" customHeight="1" spans="1:7">
      <c r="A174" s="4" t="s">
        <v>1471</v>
      </c>
      <c r="B174" s="5" t="s">
        <v>1472</v>
      </c>
      <c r="C174" s="4" t="s">
        <v>9</v>
      </c>
      <c r="D174" s="475">
        <v>54529.07</v>
      </c>
      <c r="E174" s="476">
        <v>0.04722</v>
      </c>
      <c r="F174" s="6">
        <v>105.9706</v>
      </c>
      <c r="G174" s="6">
        <v>0.26</v>
      </c>
    </row>
    <row r="175" ht="30" customHeight="1" spans="1:7">
      <c r="A175" s="4" t="s">
        <v>1473</v>
      </c>
      <c r="B175" s="5" t="s">
        <v>1474</v>
      </c>
      <c r="C175" s="4" t="s">
        <v>9</v>
      </c>
      <c r="D175" s="475">
        <v>50120.51</v>
      </c>
      <c r="E175" s="476">
        <v>0.04722</v>
      </c>
      <c r="F175" s="6">
        <v>80.3564</v>
      </c>
      <c r="G175" s="6">
        <v>0.34</v>
      </c>
    </row>
    <row r="176" ht="30" customHeight="1" spans="1:7">
      <c r="A176" s="4" t="s">
        <v>1475</v>
      </c>
      <c r="B176" s="5" t="s">
        <v>1476</v>
      </c>
      <c r="C176" s="4" t="s">
        <v>9</v>
      </c>
      <c r="D176" s="475">
        <v>49616</v>
      </c>
      <c r="E176" s="476">
        <v>0.04722</v>
      </c>
      <c r="F176" s="6">
        <v>80.3564</v>
      </c>
      <c r="G176" s="6">
        <v>0.34</v>
      </c>
    </row>
    <row r="177" ht="30" customHeight="1" spans="1:7">
      <c r="A177" s="4" t="s">
        <v>1477</v>
      </c>
      <c r="B177" s="5" t="s">
        <v>1478</v>
      </c>
      <c r="C177" s="4" t="s">
        <v>9</v>
      </c>
      <c r="D177" s="475">
        <v>61588.44</v>
      </c>
      <c r="E177" s="476">
        <v>0.04722</v>
      </c>
      <c r="F177" s="6">
        <v>127.4194</v>
      </c>
      <c r="G177" s="6">
        <v>0.17</v>
      </c>
    </row>
    <row r="178" ht="30" customHeight="1" spans="1:7">
      <c r="A178" s="4" t="s">
        <v>1479</v>
      </c>
      <c r="B178" s="5" t="s">
        <v>1480</v>
      </c>
      <c r="C178" s="4" t="s">
        <v>9</v>
      </c>
      <c r="D178" s="475">
        <v>61308.55</v>
      </c>
      <c r="E178" s="476">
        <v>0.04722</v>
      </c>
      <c r="F178" s="6">
        <v>127.4194</v>
      </c>
      <c r="G178" s="6">
        <v>0.17</v>
      </c>
    </row>
    <row r="179" ht="30" customHeight="1" spans="1:7">
      <c r="A179" s="4" t="s">
        <v>1481</v>
      </c>
      <c r="B179" s="5" t="s">
        <v>1482</v>
      </c>
      <c r="C179" s="4" t="s">
        <v>9</v>
      </c>
      <c r="D179" s="475">
        <v>64022.59</v>
      </c>
      <c r="E179" s="476">
        <v>0.04722</v>
      </c>
      <c r="F179" s="6">
        <v>135.6217</v>
      </c>
      <c r="G179" s="6">
        <v>0.16</v>
      </c>
    </row>
    <row r="180" ht="30" customHeight="1" spans="1:7">
      <c r="A180" s="4" t="s">
        <v>1483</v>
      </c>
      <c r="B180" s="5" t="s">
        <v>1484</v>
      </c>
      <c r="C180" s="4" t="s">
        <v>9</v>
      </c>
      <c r="D180" s="475">
        <v>63728.27</v>
      </c>
      <c r="E180" s="476">
        <v>0.04722</v>
      </c>
      <c r="F180" s="6">
        <v>135.6217</v>
      </c>
      <c r="G180" s="6">
        <v>0.16</v>
      </c>
    </row>
    <row r="181" ht="30" customHeight="1" spans="1:7">
      <c r="A181" s="4" t="s">
        <v>1485</v>
      </c>
      <c r="B181" s="5" t="s">
        <v>1486</v>
      </c>
      <c r="C181" s="4" t="s">
        <v>9</v>
      </c>
      <c r="D181" s="475">
        <v>66424.79</v>
      </c>
      <c r="E181" s="476">
        <v>0.04722</v>
      </c>
      <c r="F181" s="6">
        <v>150.8091</v>
      </c>
      <c r="G181" s="6">
        <v>0.16</v>
      </c>
    </row>
    <row r="182" ht="30" customHeight="1" spans="1:7">
      <c r="A182" s="4" t="s">
        <v>1487</v>
      </c>
      <c r="B182" s="5" t="s">
        <v>1488</v>
      </c>
      <c r="C182" s="4" t="s">
        <v>9</v>
      </c>
      <c r="D182" s="475">
        <v>66131.63</v>
      </c>
      <c r="E182" s="476">
        <v>0.04722</v>
      </c>
      <c r="F182" s="6">
        <v>150.8091</v>
      </c>
      <c r="G182" s="6">
        <v>0.16</v>
      </c>
    </row>
    <row r="183" ht="30" customHeight="1" spans="1:7">
      <c r="A183" s="4" t="s">
        <v>1489</v>
      </c>
      <c r="B183" s="5" t="s">
        <v>1490</v>
      </c>
      <c r="C183" s="4" t="s">
        <v>9</v>
      </c>
      <c r="D183" s="475">
        <v>64998.79</v>
      </c>
      <c r="E183" s="476">
        <v>0.04722</v>
      </c>
      <c r="F183" s="6">
        <v>135.3774</v>
      </c>
      <c r="G183" s="6">
        <v>0.16</v>
      </c>
    </row>
    <row r="184" ht="30" customHeight="1" spans="1:7">
      <c r="A184" s="4" t="s">
        <v>1491</v>
      </c>
      <c r="B184" s="5" t="s">
        <v>1492</v>
      </c>
      <c r="C184" s="4" t="s">
        <v>9</v>
      </c>
      <c r="D184" s="475">
        <v>64696.98</v>
      </c>
      <c r="E184" s="476">
        <v>0.04722</v>
      </c>
      <c r="F184" s="6">
        <v>135.3774</v>
      </c>
      <c r="G184" s="6">
        <v>0.16</v>
      </c>
    </row>
    <row r="185" ht="30" customHeight="1" spans="1:7">
      <c r="A185" s="4" t="s">
        <v>1493</v>
      </c>
      <c r="B185" s="5" t="s">
        <v>1494</v>
      </c>
      <c r="C185" s="4" t="s">
        <v>9</v>
      </c>
      <c r="D185" s="475">
        <v>69433.94</v>
      </c>
      <c r="E185" s="476">
        <v>0.04722</v>
      </c>
      <c r="F185" s="6">
        <v>150.1074</v>
      </c>
      <c r="G185" s="6">
        <v>0.16</v>
      </c>
    </row>
    <row r="186" ht="30" customHeight="1" spans="1:7">
      <c r="A186" s="4" t="s">
        <v>1495</v>
      </c>
      <c r="B186" s="5" t="s">
        <v>1496</v>
      </c>
      <c r="C186" s="4" t="s">
        <v>9</v>
      </c>
      <c r="D186" s="475">
        <v>69103.72</v>
      </c>
      <c r="E186" s="476">
        <v>0.04722</v>
      </c>
      <c r="F186" s="6">
        <v>150.1074</v>
      </c>
      <c r="G186" s="6">
        <v>0.16</v>
      </c>
    </row>
    <row r="187" ht="30" customHeight="1" spans="1:7">
      <c r="A187" s="4" t="s">
        <v>1497</v>
      </c>
      <c r="B187" s="5" t="s">
        <v>1498</v>
      </c>
      <c r="C187" s="4" t="s">
        <v>9</v>
      </c>
      <c r="D187" s="475">
        <v>71229.66</v>
      </c>
      <c r="E187" s="476">
        <v>0.04722</v>
      </c>
      <c r="F187" s="6">
        <v>172.6841</v>
      </c>
      <c r="G187" s="6">
        <v>0.14</v>
      </c>
    </row>
    <row r="188" ht="30" customHeight="1" spans="1:7">
      <c r="A188" s="4" t="s">
        <v>1499</v>
      </c>
      <c r="B188" s="5" t="s">
        <v>1500</v>
      </c>
      <c r="C188" s="4" t="s">
        <v>9</v>
      </c>
      <c r="D188" s="475">
        <v>70895.9</v>
      </c>
      <c r="E188" s="476">
        <v>0.04722</v>
      </c>
      <c r="F188" s="6">
        <v>172.6841</v>
      </c>
      <c r="G188" s="6">
        <v>0.14</v>
      </c>
    </row>
    <row r="189" ht="30" customHeight="1" spans="1:7">
      <c r="A189" s="4" t="s">
        <v>1501</v>
      </c>
      <c r="B189" s="5" t="s">
        <v>1502</v>
      </c>
      <c r="C189" s="4" t="s">
        <v>9</v>
      </c>
      <c r="D189" s="475">
        <v>71860.7</v>
      </c>
      <c r="E189" s="476">
        <v>0.04722</v>
      </c>
      <c r="F189" s="6">
        <v>160.3142</v>
      </c>
      <c r="G189" s="6">
        <v>0.15</v>
      </c>
    </row>
    <row r="190" ht="30" customHeight="1" spans="1:7">
      <c r="A190" s="4" t="s">
        <v>1503</v>
      </c>
      <c r="B190" s="5" t="s">
        <v>1504</v>
      </c>
      <c r="C190" s="4" t="s">
        <v>9</v>
      </c>
      <c r="D190" s="475">
        <v>71513.42</v>
      </c>
      <c r="E190" s="476">
        <v>0.04722</v>
      </c>
      <c r="F190" s="6">
        <v>160.3142</v>
      </c>
      <c r="G190" s="6">
        <v>0.15</v>
      </c>
    </row>
    <row r="191" ht="30" customHeight="1" spans="1:7">
      <c r="A191" s="4" t="s">
        <v>1505</v>
      </c>
      <c r="B191" s="5" t="s">
        <v>1506</v>
      </c>
      <c r="C191" s="4" t="s">
        <v>9</v>
      </c>
      <c r="D191" s="475">
        <v>76024.45</v>
      </c>
      <c r="E191" s="476">
        <v>0.04722</v>
      </c>
      <c r="F191" s="6">
        <v>204.5068</v>
      </c>
      <c r="G191" s="6">
        <v>0.13</v>
      </c>
    </row>
    <row r="192" ht="30" customHeight="1" spans="1:7">
      <c r="A192" s="4" t="s">
        <v>1507</v>
      </c>
      <c r="B192" s="5" t="s">
        <v>1508</v>
      </c>
      <c r="C192" s="4" t="s">
        <v>9</v>
      </c>
      <c r="D192" s="475">
        <v>75685.98</v>
      </c>
      <c r="E192" s="476">
        <v>0.04722</v>
      </c>
      <c r="F192" s="6">
        <v>204.5068</v>
      </c>
      <c r="G192" s="6">
        <v>0.13</v>
      </c>
    </row>
    <row r="193" ht="30" customHeight="1" spans="1:7">
      <c r="A193" s="4" t="s">
        <v>1509</v>
      </c>
      <c r="B193" s="5" t="s">
        <v>1510</v>
      </c>
      <c r="C193" s="4" t="s">
        <v>9</v>
      </c>
      <c r="D193" s="475">
        <v>76666.73</v>
      </c>
      <c r="E193" s="476">
        <v>0.04722</v>
      </c>
      <c r="F193" s="6">
        <v>204.3535</v>
      </c>
      <c r="G193" s="6">
        <v>0.13</v>
      </c>
    </row>
    <row r="194" ht="30" customHeight="1" spans="1:7">
      <c r="A194" s="4" t="s">
        <v>1511</v>
      </c>
      <c r="B194" s="5" t="s">
        <v>1512</v>
      </c>
      <c r="C194" s="4" t="s">
        <v>9</v>
      </c>
      <c r="D194" s="475">
        <v>76296.27</v>
      </c>
      <c r="E194" s="476">
        <v>0.04722</v>
      </c>
      <c r="F194" s="6">
        <v>204.3535</v>
      </c>
      <c r="G194" s="6">
        <v>0.13</v>
      </c>
    </row>
    <row r="195" ht="30" customHeight="1" spans="1:7">
      <c r="A195" s="4" t="s">
        <v>1513</v>
      </c>
      <c r="B195" s="5" t="s">
        <v>1514</v>
      </c>
      <c r="C195" s="4" t="s">
        <v>9</v>
      </c>
      <c r="D195" s="475">
        <v>78944.54</v>
      </c>
      <c r="E195" s="476">
        <v>0.04722</v>
      </c>
      <c r="F195" s="6">
        <v>221.7476</v>
      </c>
      <c r="G195" s="6">
        <v>0.12</v>
      </c>
    </row>
    <row r="196" ht="30" customHeight="1" spans="1:7">
      <c r="A196" s="4" t="s">
        <v>1515</v>
      </c>
      <c r="B196" s="5" t="s">
        <v>1516</v>
      </c>
      <c r="C196" s="4" t="s">
        <v>9</v>
      </c>
      <c r="D196" s="475">
        <v>78590.18</v>
      </c>
      <c r="E196" s="476">
        <v>0.04722</v>
      </c>
      <c r="F196" s="6">
        <v>221.7476</v>
      </c>
      <c r="G196" s="6">
        <v>0.12</v>
      </c>
    </row>
    <row r="197" ht="15.75" customHeight="1" spans="1:7">
      <c r="A197" s="4" t="s">
        <v>1517</v>
      </c>
      <c r="B197" s="5" t="s">
        <v>1518</v>
      </c>
      <c r="C197" s="4" t="s">
        <v>99</v>
      </c>
      <c r="D197" s="475">
        <v>342.14</v>
      </c>
      <c r="E197" s="476">
        <v>0.04367</v>
      </c>
      <c r="F197" s="6">
        <v>6.5307</v>
      </c>
      <c r="G197" s="6">
        <v>0.8964</v>
      </c>
    </row>
    <row r="198" ht="15.75" customHeight="1" spans="1:7">
      <c r="A198" s="4" t="s">
        <v>1519</v>
      </c>
      <c r="B198" s="5" t="s">
        <v>1520</v>
      </c>
      <c r="C198" s="4" t="s">
        <v>9</v>
      </c>
      <c r="D198" s="475">
        <v>1457.05</v>
      </c>
      <c r="E198" s="476">
        <v>0.04722</v>
      </c>
      <c r="F198" s="6">
        <v>2.053</v>
      </c>
      <c r="G198" s="6">
        <v>4</v>
      </c>
    </row>
    <row r="199" ht="15.75" customHeight="1" spans="1:7">
      <c r="A199" s="4" t="s">
        <v>1521</v>
      </c>
      <c r="B199" s="5" t="s">
        <v>1522</v>
      </c>
      <c r="C199" s="4" t="s">
        <v>9</v>
      </c>
      <c r="D199" s="475">
        <v>1434.58</v>
      </c>
      <c r="E199" s="476">
        <v>0.04722</v>
      </c>
      <c r="F199" s="6">
        <v>2.053</v>
      </c>
      <c r="G199" s="6">
        <v>4</v>
      </c>
    </row>
    <row r="200" ht="15.75" customHeight="1" spans="1:7">
      <c r="A200" s="4" t="s">
        <v>1523</v>
      </c>
      <c r="B200" s="5" t="s">
        <v>1524</v>
      </c>
      <c r="C200" s="4" t="s">
        <v>9</v>
      </c>
      <c r="D200" s="475">
        <v>1676.15</v>
      </c>
      <c r="E200" s="476">
        <v>0.04722</v>
      </c>
      <c r="F200" s="6">
        <v>2.1899</v>
      </c>
      <c r="G200" s="6">
        <v>3.75</v>
      </c>
    </row>
    <row r="201" ht="15.75" customHeight="1" spans="1:7">
      <c r="A201" s="4" t="s">
        <v>1525</v>
      </c>
      <c r="B201" s="5" t="s">
        <v>1526</v>
      </c>
      <c r="C201" s="4" t="s">
        <v>9</v>
      </c>
      <c r="D201" s="475">
        <v>1652.27</v>
      </c>
      <c r="E201" s="476">
        <v>0.04722</v>
      </c>
      <c r="F201" s="6">
        <v>2.1899</v>
      </c>
      <c r="G201" s="6">
        <v>3.75</v>
      </c>
    </row>
    <row r="202" ht="15.75" customHeight="1" spans="1:7">
      <c r="A202" s="4" t="s">
        <v>1527</v>
      </c>
      <c r="B202" s="5" t="s">
        <v>1528</v>
      </c>
      <c r="C202" s="4" t="s">
        <v>9</v>
      </c>
      <c r="D202" s="475">
        <v>1895.27</v>
      </c>
      <c r="E202" s="476">
        <v>0.04722</v>
      </c>
      <c r="F202" s="6">
        <v>2.3263</v>
      </c>
      <c r="G202" s="6">
        <v>3.53</v>
      </c>
    </row>
    <row r="203" ht="15.75" customHeight="1" spans="1:7">
      <c r="A203" s="4" t="s">
        <v>1529</v>
      </c>
      <c r="B203" s="5" t="s">
        <v>1530</v>
      </c>
      <c r="C203" s="4" t="s">
        <v>9</v>
      </c>
      <c r="D203" s="475">
        <v>1869.99</v>
      </c>
      <c r="E203" s="476">
        <v>0.04722</v>
      </c>
      <c r="F203" s="6">
        <v>2.3263</v>
      </c>
      <c r="G203" s="6">
        <v>3.53</v>
      </c>
    </row>
    <row r="204" ht="15.75" customHeight="1" spans="1:7">
      <c r="A204" s="4" t="s">
        <v>1531</v>
      </c>
      <c r="B204" s="5" t="s">
        <v>1532</v>
      </c>
      <c r="C204" s="4" t="s">
        <v>9</v>
      </c>
      <c r="D204" s="475">
        <v>2071.84</v>
      </c>
      <c r="E204" s="476">
        <v>0.04722</v>
      </c>
      <c r="F204" s="6">
        <v>2.4661</v>
      </c>
      <c r="G204" s="6">
        <v>3.33</v>
      </c>
    </row>
    <row r="205" ht="15.75" customHeight="1" spans="1:7">
      <c r="A205" s="4" t="s">
        <v>1533</v>
      </c>
      <c r="B205" s="5" t="s">
        <v>1534</v>
      </c>
      <c r="C205" s="4" t="s">
        <v>9</v>
      </c>
      <c r="D205" s="475">
        <v>2045.15</v>
      </c>
      <c r="E205" s="476">
        <v>0.04722</v>
      </c>
      <c r="F205" s="6">
        <v>2.4661</v>
      </c>
      <c r="G205" s="6">
        <v>3.33</v>
      </c>
    </row>
    <row r="206" ht="15.75" customHeight="1" spans="1:7">
      <c r="A206" s="4" t="s">
        <v>1535</v>
      </c>
      <c r="B206" s="5" t="s">
        <v>1536</v>
      </c>
      <c r="C206" s="4" t="s">
        <v>9</v>
      </c>
      <c r="D206" s="475">
        <v>2290.88</v>
      </c>
      <c r="E206" s="476">
        <v>0.04722</v>
      </c>
      <c r="F206" s="6">
        <v>2.5987</v>
      </c>
      <c r="G206" s="6">
        <v>3.16</v>
      </c>
    </row>
    <row r="207" ht="15.75" customHeight="1" spans="1:7">
      <c r="A207" s="4" t="s">
        <v>1537</v>
      </c>
      <c r="B207" s="5" t="s">
        <v>1538</v>
      </c>
      <c r="C207" s="4" t="s">
        <v>9</v>
      </c>
      <c r="D207" s="475">
        <v>2262.79</v>
      </c>
      <c r="E207" s="476">
        <v>0.04722</v>
      </c>
      <c r="F207" s="6">
        <v>2.5987</v>
      </c>
      <c r="G207" s="6">
        <v>3.16</v>
      </c>
    </row>
    <row r="208" ht="15.75" customHeight="1" spans="1:7">
      <c r="A208" s="4" t="s">
        <v>1539</v>
      </c>
      <c r="B208" s="5" t="s">
        <v>1540</v>
      </c>
      <c r="C208" s="4" t="s">
        <v>9</v>
      </c>
      <c r="D208" s="475">
        <v>2595.24</v>
      </c>
      <c r="E208" s="476">
        <v>0.04722</v>
      </c>
      <c r="F208" s="6">
        <v>2.7373</v>
      </c>
      <c r="G208" s="6">
        <v>3</v>
      </c>
    </row>
    <row r="209" ht="15.75" customHeight="1" spans="1:7">
      <c r="A209" s="4" t="s">
        <v>1541</v>
      </c>
      <c r="B209" s="5" t="s">
        <v>1542</v>
      </c>
      <c r="C209" s="4" t="s">
        <v>9</v>
      </c>
      <c r="D209" s="475">
        <v>2565.75</v>
      </c>
      <c r="E209" s="476">
        <v>0.04722</v>
      </c>
      <c r="F209" s="6">
        <v>2.7373</v>
      </c>
      <c r="G209" s="6">
        <v>3</v>
      </c>
    </row>
    <row r="210" ht="15.75" customHeight="1" spans="1:7">
      <c r="A210" s="4" t="s">
        <v>1543</v>
      </c>
      <c r="B210" s="5" t="s">
        <v>1544</v>
      </c>
      <c r="C210" s="4" t="s">
        <v>9</v>
      </c>
      <c r="D210" s="475">
        <v>2771.75</v>
      </c>
      <c r="E210" s="476">
        <v>0.04722</v>
      </c>
      <c r="F210" s="6">
        <v>2.8713</v>
      </c>
      <c r="G210" s="6">
        <v>2.86</v>
      </c>
    </row>
    <row r="211" ht="15.75" customHeight="1" spans="1:7">
      <c r="A211" s="4" t="s">
        <v>1545</v>
      </c>
      <c r="B211" s="5" t="s">
        <v>1546</v>
      </c>
      <c r="C211" s="4" t="s">
        <v>9</v>
      </c>
      <c r="D211" s="475">
        <v>2740.85</v>
      </c>
      <c r="E211" s="476">
        <v>0.04722</v>
      </c>
      <c r="F211" s="6">
        <v>2.8713</v>
      </c>
      <c r="G211" s="6">
        <v>2.86</v>
      </c>
    </row>
    <row r="212" ht="15.75" customHeight="1" spans="1:7">
      <c r="A212" s="4" t="s">
        <v>1547</v>
      </c>
      <c r="B212" s="5" t="s">
        <v>1548</v>
      </c>
      <c r="C212" s="4" t="s">
        <v>9</v>
      </c>
      <c r="D212" s="475">
        <v>3028.88</v>
      </c>
      <c r="E212" s="476">
        <v>0.04722</v>
      </c>
      <c r="F212" s="6">
        <v>3.1829</v>
      </c>
      <c r="G212" s="6">
        <v>2.58</v>
      </c>
    </row>
    <row r="213" ht="15.75" customHeight="1" spans="1:7">
      <c r="A213" s="4" t="s">
        <v>1549</v>
      </c>
      <c r="B213" s="5" t="s">
        <v>1550</v>
      </c>
      <c r="C213" s="4" t="s">
        <v>9</v>
      </c>
      <c r="D213" s="475">
        <v>2980.42</v>
      </c>
      <c r="E213" s="476">
        <v>0.04722</v>
      </c>
      <c r="F213" s="6">
        <v>3.1829</v>
      </c>
      <c r="G213" s="6">
        <v>2.58</v>
      </c>
    </row>
    <row r="214" ht="15.75" customHeight="1" spans="1:7">
      <c r="A214" s="4" t="s">
        <v>1551</v>
      </c>
      <c r="B214" s="5" t="s">
        <v>1552</v>
      </c>
      <c r="C214" s="4" t="s">
        <v>9</v>
      </c>
      <c r="D214" s="475">
        <v>3210.13</v>
      </c>
      <c r="E214" s="476">
        <v>0.04722</v>
      </c>
      <c r="F214" s="6">
        <v>3.465</v>
      </c>
      <c r="G214" s="6">
        <v>2.37</v>
      </c>
    </row>
    <row r="215" ht="15.75" customHeight="1" spans="1:7">
      <c r="A215" s="4" t="s">
        <v>1553</v>
      </c>
      <c r="B215" s="5" t="s">
        <v>1554</v>
      </c>
      <c r="C215" s="4" t="s">
        <v>9</v>
      </c>
      <c r="D215" s="475">
        <v>3159.57</v>
      </c>
      <c r="E215" s="476">
        <v>0.04722</v>
      </c>
      <c r="F215" s="6">
        <v>3.465</v>
      </c>
      <c r="G215" s="6">
        <v>2.37</v>
      </c>
    </row>
    <row r="216" ht="15.75" customHeight="1" spans="1:7">
      <c r="A216" s="4" t="s">
        <v>1555</v>
      </c>
      <c r="B216" s="5" t="s">
        <v>1556</v>
      </c>
      <c r="C216" s="4" t="s">
        <v>9</v>
      </c>
      <c r="D216" s="475">
        <v>3434.72</v>
      </c>
      <c r="E216" s="476">
        <v>0.04722</v>
      </c>
      <c r="F216" s="6">
        <v>3.7843</v>
      </c>
      <c r="G216" s="6">
        <v>2.17</v>
      </c>
    </row>
    <row r="217" ht="15.75" customHeight="1" spans="1:7">
      <c r="A217" s="4" t="s">
        <v>1557</v>
      </c>
      <c r="B217" s="5" t="s">
        <v>1558</v>
      </c>
      <c r="C217" s="4" t="s">
        <v>9</v>
      </c>
      <c r="D217" s="475">
        <v>3382.06</v>
      </c>
      <c r="E217" s="476">
        <v>0.04722</v>
      </c>
      <c r="F217" s="6">
        <v>3.7843</v>
      </c>
      <c r="G217" s="6">
        <v>2.17</v>
      </c>
    </row>
    <row r="218" ht="15.75" customHeight="1" spans="1:7">
      <c r="A218" s="4" t="s">
        <v>1559</v>
      </c>
      <c r="B218" s="5" t="s">
        <v>1560</v>
      </c>
      <c r="C218" s="4" t="s">
        <v>9</v>
      </c>
      <c r="D218" s="475">
        <v>3663.75</v>
      </c>
      <c r="E218" s="476">
        <v>0.04722</v>
      </c>
      <c r="F218" s="6">
        <v>4.2995</v>
      </c>
      <c r="G218" s="6">
        <v>1.91</v>
      </c>
    </row>
    <row r="219" ht="15.75" customHeight="1" spans="1:7">
      <c r="A219" s="4" t="s">
        <v>1561</v>
      </c>
      <c r="B219" s="5" t="s">
        <v>1562</v>
      </c>
      <c r="C219" s="4" t="s">
        <v>9</v>
      </c>
      <c r="D219" s="475">
        <v>3608.98</v>
      </c>
      <c r="E219" s="476">
        <v>0.04722</v>
      </c>
      <c r="F219" s="6">
        <v>4.2995</v>
      </c>
      <c r="G219" s="6">
        <v>1.91</v>
      </c>
    </row>
    <row r="220" ht="15.75" customHeight="1" spans="1:7">
      <c r="A220" s="4" t="s">
        <v>1563</v>
      </c>
      <c r="B220" s="5" t="s">
        <v>1564</v>
      </c>
      <c r="C220" s="4" t="s">
        <v>9</v>
      </c>
      <c r="D220" s="475">
        <v>3851.79</v>
      </c>
      <c r="E220" s="476">
        <v>0.04722</v>
      </c>
      <c r="F220" s="6">
        <v>4.8881</v>
      </c>
      <c r="G220" s="6">
        <v>1.68</v>
      </c>
    </row>
    <row r="221" ht="15.75" customHeight="1" spans="1:7">
      <c r="A221" s="4" t="s">
        <v>1565</v>
      </c>
      <c r="B221" s="5" t="s">
        <v>1566</v>
      </c>
      <c r="C221" s="4" t="s">
        <v>9</v>
      </c>
      <c r="D221" s="475">
        <v>3794.91</v>
      </c>
      <c r="E221" s="476">
        <v>0.04722</v>
      </c>
      <c r="F221" s="6">
        <v>4.8881</v>
      </c>
      <c r="G221" s="6">
        <v>1.68</v>
      </c>
    </row>
    <row r="222" ht="15.75" customHeight="1" spans="1:7">
      <c r="A222" s="4" t="s">
        <v>1567</v>
      </c>
      <c r="B222" s="5" t="s">
        <v>1568</v>
      </c>
      <c r="C222" s="4" t="s">
        <v>9</v>
      </c>
      <c r="D222" s="475">
        <v>4308.48</v>
      </c>
      <c r="E222" s="476">
        <v>0.04722</v>
      </c>
      <c r="F222" s="6">
        <v>9.1182</v>
      </c>
      <c r="G222" s="6">
        <v>1.49</v>
      </c>
    </row>
    <row r="223" ht="15.75" customHeight="1" spans="1:7">
      <c r="A223" s="4" t="s">
        <v>1569</v>
      </c>
      <c r="B223" s="5" t="s">
        <v>1570</v>
      </c>
      <c r="C223" s="4" t="s">
        <v>9</v>
      </c>
      <c r="D223" s="475">
        <v>4249.5</v>
      </c>
      <c r="E223" s="476">
        <v>0.04722</v>
      </c>
      <c r="F223" s="6">
        <v>9.1182</v>
      </c>
      <c r="G223" s="6">
        <v>1.49</v>
      </c>
    </row>
    <row r="224" ht="15.75" customHeight="1" spans="1:7">
      <c r="A224" s="4" t="s">
        <v>1571</v>
      </c>
      <c r="B224" s="5" t="s">
        <v>1572</v>
      </c>
      <c r="C224" s="4" t="s">
        <v>9</v>
      </c>
      <c r="D224" s="475">
        <v>5043.22</v>
      </c>
      <c r="E224" s="476">
        <v>0.04722</v>
      </c>
      <c r="F224" s="6">
        <v>10.7908</v>
      </c>
      <c r="G224" s="6">
        <v>1.26</v>
      </c>
    </row>
    <row r="225" ht="15.75" customHeight="1" spans="1:7">
      <c r="A225" s="4" t="s">
        <v>1573</v>
      </c>
      <c r="B225" s="5" t="s">
        <v>1574</v>
      </c>
      <c r="C225" s="4" t="s">
        <v>9</v>
      </c>
      <c r="D225" s="475">
        <v>4982.12</v>
      </c>
      <c r="E225" s="476">
        <v>0.04722</v>
      </c>
      <c r="F225" s="6">
        <v>10.7908</v>
      </c>
      <c r="G225" s="6">
        <v>1.26</v>
      </c>
    </row>
    <row r="226" ht="15.75" customHeight="1" spans="1:7">
      <c r="A226" s="4" t="s">
        <v>1575</v>
      </c>
      <c r="B226" s="5" t="s">
        <v>1576</v>
      </c>
      <c r="C226" s="4" t="s">
        <v>9</v>
      </c>
      <c r="D226" s="475">
        <v>5280.71</v>
      </c>
      <c r="E226" s="476">
        <v>0.04722</v>
      </c>
      <c r="F226" s="6">
        <v>11.2339</v>
      </c>
      <c r="G226" s="6">
        <v>1.43</v>
      </c>
    </row>
    <row r="227" ht="15.75" customHeight="1" spans="1:7">
      <c r="A227" s="4" t="s">
        <v>1577</v>
      </c>
      <c r="B227" s="5" t="s">
        <v>1578</v>
      </c>
      <c r="C227" s="4" t="s">
        <v>9</v>
      </c>
      <c r="D227" s="475">
        <v>5217.51</v>
      </c>
      <c r="E227" s="476">
        <v>0.04722</v>
      </c>
      <c r="F227" s="6">
        <v>11.2339</v>
      </c>
      <c r="G227" s="6">
        <v>1.43</v>
      </c>
    </row>
    <row r="228" ht="15.75" customHeight="1" spans="1:7">
      <c r="A228" s="4" t="s">
        <v>1579</v>
      </c>
      <c r="B228" s="5" t="s">
        <v>1580</v>
      </c>
      <c r="C228" s="4" t="s">
        <v>9</v>
      </c>
      <c r="D228" s="475">
        <v>5678.39</v>
      </c>
      <c r="E228" s="476">
        <v>0.04722</v>
      </c>
      <c r="F228" s="6">
        <v>13.1753</v>
      </c>
      <c r="G228" s="6">
        <v>1.22</v>
      </c>
    </row>
    <row r="229" ht="15.75" customHeight="1" spans="1:7">
      <c r="A229" s="4" t="s">
        <v>1581</v>
      </c>
      <c r="B229" s="5" t="s">
        <v>1582</v>
      </c>
      <c r="C229" s="4" t="s">
        <v>9</v>
      </c>
      <c r="D229" s="475">
        <v>5613.09</v>
      </c>
      <c r="E229" s="476">
        <v>0.04722</v>
      </c>
      <c r="F229" s="6">
        <v>13.1753</v>
      </c>
      <c r="G229" s="6">
        <v>1.22</v>
      </c>
    </row>
    <row r="230" ht="15.75" customHeight="1" spans="1:7">
      <c r="A230" s="4" t="s">
        <v>1583</v>
      </c>
      <c r="B230" s="5" t="s">
        <v>1584</v>
      </c>
      <c r="C230" s="4" t="s">
        <v>9</v>
      </c>
      <c r="D230" s="475">
        <v>5880.64</v>
      </c>
      <c r="E230" s="476">
        <v>0.04722</v>
      </c>
      <c r="F230" s="6">
        <v>15.3157</v>
      </c>
      <c r="G230" s="6">
        <v>1.05</v>
      </c>
    </row>
    <row r="231" ht="15.75" customHeight="1" spans="1:7">
      <c r="A231" s="4" t="s">
        <v>1585</v>
      </c>
      <c r="B231" s="5" t="s">
        <v>1586</v>
      </c>
      <c r="C231" s="4" t="s">
        <v>9</v>
      </c>
      <c r="D231" s="475">
        <v>5813.23</v>
      </c>
      <c r="E231" s="476">
        <v>0.04722</v>
      </c>
      <c r="F231" s="6">
        <v>15.3157</v>
      </c>
      <c r="G231" s="6">
        <v>1.05</v>
      </c>
    </row>
    <row r="232" ht="15.75" customHeight="1" spans="1:7">
      <c r="A232" s="4" t="s">
        <v>1587</v>
      </c>
      <c r="B232" s="5" t="s">
        <v>1588</v>
      </c>
      <c r="C232" s="4" t="s">
        <v>9</v>
      </c>
      <c r="D232" s="475">
        <v>6208.27</v>
      </c>
      <c r="E232" s="476">
        <v>0.04722</v>
      </c>
      <c r="F232" s="6">
        <v>18.7092</v>
      </c>
      <c r="G232" s="6">
        <v>0.86</v>
      </c>
    </row>
    <row r="233" ht="15.75" customHeight="1" spans="1:7">
      <c r="A233" s="4" t="s">
        <v>1589</v>
      </c>
      <c r="B233" s="5" t="s">
        <v>1590</v>
      </c>
      <c r="C233" s="4" t="s">
        <v>9</v>
      </c>
      <c r="D233" s="475">
        <v>6138.75</v>
      </c>
      <c r="E233" s="476">
        <v>0.04722</v>
      </c>
      <c r="F233" s="6">
        <v>18.7092</v>
      </c>
      <c r="G233" s="6">
        <v>0.86</v>
      </c>
    </row>
    <row r="234" ht="15.75" customHeight="1" spans="1:7">
      <c r="A234" s="4" t="s">
        <v>1591</v>
      </c>
      <c r="B234" s="5" t="s">
        <v>1592</v>
      </c>
      <c r="C234" s="4" t="s">
        <v>9</v>
      </c>
      <c r="D234" s="475">
        <v>8210.88</v>
      </c>
      <c r="E234" s="476">
        <v>0.04722</v>
      </c>
      <c r="F234" s="6">
        <v>22.6713</v>
      </c>
      <c r="G234" s="6">
        <v>0.71</v>
      </c>
    </row>
    <row r="235" ht="15.75" customHeight="1" spans="1:7">
      <c r="A235" s="4" t="s">
        <v>1593</v>
      </c>
      <c r="B235" s="5" t="s">
        <v>1594</v>
      </c>
      <c r="C235" s="4" t="s">
        <v>9</v>
      </c>
      <c r="D235" s="475">
        <v>8139.25</v>
      </c>
      <c r="E235" s="476">
        <v>0.04722</v>
      </c>
      <c r="F235" s="6">
        <v>22.6713</v>
      </c>
      <c r="G235" s="6">
        <v>0.71</v>
      </c>
    </row>
    <row r="236" ht="15.75" customHeight="1" spans="1:7">
      <c r="A236" s="4" t="s">
        <v>1595</v>
      </c>
      <c r="B236" s="5" t="s">
        <v>1596</v>
      </c>
      <c r="C236" s="4" t="s">
        <v>9</v>
      </c>
      <c r="D236" s="475">
        <v>10429.42</v>
      </c>
      <c r="E236" s="476">
        <v>0.04722</v>
      </c>
      <c r="F236" s="6">
        <v>27.2915</v>
      </c>
      <c r="G236" s="6">
        <v>0.59</v>
      </c>
    </row>
    <row r="237" ht="15.75" customHeight="1" spans="1:7">
      <c r="A237" s="4" t="s">
        <v>1597</v>
      </c>
      <c r="B237" s="5" t="s">
        <v>1598</v>
      </c>
      <c r="C237" s="4" t="s">
        <v>9</v>
      </c>
      <c r="D237" s="475">
        <v>10355.69</v>
      </c>
      <c r="E237" s="476">
        <v>0.04722</v>
      </c>
      <c r="F237" s="6">
        <v>27.2915</v>
      </c>
      <c r="G237" s="6">
        <v>0.59</v>
      </c>
    </row>
    <row r="238" ht="15.75" customHeight="1" spans="1:7">
      <c r="A238" s="4" t="s">
        <v>1599</v>
      </c>
      <c r="B238" s="5" t="s">
        <v>1600</v>
      </c>
      <c r="C238" s="4" t="s">
        <v>9</v>
      </c>
      <c r="D238" s="475">
        <v>11160.1</v>
      </c>
      <c r="E238" s="476">
        <v>0.04722</v>
      </c>
      <c r="F238" s="6">
        <v>32.8703</v>
      </c>
      <c r="G238" s="6">
        <v>0.49</v>
      </c>
    </row>
    <row r="239" ht="15.75" customHeight="1" spans="1:7">
      <c r="A239" s="4" t="s">
        <v>1601</v>
      </c>
      <c r="B239" s="5" t="s">
        <v>1602</v>
      </c>
      <c r="C239" s="4" t="s">
        <v>9</v>
      </c>
      <c r="D239" s="475">
        <v>11084.26</v>
      </c>
      <c r="E239" s="476">
        <v>0.04722</v>
      </c>
      <c r="F239" s="6">
        <v>32.8703</v>
      </c>
      <c r="G239" s="6">
        <v>0.49</v>
      </c>
    </row>
    <row r="240" ht="15.75" customHeight="1" spans="1:7">
      <c r="A240" s="4" t="s">
        <v>1603</v>
      </c>
      <c r="B240" s="5" t="s">
        <v>1604</v>
      </c>
      <c r="C240" s="4" t="s">
        <v>9</v>
      </c>
      <c r="D240" s="475">
        <v>11616.54</v>
      </c>
      <c r="E240" s="476">
        <v>0.04722</v>
      </c>
      <c r="F240" s="6">
        <v>40.2762</v>
      </c>
      <c r="G240" s="6">
        <v>0.4</v>
      </c>
    </row>
    <row r="241" ht="15.75" customHeight="1" spans="1:7">
      <c r="A241" s="4" t="s">
        <v>1605</v>
      </c>
      <c r="B241" s="5" t="s">
        <v>1606</v>
      </c>
      <c r="C241" s="4" t="s">
        <v>9</v>
      </c>
      <c r="D241" s="475">
        <v>11538.59</v>
      </c>
      <c r="E241" s="476">
        <v>0.04722</v>
      </c>
      <c r="F241" s="6">
        <v>40.2762</v>
      </c>
      <c r="G241" s="6">
        <v>0.4</v>
      </c>
    </row>
    <row r="242" ht="15.75" customHeight="1" spans="1:7">
      <c r="A242" s="4" t="s">
        <v>1607</v>
      </c>
      <c r="B242" s="5" t="s">
        <v>1608</v>
      </c>
      <c r="C242" s="4" t="s">
        <v>9</v>
      </c>
      <c r="D242" s="475">
        <v>12416.02</v>
      </c>
      <c r="E242" s="476">
        <v>0.04722</v>
      </c>
      <c r="F242" s="6">
        <v>48.7844</v>
      </c>
      <c r="G242" s="6">
        <v>0.33</v>
      </c>
    </row>
    <row r="243" ht="15.75" customHeight="1" spans="1:7">
      <c r="A243" s="4" t="s">
        <v>1609</v>
      </c>
      <c r="B243" s="5" t="s">
        <v>1610</v>
      </c>
      <c r="C243" s="4" t="s">
        <v>9</v>
      </c>
      <c r="D243" s="475">
        <v>12335.97</v>
      </c>
      <c r="E243" s="476">
        <v>0.04722</v>
      </c>
      <c r="F243" s="6">
        <v>48.7844</v>
      </c>
      <c r="G243" s="6">
        <v>0.33</v>
      </c>
    </row>
    <row r="244" ht="15.75" customHeight="1" spans="1:7">
      <c r="A244" s="4" t="s">
        <v>1611</v>
      </c>
      <c r="B244" s="5" t="s">
        <v>1612</v>
      </c>
      <c r="C244" s="4" t="s">
        <v>9</v>
      </c>
      <c r="D244" s="475">
        <v>1391.69</v>
      </c>
      <c r="E244" s="476">
        <v>0.04722</v>
      </c>
      <c r="F244" s="6">
        <v>2.053</v>
      </c>
      <c r="G244" s="6">
        <v>4</v>
      </c>
    </row>
    <row r="245" ht="15.75" customHeight="1" spans="1:7">
      <c r="A245" s="4" t="s">
        <v>1613</v>
      </c>
      <c r="B245" s="5" t="s">
        <v>1614</v>
      </c>
      <c r="C245" s="4" t="s">
        <v>9</v>
      </c>
      <c r="D245" s="475">
        <v>1369.22</v>
      </c>
      <c r="E245" s="476">
        <v>0.04722</v>
      </c>
      <c r="F245" s="6">
        <v>2.053</v>
      </c>
      <c r="G245" s="6">
        <v>4</v>
      </c>
    </row>
    <row r="246" ht="15.75" customHeight="1" spans="1:7">
      <c r="A246" s="4" t="s">
        <v>1615</v>
      </c>
      <c r="B246" s="5" t="s">
        <v>1616</v>
      </c>
      <c r="C246" s="4" t="s">
        <v>9</v>
      </c>
      <c r="D246" s="475">
        <v>1600.58</v>
      </c>
      <c r="E246" s="476">
        <v>0.04722</v>
      </c>
      <c r="F246" s="6">
        <v>2.1899</v>
      </c>
      <c r="G246" s="6">
        <v>3.75</v>
      </c>
    </row>
    <row r="247" ht="15.75" customHeight="1" spans="1:7">
      <c r="A247" s="4" t="s">
        <v>1617</v>
      </c>
      <c r="B247" s="5" t="s">
        <v>1618</v>
      </c>
      <c r="C247" s="4" t="s">
        <v>9</v>
      </c>
      <c r="D247" s="475">
        <v>1576.7</v>
      </c>
      <c r="E247" s="476">
        <v>0.04722</v>
      </c>
      <c r="F247" s="6">
        <v>2.1899</v>
      </c>
      <c r="G247" s="6">
        <v>3.75</v>
      </c>
    </row>
    <row r="248" ht="15.75" customHeight="1" spans="1:7">
      <c r="A248" s="4" t="s">
        <v>1619</v>
      </c>
      <c r="B248" s="5" t="s">
        <v>1620</v>
      </c>
      <c r="C248" s="4" t="s">
        <v>9</v>
      </c>
      <c r="D248" s="475">
        <v>1809.49</v>
      </c>
      <c r="E248" s="476">
        <v>0.04722</v>
      </c>
      <c r="F248" s="6">
        <v>2.3263</v>
      </c>
      <c r="G248" s="6">
        <v>3.53</v>
      </c>
    </row>
    <row r="249" ht="15.75" customHeight="1" spans="1:7">
      <c r="A249" s="4" t="s">
        <v>1621</v>
      </c>
      <c r="B249" s="5" t="s">
        <v>1622</v>
      </c>
      <c r="C249" s="4" t="s">
        <v>9</v>
      </c>
      <c r="D249" s="475">
        <v>1784.21</v>
      </c>
      <c r="E249" s="476">
        <v>0.04722</v>
      </c>
      <c r="F249" s="6">
        <v>2.3263</v>
      </c>
      <c r="G249" s="6">
        <v>3.53</v>
      </c>
    </row>
    <row r="250" ht="15.75" customHeight="1" spans="1:7">
      <c r="A250" s="4" t="s">
        <v>1623</v>
      </c>
      <c r="B250" s="5" t="s">
        <v>1624</v>
      </c>
      <c r="C250" s="4" t="s">
        <v>9</v>
      </c>
      <c r="D250" s="475">
        <v>1977.88</v>
      </c>
      <c r="E250" s="476">
        <v>0.04722</v>
      </c>
      <c r="F250" s="6">
        <v>2.4661</v>
      </c>
      <c r="G250" s="6">
        <v>3.33</v>
      </c>
    </row>
    <row r="251" ht="15.75" customHeight="1" spans="1:7">
      <c r="A251" s="4" t="s">
        <v>1625</v>
      </c>
      <c r="B251" s="5" t="s">
        <v>1626</v>
      </c>
      <c r="C251" s="4" t="s">
        <v>9</v>
      </c>
      <c r="D251" s="475">
        <v>1951.2</v>
      </c>
      <c r="E251" s="476">
        <v>0.04722</v>
      </c>
      <c r="F251" s="6">
        <v>2.4661</v>
      </c>
      <c r="G251" s="6">
        <v>3.33</v>
      </c>
    </row>
    <row r="252" ht="15.75" customHeight="1" spans="1:7">
      <c r="A252" s="4" t="s">
        <v>1627</v>
      </c>
      <c r="B252" s="5" t="s">
        <v>1628</v>
      </c>
      <c r="C252" s="4" t="s">
        <v>9</v>
      </c>
      <c r="D252" s="475">
        <v>2186.71</v>
      </c>
      <c r="E252" s="476">
        <v>0.04722</v>
      </c>
      <c r="F252" s="6">
        <v>2.5987</v>
      </c>
      <c r="G252" s="6">
        <v>3.16</v>
      </c>
    </row>
    <row r="253" ht="15.75" customHeight="1" spans="1:7">
      <c r="A253" s="4" t="s">
        <v>1629</v>
      </c>
      <c r="B253" s="5" t="s">
        <v>1630</v>
      </c>
      <c r="C253" s="4" t="s">
        <v>9</v>
      </c>
      <c r="D253" s="475">
        <v>2158.62</v>
      </c>
      <c r="E253" s="476">
        <v>0.04722</v>
      </c>
      <c r="F253" s="6">
        <v>2.5987</v>
      </c>
      <c r="G253" s="6">
        <v>3.16</v>
      </c>
    </row>
    <row r="254" ht="15.75" customHeight="1" spans="1:7">
      <c r="A254" s="4" t="s">
        <v>1631</v>
      </c>
      <c r="B254" s="5" t="s">
        <v>1632</v>
      </c>
      <c r="C254" s="4" t="s">
        <v>9</v>
      </c>
      <c r="D254" s="475">
        <v>2476.78</v>
      </c>
      <c r="E254" s="476">
        <v>0.04722</v>
      </c>
      <c r="F254" s="6">
        <v>2.7373</v>
      </c>
      <c r="G254" s="6">
        <v>3</v>
      </c>
    </row>
    <row r="255" ht="15.75" customHeight="1" spans="1:7">
      <c r="A255" s="4" t="s">
        <v>1633</v>
      </c>
      <c r="B255" s="5" t="s">
        <v>1634</v>
      </c>
      <c r="C255" s="4" t="s">
        <v>9</v>
      </c>
      <c r="D255" s="475">
        <v>2447.28</v>
      </c>
      <c r="E255" s="476">
        <v>0.04722</v>
      </c>
      <c r="F255" s="6">
        <v>2.7373</v>
      </c>
      <c r="G255" s="6">
        <v>3</v>
      </c>
    </row>
    <row r="256" ht="15.75" customHeight="1" spans="1:7">
      <c r="A256" s="4" t="s">
        <v>1635</v>
      </c>
      <c r="B256" s="5" t="s">
        <v>1636</v>
      </c>
      <c r="C256" s="4" t="s">
        <v>9</v>
      </c>
      <c r="D256" s="475">
        <v>2645.12</v>
      </c>
      <c r="E256" s="476">
        <v>0.04722</v>
      </c>
      <c r="F256" s="6">
        <v>2.8713</v>
      </c>
      <c r="G256" s="6">
        <v>2.86</v>
      </c>
    </row>
    <row r="257" ht="15.75" customHeight="1" spans="1:7">
      <c r="A257" s="4" t="s">
        <v>1637</v>
      </c>
      <c r="B257" s="5" t="s">
        <v>1638</v>
      </c>
      <c r="C257" s="4" t="s">
        <v>9</v>
      </c>
      <c r="D257" s="475">
        <v>2614.22</v>
      </c>
      <c r="E257" s="476">
        <v>0.04722</v>
      </c>
      <c r="F257" s="6">
        <v>2.8713</v>
      </c>
      <c r="G257" s="6">
        <v>2.86</v>
      </c>
    </row>
    <row r="258" ht="15.75" customHeight="1" spans="1:7">
      <c r="A258" s="4" t="s">
        <v>1639</v>
      </c>
      <c r="B258" s="5" t="s">
        <v>1640</v>
      </c>
      <c r="C258" s="4" t="s">
        <v>9</v>
      </c>
      <c r="D258" s="475">
        <v>2892.03</v>
      </c>
      <c r="E258" s="476">
        <v>0.04722</v>
      </c>
      <c r="F258" s="6">
        <v>3.1829</v>
      </c>
      <c r="G258" s="6">
        <v>2.58</v>
      </c>
    </row>
    <row r="259" ht="15.75" customHeight="1" spans="1:7">
      <c r="A259" s="4" t="s">
        <v>1641</v>
      </c>
      <c r="B259" s="5" t="s">
        <v>1642</v>
      </c>
      <c r="C259" s="4" t="s">
        <v>9</v>
      </c>
      <c r="D259" s="475">
        <v>2843.58</v>
      </c>
      <c r="E259" s="476">
        <v>0.04722</v>
      </c>
      <c r="F259" s="6">
        <v>3.1829</v>
      </c>
      <c r="G259" s="6">
        <v>2.58</v>
      </c>
    </row>
    <row r="260" ht="15.75" customHeight="1" spans="1:7">
      <c r="A260" s="4" t="s">
        <v>1643</v>
      </c>
      <c r="B260" s="5" t="s">
        <v>1644</v>
      </c>
      <c r="C260" s="4" t="s">
        <v>9</v>
      </c>
      <c r="D260" s="475">
        <v>3065.11</v>
      </c>
      <c r="E260" s="476">
        <v>0.04722</v>
      </c>
      <c r="F260" s="6">
        <v>3.465</v>
      </c>
      <c r="G260" s="6">
        <v>2.37</v>
      </c>
    </row>
    <row r="261" ht="15.75" customHeight="1" spans="1:7">
      <c r="A261" s="4" t="s">
        <v>1645</v>
      </c>
      <c r="B261" s="5" t="s">
        <v>1646</v>
      </c>
      <c r="C261" s="4" t="s">
        <v>9</v>
      </c>
      <c r="D261" s="475">
        <v>3014.56</v>
      </c>
      <c r="E261" s="476">
        <v>0.04722</v>
      </c>
      <c r="F261" s="6">
        <v>3.465</v>
      </c>
      <c r="G261" s="6">
        <v>2.37</v>
      </c>
    </row>
    <row r="262" ht="15.75" customHeight="1" spans="1:7">
      <c r="A262" s="4" t="s">
        <v>1647</v>
      </c>
      <c r="B262" s="5" t="s">
        <v>1648</v>
      </c>
      <c r="C262" s="4" t="s">
        <v>9</v>
      </c>
      <c r="D262" s="475">
        <v>3279.5</v>
      </c>
      <c r="E262" s="476">
        <v>0.04722</v>
      </c>
      <c r="F262" s="6">
        <v>3.7843</v>
      </c>
      <c r="G262" s="6">
        <v>2.17</v>
      </c>
    </row>
    <row r="263" ht="15.75" customHeight="1" spans="1:7">
      <c r="A263" s="4" t="s">
        <v>1649</v>
      </c>
      <c r="B263" s="5" t="s">
        <v>1650</v>
      </c>
      <c r="C263" s="4" t="s">
        <v>9</v>
      </c>
      <c r="D263" s="475">
        <v>3226.83</v>
      </c>
      <c r="E263" s="476">
        <v>0.04722</v>
      </c>
      <c r="F263" s="6">
        <v>3.7843</v>
      </c>
      <c r="G263" s="6">
        <v>2.17</v>
      </c>
    </row>
    <row r="264" ht="15.75" customHeight="1" spans="1:7">
      <c r="A264" s="4" t="s">
        <v>1651</v>
      </c>
      <c r="B264" s="5" t="s">
        <v>1652</v>
      </c>
      <c r="C264" s="4" t="s">
        <v>9</v>
      </c>
      <c r="D264" s="475">
        <v>3498.31</v>
      </c>
      <c r="E264" s="476">
        <v>0.04722</v>
      </c>
      <c r="F264" s="6">
        <v>4.2995</v>
      </c>
      <c r="G264" s="6">
        <v>1.91</v>
      </c>
    </row>
    <row r="265" ht="15.75" customHeight="1" spans="1:7">
      <c r="A265" s="4" t="s">
        <v>1653</v>
      </c>
      <c r="B265" s="5" t="s">
        <v>1654</v>
      </c>
      <c r="C265" s="4" t="s">
        <v>9</v>
      </c>
      <c r="D265" s="475">
        <v>3443.54</v>
      </c>
      <c r="E265" s="476">
        <v>0.04722</v>
      </c>
      <c r="F265" s="6">
        <v>4.2995</v>
      </c>
      <c r="G265" s="6">
        <v>1.91</v>
      </c>
    </row>
    <row r="266" ht="15.75" customHeight="1" spans="1:7">
      <c r="A266" s="4" t="s">
        <v>1655</v>
      </c>
      <c r="B266" s="5" t="s">
        <v>1656</v>
      </c>
      <c r="C266" s="4" t="s">
        <v>9</v>
      </c>
      <c r="D266" s="475">
        <v>3678.18</v>
      </c>
      <c r="E266" s="476">
        <v>0.04722</v>
      </c>
      <c r="F266" s="6">
        <v>4.8881</v>
      </c>
      <c r="G266" s="6">
        <v>1.68</v>
      </c>
    </row>
    <row r="267" ht="15.75" customHeight="1" spans="1:7">
      <c r="A267" s="4" t="s">
        <v>1657</v>
      </c>
      <c r="B267" s="5" t="s">
        <v>1658</v>
      </c>
      <c r="C267" s="4" t="s">
        <v>9</v>
      </c>
      <c r="D267" s="475">
        <v>3621.3</v>
      </c>
      <c r="E267" s="476">
        <v>0.04722</v>
      </c>
      <c r="F267" s="6">
        <v>4.8881</v>
      </c>
      <c r="G267" s="6">
        <v>1.68</v>
      </c>
    </row>
    <row r="268" ht="15.75" customHeight="1" spans="1:7">
      <c r="A268" s="4" t="s">
        <v>1659</v>
      </c>
      <c r="B268" s="5" t="s">
        <v>1660</v>
      </c>
      <c r="C268" s="4" t="s">
        <v>9</v>
      </c>
      <c r="D268" s="475">
        <v>4124.7</v>
      </c>
      <c r="E268" s="476">
        <v>0.04722</v>
      </c>
      <c r="F268" s="6">
        <v>9.1182</v>
      </c>
      <c r="G268" s="6">
        <v>1.49</v>
      </c>
    </row>
    <row r="269" ht="15.75" customHeight="1" spans="1:7">
      <c r="A269" s="4" t="s">
        <v>1661</v>
      </c>
      <c r="B269" s="5" t="s">
        <v>1662</v>
      </c>
      <c r="C269" s="4" t="s">
        <v>9</v>
      </c>
      <c r="D269" s="475">
        <v>4065.72</v>
      </c>
      <c r="E269" s="476">
        <v>0.04722</v>
      </c>
      <c r="F269" s="6">
        <v>9.1182</v>
      </c>
      <c r="G269" s="6">
        <v>1.49</v>
      </c>
    </row>
    <row r="270" ht="15.75" customHeight="1" spans="1:7">
      <c r="A270" s="4" t="s">
        <v>1663</v>
      </c>
      <c r="B270" s="5" t="s">
        <v>1664</v>
      </c>
      <c r="C270" s="4" t="s">
        <v>9</v>
      </c>
      <c r="D270" s="475">
        <v>4802.86</v>
      </c>
      <c r="E270" s="476">
        <v>0.04722</v>
      </c>
      <c r="F270" s="6">
        <v>10.7908</v>
      </c>
      <c r="G270" s="6">
        <v>1.26</v>
      </c>
    </row>
    <row r="271" ht="15.75" customHeight="1" spans="1:7">
      <c r="A271" s="4" t="s">
        <v>1665</v>
      </c>
      <c r="B271" s="5" t="s">
        <v>1666</v>
      </c>
      <c r="C271" s="4" t="s">
        <v>9</v>
      </c>
      <c r="D271" s="475">
        <v>4741.77</v>
      </c>
      <c r="E271" s="476">
        <v>0.04722</v>
      </c>
      <c r="F271" s="6">
        <v>10.7908</v>
      </c>
      <c r="G271" s="6">
        <v>1.26</v>
      </c>
    </row>
    <row r="272" ht="15.75" customHeight="1" spans="1:7">
      <c r="A272" s="4" t="s">
        <v>1667</v>
      </c>
      <c r="B272" s="5" t="s">
        <v>1668</v>
      </c>
      <c r="C272" s="4" t="s">
        <v>9</v>
      </c>
      <c r="D272" s="475">
        <v>5027.36</v>
      </c>
      <c r="E272" s="476">
        <v>0.04722</v>
      </c>
      <c r="F272" s="6">
        <v>11.2339</v>
      </c>
      <c r="G272" s="6">
        <v>1.43</v>
      </c>
    </row>
    <row r="273" ht="15.75" customHeight="1" spans="1:7">
      <c r="A273" s="4" t="s">
        <v>1669</v>
      </c>
      <c r="B273" s="5" t="s">
        <v>1670</v>
      </c>
      <c r="C273" s="4" t="s">
        <v>9</v>
      </c>
      <c r="D273" s="475">
        <v>4964.17</v>
      </c>
      <c r="E273" s="476">
        <v>0.04722</v>
      </c>
      <c r="F273" s="6">
        <v>11.2339</v>
      </c>
      <c r="G273" s="6">
        <v>1.43</v>
      </c>
    </row>
    <row r="274" ht="15.75" customHeight="1" spans="1:7">
      <c r="A274" s="4" t="s">
        <v>1671</v>
      </c>
      <c r="B274" s="5" t="s">
        <v>1672</v>
      </c>
      <c r="C274" s="4" t="s">
        <v>9</v>
      </c>
      <c r="D274" s="475">
        <v>5407.72</v>
      </c>
      <c r="E274" s="476">
        <v>0.04722</v>
      </c>
      <c r="F274" s="6">
        <v>13.1753</v>
      </c>
      <c r="G274" s="6">
        <v>1.22</v>
      </c>
    </row>
    <row r="275" ht="15.75" customHeight="1" spans="1:7">
      <c r="A275" s="4" t="s">
        <v>1673</v>
      </c>
      <c r="B275" s="5" t="s">
        <v>1674</v>
      </c>
      <c r="C275" s="4" t="s">
        <v>9</v>
      </c>
      <c r="D275" s="475">
        <v>5342.42</v>
      </c>
      <c r="E275" s="476">
        <v>0.04722</v>
      </c>
      <c r="F275" s="6">
        <v>13.1753</v>
      </c>
      <c r="G275" s="6">
        <v>1.22</v>
      </c>
    </row>
    <row r="276" ht="15.75" customHeight="1" spans="1:7">
      <c r="A276" s="4" t="s">
        <v>1675</v>
      </c>
      <c r="B276" s="5" t="s">
        <v>1676</v>
      </c>
      <c r="C276" s="4" t="s">
        <v>9</v>
      </c>
      <c r="D276" s="475">
        <v>5603.48</v>
      </c>
      <c r="E276" s="476">
        <v>0.04722</v>
      </c>
      <c r="F276" s="6">
        <v>15.3157</v>
      </c>
      <c r="G276" s="6">
        <v>1.05</v>
      </c>
    </row>
    <row r="277" ht="15.75" customHeight="1" spans="1:7">
      <c r="A277" s="4" t="s">
        <v>1677</v>
      </c>
      <c r="B277" s="5" t="s">
        <v>1678</v>
      </c>
      <c r="C277" s="4" t="s">
        <v>9</v>
      </c>
      <c r="D277" s="475">
        <v>5536.07</v>
      </c>
      <c r="E277" s="476">
        <v>0.04722</v>
      </c>
      <c r="F277" s="6">
        <v>15.3157</v>
      </c>
      <c r="G277" s="6">
        <v>1.05</v>
      </c>
    </row>
    <row r="278" ht="15.75" customHeight="1" spans="1:7">
      <c r="A278" s="4" t="s">
        <v>1679</v>
      </c>
      <c r="B278" s="5" t="s">
        <v>1680</v>
      </c>
      <c r="C278" s="4" t="s">
        <v>9</v>
      </c>
      <c r="D278" s="475">
        <v>5920.28</v>
      </c>
      <c r="E278" s="476">
        <v>0.04722</v>
      </c>
      <c r="F278" s="6">
        <v>18.7092</v>
      </c>
      <c r="G278" s="6">
        <v>0.86</v>
      </c>
    </row>
    <row r="279" ht="15.75" customHeight="1" spans="1:7">
      <c r="A279" s="4" t="s">
        <v>1681</v>
      </c>
      <c r="B279" s="5" t="s">
        <v>1682</v>
      </c>
      <c r="C279" s="4" t="s">
        <v>9</v>
      </c>
      <c r="D279" s="475">
        <v>5850.76</v>
      </c>
      <c r="E279" s="476">
        <v>0.04722</v>
      </c>
      <c r="F279" s="6">
        <v>18.7092</v>
      </c>
      <c r="G279" s="6">
        <v>0.86</v>
      </c>
    </row>
    <row r="280" ht="15.75" customHeight="1" spans="1:7">
      <c r="A280" s="4" t="s">
        <v>1683</v>
      </c>
      <c r="B280" s="5" t="s">
        <v>1684</v>
      </c>
      <c r="C280" s="4" t="s">
        <v>9</v>
      </c>
      <c r="D280" s="475">
        <v>7729.06</v>
      </c>
      <c r="E280" s="476">
        <v>0.04722</v>
      </c>
      <c r="F280" s="6">
        <v>22.6713</v>
      </c>
      <c r="G280" s="6">
        <v>0.71</v>
      </c>
    </row>
    <row r="281" ht="15.75" customHeight="1" spans="1:7">
      <c r="A281" s="4" t="s">
        <v>1685</v>
      </c>
      <c r="B281" s="5" t="s">
        <v>1686</v>
      </c>
      <c r="C281" s="4" t="s">
        <v>9</v>
      </c>
      <c r="D281" s="475">
        <v>7657.43</v>
      </c>
      <c r="E281" s="476">
        <v>0.04722</v>
      </c>
      <c r="F281" s="6">
        <v>22.6713</v>
      </c>
      <c r="G281" s="6">
        <v>0.71</v>
      </c>
    </row>
    <row r="282" ht="15.75" customHeight="1" spans="1:7">
      <c r="A282" s="4" t="s">
        <v>1687</v>
      </c>
      <c r="B282" s="5" t="s">
        <v>1688</v>
      </c>
      <c r="C282" s="4" t="s">
        <v>9</v>
      </c>
      <c r="D282" s="475">
        <v>9745</v>
      </c>
      <c r="E282" s="476">
        <v>0.04722</v>
      </c>
      <c r="F282" s="6">
        <v>27.2915</v>
      </c>
      <c r="G282" s="6">
        <v>0.59</v>
      </c>
    </row>
    <row r="283" ht="15.75" customHeight="1" spans="1:7">
      <c r="A283" s="4" t="s">
        <v>1689</v>
      </c>
      <c r="B283" s="5" t="s">
        <v>1690</v>
      </c>
      <c r="C283" s="4" t="s">
        <v>9</v>
      </c>
      <c r="D283" s="475">
        <v>9671.27</v>
      </c>
      <c r="E283" s="476">
        <v>0.04722</v>
      </c>
      <c r="F283" s="6">
        <v>27.2915</v>
      </c>
      <c r="G283" s="6">
        <v>0.59</v>
      </c>
    </row>
    <row r="284" ht="15.75" customHeight="1" spans="1:7">
      <c r="A284" s="4" t="s">
        <v>1691</v>
      </c>
      <c r="B284" s="5" t="s">
        <v>1692</v>
      </c>
      <c r="C284" s="4" t="s">
        <v>9</v>
      </c>
      <c r="D284" s="475">
        <v>10436.72</v>
      </c>
      <c r="E284" s="476">
        <v>0.04722</v>
      </c>
      <c r="F284" s="6">
        <v>32.8703</v>
      </c>
      <c r="G284" s="6">
        <v>0.49</v>
      </c>
    </row>
    <row r="285" ht="15.75" customHeight="1" spans="1:7">
      <c r="A285" s="4" t="s">
        <v>1693</v>
      </c>
      <c r="B285" s="5" t="s">
        <v>1694</v>
      </c>
      <c r="C285" s="4" t="s">
        <v>9</v>
      </c>
      <c r="D285" s="475">
        <v>10360.89</v>
      </c>
      <c r="E285" s="476">
        <v>0.04722</v>
      </c>
      <c r="F285" s="6">
        <v>32.8703</v>
      </c>
      <c r="G285" s="6">
        <v>0.49</v>
      </c>
    </row>
    <row r="286" ht="15.75" customHeight="1" spans="1:7">
      <c r="A286" s="4" t="s">
        <v>1695</v>
      </c>
      <c r="B286" s="5" t="s">
        <v>1696</v>
      </c>
      <c r="C286" s="4" t="s">
        <v>9</v>
      </c>
      <c r="D286" s="475">
        <v>10879.25</v>
      </c>
      <c r="E286" s="476">
        <v>0.04722</v>
      </c>
      <c r="F286" s="6">
        <v>40.2762</v>
      </c>
      <c r="G286" s="6">
        <v>0.4</v>
      </c>
    </row>
    <row r="287" ht="15.75" customHeight="1" spans="1:7">
      <c r="A287" s="4" t="s">
        <v>1697</v>
      </c>
      <c r="B287" s="5" t="s">
        <v>1698</v>
      </c>
      <c r="C287" s="4" t="s">
        <v>9</v>
      </c>
      <c r="D287" s="475">
        <v>10801.31</v>
      </c>
      <c r="E287" s="476">
        <v>0.04722</v>
      </c>
      <c r="F287" s="6">
        <v>40.2762</v>
      </c>
      <c r="G287" s="6">
        <v>0.4</v>
      </c>
    </row>
    <row r="288" ht="15.75" customHeight="1" spans="1:7">
      <c r="A288" s="4" t="s">
        <v>1699</v>
      </c>
      <c r="B288" s="5" t="s">
        <v>1700</v>
      </c>
      <c r="C288" s="4" t="s">
        <v>9</v>
      </c>
      <c r="D288" s="475">
        <v>11642.57</v>
      </c>
      <c r="E288" s="476">
        <v>0.04722</v>
      </c>
      <c r="F288" s="6">
        <v>48.7844</v>
      </c>
      <c r="G288" s="6">
        <v>0.33</v>
      </c>
    </row>
    <row r="289" ht="15.75" customHeight="1" spans="1:7">
      <c r="A289" s="4" t="s">
        <v>1701</v>
      </c>
      <c r="B289" s="5" t="s">
        <v>1702</v>
      </c>
      <c r="C289" s="4" t="s">
        <v>9</v>
      </c>
      <c r="D289" s="475">
        <v>11562.52</v>
      </c>
      <c r="E289" s="476">
        <v>0.04722</v>
      </c>
      <c r="F289" s="6">
        <v>48.7844</v>
      </c>
      <c r="G289" s="6">
        <v>0.33</v>
      </c>
    </row>
    <row r="290" ht="15.75" customHeight="1" spans="1:7">
      <c r="A290" s="4" t="s">
        <v>1703</v>
      </c>
      <c r="B290" s="5" t="s">
        <v>1704</v>
      </c>
      <c r="C290" s="4" t="s">
        <v>9</v>
      </c>
      <c r="D290" s="475">
        <v>6855.25</v>
      </c>
      <c r="E290" s="476">
        <v>0.04722</v>
      </c>
      <c r="F290" s="6">
        <v>3.7843</v>
      </c>
      <c r="G290" s="6">
        <v>2.17</v>
      </c>
    </row>
    <row r="291" ht="15.75" customHeight="1" spans="1:7">
      <c r="A291" s="4" t="s">
        <v>1705</v>
      </c>
      <c r="B291" s="5" t="s">
        <v>1706</v>
      </c>
      <c r="C291" s="4" t="s">
        <v>9</v>
      </c>
      <c r="D291" s="475">
        <v>6802.58</v>
      </c>
      <c r="E291" s="476">
        <v>0.04722</v>
      </c>
      <c r="F291" s="6">
        <v>3.7843</v>
      </c>
      <c r="G291" s="6">
        <v>2.17</v>
      </c>
    </row>
    <row r="292" ht="15.75" customHeight="1" spans="1:7">
      <c r="A292" s="4" t="s">
        <v>1707</v>
      </c>
      <c r="B292" s="5" t="s">
        <v>1708</v>
      </c>
      <c r="C292" s="4" t="s">
        <v>9</v>
      </c>
      <c r="D292" s="475">
        <v>8527.63</v>
      </c>
      <c r="E292" s="476">
        <v>0.04722</v>
      </c>
      <c r="F292" s="6">
        <v>9.1801</v>
      </c>
      <c r="G292" s="6">
        <v>1.48</v>
      </c>
    </row>
    <row r="293" ht="15.75" customHeight="1" spans="1:7">
      <c r="A293" s="4" t="s">
        <v>1709</v>
      </c>
      <c r="B293" s="5" t="s">
        <v>1710</v>
      </c>
      <c r="C293" s="4" t="s">
        <v>9</v>
      </c>
      <c r="D293" s="475">
        <v>8468.65</v>
      </c>
      <c r="E293" s="476">
        <v>0.04722</v>
      </c>
      <c r="F293" s="6">
        <v>9.1801</v>
      </c>
      <c r="G293" s="6">
        <v>1.48</v>
      </c>
    </row>
    <row r="294" ht="15.75" customHeight="1" spans="1:7">
      <c r="A294" s="4" t="s">
        <v>1711</v>
      </c>
      <c r="B294" s="5" t="s">
        <v>1712</v>
      </c>
      <c r="C294" s="4" t="s">
        <v>9</v>
      </c>
      <c r="D294" s="475">
        <v>8801.78</v>
      </c>
      <c r="E294" s="476">
        <v>0.04722</v>
      </c>
      <c r="F294" s="6">
        <v>10.049</v>
      </c>
      <c r="G294" s="6">
        <v>1.6</v>
      </c>
    </row>
    <row r="295" ht="15.75" customHeight="1" spans="1:7">
      <c r="A295" s="4" t="s">
        <v>1713</v>
      </c>
      <c r="B295" s="5" t="s">
        <v>1714</v>
      </c>
      <c r="C295" s="4" t="s">
        <v>9</v>
      </c>
      <c r="D295" s="475">
        <v>8740.69</v>
      </c>
      <c r="E295" s="476">
        <v>0.04722</v>
      </c>
      <c r="F295" s="6">
        <v>10.049</v>
      </c>
      <c r="G295" s="6">
        <v>1.6</v>
      </c>
    </row>
    <row r="296" ht="15.75" customHeight="1" spans="1:7">
      <c r="A296" s="4" t="s">
        <v>1715</v>
      </c>
      <c r="B296" s="5" t="s">
        <v>1716</v>
      </c>
      <c r="C296" s="4" t="s">
        <v>9</v>
      </c>
      <c r="D296" s="475">
        <v>9968.18</v>
      </c>
      <c r="E296" s="476">
        <v>0.04722</v>
      </c>
      <c r="F296" s="6">
        <v>10.7076</v>
      </c>
      <c r="G296" s="6">
        <v>1.5</v>
      </c>
    </row>
    <row r="297" ht="15.75" customHeight="1" spans="1:7">
      <c r="A297" s="4" t="s">
        <v>1717</v>
      </c>
      <c r="B297" s="5" t="s">
        <v>1718</v>
      </c>
      <c r="C297" s="4" t="s">
        <v>9</v>
      </c>
      <c r="D297" s="475">
        <v>9901.82</v>
      </c>
      <c r="E297" s="476">
        <v>0.04722</v>
      </c>
      <c r="F297" s="6">
        <v>10.7076</v>
      </c>
      <c r="G297" s="6">
        <v>1.5</v>
      </c>
    </row>
    <row r="298" ht="15.75" customHeight="1" spans="1:7">
      <c r="A298" s="4" t="s">
        <v>1719</v>
      </c>
      <c r="B298" s="5" t="s">
        <v>1720</v>
      </c>
      <c r="C298" s="4" t="s">
        <v>9</v>
      </c>
      <c r="D298" s="475">
        <v>10569.92</v>
      </c>
      <c r="E298" s="476">
        <v>0.04722</v>
      </c>
      <c r="F298" s="6">
        <v>12.7556</v>
      </c>
      <c r="G298" s="6">
        <v>1.26</v>
      </c>
    </row>
    <row r="299" ht="15.75" customHeight="1" spans="1:7">
      <c r="A299" s="4" t="s">
        <v>1721</v>
      </c>
      <c r="B299" s="5" t="s">
        <v>1722</v>
      </c>
      <c r="C299" s="4" t="s">
        <v>9</v>
      </c>
      <c r="D299" s="475">
        <v>10500.4</v>
      </c>
      <c r="E299" s="476">
        <v>0.04722</v>
      </c>
      <c r="F299" s="6">
        <v>12.7556</v>
      </c>
      <c r="G299" s="6">
        <v>1.26</v>
      </c>
    </row>
    <row r="300" ht="15.75" customHeight="1" spans="1:7">
      <c r="A300" s="4" t="s">
        <v>1723</v>
      </c>
      <c r="B300" s="5" t="s">
        <v>1724</v>
      </c>
      <c r="C300" s="4" t="s">
        <v>9</v>
      </c>
      <c r="D300" s="475">
        <v>12370.29</v>
      </c>
      <c r="E300" s="476">
        <v>0.04722</v>
      </c>
      <c r="F300" s="6">
        <v>14.889</v>
      </c>
      <c r="G300" s="6">
        <v>1.08</v>
      </c>
    </row>
    <row r="301" ht="15.75" customHeight="1" spans="1:7">
      <c r="A301" s="4" t="s">
        <v>1725</v>
      </c>
      <c r="B301" s="5" t="s">
        <v>1726</v>
      </c>
      <c r="C301" s="4" t="s">
        <v>9</v>
      </c>
      <c r="D301" s="475">
        <v>12293.4</v>
      </c>
      <c r="E301" s="476">
        <v>0.04722</v>
      </c>
      <c r="F301" s="6">
        <v>14.889</v>
      </c>
      <c r="G301" s="6">
        <v>1.08</v>
      </c>
    </row>
    <row r="302" ht="15.75" customHeight="1" spans="1:7">
      <c r="A302" s="4" t="s">
        <v>1727</v>
      </c>
      <c r="B302" s="5" t="s">
        <v>1728</v>
      </c>
      <c r="C302" s="4" t="s">
        <v>9</v>
      </c>
      <c r="D302" s="475">
        <v>14118.62</v>
      </c>
      <c r="E302" s="476">
        <v>0.04722</v>
      </c>
      <c r="F302" s="6">
        <v>15.7228</v>
      </c>
      <c r="G302" s="6">
        <v>1.02</v>
      </c>
    </row>
    <row r="303" ht="15.75" customHeight="1" spans="1:7">
      <c r="A303" s="4" t="s">
        <v>1729</v>
      </c>
      <c r="B303" s="5" t="s">
        <v>1730</v>
      </c>
      <c r="C303" s="4" t="s">
        <v>9</v>
      </c>
      <c r="D303" s="475">
        <v>14012.24</v>
      </c>
      <c r="E303" s="476">
        <v>0.04722</v>
      </c>
      <c r="F303" s="6">
        <v>15.7228</v>
      </c>
      <c r="G303" s="6">
        <v>1.02</v>
      </c>
    </row>
    <row r="304" ht="15.75" customHeight="1" spans="1:7">
      <c r="A304" s="4" t="s">
        <v>1731</v>
      </c>
      <c r="B304" s="5" t="s">
        <v>1732</v>
      </c>
      <c r="C304" s="4" t="s">
        <v>9</v>
      </c>
      <c r="D304" s="475">
        <v>14987.76</v>
      </c>
      <c r="E304" s="476">
        <v>0.04722</v>
      </c>
      <c r="F304" s="6">
        <v>16.7111</v>
      </c>
      <c r="G304" s="6">
        <v>0.96</v>
      </c>
    </row>
    <row r="305" ht="15.75" customHeight="1" spans="1:7">
      <c r="A305" s="4" t="s">
        <v>1733</v>
      </c>
      <c r="B305" s="5" t="s">
        <v>1734</v>
      </c>
      <c r="C305" s="4" t="s">
        <v>9</v>
      </c>
      <c r="D305" s="475">
        <v>14878.22</v>
      </c>
      <c r="E305" s="476">
        <v>0.04722</v>
      </c>
      <c r="F305" s="6">
        <v>16.7111</v>
      </c>
      <c r="G305" s="6">
        <v>0.96</v>
      </c>
    </row>
    <row r="306" ht="15.75" customHeight="1" spans="1:7">
      <c r="A306" s="4" t="s">
        <v>1735</v>
      </c>
      <c r="B306" s="5" t="s">
        <v>1736</v>
      </c>
      <c r="C306" s="4" t="s">
        <v>9</v>
      </c>
      <c r="D306" s="475">
        <v>15863.85</v>
      </c>
      <c r="E306" s="476">
        <v>0.04722</v>
      </c>
      <c r="F306" s="6">
        <v>17.8311</v>
      </c>
      <c r="G306" s="6">
        <v>0.9</v>
      </c>
    </row>
    <row r="307" ht="15.75" customHeight="1" spans="1:7">
      <c r="A307" s="4" t="s">
        <v>1737</v>
      </c>
      <c r="B307" s="5" t="s">
        <v>1738</v>
      </c>
      <c r="C307" s="4" t="s">
        <v>9</v>
      </c>
      <c r="D307" s="475">
        <v>15750.09</v>
      </c>
      <c r="E307" s="476">
        <v>0.04722</v>
      </c>
      <c r="F307" s="6">
        <v>17.8311</v>
      </c>
      <c r="G307" s="6">
        <v>0.9</v>
      </c>
    </row>
    <row r="308" ht="15.75" customHeight="1" spans="1:7">
      <c r="A308" s="4" t="s">
        <v>1739</v>
      </c>
      <c r="B308" s="5" t="s">
        <v>1740</v>
      </c>
      <c r="C308" s="4" t="s">
        <v>9</v>
      </c>
      <c r="D308" s="475">
        <v>17000.88</v>
      </c>
      <c r="E308" s="476">
        <v>0.04722</v>
      </c>
      <c r="F308" s="6">
        <v>18.8853</v>
      </c>
      <c r="G308" s="6">
        <v>0.85</v>
      </c>
    </row>
    <row r="309" ht="15.75" customHeight="1" spans="1:7">
      <c r="A309" s="4" t="s">
        <v>1741</v>
      </c>
      <c r="B309" s="5" t="s">
        <v>1742</v>
      </c>
      <c r="C309" s="4" t="s">
        <v>9</v>
      </c>
      <c r="D309" s="475">
        <v>16881.85</v>
      </c>
      <c r="E309" s="476">
        <v>0.04722</v>
      </c>
      <c r="F309" s="6">
        <v>18.8853</v>
      </c>
      <c r="G309" s="6">
        <v>0.85</v>
      </c>
    </row>
    <row r="310" ht="15.75" customHeight="1" spans="1:7">
      <c r="A310" s="4" t="s">
        <v>1743</v>
      </c>
      <c r="B310" s="5" t="s">
        <v>1744</v>
      </c>
      <c r="C310" s="4" t="s">
        <v>9</v>
      </c>
      <c r="D310" s="475">
        <v>17644.38</v>
      </c>
      <c r="E310" s="476">
        <v>0.04722</v>
      </c>
      <c r="F310" s="6">
        <v>20.7674</v>
      </c>
      <c r="G310" s="6">
        <v>0.77</v>
      </c>
    </row>
    <row r="311" ht="15.75" customHeight="1" spans="1:7">
      <c r="A311" s="4" t="s">
        <v>1745</v>
      </c>
      <c r="B311" s="5" t="s">
        <v>1746</v>
      </c>
      <c r="C311" s="4" t="s">
        <v>9</v>
      </c>
      <c r="D311" s="475">
        <v>17522.19</v>
      </c>
      <c r="E311" s="476">
        <v>0.04722</v>
      </c>
      <c r="F311" s="6">
        <v>20.7674</v>
      </c>
      <c r="G311" s="6">
        <v>0.77</v>
      </c>
    </row>
    <row r="312" ht="15.75" customHeight="1" spans="1:7">
      <c r="A312" s="4" t="s">
        <v>1747</v>
      </c>
      <c r="B312" s="5" t="s">
        <v>1748</v>
      </c>
      <c r="C312" s="4" t="s">
        <v>9</v>
      </c>
      <c r="D312" s="475">
        <v>19372.62</v>
      </c>
      <c r="E312" s="476">
        <v>0.04722</v>
      </c>
      <c r="F312" s="6">
        <v>22.2361</v>
      </c>
      <c r="G312" s="6">
        <v>0.83</v>
      </c>
    </row>
    <row r="313" ht="15.75" customHeight="1" spans="1:7">
      <c r="A313" s="4" t="s">
        <v>1749</v>
      </c>
      <c r="B313" s="5" t="s">
        <v>1750</v>
      </c>
      <c r="C313" s="4" t="s">
        <v>9</v>
      </c>
      <c r="D313" s="475">
        <v>19242.01</v>
      </c>
      <c r="E313" s="476">
        <v>0.04722</v>
      </c>
      <c r="F313" s="6">
        <v>22.2361</v>
      </c>
      <c r="G313" s="6">
        <v>0.83</v>
      </c>
    </row>
    <row r="314" ht="15.75" customHeight="1" spans="1:7">
      <c r="A314" s="4" t="s">
        <v>1751</v>
      </c>
      <c r="B314" s="5" t="s">
        <v>1752</v>
      </c>
      <c r="C314" s="4" t="s">
        <v>9</v>
      </c>
      <c r="D314" s="475">
        <v>21169.07</v>
      </c>
      <c r="E314" s="476">
        <v>0.04722</v>
      </c>
      <c r="F314" s="6">
        <v>24.6269</v>
      </c>
      <c r="G314" s="6">
        <v>0.75</v>
      </c>
    </row>
    <row r="315" ht="15.75" customHeight="1" spans="1:7">
      <c r="A315" s="4" t="s">
        <v>1753</v>
      </c>
      <c r="B315" s="5" t="s">
        <v>1754</v>
      </c>
      <c r="C315" s="4" t="s">
        <v>9</v>
      </c>
      <c r="D315" s="475">
        <v>21030.03</v>
      </c>
      <c r="E315" s="476">
        <v>0.04722</v>
      </c>
      <c r="F315" s="6">
        <v>24.6269</v>
      </c>
      <c r="G315" s="6">
        <v>0.75</v>
      </c>
    </row>
    <row r="316" ht="15.75" customHeight="1" spans="1:7">
      <c r="A316" s="4" t="s">
        <v>1755</v>
      </c>
      <c r="B316" s="5" t="s">
        <v>1756</v>
      </c>
      <c r="C316" s="4" t="s">
        <v>9</v>
      </c>
      <c r="D316" s="475">
        <v>26993.93</v>
      </c>
      <c r="E316" s="476">
        <v>0.04722</v>
      </c>
      <c r="F316" s="6">
        <v>28.4432</v>
      </c>
      <c r="G316" s="6">
        <v>0.65</v>
      </c>
    </row>
    <row r="317" ht="15.75" customHeight="1" spans="1:7">
      <c r="A317" s="4" t="s">
        <v>1757</v>
      </c>
      <c r="B317" s="5" t="s">
        <v>1758</v>
      </c>
      <c r="C317" s="4" t="s">
        <v>9</v>
      </c>
      <c r="D317" s="475">
        <v>26850.68</v>
      </c>
      <c r="E317" s="476">
        <v>0.04722</v>
      </c>
      <c r="F317" s="6">
        <v>28.4432</v>
      </c>
      <c r="G317" s="6">
        <v>0.65</v>
      </c>
    </row>
    <row r="318" ht="15.75" customHeight="1" spans="1:7">
      <c r="A318" s="4" t="s">
        <v>1759</v>
      </c>
      <c r="B318" s="5" t="s">
        <v>1760</v>
      </c>
      <c r="C318" s="4" t="s">
        <v>9</v>
      </c>
      <c r="D318" s="475">
        <v>27939.62</v>
      </c>
      <c r="E318" s="476">
        <v>0.04722</v>
      </c>
      <c r="F318" s="6">
        <v>33.0431</v>
      </c>
      <c r="G318" s="6">
        <v>0.56</v>
      </c>
    </row>
    <row r="319" ht="15.75" customHeight="1" spans="1:7">
      <c r="A319" s="4" t="s">
        <v>1761</v>
      </c>
      <c r="B319" s="5" t="s">
        <v>1762</v>
      </c>
      <c r="C319" s="4" t="s">
        <v>9</v>
      </c>
      <c r="D319" s="475">
        <v>27767.58</v>
      </c>
      <c r="E319" s="476">
        <v>0.04722</v>
      </c>
      <c r="F319" s="6">
        <v>33.0431</v>
      </c>
      <c r="G319" s="6">
        <v>0.56</v>
      </c>
    </row>
    <row r="320" ht="15.75" customHeight="1" spans="1:7">
      <c r="A320" s="4" t="s">
        <v>1763</v>
      </c>
      <c r="B320" s="5" t="s">
        <v>1764</v>
      </c>
      <c r="C320" s="4" t="s">
        <v>9</v>
      </c>
      <c r="D320" s="475">
        <v>33657.17</v>
      </c>
      <c r="E320" s="476">
        <v>0.04722</v>
      </c>
      <c r="F320" s="6">
        <v>37.789</v>
      </c>
      <c r="G320" s="6">
        <v>0.49</v>
      </c>
    </row>
    <row r="321" ht="15.75" customHeight="1" spans="1:7">
      <c r="A321" s="4" t="s">
        <v>1765</v>
      </c>
      <c r="B321" s="5" t="s">
        <v>1766</v>
      </c>
      <c r="C321" s="4" t="s">
        <v>9</v>
      </c>
      <c r="D321" s="475">
        <v>33476.52</v>
      </c>
      <c r="E321" s="476">
        <v>0.04722</v>
      </c>
      <c r="F321" s="6">
        <v>37.789</v>
      </c>
      <c r="G321" s="6">
        <v>0.49</v>
      </c>
    </row>
    <row r="322" ht="15.75" customHeight="1" spans="1:7">
      <c r="A322" s="4" t="s">
        <v>1767</v>
      </c>
      <c r="B322" s="5" t="s">
        <v>1768</v>
      </c>
      <c r="C322" s="4" t="s">
        <v>9</v>
      </c>
      <c r="D322" s="475">
        <v>36182.46</v>
      </c>
      <c r="E322" s="476">
        <v>0.04722</v>
      </c>
      <c r="F322" s="6">
        <v>44.1169</v>
      </c>
      <c r="G322" s="6">
        <v>0.42</v>
      </c>
    </row>
    <row r="323" ht="15.75" customHeight="1" spans="1:7">
      <c r="A323" s="4" t="s">
        <v>1769</v>
      </c>
      <c r="B323" s="5" t="s">
        <v>1770</v>
      </c>
      <c r="C323" s="4" t="s">
        <v>9</v>
      </c>
      <c r="D323" s="475">
        <v>35993.22</v>
      </c>
      <c r="E323" s="476">
        <v>0.04722</v>
      </c>
      <c r="F323" s="6">
        <v>44.1169</v>
      </c>
      <c r="G323" s="6">
        <v>0.42</v>
      </c>
    </row>
    <row r="324" ht="15.75" customHeight="1" spans="1:7">
      <c r="A324" s="4" t="s">
        <v>1771</v>
      </c>
      <c r="B324" s="5" t="s">
        <v>1772</v>
      </c>
      <c r="C324" s="4" t="s">
        <v>9</v>
      </c>
      <c r="D324" s="475">
        <v>44138.7</v>
      </c>
      <c r="E324" s="476">
        <v>0.04722</v>
      </c>
      <c r="F324" s="6">
        <v>52.8867</v>
      </c>
      <c r="G324" s="6">
        <v>0.35</v>
      </c>
    </row>
    <row r="325" ht="15.75" customHeight="1" spans="1:7">
      <c r="A325" s="4" t="s">
        <v>1773</v>
      </c>
      <c r="B325" s="5" t="s">
        <v>1774</v>
      </c>
      <c r="C325" s="4" t="s">
        <v>9</v>
      </c>
      <c r="D325" s="475">
        <v>43939.63</v>
      </c>
      <c r="E325" s="476">
        <v>0.04722</v>
      </c>
      <c r="F325" s="6">
        <v>52.8867</v>
      </c>
      <c r="G325" s="6">
        <v>0.35</v>
      </c>
    </row>
    <row r="326" ht="15.75" customHeight="1" spans="1:7">
      <c r="A326" s="4" t="s">
        <v>1775</v>
      </c>
      <c r="B326" s="5" t="s">
        <v>1776</v>
      </c>
      <c r="C326" s="4" t="s">
        <v>9</v>
      </c>
      <c r="D326" s="475">
        <v>56417.01</v>
      </c>
      <c r="E326" s="476">
        <v>0.04722</v>
      </c>
      <c r="F326" s="6">
        <v>63.8842</v>
      </c>
      <c r="G326" s="6">
        <v>0.29</v>
      </c>
    </row>
    <row r="327" ht="15.75" customHeight="1" spans="1:7">
      <c r="A327" s="4" t="s">
        <v>1777</v>
      </c>
      <c r="B327" s="5" t="s">
        <v>1778</v>
      </c>
      <c r="C327" s="4" t="s">
        <v>9</v>
      </c>
      <c r="D327" s="475">
        <v>56208.11</v>
      </c>
      <c r="E327" s="476">
        <v>0.04722</v>
      </c>
      <c r="F327" s="6">
        <v>63.8842</v>
      </c>
      <c r="G327" s="6">
        <v>0.29</v>
      </c>
    </row>
    <row r="328" ht="15.75" customHeight="1" spans="1:7">
      <c r="A328" s="4" t="s">
        <v>1779</v>
      </c>
      <c r="B328" s="5" t="s">
        <v>1780</v>
      </c>
      <c r="C328" s="4" t="s">
        <v>9</v>
      </c>
      <c r="D328" s="475">
        <v>57542.95</v>
      </c>
      <c r="E328" s="476">
        <v>0.04722</v>
      </c>
      <c r="F328" s="6">
        <v>77.2492</v>
      </c>
      <c r="G328" s="6">
        <v>0.24</v>
      </c>
    </row>
    <row r="329" ht="15.75" customHeight="1" spans="1:7">
      <c r="A329" s="4" t="s">
        <v>1781</v>
      </c>
      <c r="B329" s="5" t="s">
        <v>1782</v>
      </c>
      <c r="C329" s="4" t="s">
        <v>9</v>
      </c>
      <c r="D329" s="475">
        <v>57325.45</v>
      </c>
      <c r="E329" s="476">
        <v>0.04722</v>
      </c>
      <c r="F329" s="6">
        <v>77.2492</v>
      </c>
      <c r="G329" s="6">
        <v>0.24</v>
      </c>
    </row>
    <row r="330" ht="15.75" customHeight="1" spans="1:7">
      <c r="A330" s="4" t="s">
        <v>1783</v>
      </c>
      <c r="B330" s="5" t="s">
        <v>1784</v>
      </c>
      <c r="C330" s="4" t="s">
        <v>9</v>
      </c>
      <c r="D330" s="475">
        <v>63750.14</v>
      </c>
      <c r="E330" s="476">
        <v>0.04722</v>
      </c>
      <c r="F330" s="6">
        <v>92.4514</v>
      </c>
      <c r="G330" s="6">
        <v>0.2</v>
      </c>
    </row>
    <row r="331" ht="15.75" customHeight="1" spans="1:7">
      <c r="A331" s="4" t="s">
        <v>1785</v>
      </c>
      <c r="B331" s="5" t="s">
        <v>1786</v>
      </c>
      <c r="C331" s="4" t="s">
        <v>9</v>
      </c>
      <c r="D331" s="475">
        <v>63522.8</v>
      </c>
      <c r="E331" s="476">
        <v>0.04722</v>
      </c>
      <c r="F331" s="6">
        <v>92.4514</v>
      </c>
      <c r="G331" s="6">
        <v>0.2</v>
      </c>
    </row>
    <row r="332" ht="15.75" customHeight="1" spans="1:7">
      <c r="A332" s="4" t="s">
        <v>1787</v>
      </c>
      <c r="B332" s="5" t="s">
        <v>1788</v>
      </c>
      <c r="C332" s="4" t="s">
        <v>9</v>
      </c>
      <c r="D332" s="475">
        <v>6641.32</v>
      </c>
      <c r="E332" s="476">
        <v>0.04722</v>
      </c>
      <c r="F332" s="6">
        <v>3.7843</v>
      </c>
      <c r="G332" s="6">
        <v>2.17</v>
      </c>
    </row>
    <row r="333" ht="15.75" customHeight="1" spans="1:7">
      <c r="A333" s="4" t="s">
        <v>1789</v>
      </c>
      <c r="B333" s="5" t="s">
        <v>1790</v>
      </c>
      <c r="C333" s="4" t="s">
        <v>9</v>
      </c>
      <c r="D333" s="475">
        <v>6588.66</v>
      </c>
      <c r="E333" s="476">
        <v>0.04722</v>
      </c>
      <c r="F333" s="6">
        <v>3.7843</v>
      </c>
      <c r="G333" s="6">
        <v>2.17</v>
      </c>
    </row>
    <row r="334" ht="15.75" customHeight="1" spans="1:7">
      <c r="A334" s="4" t="s">
        <v>1791</v>
      </c>
      <c r="B334" s="5" t="s">
        <v>1792</v>
      </c>
      <c r="C334" s="4" t="s">
        <v>9</v>
      </c>
      <c r="D334" s="475">
        <v>8268.97</v>
      </c>
      <c r="E334" s="476">
        <v>0.04722</v>
      </c>
      <c r="F334" s="6">
        <v>9.1801</v>
      </c>
      <c r="G334" s="6">
        <v>1.48</v>
      </c>
    </row>
    <row r="335" ht="15.75" customHeight="1" spans="1:7">
      <c r="A335" s="4" t="s">
        <v>1793</v>
      </c>
      <c r="B335" s="5" t="s">
        <v>1794</v>
      </c>
      <c r="C335" s="4" t="s">
        <v>9</v>
      </c>
      <c r="D335" s="475">
        <v>8209.98</v>
      </c>
      <c r="E335" s="476">
        <v>0.04722</v>
      </c>
      <c r="F335" s="6">
        <v>9.1801</v>
      </c>
      <c r="G335" s="6">
        <v>1.48</v>
      </c>
    </row>
    <row r="336" ht="15.75" customHeight="1" spans="1:7">
      <c r="A336" s="4" t="s">
        <v>1795</v>
      </c>
      <c r="B336" s="5" t="s">
        <v>1796</v>
      </c>
      <c r="C336" s="4" t="s">
        <v>9</v>
      </c>
      <c r="D336" s="475">
        <v>8534.73</v>
      </c>
      <c r="E336" s="476">
        <v>0.04722</v>
      </c>
      <c r="F336" s="6">
        <v>10.049</v>
      </c>
      <c r="G336" s="6">
        <v>1.6</v>
      </c>
    </row>
    <row r="337" ht="15.75" customHeight="1" spans="1:7">
      <c r="A337" s="4" t="s">
        <v>1797</v>
      </c>
      <c r="B337" s="5" t="s">
        <v>1798</v>
      </c>
      <c r="C337" s="4" t="s">
        <v>9</v>
      </c>
      <c r="D337" s="475">
        <v>8473.64</v>
      </c>
      <c r="E337" s="476">
        <v>0.04722</v>
      </c>
      <c r="F337" s="6">
        <v>10.049</v>
      </c>
      <c r="G337" s="6">
        <v>1.6</v>
      </c>
    </row>
    <row r="338" ht="15.75" customHeight="1" spans="1:7">
      <c r="A338" s="4" t="s">
        <v>1799</v>
      </c>
      <c r="B338" s="5" t="s">
        <v>1800</v>
      </c>
      <c r="C338" s="4" t="s">
        <v>9</v>
      </c>
      <c r="D338" s="475">
        <v>9664.77</v>
      </c>
      <c r="E338" s="476">
        <v>0.04722</v>
      </c>
      <c r="F338" s="6">
        <v>10.7076</v>
      </c>
      <c r="G338" s="6">
        <v>1.5</v>
      </c>
    </row>
    <row r="339" ht="15.75" customHeight="1" spans="1:7">
      <c r="A339" s="4" t="s">
        <v>1801</v>
      </c>
      <c r="B339" s="5" t="s">
        <v>1802</v>
      </c>
      <c r="C339" s="4" t="s">
        <v>9</v>
      </c>
      <c r="D339" s="475">
        <v>9598.42</v>
      </c>
      <c r="E339" s="476">
        <v>0.04722</v>
      </c>
      <c r="F339" s="6">
        <v>10.7076</v>
      </c>
      <c r="G339" s="6">
        <v>1.5</v>
      </c>
    </row>
    <row r="340" ht="15.75" customHeight="1" spans="1:7">
      <c r="A340" s="4" t="s">
        <v>1803</v>
      </c>
      <c r="B340" s="5" t="s">
        <v>1804</v>
      </c>
      <c r="C340" s="4" t="s">
        <v>9</v>
      </c>
      <c r="D340" s="475">
        <v>10249.74</v>
      </c>
      <c r="E340" s="476">
        <v>0.04722</v>
      </c>
      <c r="F340" s="6">
        <v>12.7556</v>
      </c>
      <c r="G340" s="6">
        <v>1.26</v>
      </c>
    </row>
    <row r="341" ht="15.75" customHeight="1" spans="1:7">
      <c r="A341" s="4" t="s">
        <v>1805</v>
      </c>
      <c r="B341" s="5" t="s">
        <v>1806</v>
      </c>
      <c r="C341" s="4" t="s">
        <v>9</v>
      </c>
      <c r="D341" s="475">
        <v>10180.22</v>
      </c>
      <c r="E341" s="476">
        <v>0.04722</v>
      </c>
      <c r="F341" s="6">
        <v>12.7556</v>
      </c>
      <c r="G341" s="6">
        <v>1.26</v>
      </c>
    </row>
    <row r="342" ht="15.75" customHeight="1" spans="1:7">
      <c r="A342" s="4" t="s">
        <v>1807</v>
      </c>
      <c r="B342" s="5" t="s">
        <v>1808</v>
      </c>
      <c r="C342" s="4" t="s">
        <v>9</v>
      </c>
      <c r="D342" s="475">
        <v>11995.58</v>
      </c>
      <c r="E342" s="476">
        <v>0.04722</v>
      </c>
      <c r="F342" s="6">
        <v>14.889</v>
      </c>
      <c r="G342" s="6">
        <v>1.08</v>
      </c>
    </row>
    <row r="343" ht="15.75" customHeight="1" spans="1:7">
      <c r="A343" s="4" t="s">
        <v>1809</v>
      </c>
      <c r="B343" s="5" t="s">
        <v>1810</v>
      </c>
      <c r="C343" s="4" t="s">
        <v>9</v>
      </c>
      <c r="D343" s="475">
        <v>11918.69</v>
      </c>
      <c r="E343" s="476">
        <v>0.04722</v>
      </c>
      <c r="F343" s="6">
        <v>14.889</v>
      </c>
      <c r="G343" s="6">
        <v>1.08</v>
      </c>
    </row>
    <row r="344" ht="15.75" customHeight="1" spans="1:7">
      <c r="A344" s="4" t="s">
        <v>1811</v>
      </c>
      <c r="B344" s="5" t="s">
        <v>1812</v>
      </c>
      <c r="C344" s="4" t="s">
        <v>9</v>
      </c>
      <c r="D344" s="475">
        <v>13690.78</v>
      </c>
      <c r="E344" s="476">
        <v>0.04722</v>
      </c>
      <c r="F344" s="6">
        <v>15.7228</v>
      </c>
      <c r="G344" s="6">
        <v>1.02</v>
      </c>
    </row>
    <row r="345" ht="15.75" customHeight="1" spans="1:7">
      <c r="A345" s="4" t="s">
        <v>1813</v>
      </c>
      <c r="B345" s="5" t="s">
        <v>1814</v>
      </c>
      <c r="C345" s="4" t="s">
        <v>9</v>
      </c>
      <c r="D345" s="475">
        <v>13584.39</v>
      </c>
      <c r="E345" s="476">
        <v>0.04722</v>
      </c>
      <c r="F345" s="6">
        <v>15.7228</v>
      </c>
      <c r="G345" s="6">
        <v>1.02</v>
      </c>
    </row>
    <row r="346" ht="15.75" customHeight="1" spans="1:7">
      <c r="A346" s="4" t="s">
        <v>1815</v>
      </c>
      <c r="B346" s="5" t="s">
        <v>1816</v>
      </c>
      <c r="C346" s="4" t="s">
        <v>9</v>
      </c>
      <c r="D346" s="475">
        <v>14533.36</v>
      </c>
      <c r="E346" s="476">
        <v>0.04722</v>
      </c>
      <c r="F346" s="6">
        <v>16.7111</v>
      </c>
      <c r="G346" s="6">
        <v>0.96</v>
      </c>
    </row>
    <row r="347" ht="15.75" customHeight="1" spans="1:7">
      <c r="A347" s="4" t="s">
        <v>1817</v>
      </c>
      <c r="B347" s="5" t="s">
        <v>1818</v>
      </c>
      <c r="C347" s="4" t="s">
        <v>9</v>
      </c>
      <c r="D347" s="475">
        <v>14423.81</v>
      </c>
      <c r="E347" s="476">
        <v>0.04722</v>
      </c>
      <c r="F347" s="6">
        <v>16.7111</v>
      </c>
      <c r="G347" s="6">
        <v>0.96</v>
      </c>
    </row>
    <row r="348" ht="15.75" customHeight="1" spans="1:7">
      <c r="A348" s="4" t="s">
        <v>1819</v>
      </c>
      <c r="B348" s="5" t="s">
        <v>1820</v>
      </c>
      <c r="C348" s="4" t="s">
        <v>9</v>
      </c>
      <c r="D348" s="475">
        <v>15382.87</v>
      </c>
      <c r="E348" s="476">
        <v>0.04722</v>
      </c>
      <c r="F348" s="6">
        <v>17.8311</v>
      </c>
      <c r="G348" s="6">
        <v>0.9</v>
      </c>
    </row>
    <row r="349" ht="15.75" customHeight="1" spans="1:7">
      <c r="A349" s="4" t="s">
        <v>1821</v>
      </c>
      <c r="B349" s="5" t="s">
        <v>1822</v>
      </c>
      <c r="C349" s="4" t="s">
        <v>9</v>
      </c>
      <c r="D349" s="475">
        <v>15269.12</v>
      </c>
      <c r="E349" s="476">
        <v>0.04722</v>
      </c>
      <c r="F349" s="6">
        <v>17.8311</v>
      </c>
      <c r="G349" s="6">
        <v>0.9</v>
      </c>
    </row>
    <row r="350" ht="15.75" customHeight="1" spans="1:7">
      <c r="A350" s="4" t="s">
        <v>1823</v>
      </c>
      <c r="B350" s="5" t="s">
        <v>1824</v>
      </c>
      <c r="C350" s="4" t="s">
        <v>9</v>
      </c>
      <c r="D350" s="475">
        <v>16484.95</v>
      </c>
      <c r="E350" s="476">
        <v>0.04722</v>
      </c>
      <c r="F350" s="6">
        <v>18.8853</v>
      </c>
      <c r="G350" s="6">
        <v>0.85</v>
      </c>
    </row>
    <row r="351" ht="15.75" customHeight="1" spans="1:7">
      <c r="A351" s="4" t="s">
        <v>1825</v>
      </c>
      <c r="B351" s="5" t="s">
        <v>1826</v>
      </c>
      <c r="C351" s="4" t="s">
        <v>9</v>
      </c>
      <c r="D351" s="475">
        <v>16365.93</v>
      </c>
      <c r="E351" s="476">
        <v>0.04722</v>
      </c>
      <c r="F351" s="6">
        <v>18.8853</v>
      </c>
      <c r="G351" s="6">
        <v>0.85</v>
      </c>
    </row>
    <row r="352" ht="15.75" customHeight="1" spans="1:7">
      <c r="A352" s="4" t="s">
        <v>1827</v>
      </c>
      <c r="B352" s="5" t="s">
        <v>1828</v>
      </c>
      <c r="C352" s="4" t="s">
        <v>9</v>
      </c>
      <c r="D352" s="475">
        <v>17110.27</v>
      </c>
      <c r="E352" s="476">
        <v>0.04722</v>
      </c>
      <c r="F352" s="6">
        <v>20.7674</v>
      </c>
      <c r="G352" s="6">
        <v>0.77</v>
      </c>
    </row>
    <row r="353" ht="15.75" customHeight="1" spans="1:7">
      <c r="A353" s="4" t="s">
        <v>1829</v>
      </c>
      <c r="B353" s="5" t="s">
        <v>1830</v>
      </c>
      <c r="C353" s="4" t="s">
        <v>9</v>
      </c>
      <c r="D353" s="475">
        <v>16988.09</v>
      </c>
      <c r="E353" s="476">
        <v>0.04722</v>
      </c>
      <c r="F353" s="6">
        <v>20.7674</v>
      </c>
      <c r="G353" s="6">
        <v>0.77</v>
      </c>
    </row>
    <row r="354" ht="15.75" customHeight="1" spans="1:7">
      <c r="A354" s="4" t="s">
        <v>1831</v>
      </c>
      <c r="B354" s="5" t="s">
        <v>1832</v>
      </c>
      <c r="C354" s="4" t="s">
        <v>9</v>
      </c>
      <c r="D354" s="475">
        <v>18783.99</v>
      </c>
      <c r="E354" s="476">
        <v>0.04722</v>
      </c>
      <c r="F354" s="6">
        <v>22.2361</v>
      </c>
      <c r="G354" s="6">
        <v>0.83</v>
      </c>
    </row>
    <row r="355" ht="15.75" customHeight="1" spans="1:7">
      <c r="A355" s="4" t="s">
        <v>1833</v>
      </c>
      <c r="B355" s="5" t="s">
        <v>1834</v>
      </c>
      <c r="C355" s="4" t="s">
        <v>9</v>
      </c>
      <c r="D355" s="475">
        <v>18653.38</v>
      </c>
      <c r="E355" s="476">
        <v>0.04722</v>
      </c>
      <c r="F355" s="6">
        <v>22.2361</v>
      </c>
      <c r="G355" s="6">
        <v>0.83</v>
      </c>
    </row>
    <row r="356" ht="15.75" customHeight="1" spans="1:7">
      <c r="A356" s="4" t="s">
        <v>1835</v>
      </c>
      <c r="B356" s="5" t="s">
        <v>1836</v>
      </c>
      <c r="C356" s="4" t="s">
        <v>9</v>
      </c>
      <c r="D356" s="475">
        <v>20527.3</v>
      </c>
      <c r="E356" s="476">
        <v>0.04722</v>
      </c>
      <c r="F356" s="6">
        <v>24.6269</v>
      </c>
      <c r="G356" s="6">
        <v>0.75</v>
      </c>
    </row>
    <row r="357" ht="15.75" customHeight="1" spans="1:7">
      <c r="A357" s="4" t="s">
        <v>1837</v>
      </c>
      <c r="B357" s="5" t="s">
        <v>1838</v>
      </c>
      <c r="C357" s="4" t="s">
        <v>9</v>
      </c>
      <c r="D357" s="475">
        <v>20388.27</v>
      </c>
      <c r="E357" s="476">
        <v>0.04722</v>
      </c>
      <c r="F357" s="6">
        <v>24.6269</v>
      </c>
      <c r="G357" s="6">
        <v>0.75</v>
      </c>
    </row>
    <row r="358" ht="15.75" customHeight="1" spans="1:7">
      <c r="A358" s="4" t="s">
        <v>1839</v>
      </c>
      <c r="B358" s="5" t="s">
        <v>1840</v>
      </c>
      <c r="C358" s="4" t="s">
        <v>9</v>
      </c>
      <c r="D358" s="475">
        <v>23292.9</v>
      </c>
      <c r="E358" s="476">
        <v>0.04722</v>
      </c>
      <c r="F358" s="6">
        <v>28.4432</v>
      </c>
      <c r="G358" s="6">
        <v>0.65</v>
      </c>
    </row>
    <row r="359" ht="15.75" customHeight="1" spans="1:7">
      <c r="A359" s="4" t="s">
        <v>1841</v>
      </c>
      <c r="B359" s="5" t="s">
        <v>1842</v>
      </c>
      <c r="C359" s="4" t="s">
        <v>9</v>
      </c>
      <c r="D359" s="475">
        <v>23149.65</v>
      </c>
      <c r="E359" s="476">
        <v>0.04722</v>
      </c>
      <c r="F359" s="6">
        <v>28.4432</v>
      </c>
      <c r="G359" s="6">
        <v>0.65</v>
      </c>
    </row>
    <row r="360" ht="15.75" customHeight="1" spans="1:7">
      <c r="A360" s="4" t="s">
        <v>1843</v>
      </c>
      <c r="B360" s="5" t="s">
        <v>1844</v>
      </c>
      <c r="C360" s="4" t="s">
        <v>9</v>
      </c>
      <c r="D360" s="475">
        <v>24134.08</v>
      </c>
      <c r="E360" s="476">
        <v>0.04722</v>
      </c>
      <c r="F360" s="6">
        <v>33.0431</v>
      </c>
      <c r="G360" s="6">
        <v>0.56</v>
      </c>
    </row>
    <row r="361" ht="15.75" customHeight="1" spans="1:7">
      <c r="A361" s="4" t="s">
        <v>1845</v>
      </c>
      <c r="B361" s="5" t="s">
        <v>1846</v>
      </c>
      <c r="C361" s="4" t="s">
        <v>9</v>
      </c>
      <c r="D361" s="475">
        <v>23962.04</v>
      </c>
      <c r="E361" s="476">
        <v>0.04722</v>
      </c>
      <c r="F361" s="6">
        <v>33.0431</v>
      </c>
      <c r="G361" s="6">
        <v>0.56</v>
      </c>
    </row>
    <row r="362" ht="15.75" customHeight="1" spans="1:7">
      <c r="A362" s="4" t="s">
        <v>1847</v>
      </c>
      <c r="B362" s="5" t="s">
        <v>1848</v>
      </c>
      <c r="C362" s="4" t="s">
        <v>9</v>
      </c>
      <c r="D362" s="475">
        <v>30048.39</v>
      </c>
      <c r="E362" s="476">
        <v>0.04722</v>
      </c>
      <c r="F362" s="6">
        <v>37.789</v>
      </c>
      <c r="G362" s="6">
        <v>0.49</v>
      </c>
    </row>
    <row r="363" ht="15.75" customHeight="1" spans="1:7">
      <c r="A363" s="4" t="s">
        <v>1849</v>
      </c>
      <c r="B363" s="5" t="s">
        <v>1850</v>
      </c>
      <c r="C363" s="4" t="s">
        <v>9</v>
      </c>
      <c r="D363" s="475">
        <v>29867.75</v>
      </c>
      <c r="E363" s="476">
        <v>0.04722</v>
      </c>
      <c r="F363" s="6">
        <v>37.789</v>
      </c>
      <c r="G363" s="6">
        <v>0.49</v>
      </c>
    </row>
    <row r="364" ht="15.75" customHeight="1" spans="1:7">
      <c r="A364" s="4" t="s">
        <v>1851</v>
      </c>
      <c r="B364" s="5" t="s">
        <v>1852</v>
      </c>
      <c r="C364" s="4" t="s">
        <v>9</v>
      </c>
      <c r="D364" s="475">
        <v>32315.58</v>
      </c>
      <c r="E364" s="476">
        <v>0.04722</v>
      </c>
      <c r="F364" s="6">
        <v>44.1169</v>
      </c>
      <c r="G364" s="6">
        <v>0.42</v>
      </c>
    </row>
    <row r="365" ht="15.75" customHeight="1" spans="1:7">
      <c r="A365" s="4" t="s">
        <v>1853</v>
      </c>
      <c r="B365" s="5" t="s">
        <v>1854</v>
      </c>
      <c r="C365" s="4" t="s">
        <v>9</v>
      </c>
      <c r="D365" s="475">
        <v>32126.33</v>
      </c>
      <c r="E365" s="476">
        <v>0.04722</v>
      </c>
      <c r="F365" s="6">
        <v>44.1169</v>
      </c>
      <c r="G365" s="6">
        <v>0.42</v>
      </c>
    </row>
    <row r="366" ht="15.75" customHeight="1" spans="1:7">
      <c r="A366" s="4" t="s">
        <v>1855</v>
      </c>
      <c r="B366" s="5" t="s">
        <v>1856</v>
      </c>
      <c r="C366" s="4" t="s">
        <v>9</v>
      </c>
      <c r="D366" s="475">
        <v>39785.64</v>
      </c>
      <c r="E366" s="476">
        <v>0.04722</v>
      </c>
      <c r="F366" s="6">
        <v>52.8867</v>
      </c>
      <c r="G366" s="6">
        <v>0.35</v>
      </c>
    </row>
    <row r="367" ht="15.75" customHeight="1" spans="1:7">
      <c r="A367" s="4" t="s">
        <v>1857</v>
      </c>
      <c r="B367" s="5" t="s">
        <v>1858</v>
      </c>
      <c r="C367" s="4" t="s">
        <v>9</v>
      </c>
      <c r="D367" s="475">
        <v>39586.57</v>
      </c>
      <c r="E367" s="476">
        <v>0.04722</v>
      </c>
      <c r="F367" s="6">
        <v>52.8867</v>
      </c>
      <c r="G367" s="6">
        <v>0.35</v>
      </c>
    </row>
    <row r="368" ht="15.75" customHeight="1" spans="1:7">
      <c r="A368" s="4" t="s">
        <v>1859</v>
      </c>
      <c r="B368" s="5" t="s">
        <v>1860</v>
      </c>
      <c r="C368" s="4" t="s">
        <v>9</v>
      </c>
      <c r="D368" s="475">
        <v>47257.44</v>
      </c>
      <c r="E368" s="476">
        <v>0.04722</v>
      </c>
      <c r="F368" s="6">
        <v>63.8842</v>
      </c>
      <c r="G368" s="6">
        <v>0.29</v>
      </c>
    </row>
    <row r="369" ht="15.75" customHeight="1" spans="1:7">
      <c r="A369" s="4" t="s">
        <v>1861</v>
      </c>
      <c r="B369" s="5" t="s">
        <v>1862</v>
      </c>
      <c r="C369" s="4" t="s">
        <v>9</v>
      </c>
      <c r="D369" s="475">
        <v>47048.53</v>
      </c>
      <c r="E369" s="476">
        <v>0.04722</v>
      </c>
      <c r="F369" s="6">
        <v>63.8842</v>
      </c>
      <c r="G369" s="6">
        <v>0.29</v>
      </c>
    </row>
    <row r="370" ht="15.75" customHeight="1" spans="1:7">
      <c r="A370" s="4" t="s">
        <v>1863</v>
      </c>
      <c r="B370" s="5" t="s">
        <v>1864</v>
      </c>
      <c r="C370" s="4" t="s">
        <v>9</v>
      </c>
      <c r="D370" s="475">
        <v>50185.4</v>
      </c>
      <c r="E370" s="476">
        <v>0.04722</v>
      </c>
      <c r="F370" s="6">
        <v>77.2492</v>
      </c>
      <c r="G370" s="6">
        <v>0.24</v>
      </c>
    </row>
    <row r="371" ht="15.75" customHeight="1" spans="1:7">
      <c r="A371" s="4" t="s">
        <v>1865</v>
      </c>
      <c r="B371" s="5" t="s">
        <v>1866</v>
      </c>
      <c r="C371" s="4" t="s">
        <v>9</v>
      </c>
      <c r="D371" s="475">
        <v>49967.9</v>
      </c>
      <c r="E371" s="476">
        <v>0.04722</v>
      </c>
      <c r="F371" s="6">
        <v>77.2492</v>
      </c>
      <c r="G371" s="6">
        <v>0.24</v>
      </c>
    </row>
    <row r="372" ht="15.75" customHeight="1" spans="1:7">
      <c r="A372" s="4" t="s">
        <v>1867</v>
      </c>
      <c r="B372" s="5" t="s">
        <v>1868</v>
      </c>
      <c r="C372" s="4" t="s">
        <v>9</v>
      </c>
      <c r="D372" s="475">
        <v>53517.23</v>
      </c>
      <c r="E372" s="476">
        <v>0.04722</v>
      </c>
      <c r="F372" s="6">
        <v>92.4514</v>
      </c>
      <c r="G372" s="6">
        <v>0.2</v>
      </c>
    </row>
    <row r="373" ht="15.75" customHeight="1" spans="1:7">
      <c r="A373" s="4" t="s">
        <v>1869</v>
      </c>
      <c r="B373" s="5" t="s">
        <v>1870</v>
      </c>
      <c r="C373" s="4" t="s">
        <v>9</v>
      </c>
      <c r="D373" s="475">
        <v>53289.89</v>
      </c>
      <c r="E373" s="476">
        <v>0.04722</v>
      </c>
      <c r="F373" s="6">
        <v>92.4514</v>
      </c>
      <c r="G373" s="6">
        <v>0.2</v>
      </c>
    </row>
    <row r="374" ht="30" customHeight="1" spans="1:7">
      <c r="A374" s="4" t="s">
        <v>1871</v>
      </c>
      <c r="B374" s="5" t="s">
        <v>1872</v>
      </c>
      <c r="C374" s="4" t="s">
        <v>9</v>
      </c>
      <c r="D374" s="475">
        <v>8014.89</v>
      </c>
      <c r="E374" s="476">
        <v>0.04722</v>
      </c>
      <c r="F374" s="6">
        <v>7.1251</v>
      </c>
      <c r="G374" s="6">
        <v>1.5</v>
      </c>
    </row>
    <row r="375" ht="30" customHeight="1" spans="1:7">
      <c r="A375" s="4" t="s">
        <v>1873</v>
      </c>
      <c r="B375" s="5" t="s">
        <v>1874</v>
      </c>
      <c r="C375" s="4" t="s">
        <v>9</v>
      </c>
      <c r="D375" s="475">
        <v>7952.74</v>
      </c>
      <c r="E375" s="476">
        <v>0.04722</v>
      </c>
      <c r="F375" s="6">
        <v>7.1251</v>
      </c>
      <c r="G375" s="6">
        <v>1.5</v>
      </c>
    </row>
    <row r="376" ht="30" customHeight="1" spans="1:7">
      <c r="A376" s="4" t="s">
        <v>1875</v>
      </c>
      <c r="B376" s="5" t="s">
        <v>1876</v>
      </c>
      <c r="C376" s="4" t="s">
        <v>9</v>
      </c>
      <c r="D376" s="475">
        <v>8864.88</v>
      </c>
      <c r="E376" s="476">
        <v>0.04722</v>
      </c>
      <c r="F376" s="6">
        <v>8.4823</v>
      </c>
      <c r="G376" s="6">
        <v>1.26</v>
      </c>
    </row>
    <row r="377" ht="30" customHeight="1" spans="1:7">
      <c r="A377" s="4" t="s">
        <v>1877</v>
      </c>
      <c r="B377" s="5" t="s">
        <v>1878</v>
      </c>
      <c r="C377" s="4" t="s">
        <v>9</v>
      </c>
      <c r="D377" s="475">
        <v>8798.53</v>
      </c>
      <c r="E377" s="476">
        <v>0.04722</v>
      </c>
      <c r="F377" s="6">
        <v>8.4823</v>
      </c>
      <c r="G377" s="6">
        <v>1.26</v>
      </c>
    </row>
    <row r="378" ht="30" customHeight="1" spans="1:7">
      <c r="A378" s="4" t="s">
        <v>1879</v>
      </c>
      <c r="B378" s="5" t="s">
        <v>1880</v>
      </c>
      <c r="C378" s="4" t="s">
        <v>9</v>
      </c>
      <c r="D378" s="475">
        <v>9729.14</v>
      </c>
      <c r="E378" s="476">
        <v>0.04722</v>
      </c>
      <c r="F378" s="6">
        <v>13.4403</v>
      </c>
      <c r="G378" s="6">
        <v>1.2</v>
      </c>
    </row>
    <row r="379" ht="30" customHeight="1" spans="1:7">
      <c r="A379" s="4" t="s">
        <v>1881</v>
      </c>
      <c r="B379" s="5" t="s">
        <v>1882</v>
      </c>
      <c r="C379" s="4" t="s">
        <v>9</v>
      </c>
      <c r="D379" s="475">
        <v>9659.63</v>
      </c>
      <c r="E379" s="476">
        <v>0.04722</v>
      </c>
      <c r="F379" s="6">
        <v>13.4403</v>
      </c>
      <c r="G379" s="6">
        <v>1.2</v>
      </c>
    </row>
    <row r="380" ht="30" customHeight="1" spans="1:7">
      <c r="A380" s="4" t="s">
        <v>1883</v>
      </c>
      <c r="B380" s="5" t="s">
        <v>1884</v>
      </c>
      <c r="C380" s="4" t="s">
        <v>9</v>
      </c>
      <c r="D380" s="475">
        <v>10348.4</v>
      </c>
      <c r="E380" s="476">
        <v>0.04722</v>
      </c>
      <c r="F380" s="6">
        <v>14.9336</v>
      </c>
      <c r="G380" s="6">
        <v>1.08</v>
      </c>
    </row>
    <row r="381" ht="30" customHeight="1" spans="1:7">
      <c r="A381" s="4" t="s">
        <v>1885</v>
      </c>
      <c r="B381" s="5" t="s">
        <v>1886</v>
      </c>
      <c r="C381" s="4" t="s">
        <v>9</v>
      </c>
      <c r="D381" s="475">
        <v>10273.62</v>
      </c>
      <c r="E381" s="476">
        <v>0.04722</v>
      </c>
      <c r="F381" s="6">
        <v>14.9336</v>
      </c>
      <c r="G381" s="6">
        <v>1.08</v>
      </c>
    </row>
    <row r="382" ht="30" customHeight="1" spans="1:7">
      <c r="A382" s="4" t="s">
        <v>1887</v>
      </c>
      <c r="B382" s="5" t="s">
        <v>1888</v>
      </c>
      <c r="C382" s="4" t="s">
        <v>9</v>
      </c>
      <c r="D382" s="475">
        <v>11197.5</v>
      </c>
      <c r="E382" s="476">
        <v>0.04722</v>
      </c>
      <c r="F382" s="6">
        <v>15.7674</v>
      </c>
      <c r="G382" s="6">
        <v>1.02</v>
      </c>
    </row>
    <row r="383" ht="30" customHeight="1" spans="1:7">
      <c r="A383" s="4" t="s">
        <v>1889</v>
      </c>
      <c r="B383" s="5" t="s">
        <v>1890</v>
      </c>
      <c r="C383" s="4" t="s">
        <v>9</v>
      </c>
      <c r="D383" s="475">
        <v>11119.56</v>
      </c>
      <c r="E383" s="476">
        <v>0.04722</v>
      </c>
      <c r="F383" s="6">
        <v>15.7674</v>
      </c>
      <c r="G383" s="6">
        <v>1.02</v>
      </c>
    </row>
    <row r="384" ht="30" customHeight="1" spans="1:7">
      <c r="A384" s="4" t="s">
        <v>1891</v>
      </c>
      <c r="B384" s="5" t="s">
        <v>1892</v>
      </c>
      <c r="C384" s="4" t="s">
        <v>9</v>
      </c>
      <c r="D384" s="475">
        <v>11495.54</v>
      </c>
      <c r="E384" s="476">
        <v>0.04722</v>
      </c>
      <c r="F384" s="6">
        <v>16.0837</v>
      </c>
      <c r="G384" s="6">
        <v>1</v>
      </c>
    </row>
    <row r="385" ht="30" customHeight="1" spans="1:7">
      <c r="A385" s="4" t="s">
        <v>1893</v>
      </c>
      <c r="B385" s="5" t="s">
        <v>1894</v>
      </c>
      <c r="C385" s="4" t="s">
        <v>9</v>
      </c>
      <c r="D385" s="475">
        <v>11416.54</v>
      </c>
      <c r="E385" s="476">
        <v>0.04722</v>
      </c>
      <c r="F385" s="6">
        <v>16.0837</v>
      </c>
      <c r="G385" s="6">
        <v>1</v>
      </c>
    </row>
    <row r="386" ht="30" customHeight="1" spans="1:7">
      <c r="A386" s="4" t="s">
        <v>1895</v>
      </c>
      <c r="B386" s="5" t="s">
        <v>1896</v>
      </c>
      <c r="C386" s="4" t="s">
        <v>9</v>
      </c>
      <c r="D386" s="475">
        <v>12117.79</v>
      </c>
      <c r="E386" s="476">
        <v>0.04722</v>
      </c>
      <c r="F386" s="6">
        <v>16.4129</v>
      </c>
      <c r="G386" s="6">
        <v>0.98</v>
      </c>
    </row>
    <row r="387" ht="30" customHeight="1" spans="1:7">
      <c r="A387" s="4" t="s">
        <v>1897</v>
      </c>
      <c r="B387" s="5" t="s">
        <v>1898</v>
      </c>
      <c r="C387" s="4" t="s">
        <v>9</v>
      </c>
      <c r="D387" s="475">
        <v>12012.46</v>
      </c>
      <c r="E387" s="476">
        <v>0.04722</v>
      </c>
      <c r="F387" s="6">
        <v>16.4129</v>
      </c>
      <c r="G387" s="6">
        <v>0.98</v>
      </c>
    </row>
    <row r="388" ht="30" customHeight="1" spans="1:7">
      <c r="A388" s="4" t="s">
        <v>1899</v>
      </c>
      <c r="B388" s="5" t="s">
        <v>1900</v>
      </c>
      <c r="C388" s="4" t="s">
        <v>9</v>
      </c>
      <c r="D388" s="475">
        <v>12668.35</v>
      </c>
      <c r="E388" s="476">
        <v>0.04722</v>
      </c>
      <c r="F388" s="6">
        <v>16.8235</v>
      </c>
      <c r="G388" s="6">
        <v>1.1</v>
      </c>
    </row>
    <row r="389" ht="30" customHeight="1" spans="1:7">
      <c r="A389" s="4" t="s">
        <v>1901</v>
      </c>
      <c r="B389" s="5" t="s">
        <v>1902</v>
      </c>
      <c r="C389" s="4" t="s">
        <v>9</v>
      </c>
      <c r="D389" s="475">
        <v>12558.81</v>
      </c>
      <c r="E389" s="476">
        <v>0.04722</v>
      </c>
      <c r="F389" s="6">
        <v>16.8235</v>
      </c>
      <c r="G389" s="6">
        <v>1.1</v>
      </c>
    </row>
    <row r="390" ht="30" customHeight="1" spans="1:7">
      <c r="A390" s="4" t="s">
        <v>1903</v>
      </c>
      <c r="B390" s="5" t="s">
        <v>1904</v>
      </c>
      <c r="C390" s="4" t="s">
        <v>9</v>
      </c>
      <c r="D390" s="475">
        <v>13274.37</v>
      </c>
      <c r="E390" s="476">
        <v>0.04722</v>
      </c>
      <c r="F390" s="6">
        <v>18.15</v>
      </c>
      <c r="G390" s="6">
        <v>1.02</v>
      </c>
    </row>
    <row r="391" ht="30" customHeight="1" spans="1:7">
      <c r="A391" s="4" t="s">
        <v>1905</v>
      </c>
      <c r="B391" s="5" t="s">
        <v>1906</v>
      </c>
      <c r="C391" s="4" t="s">
        <v>9</v>
      </c>
      <c r="D391" s="475">
        <v>13161.67</v>
      </c>
      <c r="E391" s="476">
        <v>0.04722</v>
      </c>
      <c r="F391" s="6">
        <v>18.15</v>
      </c>
      <c r="G391" s="6">
        <v>1.02</v>
      </c>
    </row>
    <row r="392" ht="30" customHeight="1" spans="1:7">
      <c r="A392" s="4" t="s">
        <v>1907</v>
      </c>
      <c r="B392" s="5" t="s">
        <v>1908</v>
      </c>
      <c r="C392" s="4" t="s">
        <v>9</v>
      </c>
      <c r="D392" s="475">
        <v>13850.65</v>
      </c>
      <c r="E392" s="476">
        <v>0.04722</v>
      </c>
      <c r="F392" s="6">
        <v>18.5148</v>
      </c>
      <c r="G392" s="6">
        <v>1</v>
      </c>
    </row>
    <row r="393" ht="30" customHeight="1" spans="1:7">
      <c r="A393" s="4" t="s">
        <v>1909</v>
      </c>
      <c r="B393" s="5" t="s">
        <v>1910</v>
      </c>
      <c r="C393" s="4" t="s">
        <v>9</v>
      </c>
      <c r="D393" s="475">
        <v>13733.73</v>
      </c>
      <c r="E393" s="476">
        <v>0.04722</v>
      </c>
      <c r="F393" s="6">
        <v>18.5148</v>
      </c>
      <c r="G393" s="6">
        <v>1</v>
      </c>
    </row>
    <row r="394" ht="30" customHeight="1" spans="1:7">
      <c r="A394" s="4" t="s">
        <v>1911</v>
      </c>
      <c r="B394" s="5" t="s">
        <v>1912</v>
      </c>
      <c r="C394" s="4" t="s">
        <v>9</v>
      </c>
      <c r="D394" s="475">
        <v>14681.25</v>
      </c>
      <c r="E394" s="476">
        <v>0.04722</v>
      </c>
      <c r="F394" s="6">
        <v>18.8945</v>
      </c>
      <c r="G394" s="6">
        <v>0.98</v>
      </c>
    </row>
    <row r="395" ht="30" customHeight="1" spans="1:7">
      <c r="A395" s="4" t="s">
        <v>1913</v>
      </c>
      <c r="B395" s="5" t="s">
        <v>1914</v>
      </c>
      <c r="C395" s="4" t="s">
        <v>9</v>
      </c>
      <c r="D395" s="475">
        <v>14561.17</v>
      </c>
      <c r="E395" s="476">
        <v>0.04722</v>
      </c>
      <c r="F395" s="6">
        <v>18.8945</v>
      </c>
      <c r="G395" s="6">
        <v>0.98</v>
      </c>
    </row>
    <row r="396" ht="30" customHeight="1" spans="1:7">
      <c r="A396" s="4" t="s">
        <v>1915</v>
      </c>
      <c r="B396" s="5" t="s">
        <v>1916</v>
      </c>
      <c r="C396" s="4" t="s">
        <v>9</v>
      </c>
      <c r="D396" s="475">
        <v>15327.65</v>
      </c>
      <c r="E396" s="476">
        <v>0.04722</v>
      </c>
      <c r="F396" s="6">
        <v>20.5819</v>
      </c>
      <c r="G396" s="6">
        <v>0.9</v>
      </c>
    </row>
    <row r="397" ht="30" customHeight="1" spans="1:7">
      <c r="A397" s="4" t="s">
        <v>1917</v>
      </c>
      <c r="B397" s="5" t="s">
        <v>1918</v>
      </c>
      <c r="C397" s="4" t="s">
        <v>9</v>
      </c>
      <c r="D397" s="475">
        <v>15203.36</v>
      </c>
      <c r="E397" s="476">
        <v>0.04722</v>
      </c>
      <c r="F397" s="6">
        <v>20.5819</v>
      </c>
      <c r="G397" s="6">
        <v>0.9</v>
      </c>
    </row>
    <row r="398" ht="30" customHeight="1" spans="1:7">
      <c r="A398" s="4" t="s">
        <v>1919</v>
      </c>
      <c r="B398" s="5" t="s">
        <v>1920</v>
      </c>
      <c r="C398" s="4" t="s">
        <v>9</v>
      </c>
      <c r="D398" s="475">
        <v>15927.95</v>
      </c>
      <c r="E398" s="476">
        <v>0.04722</v>
      </c>
      <c r="F398" s="6">
        <v>21.7979</v>
      </c>
      <c r="G398" s="6">
        <v>0.85</v>
      </c>
    </row>
    <row r="399" ht="30" customHeight="1" spans="1:7">
      <c r="A399" s="4" t="s">
        <v>1921</v>
      </c>
      <c r="B399" s="5" t="s">
        <v>1922</v>
      </c>
      <c r="C399" s="4" t="s">
        <v>9</v>
      </c>
      <c r="D399" s="475">
        <v>15801.56</v>
      </c>
      <c r="E399" s="476">
        <v>0.04722</v>
      </c>
      <c r="F399" s="6">
        <v>21.7979</v>
      </c>
      <c r="G399" s="6">
        <v>0.85</v>
      </c>
    </row>
    <row r="400" ht="30" customHeight="1" spans="1:7">
      <c r="A400" s="4" t="s">
        <v>1923</v>
      </c>
      <c r="B400" s="5" t="s">
        <v>1924</v>
      </c>
      <c r="C400" s="4" t="s">
        <v>9</v>
      </c>
      <c r="D400" s="475">
        <v>16506.6</v>
      </c>
      <c r="E400" s="476">
        <v>0.04722</v>
      </c>
      <c r="F400" s="6">
        <v>22.3253</v>
      </c>
      <c r="G400" s="6">
        <v>0.83</v>
      </c>
    </row>
    <row r="401" ht="30" customHeight="1" spans="1:7">
      <c r="A401" s="4" t="s">
        <v>1925</v>
      </c>
      <c r="B401" s="5" t="s">
        <v>1926</v>
      </c>
      <c r="C401" s="4" t="s">
        <v>9</v>
      </c>
      <c r="D401" s="475">
        <v>16377.05</v>
      </c>
      <c r="E401" s="476">
        <v>0.04722</v>
      </c>
      <c r="F401" s="6">
        <v>22.3253</v>
      </c>
      <c r="G401" s="6">
        <v>0.83</v>
      </c>
    </row>
    <row r="402" ht="30" customHeight="1" spans="1:7">
      <c r="A402" s="4" t="s">
        <v>1927</v>
      </c>
      <c r="B402" s="5" t="s">
        <v>1928</v>
      </c>
      <c r="C402" s="4" t="s">
        <v>9</v>
      </c>
      <c r="D402" s="475">
        <v>17149.1</v>
      </c>
      <c r="E402" s="476">
        <v>0.04722</v>
      </c>
      <c r="F402" s="6">
        <v>23.1658</v>
      </c>
      <c r="G402" s="6">
        <v>0.8</v>
      </c>
    </row>
    <row r="403" ht="30" customHeight="1" spans="1:7">
      <c r="A403" s="4" t="s">
        <v>1929</v>
      </c>
      <c r="B403" s="5" t="s">
        <v>1930</v>
      </c>
      <c r="C403" s="4" t="s">
        <v>9</v>
      </c>
      <c r="D403" s="475">
        <v>16991.81</v>
      </c>
      <c r="E403" s="476">
        <v>0.04722</v>
      </c>
      <c r="F403" s="6">
        <v>23.1658</v>
      </c>
      <c r="G403" s="6">
        <v>0.8</v>
      </c>
    </row>
    <row r="404" ht="30" customHeight="1" spans="1:7">
      <c r="A404" s="4" t="s">
        <v>1931</v>
      </c>
      <c r="B404" s="5" t="s">
        <v>1932</v>
      </c>
      <c r="C404" s="4" t="s">
        <v>9</v>
      </c>
      <c r="D404" s="475">
        <v>18048.2</v>
      </c>
      <c r="E404" s="476">
        <v>0.04722</v>
      </c>
      <c r="F404" s="6">
        <v>24.7162</v>
      </c>
      <c r="G404" s="6">
        <v>0.75</v>
      </c>
    </row>
    <row r="405" ht="30" customHeight="1" spans="1:7">
      <c r="A405" s="4" t="s">
        <v>1933</v>
      </c>
      <c r="B405" s="5" t="s">
        <v>1934</v>
      </c>
      <c r="C405" s="4" t="s">
        <v>9</v>
      </c>
      <c r="D405" s="475">
        <v>17886</v>
      </c>
      <c r="E405" s="476">
        <v>0.04722</v>
      </c>
      <c r="F405" s="6">
        <v>24.7162</v>
      </c>
      <c r="G405" s="6">
        <v>0.75</v>
      </c>
    </row>
    <row r="406" ht="30" customHeight="1" spans="1:7">
      <c r="A406" s="4" t="s">
        <v>1935</v>
      </c>
      <c r="B406" s="5" t="s">
        <v>1936</v>
      </c>
      <c r="C406" s="4" t="s">
        <v>9</v>
      </c>
      <c r="D406" s="475">
        <v>22061.04</v>
      </c>
      <c r="E406" s="476">
        <v>0.04722</v>
      </c>
      <c r="F406" s="6">
        <v>26.488</v>
      </c>
      <c r="G406" s="6">
        <v>0.7</v>
      </c>
    </row>
    <row r="407" ht="30" customHeight="1" spans="1:7">
      <c r="A407" s="4" t="s">
        <v>1937</v>
      </c>
      <c r="B407" s="5" t="s">
        <v>1938</v>
      </c>
      <c r="C407" s="4" t="s">
        <v>9</v>
      </c>
      <c r="D407" s="475">
        <v>21893.91</v>
      </c>
      <c r="E407" s="476">
        <v>0.04722</v>
      </c>
      <c r="F407" s="6">
        <v>26.488</v>
      </c>
      <c r="G407" s="6">
        <v>0.7</v>
      </c>
    </row>
    <row r="408" ht="30" customHeight="1" spans="1:7">
      <c r="A408" s="4" t="s">
        <v>1939</v>
      </c>
      <c r="B408" s="5" t="s">
        <v>1940</v>
      </c>
      <c r="C408" s="4" t="s">
        <v>9</v>
      </c>
      <c r="D408" s="475">
        <v>22904.34</v>
      </c>
      <c r="E408" s="476">
        <v>0.04722</v>
      </c>
      <c r="F408" s="6">
        <v>23.3328</v>
      </c>
      <c r="G408" s="6">
        <v>0.9</v>
      </c>
    </row>
    <row r="409" ht="30" customHeight="1" spans="1:7">
      <c r="A409" s="4" t="s">
        <v>1941</v>
      </c>
      <c r="B409" s="5" t="s">
        <v>1942</v>
      </c>
      <c r="C409" s="4" t="s">
        <v>9</v>
      </c>
      <c r="D409" s="475">
        <v>22731.07</v>
      </c>
      <c r="E409" s="476">
        <v>0.04722</v>
      </c>
      <c r="F409" s="6">
        <v>23.3328</v>
      </c>
      <c r="G409" s="6">
        <v>0.9</v>
      </c>
    </row>
    <row r="410" ht="30" customHeight="1" spans="1:7">
      <c r="A410" s="4" t="s">
        <v>1943</v>
      </c>
      <c r="B410" s="5" t="s">
        <v>1944</v>
      </c>
      <c r="C410" s="4" t="s">
        <v>9</v>
      </c>
      <c r="D410" s="475">
        <v>23645.55</v>
      </c>
      <c r="E410" s="476">
        <v>0.04722</v>
      </c>
      <c r="F410" s="6">
        <v>24.7105</v>
      </c>
      <c r="G410" s="6">
        <v>0.85</v>
      </c>
    </row>
    <row r="411" ht="30" customHeight="1" spans="1:7">
      <c r="A411" s="4" t="s">
        <v>1945</v>
      </c>
      <c r="B411" s="5" t="s">
        <v>1946</v>
      </c>
      <c r="C411" s="4" t="s">
        <v>9</v>
      </c>
      <c r="D411" s="475">
        <v>23467.37</v>
      </c>
      <c r="E411" s="476">
        <v>0.04722</v>
      </c>
      <c r="F411" s="6">
        <v>24.7105</v>
      </c>
      <c r="G411" s="6">
        <v>0.85</v>
      </c>
    </row>
    <row r="412" ht="30" customHeight="1" spans="1:7">
      <c r="A412" s="4" t="s">
        <v>1947</v>
      </c>
      <c r="B412" s="5" t="s">
        <v>1948</v>
      </c>
      <c r="C412" s="4" t="s">
        <v>9</v>
      </c>
      <c r="D412" s="475">
        <v>26754.21</v>
      </c>
      <c r="E412" s="476">
        <v>0.04722</v>
      </c>
      <c r="F412" s="6">
        <v>25.3081</v>
      </c>
      <c r="G412" s="6">
        <v>0.83</v>
      </c>
    </row>
    <row r="413" ht="30" customHeight="1" spans="1:7">
      <c r="A413" s="4" t="s">
        <v>1949</v>
      </c>
      <c r="B413" s="5" t="s">
        <v>1950</v>
      </c>
      <c r="C413" s="4" t="s">
        <v>9</v>
      </c>
      <c r="D413" s="475">
        <v>26571.11</v>
      </c>
      <c r="E413" s="476">
        <v>0.04722</v>
      </c>
      <c r="F413" s="6">
        <v>25.3081</v>
      </c>
      <c r="G413" s="6">
        <v>0.83</v>
      </c>
    </row>
    <row r="414" ht="30" customHeight="1" spans="1:7">
      <c r="A414" s="4" t="s">
        <v>1951</v>
      </c>
      <c r="B414" s="5" t="s">
        <v>1952</v>
      </c>
      <c r="C414" s="4" t="s">
        <v>9</v>
      </c>
      <c r="D414" s="475">
        <v>27171.88</v>
      </c>
      <c r="E414" s="476">
        <v>0.04722</v>
      </c>
      <c r="F414" s="6">
        <v>26.2605</v>
      </c>
      <c r="G414" s="6">
        <v>0.8</v>
      </c>
    </row>
    <row r="415" ht="30" customHeight="1" spans="1:7">
      <c r="A415" s="4" t="s">
        <v>1953</v>
      </c>
      <c r="B415" s="5" t="s">
        <v>1954</v>
      </c>
      <c r="C415" s="4" t="s">
        <v>9</v>
      </c>
      <c r="D415" s="475">
        <v>26985.1</v>
      </c>
      <c r="E415" s="476">
        <v>0.04722</v>
      </c>
      <c r="F415" s="6">
        <v>26.2605</v>
      </c>
      <c r="G415" s="6">
        <v>0.8</v>
      </c>
    </row>
    <row r="416" ht="30" customHeight="1" spans="1:7">
      <c r="A416" s="4" t="s">
        <v>1955</v>
      </c>
      <c r="B416" s="5" t="s">
        <v>1956</v>
      </c>
      <c r="C416" s="4" t="s">
        <v>9</v>
      </c>
      <c r="D416" s="475">
        <v>32489.17</v>
      </c>
      <c r="E416" s="476">
        <v>0.04722</v>
      </c>
      <c r="F416" s="6">
        <v>26.9361</v>
      </c>
      <c r="G416" s="6">
        <v>0.78</v>
      </c>
    </row>
    <row r="417" ht="30" customHeight="1" spans="1:7">
      <c r="A417" s="4" t="s">
        <v>1957</v>
      </c>
      <c r="B417" s="5" t="s">
        <v>1958</v>
      </c>
      <c r="C417" s="4" t="s">
        <v>9</v>
      </c>
      <c r="D417" s="475">
        <v>32297.46</v>
      </c>
      <c r="E417" s="476">
        <v>0.04722</v>
      </c>
      <c r="F417" s="6">
        <v>26.9361</v>
      </c>
      <c r="G417" s="6">
        <v>0.78</v>
      </c>
    </row>
    <row r="418" ht="30" customHeight="1" spans="1:7">
      <c r="A418" s="4" t="s">
        <v>1959</v>
      </c>
      <c r="B418" s="5" t="s">
        <v>1960</v>
      </c>
      <c r="C418" s="4" t="s">
        <v>9</v>
      </c>
      <c r="D418" s="475">
        <v>33030.59</v>
      </c>
      <c r="E418" s="476">
        <v>0.04722</v>
      </c>
      <c r="F418" s="6">
        <v>30.0247</v>
      </c>
      <c r="G418" s="6">
        <v>0.7</v>
      </c>
    </row>
    <row r="419" ht="30" customHeight="1" spans="1:7">
      <c r="A419" s="4" t="s">
        <v>1961</v>
      </c>
      <c r="B419" s="5" t="s">
        <v>1962</v>
      </c>
      <c r="C419" s="4" t="s">
        <v>9</v>
      </c>
      <c r="D419" s="475">
        <v>32836.44</v>
      </c>
      <c r="E419" s="476">
        <v>0.04722</v>
      </c>
      <c r="F419" s="6">
        <v>30.0247</v>
      </c>
      <c r="G419" s="6">
        <v>0.7</v>
      </c>
    </row>
    <row r="420" ht="30" customHeight="1" spans="1:7">
      <c r="A420" s="4" t="s">
        <v>1963</v>
      </c>
      <c r="B420" s="5" t="s">
        <v>1964</v>
      </c>
      <c r="C420" s="4" t="s">
        <v>9</v>
      </c>
      <c r="D420" s="475">
        <v>34296.95</v>
      </c>
      <c r="E420" s="476">
        <v>0.04722</v>
      </c>
      <c r="F420" s="6">
        <v>30.9104</v>
      </c>
      <c r="G420" s="6">
        <v>0.68</v>
      </c>
    </row>
    <row r="421" ht="30" customHeight="1" spans="1:7">
      <c r="A421" s="4" t="s">
        <v>1965</v>
      </c>
      <c r="B421" s="5" t="s">
        <v>1966</v>
      </c>
      <c r="C421" s="4" t="s">
        <v>9</v>
      </c>
      <c r="D421" s="475">
        <v>34097.88</v>
      </c>
      <c r="E421" s="476">
        <v>0.04722</v>
      </c>
      <c r="F421" s="6">
        <v>30.9104</v>
      </c>
      <c r="G421" s="6">
        <v>0.68</v>
      </c>
    </row>
    <row r="422" ht="30" customHeight="1" spans="1:7">
      <c r="A422" s="4" t="s">
        <v>1967</v>
      </c>
      <c r="B422" s="5" t="s">
        <v>1968</v>
      </c>
      <c r="C422" s="4" t="s">
        <v>9</v>
      </c>
      <c r="D422" s="475">
        <v>34875.4</v>
      </c>
      <c r="E422" s="476">
        <v>0.04722</v>
      </c>
      <c r="F422" s="6">
        <v>35.0437</v>
      </c>
      <c r="G422" s="6">
        <v>0.6</v>
      </c>
    </row>
    <row r="423" ht="30" customHeight="1" spans="1:7">
      <c r="A423" s="4" t="s">
        <v>1969</v>
      </c>
      <c r="B423" s="5" t="s">
        <v>1970</v>
      </c>
      <c r="C423" s="4" t="s">
        <v>9</v>
      </c>
      <c r="D423" s="475">
        <v>34672.64</v>
      </c>
      <c r="E423" s="476">
        <v>0.04722</v>
      </c>
      <c r="F423" s="6">
        <v>35.0437</v>
      </c>
      <c r="G423" s="6">
        <v>0.6</v>
      </c>
    </row>
    <row r="424" ht="30" customHeight="1" spans="1:7">
      <c r="A424" s="4" t="s">
        <v>1971</v>
      </c>
      <c r="B424" s="5" t="s">
        <v>1972</v>
      </c>
      <c r="C424" s="4" t="s">
        <v>9</v>
      </c>
      <c r="D424" s="475">
        <v>46937.79</v>
      </c>
      <c r="E424" s="476">
        <v>0.04722</v>
      </c>
      <c r="F424" s="6">
        <v>38.1484</v>
      </c>
      <c r="G424" s="6">
        <v>0.55</v>
      </c>
    </row>
    <row r="425" ht="30" customHeight="1" spans="1:7">
      <c r="A425" s="4" t="s">
        <v>1973</v>
      </c>
      <c r="B425" s="5" t="s">
        <v>1974</v>
      </c>
      <c r="C425" s="4" t="s">
        <v>9</v>
      </c>
      <c r="D425" s="475">
        <v>46731.34</v>
      </c>
      <c r="E425" s="476">
        <v>0.04722</v>
      </c>
      <c r="F425" s="6">
        <v>38.1484</v>
      </c>
      <c r="G425" s="6">
        <v>0.55</v>
      </c>
    </row>
    <row r="426" ht="30" customHeight="1" spans="1:7">
      <c r="A426" s="4" t="s">
        <v>1975</v>
      </c>
      <c r="B426" s="5" t="s">
        <v>1976</v>
      </c>
      <c r="C426" s="4" t="s">
        <v>9</v>
      </c>
      <c r="D426" s="475">
        <v>48919.08</v>
      </c>
      <c r="E426" s="476">
        <v>0.04722</v>
      </c>
      <c r="F426" s="6">
        <v>50.0115</v>
      </c>
      <c r="G426" s="6">
        <v>0.42</v>
      </c>
    </row>
    <row r="427" ht="30" customHeight="1" spans="1:7">
      <c r="A427" s="4" t="s">
        <v>1977</v>
      </c>
      <c r="B427" s="5" t="s">
        <v>1978</v>
      </c>
      <c r="C427" s="4" t="s">
        <v>9</v>
      </c>
      <c r="D427" s="475">
        <v>48707.72</v>
      </c>
      <c r="E427" s="476">
        <v>0.04722</v>
      </c>
      <c r="F427" s="6">
        <v>50.0115</v>
      </c>
      <c r="G427" s="6">
        <v>0.42</v>
      </c>
    </row>
    <row r="428" ht="30" customHeight="1" spans="1:7">
      <c r="A428" s="4" t="s">
        <v>1979</v>
      </c>
      <c r="B428" s="5" t="s">
        <v>1980</v>
      </c>
      <c r="C428" s="4" t="s">
        <v>9</v>
      </c>
      <c r="D428" s="475">
        <v>11326.8</v>
      </c>
      <c r="E428" s="476">
        <v>0.04722</v>
      </c>
      <c r="F428" s="6">
        <v>19.5386</v>
      </c>
      <c r="G428" s="6">
        <v>0.95</v>
      </c>
    </row>
    <row r="429" ht="30" customHeight="1" spans="1:7">
      <c r="A429" s="4" t="s">
        <v>1981</v>
      </c>
      <c r="B429" s="5" t="s">
        <v>1982</v>
      </c>
      <c r="C429" s="4" t="s">
        <v>9</v>
      </c>
      <c r="D429" s="475">
        <v>11248.16</v>
      </c>
      <c r="E429" s="476">
        <v>0.04722</v>
      </c>
      <c r="F429" s="6">
        <v>19.5386</v>
      </c>
      <c r="G429" s="6">
        <v>0.95</v>
      </c>
    </row>
    <row r="430" ht="30" customHeight="1" spans="1:7">
      <c r="A430" s="4" t="s">
        <v>1983</v>
      </c>
      <c r="B430" s="5" t="s">
        <v>1984</v>
      </c>
      <c r="C430" s="4" t="s">
        <v>9</v>
      </c>
      <c r="D430" s="475">
        <v>14739.73</v>
      </c>
      <c r="E430" s="476">
        <v>0.04722</v>
      </c>
      <c r="F430" s="6">
        <v>21.7979</v>
      </c>
      <c r="G430" s="6">
        <v>0.85</v>
      </c>
    </row>
    <row r="431" ht="30" customHeight="1" spans="1:7">
      <c r="A431" s="4" t="s">
        <v>1985</v>
      </c>
      <c r="B431" s="5" t="s">
        <v>1986</v>
      </c>
      <c r="C431" s="4" t="s">
        <v>9</v>
      </c>
      <c r="D431" s="475">
        <v>14643.88</v>
      </c>
      <c r="E431" s="476">
        <v>0.04722</v>
      </c>
      <c r="F431" s="6">
        <v>21.7979</v>
      </c>
      <c r="G431" s="6">
        <v>0.85</v>
      </c>
    </row>
    <row r="432" ht="30" customHeight="1" spans="1:7">
      <c r="A432" s="4" t="s">
        <v>1987</v>
      </c>
      <c r="B432" s="5" t="s">
        <v>1988</v>
      </c>
      <c r="C432" s="4" t="s">
        <v>9</v>
      </c>
      <c r="D432" s="475">
        <v>17151.57</v>
      </c>
      <c r="E432" s="476">
        <v>0.04722</v>
      </c>
      <c r="F432" s="6">
        <v>24.7162</v>
      </c>
      <c r="G432" s="6">
        <v>0.75</v>
      </c>
    </row>
    <row r="433" ht="30" customHeight="1" spans="1:7">
      <c r="A433" s="4" t="s">
        <v>1989</v>
      </c>
      <c r="B433" s="5" t="s">
        <v>1990</v>
      </c>
      <c r="C433" s="4" t="s">
        <v>9</v>
      </c>
      <c r="D433" s="475">
        <v>17011.48</v>
      </c>
      <c r="E433" s="476">
        <v>0.04722</v>
      </c>
      <c r="F433" s="6">
        <v>24.7162</v>
      </c>
      <c r="G433" s="6">
        <v>0.75</v>
      </c>
    </row>
    <row r="434" ht="30" customHeight="1" spans="1:7">
      <c r="A434" s="4" t="s">
        <v>1991</v>
      </c>
      <c r="B434" s="5" t="s">
        <v>1992</v>
      </c>
      <c r="C434" s="4" t="s">
        <v>9</v>
      </c>
      <c r="D434" s="475">
        <v>18046.98</v>
      </c>
      <c r="E434" s="476">
        <v>0.04722</v>
      </c>
      <c r="F434" s="6">
        <v>26.488</v>
      </c>
      <c r="G434" s="6">
        <v>0.7</v>
      </c>
    </row>
    <row r="435" ht="30" customHeight="1" spans="1:7">
      <c r="A435" s="4" t="s">
        <v>1993</v>
      </c>
      <c r="B435" s="5" t="s">
        <v>1994</v>
      </c>
      <c r="C435" s="4" t="s">
        <v>9</v>
      </c>
      <c r="D435" s="475">
        <v>17901.97</v>
      </c>
      <c r="E435" s="476">
        <v>0.04722</v>
      </c>
      <c r="F435" s="6">
        <v>26.488</v>
      </c>
      <c r="G435" s="6">
        <v>0.7</v>
      </c>
    </row>
    <row r="436" ht="30" customHeight="1" spans="1:7">
      <c r="A436" s="4" t="s">
        <v>1995</v>
      </c>
      <c r="B436" s="5" t="s">
        <v>1996</v>
      </c>
      <c r="C436" s="4" t="s">
        <v>9</v>
      </c>
      <c r="D436" s="475">
        <v>18467.04</v>
      </c>
      <c r="E436" s="476">
        <v>0.04722</v>
      </c>
      <c r="F436" s="6">
        <v>22.2361</v>
      </c>
      <c r="G436" s="6">
        <v>0.83</v>
      </c>
    </row>
    <row r="437" ht="30" customHeight="1" spans="1:7">
      <c r="A437" s="4" t="s">
        <v>1997</v>
      </c>
      <c r="B437" s="5" t="s">
        <v>1998</v>
      </c>
      <c r="C437" s="4" t="s">
        <v>9</v>
      </c>
      <c r="D437" s="475">
        <v>18319.57</v>
      </c>
      <c r="E437" s="476">
        <v>0.04722</v>
      </c>
      <c r="F437" s="6">
        <v>22.2361</v>
      </c>
      <c r="G437" s="6">
        <v>0.83</v>
      </c>
    </row>
    <row r="438" ht="30" customHeight="1" spans="1:7">
      <c r="A438" s="4" t="s">
        <v>1999</v>
      </c>
      <c r="B438" s="5" t="s">
        <v>2000</v>
      </c>
      <c r="C438" s="4" t="s">
        <v>9</v>
      </c>
      <c r="D438" s="475">
        <v>19113.63</v>
      </c>
      <c r="E438" s="476">
        <v>0.04722</v>
      </c>
      <c r="F438" s="6">
        <v>24.6269</v>
      </c>
      <c r="G438" s="6">
        <v>0.75</v>
      </c>
    </row>
    <row r="439" ht="30" customHeight="1" spans="1:7">
      <c r="A439" s="4" t="s">
        <v>2001</v>
      </c>
      <c r="B439" s="5" t="s">
        <v>2002</v>
      </c>
      <c r="C439" s="4" t="s">
        <v>9</v>
      </c>
      <c r="D439" s="475">
        <v>18961.25</v>
      </c>
      <c r="E439" s="476">
        <v>0.04722</v>
      </c>
      <c r="F439" s="6">
        <v>24.6269</v>
      </c>
      <c r="G439" s="6">
        <v>0.75</v>
      </c>
    </row>
    <row r="440" ht="30" customHeight="1" spans="1:7">
      <c r="A440" s="4" t="s">
        <v>2003</v>
      </c>
      <c r="B440" s="5" t="s">
        <v>2004</v>
      </c>
      <c r="C440" s="4" t="s">
        <v>9</v>
      </c>
      <c r="D440" s="475">
        <v>19730.47</v>
      </c>
      <c r="E440" s="476">
        <v>0.04722</v>
      </c>
      <c r="F440" s="6">
        <v>26.3987</v>
      </c>
      <c r="G440" s="6">
        <v>0.7</v>
      </c>
    </row>
    <row r="441" ht="30" customHeight="1" spans="1:7">
      <c r="A441" s="4" t="s">
        <v>2005</v>
      </c>
      <c r="B441" s="5" t="s">
        <v>2006</v>
      </c>
      <c r="C441" s="4" t="s">
        <v>9</v>
      </c>
      <c r="D441" s="475">
        <v>19576.87</v>
      </c>
      <c r="E441" s="476">
        <v>0.04722</v>
      </c>
      <c r="F441" s="6">
        <v>26.3987</v>
      </c>
      <c r="G441" s="6">
        <v>0.7</v>
      </c>
    </row>
    <row r="442" ht="30" customHeight="1" spans="1:7">
      <c r="A442" s="4" t="s">
        <v>2007</v>
      </c>
      <c r="B442" s="5" t="s">
        <v>2008</v>
      </c>
      <c r="C442" s="4" t="s">
        <v>9</v>
      </c>
      <c r="D442" s="475">
        <v>20590.67</v>
      </c>
      <c r="E442" s="476">
        <v>0.04722</v>
      </c>
      <c r="F442" s="6">
        <v>27.1804</v>
      </c>
      <c r="G442" s="6">
        <v>0.68</v>
      </c>
    </row>
    <row r="443" ht="30" customHeight="1" spans="1:7">
      <c r="A443" s="4" t="s">
        <v>2009</v>
      </c>
      <c r="B443" s="5" t="s">
        <v>2010</v>
      </c>
      <c r="C443" s="4" t="s">
        <v>9</v>
      </c>
      <c r="D443" s="475">
        <v>20433.38</v>
      </c>
      <c r="E443" s="476">
        <v>0.04722</v>
      </c>
      <c r="F443" s="6">
        <v>27.1804</v>
      </c>
      <c r="G443" s="6">
        <v>0.68</v>
      </c>
    </row>
    <row r="444" ht="30" customHeight="1" spans="1:7">
      <c r="A444" s="4" t="s">
        <v>2011</v>
      </c>
      <c r="B444" s="5" t="s">
        <v>2012</v>
      </c>
      <c r="C444" s="4" t="s">
        <v>9</v>
      </c>
      <c r="D444" s="475">
        <v>21191.93</v>
      </c>
      <c r="E444" s="476">
        <v>0.04722</v>
      </c>
      <c r="F444" s="6">
        <v>28.4432</v>
      </c>
      <c r="G444" s="6">
        <v>0.65</v>
      </c>
    </row>
    <row r="445" ht="30" customHeight="1" spans="1:7">
      <c r="A445" s="4" t="s">
        <v>2013</v>
      </c>
      <c r="B445" s="5" t="s">
        <v>2014</v>
      </c>
      <c r="C445" s="4" t="s">
        <v>9</v>
      </c>
      <c r="D445" s="475">
        <v>21032.18</v>
      </c>
      <c r="E445" s="476">
        <v>0.04722</v>
      </c>
      <c r="F445" s="6">
        <v>28.4432</v>
      </c>
      <c r="G445" s="6">
        <v>0.65</v>
      </c>
    </row>
    <row r="446" ht="30" customHeight="1" spans="1:7">
      <c r="A446" s="4" t="s">
        <v>2015</v>
      </c>
      <c r="B446" s="5" t="s">
        <v>2016</v>
      </c>
      <c r="C446" s="4" t="s">
        <v>9</v>
      </c>
      <c r="D446" s="475">
        <v>26016.07</v>
      </c>
      <c r="E446" s="476">
        <v>0.04722</v>
      </c>
      <c r="F446" s="6">
        <v>37.464</v>
      </c>
      <c r="G446" s="6">
        <v>0.56</v>
      </c>
    </row>
    <row r="447" ht="30" customHeight="1" spans="1:7">
      <c r="A447" s="4" t="s">
        <v>2017</v>
      </c>
      <c r="B447" s="5" t="s">
        <v>2018</v>
      </c>
      <c r="C447" s="4" t="s">
        <v>9</v>
      </c>
      <c r="D447" s="475">
        <v>25851.41</v>
      </c>
      <c r="E447" s="476">
        <v>0.04722</v>
      </c>
      <c r="F447" s="6">
        <v>37.464</v>
      </c>
      <c r="G447" s="6">
        <v>0.56</v>
      </c>
    </row>
    <row r="448" ht="30" customHeight="1" spans="1:7">
      <c r="A448" s="4" t="s">
        <v>2019</v>
      </c>
      <c r="B448" s="5" t="s">
        <v>2020</v>
      </c>
      <c r="C448" s="4" t="s">
        <v>9</v>
      </c>
      <c r="D448" s="475">
        <v>27475.27</v>
      </c>
      <c r="E448" s="476">
        <v>0.04722</v>
      </c>
      <c r="F448" s="6">
        <v>42.8415</v>
      </c>
      <c r="G448" s="6">
        <v>0.49</v>
      </c>
    </row>
    <row r="449" ht="30" customHeight="1" spans="1:7">
      <c r="A449" s="4" t="s">
        <v>2021</v>
      </c>
      <c r="B449" s="5" t="s">
        <v>2022</v>
      </c>
      <c r="C449" s="4" t="s">
        <v>9</v>
      </c>
      <c r="D449" s="475">
        <v>27308.15</v>
      </c>
      <c r="E449" s="476">
        <v>0.04722</v>
      </c>
      <c r="F449" s="6">
        <v>42.8415</v>
      </c>
      <c r="G449" s="6">
        <v>0.49</v>
      </c>
    </row>
    <row r="450" ht="30" customHeight="1" spans="1:7">
      <c r="A450" s="4" t="s">
        <v>2023</v>
      </c>
      <c r="B450" s="5" t="s">
        <v>2024</v>
      </c>
      <c r="C450" s="4" t="s">
        <v>9</v>
      </c>
      <c r="D450" s="475">
        <v>28298.34</v>
      </c>
      <c r="E450" s="476">
        <v>0.04722</v>
      </c>
      <c r="F450" s="6">
        <v>46.6655</v>
      </c>
      <c r="G450" s="6">
        <v>0.45</v>
      </c>
    </row>
    <row r="451" ht="30" customHeight="1" spans="1:7">
      <c r="A451" s="4" t="s">
        <v>2025</v>
      </c>
      <c r="B451" s="5" t="s">
        <v>2026</v>
      </c>
      <c r="C451" s="4" t="s">
        <v>9</v>
      </c>
      <c r="D451" s="475">
        <v>28126.3</v>
      </c>
      <c r="E451" s="476">
        <v>0.04722</v>
      </c>
      <c r="F451" s="6">
        <v>46.6655</v>
      </c>
      <c r="G451" s="6">
        <v>0.45</v>
      </c>
    </row>
    <row r="452" ht="30" customHeight="1" spans="1:7">
      <c r="A452" s="4" t="s">
        <v>2027</v>
      </c>
      <c r="B452" s="5" t="s">
        <v>2028</v>
      </c>
      <c r="C452" s="4" t="s">
        <v>9</v>
      </c>
      <c r="D452" s="475">
        <v>29102.51</v>
      </c>
      <c r="E452" s="476">
        <v>0.04722</v>
      </c>
      <c r="F452" s="6">
        <v>50.0115</v>
      </c>
      <c r="G452" s="6">
        <v>0.42</v>
      </c>
    </row>
    <row r="453" ht="30" customHeight="1" spans="1:7">
      <c r="A453" s="4" t="s">
        <v>2029</v>
      </c>
      <c r="B453" s="5" t="s">
        <v>2030</v>
      </c>
      <c r="C453" s="4" t="s">
        <v>9</v>
      </c>
      <c r="D453" s="475">
        <v>28926.79</v>
      </c>
      <c r="E453" s="476">
        <v>0.04722</v>
      </c>
      <c r="F453" s="6">
        <v>50.0115</v>
      </c>
      <c r="G453" s="6">
        <v>0.42</v>
      </c>
    </row>
    <row r="454" ht="30" customHeight="1" spans="1:7">
      <c r="A454" s="4" t="s">
        <v>2031</v>
      </c>
      <c r="B454" s="5" t="s">
        <v>2032</v>
      </c>
      <c r="C454" s="4" t="s">
        <v>9</v>
      </c>
      <c r="D454" s="475">
        <v>29763.83</v>
      </c>
      <c r="E454" s="476">
        <v>0.04722</v>
      </c>
      <c r="F454" s="6">
        <v>60.0495</v>
      </c>
      <c r="G454" s="6">
        <v>0.35</v>
      </c>
    </row>
    <row r="455" ht="30" customHeight="1" spans="1:7">
      <c r="A455" s="4" t="s">
        <v>2033</v>
      </c>
      <c r="B455" s="5" t="s">
        <v>2034</v>
      </c>
      <c r="C455" s="4" t="s">
        <v>9</v>
      </c>
      <c r="D455" s="475">
        <v>29585.64</v>
      </c>
      <c r="E455" s="476">
        <v>0.04722</v>
      </c>
      <c r="F455" s="6">
        <v>60.0495</v>
      </c>
      <c r="G455" s="6">
        <v>0.35</v>
      </c>
    </row>
    <row r="456" ht="30" customHeight="1" spans="1:7">
      <c r="A456" s="4" t="s">
        <v>2035</v>
      </c>
      <c r="B456" s="5" t="s">
        <v>2036</v>
      </c>
      <c r="C456" s="4" t="s">
        <v>9</v>
      </c>
      <c r="D456" s="475">
        <v>31428.38</v>
      </c>
      <c r="E456" s="476">
        <v>0.04722</v>
      </c>
      <c r="F456" s="6">
        <v>72.5105</v>
      </c>
      <c r="G456" s="6">
        <v>0.29</v>
      </c>
    </row>
    <row r="457" ht="30" customHeight="1" spans="1:7">
      <c r="A457" s="4" t="s">
        <v>2037</v>
      </c>
      <c r="B457" s="5" t="s">
        <v>2038</v>
      </c>
      <c r="C457" s="4" t="s">
        <v>9</v>
      </c>
      <c r="D457" s="475">
        <v>31248.97</v>
      </c>
      <c r="E457" s="476">
        <v>0.04722</v>
      </c>
      <c r="F457" s="6">
        <v>72.5105</v>
      </c>
      <c r="G457" s="6">
        <v>0.29</v>
      </c>
    </row>
    <row r="458" ht="30" customHeight="1" spans="1:7">
      <c r="A458" s="4" t="s">
        <v>2039</v>
      </c>
      <c r="B458" s="5" t="s">
        <v>2040</v>
      </c>
      <c r="C458" s="4" t="s">
        <v>9</v>
      </c>
      <c r="D458" s="475">
        <v>36180.03</v>
      </c>
      <c r="E458" s="476">
        <v>0.04722</v>
      </c>
      <c r="F458" s="6">
        <v>97.9696</v>
      </c>
      <c r="G458" s="6">
        <v>0.24</v>
      </c>
    </row>
    <row r="459" ht="30" customHeight="1" spans="1:7">
      <c r="A459" s="4" t="s">
        <v>2041</v>
      </c>
      <c r="B459" s="5" t="s">
        <v>2042</v>
      </c>
      <c r="C459" s="4" t="s">
        <v>9</v>
      </c>
      <c r="D459" s="475">
        <v>35992.02</v>
      </c>
      <c r="E459" s="476">
        <v>0.04722</v>
      </c>
      <c r="F459" s="6">
        <v>97.9696</v>
      </c>
      <c r="G459" s="6">
        <v>0.24</v>
      </c>
    </row>
    <row r="460" ht="30" customHeight="1" spans="1:7">
      <c r="A460" s="4" t="s">
        <v>2043</v>
      </c>
      <c r="B460" s="5" t="s">
        <v>2044</v>
      </c>
      <c r="C460" s="4" t="s">
        <v>9</v>
      </c>
      <c r="D460" s="475">
        <v>42605.94</v>
      </c>
      <c r="E460" s="476">
        <v>0.04722</v>
      </c>
      <c r="F460" s="6">
        <v>102.2369</v>
      </c>
      <c r="G460" s="6">
        <v>0.23</v>
      </c>
    </row>
    <row r="461" ht="30" customHeight="1" spans="1:7">
      <c r="A461" s="4" t="s">
        <v>2045</v>
      </c>
      <c r="B461" s="5" t="s">
        <v>2046</v>
      </c>
      <c r="C461" s="4" t="s">
        <v>9</v>
      </c>
      <c r="D461" s="475">
        <v>42413.01</v>
      </c>
      <c r="E461" s="476">
        <v>0.04722</v>
      </c>
      <c r="F461" s="6">
        <v>102.2369</v>
      </c>
      <c r="G461" s="6">
        <v>0.23</v>
      </c>
    </row>
    <row r="462" ht="30" customHeight="1" spans="1:7">
      <c r="A462" s="4" t="s">
        <v>2047</v>
      </c>
      <c r="B462" s="5" t="s">
        <v>2048</v>
      </c>
      <c r="C462" s="4" t="s">
        <v>9</v>
      </c>
      <c r="D462" s="475">
        <v>43634.41</v>
      </c>
      <c r="E462" s="476">
        <v>0.04722</v>
      </c>
      <c r="F462" s="6">
        <v>106.8921</v>
      </c>
      <c r="G462" s="6">
        <v>0.22</v>
      </c>
    </row>
    <row r="463" ht="30" customHeight="1" spans="1:7">
      <c r="A463" s="4" t="s">
        <v>2049</v>
      </c>
      <c r="B463" s="5" t="s">
        <v>2050</v>
      </c>
      <c r="C463" s="4" t="s">
        <v>9</v>
      </c>
      <c r="D463" s="475">
        <v>43437.8</v>
      </c>
      <c r="E463" s="476">
        <v>0.04722</v>
      </c>
      <c r="F463" s="6">
        <v>106.8921</v>
      </c>
      <c r="G463" s="6">
        <v>0.22</v>
      </c>
    </row>
    <row r="464" ht="30" customHeight="1" spans="1:7">
      <c r="A464" s="4" t="s">
        <v>2051</v>
      </c>
      <c r="B464" s="5" t="s">
        <v>2052</v>
      </c>
      <c r="C464" s="4" t="s">
        <v>9</v>
      </c>
      <c r="D464" s="475">
        <v>44873.86</v>
      </c>
      <c r="E464" s="476">
        <v>0.04722</v>
      </c>
      <c r="F464" s="6">
        <v>117.5992</v>
      </c>
      <c r="G464" s="6">
        <v>0.2</v>
      </c>
    </row>
    <row r="465" ht="30" customHeight="1" spans="1:7">
      <c r="A465" s="4" t="s">
        <v>2053</v>
      </c>
      <c r="B465" s="5" t="s">
        <v>2054</v>
      </c>
      <c r="C465" s="4" t="s">
        <v>9</v>
      </c>
      <c r="D465" s="475">
        <v>44671.1</v>
      </c>
      <c r="E465" s="476">
        <v>0.04722</v>
      </c>
      <c r="F465" s="6">
        <v>117.5992</v>
      </c>
      <c r="G465" s="6">
        <v>0.2</v>
      </c>
    </row>
    <row r="466" ht="30" customHeight="1" spans="1:7">
      <c r="A466" s="4" t="s">
        <v>2055</v>
      </c>
      <c r="B466" s="5" t="s">
        <v>2056</v>
      </c>
      <c r="C466" s="4" t="s">
        <v>9</v>
      </c>
      <c r="D466" s="475">
        <v>5813.6</v>
      </c>
      <c r="E466" s="476">
        <v>0</v>
      </c>
      <c r="F466" s="6">
        <v>0</v>
      </c>
      <c r="G466" s="6">
        <v>0.2875</v>
      </c>
    </row>
    <row r="467" ht="30" customHeight="1" spans="1:7">
      <c r="A467" s="4" t="s">
        <v>2057</v>
      </c>
      <c r="B467" s="5" t="s">
        <v>2058</v>
      </c>
      <c r="C467" s="4" t="s">
        <v>9</v>
      </c>
      <c r="D467" s="475">
        <v>5263.1</v>
      </c>
      <c r="E467" s="476">
        <v>0</v>
      </c>
      <c r="F467" s="6">
        <v>0</v>
      </c>
      <c r="G467" s="6">
        <v>0.2875</v>
      </c>
    </row>
    <row r="468" ht="30" customHeight="1" spans="1:7">
      <c r="A468" s="4" t="s">
        <v>2059</v>
      </c>
      <c r="B468" s="5" t="s">
        <v>2060</v>
      </c>
      <c r="C468" s="4" t="s">
        <v>9</v>
      </c>
      <c r="D468" s="475">
        <v>6336.72</v>
      </c>
      <c r="E468" s="476">
        <v>0</v>
      </c>
      <c r="F468" s="6">
        <v>0</v>
      </c>
      <c r="G468" s="6">
        <v>0.2875</v>
      </c>
    </row>
    <row r="469" ht="30" customHeight="1" spans="1:7">
      <c r="A469" s="4" t="s">
        <v>2061</v>
      </c>
      <c r="B469" s="5" t="s">
        <v>2062</v>
      </c>
      <c r="C469" s="4" t="s">
        <v>9</v>
      </c>
      <c r="D469" s="475">
        <v>5786.22</v>
      </c>
      <c r="E469" s="476">
        <v>0</v>
      </c>
      <c r="F469" s="6">
        <v>0</v>
      </c>
      <c r="G469" s="6">
        <v>0.2875</v>
      </c>
    </row>
    <row r="470" ht="30" customHeight="1" spans="1:7">
      <c r="A470" s="4" t="s">
        <v>2063</v>
      </c>
      <c r="B470" s="5" t="s">
        <v>2064</v>
      </c>
      <c r="C470" s="4" t="s">
        <v>9</v>
      </c>
      <c r="D470" s="475">
        <v>7262.2</v>
      </c>
      <c r="E470" s="476">
        <v>0</v>
      </c>
      <c r="F470" s="6">
        <v>0</v>
      </c>
      <c r="G470" s="6">
        <v>0.2875</v>
      </c>
    </row>
    <row r="471" ht="30" customHeight="1" spans="1:7">
      <c r="A471" s="4" t="s">
        <v>2065</v>
      </c>
      <c r="B471" s="5" t="s">
        <v>2066</v>
      </c>
      <c r="C471" s="4" t="s">
        <v>9</v>
      </c>
      <c r="D471" s="475">
        <v>6711.7</v>
      </c>
      <c r="E471" s="476">
        <v>0</v>
      </c>
      <c r="F471" s="6">
        <v>0</v>
      </c>
      <c r="G471" s="6">
        <v>0.2875</v>
      </c>
    </row>
    <row r="472" ht="30" customHeight="1" spans="1:7">
      <c r="A472" s="4" t="s">
        <v>2067</v>
      </c>
      <c r="B472" s="5" t="s">
        <v>2068</v>
      </c>
      <c r="C472" s="4" t="s">
        <v>9</v>
      </c>
      <c r="D472" s="475">
        <v>5606.56</v>
      </c>
      <c r="E472" s="476">
        <v>0</v>
      </c>
      <c r="F472" s="6">
        <v>0</v>
      </c>
      <c r="G472" s="6">
        <v>0.2875</v>
      </c>
    </row>
    <row r="473" ht="30" customHeight="1" spans="1:7">
      <c r="A473" s="4" t="s">
        <v>2069</v>
      </c>
      <c r="B473" s="5" t="s">
        <v>2070</v>
      </c>
      <c r="C473" s="4" t="s">
        <v>9</v>
      </c>
      <c r="D473" s="475">
        <v>5115.71</v>
      </c>
      <c r="E473" s="476">
        <v>0</v>
      </c>
      <c r="F473" s="6">
        <v>0</v>
      </c>
      <c r="G473" s="6">
        <v>0.2875</v>
      </c>
    </row>
    <row r="474" ht="30" customHeight="1" spans="1:7">
      <c r="A474" s="4" t="s">
        <v>2071</v>
      </c>
      <c r="B474" s="5" t="s">
        <v>2072</v>
      </c>
      <c r="C474" s="4" t="s">
        <v>9</v>
      </c>
      <c r="D474" s="475">
        <v>6129.68</v>
      </c>
      <c r="E474" s="476">
        <v>0</v>
      </c>
      <c r="F474" s="6">
        <v>0</v>
      </c>
      <c r="G474" s="6">
        <v>0.2875</v>
      </c>
    </row>
    <row r="475" ht="30" customHeight="1" spans="1:7">
      <c r="A475" s="4" t="s">
        <v>2073</v>
      </c>
      <c r="B475" s="5" t="s">
        <v>2074</v>
      </c>
      <c r="C475" s="4" t="s">
        <v>9</v>
      </c>
      <c r="D475" s="475">
        <v>5638.84</v>
      </c>
      <c r="E475" s="476">
        <v>0</v>
      </c>
      <c r="F475" s="6">
        <v>0</v>
      </c>
      <c r="G475" s="6">
        <v>0.2875</v>
      </c>
    </row>
    <row r="476" ht="30" customHeight="1" spans="1:7">
      <c r="A476" s="4" t="s">
        <v>2075</v>
      </c>
      <c r="B476" s="5" t="s">
        <v>2076</v>
      </c>
      <c r="C476" s="4" t="s">
        <v>9</v>
      </c>
      <c r="D476" s="475">
        <v>7055.16</v>
      </c>
      <c r="E476" s="476">
        <v>0</v>
      </c>
      <c r="F476" s="6">
        <v>0</v>
      </c>
      <c r="G476" s="6">
        <v>0.2875</v>
      </c>
    </row>
    <row r="477" ht="30" customHeight="1" spans="1:7">
      <c r="A477" s="4" t="s">
        <v>2077</v>
      </c>
      <c r="B477" s="5" t="s">
        <v>2078</v>
      </c>
      <c r="C477" s="4" t="s">
        <v>9</v>
      </c>
      <c r="D477" s="475">
        <v>6564.32</v>
      </c>
      <c r="E477" s="476">
        <v>0</v>
      </c>
      <c r="F477" s="6">
        <v>0</v>
      </c>
      <c r="G477" s="6">
        <v>0.2875</v>
      </c>
    </row>
    <row r="478" ht="30" customHeight="1" spans="1:7">
      <c r="A478" s="4" t="s">
        <v>2079</v>
      </c>
      <c r="B478" s="5" t="s">
        <v>2080</v>
      </c>
      <c r="C478" s="4" t="s">
        <v>9</v>
      </c>
      <c r="D478" s="475">
        <v>6600.86</v>
      </c>
      <c r="E478" s="476">
        <v>0</v>
      </c>
      <c r="F478" s="6">
        <v>0</v>
      </c>
      <c r="G478" s="6">
        <v>0.2875</v>
      </c>
    </row>
    <row r="479" ht="30" customHeight="1" spans="1:7">
      <c r="A479" s="4" t="s">
        <v>2081</v>
      </c>
      <c r="B479" s="5" t="s">
        <v>2082</v>
      </c>
      <c r="C479" s="4" t="s">
        <v>9</v>
      </c>
      <c r="D479" s="475">
        <v>6007.59</v>
      </c>
      <c r="E479" s="476">
        <v>0</v>
      </c>
      <c r="F479" s="6">
        <v>0</v>
      </c>
      <c r="G479" s="6">
        <v>0.2875</v>
      </c>
    </row>
    <row r="480" ht="30" customHeight="1" spans="1:7">
      <c r="A480" s="4" t="s">
        <v>2083</v>
      </c>
      <c r="B480" s="5" t="s">
        <v>2084</v>
      </c>
      <c r="C480" s="4" t="s">
        <v>9</v>
      </c>
      <c r="D480" s="475">
        <v>7284.13</v>
      </c>
      <c r="E480" s="476">
        <v>0</v>
      </c>
      <c r="F480" s="6">
        <v>0</v>
      </c>
      <c r="G480" s="6">
        <v>0.2875</v>
      </c>
    </row>
    <row r="481" ht="30" customHeight="1" spans="1:7">
      <c r="A481" s="4" t="s">
        <v>2085</v>
      </c>
      <c r="B481" s="5" t="s">
        <v>2086</v>
      </c>
      <c r="C481" s="4" t="s">
        <v>9</v>
      </c>
      <c r="D481" s="475">
        <v>6690.86</v>
      </c>
      <c r="E481" s="476">
        <v>0</v>
      </c>
      <c r="F481" s="6">
        <v>0</v>
      </c>
      <c r="G481" s="6">
        <v>0.2875</v>
      </c>
    </row>
    <row r="482" ht="30" customHeight="1" spans="1:7">
      <c r="A482" s="4" t="s">
        <v>2087</v>
      </c>
      <c r="B482" s="5" t="s">
        <v>2088</v>
      </c>
      <c r="C482" s="4" t="s">
        <v>9</v>
      </c>
      <c r="D482" s="475">
        <v>8492.92</v>
      </c>
      <c r="E482" s="476">
        <v>0</v>
      </c>
      <c r="F482" s="6">
        <v>0</v>
      </c>
      <c r="G482" s="6">
        <v>0.2875</v>
      </c>
    </row>
    <row r="483" ht="30" customHeight="1" spans="1:7">
      <c r="A483" s="4" t="s">
        <v>2089</v>
      </c>
      <c r="B483" s="5" t="s">
        <v>2090</v>
      </c>
      <c r="C483" s="4" t="s">
        <v>9</v>
      </c>
      <c r="D483" s="475">
        <v>7899.65</v>
      </c>
      <c r="E483" s="476">
        <v>0</v>
      </c>
      <c r="F483" s="6">
        <v>0</v>
      </c>
      <c r="G483" s="6">
        <v>0.2875</v>
      </c>
    </row>
    <row r="484" ht="30" customHeight="1" spans="1:7">
      <c r="A484" s="4" t="s">
        <v>2091</v>
      </c>
      <c r="B484" s="5" t="s">
        <v>2092</v>
      </c>
      <c r="C484" s="4" t="s">
        <v>9</v>
      </c>
      <c r="D484" s="475">
        <v>6367.5</v>
      </c>
      <c r="E484" s="476">
        <v>0</v>
      </c>
      <c r="F484" s="6">
        <v>0</v>
      </c>
      <c r="G484" s="6">
        <v>0.2875</v>
      </c>
    </row>
    <row r="485" ht="30" customHeight="1" spans="1:7">
      <c r="A485" s="4" t="s">
        <v>2093</v>
      </c>
      <c r="B485" s="5" t="s">
        <v>2094</v>
      </c>
      <c r="C485" s="4" t="s">
        <v>9</v>
      </c>
      <c r="D485" s="475">
        <v>5840.25</v>
      </c>
      <c r="E485" s="476">
        <v>0</v>
      </c>
      <c r="F485" s="6">
        <v>0</v>
      </c>
      <c r="G485" s="6">
        <v>0.2875</v>
      </c>
    </row>
    <row r="486" ht="30" customHeight="1" spans="1:7">
      <c r="A486" s="4" t="s">
        <v>2095</v>
      </c>
      <c r="B486" s="5" t="s">
        <v>2096</v>
      </c>
      <c r="C486" s="4" t="s">
        <v>9</v>
      </c>
      <c r="D486" s="475">
        <v>7050.77</v>
      </c>
      <c r="E486" s="476">
        <v>0</v>
      </c>
      <c r="F486" s="6">
        <v>0</v>
      </c>
      <c r="G486" s="6">
        <v>0.2875</v>
      </c>
    </row>
    <row r="487" ht="30" customHeight="1" spans="1:7">
      <c r="A487" s="4" t="s">
        <v>2097</v>
      </c>
      <c r="B487" s="5" t="s">
        <v>2098</v>
      </c>
      <c r="C487" s="4" t="s">
        <v>9</v>
      </c>
      <c r="D487" s="475">
        <v>6523.51</v>
      </c>
      <c r="E487" s="476">
        <v>0</v>
      </c>
      <c r="F487" s="6">
        <v>0</v>
      </c>
      <c r="G487" s="6">
        <v>0.2875</v>
      </c>
    </row>
    <row r="488" ht="30" customHeight="1" spans="1:7">
      <c r="A488" s="4" t="s">
        <v>2099</v>
      </c>
      <c r="B488" s="5" t="s">
        <v>2100</v>
      </c>
      <c r="C488" s="4" t="s">
        <v>9</v>
      </c>
      <c r="D488" s="475">
        <v>8259.56</v>
      </c>
      <c r="E488" s="476">
        <v>0</v>
      </c>
      <c r="F488" s="6">
        <v>0</v>
      </c>
      <c r="G488" s="6">
        <v>0.2875</v>
      </c>
    </row>
    <row r="489" ht="30" customHeight="1" spans="1:7">
      <c r="A489" s="4" t="s">
        <v>2101</v>
      </c>
      <c r="B489" s="5" t="s">
        <v>2102</v>
      </c>
      <c r="C489" s="4" t="s">
        <v>9</v>
      </c>
      <c r="D489" s="475">
        <v>7732.3</v>
      </c>
      <c r="E489" s="476">
        <v>0</v>
      </c>
      <c r="F489" s="6">
        <v>0</v>
      </c>
      <c r="G489" s="6">
        <v>0.2875</v>
      </c>
    </row>
    <row r="490" ht="30" customHeight="1" spans="1:7">
      <c r="A490" s="4" t="s">
        <v>2103</v>
      </c>
      <c r="B490" s="5" t="s">
        <v>2104</v>
      </c>
      <c r="C490" s="4" t="s">
        <v>9</v>
      </c>
      <c r="D490" s="475">
        <v>7921.51</v>
      </c>
      <c r="E490" s="476">
        <v>0</v>
      </c>
      <c r="F490" s="6">
        <v>0</v>
      </c>
      <c r="G490" s="6">
        <v>0.21563</v>
      </c>
    </row>
    <row r="491" ht="30" customHeight="1" spans="1:7">
      <c r="A491" s="4" t="s">
        <v>2105</v>
      </c>
      <c r="B491" s="5" t="s">
        <v>2106</v>
      </c>
      <c r="C491" s="4" t="s">
        <v>9</v>
      </c>
      <c r="D491" s="475">
        <v>7297.37</v>
      </c>
      <c r="E491" s="476">
        <v>0</v>
      </c>
      <c r="F491" s="6">
        <v>0</v>
      </c>
      <c r="G491" s="6">
        <v>0.21563</v>
      </c>
    </row>
    <row r="492" ht="30" customHeight="1" spans="1:7">
      <c r="A492" s="4" t="s">
        <v>2107</v>
      </c>
      <c r="B492" s="5" t="s">
        <v>2108</v>
      </c>
      <c r="C492" s="4" t="s">
        <v>9</v>
      </c>
      <c r="D492" s="475">
        <v>8786.27</v>
      </c>
      <c r="E492" s="476">
        <v>0</v>
      </c>
      <c r="F492" s="6">
        <v>0</v>
      </c>
      <c r="G492" s="6">
        <v>0.21563</v>
      </c>
    </row>
    <row r="493" ht="30" customHeight="1" spans="1:7">
      <c r="A493" s="4" t="s">
        <v>2109</v>
      </c>
      <c r="B493" s="5" t="s">
        <v>2110</v>
      </c>
      <c r="C493" s="4" t="s">
        <v>9</v>
      </c>
      <c r="D493" s="475">
        <v>8162.13</v>
      </c>
      <c r="E493" s="476">
        <v>0</v>
      </c>
      <c r="F493" s="6">
        <v>0</v>
      </c>
      <c r="G493" s="6">
        <v>0.21563</v>
      </c>
    </row>
    <row r="494" ht="30" customHeight="1" spans="1:7">
      <c r="A494" s="4" t="s">
        <v>2111</v>
      </c>
      <c r="B494" s="5" t="s">
        <v>2112</v>
      </c>
      <c r="C494" s="4" t="s">
        <v>9</v>
      </c>
      <c r="D494" s="475">
        <v>10316.14</v>
      </c>
      <c r="E494" s="476">
        <v>0</v>
      </c>
      <c r="F494" s="6">
        <v>0</v>
      </c>
      <c r="G494" s="6">
        <v>0.21563</v>
      </c>
    </row>
    <row r="495" ht="30" customHeight="1" spans="1:7">
      <c r="A495" s="4" t="s">
        <v>2113</v>
      </c>
      <c r="B495" s="5" t="s">
        <v>2114</v>
      </c>
      <c r="C495" s="4" t="s">
        <v>9</v>
      </c>
      <c r="D495" s="475">
        <v>9692</v>
      </c>
      <c r="E495" s="476">
        <v>0</v>
      </c>
      <c r="F495" s="6">
        <v>0</v>
      </c>
      <c r="G495" s="6">
        <v>0.21563</v>
      </c>
    </row>
    <row r="496" ht="30" customHeight="1" spans="1:7">
      <c r="A496" s="4" t="s">
        <v>2115</v>
      </c>
      <c r="B496" s="5" t="s">
        <v>2116</v>
      </c>
      <c r="C496" s="4" t="s">
        <v>9</v>
      </c>
      <c r="D496" s="475">
        <v>7649.55</v>
      </c>
      <c r="E496" s="476">
        <v>0</v>
      </c>
      <c r="F496" s="6">
        <v>0</v>
      </c>
      <c r="G496" s="6">
        <v>0.21563</v>
      </c>
    </row>
    <row r="497" ht="30" customHeight="1" spans="1:7">
      <c r="A497" s="4" t="s">
        <v>2117</v>
      </c>
      <c r="B497" s="5" t="s">
        <v>2118</v>
      </c>
      <c r="C497" s="4" t="s">
        <v>9</v>
      </c>
      <c r="D497" s="475">
        <v>7099.32</v>
      </c>
      <c r="E497" s="476">
        <v>0</v>
      </c>
      <c r="F497" s="6">
        <v>0</v>
      </c>
      <c r="G497" s="6">
        <v>0.21563</v>
      </c>
    </row>
    <row r="498" ht="30" customHeight="1" spans="1:7">
      <c r="A498" s="4" t="s">
        <v>2119</v>
      </c>
      <c r="B498" s="5" t="s">
        <v>2120</v>
      </c>
      <c r="C498" s="4" t="s">
        <v>9</v>
      </c>
      <c r="D498" s="475">
        <v>8514.31</v>
      </c>
      <c r="E498" s="476">
        <v>0</v>
      </c>
      <c r="F498" s="6">
        <v>0</v>
      </c>
      <c r="G498" s="6">
        <v>0.21563</v>
      </c>
    </row>
    <row r="499" ht="30" customHeight="1" spans="1:7">
      <c r="A499" s="4" t="s">
        <v>2121</v>
      </c>
      <c r="B499" s="5" t="s">
        <v>2122</v>
      </c>
      <c r="C499" s="4" t="s">
        <v>9</v>
      </c>
      <c r="D499" s="475">
        <v>7964.08</v>
      </c>
      <c r="E499" s="476">
        <v>0</v>
      </c>
      <c r="F499" s="6">
        <v>0</v>
      </c>
      <c r="G499" s="6">
        <v>0.21563</v>
      </c>
    </row>
    <row r="500" ht="30" customHeight="1" spans="1:7">
      <c r="A500" s="4" t="s">
        <v>2123</v>
      </c>
      <c r="B500" s="5" t="s">
        <v>2124</v>
      </c>
      <c r="C500" s="4" t="s">
        <v>9</v>
      </c>
      <c r="D500" s="475">
        <v>10044.18</v>
      </c>
      <c r="E500" s="476">
        <v>0</v>
      </c>
      <c r="F500" s="6">
        <v>0</v>
      </c>
      <c r="G500" s="6">
        <v>0.21563</v>
      </c>
    </row>
    <row r="501" ht="30" customHeight="1" spans="1:7">
      <c r="A501" s="4" t="s">
        <v>2125</v>
      </c>
      <c r="B501" s="5" t="s">
        <v>2126</v>
      </c>
      <c r="C501" s="4" t="s">
        <v>9</v>
      </c>
      <c r="D501" s="475">
        <v>9493.96</v>
      </c>
      <c r="E501" s="476">
        <v>0</v>
      </c>
      <c r="F501" s="6">
        <v>0</v>
      </c>
      <c r="G501" s="6">
        <v>0.21563</v>
      </c>
    </row>
    <row r="502" ht="30" customHeight="1" spans="1:7">
      <c r="A502" s="4" t="s">
        <v>2127</v>
      </c>
      <c r="B502" s="5" t="s">
        <v>2128</v>
      </c>
      <c r="C502" s="4" t="s">
        <v>9</v>
      </c>
      <c r="D502" s="475">
        <v>9007.62</v>
      </c>
      <c r="E502" s="476">
        <v>0</v>
      </c>
      <c r="F502" s="6">
        <v>0</v>
      </c>
      <c r="G502" s="6">
        <v>0.21563</v>
      </c>
    </row>
    <row r="503" ht="30" customHeight="1" spans="1:7">
      <c r="A503" s="4" t="s">
        <v>2129</v>
      </c>
      <c r="B503" s="5" t="s">
        <v>2130</v>
      </c>
      <c r="C503" s="4" t="s">
        <v>9</v>
      </c>
      <c r="D503" s="475">
        <v>8295.33</v>
      </c>
      <c r="E503" s="476">
        <v>0</v>
      </c>
      <c r="F503" s="6">
        <v>0</v>
      </c>
      <c r="G503" s="6">
        <v>0.21563</v>
      </c>
    </row>
    <row r="504" ht="30" customHeight="1" spans="1:7">
      <c r="A504" s="4" t="s">
        <v>2131</v>
      </c>
      <c r="B504" s="5" t="s">
        <v>2132</v>
      </c>
      <c r="C504" s="4" t="s">
        <v>9</v>
      </c>
      <c r="D504" s="475">
        <v>10075.22</v>
      </c>
      <c r="E504" s="476">
        <v>0</v>
      </c>
      <c r="F504" s="6">
        <v>0</v>
      </c>
      <c r="G504" s="6">
        <v>0.21563</v>
      </c>
    </row>
    <row r="505" ht="30" customHeight="1" spans="1:7">
      <c r="A505" s="4" t="s">
        <v>2133</v>
      </c>
      <c r="B505" s="5" t="s">
        <v>2134</v>
      </c>
      <c r="C505" s="4" t="s">
        <v>9</v>
      </c>
      <c r="D505" s="475">
        <v>9362.94</v>
      </c>
      <c r="E505" s="476">
        <v>0</v>
      </c>
      <c r="F505" s="6">
        <v>0</v>
      </c>
      <c r="G505" s="6">
        <v>0.21563</v>
      </c>
    </row>
    <row r="506" ht="30" customHeight="1" spans="1:7">
      <c r="A506" s="4" t="s">
        <v>2135</v>
      </c>
      <c r="B506" s="5" t="s">
        <v>2136</v>
      </c>
      <c r="C506" s="4" t="s">
        <v>9</v>
      </c>
      <c r="D506" s="475">
        <v>11963.95</v>
      </c>
      <c r="E506" s="476">
        <v>0</v>
      </c>
      <c r="F506" s="6">
        <v>0</v>
      </c>
      <c r="G506" s="6">
        <v>0.21563</v>
      </c>
    </row>
    <row r="507" ht="30" customHeight="1" spans="1:7">
      <c r="A507" s="4" t="s">
        <v>2137</v>
      </c>
      <c r="B507" s="5" t="s">
        <v>2138</v>
      </c>
      <c r="C507" s="4" t="s">
        <v>9</v>
      </c>
      <c r="D507" s="475">
        <v>11251.67</v>
      </c>
      <c r="E507" s="476">
        <v>0</v>
      </c>
      <c r="F507" s="6">
        <v>0</v>
      </c>
      <c r="G507" s="6">
        <v>0.21563</v>
      </c>
    </row>
    <row r="508" ht="30" customHeight="1" spans="1:7">
      <c r="A508" s="4" t="s">
        <v>2139</v>
      </c>
      <c r="B508" s="5" t="s">
        <v>2140</v>
      </c>
      <c r="C508" s="4" t="s">
        <v>9</v>
      </c>
      <c r="D508" s="475">
        <v>8697.06</v>
      </c>
      <c r="E508" s="476">
        <v>0</v>
      </c>
      <c r="F508" s="6">
        <v>0</v>
      </c>
      <c r="G508" s="6">
        <v>0.21563</v>
      </c>
    </row>
    <row r="509" ht="30" customHeight="1" spans="1:7">
      <c r="A509" s="4" t="s">
        <v>2141</v>
      </c>
      <c r="B509" s="5" t="s">
        <v>2142</v>
      </c>
      <c r="C509" s="4" t="s">
        <v>9</v>
      </c>
      <c r="D509" s="475">
        <v>8069.65</v>
      </c>
      <c r="E509" s="476">
        <v>0</v>
      </c>
      <c r="F509" s="6">
        <v>0</v>
      </c>
      <c r="G509" s="6">
        <v>0.21563</v>
      </c>
    </row>
    <row r="510" ht="30" customHeight="1" spans="1:7">
      <c r="A510" s="4" t="s">
        <v>2143</v>
      </c>
      <c r="B510" s="5" t="s">
        <v>2144</v>
      </c>
      <c r="C510" s="4" t="s">
        <v>9</v>
      </c>
      <c r="D510" s="475">
        <v>9764.66</v>
      </c>
      <c r="E510" s="476">
        <v>0</v>
      </c>
      <c r="F510" s="6">
        <v>0</v>
      </c>
      <c r="G510" s="6">
        <v>0.21563</v>
      </c>
    </row>
    <row r="511" ht="30" customHeight="1" spans="1:7">
      <c r="A511" s="4" t="s">
        <v>2145</v>
      </c>
      <c r="B511" s="5" t="s">
        <v>2146</v>
      </c>
      <c r="C511" s="4" t="s">
        <v>9</v>
      </c>
      <c r="D511" s="475">
        <v>9137.26</v>
      </c>
      <c r="E511" s="476">
        <v>0</v>
      </c>
      <c r="F511" s="6">
        <v>0</v>
      </c>
      <c r="G511" s="6">
        <v>0.21563</v>
      </c>
    </row>
    <row r="512" ht="30" customHeight="1" spans="1:7">
      <c r="A512" s="4" t="s">
        <v>2147</v>
      </c>
      <c r="B512" s="5" t="s">
        <v>2148</v>
      </c>
      <c r="C512" s="4" t="s">
        <v>9</v>
      </c>
      <c r="D512" s="475">
        <v>11653.39</v>
      </c>
      <c r="E512" s="476">
        <v>0</v>
      </c>
      <c r="F512" s="6">
        <v>0</v>
      </c>
      <c r="G512" s="6">
        <v>0.21563</v>
      </c>
    </row>
    <row r="513" ht="30" customHeight="1" spans="1:7">
      <c r="A513" s="4" t="s">
        <v>2149</v>
      </c>
      <c r="B513" s="5" t="s">
        <v>2150</v>
      </c>
      <c r="C513" s="4" t="s">
        <v>9</v>
      </c>
      <c r="D513" s="475">
        <v>11025.99</v>
      </c>
      <c r="E513" s="476">
        <v>0</v>
      </c>
      <c r="F513" s="6">
        <v>0</v>
      </c>
      <c r="G513" s="6">
        <v>0.21563</v>
      </c>
    </row>
    <row r="514" ht="30" customHeight="1" spans="1:7">
      <c r="A514" s="4" t="s">
        <v>2151</v>
      </c>
      <c r="B514" s="5" t="s">
        <v>2152</v>
      </c>
      <c r="C514" s="4" t="s">
        <v>9</v>
      </c>
      <c r="D514" s="475">
        <v>10235.01</v>
      </c>
      <c r="E514" s="476">
        <v>0</v>
      </c>
      <c r="F514" s="6">
        <v>0</v>
      </c>
      <c r="G514" s="6">
        <v>0.21563</v>
      </c>
    </row>
    <row r="515" ht="30" customHeight="1" spans="1:7">
      <c r="A515" s="4" t="s">
        <v>2153</v>
      </c>
      <c r="B515" s="5" t="s">
        <v>2154</v>
      </c>
      <c r="C515" s="4" t="s">
        <v>9</v>
      </c>
      <c r="D515" s="475">
        <v>9452</v>
      </c>
      <c r="E515" s="476">
        <v>0</v>
      </c>
      <c r="F515" s="6">
        <v>0</v>
      </c>
      <c r="G515" s="6">
        <v>0.21563</v>
      </c>
    </row>
    <row r="516" ht="30" customHeight="1" spans="1:7">
      <c r="A516" s="4" t="s">
        <v>2155</v>
      </c>
      <c r="B516" s="5" t="s">
        <v>2156</v>
      </c>
      <c r="C516" s="4" t="s">
        <v>9</v>
      </c>
      <c r="D516" s="475">
        <v>11526.81</v>
      </c>
      <c r="E516" s="476">
        <v>0</v>
      </c>
      <c r="F516" s="6">
        <v>0</v>
      </c>
      <c r="G516" s="6">
        <v>0.21563</v>
      </c>
    </row>
    <row r="517" ht="30" customHeight="1" spans="1:7">
      <c r="A517" s="4" t="s">
        <v>2157</v>
      </c>
      <c r="B517" s="5" t="s">
        <v>2158</v>
      </c>
      <c r="C517" s="4" t="s">
        <v>9</v>
      </c>
      <c r="D517" s="475">
        <v>10743.81</v>
      </c>
      <c r="E517" s="476">
        <v>0</v>
      </c>
      <c r="F517" s="6">
        <v>0</v>
      </c>
      <c r="G517" s="6">
        <v>0.21563</v>
      </c>
    </row>
    <row r="518" ht="30" customHeight="1" spans="1:7">
      <c r="A518" s="4" t="s">
        <v>2159</v>
      </c>
      <c r="B518" s="5" t="s">
        <v>2160</v>
      </c>
      <c r="C518" s="4" t="s">
        <v>9</v>
      </c>
      <c r="D518" s="475">
        <v>13812.18</v>
      </c>
      <c r="E518" s="476">
        <v>0</v>
      </c>
      <c r="F518" s="6">
        <v>0</v>
      </c>
      <c r="G518" s="6">
        <v>0.21563</v>
      </c>
    </row>
    <row r="519" ht="30" customHeight="1" spans="1:7">
      <c r="A519" s="4" t="s">
        <v>2161</v>
      </c>
      <c r="B519" s="5" t="s">
        <v>2162</v>
      </c>
      <c r="C519" s="4" t="s">
        <v>9</v>
      </c>
      <c r="D519" s="475">
        <v>13029.17</v>
      </c>
      <c r="E519" s="476">
        <v>0</v>
      </c>
      <c r="F519" s="6">
        <v>0</v>
      </c>
      <c r="G519" s="6">
        <v>0.21563</v>
      </c>
    </row>
    <row r="520" ht="30" customHeight="1" spans="1:7">
      <c r="A520" s="4" t="s">
        <v>2163</v>
      </c>
      <c r="B520" s="5" t="s">
        <v>2164</v>
      </c>
      <c r="C520" s="4" t="s">
        <v>9</v>
      </c>
      <c r="D520" s="475">
        <v>9892.86</v>
      </c>
      <c r="E520" s="476">
        <v>0</v>
      </c>
      <c r="F520" s="6">
        <v>0</v>
      </c>
      <c r="G520" s="6">
        <v>0.21563</v>
      </c>
    </row>
    <row r="521" ht="30" customHeight="1" spans="1:7">
      <c r="A521" s="4" t="s">
        <v>2165</v>
      </c>
      <c r="B521" s="5" t="s">
        <v>2166</v>
      </c>
      <c r="C521" s="4" t="s">
        <v>9</v>
      </c>
      <c r="D521" s="475">
        <v>9203.29</v>
      </c>
      <c r="E521" s="476">
        <v>0</v>
      </c>
      <c r="F521" s="6">
        <v>0</v>
      </c>
      <c r="G521" s="6">
        <v>0.21563</v>
      </c>
    </row>
    <row r="522" ht="30" customHeight="1" spans="1:7">
      <c r="A522" s="4" t="s">
        <v>2167</v>
      </c>
      <c r="B522" s="5" t="s">
        <v>2168</v>
      </c>
      <c r="C522" s="4" t="s">
        <v>9</v>
      </c>
      <c r="D522" s="475">
        <v>11184.67</v>
      </c>
      <c r="E522" s="476">
        <v>0</v>
      </c>
      <c r="F522" s="6">
        <v>0</v>
      </c>
      <c r="G522" s="6">
        <v>0.21563</v>
      </c>
    </row>
    <row r="523" ht="30" customHeight="1" spans="1:7">
      <c r="A523" s="4" t="s">
        <v>2169</v>
      </c>
      <c r="B523" s="5" t="s">
        <v>2170</v>
      </c>
      <c r="C523" s="4" t="s">
        <v>9</v>
      </c>
      <c r="D523" s="475">
        <v>10495.09</v>
      </c>
      <c r="E523" s="476">
        <v>0</v>
      </c>
      <c r="F523" s="6">
        <v>0</v>
      </c>
      <c r="G523" s="6">
        <v>0.21563</v>
      </c>
    </row>
    <row r="524" ht="30" customHeight="1" spans="1:7">
      <c r="A524" s="4" t="s">
        <v>2171</v>
      </c>
      <c r="B524" s="5" t="s">
        <v>2172</v>
      </c>
      <c r="C524" s="4" t="s">
        <v>9</v>
      </c>
      <c r="D524" s="475">
        <v>13470.03</v>
      </c>
      <c r="E524" s="476">
        <v>0</v>
      </c>
      <c r="F524" s="6">
        <v>0</v>
      </c>
      <c r="G524" s="6">
        <v>0.21563</v>
      </c>
    </row>
    <row r="525" ht="30" customHeight="1" spans="1:7">
      <c r="A525" s="4" t="s">
        <v>2173</v>
      </c>
      <c r="B525" s="5" t="s">
        <v>2174</v>
      </c>
      <c r="C525" s="4" t="s">
        <v>9</v>
      </c>
      <c r="D525" s="475">
        <v>12780.46</v>
      </c>
      <c r="E525" s="476">
        <v>0</v>
      </c>
      <c r="F525" s="6">
        <v>0</v>
      </c>
      <c r="G525" s="6">
        <v>0.21563</v>
      </c>
    </row>
    <row r="526" ht="30" customHeight="1" spans="1:7">
      <c r="A526" s="4" t="s">
        <v>2175</v>
      </c>
      <c r="B526" s="5" t="s">
        <v>2176</v>
      </c>
      <c r="C526" s="4" t="s">
        <v>9</v>
      </c>
      <c r="D526" s="475">
        <v>13006.71</v>
      </c>
      <c r="E526" s="476">
        <v>0</v>
      </c>
      <c r="F526" s="6">
        <v>0</v>
      </c>
      <c r="G526" s="6">
        <v>0.17969</v>
      </c>
    </row>
    <row r="527" ht="30" customHeight="1" spans="1:7">
      <c r="A527" s="4" t="s">
        <v>2177</v>
      </c>
      <c r="B527" s="5" t="s">
        <v>2178</v>
      </c>
      <c r="C527" s="4" t="s">
        <v>9</v>
      </c>
      <c r="D527" s="475">
        <v>10744.54</v>
      </c>
      <c r="E527" s="476">
        <v>0</v>
      </c>
      <c r="F527" s="6">
        <v>0</v>
      </c>
      <c r="G527" s="6">
        <v>0.17969</v>
      </c>
    </row>
    <row r="528" ht="30" customHeight="1" spans="1:7">
      <c r="A528" s="4" t="s">
        <v>2179</v>
      </c>
      <c r="B528" s="5" t="s">
        <v>2180</v>
      </c>
      <c r="C528" s="4" t="s">
        <v>9</v>
      </c>
      <c r="D528" s="475">
        <v>14544.06</v>
      </c>
      <c r="E528" s="476">
        <v>0</v>
      </c>
      <c r="F528" s="6">
        <v>0</v>
      </c>
      <c r="G528" s="6">
        <v>0.17969</v>
      </c>
    </row>
    <row r="529" ht="30" customHeight="1" spans="1:7">
      <c r="A529" s="4" t="s">
        <v>2181</v>
      </c>
      <c r="B529" s="5" t="s">
        <v>2182</v>
      </c>
      <c r="C529" s="4" t="s">
        <v>9</v>
      </c>
      <c r="D529" s="475">
        <v>12281.89</v>
      </c>
      <c r="E529" s="476">
        <v>0</v>
      </c>
      <c r="F529" s="6">
        <v>0</v>
      </c>
      <c r="G529" s="6">
        <v>0.17969</v>
      </c>
    </row>
    <row r="530" ht="30" customHeight="1" spans="1:7">
      <c r="A530" s="4" t="s">
        <v>2183</v>
      </c>
      <c r="B530" s="5" t="s">
        <v>2184</v>
      </c>
      <c r="C530" s="4" t="s">
        <v>9</v>
      </c>
      <c r="D530" s="475">
        <v>17263.83</v>
      </c>
      <c r="E530" s="476">
        <v>0</v>
      </c>
      <c r="F530" s="6">
        <v>0</v>
      </c>
      <c r="G530" s="6">
        <v>0.17969</v>
      </c>
    </row>
    <row r="531" ht="30" customHeight="1" spans="1:7">
      <c r="A531" s="4" t="s">
        <v>2185</v>
      </c>
      <c r="B531" s="5" t="s">
        <v>2186</v>
      </c>
      <c r="C531" s="4" t="s">
        <v>9</v>
      </c>
      <c r="D531" s="475">
        <v>15001.66</v>
      </c>
      <c r="E531" s="476">
        <v>0</v>
      </c>
      <c r="F531" s="6">
        <v>0</v>
      </c>
      <c r="G531" s="6">
        <v>0.17969</v>
      </c>
    </row>
    <row r="532" ht="30" customHeight="1" spans="1:7">
      <c r="A532" s="4" t="s">
        <v>2187</v>
      </c>
      <c r="B532" s="5" t="s">
        <v>2188</v>
      </c>
      <c r="C532" s="4" t="s">
        <v>9</v>
      </c>
      <c r="D532" s="475">
        <v>12457.72</v>
      </c>
      <c r="E532" s="476">
        <v>0</v>
      </c>
      <c r="F532" s="6">
        <v>0</v>
      </c>
      <c r="G532" s="6">
        <v>0.17969</v>
      </c>
    </row>
    <row r="533" ht="30" customHeight="1" spans="1:7">
      <c r="A533" s="4" t="s">
        <v>2189</v>
      </c>
      <c r="B533" s="5" t="s">
        <v>2190</v>
      </c>
      <c r="C533" s="4" t="s">
        <v>9</v>
      </c>
      <c r="D533" s="475">
        <v>10469.73</v>
      </c>
      <c r="E533" s="476">
        <v>0</v>
      </c>
      <c r="F533" s="6">
        <v>0</v>
      </c>
      <c r="G533" s="6">
        <v>0.17969</v>
      </c>
    </row>
    <row r="534" ht="30" customHeight="1" spans="1:7">
      <c r="A534" s="4" t="s">
        <v>2191</v>
      </c>
      <c r="B534" s="5" t="s">
        <v>2192</v>
      </c>
      <c r="C534" s="4" t="s">
        <v>9</v>
      </c>
      <c r="D534" s="475">
        <v>13995.07</v>
      </c>
      <c r="E534" s="476">
        <v>0</v>
      </c>
      <c r="F534" s="6">
        <v>0</v>
      </c>
      <c r="G534" s="6">
        <v>0.17969</v>
      </c>
    </row>
    <row r="535" ht="30" customHeight="1" spans="1:7">
      <c r="A535" s="4" t="s">
        <v>2193</v>
      </c>
      <c r="B535" s="5" t="s">
        <v>2194</v>
      </c>
      <c r="C535" s="4" t="s">
        <v>9</v>
      </c>
      <c r="D535" s="475">
        <v>12007.08</v>
      </c>
      <c r="E535" s="476">
        <v>0</v>
      </c>
      <c r="F535" s="6">
        <v>0</v>
      </c>
      <c r="G535" s="6">
        <v>0.17969</v>
      </c>
    </row>
    <row r="536" ht="30" customHeight="1" spans="1:7">
      <c r="A536" s="4" t="s">
        <v>2195</v>
      </c>
      <c r="B536" s="5" t="s">
        <v>2196</v>
      </c>
      <c r="C536" s="4" t="s">
        <v>9</v>
      </c>
      <c r="D536" s="475">
        <v>16714.84</v>
      </c>
      <c r="E536" s="476">
        <v>0</v>
      </c>
      <c r="F536" s="6">
        <v>0</v>
      </c>
      <c r="G536" s="6">
        <v>0.17969</v>
      </c>
    </row>
    <row r="537" ht="30" customHeight="1" spans="1:7">
      <c r="A537" s="4" t="s">
        <v>2197</v>
      </c>
      <c r="B537" s="5" t="s">
        <v>2198</v>
      </c>
      <c r="C537" s="4" t="s">
        <v>9</v>
      </c>
      <c r="D537" s="475">
        <v>14726.85</v>
      </c>
      <c r="E537" s="476">
        <v>0</v>
      </c>
      <c r="F537" s="6">
        <v>0</v>
      </c>
      <c r="G537" s="6">
        <v>0.17969</v>
      </c>
    </row>
    <row r="538" ht="30" customHeight="1" spans="1:7">
      <c r="A538" s="4" t="s">
        <v>2199</v>
      </c>
      <c r="B538" s="5" t="s">
        <v>2200</v>
      </c>
      <c r="C538" s="4" t="s">
        <v>9</v>
      </c>
      <c r="D538" s="475">
        <v>14270.14</v>
      </c>
      <c r="E538" s="476">
        <v>0</v>
      </c>
      <c r="F538" s="6">
        <v>0</v>
      </c>
      <c r="G538" s="6">
        <v>0.19766</v>
      </c>
    </row>
    <row r="539" ht="30" customHeight="1" spans="1:7">
      <c r="A539" s="4" t="s">
        <v>2201</v>
      </c>
      <c r="B539" s="5" t="s">
        <v>2202</v>
      </c>
      <c r="C539" s="4" t="s">
        <v>9</v>
      </c>
      <c r="D539" s="475">
        <v>11795.79</v>
      </c>
      <c r="E539" s="476">
        <v>0</v>
      </c>
      <c r="F539" s="6">
        <v>0</v>
      </c>
      <c r="G539" s="6">
        <v>0.19766</v>
      </c>
    </row>
    <row r="540" ht="30" customHeight="1" spans="1:7">
      <c r="A540" s="4" t="s">
        <v>2203</v>
      </c>
      <c r="B540" s="5" t="s">
        <v>2204</v>
      </c>
      <c r="C540" s="4" t="s">
        <v>9</v>
      </c>
      <c r="D540" s="475">
        <v>16074.39</v>
      </c>
      <c r="E540" s="476">
        <v>0</v>
      </c>
      <c r="F540" s="6">
        <v>0</v>
      </c>
      <c r="G540" s="6">
        <v>0.19766</v>
      </c>
    </row>
    <row r="541" ht="30" customHeight="1" spans="1:7">
      <c r="A541" s="4" t="s">
        <v>2205</v>
      </c>
      <c r="B541" s="5" t="s">
        <v>2206</v>
      </c>
      <c r="C541" s="4" t="s">
        <v>9</v>
      </c>
      <c r="D541" s="475">
        <v>13600.04</v>
      </c>
      <c r="E541" s="476">
        <v>0</v>
      </c>
      <c r="F541" s="6">
        <v>0</v>
      </c>
      <c r="G541" s="6">
        <v>0.19766</v>
      </c>
    </row>
    <row r="542" ht="30" customHeight="1" spans="1:7">
      <c r="A542" s="4" t="s">
        <v>2207</v>
      </c>
      <c r="B542" s="5" t="s">
        <v>2208</v>
      </c>
      <c r="C542" s="4" t="s">
        <v>9</v>
      </c>
      <c r="D542" s="475">
        <v>19266.35</v>
      </c>
      <c r="E542" s="476">
        <v>0</v>
      </c>
      <c r="F542" s="6">
        <v>0</v>
      </c>
      <c r="G542" s="6">
        <v>0.19766</v>
      </c>
    </row>
    <row r="543" ht="30" customHeight="1" spans="1:7">
      <c r="A543" s="4" t="s">
        <v>2209</v>
      </c>
      <c r="B543" s="5" t="s">
        <v>2210</v>
      </c>
      <c r="C543" s="4" t="s">
        <v>9</v>
      </c>
      <c r="D543" s="475">
        <v>16791.99</v>
      </c>
      <c r="E543" s="476">
        <v>0</v>
      </c>
      <c r="F543" s="6">
        <v>0</v>
      </c>
      <c r="G543" s="6">
        <v>0.19766</v>
      </c>
    </row>
    <row r="544" ht="30" customHeight="1" spans="1:7">
      <c r="A544" s="4" t="s">
        <v>2211</v>
      </c>
      <c r="B544" s="5" t="s">
        <v>2212</v>
      </c>
      <c r="C544" s="4" t="s">
        <v>9</v>
      </c>
      <c r="D544" s="475">
        <v>13675.91</v>
      </c>
      <c r="E544" s="476">
        <v>0</v>
      </c>
      <c r="F544" s="6">
        <v>0</v>
      </c>
      <c r="G544" s="6">
        <v>0.19766</v>
      </c>
    </row>
    <row r="545" ht="30" customHeight="1" spans="1:7">
      <c r="A545" s="4" t="s">
        <v>2213</v>
      </c>
      <c r="B545" s="5" t="s">
        <v>2214</v>
      </c>
      <c r="C545" s="4" t="s">
        <v>9</v>
      </c>
      <c r="D545" s="475">
        <v>11499.48</v>
      </c>
      <c r="E545" s="476">
        <v>0</v>
      </c>
      <c r="F545" s="6">
        <v>0</v>
      </c>
      <c r="G545" s="6">
        <v>0.19766</v>
      </c>
    </row>
    <row r="546" ht="30" customHeight="1" spans="1:7">
      <c r="A546" s="4" t="s">
        <v>2215</v>
      </c>
      <c r="B546" s="5" t="s">
        <v>2216</v>
      </c>
      <c r="C546" s="4" t="s">
        <v>9</v>
      </c>
      <c r="D546" s="475">
        <v>15480.16</v>
      </c>
      <c r="E546" s="476">
        <v>0</v>
      </c>
      <c r="F546" s="6">
        <v>0</v>
      </c>
      <c r="G546" s="6">
        <v>0.19766</v>
      </c>
    </row>
    <row r="547" ht="30" customHeight="1" spans="1:7">
      <c r="A547" s="4" t="s">
        <v>2217</v>
      </c>
      <c r="B547" s="5" t="s">
        <v>2218</v>
      </c>
      <c r="C547" s="4" t="s">
        <v>9</v>
      </c>
      <c r="D547" s="475">
        <v>13303.73</v>
      </c>
      <c r="E547" s="476">
        <v>0</v>
      </c>
      <c r="F547" s="6">
        <v>0</v>
      </c>
      <c r="G547" s="6">
        <v>0.19766</v>
      </c>
    </row>
    <row r="548" ht="30" customHeight="1" spans="1:7">
      <c r="A548" s="4" t="s">
        <v>2219</v>
      </c>
      <c r="B548" s="5" t="s">
        <v>2220</v>
      </c>
      <c r="C548" s="4" t="s">
        <v>9</v>
      </c>
      <c r="D548" s="475">
        <v>18672.12</v>
      </c>
      <c r="E548" s="476">
        <v>0</v>
      </c>
      <c r="F548" s="6">
        <v>0</v>
      </c>
      <c r="G548" s="6">
        <v>0.19766</v>
      </c>
    </row>
    <row r="549" ht="30" customHeight="1" spans="1:7">
      <c r="A549" s="4" t="s">
        <v>2221</v>
      </c>
      <c r="B549" s="5" t="s">
        <v>2222</v>
      </c>
      <c r="C549" s="4" t="s">
        <v>9</v>
      </c>
      <c r="D549" s="475">
        <v>16495.69</v>
      </c>
      <c r="E549" s="476">
        <v>0</v>
      </c>
      <c r="F549" s="6">
        <v>0</v>
      </c>
      <c r="G549" s="6">
        <v>0.19766</v>
      </c>
    </row>
    <row r="550" ht="30" customHeight="1" spans="1:7">
      <c r="A550" s="4" t="s">
        <v>2223</v>
      </c>
      <c r="B550" s="5" t="s">
        <v>2224</v>
      </c>
      <c r="C550" s="4" t="s">
        <v>9</v>
      </c>
      <c r="D550" s="475">
        <v>15854.83</v>
      </c>
      <c r="E550" s="476">
        <v>0</v>
      </c>
      <c r="F550" s="6">
        <v>0</v>
      </c>
      <c r="G550" s="6">
        <v>0.20022</v>
      </c>
    </row>
    <row r="551" ht="30" customHeight="1" spans="1:7">
      <c r="A551" s="4" t="s">
        <v>2225</v>
      </c>
      <c r="B551" s="5" t="s">
        <v>2226</v>
      </c>
      <c r="C551" s="4" t="s">
        <v>9</v>
      </c>
      <c r="D551" s="475">
        <v>13144.98</v>
      </c>
      <c r="E551" s="476">
        <v>0</v>
      </c>
      <c r="F551" s="6">
        <v>0</v>
      </c>
      <c r="G551" s="6">
        <v>0.20022</v>
      </c>
    </row>
    <row r="552" ht="30" customHeight="1" spans="1:7">
      <c r="A552" s="4" t="s">
        <v>2227</v>
      </c>
      <c r="B552" s="5" t="s">
        <v>2228</v>
      </c>
      <c r="C552" s="4" t="s">
        <v>9</v>
      </c>
      <c r="D552" s="475">
        <v>17947.33</v>
      </c>
      <c r="E552" s="476">
        <v>0</v>
      </c>
      <c r="F552" s="6">
        <v>0</v>
      </c>
      <c r="G552" s="6">
        <v>0.20022</v>
      </c>
    </row>
    <row r="553" ht="30" customHeight="1" spans="1:7">
      <c r="A553" s="4" t="s">
        <v>2229</v>
      </c>
      <c r="B553" s="5" t="s">
        <v>2230</v>
      </c>
      <c r="C553" s="4" t="s">
        <v>9</v>
      </c>
      <c r="D553" s="475">
        <v>15237.48</v>
      </c>
      <c r="E553" s="476">
        <v>0</v>
      </c>
      <c r="F553" s="6">
        <v>0</v>
      </c>
      <c r="G553" s="6">
        <v>0.20022</v>
      </c>
    </row>
    <row r="554" ht="30" customHeight="1" spans="1:7">
      <c r="A554" s="4" t="s">
        <v>2231</v>
      </c>
      <c r="B554" s="5" t="s">
        <v>2232</v>
      </c>
      <c r="C554" s="4" t="s">
        <v>9</v>
      </c>
      <c r="D554" s="475">
        <v>21649.24</v>
      </c>
      <c r="E554" s="476">
        <v>0</v>
      </c>
      <c r="F554" s="6">
        <v>0</v>
      </c>
      <c r="G554" s="6">
        <v>0.20022</v>
      </c>
    </row>
    <row r="555" ht="30" customHeight="1" spans="1:7">
      <c r="A555" s="4" t="s">
        <v>2233</v>
      </c>
      <c r="B555" s="5" t="s">
        <v>2234</v>
      </c>
      <c r="C555" s="4" t="s">
        <v>9</v>
      </c>
      <c r="D555" s="475">
        <v>18939.39</v>
      </c>
      <c r="E555" s="476">
        <v>0</v>
      </c>
      <c r="F555" s="6">
        <v>0</v>
      </c>
      <c r="G555" s="6">
        <v>0.20022</v>
      </c>
    </row>
    <row r="556" ht="30" customHeight="1" spans="1:7">
      <c r="A556" s="4" t="s">
        <v>2235</v>
      </c>
      <c r="B556" s="5" t="s">
        <v>2236</v>
      </c>
      <c r="C556" s="4" t="s">
        <v>9</v>
      </c>
      <c r="D556" s="475">
        <v>15207.14</v>
      </c>
      <c r="E556" s="476">
        <v>0</v>
      </c>
      <c r="F556" s="6">
        <v>0</v>
      </c>
      <c r="G556" s="6">
        <v>0.20022</v>
      </c>
    </row>
    <row r="557" ht="30" customHeight="1" spans="1:7">
      <c r="A557" s="4" t="s">
        <v>2237</v>
      </c>
      <c r="B557" s="5" t="s">
        <v>2238</v>
      </c>
      <c r="C557" s="4" t="s">
        <v>9</v>
      </c>
      <c r="D557" s="475">
        <v>12822.57</v>
      </c>
      <c r="E557" s="476">
        <v>0</v>
      </c>
      <c r="F557" s="6">
        <v>0</v>
      </c>
      <c r="G557" s="6">
        <v>0.20022</v>
      </c>
    </row>
    <row r="558" ht="30" customHeight="1" spans="1:7">
      <c r="A558" s="4" t="s">
        <v>2239</v>
      </c>
      <c r="B558" s="5" t="s">
        <v>2240</v>
      </c>
      <c r="C558" s="4" t="s">
        <v>9</v>
      </c>
      <c r="D558" s="475">
        <v>17299.64</v>
      </c>
      <c r="E558" s="476">
        <v>0</v>
      </c>
      <c r="F558" s="6">
        <v>0</v>
      </c>
      <c r="G558" s="6">
        <v>0.20022</v>
      </c>
    </row>
    <row r="559" ht="30" customHeight="1" spans="1:7">
      <c r="A559" s="4" t="s">
        <v>2241</v>
      </c>
      <c r="B559" s="5" t="s">
        <v>2242</v>
      </c>
      <c r="C559" s="4" t="s">
        <v>9</v>
      </c>
      <c r="D559" s="475">
        <v>14915.08</v>
      </c>
      <c r="E559" s="476">
        <v>0</v>
      </c>
      <c r="F559" s="6">
        <v>0</v>
      </c>
      <c r="G559" s="6">
        <v>0.20022</v>
      </c>
    </row>
    <row r="560" ht="30" customHeight="1" spans="1:7">
      <c r="A560" s="4" t="s">
        <v>2243</v>
      </c>
      <c r="B560" s="5" t="s">
        <v>2244</v>
      </c>
      <c r="C560" s="4" t="s">
        <v>9</v>
      </c>
      <c r="D560" s="475">
        <v>21001.56</v>
      </c>
      <c r="E560" s="476">
        <v>0</v>
      </c>
      <c r="F560" s="6">
        <v>0</v>
      </c>
      <c r="G560" s="6">
        <v>0.20022</v>
      </c>
    </row>
    <row r="561" ht="30" customHeight="1" spans="1:7">
      <c r="A561" s="4" t="s">
        <v>2245</v>
      </c>
      <c r="B561" s="5" t="s">
        <v>2246</v>
      </c>
      <c r="C561" s="4" t="s">
        <v>9</v>
      </c>
      <c r="D561" s="475">
        <v>18616.99</v>
      </c>
      <c r="E561" s="476">
        <v>0</v>
      </c>
      <c r="F561" s="6">
        <v>0</v>
      </c>
      <c r="G561" s="6">
        <v>0.20022</v>
      </c>
    </row>
    <row r="562" ht="30" customHeight="1" spans="1:7">
      <c r="A562" s="4" t="s">
        <v>2247</v>
      </c>
      <c r="B562" s="5" t="s">
        <v>2248</v>
      </c>
      <c r="C562" s="4" t="s">
        <v>9</v>
      </c>
      <c r="D562" s="475">
        <v>17102.67</v>
      </c>
      <c r="E562" s="476">
        <v>0</v>
      </c>
      <c r="F562" s="6">
        <v>0</v>
      </c>
      <c r="G562" s="6">
        <v>0.20022</v>
      </c>
    </row>
    <row r="563" ht="30" customHeight="1" spans="1:7">
      <c r="A563" s="4" t="s">
        <v>2249</v>
      </c>
      <c r="B563" s="5" t="s">
        <v>2250</v>
      </c>
      <c r="C563" s="4" t="s">
        <v>9</v>
      </c>
      <c r="D563" s="475">
        <v>14214.73</v>
      </c>
      <c r="E563" s="476">
        <v>0</v>
      </c>
      <c r="F563" s="6">
        <v>0</v>
      </c>
      <c r="G563" s="6">
        <v>0.20022</v>
      </c>
    </row>
    <row r="564" ht="30" customHeight="1" spans="1:7">
      <c r="A564" s="4" t="s">
        <v>2251</v>
      </c>
      <c r="B564" s="5" t="s">
        <v>2252</v>
      </c>
      <c r="C564" s="4" t="s">
        <v>9</v>
      </c>
      <c r="D564" s="475">
        <v>19504.77</v>
      </c>
      <c r="E564" s="476">
        <v>0</v>
      </c>
      <c r="F564" s="6">
        <v>0</v>
      </c>
      <c r="G564" s="6">
        <v>0.20022</v>
      </c>
    </row>
    <row r="565" ht="30" customHeight="1" spans="1:7">
      <c r="A565" s="4" t="s">
        <v>2253</v>
      </c>
      <c r="B565" s="5" t="s">
        <v>2254</v>
      </c>
      <c r="C565" s="4" t="s">
        <v>9</v>
      </c>
      <c r="D565" s="475">
        <v>16616.84</v>
      </c>
      <c r="E565" s="476">
        <v>0</v>
      </c>
      <c r="F565" s="6">
        <v>0</v>
      </c>
      <c r="G565" s="6">
        <v>0.20022</v>
      </c>
    </row>
    <row r="566" ht="30" customHeight="1" spans="1:7">
      <c r="A566" s="4" t="s">
        <v>2255</v>
      </c>
      <c r="B566" s="5" t="s">
        <v>2256</v>
      </c>
      <c r="C566" s="4" t="s">
        <v>9</v>
      </c>
      <c r="D566" s="475">
        <v>23754.42</v>
      </c>
      <c r="E566" s="476">
        <v>0</v>
      </c>
      <c r="F566" s="6">
        <v>0</v>
      </c>
      <c r="G566" s="6">
        <v>0.20022</v>
      </c>
    </row>
    <row r="567" ht="30" customHeight="1" spans="1:7">
      <c r="A567" s="4" t="s">
        <v>2257</v>
      </c>
      <c r="B567" s="5" t="s">
        <v>2258</v>
      </c>
      <c r="C567" s="4" t="s">
        <v>9</v>
      </c>
      <c r="D567" s="475">
        <v>20866.49</v>
      </c>
      <c r="E567" s="476">
        <v>0</v>
      </c>
      <c r="F567" s="6">
        <v>0</v>
      </c>
      <c r="G567" s="6">
        <v>0.20022</v>
      </c>
    </row>
    <row r="568" ht="30" customHeight="1" spans="1:7">
      <c r="A568" s="4" t="s">
        <v>2259</v>
      </c>
      <c r="B568" s="5" t="s">
        <v>2260</v>
      </c>
      <c r="C568" s="4" t="s">
        <v>9</v>
      </c>
      <c r="D568" s="475">
        <v>16409.74</v>
      </c>
      <c r="E568" s="476">
        <v>0</v>
      </c>
      <c r="F568" s="6">
        <v>0</v>
      </c>
      <c r="G568" s="6">
        <v>0.20022</v>
      </c>
    </row>
    <row r="569" ht="30" customHeight="1" spans="1:7">
      <c r="A569" s="4" t="s">
        <v>2261</v>
      </c>
      <c r="B569" s="5" t="s">
        <v>2262</v>
      </c>
      <c r="C569" s="4" t="s">
        <v>9</v>
      </c>
      <c r="D569" s="475">
        <v>13869.3</v>
      </c>
      <c r="E569" s="476">
        <v>0</v>
      </c>
      <c r="F569" s="6">
        <v>0</v>
      </c>
      <c r="G569" s="6">
        <v>0.20022</v>
      </c>
    </row>
    <row r="570" ht="30" customHeight="1" spans="1:7">
      <c r="A570" s="4" t="s">
        <v>2263</v>
      </c>
      <c r="B570" s="5" t="s">
        <v>2264</v>
      </c>
      <c r="C570" s="4" t="s">
        <v>9</v>
      </c>
      <c r="D570" s="475">
        <v>18811.85</v>
      </c>
      <c r="E570" s="476">
        <v>0</v>
      </c>
      <c r="F570" s="6">
        <v>0</v>
      </c>
      <c r="G570" s="6">
        <v>0.20022</v>
      </c>
    </row>
    <row r="571" ht="30" customHeight="1" spans="1:7">
      <c r="A571" s="4" t="s">
        <v>2265</v>
      </c>
      <c r="B571" s="5" t="s">
        <v>2266</v>
      </c>
      <c r="C571" s="4" t="s">
        <v>9</v>
      </c>
      <c r="D571" s="475">
        <v>16271.41</v>
      </c>
      <c r="E571" s="476">
        <v>0</v>
      </c>
      <c r="F571" s="6">
        <v>0</v>
      </c>
      <c r="G571" s="6">
        <v>0.20022</v>
      </c>
    </row>
    <row r="572" ht="30" customHeight="1" spans="1:7">
      <c r="A572" s="4" t="s">
        <v>2267</v>
      </c>
      <c r="B572" s="5" t="s">
        <v>2268</v>
      </c>
      <c r="C572" s="4" t="s">
        <v>9</v>
      </c>
      <c r="D572" s="475">
        <v>23061.5</v>
      </c>
      <c r="E572" s="476">
        <v>0</v>
      </c>
      <c r="F572" s="6">
        <v>0</v>
      </c>
      <c r="G572" s="6">
        <v>0.20022</v>
      </c>
    </row>
    <row r="573" ht="30" customHeight="1" spans="1:7">
      <c r="A573" s="4" t="s">
        <v>2269</v>
      </c>
      <c r="B573" s="5" t="s">
        <v>2270</v>
      </c>
      <c r="C573" s="4" t="s">
        <v>9</v>
      </c>
      <c r="D573" s="475">
        <v>20521.05</v>
      </c>
      <c r="E573" s="476">
        <v>0</v>
      </c>
      <c r="F573" s="6">
        <v>0</v>
      </c>
      <c r="G573" s="6">
        <v>0.20022</v>
      </c>
    </row>
    <row r="574" ht="30" customHeight="1" spans="1:7">
      <c r="A574" s="4" t="s">
        <v>2271</v>
      </c>
      <c r="B574" s="5" t="s">
        <v>2272</v>
      </c>
      <c r="C574" s="4" t="s">
        <v>9</v>
      </c>
      <c r="D574" s="475">
        <v>18761.48</v>
      </c>
      <c r="E574" s="476">
        <v>0</v>
      </c>
      <c r="F574" s="6">
        <v>0</v>
      </c>
      <c r="G574" s="6">
        <v>0.20215</v>
      </c>
    </row>
    <row r="575" ht="30" customHeight="1" spans="1:7">
      <c r="A575" s="4" t="s">
        <v>2273</v>
      </c>
      <c r="B575" s="5" t="s">
        <v>2274</v>
      </c>
      <c r="C575" s="4" t="s">
        <v>9</v>
      </c>
      <c r="D575" s="475">
        <v>15672.65</v>
      </c>
      <c r="E575" s="476">
        <v>0</v>
      </c>
      <c r="F575" s="6">
        <v>0</v>
      </c>
      <c r="G575" s="6">
        <v>0.20215</v>
      </c>
    </row>
    <row r="576" ht="30" customHeight="1" spans="1:7">
      <c r="A576" s="4" t="s">
        <v>2275</v>
      </c>
      <c r="B576" s="5" t="s">
        <v>2276</v>
      </c>
      <c r="C576" s="4" t="s">
        <v>9</v>
      </c>
      <c r="D576" s="475">
        <v>21494.55</v>
      </c>
      <c r="E576" s="476">
        <v>0</v>
      </c>
      <c r="F576" s="6">
        <v>0</v>
      </c>
      <c r="G576" s="6">
        <v>0.20215</v>
      </c>
    </row>
    <row r="577" ht="30" customHeight="1" spans="1:7">
      <c r="A577" s="4" t="s">
        <v>2277</v>
      </c>
      <c r="B577" s="5" t="s">
        <v>2278</v>
      </c>
      <c r="C577" s="4" t="s">
        <v>9</v>
      </c>
      <c r="D577" s="475">
        <v>18405.72</v>
      </c>
      <c r="E577" s="476">
        <v>0</v>
      </c>
      <c r="F577" s="6">
        <v>0</v>
      </c>
      <c r="G577" s="6">
        <v>0.20215</v>
      </c>
    </row>
    <row r="578" ht="30" customHeight="1" spans="1:7">
      <c r="A578" s="4" t="s">
        <v>2279</v>
      </c>
      <c r="B578" s="5" t="s">
        <v>2280</v>
      </c>
      <c r="C578" s="4" t="s">
        <v>9</v>
      </c>
      <c r="D578" s="475">
        <v>26329.71</v>
      </c>
      <c r="E578" s="476">
        <v>0</v>
      </c>
      <c r="F578" s="6">
        <v>0</v>
      </c>
      <c r="G578" s="6">
        <v>0.20215</v>
      </c>
    </row>
    <row r="579" ht="30" customHeight="1" spans="1:7">
      <c r="A579" s="4" t="s">
        <v>2281</v>
      </c>
      <c r="B579" s="5" t="s">
        <v>2282</v>
      </c>
      <c r="C579" s="4" t="s">
        <v>9</v>
      </c>
      <c r="D579" s="475">
        <v>23240.87</v>
      </c>
      <c r="E579" s="476">
        <v>0</v>
      </c>
      <c r="F579" s="6">
        <v>0</v>
      </c>
      <c r="G579" s="6">
        <v>0.20215</v>
      </c>
    </row>
    <row r="580" ht="30" customHeight="1" spans="1:7">
      <c r="A580" s="4" t="s">
        <v>2283</v>
      </c>
      <c r="B580" s="5" t="s">
        <v>2284</v>
      </c>
      <c r="C580" s="4" t="s">
        <v>9</v>
      </c>
      <c r="D580" s="475">
        <v>18015.1</v>
      </c>
      <c r="E580" s="476">
        <v>0</v>
      </c>
      <c r="F580" s="6">
        <v>0</v>
      </c>
      <c r="G580" s="6">
        <v>0.20215</v>
      </c>
    </row>
    <row r="581" ht="30" customHeight="1" spans="1:7">
      <c r="A581" s="4" t="s">
        <v>2285</v>
      </c>
      <c r="B581" s="5" t="s">
        <v>2286</v>
      </c>
      <c r="C581" s="4" t="s">
        <v>9</v>
      </c>
      <c r="D581" s="475">
        <v>15299.58</v>
      </c>
      <c r="E581" s="476">
        <v>0</v>
      </c>
      <c r="F581" s="6">
        <v>0</v>
      </c>
      <c r="G581" s="6">
        <v>0.20215</v>
      </c>
    </row>
    <row r="582" ht="30" customHeight="1" spans="1:7">
      <c r="A582" s="4" t="s">
        <v>2287</v>
      </c>
      <c r="B582" s="5" t="s">
        <v>2288</v>
      </c>
      <c r="C582" s="4" t="s">
        <v>9</v>
      </c>
      <c r="D582" s="475">
        <v>20748.17</v>
      </c>
      <c r="E582" s="476">
        <v>0</v>
      </c>
      <c r="F582" s="6">
        <v>0</v>
      </c>
      <c r="G582" s="6">
        <v>0.20215</v>
      </c>
    </row>
    <row r="583" ht="30" customHeight="1" spans="1:7">
      <c r="A583" s="4" t="s">
        <v>2289</v>
      </c>
      <c r="B583" s="5" t="s">
        <v>2290</v>
      </c>
      <c r="C583" s="4" t="s">
        <v>9</v>
      </c>
      <c r="D583" s="475">
        <v>18032.65</v>
      </c>
      <c r="E583" s="476">
        <v>0</v>
      </c>
      <c r="F583" s="6">
        <v>0</v>
      </c>
      <c r="G583" s="6">
        <v>0.20215</v>
      </c>
    </row>
    <row r="584" ht="30" customHeight="1" spans="1:7">
      <c r="A584" s="4" t="s">
        <v>2291</v>
      </c>
      <c r="B584" s="5" t="s">
        <v>2292</v>
      </c>
      <c r="C584" s="4" t="s">
        <v>9</v>
      </c>
      <c r="D584" s="475">
        <v>25583.32</v>
      </c>
      <c r="E584" s="476">
        <v>0</v>
      </c>
      <c r="F584" s="6">
        <v>0</v>
      </c>
      <c r="G584" s="6">
        <v>0.20215</v>
      </c>
    </row>
    <row r="585" ht="30" customHeight="1" spans="1:7">
      <c r="A585" s="4" t="s">
        <v>2293</v>
      </c>
      <c r="B585" s="5" t="s">
        <v>2294</v>
      </c>
      <c r="C585" s="4" t="s">
        <v>9</v>
      </c>
      <c r="D585" s="475">
        <v>22867.81</v>
      </c>
      <c r="E585" s="476">
        <v>0</v>
      </c>
      <c r="F585" s="6">
        <v>0</v>
      </c>
      <c r="G585" s="6">
        <v>0.20215</v>
      </c>
    </row>
    <row r="586" ht="30" customHeight="1" spans="1:7">
      <c r="A586" s="4" t="s">
        <v>2295</v>
      </c>
      <c r="B586" s="5" t="s">
        <v>2296</v>
      </c>
      <c r="C586" s="4" t="s">
        <v>9</v>
      </c>
      <c r="D586" s="475">
        <v>20509.17</v>
      </c>
      <c r="E586" s="476">
        <v>0</v>
      </c>
      <c r="F586" s="6">
        <v>0</v>
      </c>
      <c r="G586" s="6">
        <v>0.16846</v>
      </c>
    </row>
    <row r="587" ht="30" customHeight="1" spans="1:7">
      <c r="A587" s="4" t="s">
        <v>2297</v>
      </c>
      <c r="B587" s="5" t="s">
        <v>2298</v>
      </c>
      <c r="C587" s="4" t="s">
        <v>9</v>
      </c>
      <c r="D587" s="475">
        <v>18503.84</v>
      </c>
      <c r="E587" s="476">
        <v>0</v>
      </c>
      <c r="F587" s="6">
        <v>0</v>
      </c>
      <c r="G587" s="6">
        <v>0.16846</v>
      </c>
    </row>
    <row r="588" ht="30" customHeight="1" spans="1:7">
      <c r="A588" s="4" t="s">
        <v>2299</v>
      </c>
      <c r="B588" s="5" t="s">
        <v>2300</v>
      </c>
      <c r="C588" s="4" t="s">
        <v>9</v>
      </c>
      <c r="D588" s="475">
        <v>23594.54</v>
      </c>
      <c r="E588" s="476">
        <v>0</v>
      </c>
      <c r="F588" s="6">
        <v>0</v>
      </c>
      <c r="G588" s="6">
        <v>0.16846</v>
      </c>
    </row>
    <row r="589" ht="30" customHeight="1" spans="1:7">
      <c r="A589" s="4" t="s">
        <v>2301</v>
      </c>
      <c r="B589" s="5" t="s">
        <v>2302</v>
      </c>
      <c r="C589" s="4" t="s">
        <v>9</v>
      </c>
      <c r="D589" s="475">
        <v>21589.22</v>
      </c>
      <c r="E589" s="476">
        <v>0</v>
      </c>
      <c r="F589" s="6">
        <v>0</v>
      </c>
      <c r="G589" s="6">
        <v>0.16846</v>
      </c>
    </row>
    <row r="590" ht="30" customHeight="1" spans="1:7">
      <c r="A590" s="4" t="s">
        <v>2303</v>
      </c>
      <c r="B590" s="5" t="s">
        <v>2304</v>
      </c>
      <c r="C590" s="4" t="s">
        <v>9</v>
      </c>
      <c r="D590" s="475">
        <v>29052.97</v>
      </c>
      <c r="E590" s="476">
        <v>0</v>
      </c>
      <c r="F590" s="6">
        <v>0</v>
      </c>
      <c r="G590" s="6">
        <v>0.16846</v>
      </c>
    </row>
    <row r="591" ht="30" customHeight="1" spans="1:7">
      <c r="A591" s="4" t="s">
        <v>2305</v>
      </c>
      <c r="B591" s="5" t="s">
        <v>2306</v>
      </c>
      <c r="C591" s="4" t="s">
        <v>9</v>
      </c>
      <c r="D591" s="475">
        <v>27047.65</v>
      </c>
      <c r="E591" s="476">
        <v>0</v>
      </c>
      <c r="F591" s="6">
        <v>0</v>
      </c>
      <c r="G591" s="6">
        <v>0.16846</v>
      </c>
    </row>
    <row r="592" ht="30" customHeight="1" spans="1:7">
      <c r="A592" s="4" t="s">
        <v>2307</v>
      </c>
      <c r="B592" s="5" t="s">
        <v>2308</v>
      </c>
      <c r="C592" s="4" t="s">
        <v>9</v>
      </c>
      <c r="D592" s="475">
        <v>19717.55</v>
      </c>
      <c r="E592" s="476">
        <v>0</v>
      </c>
      <c r="F592" s="6">
        <v>0</v>
      </c>
      <c r="G592" s="6">
        <v>0.16846</v>
      </c>
    </row>
    <row r="593" ht="30" customHeight="1" spans="1:7">
      <c r="A593" s="4" t="s">
        <v>2309</v>
      </c>
      <c r="B593" s="5" t="s">
        <v>2310</v>
      </c>
      <c r="C593" s="4" t="s">
        <v>9</v>
      </c>
      <c r="D593" s="475">
        <v>17958.17</v>
      </c>
      <c r="E593" s="476">
        <v>0</v>
      </c>
      <c r="F593" s="6">
        <v>0</v>
      </c>
      <c r="G593" s="6">
        <v>0.16846</v>
      </c>
    </row>
    <row r="594" ht="30" customHeight="1" spans="1:7">
      <c r="A594" s="4" t="s">
        <v>2311</v>
      </c>
      <c r="B594" s="5" t="s">
        <v>2312</v>
      </c>
      <c r="C594" s="4" t="s">
        <v>9</v>
      </c>
      <c r="D594" s="475">
        <v>22802.92</v>
      </c>
      <c r="E594" s="476">
        <v>0</v>
      </c>
      <c r="F594" s="6">
        <v>0</v>
      </c>
      <c r="G594" s="6">
        <v>0.16846</v>
      </c>
    </row>
    <row r="595" ht="30" customHeight="1" spans="1:7">
      <c r="A595" s="4" t="s">
        <v>2313</v>
      </c>
      <c r="B595" s="5" t="s">
        <v>2314</v>
      </c>
      <c r="C595" s="4" t="s">
        <v>9</v>
      </c>
      <c r="D595" s="475">
        <v>21043.54</v>
      </c>
      <c r="E595" s="476">
        <v>0</v>
      </c>
      <c r="F595" s="6">
        <v>0</v>
      </c>
      <c r="G595" s="6">
        <v>0.16846</v>
      </c>
    </row>
    <row r="596" ht="30" customHeight="1" spans="1:7">
      <c r="A596" s="4" t="s">
        <v>2315</v>
      </c>
      <c r="B596" s="5" t="s">
        <v>2316</v>
      </c>
      <c r="C596" s="4" t="s">
        <v>9</v>
      </c>
      <c r="D596" s="475">
        <v>28261.36</v>
      </c>
      <c r="E596" s="476">
        <v>0</v>
      </c>
      <c r="F596" s="6">
        <v>0</v>
      </c>
      <c r="G596" s="6">
        <v>0.16846</v>
      </c>
    </row>
    <row r="597" ht="30" customHeight="1" spans="1:7">
      <c r="A597" s="4" t="s">
        <v>2317</v>
      </c>
      <c r="B597" s="5" t="s">
        <v>2318</v>
      </c>
      <c r="C597" s="4" t="s">
        <v>9</v>
      </c>
      <c r="D597" s="475">
        <v>26501.98</v>
      </c>
      <c r="E597" s="476">
        <v>0</v>
      </c>
      <c r="F597" s="6">
        <v>0</v>
      </c>
      <c r="G597" s="6">
        <v>0.16846</v>
      </c>
    </row>
    <row r="598" ht="30" customHeight="1" spans="1:7">
      <c r="A598" s="4" t="s">
        <v>2319</v>
      </c>
      <c r="B598" s="5" t="s">
        <v>2320</v>
      </c>
      <c r="C598" s="4" t="s">
        <v>9</v>
      </c>
      <c r="D598" s="475">
        <v>22731.49</v>
      </c>
      <c r="E598" s="476">
        <v>0</v>
      </c>
      <c r="F598" s="6">
        <v>0</v>
      </c>
      <c r="G598" s="6">
        <v>0.14974</v>
      </c>
    </row>
    <row r="599" ht="30" customHeight="1" spans="1:7">
      <c r="A599" s="4" t="s">
        <v>2321</v>
      </c>
      <c r="B599" s="5" t="s">
        <v>2322</v>
      </c>
      <c r="C599" s="4" t="s">
        <v>9</v>
      </c>
      <c r="D599" s="475">
        <v>19622.97</v>
      </c>
      <c r="E599" s="476">
        <v>0</v>
      </c>
      <c r="F599" s="6">
        <v>0</v>
      </c>
      <c r="G599" s="6">
        <v>0.14974</v>
      </c>
    </row>
    <row r="600" ht="30" customHeight="1" spans="1:7">
      <c r="A600" s="4" t="s">
        <v>2323</v>
      </c>
      <c r="B600" s="5" t="s">
        <v>2324</v>
      </c>
      <c r="C600" s="4" t="s">
        <v>9</v>
      </c>
      <c r="D600" s="475">
        <v>26190.53</v>
      </c>
      <c r="E600" s="476">
        <v>0</v>
      </c>
      <c r="F600" s="6">
        <v>0</v>
      </c>
      <c r="G600" s="6">
        <v>0.14974</v>
      </c>
    </row>
    <row r="601" ht="30" customHeight="1" spans="1:7">
      <c r="A601" s="4" t="s">
        <v>2325</v>
      </c>
      <c r="B601" s="5" t="s">
        <v>2326</v>
      </c>
      <c r="C601" s="4" t="s">
        <v>9</v>
      </c>
      <c r="D601" s="475">
        <v>23082</v>
      </c>
      <c r="E601" s="476">
        <v>0</v>
      </c>
      <c r="F601" s="6">
        <v>0</v>
      </c>
      <c r="G601" s="6">
        <v>0.14974</v>
      </c>
    </row>
    <row r="602" ht="30" customHeight="1" spans="1:7">
      <c r="A602" s="4" t="s">
        <v>2327</v>
      </c>
      <c r="B602" s="5" t="s">
        <v>2328</v>
      </c>
      <c r="C602" s="4" t="s">
        <v>9</v>
      </c>
      <c r="D602" s="475">
        <v>32310.02</v>
      </c>
      <c r="E602" s="476">
        <v>0</v>
      </c>
      <c r="F602" s="6">
        <v>0</v>
      </c>
      <c r="G602" s="6">
        <v>0.14974</v>
      </c>
    </row>
    <row r="603" ht="30" customHeight="1" spans="1:7">
      <c r="A603" s="4" t="s">
        <v>2329</v>
      </c>
      <c r="B603" s="5" t="s">
        <v>2330</v>
      </c>
      <c r="C603" s="4" t="s">
        <v>9</v>
      </c>
      <c r="D603" s="475">
        <v>29201.5</v>
      </c>
      <c r="E603" s="476">
        <v>0</v>
      </c>
      <c r="F603" s="6">
        <v>0</v>
      </c>
      <c r="G603" s="6">
        <v>0.14974</v>
      </c>
    </row>
    <row r="604" ht="30" customHeight="1" spans="1:7">
      <c r="A604" s="4" t="s">
        <v>2331</v>
      </c>
      <c r="B604" s="5" t="s">
        <v>2332</v>
      </c>
      <c r="C604" s="4" t="s">
        <v>9</v>
      </c>
      <c r="D604" s="475">
        <v>24167.55</v>
      </c>
      <c r="E604" s="476">
        <v>0</v>
      </c>
      <c r="F604" s="6">
        <v>0</v>
      </c>
      <c r="G604" s="6">
        <v>0.17969</v>
      </c>
    </row>
    <row r="605" ht="30" customHeight="1" spans="1:7">
      <c r="A605" s="4" t="s">
        <v>2333</v>
      </c>
      <c r="B605" s="5" t="s">
        <v>2334</v>
      </c>
      <c r="C605" s="4" t="s">
        <v>9</v>
      </c>
      <c r="D605" s="475">
        <v>20851.4</v>
      </c>
      <c r="E605" s="476">
        <v>0</v>
      </c>
      <c r="F605" s="6">
        <v>0</v>
      </c>
      <c r="G605" s="6">
        <v>0.17969</v>
      </c>
    </row>
    <row r="606" ht="30" customHeight="1" spans="1:7">
      <c r="A606" s="4" t="s">
        <v>2335</v>
      </c>
      <c r="B606" s="5" t="s">
        <v>2336</v>
      </c>
      <c r="C606" s="4" t="s">
        <v>9</v>
      </c>
      <c r="D606" s="475">
        <v>28021.6</v>
      </c>
      <c r="E606" s="476">
        <v>0</v>
      </c>
      <c r="F606" s="6">
        <v>0</v>
      </c>
      <c r="G606" s="6">
        <v>0.17969</v>
      </c>
    </row>
    <row r="607" ht="30" customHeight="1" spans="1:7">
      <c r="A607" s="4" t="s">
        <v>2337</v>
      </c>
      <c r="B607" s="5" t="s">
        <v>2338</v>
      </c>
      <c r="C607" s="4" t="s">
        <v>9</v>
      </c>
      <c r="D607" s="475">
        <v>24705.45</v>
      </c>
      <c r="E607" s="476">
        <v>0</v>
      </c>
      <c r="F607" s="6">
        <v>0</v>
      </c>
      <c r="G607" s="6">
        <v>0.17969</v>
      </c>
    </row>
    <row r="608" ht="30" customHeight="1" spans="1:7">
      <c r="A608" s="4" t="s">
        <v>2339</v>
      </c>
      <c r="B608" s="5" t="s">
        <v>2340</v>
      </c>
      <c r="C608" s="4" t="s">
        <v>9</v>
      </c>
      <c r="D608" s="475">
        <v>34839.92</v>
      </c>
      <c r="E608" s="476">
        <v>0</v>
      </c>
      <c r="F608" s="6">
        <v>0</v>
      </c>
      <c r="G608" s="6">
        <v>0.17969</v>
      </c>
    </row>
    <row r="609" ht="30" customHeight="1" spans="1:7">
      <c r="A609" s="4" t="s">
        <v>2341</v>
      </c>
      <c r="B609" s="5" t="s">
        <v>2342</v>
      </c>
      <c r="C609" s="4" t="s">
        <v>9</v>
      </c>
      <c r="D609" s="475">
        <v>31523.78</v>
      </c>
      <c r="E609" s="476">
        <v>0</v>
      </c>
      <c r="F609" s="6">
        <v>0</v>
      </c>
      <c r="G609" s="6">
        <v>0.17969</v>
      </c>
    </row>
    <row r="610" ht="30" customHeight="1" spans="1:7">
      <c r="A610" s="4" t="s">
        <v>2343</v>
      </c>
      <c r="B610" s="5" t="s">
        <v>2344</v>
      </c>
      <c r="C610" s="4" t="s">
        <v>9</v>
      </c>
      <c r="D610" s="475">
        <v>26105.49</v>
      </c>
      <c r="E610" s="476">
        <v>0</v>
      </c>
      <c r="F610" s="6">
        <v>0</v>
      </c>
      <c r="G610" s="6">
        <v>0.16172</v>
      </c>
    </row>
    <row r="611" ht="30" customHeight="1" spans="1:7">
      <c r="A611" s="4" t="s">
        <v>2345</v>
      </c>
      <c r="B611" s="5" t="s">
        <v>2346</v>
      </c>
      <c r="C611" s="4" t="s">
        <v>9</v>
      </c>
      <c r="D611" s="475">
        <v>22533.84</v>
      </c>
      <c r="E611" s="476">
        <v>0</v>
      </c>
      <c r="F611" s="6">
        <v>0</v>
      </c>
      <c r="G611" s="6">
        <v>0.16172</v>
      </c>
    </row>
    <row r="612" ht="30" customHeight="1" spans="1:7">
      <c r="A612" s="4" t="s">
        <v>2347</v>
      </c>
      <c r="B612" s="5" t="s">
        <v>2348</v>
      </c>
      <c r="C612" s="4" t="s">
        <v>9</v>
      </c>
      <c r="D612" s="475">
        <v>30375.9</v>
      </c>
      <c r="E612" s="476">
        <v>0</v>
      </c>
      <c r="F612" s="6">
        <v>0</v>
      </c>
      <c r="G612" s="6">
        <v>0.16172</v>
      </c>
    </row>
    <row r="613" ht="30" customHeight="1" spans="1:7">
      <c r="A613" s="4" t="s">
        <v>2349</v>
      </c>
      <c r="B613" s="5" t="s">
        <v>2350</v>
      </c>
      <c r="C613" s="4" t="s">
        <v>9</v>
      </c>
      <c r="D613" s="475">
        <v>26804.26</v>
      </c>
      <c r="E613" s="476">
        <v>0</v>
      </c>
      <c r="F613" s="6">
        <v>0</v>
      </c>
      <c r="G613" s="6">
        <v>0.16172</v>
      </c>
    </row>
    <row r="614" ht="30" customHeight="1" spans="1:7">
      <c r="A614" s="4" t="s">
        <v>2351</v>
      </c>
      <c r="B614" s="5" t="s">
        <v>2352</v>
      </c>
      <c r="C614" s="4" t="s">
        <v>9</v>
      </c>
      <c r="D614" s="475">
        <v>37930.83</v>
      </c>
      <c r="E614" s="476">
        <v>0</v>
      </c>
      <c r="F614" s="6">
        <v>0</v>
      </c>
      <c r="G614" s="6">
        <v>0.16172</v>
      </c>
    </row>
    <row r="615" ht="30" customHeight="1" spans="1:7">
      <c r="A615" s="4" t="s">
        <v>2353</v>
      </c>
      <c r="B615" s="5" t="s">
        <v>2354</v>
      </c>
      <c r="C615" s="4" t="s">
        <v>9</v>
      </c>
      <c r="D615" s="475">
        <v>34359.18</v>
      </c>
      <c r="E615" s="476">
        <v>0</v>
      </c>
      <c r="F615" s="6">
        <v>0</v>
      </c>
      <c r="G615" s="6">
        <v>0.16172</v>
      </c>
    </row>
    <row r="616" ht="30" customHeight="1" spans="1:7">
      <c r="A616" s="4" t="s">
        <v>2355</v>
      </c>
      <c r="B616" s="5" t="s">
        <v>2356</v>
      </c>
      <c r="C616" s="4" t="s">
        <v>9</v>
      </c>
      <c r="D616" s="475">
        <v>27555.86</v>
      </c>
      <c r="E616" s="476">
        <v>0</v>
      </c>
      <c r="F616" s="6">
        <v>0</v>
      </c>
      <c r="G616" s="6">
        <v>0.16172</v>
      </c>
    </row>
    <row r="617" ht="30" customHeight="1" spans="1:7">
      <c r="A617" s="4" t="s">
        <v>2357</v>
      </c>
      <c r="B617" s="5" t="s">
        <v>2358</v>
      </c>
      <c r="C617" s="4" t="s">
        <v>9</v>
      </c>
      <c r="D617" s="475">
        <v>23866.59</v>
      </c>
      <c r="E617" s="476">
        <v>0</v>
      </c>
      <c r="F617" s="6">
        <v>0</v>
      </c>
      <c r="G617" s="6">
        <v>0.16172</v>
      </c>
    </row>
    <row r="618" ht="30" customHeight="1" spans="1:7">
      <c r="A618" s="4" t="s">
        <v>2359</v>
      </c>
      <c r="B618" s="5" t="s">
        <v>2360</v>
      </c>
      <c r="C618" s="4" t="s">
        <v>9</v>
      </c>
      <c r="D618" s="475">
        <v>32264</v>
      </c>
      <c r="E618" s="476">
        <v>0</v>
      </c>
      <c r="F618" s="6">
        <v>0</v>
      </c>
      <c r="G618" s="6">
        <v>0.16172</v>
      </c>
    </row>
    <row r="619" ht="30" customHeight="1" spans="1:7">
      <c r="A619" s="4" t="s">
        <v>2361</v>
      </c>
      <c r="B619" s="5" t="s">
        <v>2362</v>
      </c>
      <c r="C619" s="4" t="s">
        <v>9</v>
      </c>
      <c r="D619" s="475">
        <v>28574.73</v>
      </c>
      <c r="E619" s="476">
        <v>0</v>
      </c>
      <c r="F619" s="6">
        <v>0</v>
      </c>
      <c r="G619" s="6">
        <v>0.16172</v>
      </c>
    </row>
    <row r="620" ht="30" customHeight="1" spans="1:7">
      <c r="A620" s="4" t="s">
        <v>2363</v>
      </c>
      <c r="B620" s="5" t="s">
        <v>2364</v>
      </c>
      <c r="C620" s="4" t="s">
        <v>9</v>
      </c>
      <c r="D620" s="475">
        <v>40593.3</v>
      </c>
      <c r="E620" s="476">
        <v>0</v>
      </c>
      <c r="F620" s="6">
        <v>0</v>
      </c>
      <c r="G620" s="6">
        <v>0.16172</v>
      </c>
    </row>
    <row r="621" ht="30" customHeight="1" spans="1:7">
      <c r="A621" s="4" t="s">
        <v>2365</v>
      </c>
      <c r="B621" s="5" t="s">
        <v>2366</v>
      </c>
      <c r="C621" s="4" t="s">
        <v>9</v>
      </c>
      <c r="D621" s="475">
        <v>36904.03</v>
      </c>
      <c r="E621" s="476">
        <v>0</v>
      </c>
      <c r="F621" s="6">
        <v>0</v>
      </c>
      <c r="G621" s="6">
        <v>0.16172</v>
      </c>
    </row>
    <row r="622" ht="30" customHeight="1" spans="1:7">
      <c r="A622" s="4" t="s">
        <v>2367</v>
      </c>
      <c r="B622" s="5" t="s">
        <v>2368</v>
      </c>
      <c r="C622" s="4" t="s">
        <v>9</v>
      </c>
      <c r="D622" s="475">
        <v>29506.27</v>
      </c>
      <c r="E622" s="476">
        <v>0</v>
      </c>
      <c r="F622" s="6">
        <v>0</v>
      </c>
      <c r="G622" s="6">
        <v>0.16335</v>
      </c>
    </row>
    <row r="623" ht="30" customHeight="1" spans="1:7">
      <c r="A623" s="4" t="s">
        <v>2369</v>
      </c>
      <c r="B623" s="5" t="s">
        <v>2370</v>
      </c>
      <c r="C623" s="4" t="s">
        <v>9</v>
      </c>
      <c r="D623" s="475">
        <v>27978.57</v>
      </c>
      <c r="E623" s="476">
        <v>0</v>
      </c>
      <c r="F623" s="6">
        <v>0</v>
      </c>
      <c r="G623" s="6">
        <v>0.16335</v>
      </c>
    </row>
    <row r="624" ht="30" customHeight="1" spans="1:7">
      <c r="A624" s="4" t="s">
        <v>2371</v>
      </c>
      <c r="B624" s="5" t="s">
        <v>2372</v>
      </c>
      <c r="C624" s="4" t="s">
        <v>9</v>
      </c>
      <c r="D624" s="475">
        <v>34673.48</v>
      </c>
      <c r="E624" s="476">
        <v>0</v>
      </c>
      <c r="F624" s="6">
        <v>0</v>
      </c>
      <c r="G624" s="6">
        <v>0.16335</v>
      </c>
    </row>
    <row r="625" ht="30" customHeight="1" spans="1:7">
      <c r="A625" s="4" t="s">
        <v>2373</v>
      </c>
      <c r="B625" s="5" t="s">
        <v>2374</v>
      </c>
      <c r="C625" s="4" t="s">
        <v>9</v>
      </c>
      <c r="D625" s="475">
        <v>33145.78</v>
      </c>
      <c r="E625" s="476">
        <v>0</v>
      </c>
      <c r="F625" s="6">
        <v>0</v>
      </c>
      <c r="G625" s="6">
        <v>0.16335</v>
      </c>
    </row>
    <row r="626" ht="30" customHeight="1" spans="1:7">
      <c r="A626" s="4" t="s">
        <v>2375</v>
      </c>
      <c r="B626" s="5" t="s">
        <v>2376</v>
      </c>
      <c r="C626" s="4" t="s">
        <v>9</v>
      </c>
      <c r="D626" s="475">
        <v>43814.94</v>
      </c>
      <c r="E626" s="476">
        <v>0</v>
      </c>
      <c r="F626" s="6">
        <v>0</v>
      </c>
      <c r="G626" s="6">
        <v>0.16335</v>
      </c>
    </row>
    <row r="627" ht="30" customHeight="1" spans="1:7">
      <c r="A627" s="4" t="s">
        <v>2377</v>
      </c>
      <c r="B627" s="5" t="s">
        <v>2378</v>
      </c>
      <c r="C627" s="4" t="s">
        <v>9</v>
      </c>
      <c r="D627" s="475">
        <v>42287.24</v>
      </c>
      <c r="E627" s="476">
        <v>0</v>
      </c>
      <c r="F627" s="6">
        <v>0</v>
      </c>
      <c r="G627" s="6">
        <v>0.16335</v>
      </c>
    </row>
    <row r="628" ht="30" customHeight="1" spans="1:7">
      <c r="A628" s="4" t="s">
        <v>2379</v>
      </c>
      <c r="B628" s="5" t="s">
        <v>2380</v>
      </c>
      <c r="C628" s="4" t="s">
        <v>9</v>
      </c>
      <c r="D628" s="475">
        <v>31694.45</v>
      </c>
      <c r="E628" s="476">
        <v>0</v>
      </c>
      <c r="F628" s="6">
        <v>0</v>
      </c>
      <c r="G628" s="6">
        <v>0.14002</v>
      </c>
    </row>
    <row r="629" ht="30" customHeight="1" spans="1:7">
      <c r="A629" s="4" t="s">
        <v>2381</v>
      </c>
      <c r="B629" s="5" t="s">
        <v>2382</v>
      </c>
      <c r="C629" s="4" t="s">
        <v>9</v>
      </c>
      <c r="D629" s="475">
        <v>30056.97</v>
      </c>
      <c r="E629" s="476">
        <v>0</v>
      </c>
      <c r="F629" s="6">
        <v>0</v>
      </c>
      <c r="G629" s="6">
        <v>0.14002</v>
      </c>
    </row>
    <row r="630" ht="30" customHeight="1" spans="1:7">
      <c r="A630" s="4" t="s">
        <v>2383</v>
      </c>
      <c r="B630" s="5" t="s">
        <v>2384</v>
      </c>
      <c r="C630" s="4" t="s">
        <v>9</v>
      </c>
      <c r="D630" s="475">
        <v>37342.07</v>
      </c>
      <c r="E630" s="476">
        <v>0</v>
      </c>
      <c r="F630" s="6">
        <v>0</v>
      </c>
      <c r="G630" s="6">
        <v>0.14002</v>
      </c>
    </row>
    <row r="631" ht="30" customHeight="1" spans="1:7">
      <c r="A631" s="4" t="s">
        <v>2385</v>
      </c>
      <c r="B631" s="5" t="s">
        <v>2386</v>
      </c>
      <c r="C631" s="4" t="s">
        <v>9</v>
      </c>
      <c r="D631" s="475">
        <v>35704.6</v>
      </c>
      <c r="E631" s="476">
        <v>0</v>
      </c>
      <c r="F631" s="6">
        <v>0</v>
      </c>
      <c r="G631" s="6">
        <v>0.14002</v>
      </c>
    </row>
    <row r="632" ht="30" customHeight="1" spans="1:7">
      <c r="A632" s="4" t="s">
        <v>2387</v>
      </c>
      <c r="B632" s="5" t="s">
        <v>2388</v>
      </c>
      <c r="C632" s="4" t="s">
        <v>9</v>
      </c>
      <c r="D632" s="475">
        <v>47333.47</v>
      </c>
      <c r="E632" s="476">
        <v>0</v>
      </c>
      <c r="F632" s="6">
        <v>0</v>
      </c>
      <c r="G632" s="6">
        <v>0.14002</v>
      </c>
    </row>
    <row r="633" ht="30" customHeight="1" spans="1:7">
      <c r="A633" s="4" t="s">
        <v>2389</v>
      </c>
      <c r="B633" s="5" t="s">
        <v>2390</v>
      </c>
      <c r="C633" s="4" t="s">
        <v>9</v>
      </c>
      <c r="D633" s="475">
        <v>45696</v>
      </c>
      <c r="E633" s="476">
        <v>0</v>
      </c>
      <c r="F633" s="6">
        <v>0</v>
      </c>
      <c r="G633" s="6">
        <v>0.14002</v>
      </c>
    </row>
    <row r="634" ht="30" customHeight="1" spans="1:7">
      <c r="A634" s="4" t="s">
        <v>2391</v>
      </c>
      <c r="B634" s="5" t="s">
        <v>2392</v>
      </c>
      <c r="C634" s="4" t="s">
        <v>9</v>
      </c>
      <c r="D634" s="475">
        <v>33739.7</v>
      </c>
      <c r="E634" s="476">
        <v>0</v>
      </c>
      <c r="F634" s="6">
        <v>0</v>
      </c>
      <c r="G634" s="6">
        <v>0.12835</v>
      </c>
    </row>
    <row r="635" ht="30" customHeight="1" spans="1:7">
      <c r="A635" s="4" t="s">
        <v>2393</v>
      </c>
      <c r="B635" s="5" t="s">
        <v>2394</v>
      </c>
      <c r="C635" s="4" t="s">
        <v>9</v>
      </c>
      <c r="D635" s="475">
        <v>32080.85</v>
      </c>
      <c r="E635" s="476">
        <v>0</v>
      </c>
      <c r="F635" s="6">
        <v>0</v>
      </c>
      <c r="G635" s="6">
        <v>0.12835</v>
      </c>
    </row>
    <row r="636" ht="30" customHeight="1" spans="1:7">
      <c r="A636" s="4" t="s">
        <v>2395</v>
      </c>
      <c r="B636" s="5" t="s">
        <v>2396</v>
      </c>
      <c r="C636" s="4" t="s">
        <v>9</v>
      </c>
      <c r="D636" s="475">
        <v>39889.1</v>
      </c>
      <c r="E636" s="476">
        <v>0</v>
      </c>
      <c r="F636" s="6">
        <v>0</v>
      </c>
      <c r="G636" s="6">
        <v>0.12835</v>
      </c>
    </row>
    <row r="637" ht="30" customHeight="1" spans="1:7">
      <c r="A637" s="4" t="s">
        <v>2397</v>
      </c>
      <c r="B637" s="5" t="s">
        <v>2398</v>
      </c>
      <c r="C637" s="4" t="s">
        <v>9</v>
      </c>
      <c r="D637" s="475">
        <v>38230.25</v>
      </c>
      <c r="E637" s="476">
        <v>0</v>
      </c>
      <c r="F637" s="6">
        <v>0</v>
      </c>
      <c r="G637" s="6">
        <v>0.12835</v>
      </c>
    </row>
    <row r="638" ht="30" customHeight="1" spans="1:7">
      <c r="A638" s="4" t="s">
        <v>2399</v>
      </c>
      <c r="B638" s="5" t="s">
        <v>2400</v>
      </c>
      <c r="C638" s="4" t="s">
        <v>9</v>
      </c>
      <c r="D638" s="475">
        <v>50768.19</v>
      </c>
      <c r="E638" s="476">
        <v>0</v>
      </c>
      <c r="F638" s="6">
        <v>0</v>
      </c>
      <c r="G638" s="6">
        <v>0.12835</v>
      </c>
    </row>
    <row r="639" ht="30" customHeight="1" spans="1:7">
      <c r="A639" s="4" t="s">
        <v>2401</v>
      </c>
      <c r="B639" s="5" t="s">
        <v>2402</v>
      </c>
      <c r="C639" s="4" t="s">
        <v>9</v>
      </c>
      <c r="D639" s="475">
        <v>49109.34</v>
      </c>
      <c r="E639" s="476">
        <v>0</v>
      </c>
      <c r="F639" s="6">
        <v>0</v>
      </c>
      <c r="G639" s="6">
        <v>0.12835</v>
      </c>
    </row>
    <row r="640" ht="30" customHeight="1" spans="1:7">
      <c r="A640" s="4" t="s">
        <v>2403</v>
      </c>
      <c r="B640" s="5" t="s">
        <v>2404</v>
      </c>
      <c r="C640" s="4" t="s">
        <v>9</v>
      </c>
      <c r="D640" s="475">
        <v>37131.48</v>
      </c>
      <c r="E640" s="476">
        <v>0</v>
      </c>
      <c r="F640" s="6">
        <v>0</v>
      </c>
      <c r="G640" s="6">
        <v>0.1476</v>
      </c>
    </row>
    <row r="641" ht="30" customHeight="1" spans="1:7">
      <c r="A641" s="4" t="s">
        <v>2405</v>
      </c>
      <c r="B641" s="5" t="s">
        <v>2406</v>
      </c>
      <c r="C641" s="4" t="s">
        <v>9</v>
      </c>
      <c r="D641" s="475">
        <v>35413.17</v>
      </c>
      <c r="E641" s="476">
        <v>0</v>
      </c>
      <c r="F641" s="6">
        <v>0</v>
      </c>
      <c r="G641" s="6">
        <v>0.1476</v>
      </c>
    </row>
    <row r="642" ht="30" customHeight="1" spans="1:7">
      <c r="A642" s="4" t="s">
        <v>2407</v>
      </c>
      <c r="B642" s="5" t="s">
        <v>2408</v>
      </c>
      <c r="C642" s="4" t="s">
        <v>9</v>
      </c>
      <c r="D642" s="475">
        <v>43804</v>
      </c>
      <c r="E642" s="476">
        <v>0</v>
      </c>
      <c r="F642" s="6">
        <v>0</v>
      </c>
      <c r="G642" s="6">
        <v>0.1476</v>
      </c>
    </row>
    <row r="643" ht="30" customHeight="1" spans="1:7">
      <c r="A643" s="4" t="s">
        <v>2409</v>
      </c>
      <c r="B643" s="5" t="s">
        <v>2410</v>
      </c>
      <c r="C643" s="4" t="s">
        <v>9</v>
      </c>
      <c r="D643" s="475">
        <v>42085.69</v>
      </c>
      <c r="E643" s="476">
        <v>0</v>
      </c>
      <c r="F643" s="6">
        <v>0</v>
      </c>
      <c r="G643" s="6">
        <v>0.1476</v>
      </c>
    </row>
    <row r="644" ht="30" customHeight="1" spans="1:7">
      <c r="A644" s="4" t="s">
        <v>2411</v>
      </c>
      <c r="B644" s="5" t="s">
        <v>2412</v>
      </c>
      <c r="C644" s="4" t="s">
        <v>9</v>
      </c>
      <c r="D644" s="475">
        <v>55608.58</v>
      </c>
      <c r="E644" s="476">
        <v>0</v>
      </c>
      <c r="F644" s="6">
        <v>0</v>
      </c>
      <c r="G644" s="6">
        <v>0.1476</v>
      </c>
    </row>
    <row r="645" ht="30" customHeight="1" spans="1:7">
      <c r="A645" s="4" t="s">
        <v>2413</v>
      </c>
      <c r="B645" s="5" t="s">
        <v>2414</v>
      </c>
      <c r="C645" s="4" t="s">
        <v>9</v>
      </c>
      <c r="D645" s="475">
        <v>53890.26</v>
      </c>
      <c r="E645" s="476">
        <v>0</v>
      </c>
      <c r="F645" s="6">
        <v>0</v>
      </c>
      <c r="G645" s="6">
        <v>0.1476</v>
      </c>
    </row>
    <row r="646" ht="30" customHeight="1" spans="1:7">
      <c r="A646" s="4" t="s">
        <v>2415</v>
      </c>
      <c r="B646" s="5" t="s">
        <v>2416</v>
      </c>
      <c r="C646" s="4" t="s">
        <v>9</v>
      </c>
      <c r="D646" s="475">
        <v>39431.66</v>
      </c>
      <c r="E646" s="476">
        <v>0</v>
      </c>
      <c r="F646" s="6">
        <v>0</v>
      </c>
      <c r="G646" s="6">
        <v>0.13625</v>
      </c>
    </row>
    <row r="647" ht="30" customHeight="1" spans="1:7">
      <c r="A647" s="4" t="s">
        <v>2417</v>
      </c>
      <c r="B647" s="5" t="s">
        <v>2418</v>
      </c>
      <c r="C647" s="4" t="s">
        <v>9</v>
      </c>
      <c r="D647" s="475">
        <v>37617.53</v>
      </c>
      <c r="E647" s="476">
        <v>0</v>
      </c>
      <c r="F647" s="6">
        <v>0</v>
      </c>
      <c r="G647" s="6">
        <v>0.13625</v>
      </c>
    </row>
    <row r="648" ht="30" customHeight="1" spans="1:7">
      <c r="A648" s="4" t="s">
        <v>2419</v>
      </c>
      <c r="B648" s="5" t="s">
        <v>2420</v>
      </c>
      <c r="C648" s="4" t="s">
        <v>9</v>
      </c>
      <c r="D648" s="475">
        <v>46648.67</v>
      </c>
      <c r="E648" s="476">
        <v>0</v>
      </c>
      <c r="F648" s="6">
        <v>0</v>
      </c>
      <c r="G648" s="6">
        <v>0.13625</v>
      </c>
    </row>
    <row r="649" ht="30" customHeight="1" spans="1:7">
      <c r="A649" s="4" t="s">
        <v>2421</v>
      </c>
      <c r="B649" s="5" t="s">
        <v>2422</v>
      </c>
      <c r="C649" s="4" t="s">
        <v>9</v>
      </c>
      <c r="D649" s="475">
        <v>44834.54</v>
      </c>
      <c r="E649" s="476">
        <v>0</v>
      </c>
      <c r="F649" s="6">
        <v>0</v>
      </c>
      <c r="G649" s="6">
        <v>0.13625</v>
      </c>
    </row>
    <row r="650" ht="30" customHeight="1" spans="1:7">
      <c r="A650" s="4" t="s">
        <v>2423</v>
      </c>
      <c r="B650" s="5" t="s">
        <v>2424</v>
      </c>
      <c r="C650" s="4" t="s">
        <v>9</v>
      </c>
      <c r="D650" s="475">
        <v>59416.5</v>
      </c>
      <c r="E650" s="476">
        <v>0</v>
      </c>
      <c r="F650" s="6">
        <v>0</v>
      </c>
      <c r="G650" s="6">
        <v>0.13625</v>
      </c>
    </row>
    <row r="651" ht="30" customHeight="1" spans="1:7">
      <c r="A651" s="4" t="s">
        <v>2425</v>
      </c>
      <c r="B651" s="5" t="s">
        <v>2426</v>
      </c>
      <c r="C651" s="4" t="s">
        <v>9</v>
      </c>
      <c r="D651" s="475">
        <v>57602.37</v>
      </c>
      <c r="E651" s="476">
        <v>0</v>
      </c>
      <c r="F651" s="6">
        <v>0</v>
      </c>
      <c r="G651" s="6">
        <v>0.13625</v>
      </c>
    </row>
    <row r="652" ht="15.75" customHeight="1" spans="1:7">
      <c r="A652" s="4" t="s">
        <v>2427</v>
      </c>
      <c r="B652" s="5" t="s">
        <v>2428</v>
      </c>
      <c r="C652" s="4" t="s">
        <v>99</v>
      </c>
      <c r="D652" s="475">
        <v>16.37</v>
      </c>
      <c r="E652" s="476">
        <v>0</v>
      </c>
      <c r="F652" s="6">
        <v>0</v>
      </c>
      <c r="G652" s="6">
        <v>3.46</v>
      </c>
    </row>
    <row r="653" ht="15.75" customHeight="1" spans="1:7">
      <c r="A653" s="4" t="s">
        <v>2429</v>
      </c>
      <c r="B653" s="5" t="s">
        <v>2430</v>
      </c>
      <c r="C653" s="4" t="s">
        <v>82</v>
      </c>
      <c r="D653" s="475">
        <v>14204.31</v>
      </c>
      <c r="E653" s="476">
        <v>0</v>
      </c>
      <c r="F653" s="6">
        <v>0</v>
      </c>
      <c r="G653" s="6">
        <v>1</v>
      </c>
    </row>
    <row r="654" ht="15.75" customHeight="1" spans="1:7">
      <c r="A654" s="4" t="s">
        <v>2431</v>
      </c>
      <c r="B654" s="5" t="s">
        <v>2432</v>
      </c>
      <c r="C654" s="4" t="s">
        <v>82</v>
      </c>
      <c r="D654" s="475">
        <v>13186.68</v>
      </c>
      <c r="E654" s="476">
        <v>0</v>
      </c>
      <c r="F654" s="6">
        <v>0</v>
      </c>
      <c r="G654" s="6">
        <v>1</v>
      </c>
    </row>
    <row r="655" ht="15.75" customHeight="1" spans="1:7">
      <c r="A655" s="4" t="s">
        <v>2433</v>
      </c>
      <c r="B655" s="5" t="s">
        <v>2434</v>
      </c>
      <c r="C655" s="4" t="s">
        <v>82</v>
      </c>
      <c r="D655" s="475">
        <v>15588.37</v>
      </c>
      <c r="E655" s="476">
        <v>0</v>
      </c>
      <c r="F655" s="6">
        <v>0</v>
      </c>
      <c r="G655" s="6">
        <v>1</v>
      </c>
    </row>
    <row r="656" ht="15.75" customHeight="1" spans="1:7">
      <c r="A656" s="4" t="s">
        <v>2435</v>
      </c>
      <c r="B656" s="5" t="s">
        <v>2436</v>
      </c>
      <c r="C656" s="4" t="s">
        <v>82</v>
      </c>
      <c r="D656" s="475">
        <v>14490.89</v>
      </c>
      <c r="E656" s="476">
        <v>0</v>
      </c>
      <c r="F656" s="6">
        <v>0</v>
      </c>
      <c r="G656" s="6">
        <v>1</v>
      </c>
    </row>
    <row r="657" ht="15.75" customHeight="1" spans="1:7">
      <c r="A657" s="4" t="s">
        <v>2437</v>
      </c>
      <c r="B657" s="5" t="s">
        <v>2438</v>
      </c>
      <c r="C657" s="4" t="s">
        <v>82</v>
      </c>
      <c r="D657" s="475">
        <v>16604.2</v>
      </c>
      <c r="E657" s="476">
        <v>0</v>
      </c>
      <c r="F657" s="6">
        <v>0</v>
      </c>
      <c r="G657" s="6">
        <v>1</v>
      </c>
    </row>
    <row r="658" ht="15.75" customHeight="1" spans="1:7">
      <c r="A658" s="4" t="s">
        <v>2439</v>
      </c>
      <c r="B658" s="5" t="s">
        <v>2440</v>
      </c>
      <c r="C658" s="4" t="s">
        <v>82</v>
      </c>
      <c r="D658" s="475">
        <v>15367.27</v>
      </c>
      <c r="E658" s="476">
        <v>0</v>
      </c>
      <c r="F658" s="6">
        <v>0</v>
      </c>
      <c r="G658" s="6">
        <v>1</v>
      </c>
    </row>
    <row r="659" ht="15.75" customHeight="1" spans="1:7">
      <c r="A659" s="4" t="s">
        <v>2441</v>
      </c>
      <c r="B659" s="5" t="s">
        <v>2442</v>
      </c>
      <c r="C659" s="4" t="s">
        <v>82</v>
      </c>
      <c r="D659" s="475">
        <v>20861.83</v>
      </c>
      <c r="E659" s="476">
        <v>0</v>
      </c>
      <c r="F659" s="6">
        <v>0</v>
      </c>
      <c r="G659" s="6">
        <v>1</v>
      </c>
    </row>
    <row r="660" ht="15.75" customHeight="1" spans="1:7">
      <c r="A660" s="4" t="s">
        <v>2443</v>
      </c>
      <c r="B660" s="5" t="s">
        <v>2444</v>
      </c>
      <c r="C660" s="4" t="s">
        <v>82</v>
      </c>
      <c r="D660" s="475">
        <v>19348.03</v>
      </c>
      <c r="E660" s="476">
        <v>0</v>
      </c>
      <c r="F660" s="6">
        <v>0</v>
      </c>
      <c r="G660" s="6">
        <v>1</v>
      </c>
    </row>
    <row r="661" ht="15.75" customHeight="1" spans="1:7">
      <c r="A661" s="4" t="s">
        <v>2445</v>
      </c>
      <c r="B661" s="5" t="s">
        <v>2446</v>
      </c>
      <c r="C661" s="4" t="s">
        <v>82</v>
      </c>
      <c r="D661" s="475">
        <v>22061.7</v>
      </c>
      <c r="E661" s="476">
        <v>0</v>
      </c>
      <c r="F661" s="6">
        <v>0</v>
      </c>
      <c r="G661" s="6">
        <v>1</v>
      </c>
    </row>
    <row r="662" ht="15.75" customHeight="1" spans="1:7">
      <c r="A662" s="4" t="s">
        <v>2447</v>
      </c>
      <c r="B662" s="5" t="s">
        <v>2448</v>
      </c>
      <c r="C662" s="4" t="s">
        <v>82</v>
      </c>
      <c r="D662" s="475">
        <v>20351.18</v>
      </c>
      <c r="E662" s="476">
        <v>0</v>
      </c>
      <c r="F662" s="6">
        <v>0</v>
      </c>
      <c r="G662" s="6">
        <v>1</v>
      </c>
    </row>
    <row r="663" ht="15.75" customHeight="1" spans="1:7">
      <c r="A663" s="4" t="s">
        <v>2449</v>
      </c>
      <c r="B663" s="5" t="s">
        <v>2450</v>
      </c>
      <c r="C663" s="4" t="s">
        <v>82</v>
      </c>
      <c r="D663" s="475">
        <v>24224.87</v>
      </c>
      <c r="E663" s="476">
        <v>0</v>
      </c>
      <c r="F663" s="6">
        <v>0</v>
      </c>
      <c r="G663" s="6">
        <v>1</v>
      </c>
    </row>
    <row r="664" ht="15.75" customHeight="1" spans="1:7">
      <c r="A664" s="4" t="s">
        <v>2451</v>
      </c>
      <c r="B664" s="5" t="s">
        <v>2452</v>
      </c>
      <c r="C664" s="4" t="s">
        <v>82</v>
      </c>
      <c r="D664" s="475">
        <v>22392.56</v>
      </c>
      <c r="E664" s="476">
        <v>0</v>
      </c>
      <c r="F664" s="6">
        <v>0</v>
      </c>
      <c r="G664" s="6">
        <v>1</v>
      </c>
    </row>
    <row r="665" ht="15.75" customHeight="1" spans="1:7">
      <c r="A665" s="4" t="s">
        <v>2453</v>
      </c>
      <c r="B665" s="5" t="s">
        <v>2454</v>
      </c>
      <c r="C665" s="4" t="s">
        <v>82</v>
      </c>
      <c r="D665" s="475">
        <v>25989.71</v>
      </c>
      <c r="E665" s="476">
        <v>0</v>
      </c>
      <c r="F665" s="6">
        <v>0</v>
      </c>
      <c r="G665" s="6">
        <v>1</v>
      </c>
    </row>
    <row r="666" ht="15.75" customHeight="1" spans="1:7">
      <c r="A666" s="4" t="s">
        <v>2455</v>
      </c>
      <c r="B666" s="5" t="s">
        <v>2456</v>
      </c>
      <c r="C666" s="4" t="s">
        <v>82</v>
      </c>
      <c r="D666" s="475">
        <v>23983.93</v>
      </c>
      <c r="E666" s="476">
        <v>0</v>
      </c>
      <c r="F666" s="6">
        <v>0</v>
      </c>
      <c r="G666" s="6">
        <v>1</v>
      </c>
    </row>
    <row r="667" ht="15.75" customHeight="1" spans="1:7">
      <c r="A667" s="4" t="s">
        <v>2457</v>
      </c>
      <c r="B667" s="5" t="s">
        <v>2458</v>
      </c>
      <c r="C667" s="4" t="s">
        <v>82</v>
      </c>
      <c r="D667" s="475">
        <v>33050.8</v>
      </c>
      <c r="E667" s="476">
        <v>0</v>
      </c>
      <c r="F667" s="6">
        <v>0</v>
      </c>
      <c r="G667" s="6">
        <v>1</v>
      </c>
    </row>
    <row r="668" ht="15.75" customHeight="1" spans="1:7">
      <c r="A668" s="4" t="s">
        <v>2459</v>
      </c>
      <c r="B668" s="5" t="s">
        <v>2460</v>
      </c>
      <c r="C668" s="4" t="s">
        <v>82</v>
      </c>
      <c r="D668" s="475">
        <v>30562.4</v>
      </c>
      <c r="E668" s="476">
        <v>0</v>
      </c>
      <c r="F668" s="6">
        <v>0</v>
      </c>
      <c r="G668" s="6">
        <v>1</v>
      </c>
    </row>
    <row r="669" ht="15.75" customHeight="1" spans="1:7">
      <c r="A669" s="4" t="s">
        <v>2461</v>
      </c>
      <c r="B669" s="5" t="s">
        <v>2462</v>
      </c>
      <c r="C669" s="4" t="s">
        <v>82</v>
      </c>
      <c r="D669" s="475">
        <v>30891.92</v>
      </c>
      <c r="E669" s="476">
        <v>0</v>
      </c>
      <c r="F669" s="6">
        <v>0</v>
      </c>
      <c r="G669" s="6">
        <v>1</v>
      </c>
    </row>
    <row r="670" ht="15.75" customHeight="1" spans="1:7">
      <c r="A670" s="4" t="s">
        <v>2463</v>
      </c>
      <c r="B670" s="5" t="s">
        <v>2464</v>
      </c>
      <c r="C670" s="4" t="s">
        <v>82</v>
      </c>
      <c r="D670" s="475">
        <v>28403.41</v>
      </c>
      <c r="E670" s="476">
        <v>0</v>
      </c>
      <c r="F670" s="6">
        <v>0</v>
      </c>
      <c r="G670" s="6">
        <v>1</v>
      </c>
    </row>
    <row r="671" ht="15.75" customHeight="1" spans="1:7">
      <c r="A671" s="4" t="s">
        <v>2465</v>
      </c>
      <c r="B671" s="5" t="s">
        <v>2466</v>
      </c>
      <c r="C671" s="4" t="s">
        <v>82</v>
      </c>
      <c r="D671" s="475">
        <v>33441.28</v>
      </c>
      <c r="E671" s="476">
        <v>0</v>
      </c>
      <c r="F671" s="6">
        <v>0</v>
      </c>
      <c r="G671" s="6">
        <v>1</v>
      </c>
    </row>
    <row r="672" ht="15.75" customHeight="1" spans="1:7">
      <c r="A672" s="4" t="s">
        <v>2467</v>
      </c>
      <c r="B672" s="5" t="s">
        <v>2468</v>
      </c>
      <c r="C672" s="4" t="s">
        <v>82</v>
      </c>
      <c r="D672" s="475">
        <v>30903.78</v>
      </c>
      <c r="E672" s="476">
        <v>0</v>
      </c>
      <c r="F672" s="6">
        <v>0</v>
      </c>
      <c r="G672" s="6">
        <v>1</v>
      </c>
    </row>
    <row r="673" ht="15.75" customHeight="1" spans="1:7">
      <c r="A673" s="4" t="s">
        <v>2469</v>
      </c>
      <c r="B673" s="5" t="s">
        <v>2470</v>
      </c>
      <c r="C673" s="4" t="s">
        <v>82</v>
      </c>
      <c r="D673" s="475">
        <v>35677.88</v>
      </c>
      <c r="E673" s="476">
        <v>0</v>
      </c>
      <c r="F673" s="6">
        <v>0</v>
      </c>
      <c r="G673" s="6">
        <v>1</v>
      </c>
    </row>
    <row r="674" ht="15.75" customHeight="1" spans="1:7">
      <c r="A674" s="4" t="s">
        <v>2471</v>
      </c>
      <c r="B674" s="5" t="s">
        <v>2472</v>
      </c>
      <c r="C674" s="4" t="s">
        <v>82</v>
      </c>
      <c r="D674" s="475">
        <v>33163.81</v>
      </c>
      <c r="E674" s="476">
        <v>0</v>
      </c>
      <c r="F674" s="6">
        <v>0</v>
      </c>
      <c r="G674" s="6">
        <v>1</v>
      </c>
    </row>
    <row r="675" ht="15.75" customHeight="1" spans="1:7">
      <c r="A675" s="4" t="s">
        <v>2473</v>
      </c>
      <c r="B675" s="5" t="s">
        <v>2474</v>
      </c>
      <c r="C675" s="4" t="s">
        <v>82</v>
      </c>
      <c r="D675" s="475">
        <v>47985.77</v>
      </c>
      <c r="E675" s="476">
        <v>0</v>
      </c>
      <c r="F675" s="6">
        <v>0</v>
      </c>
      <c r="G675" s="6">
        <v>1</v>
      </c>
    </row>
    <row r="676" ht="15.75" customHeight="1" spans="1:7">
      <c r="A676" s="4" t="s">
        <v>2475</v>
      </c>
      <c r="B676" s="5" t="s">
        <v>2476</v>
      </c>
      <c r="C676" s="4" t="s">
        <v>82</v>
      </c>
      <c r="D676" s="475">
        <v>44481.54</v>
      </c>
      <c r="E676" s="476">
        <v>0</v>
      </c>
      <c r="F676" s="6">
        <v>0</v>
      </c>
      <c r="G676" s="6">
        <v>1</v>
      </c>
    </row>
    <row r="677" ht="15.75" customHeight="1" spans="1:7">
      <c r="A677" s="4" t="s">
        <v>2477</v>
      </c>
      <c r="B677" s="5" t="s">
        <v>2478</v>
      </c>
      <c r="C677" s="4" t="s">
        <v>82</v>
      </c>
      <c r="D677" s="475">
        <v>44789.98</v>
      </c>
      <c r="E677" s="476">
        <v>0</v>
      </c>
      <c r="F677" s="6">
        <v>0</v>
      </c>
      <c r="G677" s="6">
        <v>1</v>
      </c>
    </row>
    <row r="678" ht="15.75" customHeight="1" spans="1:7">
      <c r="A678" s="4" t="s">
        <v>2479</v>
      </c>
      <c r="B678" s="5" t="s">
        <v>2480</v>
      </c>
      <c r="C678" s="4" t="s">
        <v>82</v>
      </c>
      <c r="D678" s="475">
        <v>41164.06</v>
      </c>
      <c r="E678" s="476">
        <v>0</v>
      </c>
      <c r="F678" s="6">
        <v>0</v>
      </c>
      <c r="G678" s="6">
        <v>1</v>
      </c>
    </row>
    <row r="679" ht="15.75" customHeight="1" spans="1:7">
      <c r="A679" s="4" t="s">
        <v>2481</v>
      </c>
      <c r="B679" s="5" t="s">
        <v>2482</v>
      </c>
      <c r="C679" s="4" t="s">
        <v>82</v>
      </c>
      <c r="D679" s="475">
        <v>48338.49</v>
      </c>
      <c r="E679" s="476">
        <v>0</v>
      </c>
      <c r="F679" s="6">
        <v>0</v>
      </c>
      <c r="G679" s="6">
        <v>1</v>
      </c>
    </row>
    <row r="680" ht="15.75" customHeight="1" spans="1:7">
      <c r="A680" s="4" t="s">
        <v>2483</v>
      </c>
      <c r="B680" s="5" t="s">
        <v>2484</v>
      </c>
      <c r="C680" s="4" t="s">
        <v>82</v>
      </c>
      <c r="D680" s="475">
        <v>44675.06</v>
      </c>
      <c r="E680" s="476">
        <v>0</v>
      </c>
      <c r="F680" s="6">
        <v>0</v>
      </c>
      <c r="G680" s="6">
        <v>1</v>
      </c>
    </row>
    <row r="681" ht="15.75" customHeight="1" spans="1:7">
      <c r="A681" s="4" t="s">
        <v>2485</v>
      </c>
      <c r="B681" s="5" t="s">
        <v>2486</v>
      </c>
      <c r="C681" s="4" t="s">
        <v>82</v>
      </c>
      <c r="D681" s="475">
        <v>54904.45</v>
      </c>
      <c r="E681" s="476">
        <v>0</v>
      </c>
      <c r="F681" s="6">
        <v>0</v>
      </c>
      <c r="G681" s="6">
        <v>1</v>
      </c>
    </row>
    <row r="682" ht="15.75" customHeight="1" spans="1:7">
      <c r="A682" s="4" t="s">
        <v>2487</v>
      </c>
      <c r="B682" s="5" t="s">
        <v>2488</v>
      </c>
      <c r="C682" s="4" t="s">
        <v>82</v>
      </c>
      <c r="D682" s="475">
        <v>50829.95</v>
      </c>
      <c r="E682" s="476">
        <v>0</v>
      </c>
      <c r="F682" s="6">
        <v>0</v>
      </c>
      <c r="G682" s="6">
        <v>1</v>
      </c>
    </row>
    <row r="683" ht="15.75" customHeight="1" spans="1:7">
      <c r="A683" s="4" t="s">
        <v>2489</v>
      </c>
      <c r="B683" s="5" t="s">
        <v>2490</v>
      </c>
      <c r="C683" s="4" t="s">
        <v>82</v>
      </c>
      <c r="D683" s="475">
        <v>69678.12</v>
      </c>
      <c r="E683" s="476">
        <v>0</v>
      </c>
      <c r="F683" s="6">
        <v>0</v>
      </c>
      <c r="G683" s="6">
        <v>1</v>
      </c>
    </row>
    <row r="684" ht="15.75" customHeight="1" spans="1:7">
      <c r="A684" s="4" t="s">
        <v>2491</v>
      </c>
      <c r="B684" s="5" t="s">
        <v>2492</v>
      </c>
      <c r="C684" s="4" t="s">
        <v>82</v>
      </c>
      <c r="D684" s="475">
        <v>64686.8</v>
      </c>
      <c r="E684" s="476">
        <v>0</v>
      </c>
      <c r="F684" s="6">
        <v>0</v>
      </c>
      <c r="G684" s="6">
        <v>1</v>
      </c>
    </row>
    <row r="685" ht="15.75" customHeight="1" spans="1:7">
      <c r="A685" s="4" t="s">
        <v>2493</v>
      </c>
      <c r="B685" s="5" t="s">
        <v>2494</v>
      </c>
      <c r="C685" s="4" t="s">
        <v>82</v>
      </c>
      <c r="D685" s="475">
        <v>12122.89</v>
      </c>
      <c r="E685" s="476">
        <v>0</v>
      </c>
      <c r="F685" s="6">
        <v>0</v>
      </c>
      <c r="G685" s="6">
        <v>1</v>
      </c>
    </row>
    <row r="686" ht="15.75" customHeight="1" spans="1:7">
      <c r="A686" s="4" t="s">
        <v>2495</v>
      </c>
      <c r="B686" s="5" t="s">
        <v>2496</v>
      </c>
      <c r="C686" s="4" t="s">
        <v>82</v>
      </c>
      <c r="D686" s="475">
        <v>11184.95</v>
      </c>
      <c r="E686" s="476">
        <v>0</v>
      </c>
      <c r="F686" s="6">
        <v>0</v>
      </c>
      <c r="G686" s="6">
        <v>1</v>
      </c>
    </row>
    <row r="687" ht="15.75" customHeight="1" spans="1:7">
      <c r="A687" s="4" t="s">
        <v>2497</v>
      </c>
      <c r="B687" s="5" t="s">
        <v>2498</v>
      </c>
      <c r="C687" s="4" t="s">
        <v>82</v>
      </c>
      <c r="D687" s="475">
        <v>12560.77</v>
      </c>
      <c r="E687" s="476">
        <v>0</v>
      </c>
      <c r="F687" s="6">
        <v>0</v>
      </c>
      <c r="G687" s="6">
        <v>1</v>
      </c>
    </row>
    <row r="688" ht="15.75" customHeight="1" spans="1:7">
      <c r="A688" s="4" t="s">
        <v>2499</v>
      </c>
      <c r="B688" s="5" t="s">
        <v>2500</v>
      </c>
      <c r="C688" s="4" t="s">
        <v>82</v>
      </c>
      <c r="D688" s="475">
        <v>11701.88</v>
      </c>
      <c r="E688" s="476">
        <v>0</v>
      </c>
      <c r="F688" s="6">
        <v>0</v>
      </c>
      <c r="G688" s="6">
        <v>1</v>
      </c>
    </row>
    <row r="689" ht="15.75" customHeight="1" spans="1:7">
      <c r="A689" s="4" t="s">
        <v>2501</v>
      </c>
      <c r="B689" s="5" t="s">
        <v>2502</v>
      </c>
      <c r="C689" s="4" t="s">
        <v>82</v>
      </c>
      <c r="D689" s="475">
        <v>13524.78</v>
      </c>
      <c r="E689" s="476">
        <v>0</v>
      </c>
      <c r="F689" s="6">
        <v>0</v>
      </c>
      <c r="G689" s="6">
        <v>1</v>
      </c>
    </row>
    <row r="690" ht="15.75" customHeight="1" spans="1:7">
      <c r="A690" s="4" t="s">
        <v>2503</v>
      </c>
      <c r="B690" s="5" t="s">
        <v>2504</v>
      </c>
      <c r="C690" s="4" t="s">
        <v>82</v>
      </c>
      <c r="D690" s="475">
        <v>12533.32</v>
      </c>
      <c r="E690" s="476">
        <v>0</v>
      </c>
      <c r="F690" s="6">
        <v>0</v>
      </c>
      <c r="G690" s="6">
        <v>1</v>
      </c>
    </row>
    <row r="691" ht="15.75" customHeight="1" spans="1:7">
      <c r="A691" s="4" t="s">
        <v>2505</v>
      </c>
      <c r="B691" s="5" t="s">
        <v>2506</v>
      </c>
      <c r="C691" s="4" t="s">
        <v>82</v>
      </c>
      <c r="D691" s="475">
        <v>16885.68</v>
      </c>
      <c r="E691" s="476">
        <v>0</v>
      </c>
      <c r="F691" s="6">
        <v>0</v>
      </c>
      <c r="G691" s="6">
        <v>1</v>
      </c>
    </row>
    <row r="692" ht="15.75" customHeight="1" spans="1:7">
      <c r="A692" s="4" t="s">
        <v>2507</v>
      </c>
      <c r="B692" s="5" t="s">
        <v>2508</v>
      </c>
      <c r="C692" s="4" t="s">
        <v>82</v>
      </c>
      <c r="D692" s="475">
        <v>15724.89</v>
      </c>
      <c r="E692" s="476">
        <v>0</v>
      </c>
      <c r="F692" s="6">
        <v>0</v>
      </c>
      <c r="G692" s="6">
        <v>1</v>
      </c>
    </row>
    <row r="693" ht="15.75" customHeight="1" spans="1:7">
      <c r="A693" s="4" t="s">
        <v>2509</v>
      </c>
      <c r="B693" s="5" t="s">
        <v>2510</v>
      </c>
      <c r="C693" s="4" t="s">
        <v>82</v>
      </c>
      <c r="D693" s="475">
        <v>18961.52</v>
      </c>
      <c r="E693" s="476">
        <v>0</v>
      </c>
      <c r="F693" s="6">
        <v>0</v>
      </c>
      <c r="G693" s="6">
        <v>1</v>
      </c>
    </row>
    <row r="694" ht="15.75" customHeight="1" spans="1:7">
      <c r="A694" s="4" t="s">
        <v>2511</v>
      </c>
      <c r="B694" s="5" t="s">
        <v>2512</v>
      </c>
      <c r="C694" s="4" t="s">
        <v>82</v>
      </c>
      <c r="D694" s="475">
        <v>17469.37</v>
      </c>
      <c r="E694" s="476">
        <v>0</v>
      </c>
      <c r="F694" s="6">
        <v>0</v>
      </c>
      <c r="G694" s="6">
        <v>1</v>
      </c>
    </row>
    <row r="695" ht="15.75" customHeight="1" spans="1:7">
      <c r="A695" s="4" t="s">
        <v>2513</v>
      </c>
      <c r="B695" s="5" t="s">
        <v>2514</v>
      </c>
      <c r="C695" s="4" t="s">
        <v>82</v>
      </c>
      <c r="D695" s="475">
        <v>19526.03</v>
      </c>
      <c r="E695" s="476">
        <v>0</v>
      </c>
      <c r="F695" s="6">
        <v>0</v>
      </c>
      <c r="G695" s="6">
        <v>1</v>
      </c>
    </row>
    <row r="696" ht="15.75" customHeight="1" spans="1:7">
      <c r="A696" s="4" t="s">
        <v>2515</v>
      </c>
      <c r="B696" s="5" t="s">
        <v>2516</v>
      </c>
      <c r="C696" s="4" t="s">
        <v>82</v>
      </c>
      <c r="D696" s="475">
        <v>18135.3</v>
      </c>
      <c r="E696" s="476">
        <v>0</v>
      </c>
      <c r="F696" s="6">
        <v>0</v>
      </c>
      <c r="G696" s="6">
        <v>1</v>
      </c>
    </row>
    <row r="697" ht="15.75" customHeight="1" spans="1:7">
      <c r="A697" s="4" t="s">
        <v>2517</v>
      </c>
      <c r="B697" s="5" t="s">
        <v>2518</v>
      </c>
      <c r="C697" s="4" t="s">
        <v>82</v>
      </c>
      <c r="D697" s="475">
        <v>21109.3</v>
      </c>
      <c r="E697" s="476">
        <v>0</v>
      </c>
      <c r="F697" s="6">
        <v>0</v>
      </c>
      <c r="G697" s="6">
        <v>1</v>
      </c>
    </row>
    <row r="698" ht="15.75" customHeight="1" spans="1:7">
      <c r="A698" s="4" t="s">
        <v>2519</v>
      </c>
      <c r="B698" s="5" t="s">
        <v>2520</v>
      </c>
      <c r="C698" s="4" t="s">
        <v>82</v>
      </c>
      <c r="D698" s="475">
        <v>19548.5</v>
      </c>
      <c r="E698" s="476">
        <v>0</v>
      </c>
      <c r="F698" s="6">
        <v>0</v>
      </c>
      <c r="G698" s="6">
        <v>1</v>
      </c>
    </row>
    <row r="699" ht="15.75" customHeight="1" spans="1:7">
      <c r="A699" s="4" t="s">
        <v>2521</v>
      </c>
      <c r="B699" s="5" t="s">
        <v>2522</v>
      </c>
      <c r="C699" s="4" t="s">
        <v>82</v>
      </c>
      <c r="D699" s="475">
        <v>27007.12</v>
      </c>
      <c r="E699" s="476">
        <v>0</v>
      </c>
      <c r="F699" s="6">
        <v>0</v>
      </c>
      <c r="G699" s="6">
        <v>1</v>
      </c>
    </row>
    <row r="700" ht="15.75" customHeight="1" spans="1:7">
      <c r="A700" s="4" t="s">
        <v>2523</v>
      </c>
      <c r="B700" s="5" t="s">
        <v>2524</v>
      </c>
      <c r="C700" s="4" t="s">
        <v>82</v>
      </c>
      <c r="D700" s="475">
        <v>25055.7</v>
      </c>
      <c r="E700" s="476">
        <v>0</v>
      </c>
      <c r="F700" s="6">
        <v>0</v>
      </c>
      <c r="G700" s="6">
        <v>1</v>
      </c>
    </row>
    <row r="701" ht="15.75" customHeight="1" spans="1:7">
      <c r="A701" s="4" t="s">
        <v>2525</v>
      </c>
      <c r="B701" s="5" t="s">
        <v>2526</v>
      </c>
      <c r="C701" s="4" t="s">
        <v>82</v>
      </c>
      <c r="D701" s="475">
        <v>25666.29</v>
      </c>
      <c r="E701" s="476">
        <v>0</v>
      </c>
      <c r="F701" s="6">
        <v>0</v>
      </c>
      <c r="G701" s="6">
        <v>1</v>
      </c>
    </row>
    <row r="702" ht="15.75" customHeight="1" spans="1:7">
      <c r="A702" s="4" t="s">
        <v>2527</v>
      </c>
      <c r="B702" s="5" t="s">
        <v>2528</v>
      </c>
      <c r="C702" s="4" t="s">
        <v>82</v>
      </c>
      <c r="D702" s="475">
        <v>23616.38</v>
      </c>
      <c r="E702" s="476">
        <v>0</v>
      </c>
      <c r="F702" s="6">
        <v>0</v>
      </c>
      <c r="G702" s="6">
        <v>1</v>
      </c>
    </row>
    <row r="703" ht="15.75" customHeight="1" spans="1:7">
      <c r="A703" s="4" t="s">
        <v>2529</v>
      </c>
      <c r="B703" s="5" t="s">
        <v>2530</v>
      </c>
      <c r="C703" s="4" t="s">
        <v>82</v>
      </c>
      <c r="D703" s="475">
        <v>27259.77</v>
      </c>
      <c r="E703" s="476">
        <v>0</v>
      </c>
      <c r="F703" s="6">
        <v>0</v>
      </c>
      <c r="G703" s="6">
        <v>1</v>
      </c>
    </row>
    <row r="704" ht="15.75" customHeight="1" spans="1:7">
      <c r="A704" s="4" t="s">
        <v>2531</v>
      </c>
      <c r="B704" s="5" t="s">
        <v>2532</v>
      </c>
      <c r="C704" s="4" t="s">
        <v>82</v>
      </c>
      <c r="D704" s="475">
        <v>25207.13</v>
      </c>
      <c r="E704" s="476">
        <v>0</v>
      </c>
      <c r="F704" s="6">
        <v>0</v>
      </c>
      <c r="G704" s="6">
        <v>1</v>
      </c>
    </row>
    <row r="705" ht="15.75" customHeight="1" spans="1:7">
      <c r="A705" s="4" t="s">
        <v>2533</v>
      </c>
      <c r="B705" s="5" t="s">
        <v>2534</v>
      </c>
      <c r="C705" s="4" t="s">
        <v>82</v>
      </c>
      <c r="D705" s="475">
        <v>30247.23</v>
      </c>
      <c r="E705" s="476">
        <v>0</v>
      </c>
      <c r="F705" s="6">
        <v>0</v>
      </c>
      <c r="G705" s="6">
        <v>1</v>
      </c>
    </row>
    <row r="706" ht="15.75" customHeight="1" spans="1:7">
      <c r="A706" s="4" t="s">
        <v>2535</v>
      </c>
      <c r="B706" s="5" t="s">
        <v>2536</v>
      </c>
      <c r="C706" s="4" t="s">
        <v>82</v>
      </c>
      <c r="D706" s="475">
        <v>28057.29</v>
      </c>
      <c r="E706" s="476">
        <v>0</v>
      </c>
      <c r="F706" s="6">
        <v>0</v>
      </c>
      <c r="G706" s="6">
        <v>1</v>
      </c>
    </row>
    <row r="707" ht="15.75" customHeight="1" spans="1:7">
      <c r="A707" s="4" t="s">
        <v>2537</v>
      </c>
      <c r="B707" s="5" t="s">
        <v>2538</v>
      </c>
      <c r="C707" s="4" t="s">
        <v>82</v>
      </c>
      <c r="D707" s="475">
        <v>38406.79</v>
      </c>
      <c r="E707" s="476">
        <v>0</v>
      </c>
      <c r="F707" s="6">
        <v>0</v>
      </c>
      <c r="G707" s="6">
        <v>1</v>
      </c>
    </row>
    <row r="708" ht="15.75" customHeight="1" spans="1:7">
      <c r="A708" s="4" t="s">
        <v>2539</v>
      </c>
      <c r="B708" s="5" t="s">
        <v>2540</v>
      </c>
      <c r="C708" s="4" t="s">
        <v>82</v>
      </c>
      <c r="D708" s="475">
        <v>35723.68</v>
      </c>
      <c r="E708" s="476">
        <v>0</v>
      </c>
      <c r="F708" s="6">
        <v>0</v>
      </c>
      <c r="G708" s="6">
        <v>1</v>
      </c>
    </row>
    <row r="709" ht="15.75" customHeight="1" spans="1:7">
      <c r="A709" s="4" t="s">
        <v>2541</v>
      </c>
      <c r="B709" s="5" t="s">
        <v>2542</v>
      </c>
      <c r="C709" s="4" t="s">
        <v>82</v>
      </c>
      <c r="D709" s="475">
        <v>36561.78</v>
      </c>
      <c r="E709" s="476">
        <v>0</v>
      </c>
      <c r="F709" s="6">
        <v>0</v>
      </c>
      <c r="G709" s="6">
        <v>1</v>
      </c>
    </row>
    <row r="710" ht="15.75" customHeight="1" spans="1:7">
      <c r="A710" s="4" t="s">
        <v>2543</v>
      </c>
      <c r="B710" s="5" t="s">
        <v>2544</v>
      </c>
      <c r="C710" s="4" t="s">
        <v>82</v>
      </c>
      <c r="D710" s="475">
        <v>33588.78</v>
      </c>
      <c r="E710" s="476">
        <v>0</v>
      </c>
      <c r="F710" s="6">
        <v>0</v>
      </c>
      <c r="G710" s="6">
        <v>1</v>
      </c>
    </row>
    <row r="711" ht="15.75" customHeight="1" spans="1:7">
      <c r="A711" s="4" t="s">
        <v>2545</v>
      </c>
      <c r="B711" s="5" t="s">
        <v>2546</v>
      </c>
      <c r="C711" s="4" t="s">
        <v>82</v>
      </c>
      <c r="D711" s="475">
        <v>38775.49</v>
      </c>
      <c r="E711" s="476">
        <v>0</v>
      </c>
      <c r="F711" s="6">
        <v>0</v>
      </c>
      <c r="G711" s="6">
        <v>1</v>
      </c>
    </row>
    <row r="712" ht="15.75" customHeight="1" spans="1:7">
      <c r="A712" s="4" t="s">
        <v>2547</v>
      </c>
      <c r="B712" s="5" t="s">
        <v>2548</v>
      </c>
      <c r="C712" s="4" t="s">
        <v>82</v>
      </c>
      <c r="D712" s="475">
        <v>35797.82</v>
      </c>
      <c r="E712" s="476">
        <v>0</v>
      </c>
      <c r="F712" s="6">
        <v>0</v>
      </c>
      <c r="G712" s="6">
        <v>1</v>
      </c>
    </row>
    <row r="713" ht="15.75" customHeight="1" spans="1:7">
      <c r="A713" s="4" t="s">
        <v>2549</v>
      </c>
      <c r="B713" s="5" t="s">
        <v>2550</v>
      </c>
      <c r="C713" s="4" t="s">
        <v>82</v>
      </c>
      <c r="D713" s="475">
        <v>42413.07</v>
      </c>
      <c r="E713" s="476">
        <v>0</v>
      </c>
      <c r="F713" s="6">
        <v>0</v>
      </c>
      <c r="G713" s="6">
        <v>1</v>
      </c>
    </row>
    <row r="714" ht="15.75" customHeight="1" spans="1:7">
      <c r="A714" s="4" t="s">
        <v>2551</v>
      </c>
      <c r="B714" s="5" t="s">
        <v>2552</v>
      </c>
      <c r="C714" s="4" t="s">
        <v>82</v>
      </c>
      <c r="D714" s="475">
        <v>39174.46</v>
      </c>
      <c r="E714" s="476">
        <v>0</v>
      </c>
      <c r="F714" s="6">
        <v>0</v>
      </c>
      <c r="G714" s="6">
        <v>1</v>
      </c>
    </row>
    <row r="715" ht="15.75" customHeight="1" spans="1:7">
      <c r="A715" s="4" t="s">
        <v>2553</v>
      </c>
      <c r="B715" s="5" t="s">
        <v>2554</v>
      </c>
      <c r="C715" s="4" t="s">
        <v>82</v>
      </c>
      <c r="D715" s="475">
        <v>53770.78</v>
      </c>
      <c r="E715" s="476">
        <v>0</v>
      </c>
      <c r="F715" s="6">
        <v>0</v>
      </c>
      <c r="G715" s="6">
        <v>1</v>
      </c>
    </row>
    <row r="716" ht="15.75" customHeight="1" spans="1:7">
      <c r="A716" s="4" t="s">
        <v>2555</v>
      </c>
      <c r="B716" s="5" t="s">
        <v>2556</v>
      </c>
      <c r="C716" s="4" t="s">
        <v>82</v>
      </c>
      <c r="D716" s="475">
        <v>49854.56</v>
      </c>
      <c r="E716" s="476">
        <v>0</v>
      </c>
      <c r="F716" s="6">
        <v>0</v>
      </c>
      <c r="G716" s="6">
        <v>1</v>
      </c>
    </row>
    <row r="717" ht="15.75" customHeight="1" spans="1:7">
      <c r="A717" s="4" t="s">
        <v>2557</v>
      </c>
      <c r="B717" s="5" t="s">
        <v>2558</v>
      </c>
      <c r="C717" s="4" t="s">
        <v>82</v>
      </c>
      <c r="D717" s="475">
        <v>17804.89</v>
      </c>
      <c r="E717" s="476">
        <v>0</v>
      </c>
      <c r="F717" s="6">
        <v>0</v>
      </c>
      <c r="G717" s="6">
        <v>1</v>
      </c>
    </row>
    <row r="718" ht="15.75" customHeight="1" spans="1:7">
      <c r="A718" s="4" t="s">
        <v>2559</v>
      </c>
      <c r="B718" s="5" t="s">
        <v>2560</v>
      </c>
      <c r="C718" s="4" t="s">
        <v>82</v>
      </c>
      <c r="D718" s="475">
        <v>16441.89</v>
      </c>
      <c r="E718" s="476">
        <v>0</v>
      </c>
      <c r="F718" s="6">
        <v>0</v>
      </c>
      <c r="G718" s="6">
        <v>1</v>
      </c>
    </row>
    <row r="719" ht="15.75" customHeight="1" spans="1:7">
      <c r="A719" s="4" t="s">
        <v>2561</v>
      </c>
      <c r="B719" s="5" t="s">
        <v>2562</v>
      </c>
      <c r="C719" s="4" t="s">
        <v>82</v>
      </c>
      <c r="D719" s="475">
        <v>19270.1</v>
      </c>
      <c r="E719" s="476">
        <v>0</v>
      </c>
      <c r="F719" s="6">
        <v>0</v>
      </c>
      <c r="G719" s="6">
        <v>1</v>
      </c>
    </row>
    <row r="720" ht="15.75" customHeight="1" spans="1:7">
      <c r="A720" s="4" t="s">
        <v>2563</v>
      </c>
      <c r="B720" s="5" t="s">
        <v>2564</v>
      </c>
      <c r="C720" s="4" t="s">
        <v>82</v>
      </c>
      <c r="D720" s="475">
        <v>17890.9</v>
      </c>
      <c r="E720" s="476">
        <v>0</v>
      </c>
      <c r="F720" s="6">
        <v>0</v>
      </c>
      <c r="G720" s="6">
        <v>1</v>
      </c>
    </row>
    <row r="721" ht="15.75" customHeight="1" spans="1:7">
      <c r="A721" s="4" t="s">
        <v>2565</v>
      </c>
      <c r="B721" s="5" t="s">
        <v>2566</v>
      </c>
      <c r="C721" s="4" t="s">
        <v>82</v>
      </c>
      <c r="D721" s="475">
        <v>20129.95</v>
      </c>
      <c r="E721" s="476">
        <v>0</v>
      </c>
      <c r="F721" s="6">
        <v>0</v>
      </c>
      <c r="G721" s="6">
        <v>1</v>
      </c>
    </row>
    <row r="722" ht="15.75" customHeight="1" spans="1:7">
      <c r="A722" s="4" t="s">
        <v>2567</v>
      </c>
      <c r="B722" s="5" t="s">
        <v>2568</v>
      </c>
      <c r="C722" s="4" t="s">
        <v>82</v>
      </c>
      <c r="D722" s="475">
        <v>18593.76</v>
      </c>
      <c r="E722" s="476">
        <v>0</v>
      </c>
      <c r="F722" s="6">
        <v>0</v>
      </c>
      <c r="G722" s="6">
        <v>1</v>
      </c>
    </row>
    <row r="723" ht="15.75" customHeight="1" spans="1:7">
      <c r="A723" s="4" t="s">
        <v>2569</v>
      </c>
      <c r="B723" s="5" t="s">
        <v>2570</v>
      </c>
      <c r="C723" s="4" t="s">
        <v>82</v>
      </c>
      <c r="D723" s="475">
        <v>25392.22</v>
      </c>
      <c r="E723" s="476">
        <v>0</v>
      </c>
      <c r="F723" s="6">
        <v>0</v>
      </c>
      <c r="G723" s="6">
        <v>1</v>
      </c>
    </row>
    <row r="724" ht="15.75" customHeight="1" spans="1:7">
      <c r="A724" s="4" t="s">
        <v>2571</v>
      </c>
      <c r="B724" s="5" t="s">
        <v>2572</v>
      </c>
      <c r="C724" s="4" t="s">
        <v>82</v>
      </c>
      <c r="D724" s="475">
        <v>23499.8</v>
      </c>
      <c r="E724" s="476">
        <v>0</v>
      </c>
      <c r="F724" s="6">
        <v>0</v>
      </c>
      <c r="G724" s="6">
        <v>1</v>
      </c>
    </row>
    <row r="725" ht="15.75" customHeight="1" spans="1:7">
      <c r="A725" s="4" t="s">
        <v>2573</v>
      </c>
      <c r="B725" s="5" t="s">
        <v>2574</v>
      </c>
      <c r="C725" s="4" t="s">
        <v>82</v>
      </c>
      <c r="D725" s="475">
        <v>27092.16</v>
      </c>
      <c r="E725" s="476">
        <v>0</v>
      </c>
      <c r="F725" s="6">
        <v>0</v>
      </c>
      <c r="G725" s="6">
        <v>1</v>
      </c>
    </row>
    <row r="726" ht="15.75" customHeight="1" spans="1:7">
      <c r="A726" s="4" t="s">
        <v>2575</v>
      </c>
      <c r="B726" s="5" t="s">
        <v>2576</v>
      </c>
      <c r="C726" s="4" t="s">
        <v>82</v>
      </c>
      <c r="D726" s="475">
        <v>24894.75</v>
      </c>
      <c r="E726" s="476">
        <v>0</v>
      </c>
      <c r="F726" s="6">
        <v>0</v>
      </c>
      <c r="G726" s="6">
        <v>1</v>
      </c>
    </row>
    <row r="727" ht="15.75" customHeight="1" spans="1:7">
      <c r="A727" s="4" t="s">
        <v>2577</v>
      </c>
      <c r="B727" s="5" t="s">
        <v>2578</v>
      </c>
      <c r="C727" s="4" t="s">
        <v>82</v>
      </c>
      <c r="D727" s="475">
        <v>29168.08</v>
      </c>
      <c r="E727" s="476">
        <v>0</v>
      </c>
      <c r="F727" s="6">
        <v>0</v>
      </c>
      <c r="G727" s="6">
        <v>1</v>
      </c>
    </row>
    <row r="728" ht="15.75" customHeight="1" spans="1:7">
      <c r="A728" s="4" t="s">
        <v>2579</v>
      </c>
      <c r="B728" s="5" t="s">
        <v>2580</v>
      </c>
      <c r="C728" s="4" t="s">
        <v>82</v>
      </c>
      <c r="D728" s="475">
        <v>26967.28</v>
      </c>
      <c r="E728" s="476">
        <v>0</v>
      </c>
      <c r="F728" s="6">
        <v>0</v>
      </c>
      <c r="G728" s="6">
        <v>1</v>
      </c>
    </row>
    <row r="729" ht="15.75" customHeight="1" spans="1:7">
      <c r="A729" s="4" t="s">
        <v>2581</v>
      </c>
      <c r="B729" s="5" t="s">
        <v>2582</v>
      </c>
      <c r="C729" s="4" t="s">
        <v>82</v>
      </c>
      <c r="D729" s="475">
        <v>32104.62</v>
      </c>
      <c r="E729" s="476">
        <v>0</v>
      </c>
      <c r="F729" s="6">
        <v>0</v>
      </c>
      <c r="G729" s="6">
        <v>1</v>
      </c>
    </row>
    <row r="730" ht="15.75" customHeight="1" spans="1:7">
      <c r="A730" s="4" t="s">
        <v>2583</v>
      </c>
      <c r="B730" s="5" t="s">
        <v>2584</v>
      </c>
      <c r="C730" s="4" t="s">
        <v>82</v>
      </c>
      <c r="D730" s="475">
        <v>29624.8</v>
      </c>
      <c r="E730" s="476">
        <v>0</v>
      </c>
      <c r="F730" s="6">
        <v>0</v>
      </c>
      <c r="G730" s="6">
        <v>1</v>
      </c>
    </row>
    <row r="731" ht="15.75" customHeight="1" spans="1:7">
      <c r="A731" s="4" t="s">
        <v>2585</v>
      </c>
      <c r="B731" s="5" t="s">
        <v>2586</v>
      </c>
      <c r="C731" s="4" t="s">
        <v>82</v>
      </c>
      <c r="D731" s="475">
        <v>40733.75</v>
      </c>
      <c r="E731" s="476">
        <v>0</v>
      </c>
      <c r="F731" s="6">
        <v>0</v>
      </c>
      <c r="G731" s="6">
        <v>1</v>
      </c>
    </row>
    <row r="732" ht="15.75" customHeight="1" spans="1:7">
      <c r="A732" s="4" t="s">
        <v>2587</v>
      </c>
      <c r="B732" s="5" t="s">
        <v>2588</v>
      </c>
      <c r="C732" s="4" t="s">
        <v>82</v>
      </c>
      <c r="D732" s="475">
        <v>37681.39</v>
      </c>
      <c r="E732" s="476">
        <v>0</v>
      </c>
      <c r="F732" s="6">
        <v>0</v>
      </c>
      <c r="G732" s="6">
        <v>1</v>
      </c>
    </row>
    <row r="733" ht="15.75" customHeight="1" spans="1:7">
      <c r="A733" s="4" t="s">
        <v>2589</v>
      </c>
      <c r="B733" s="5" t="s">
        <v>2590</v>
      </c>
      <c r="C733" s="4" t="s">
        <v>82</v>
      </c>
      <c r="D733" s="475">
        <v>38466.69</v>
      </c>
      <c r="E733" s="476">
        <v>0</v>
      </c>
      <c r="F733" s="6">
        <v>0</v>
      </c>
      <c r="G733" s="6">
        <v>1</v>
      </c>
    </row>
    <row r="734" ht="15.75" customHeight="1" spans="1:7">
      <c r="A734" s="4" t="s">
        <v>2591</v>
      </c>
      <c r="B734" s="5" t="s">
        <v>2592</v>
      </c>
      <c r="C734" s="4" t="s">
        <v>82</v>
      </c>
      <c r="D734" s="475">
        <v>35395.64</v>
      </c>
      <c r="E734" s="476">
        <v>0</v>
      </c>
      <c r="F734" s="6">
        <v>0</v>
      </c>
      <c r="G734" s="6">
        <v>1</v>
      </c>
    </row>
    <row r="735" ht="15.75" customHeight="1" spans="1:7">
      <c r="A735" s="4" t="s">
        <v>2593</v>
      </c>
      <c r="B735" s="5" t="s">
        <v>2594</v>
      </c>
      <c r="C735" s="4" t="s">
        <v>82</v>
      </c>
      <c r="D735" s="475">
        <v>41418.95</v>
      </c>
      <c r="E735" s="476">
        <v>0</v>
      </c>
      <c r="F735" s="6">
        <v>0</v>
      </c>
      <c r="G735" s="6">
        <v>1</v>
      </c>
    </row>
    <row r="736" ht="15.75" customHeight="1" spans="1:7">
      <c r="A736" s="4" t="s">
        <v>2595</v>
      </c>
      <c r="B736" s="5" t="s">
        <v>2596</v>
      </c>
      <c r="C736" s="4" t="s">
        <v>82</v>
      </c>
      <c r="D736" s="475">
        <v>38331.84</v>
      </c>
      <c r="E736" s="476">
        <v>0</v>
      </c>
      <c r="F736" s="6">
        <v>0</v>
      </c>
      <c r="G736" s="6">
        <v>1</v>
      </c>
    </row>
    <row r="737" ht="15.75" customHeight="1" spans="1:7">
      <c r="A737" s="4" t="s">
        <v>2597</v>
      </c>
      <c r="B737" s="5" t="s">
        <v>2598</v>
      </c>
      <c r="C737" s="4" t="s">
        <v>82</v>
      </c>
      <c r="D737" s="475">
        <v>47185.48</v>
      </c>
      <c r="E737" s="476">
        <v>0</v>
      </c>
      <c r="F737" s="6">
        <v>0</v>
      </c>
      <c r="G737" s="6">
        <v>1</v>
      </c>
    </row>
    <row r="738" ht="15.75" customHeight="1" spans="1:7">
      <c r="A738" s="4" t="s">
        <v>2599</v>
      </c>
      <c r="B738" s="5" t="s">
        <v>2600</v>
      </c>
      <c r="C738" s="4" t="s">
        <v>82</v>
      </c>
      <c r="D738" s="475">
        <v>43731.34</v>
      </c>
      <c r="E738" s="476">
        <v>0</v>
      </c>
      <c r="F738" s="6">
        <v>0</v>
      </c>
      <c r="G738" s="6">
        <v>1</v>
      </c>
    </row>
    <row r="739" ht="15.75" customHeight="1" spans="1:7">
      <c r="A739" s="4" t="s">
        <v>2601</v>
      </c>
      <c r="B739" s="5" t="s">
        <v>2602</v>
      </c>
      <c r="C739" s="4" t="s">
        <v>82</v>
      </c>
      <c r="D739" s="475">
        <v>59827.92</v>
      </c>
      <c r="E739" s="476">
        <v>0</v>
      </c>
      <c r="F739" s="6">
        <v>0</v>
      </c>
      <c r="G739" s="6">
        <v>1</v>
      </c>
    </row>
    <row r="740" ht="15.75" customHeight="1" spans="1:7">
      <c r="A740" s="4" t="s">
        <v>2603</v>
      </c>
      <c r="B740" s="5" t="s">
        <v>2604</v>
      </c>
      <c r="C740" s="4" t="s">
        <v>82</v>
      </c>
      <c r="D740" s="475">
        <v>55589.41</v>
      </c>
      <c r="E740" s="476">
        <v>0</v>
      </c>
      <c r="F740" s="6">
        <v>0</v>
      </c>
      <c r="G740" s="6">
        <v>1</v>
      </c>
    </row>
    <row r="741" ht="15.75" customHeight="1" spans="1:7">
      <c r="A741" s="4" t="s">
        <v>2605</v>
      </c>
      <c r="B741" s="5" t="s">
        <v>2606</v>
      </c>
      <c r="C741" s="4" t="s">
        <v>82</v>
      </c>
      <c r="D741" s="475">
        <v>54482.73</v>
      </c>
      <c r="E741" s="476">
        <v>0</v>
      </c>
      <c r="F741" s="6">
        <v>0</v>
      </c>
      <c r="G741" s="6">
        <v>1</v>
      </c>
    </row>
    <row r="742" ht="15.75" customHeight="1" spans="1:7">
      <c r="A742" s="4" t="s">
        <v>2607</v>
      </c>
      <c r="B742" s="5" t="s">
        <v>2608</v>
      </c>
      <c r="C742" s="4" t="s">
        <v>82</v>
      </c>
      <c r="D742" s="475">
        <v>50041</v>
      </c>
      <c r="E742" s="476">
        <v>0</v>
      </c>
      <c r="F742" s="6">
        <v>0</v>
      </c>
      <c r="G742" s="6">
        <v>1</v>
      </c>
    </row>
    <row r="743" ht="15.75" customHeight="1" spans="1:7">
      <c r="A743" s="4" t="s">
        <v>2609</v>
      </c>
      <c r="B743" s="5" t="s">
        <v>2610</v>
      </c>
      <c r="C743" s="4" t="s">
        <v>82</v>
      </c>
      <c r="D743" s="475">
        <v>56370.54</v>
      </c>
      <c r="E743" s="476">
        <v>0</v>
      </c>
      <c r="F743" s="6">
        <v>0</v>
      </c>
      <c r="G743" s="6">
        <v>1</v>
      </c>
    </row>
    <row r="744" ht="15.75" customHeight="1" spans="1:7">
      <c r="A744" s="4" t="s">
        <v>2611</v>
      </c>
      <c r="B744" s="5" t="s">
        <v>2612</v>
      </c>
      <c r="C744" s="4" t="s">
        <v>82</v>
      </c>
      <c r="D744" s="475">
        <v>51998.55</v>
      </c>
      <c r="E744" s="476">
        <v>0</v>
      </c>
      <c r="F744" s="6">
        <v>0</v>
      </c>
      <c r="G744" s="6">
        <v>1</v>
      </c>
    </row>
    <row r="745" ht="15.75" customHeight="1" spans="1:7">
      <c r="A745" s="4" t="s">
        <v>2613</v>
      </c>
      <c r="B745" s="5" t="s">
        <v>2614</v>
      </c>
      <c r="C745" s="4" t="s">
        <v>82</v>
      </c>
      <c r="D745" s="475">
        <v>68068.42</v>
      </c>
      <c r="E745" s="476">
        <v>0</v>
      </c>
      <c r="F745" s="6">
        <v>0</v>
      </c>
      <c r="G745" s="6">
        <v>1</v>
      </c>
    </row>
    <row r="746" ht="15.75" customHeight="1" spans="1:7">
      <c r="A746" s="4" t="s">
        <v>2615</v>
      </c>
      <c r="B746" s="5" t="s">
        <v>2616</v>
      </c>
      <c r="C746" s="4" t="s">
        <v>82</v>
      </c>
      <c r="D746" s="475">
        <v>63189.4</v>
      </c>
      <c r="E746" s="476">
        <v>0</v>
      </c>
      <c r="F746" s="6">
        <v>0</v>
      </c>
      <c r="G746" s="6">
        <v>1</v>
      </c>
    </row>
    <row r="747" ht="15.75" customHeight="1" spans="1:7">
      <c r="A747" s="4" t="s">
        <v>2617</v>
      </c>
      <c r="B747" s="5" t="s">
        <v>2618</v>
      </c>
      <c r="C747" s="4" t="s">
        <v>82</v>
      </c>
      <c r="D747" s="475">
        <v>86413.64</v>
      </c>
      <c r="E747" s="476">
        <v>0</v>
      </c>
      <c r="F747" s="6">
        <v>0</v>
      </c>
      <c r="G747" s="6">
        <v>1</v>
      </c>
    </row>
    <row r="748" ht="15.75" customHeight="1" spans="1:7">
      <c r="A748" s="4" t="s">
        <v>2619</v>
      </c>
      <c r="B748" s="5" t="s">
        <v>2620</v>
      </c>
      <c r="C748" s="4" t="s">
        <v>82</v>
      </c>
      <c r="D748" s="475">
        <v>80370.53</v>
      </c>
      <c r="E748" s="476">
        <v>0</v>
      </c>
      <c r="F748" s="6">
        <v>0</v>
      </c>
      <c r="G748" s="6">
        <v>1</v>
      </c>
    </row>
    <row r="749" ht="15.75" customHeight="1" spans="1:7">
      <c r="A749" s="4" t="s">
        <v>2621</v>
      </c>
      <c r="B749" s="5" t="s">
        <v>2622</v>
      </c>
      <c r="C749" s="4" t="s">
        <v>9</v>
      </c>
      <c r="D749" s="475">
        <v>4167.35</v>
      </c>
      <c r="E749" s="476">
        <v>0</v>
      </c>
      <c r="F749" s="6">
        <v>0</v>
      </c>
      <c r="G749" s="6">
        <v>1</v>
      </c>
    </row>
    <row r="750" ht="15.75" customHeight="1" spans="1:7">
      <c r="A750" s="4" t="s">
        <v>2623</v>
      </c>
      <c r="B750" s="5" t="s">
        <v>2624</v>
      </c>
      <c r="C750" s="4" t="s">
        <v>9</v>
      </c>
      <c r="D750" s="475">
        <v>3890.35</v>
      </c>
      <c r="E750" s="476">
        <v>0</v>
      </c>
      <c r="F750" s="6">
        <v>0</v>
      </c>
      <c r="G750" s="6">
        <v>1</v>
      </c>
    </row>
    <row r="751" ht="15.75" customHeight="1" spans="1:7">
      <c r="A751" s="4" t="s">
        <v>2625</v>
      </c>
      <c r="B751" s="5" t="s">
        <v>2626</v>
      </c>
      <c r="C751" s="4" t="s">
        <v>9</v>
      </c>
      <c r="D751" s="475">
        <v>3601.34</v>
      </c>
      <c r="E751" s="476">
        <v>0</v>
      </c>
      <c r="F751" s="6">
        <v>0</v>
      </c>
      <c r="G751" s="6">
        <v>1</v>
      </c>
    </row>
    <row r="752" ht="15.75" customHeight="1" spans="1:7">
      <c r="A752" s="4" t="s">
        <v>2627</v>
      </c>
      <c r="B752" s="5" t="s">
        <v>2628</v>
      </c>
      <c r="C752" s="4" t="s">
        <v>9</v>
      </c>
      <c r="D752" s="475">
        <v>3324.33</v>
      </c>
      <c r="E752" s="476">
        <v>0</v>
      </c>
      <c r="F752" s="6">
        <v>0</v>
      </c>
      <c r="G752" s="6">
        <v>1</v>
      </c>
    </row>
    <row r="753" ht="15.75" customHeight="1" spans="1:7">
      <c r="A753" s="4" t="s">
        <v>2629</v>
      </c>
      <c r="B753" s="5" t="s">
        <v>2630</v>
      </c>
      <c r="C753" s="4" t="s">
        <v>9</v>
      </c>
      <c r="D753" s="475">
        <v>5273.71</v>
      </c>
      <c r="E753" s="476">
        <v>0</v>
      </c>
      <c r="F753" s="6">
        <v>0</v>
      </c>
      <c r="G753" s="6">
        <v>1</v>
      </c>
    </row>
    <row r="754" ht="15.75" customHeight="1" spans="1:7">
      <c r="A754" s="4" t="s">
        <v>2631</v>
      </c>
      <c r="B754" s="5" t="s">
        <v>2632</v>
      </c>
      <c r="C754" s="4" t="s">
        <v>9</v>
      </c>
      <c r="D754" s="475">
        <v>4907.35</v>
      </c>
      <c r="E754" s="476">
        <v>0</v>
      </c>
      <c r="F754" s="6">
        <v>0</v>
      </c>
      <c r="G754" s="6">
        <v>1</v>
      </c>
    </row>
    <row r="755" ht="15.75" customHeight="1" spans="1:7">
      <c r="A755" s="4" t="s">
        <v>2633</v>
      </c>
      <c r="B755" s="5" t="s">
        <v>2634</v>
      </c>
      <c r="C755" s="4" t="s">
        <v>9</v>
      </c>
      <c r="D755" s="475">
        <v>5550.35</v>
      </c>
      <c r="E755" s="476">
        <v>0</v>
      </c>
      <c r="F755" s="6">
        <v>0</v>
      </c>
      <c r="G755" s="6">
        <v>1</v>
      </c>
    </row>
    <row r="756" ht="15.75" customHeight="1" spans="1:7">
      <c r="A756" s="4" t="s">
        <v>2635</v>
      </c>
      <c r="B756" s="5" t="s">
        <v>2636</v>
      </c>
      <c r="C756" s="4" t="s">
        <v>9</v>
      </c>
      <c r="D756" s="475">
        <v>5183.99</v>
      </c>
      <c r="E756" s="476">
        <v>0</v>
      </c>
      <c r="F756" s="6">
        <v>0</v>
      </c>
      <c r="G756" s="6">
        <v>1</v>
      </c>
    </row>
    <row r="757" ht="15.75" customHeight="1" spans="1:7">
      <c r="A757" s="4" t="s">
        <v>2637</v>
      </c>
      <c r="B757" s="5" t="s">
        <v>2638</v>
      </c>
      <c r="C757" s="4" t="s">
        <v>9</v>
      </c>
      <c r="D757" s="475">
        <v>3864.57</v>
      </c>
      <c r="E757" s="476">
        <v>0</v>
      </c>
      <c r="F757" s="6">
        <v>0</v>
      </c>
      <c r="G757" s="6">
        <v>1</v>
      </c>
    </row>
    <row r="758" ht="15.75" customHeight="1" spans="1:7">
      <c r="A758" s="4" t="s">
        <v>2639</v>
      </c>
      <c r="B758" s="5" t="s">
        <v>2640</v>
      </c>
      <c r="C758" s="4" t="s">
        <v>9</v>
      </c>
      <c r="D758" s="475">
        <v>3587.57</v>
      </c>
      <c r="E758" s="476">
        <v>0</v>
      </c>
      <c r="F758" s="6">
        <v>0</v>
      </c>
      <c r="G758" s="6">
        <v>1</v>
      </c>
    </row>
    <row r="759" ht="15.75" customHeight="1" spans="1:7">
      <c r="A759" s="4" t="s">
        <v>2641</v>
      </c>
      <c r="B759" s="5" t="s">
        <v>2642</v>
      </c>
      <c r="C759" s="4" t="s">
        <v>9</v>
      </c>
      <c r="D759" s="475">
        <v>4384.83</v>
      </c>
      <c r="E759" s="476">
        <v>0</v>
      </c>
      <c r="F759" s="6">
        <v>0</v>
      </c>
      <c r="G759" s="6">
        <v>1</v>
      </c>
    </row>
    <row r="760" ht="15.75" customHeight="1" spans="1:7">
      <c r="A760" s="4" t="s">
        <v>2643</v>
      </c>
      <c r="B760" s="5" t="s">
        <v>2644</v>
      </c>
      <c r="C760" s="4" t="s">
        <v>9</v>
      </c>
      <c r="D760" s="475">
        <v>4107.83</v>
      </c>
      <c r="E760" s="476">
        <v>0</v>
      </c>
      <c r="F760" s="6">
        <v>0</v>
      </c>
      <c r="G760" s="6">
        <v>1</v>
      </c>
    </row>
    <row r="761" ht="15.75" customHeight="1" spans="1:7">
      <c r="A761" s="4" t="s">
        <v>2645</v>
      </c>
      <c r="B761" s="5" t="s">
        <v>2646</v>
      </c>
      <c r="C761" s="4" t="s">
        <v>9</v>
      </c>
      <c r="D761" s="475">
        <v>4832</v>
      </c>
      <c r="E761" s="476">
        <v>0</v>
      </c>
      <c r="F761" s="6">
        <v>0</v>
      </c>
      <c r="G761" s="6">
        <v>1</v>
      </c>
    </row>
    <row r="762" ht="15.75" customHeight="1" spans="1:7">
      <c r="A762" s="4" t="s">
        <v>2647</v>
      </c>
      <c r="B762" s="5" t="s">
        <v>2648</v>
      </c>
      <c r="C762" s="4" t="s">
        <v>9</v>
      </c>
      <c r="D762" s="475">
        <v>4555</v>
      </c>
      <c r="E762" s="476">
        <v>0</v>
      </c>
      <c r="F762" s="6">
        <v>0</v>
      </c>
      <c r="G762" s="6">
        <v>1</v>
      </c>
    </row>
    <row r="763" ht="15.75" customHeight="1" spans="1:7">
      <c r="A763" s="4" t="s">
        <v>2649</v>
      </c>
      <c r="B763" s="5" t="s">
        <v>2650</v>
      </c>
      <c r="C763" s="4" t="s">
        <v>9</v>
      </c>
      <c r="D763" s="475">
        <v>5989.55</v>
      </c>
      <c r="E763" s="476">
        <v>0</v>
      </c>
      <c r="F763" s="6">
        <v>0</v>
      </c>
      <c r="G763" s="6">
        <v>1</v>
      </c>
    </row>
    <row r="764" ht="15.75" customHeight="1" spans="1:7">
      <c r="A764" s="4" t="s">
        <v>2651</v>
      </c>
      <c r="B764" s="5" t="s">
        <v>2652</v>
      </c>
      <c r="C764" s="4" t="s">
        <v>9</v>
      </c>
      <c r="D764" s="475">
        <v>5631.36</v>
      </c>
      <c r="E764" s="476">
        <v>0</v>
      </c>
      <c r="F764" s="6">
        <v>0</v>
      </c>
      <c r="G764" s="6">
        <v>1</v>
      </c>
    </row>
    <row r="765" ht="15.75" customHeight="1" spans="1:7">
      <c r="A765" s="4" t="s">
        <v>2653</v>
      </c>
      <c r="B765" s="5" t="s">
        <v>2654</v>
      </c>
      <c r="C765" s="4" t="s">
        <v>9</v>
      </c>
      <c r="D765" s="475">
        <v>5296.63</v>
      </c>
      <c r="E765" s="476">
        <v>0</v>
      </c>
      <c r="F765" s="6">
        <v>0</v>
      </c>
      <c r="G765" s="6">
        <v>1</v>
      </c>
    </row>
    <row r="766" ht="15.75" customHeight="1" spans="1:7">
      <c r="A766" s="4" t="s">
        <v>2655</v>
      </c>
      <c r="B766" s="5" t="s">
        <v>2656</v>
      </c>
      <c r="C766" s="4" t="s">
        <v>9</v>
      </c>
      <c r="D766" s="475">
        <v>4938.44</v>
      </c>
      <c r="E766" s="476">
        <v>0</v>
      </c>
      <c r="F766" s="6">
        <v>0</v>
      </c>
      <c r="G766" s="6">
        <v>1</v>
      </c>
    </row>
    <row r="767" ht="15.75" customHeight="1" spans="1:7">
      <c r="A767" s="4" t="s">
        <v>2657</v>
      </c>
      <c r="B767" s="5" t="s">
        <v>2658</v>
      </c>
      <c r="C767" s="4" t="s">
        <v>9</v>
      </c>
      <c r="D767" s="475">
        <v>8293.43</v>
      </c>
      <c r="E767" s="476">
        <v>0</v>
      </c>
      <c r="F767" s="6">
        <v>0</v>
      </c>
      <c r="G767" s="6">
        <v>1</v>
      </c>
    </row>
    <row r="768" ht="15.75" customHeight="1" spans="1:7">
      <c r="A768" s="4" t="s">
        <v>2659</v>
      </c>
      <c r="B768" s="5" t="s">
        <v>2660</v>
      </c>
      <c r="C768" s="4" t="s">
        <v>9</v>
      </c>
      <c r="D768" s="475">
        <v>7716.71</v>
      </c>
      <c r="E768" s="476">
        <v>0</v>
      </c>
      <c r="F768" s="6">
        <v>0</v>
      </c>
      <c r="G768" s="6">
        <v>1</v>
      </c>
    </row>
    <row r="769" ht="15.75" customHeight="1" spans="1:7">
      <c r="A769" s="4" t="s">
        <v>2661</v>
      </c>
      <c r="B769" s="5" t="s">
        <v>2662</v>
      </c>
      <c r="C769" s="4" t="s">
        <v>9</v>
      </c>
      <c r="D769" s="475">
        <v>8510.25</v>
      </c>
      <c r="E769" s="476">
        <v>0</v>
      </c>
      <c r="F769" s="6">
        <v>0</v>
      </c>
      <c r="G769" s="6">
        <v>1</v>
      </c>
    </row>
    <row r="770" ht="15.75" customHeight="1" spans="1:7">
      <c r="A770" s="4" t="s">
        <v>2663</v>
      </c>
      <c r="B770" s="5" t="s">
        <v>2664</v>
      </c>
      <c r="C770" s="4" t="s">
        <v>9</v>
      </c>
      <c r="D770" s="475">
        <v>7933.52</v>
      </c>
      <c r="E770" s="476">
        <v>0</v>
      </c>
      <c r="F770" s="6">
        <v>0</v>
      </c>
      <c r="G770" s="6">
        <v>1</v>
      </c>
    </row>
    <row r="771" ht="15.75" customHeight="1" spans="1:7">
      <c r="A771" s="4" t="s">
        <v>2665</v>
      </c>
      <c r="B771" s="5" t="s">
        <v>2666</v>
      </c>
      <c r="C771" s="4" t="s">
        <v>9</v>
      </c>
      <c r="D771" s="475">
        <v>5977.94</v>
      </c>
      <c r="E771" s="476">
        <v>0</v>
      </c>
      <c r="F771" s="6">
        <v>0</v>
      </c>
      <c r="G771" s="6">
        <v>1</v>
      </c>
    </row>
    <row r="772" ht="15.75" customHeight="1" spans="1:7">
      <c r="A772" s="4" t="s">
        <v>2667</v>
      </c>
      <c r="B772" s="5" t="s">
        <v>2668</v>
      </c>
      <c r="C772" s="4" t="s">
        <v>9</v>
      </c>
      <c r="D772" s="475">
        <v>5619.75</v>
      </c>
      <c r="E772" s="476">
        <v>0</v>
      </c>
      <c r="F772" s="6">
        <v>0</v>
      </c>
      <c r="G772" s="6">
        <v>1</v>
      </c>
    </row>
    <row r="773" ht="15.75" customHeight="1" spans="1:7">
      <c r="A773" s="4" t="s">
        <v>2669</v>
      </c>
      <c r="B773" s="5" t="s">
        <v>2670</v>
      </c>
      <c r="C773" s="4" t="s">
        <v>9</v>
      </c>
      <c r="D773" s="475">
        <v>6740.98</v>
      </c>
      <c r="E773" s="476">
        <v>0</v>
      </c>
      <c r="F773" s="6">
        <v>0</v>
      </c>
      <c r="G773" s="6">
        <v>1</v>
      </c>
    </row>
    <row r="774" ht="15.75" customHeight="1" spans="1:7">
      <c r="A774" s="4" t="s">
        <v>2671</v>
      </c>
      <c r="B774" s="5" t="s">
        <v>2672</v>
      </c>
      <c r="C774" s="4" t="s">
        <v>9</v>
      </c>
      <c r="D774" s="475">
        <v>6272.89</v>
      </c>
      <c r="E774" s="476">
        <v>0</v>
      </c>
      <c r="F774" s="6">
        <v>0</v>
      </c>
      <c r="G774" s="6">
        <v>1</v>
      </c>
    </row>
    <row r="775" ht="15.75" customHeight="1" spans="1:7">
      <c r="A775" s="4" t="s">
        <v>2673</v>
      </c>
      <c r="B775" s="5" t="s">
        <v>2674</v>
      </c>
      <c r="C775" s="4" t="s">
        <v>9</v>
      </c>
      <c r="D775" s="475">
        <v>7694.76</v>
      </c>
      <c r="E775" s="476">
        <v>0</v>
      </c>
      <c r="F775" s="6">
        <v>0</v>
      </c>
      <c r="G775" s="6">
        <v>1</v>
      </c>
    </row>
    <row r="776" ht="15.75" customHeight="1" spans="1:7">
      <c r="A776" s="4" t="s">
        <v>2675</v>
      </c>
      <c r="B776" s="5" t="s">
        <v>2676</v>
      </c>
      <c r="C776" s="4" t="s">
        <v>9</v>
      </c>
      <c r="D776" s="475">
        <v>7226.67</v>
      </c>
      <c r="E776" s="476">
        <v>0</v>
      </c>
      <c r="F776" s="6">
        <v>0</v>
      </c>
      <c r="G776" s="6">
        <v>1</v>
      </c>
    </row>
    <row r="777" ht="15.75" customHeight="1" spans="1:7">
      <c r="A777" s="4" t="s">
        <v>2677</v>
      </c>
      <c r="B777" s="5" t="s">
        <v>2678</v>
      </c>
      <c r="C777" s="4" t="s">
        <v>9</v>
      </c>
      <c r="D777" s="475">
        <v>7700.33</v>
      </c>
      <c r="E777" s="476">
        <v>0</v>
      </c>
      <c r="F777" s="6">
        <v>0</v>
      </c>
      <c r="G777" s="6">
        <v>1</v>
      </c>
    </row>
    <row r="778" ht="15.75" customHeight="1" spans="1:7">
      <c r="A778" s="4" t="s">
        <v>2679</v>
      </c>
      <c r="B778" s="5" t="s">
        <v>2680</v>
      </c>
      <c r="C778" s="4" t="s">
        <v>9</v>
      </c>
      <c r="D778" s="475">
        <v>7250.07</v>
      </c>
      <c r="E778" s="476">
        <v>0</v>
      </c>
      <c r="F778" s="6">
        <v>0</v>
      </c>
      <c r="G778" s="6">
        <v>1</v>
      </c>
    </row>
    <row r="779" ht="15.75" customHeight="1" spans="1:7">
      <c r="A779" s="4" t="s">
        <v>2681</v>
      </c>
      <c r="B779" s="5" t="s">
        <v>2682</v>
      </c>
      <c r="C779" s="4" t="s">
        <v>9</v>
      </c>
      <c r="D779" s="475">
        <v>7015.31</v>
      </c>
      <c r="E779" s="476">
        <v>0</v>
      </c>
      <c r="F779" s="6">
        <v>0</v>
      </c>
      <c r="G779" s="6">
        <v>1</v>
      </c>
    </row>
    <row r="780" ht="15.75" customHeight="1" spans="1:7">
      <c r="A780" s="4" t="s">
        <v>2683</v>
      </c>
      <c r="B780" s="5" t="s">
        <v>2684</v>
      </c>
      <c r="C780" s="4" t="s">
        <v>9</v>
      </c>
      <c r="D780" s="475">
        <v>6565.05</v>
      </c>
      <c r="E780" s="476">
        <v>0</v>
      </c>
      <c r="F780" s="6">
        <v>0</v>
      </c>
      <c r="G780" s="6">
        <v>1</v>
      </c>
    </row>
    <row r="781" ht="15.75" customHeight="1" spans="1:7">
      <c r="A781" s="4" t="s">
        <v>2685</v>
      </c>
      <c r="B781" s="5" t="s">
        <v>2686</v>
      </c>
      <c r="C781" s="4" t="s">
        <v>9</v>
      </c>
      <c r="D781" s="475">
        <v>10870.85</v>
      </c>
      <c r="E781" s="476">
        <v>0</v>
      </c>
      <c r="F781" s="6">
        <v>0</v>
      </c>
      <c r="G781" s="6">
        <v>1</v>
      </c>
    </row>
    <row r="782" ht="15.75" customHeight="1" spans="1:7">
      <c r="A782" s="4" t="s">
        <v>2687</v>
      </c>
      <c r="B782" s="5" t="s">
        <v>2688</v>
      </c>
      <c r="C782" s="4" t="s">
        <v>9</v>
      </c>
      <c r="D782" s="475">
        <v>10176.69</v>
      </c>
      <c r="E782" s="476">
        <v>0</v>
      </c>
      <c r="F782" s="6">
        <v>0</v>
      </c>
      <c r="G782" s="6">
        <v>1</v>
      </c>
    </row>
    <row r="783" ht="15.75" customHeight="1" spans="1:7">
      <c r="A783" s="4" t="s">
        <v>2689</v>
      </c>
      <c r="B783" s="5" t="s">
        <v>2690</v>
      </c>
      <c r="C783" s="4" t="s">
        <v>9</v>
      </c>
      <c r="D783" s="475">
        <v>11768.05</v>
      </c>
      <c r="E783" s="476">
        <v>0</v>
      </c>
      <c r="F783" s="6">
        <v>0</v>
      </c>
      <c r="G783" s="6">
        <v>1</v>
      </c>
    </row>
    <row r="784" ht="15.75" customHeight="1" spans="1:7">
      <c r="A784" s="4" t="s">
        <v>2691</v>
      </c>
      <c r="B784" s="5" t="s">
        <v>2692</v>
      </c>
      <c r="C784" s="4" t="s">
        <v>9</v>
      </c>
      <c r="D784" s="475">
        <v>11073.89</v>
      </c>
      <c r="E784" s="476">
        <v>0</v>
      </c>
      <c r="F784" s="6">
        <v>0</v>
      </c>
      <c r="G784" s="6">
        <v>1</v>
      </c>
    </row>
    <row r="785" ht="15.75" customHeight="1" spans="1:7">
      <c r="A785" s="4" t="s">
        <v>2693</v>
      </c>
      <c r="B785" s="5" t="s">
        <v>2694</v>
      </c>
      <c r="C785" s="4" t="s">
        <v>9</v>
      </c>
      <c r="D785" s="475">
        <v>7944.45</v>
      </c>
      <c r="E785" s="476">
        <v>0</v>
      </c>
      <c r="F785" s="6">
        <v>0</v>
      </c>
      <c r="G785" s="6">
        <v>1</v>
      </c>
    </row>
    <row r="786" ht="15.75" customHeight="1" spans="1:7">
      <c r="A786" s="4" t="s">
        <v>2695</v>
      </c>
      <c r="B786" s="5" t="s">
        <v>2696</v>
      </c>
      <c r="C786" s="4" t="s">
        <v>9</v>
      </c>
      <c r="D786" s="475">
        <v>7374.63</v>
      </c>
      <c r="E786" s="476">
        <v>0</v>
      </c>
      <c r="F786" s="6">
        <v>0</v>
      </c>
      <c r="G786" s="6">
        <v>1</v>
      </c>
    </row>
    <row r="787" ht="15.75" customHeight="1" spans="1:7">
      <c r="A787" s="4" t="s">
        <v>2697</v>
      </c>
      <c r="B787" s="5" t="s">
        <v>2698</v>
      </c>
      <c r="C787" s="4" t="s">
        <v>9</v>
      </c>
      <c r="D787" s="475">
        <v>9092.52</v>
      </c>
      <c r="E787" s="476">
        <v>0</v>
      </c>
      <c r="F787" s="6">
        <v>0</v>
      </c>
      <c r="G787" s="6">
        <v>1</v>
      </c>
    </row>
    <row r="788" ht="15.75" customHeight="1" spans="1:7">
      <c r="A788" s="4" t="s">
        <v>2699</v>
      </c>
      <c r="B788" s="5" t="s">
        <v>2700</v>
      </c>
      <c r="C788" s="4" t="s">
        <v>9</v>
      </c>
      <c r="D788" s="475">
        <v>8522.7</v>
      </c>
      <c r="E788" s="476">
        <v>0</v>
      </c>
      <c r="F788" s="6">
        <v>0</v>
      </c>
      <c r="G788" s="6">
        <v>1</v>
      </c>
    </row>
    <row r="789" ht="15.75" customHeight="1" spans="1:7">
      <c r="A789" s="4" t="s">
        <v>2701</v>
      </c>
      <c r="B789" s="5" t="s">
        <v>2702</v>
      </c>
      <c r="C789" s="4" t="s">
        <v>9</v>
      </c>
      <c r="D789" s="475">
        <v>9815.73</v>
      </c>
      <c r="E789" s="476">
        <v>0</v>
      </c>
      <c r="F789" s="6">
        <v>0</v>
      </c>
      <c r="G789" s="6">
        <v>1</v>
      </c>
    </row>
    <row r="790" ht="15.75" customHeight="1" spans="1:7">
      <c r="A790" s="4" t="s">
        <v>2703</v>
      </c>
      <c r="B790" s="5" t="s">
        <v>2704</v>
      </c>
      <c r="C790" s="4" t="s">
        <v>9</v>
      </c>
      <c r="D790" s="475">
        <v>9121.57</v>
      </c>
      <c r="E790" s="476">
        <v>0</v>
      </c>
      <c r="F790" s="6">
        <v>0</v>
      </c>
      <c r="G790" s="6">
        <v>1</v>
      </c>
    </row>
    <row r="791" ht="15.75" customHeight="1" spans="1:7">
      <c r="A791" s="4" t="s">
        <v>2705</v>
      </c>
      <c r="B791" s="5" t="s">
        <v>2706</v>
      </c>
      <c r="C791" s="4" t="s">
        <v>9</v>
      </c>
      <c r="D791" s="475">
        <v>9882.58</v>
      </c>
      <c r="E791" s="476">
        <v>0</v>
      </c>
      <c r="F791" s="6">
        <v>0</v>
      </c>
      <c r="G791" s="6">
        <v>1</v>
      </c>
    </row>
    <row r="792" ht="15.75" customHeight="1" spans="1:7">
      <c r="A792" s="4" t="s">
        <v>2707</v>
      </c>
      <c r="B792" s="5" t="s">
        <v>2708</v>
      </c>
      <c r="C792" s="4" t="s">
        <v>9</v>
      </c>
      <c r="D792" s="475">
        <v>9211.03</v>
      </c>
      <c r="E792" s="476">
        <v>0</v>
      </c>
      <c r="F792" s="6">
        <v>0</v>
      </c>
      <c r="G792" s="6">
        <v>1</v>
      </c>
    </row>
    <row r="793" ht="15.75" customHeight="1" spans="1:7">
      <c r="A793" s="4" t="s">
        <v>2709</v>
      </c>
      <c r="B793" s="5" t="s">
        <v>2710</v>
      </c>
      <c r="C793" s="4" t="s">
        <v>9</v>
      </c>
      <c r="D793" s="475">
        <v>9230.01</v>
      </c>
      <c r="E793" s="476">
        <v>0</v>
      </c>
      <c r="F793" s="6">
        <v>0</v>
      </c>
      <c r="G793" s="6">
        <v>1</v>
      </c>
    </row>
    <row r="794" ht="15.75" customHeight="1" spans="1:7">
      <c r="A794" s="4" t="s">
        <v>2711</v>
      </c>
      <c r="B794" s="5" t="s">
        <v>2712</v>
      </c>
      <c r="C794" s="4" t="s">
        <v>9</v>
      </c>
      <c r="D794" s="475">
        <v>8558.46</v>
      </c>
      <c r="E794" s="476">
        <v>0</v>
      </c>
      <c r="F794" s="6">
        <v>0</v>
      </c>
      <c r="G794" s="6">
        <v>1</v>
      </c>
    </row>
    <row r="795" ht="15.75" customHeight="1" spans="1:7">
      <c r="A795" s="4" t="s">
        <v>2713</v>
      </c>
      <c r="B795" s="5" t="s">
        <v>2714</v>
      </c>
      <c r="C795" s="4" t="s">
        <v>9</v>
      </c>
      <c r="D795" s="475">
        <v>15110.08</v>
      </c>
      <c r="E795" s="476">
        <v>0</v>
      </c>
      <c r="F795" s="6">
        <v>0</v>
      </c>
      <c r="G795" s="6">
        <v>1</v>
      </c>
    </row>
    <row r="796" ht="15.75" customHeight="1" spans="1:7">
      <c r="A796" s="4" t="s">
        <v>2715</v>
      </c>
      <c r="B796" s="5" t="s">
        <v>2716</v>
      </c>
      <c r="C796" s="4" t="s">
        <v>9</v>
      </c>
      <c r="D796" s="475">
        <v>14106.42</v>
      </c>
      <c r="E796" s="476">
        <v>0</v>
      </c>
      <c r="F796" s="6">
        <v>0</v>
      </c>
      <c r="G796" s="6">
        <v>1</v>
      </c>
    </row>
    <row r="797" ht="15.75" customHeight="1" spans="1:7">
      <c r="A797" s="4" t="s">
        <v>2717</v>
      </c>
      <c r="B797" s="5" t="s">
        <v>2718</v>
      </c>
      <c r="C797" s="4" t="s">
        <v>9</v>
      </c>
      <c r="D797" s="475">
        <v>15007.55</v>
      </c>
      <c r="E797" s="476">
        <v>0</v>
      </c>
      <c r="F797" s="6">
        <v>0</v>
      </c>
      <c r="G797" s="6">
        <v>1</v>
      </c>
    </row>
    <row r="798" ht="15.75" customHeight="1" spans="1:7">
      <c r="A798" s="4" t="s">
        <v>2719</v>
      </c>
      <c r="B798" s="5" t="s">
        <v>2720</v>
      </c>
      <c r="C798" s="4" t="s">
        <v>9</v>
      </c>
      <c r="D798" s="475">
        <v>14003.89</v>
      </c>
      <c r="E798" s="476">
        <v>0</v>
      </c>
      <c r="F798" s="6">
        <v>0</v>
      </c>
      <c r="G798" s="6">
        <v>1</v>
      </c>
    </row>
    <row r="799" ht="15.75" customHeight="1" spans="1:7">
      <c r="A799" s="4" t="s">
        <v>2721</v>
      </c>
      <c r="B799" s="5" t="s">
        <v>2722</v>
      </c>
      <c r="C799" s="4" t="s">
        <v>9</v>
      </c>
      <c r="D799" s="475">
        <v>9938.22</v>
      </c>
      <c r="E799" s="476">
        <v>0</v>
      </c>
      <c r="F799" s="6">
        <v>0</v>
      </c>
      <c r="G799" s="6">
        <v>1</v>
      </c>
    </row>
    <row r="800" ht="15.75" customHeight="1" spans="1:7">
      <c r="A800" s="4" t="s">
        <v>2723</v>
      </c>
      <c r="B800" s="5" t="s">
        <v>2724</v>
      </c>
      <c r="C800" s="4" t="s">
        <v>9</v>
      </c>
      <c r="D800" s="475">
        <v>9120.58</v>
      </c>
      <c r="E800" s="476">
        <v>0</v>
      </c>
      <c r="F800" s="6">
        <v>0</v>
      </c>
      <c r="G800" s="6">
        <v>1</v>
      </c>
    </row>
    <row r="801" ht="15.75" customHeight="1" spans="1:7">
      <c r="A801" s="4" t="s">
        <v>2725</v>
      </c>
      <c r="B801" s="5" t="s">
        <v>2726</v>
      </c>
      <c r="C801" s="4" t="s">
        <v>9</v>
      </c>
      <c r="D801" s="475">
        <v>12201.15</v>
      </c>
      <c r="E801" s="476">
        <v>0</v>
      </c>
      <c r="F801" s="6">
        <v>0</v>
      </c>
      <c r="G801" s="6">
        <v>1</v>
      </c>
    </row>
    <row r="802" ht="15.75" customHeight="1" spans="1:7">
      <c r="A802" s="4" t="s">
        <v>2727</v>
      </c>
      <c r="B802" s="5" t="s">
        <v>2728</v>
      </c>
      <c r="C802" s="4" t="s">
        <v>9</v>
      </c>
      <c r="D802" s="475">
        <v>11383.51</v>
      </c>
      <c r="E802" s="476">
        <v>0</v>
      </c>
      <c r="F802" s="6">
        <v>0</v>
      </c>
      <c r="G802" s="6">
        <v>1</v>
      </c>
    </row>
    <row r="803" ht="15.75" customHeight="1" spans="1:7">
      <c r="A803" s="4" t="s">
        <v>2729</v>
      </c>
      <c r="B803" s="5" t="s">
        <v>2730</v>
      </c>
      <c r="C803" s="4" t="s">
        <v>9</v>
      </c>
      <c r="D803" s="475">
        <v>13480.04</v>
      </c>
      <c r="E803" s="476">
        <v>0</v>
      </c>
      <c r="F803" s="6">
        <v>0</v>
      </c>
      <c r="G803" s="6">
        <v>1</v>
      </c>
    </row>
    <row r="804" ht="15.75" customHeight="1" spans="1:7">
      <c r="A804" s="4" t="s">
        <v>2731</v>
      </c>
      <c r="B804" s="5" t="s">
        <v>2732</v>
      </c>
      <c r="C804" s="4" t="s">
        <v>9</v>
      </c>
      <c r="D804" s="475">
        <v>12476.39</v>
      </c>
      <c r="E804" s="476">
        <v>0</v>
      </c>
      <c r="F804" s="6">
        <v>0</v>
      </c>
      <c r="G804" s="6">
        <v>1</v>
      </c>
    </row>
    <row r="805" ht="15.75" customHeight="1" spans="1:7">
      <c r="A805" s="4" t="s">
        <v>2733</v>
      </c>
      <c r="B805" s="5" t="s">
        <v>2734</v>
      </c>
      <c r="C805" s="4" t="s">
        <v>9</v>
      </c>
      <c r="D805" s="475">
        <v>2496.41</v>
      </c>
      <c r="E805" s="476">
        <v>0</v>
      </c>
      <c r="F805" s="6">
        <v>0</v>
      </c>
      <c r="G805" s="6">
        <v>1</v>
      </c>
    </row>
    <row r="806" ht="15.75" customHeight="1" spans="1:7">
      <c r="A806" s="4" t="s">
        <v>2735</v>
      </c>
      <c r="B806" s="5" t="s">
        <v>2736</v>
      </c>
      <c r="C806" s="4" t="s">
        <v>9</v>
      </c>
      <c r="D806" s="475">
        <v>2341.14</v>
      </c>
      <c r="E806" s="476">
        <v>0</v>
      </c>
      <c r="F806" s="6">
        <v>0</v>
      </c>
      <c r="G806" s="6">
        <v>1</v>
      </c>
    </row>
    <row r="807" ht="15.75" customHeight="1" spans="1:7">
      <c r="A807" s="4" t="s">
        <v>2737</v>
      </c>
      <c r="B807" s="5" t="s">
        <v>2738</v>
      </c>
      <c r="C807" s="4" t="s">
        <v>9</v>
      </c>
      <c r="D807" s="475">
        <v>2195.65</v>
      </c>
      <c r="E807" s="476">
        <v>0</v>
      </c>
      <c r="F807" s="6">
        <v>0</v>
      </c>
      <c r="G807" s="6">
        <v>1</v>
      </c>
    </row>
    <row r="808" ht="15.75" customHeight="1" spans="1:7">
      <c r="A808" s="4" t="s">
        <v>2739</v>
      </c>
      <c r="B808" s="5" t="s">
        <v>2740</v>
      </c>
      <c r="C808" s="4" t="s">
        <v>9</v>
      </c>
      <c r="D808" s="475">
        <v>2040.39</v>
      </c>
      <c r="E808" s="476">
        <v>0</v>
      </c>
      <c r="F808" s="6">
        <v>0</v>
      </c>
      <c r="G808" s="6">
        <v>1</v>
      </c>
    </row>
    <row r="809" ht="15.75" customHeight="1" spans="1:7">
      <c r="A809" s="4" t="s">
        <v>2741</v>
      </c>
      <c r="B809" s="5" t="s">
        <v>2742</v>
      </c>
      <c r="C809" s="4" t="s">
        <v>9</v>
      </c>
      <c r="D809" s="475">
        <v>3159.37</v>
      </c>
      <c r="E809" s="476">
        <v>0</v>
      </c>
      <c r="F809" s="6">
        <v>0</v>
      </c>
      <c r="G809" s="6">
        <v>1</v>
      </c>
    </row>
    <row r="810" ht="15.75" customHeight="1" spans="1:7">
      <c r="A810" s="4" t="s">
        <v>2743</v>
      </c>
      <c r="B810" s="5" t="s">
        <v>2744</v>
      </c>
      <c r="C810" s="4" t="s">
        <v>9</v>
      </c>
      <c r="D810" s="475">
        <v>2954.61</v>
      </c>
      <c r="E810" s="476">
        <v>0</v>
      </c>
      <c r="F810" s="6">
        <v>0</v>
      </c>
      <c r="G810" s="6">
        <v>1</v>
      </c>
    </row>
    <row r="811" ht="15.75" customHeight="1" spans="1:7">
      <c r="A811" s="4" t="s">
        <v>2745</v>
      </c>
      <c r="B811" s="5" t="s">
        <v>2746</v>
      </c>
      <c r="C811" s="4" t="s">
        <v>9</v>
      </c>
      <c r="D811" s="475">
        <v>3306.99</v>
      </c>
      <c r="E811" s="476">
        <v>0</v>
      </c>
      <c r="F811" s="6">
        <v>0</v>
      </c>
      <c r="G811" s="6">
        <v>1</v>
      </c>
    </row>
    <row r="812" ht="15.75" customHeight="1" spans="1:7">
      <c r="A812" s="4" t="s">
        <v>2747</v>
      </c>
      <c r="B812" s="5" t="s">
        <v>2748</v>
      </c>
      <c r="C812" s="4" t="s">
        <v>9</v>
      </c>
      <c r="D812" s="475">
        <v>3102.24</v>
      </c>
      <c r="E812" s="476">
        <v>0</v>
      </c>
      <c r="F812" s="6">
        <v>0</v>
      </c>
      <c r="G812" s="6">
        <v>1</v>
      </c>
    </row>
    <row r="813" ht="15.75" customHeight="1" spans="1:7">
      <c r="A813" s="4" t="s">
        <v>2749</v>
      </c>
      <c r="B813" s="5" t="s">
        <v>2750</v>
      </c>
      <c r="C813" s="4" t="s">
        <v>9</v>
      </c>
      <c r="D813" s="475">
        <v>2405.41</v>
      </c>
      <c r="E813" s="476">
        <v>0</v>
      </c>
      <c r="F813" s="6">
        <v>0</v>
      </c>
      <c r="G813" s="6">
        <v>1</v>
      </c>
    </row>
    <row r="814" ht="15.75" customHeight="1" spans="1:7">
      <c r="A814" s="4" t="s">
        <v>2751</v>
      </c>
      <c r="B814" s="5" t="s">
        <v>2752</v>
      </c>
      <c r="C814" s="4" t="s">
        <v>9</v>
      </c>
      <c r="D814" s="475">
        <v>2250.14</v>
      </c>
      <c r="E814" s="476">
        <v>0</v>
      </c>
      <c r="F814" s="6">
        <v>0</v>
      </c>
      <c r="G814" s="6">
        <v>1</v>
      </c>
    </row>
    <row r="815" ht="15.75" customHeight="1" spans="1:7">
      <c r="A815" s="4" t="s">
        <v>2753</v>
      </c>
      <c r="B815" s="5" t="s">
        <v>2754</v>
      </c>
      <c r="C815" s="4" t="s">
        <v>9</v>
      </c>
      <c r="D815" s="475">
        <v>2694.35</v>
      </c>
      <c r="E815" s="476">
        <v>0</v>
      </c>
      <c r="F815" s="6">
        <v>0</v>
      </c>
      <c r="G815" s="6">
        <v>1</v>
      </c>
    </row>
    <row r="816" ht="15.75" customHeight="1" spans="1:7">
      <c r="A816" s="4" t="s">
        <v>2755</v>
      </c>
      <c r="B816" s="5" t="s">
        <v>2756</v>
      </c>
      <c r="C816" s="4" t="s">
        <v>9</v>
      </c>
      <c r="D816" s="475">
        <v>2539.08</v>
      </c>
      <c r="E816" s="476">
        <v>0</v>
      </c>
      <c r="F816" s="6">
        <v>0</v>
      </c>
      <c r="G816" s="6">
        <v>1</v>
      </c>
    </row>
    <row r="817" ht="15.75" customHeight="1" spans="1:7">
      <c r="A817" s="4" t="s">
        <v>2757</v>
      </c>
      <c r="B817" s="5" t="s">
        <v>2758</v>
      </c>
      <c r="C817" s="4" t="s">
        <v>9</v>
      </c>
      <c r="D817" s="475">
        <v>3036.97</v>
      </c>
      <c r="E817" s="476">
        <v>0</v>
      </c>
      <c r="F817" s="6">
        <v>0</v>
      </c>
      <c r="G817" s="6">
        <v>1</v>
      </c>
    </row>
    <row r="818" ht="15.75" customHeight="1" spans="1:7">
      <c r="A818" s="4" t="s">
        <v>2759</v>
      </c>
      <c r="B818" s="5" t="s">
        <v>2760</v>
      </c>
      <c r="C818" s="4" t="s">
        <v>9</v>
      </c>
      <c r="D818" s="475">
        <v>2832.22</v>
      </c>
      <c r="E818" s="476">
        <v>0</v>
      </c>
      <c r="F818" s="6">
        <v>0</v>
      </c>
      <c r="G818" s="6">
        <v>1</v>
      </c>
    </row>
    <row r="819" ht="15.75" customHeight="1" spans="1:7">
      <c r="A819" s="4" t="s">
        <v>2761</v>
      </c>
      <c r="B819" s="5" t="s">
        <v>2762</v>
      </c>
      <c r="C819" s="4" t="s">
        <v>9</v>
      </c>
      <c r="D819" s="475">
        <v>3489.13</v>
      </c>
      <c r="E819" s="476">
        <v>0</v>
      </c>
      <c r="F819" s="6">
        <v>0</v>
      </c>
      <c r="G819" s="6">
        <v>1</v>
      </c>
    </row>
    <row r="820" ht="15.75" customHeight="1" spans="1:7">
      <c r="A820" s="4" t="s">
        <v>2763</v>
      </c>
      <c r="B820" s="5" t="s">
        <v>2764</v>
      </c>
      <c r="C820" s="4" t="s">
        <v>9</v>
      </c>
      <c r="D820" s="475">
        <v>3289.6</v>
      </c>
      <c r="E820" s="476">
        <v>0</v>
      </c>
      <c r="F820" s="6">
        <v>0</v>
      </c>
      <c r="G820" s="6">
        <v>1</v>
      </c>
    </row>
    <row r="821" ht="15.75" customHeight="1" spans="1:7">
      <c r="A821" s="4" t="s">
        <v>2765</v>
      </c>
      <c r="B821" s="5" t="s">
        <v>2766</v>
      </c>
      <c r="C821" s="4" t="s">
        <v>9</v>
      </c>
      <c r="D821" s="475">
        <v>3140.53</v>
      </c>
      <c r="E821" s="476">
        <v>0</v>
      </c>
      <c r="F821" s="6">
        <v>0</v>
      </c>
      <c r="G821" s="6">
        <v>1</v>
      </c>
    </row>
    <row r="822" ht="15.75" customHeight="1" spans="1:7">
      <c r="A822" s="4" t="s">
        <v>2767</v>
      </c>
      <c r="B822" s="5" t="s">
        <v>2768</v>
      </c>
      <c r="C822" s="4" t="s">
        <v>9</v>
      </c>
      <c r="D822" s="475">
        <v>2941</v>
      </c>
      <c r="E822" s="476">
        <v>0</v>
      </c>
      <c r="F822" s="6">
        <v>0</v>
      </c>
      <c r="G822" s="6">
        <v>1</v>
      </c>
    </row>
    <row r="823" ht="15.75" customHeight="1" spans="1:7">
      <c r="A823" s="4" t="s">
        <v>2769</v>
      </c>
      <c r="B823" s="5" t="s">
        <v>2770</v>
      </c>
      <c r="C823" s="4" t="s">
        <v>9</v>
      </c>
      <c r="D823" s="475">
        <v>4823.53</v>
      </c>
      <c r="E823" s="476">
        <v>0</v>
      </c>
      <c r="F823" s="6">
        <v>0</v>
      </c>
      <c r="G823" s="6">
        <v>1</v>
      </c>
    </row>
    <row r="824" ht="15.75" customHeight="1" spans="1:7">
      <c r="A824" s="4" t="s">
        <v>2771</v>
      </c>
      <c r="B824" s="5" t="s">
        <v>2772</v>
      </c>
      <c r="C824" s="4" t="s">
        <v>9</v>
      </c>
      <c r="D824" s="475">
        <v>4502.07</v>
      </c>
      <c r="E824" s="476">
        <v>0</v>
      </c>
      <c r="F824" s="6">
        <v>0</v>
      </c>
      <c r="G824" s="6">
        <v>1</v>
      </c>
    </row>
    <row r="825" ht="15.75" customHeight="1" spans="1:7">
      <c r="A825" s="4" t="s">
        <v>2773</v>
      </c>
      <c r="B825" s="5" t="s">
        <v>2774</v>
      </c>
      <c r="C825" s="4" t="s">
        <v>9</v>
      </c>
      <c r="D825" s="475">
        <v>5177.39</v>
      </c>
      <c r="E825" s="476">
        <v>0</v>
      </c>
      <c r="F825" s="6">
        <v>0</v>
      </c>
      <c r="G825" s="6">
        <v>1</v>
      </c>
    </row>
    <row r="826" ht="15.75" customHeight="1" spans="1:7">
      <c r="A826" s="4" t="s">
        <v>2775</v>
      </c>
      <c r="B826" s="5" t="s">
        <v>2776</v>
      </c>
      <c r="C826" s="4" t="s">
        <v>9</v>
      </c>
      <c r="D826" s="475">
        <v>4855.93</v>
      </c>
      <c r="E826" s="476">
        <v>0</v>
      </c>
      <c r="F826" s="6">
        <v>0</v>
      </c>
      <c r="G826" s="6">
        <v>1</v>
      </c>
    </row>
    <row r="827" ht="15.75" customHeight="1" spans="1:7">
      <c r="A827" s="4" t="s">
        <v>2777</v>
      </c>
      <c r="B827" s="5" t="s">
        <v>2778</v>
      </c>
      <c r="C827" s="4" t="s">
        <v>9</v>
      </c>
      <c r="D827" s="475">
        <v>3572.6</v>
      </c>
      <c r="E827" s="476">
        <v>0</v>
      </c>
      <c r="F827" s="6">
        <v>0</v>
      </c>
      <c r="G827" s="6">
        <v>1</v>
      </c>
    </row>
    <row r="828" ht="15.75" customHeight="1" spans="1:7">
      <c r="A828" s="4" t="s">
        <v>2779</v>
      </c>
      <c r="B828" s="5" t="s">
        <v>2780</v>
      </c>
      <c r="C828" s="4" t="s">
        <v>9</v>
      </c>
      <c r="D828" s="475">
        <v>3311.5</v>
      </c>
      <c r="E828" s="476">
        <v>0</v>
      </c>
      <c r="F828" s="6">
        <v>0</v>
      </c>
      <c r="G828" s="6">
        <v>1</v>
      </c>
    </row>
    <row r="829" ht="15.75" customHeight="1" spans="1:7">
      <c r="A829" s="4" t="s">
        <v>2781</v>
      </c>
      <c r="B829" s="5" t="s">
        <v>2782</v>
      </c>
      <c r="C829" s="4" t="s">
        <v>9</v>
      </c>
      <c r="D829" s="475">
        <v>4032.35</v>
      </c>
      <c r="E829" s="476">
        <v>0</v>
      </c>
      <c r="F829" s="6">
        <v>0</v>
      </c>
      <c r="G829" s="6">
        <v>1</v>
      </c>
    </row>
    <row r="830" ht="15.75" customHeight="1" spans="1:7">
      <c r="A830" s="4" t="s">
        <v>2783</v>
      </c>
      <c r="B830" s="5" t="s">
        <v>2784</v>
      </c>
      <c r="C830" s="4" t="s">
        <v>9</v>
      </c>
      <c r="D830" s="475">
        <v>3771.25</v>
      </c>
      <c r="E830" s="476">
        <v>0</v>
      </c>
      <c r="F830" s="6">
        <v>0</v>
      </c>
      <c r="G830" s="6">
        <v>1</v>
      </c>
    </row>
    <row r="831" ht="15.75" customHeight="1" spans="1:7">
      <c r="A831" s="4" t="s">
        <v>2785</v>
      </c>
      <c r="B831" s="5" t="s">
        <v>2786</v>
      </c>
      <c r="C831" s="4" t="s">
        <v>9</v>
      </c>
      <c r="D831" s="475">
        <v>4422.35</v>
      </c>
      <c r="E831" s="476">
        <v>0</v>
      </c>
      <c r="F831" s="6">
        <v>0</v>
      </c>
      <c r="G831" s="6">
        <v>1</v>
      </c>
    </row>
    <row r="832" ht="15.75" customHeight="1" spans="1:7">
      <c r="A832" s="4" t="s">
        <v>2787</v>
      </c>
      <c r="B832" s="5" t="s">
        <v>2788</v>
      </c>
      <c r="C832" s="4" t="s">
        <v>9</v>
      </c>
      <c r="D832" s="475">
        <v>4100.89</v>
      </c>
      <c r="E832" s="476">
        <v>0</v>
      </c>
      <c r="F832" s="6">
        <v>0</v>
      </c>
      <c r="G832" s="6">
        <v>1</v>
      </c>
    </row>
    <row r="833" ht="15.75" customHeight="1" spans="1:7">
      <c r="A833" s="4" t="s">
        <v>2789</v>
      </c>
      <c r="B833" s="5" t="s">
        <v>2790</v>
      </c>
      <c r="C833" s="4" t="s">
        <v>9</v>
      </c>
      <c r="D833" s="475">
        <v>4755.4</v>
      </c>
      <c r="E833" s="476">
        <v>0</v>
      </c>
      <c r="F833" s="6">
        <v>0</v>
      </c>
      <c r="G833" s="6">
        <v>1</v>
      </c>
    </row>
    <row r="834" ht="15.75" customHeight="1" spans="1:7">
      <c r="A834" s="4" t="s">
        <v>2791</v>
      </c>
      <c r="B834" s="5" t="s">
        <v>2792</v>
      </c>
      <c r="C834" s="4" t="s">
        <v>9</v>
      </c>
      <c r="D834" s="475">
        <v>4436.84</v>
      </c>
      <c r="E834" s="476">
        <v>0</v>
      </c>
      <c r="F834" s="6">
        <v>0</v>
      </c>
      <c r="G834" s="6">
        <v>1</v>
      </c>
    </row>
    <row r="835" ht="15.75" customHeight="1" spans="1:7">
      <c r="A835" s="4" t="s">
        <v>2793</v>
      </c>
      <c r="B835" s="5" t="s">
        <v>2794</v>
      </c>
      <c r="C835" s="4" t="s">
        <v>9</v>
      </c>
      <c r="D835" s="475">
        <v>4491.69</v>
      </c>
      <c r="E835" s="476">
        <v>0</v>
      </c>
      <c r="F835" s="6">
        <v>0</v>
      </c>
      <c r="G835" s="6">
        <v>1</v>
      </c>
    </row>
    <row r="836" ht="15.75" customHeight="1" spans="1:7">
      <c r="A836" s="4" t="s">
        <v>2795</v>
      </c>
      <c r="B836" s="5" t="s">
        <v>2796</v>
      </c>
      <c r="C836" s="4" t="s">
        <v>9</v>
      </c>
      <c r="D836" s="475">
        <v>4173.13</v>
      </c>
      <c r="E836" s="476">
        <v>0</v>
      </c>
      <c r="F836" s="6">
        <v>0</v>
      </c>
      <c r="G836" s="6">
        <v>1</v>
      </c>
    </row>
    <row r="837" ht="15.75" customHeight="1" spans="1:7">
      <c r="A837" s="4" t="s">
        <v>2797</v>
      </c>
      <c r="B837" s="5" t="s">
        <v>2798</v>
      </c>
      <c r="C837" s="4" t="s">
        <v>9</v>
      </c>
      <c r="D837" s="475">
        <v>6831.84</v>
      </c>
      <c r="E837" s="476">
        <v>0</v>
      </c>
      <c r="F837" s="6">
        <v>0</v>
      </c>
      <c r="G837" s="6">
        <v>1</v>
      </c>
    </row>
    <row r="838" ht="15.75" customHeight="1" spans="1:7">
      <c r="A838" s="4" t="s">
        <v>2799</v>
      </c>
      <c r="B838" s="5" t="s">
        <v>2800</v>
      </c>
      <c r="C838" s="4" t="s">
        <v>9</v>
      </c>
      <c r="D838" s="475">
        <v>6357.52</v>
      </c>
      <c r="E838" s="476">
        <v>0</v>
      </c>
      <c r="F838" s="6">
        <v>0</v>
      </c>
      <c r="G838" s="6">
        <v>1</v>
      </c>
    </row>
    <row r="839" ht="15.75" customHeight="1" spans="1:7">
      <c r="A839" s="4" t="s">
        <v>2801</v>
      </c>
      <c r="B839" s="5" t="s">
        <v>2802</v>
      </c>
      <c r="C839" s="4" t="s">
        <v>9</v>
      </c>
      <c r="D839" s="475">
        <v>7767.73</v>
      </c>
      <c r="E839" s="476">
        <v>0</v>
      </c>
      <c r="F839" s="6">
        <v>0</v>
      </c>
      <c r="G839" s="6">
        <v>1</v>
      </c>
    </row>
    <row r="840" ht="15.75" customHeight="1" spans="1:7">
      <c r="A840" s="4" t="s">
        <v>2803</v>
      </c>
      <c r="B840" s="5" t="s">
        <v>2804</v>
      </c>
      <c r="C840" s="4" t="s">
        <v>9</v>
      </c>
      <c r="D840" s="475">
        <v>7214.92</v>
      </c>
      <c r="E840" s="476">
        <v>0</v>
      </c>
      <c r="F840" s="6">
        <v>0</v>
      </c>
      <c r="G840" s="6">
        <v>1</v>
      </c>
    </row>
    <row r="841" ht="15.75" customHeight="1" spans="1:7">
      <c r="A841" s="4" t="s">
        <v>2805</v>
      </c>
      <c r="B841" s="5" t="s">
        <v>2806</v>
      </c>
      <c r="C841" s="4" t="s">
        <v>9</v>
      </c>
      <c r="D841" s="475">
        <v>5184.81</v>
      </c>
      <c r="E841" s="476">
        <v>0</v>
      </c>
      <c r="F841" s="6">
        <v>0</v>
      </c>
      <c r="G841" s="6">
        <v>1</v>
      </c>
    </row>
    <row r="842" ht="15.75" customHeight="1" spans="1:7">
      <c r="A842" s="4" t="s">
        <v>2807</v>
      </c>
      <c r="B842" s="5" t="s">
        <v>2808</v>
      </c>
      <c r="C842" s="4" t="s">
        <v>9</v>
      </c>
      <c r="D842" s="475">
        <v>4866.24</v>
      </c>
      <c r="E842" s="476">
        <v>0</v>
      </c>
      <c r="F842" s="6">
        <v>0</v>
      </c>
      <c r="G842" s="6">
        <v>1</v>
      </c>
    </row>
    <row r="843" ht="15.75" customHeight="1" spans="1:7">
      <c r="A843" s="4" t="s">
        <v>2809</v>
      </c>
      <c r="B843" s="5" t="s">
        <v>2810</v>
      </c>
      <c r="C843" s="4" t="s">
        <v>9</v>
      </c>
      <c r="D843" s="475">
        <v>5704.05</v>
      </c>
      <c r="E843" s="476">
        <v>0</v>
      </c>
      <c r="F843" s="6">
        <v>0</v>
      </c>
      <c r="G843" s="6">
        <v>1</v>
      </c>
    </row>
    <row r="844" ht="15.75" customHeight="1" spans="1:7">
      <c r="A844" s="4" t="s">
        <v>2811</v>
      </c>
      <c r="B844" s="5" t="s">
        <v>2812</v>
      </c>
      <c r="C844" s="4" t="s">
        <v>9</v>
      </c>
      <c r="D844" s="475">
        <v>5313.04</v>
      </c>
      <c r="E844" s="476">
        <v>0</v>
      </c>
      <c r="F844" s="6">
        <v>0</v>
      </c>
      <c r="G844" s="6">
        <v>1</v>
      </c>
    </row>
    <row r="845" ht="15.75" customHeight="1" spans="1:7">
      <c r="A845" s="4" t="s">
        <v>2813</v>
      </c>
      <c r="B845" s="5" t="s">
        <v>2814</v>
      </c>
      <c r="C845" s="4" t="s">
        <v>9</v>
      </c>
      <c r="D845" s="475">
        <v>6259.53</v>
      </c>
      <c r="E845" s="476">
        <v>0</v>
      </c>
      <c r="F845" s="6">
        <v>0</v>
      </c>
      <c r="G845" s="6">
        <v>1</v>
      </c>
    </row>
    <row r="846" ht="15.75" customHeight="1" spans="1:7">
      <c r="A846" s="4" t="s">
        <v>2815</v>
      </c>
      <c r="B846" s="5" t="s">
        <v>2816</v>
      </c>
      <c r="C846" s="4" t="s">
        <v>9</v>
      </c>
      <c r="D846" s="475">
        <v>5868.52</v>
      </c>
      <c r="E846" s="476">
        <v>0</v>
      </c>
      <c r="F846" s="6">
        <v>0</v>
      </c>
      <c r="G846" s="6">
        <v>1</v>
      </c>
    </row>
    <row r="847" ht="15.75" customHeight="1" spans="1:7">
      <c r="A847" s="4" t="s">
        <v>2817</v>
      </c>
      <c r="B847" s="5" t="s">
        <v>2818</v>
      </c>
      <c r="C847" s="4" t="s">
        <v>9</v>
      </c>
      <c r="D847" s="475">
        <v>6063.72</v>
      </c>
      <c r="E847" s="476">
        <v>0</v>
      </c>
      <c r="F847" s="6">
        <v>0</v>
      </c>
      <c r="G847" s="6">
        <v>1</v>
      </c>
    </row>
    <row r="848" ht="15.75" customHeight="1" spans="1:7">
      <c r="A848" s="4" t="s">
        <v>2819</v>
      </c>
      <c r="B848" s="5" t="s">
        <v>2820</v>
      </c>
      <c r="C848" s="4" t="s">
        <v>9</v>
      </c>
      <c r="D848" s="475">
        <v>5604.28</v>
      </c>
      <c r="E848" s="476">
        <v>0</v>
      </c>
      <c r="F848" s="6">
        <v>0</v>
      </c>
      <c r="G848" s="6">
        <v>1</v>
      </c>
    </row>
    <row r="849" ht="15.75" customHeight="1" spans="1:7">
      <c r="A849" s="4" t="s">
        <v>2821</v>
      </c>
      <c r="B849" s="5" t="s">
        <v>2822</v>
      </c>
      <c r="C849" s="4" t="s">
        <v>9</v>
      </c>
      <c r="D849" s="475">
        <v>5984.38</v>
      </c>
      <c r="E849" s="476">
        <v>0</v>
      </c>
      <c r="F849" s="6">
        <v>0</v>
      </c>
      <c r="G849" s="6">
        <v>1</v>
      </c>
    </row>
    <row r="850" ht="15.75" customHeight="1" spans="1:7">
      <c r="A850" s="4" t="s">
        <v>2823</v>
      </c>
      <c r="B850" s="5" t="s">
        <v>2824</v>
      </c>
      <c r="C850" s="4" t="s">
        <v>9</v>
      </c>
      <c r="D850" s="475">
        <v>5524.95</v>
      </c>
      <c r="E850" s="476">
        <v>0</v>
      </c>
      <c r="F850" s="6">
        <v>0</v>
      </c>
      <c r="G850" s="6">
        <v>1</v>
      </c>
    </row>
    <row r="851" ht="15.75" customHeight="1" spans="1:7">
      <c r="A851" s="4" t="s">
        <v>2825</v>
      </c>
      <c r="B851" s="5" t="s">
        <v>2826</v>
      </c>
      <c r="C851" s="4" t="s">
        <v>9</v>
      </c>
      <c r="D851" s="475">
        <v>9419.58</v>
      </c>
      <c r="E851" s="476">
        <v>0</v>
      </c>
      <c r="F851" s="6">
        <v>0</v>
      </c>
      <c r="G851" s="6">
        <v>1</v>
      </c>
    </row>
    <row r="852" ht="15.75" customHeight="1" spans="1:7">
      <c r="A852" s="4" t="s">
        <v>2827</v>
      </c>
      <c r="B852" s="5" t="s">
        <v>2828</v>
      </c>
      <c r="C852" s="4" t="s">
        <v>9</v>
      </c>
      <c r="D852" s="475">
        <v>8774.18</v>
      </c>
      <c r="E852" s="476">
        <v>0</v>
      </c>
      <c r="F852" s="6">
        <v>0</v>
      </c>
      <c r="G852" s="6">
        <v>1</v>
      </c>
    </row>
    <row r="853" ht="15.75" customHeight="1" spans="1:7">
      <c r="A853" s="4" t="s">
        <v>2829</v>
      </c>
      <c r="B853" s="5" t="s">
        <v>2830</v>
      </c>
      <c r="C853" s="4" t="s">
        <v>9</v>
      </c>
      <c r="D853" s="475">
        <v>10176.17</v>
      </c>
      <c r="E853" s="476">
        <v>0</v>
      </c>
      <c r="F853" s="6">
        <v>0</v>
      </c>
      <c r="G853" s="6">
        <v>1</v>
      </c>
    </row>
    <row r="854" ht="15.75" customHeight="1" spans="1:7">
      <c r="A854" s="4" t="s">
        <v>2831</v>
      </c>
      <c r="B854" s="5" t="s">
        <v>2832</v>
      </c>
      <c r="C854" s="4" t="s">
        <v>9</v>
      </c>
      <c r="D854" s="475">
        <v>9432.96</v>
      </c>
      <c r="E854" s="476">
        <v>0</v>
      </c>
      <c r="F854" s="6">
        <v>0</v>
      </c>
      <c r="G854" s="6">
        <v>1</v>
      </c>
    </row>
    <row r="855" ht="15.75" customHeight="1" spans="1:7">
      <c r="A855" s="4" t="s">
        <v>2833</v>
      </c>
      <c r="B855" s="5" t="s">
        <v>2834</v>
      </c>
      <c r="C855" s="4" t="s">
        <v>9</v>
      </c>
      <c r="D855" s="475">
        <v>7119.29</v>
      </c>
      <c r="E855" s="476">
        <v>0</v>
      </c>
      <c r="F855" s="6">
        <v>0</v>
      </c>
      <c r="G855" s="6">
        <v>1</v>
      </c>
    </row>
    <row r="856" ht="15.75" customHeight="1" spans="1:7">
      <c r="A856" s="4" t="s">
        <v>2835</v>
      </c>
      <c r="B856" s="5" t="s">
        <v>2836</v>
      </c>
      <c r="C856" s="4" t="s">
        <v>9</v>
      </c>
      <c r="D856" s="475">
        <v>6563.25</v>
      </c>
      <c r="E856" s="476">
        <v>0</v>
      </c>
      <c r="F856" s="6">
        <v>0</v>
      </c>
      <c r="G856" s="6">
        <v>1</v>
      </c>
    </row>
    <row r="857" ht="15.75" customHeight="1" spans="1:7">
      <c r="A857" s="4" t="s">
        <v>2837</v>
      </c>
      <c r="B857" s="5" t="s">
        <v>2838</v>
      </c>
      <c r="C857" s="4" t="s">
        <v>9</v>
      </c>
      <c r="D857" s="475">
        <v>7939.37</v>
      </c>
      <c r="E857" s="476">
        <v>0</v>
      </c>
      <c r="F857" s="6">
        <v>0</v>
      </c>
      <c r="G857" s="6">
        <v>1</v>
      </c>
    </row>
    <row r="858" ht="15.75" customHeight="1" spans="1:7">
      <c r="A858" s="4" t="s">
        <v>2839</v>
      </c>
      <c r="B858" s="5" t="s">
        <v>2840</v>
      </c>
      <c r="C858" s="4" t="s">
        <v>9</v>
      </c>
      <c r="D858" s="475">
        <v>7383.33</v>
      </c>
      <c r="E858" s="476">
        <v>0</v>
      </c>
      <c r="F858" s="6">
        <v>0</v>
      </c>
      <c r="G858" s="6">
        <v>1</v>
      </c>
    </row>
    <row r="859" ht="15.75" customHeight="1" spans="1:7">
      <c r="A859" s="4" t="s">
        <v>2841</v>
      </c>
      <c r="B859" s="5" t="s">
        <v>2842</v>
      </c>
      <c r="C859" s="4" t="s">
        <v>9</v>
      </c>
      <c r="D859" s="475">
        <v>8653.47</v>
      </c>
      <c r="E859" s="476">
        <v>0</v>
      </c>
      <c r="F859" s="6">
        <v>0</v>
      </c>
      <c r="G859" s="6">
        <v>1</v>
      </c>
    </row>
    <row r="860" ht="15.75" customHeight="1" spans="1:7">
      <c r="A860" s="4" t="s">
        <v>2843</v>
      </c>
      <c r="B860" s="5" t="s">
        <v>2844</v>
      </c>
      <c r="C860" s="4" t="s">
        <v>9</v>
      </c>
      <c r="D860" s="475">
        <v>8008.07</v>
      </c>
      <c r="E860" s="476">
        <v>0</v>
      </c>
      <c r="F860" s="6">
        <v>0</v>
      </c>
      <c r="G860" s="6">
        <v>1</v>
      </c>
    </row>
    <row r="861" ht="15.75" customHeight="1" spans="1:7">
      <c r="A861" s="4" t="s">
        <v>2845</v>
      </c>
      <c r="B861" s="5" t="s">
        <v>2846</v>
      </c>
      <c r="C861" s="4" t="s">
        <v>9</v>
      </c>
      <c r="D861" s="475">
        <v>5725.17</v>
      </c>
      <c r="E861" s="476">
        <v>0</v>
      </c>
      <c r="F861" s="6">
        <v>0</v>
      </c>
      <c r="G861" s="6">
        <v>1</v>
      </c>
    </row>
    <row r="862" ht="15.75" customHeight="1" spans="1:7">
      <c r="A862" s="4" t="s">
        <v>2847</v>
      </c>
      <c r="B862" s="5" t="s">
        <v>2848</v>
      </c>
      <c r="C862" s="4" t="s">
        <v>9</v>
      </c>
      <c r="D862" s="475">
        <v>5326.48</v>
      </c>
      <c r="E862" s="476">
        <v>0</v>
      </c>
      <c r="F862" s="6">
        <v>0</v>
      </c>
      <c r="G862" s="6">
        <v>1</v>
      </c>
    </row>
    <row r="863" ht="15.75" customHeight="1" spans="1:7">
      <c r="A863" s="4" t="s">
        <v>2849</v>
      </c>
      <c r="B863" s="5" t="s">
        <v>2850</v>
      </c>
      <c r="C863" s="4" t="s">
        <v>9</v>
      </c>
      <c r="D863" s="475">
        <v>5115.54</v>
      </c>
      <c r="E863" s="476">
        <v>0</v>
      </c>
      <c r="F863" s="6">
        <v>0</v>
      </c>
      <c r="G863" s="6">
        <v>1</v>
      </c>
    </row>
    <row r="864" ht="15.75" customHeight="1" spans="1:7">
      <c r="A864" s="4" t="s">
        <v>2851</v>
      </c>
      <c r="B864" s="5" t="s">
        <v>2852</v>
      </c>
      <c r="C864" s="4" t="s">
        <v>9</v>
      </c>
      <c r="D864" s="475">
        <v>4716.85</v>
      </c>
      <c r="E864" s="476">
        <v>0</v>
      </c>
      <c r="F864" s="6">
        <v>0</v>
      </c>
      <c r="G864" s="6">
        <v>1</v>
      </c>
    </row>
    <row r="865" ht="15.75" customHeight="1" spans="1:7">
      <c r="A865" s="4" t="s">
        <v>2853</v>
      </c>
      <c r="B865" s="5" t="s">
        <v>2854</v>
      </c>
      <c r="C865" s="4" t="s">
        <v>9</v>
      </c>
      <c r="D865" s="475">
        <v>7691.48</v>
      </c>
      <c r="E865" s="476">
        <v>0</v>
      </c>
      <c r="F865" s="6">
        <v>0</v>
      </c>
      <c r="G865" s="6">
        <v>1</v>
      </c>
    </row>
    <row r="866" ht="15.75" customHeight="1" spans="1:7">
      <c r="A866" s="4" t="s">
        <v>2855</v>
      </c>
      <c r="B866" s="5" t="s">
        <v>2856</v>
      </c>
      <c r="C866" s="4" t="s">
        <v>9</v>
      </c>
      <c r="D866" s="475">
        <v>7161.19</v>
      </c>
      <c r="E866" s="476">
        <v>0</v>
      </c>
      <c r="F866" s="6">
        <v>0</v>
      </c>
      <c r="G866" s="6">
        <v>1</v>
      </c>
    </row>
    <row r="867" ht="15.75" customHeight="1" spans="1:7">
      <c r="A867" s="4" t="s">
        <v>2857</v>
      </c>
      <c r="B867" s="5" t="s">
        <v>2858</v>
      </c>
      <c r="C867" s="4" t="s">
        <v>9</v>
      </c>
      <c r="D867" s="475">
        <v>7815.07</v>
      </c>
      <c r="E867" s="476">
        <v>0</v>
      </c>
      <c r="F867" s="6">
        <v>0</v>
      </c>
      <c r="G867" s="6">
        <v>1</v>
      </c>
    </row>
    <row r="868" ht="15.75" customHeight="1" spans="1:7">
      <c r="A868" s="4" t="s">
        <v>2859</v>
      </c>
      <c r="B868" s="5" t="s">
        <v>2860</v>
      </c>
      <c r="C868" s="4" t="s">
        <v>9</v>
      </c>
      <c r="D868" s="475">
        <v>7284.78</v>
      </c>
      <c r="E868" s="476">
        <v>0</v>
      </c>
      <c r="F868" s="6">
        <v>0</v>
      </c>
      <c r="G868" s="6">
        <v>1</v>
      </c>
    </row>
    <row r="869" ht="15.75" customHeight="1" spans="1:7">
      <c r="A869" s="4" t="s">
        <v>2861</v>
      </c>
      <c r="B869" s="5" t="s">
        <v>2862</v>
      </c>
      <c r="C869" s="4" t="s">
        <v>9</v>
      </c>
      <c r="D869" s="475">
        <v>5613.81</v>
      </c>
      <c r="E869" s="476">
        <v>0</v>
      </c>
      <c r="F869" s="6">
        <v>0</v>
      </c>
      <c r="G869" s="6">
        <v>1</v>
      </c>
    </row>
    <row r="870" ht="15.75" customHeight="1" spans="1:7">
      <c r="A870" s="4" t="s">
        <v>2863</v>
      </c>
      <c r="B870" s="5" t="s">
        <v>2864</v>
      </c>
      <c r="C870" s="4" t="s">
        <v>9</v>
      </c>
      <c r="D870" s="475">
        <v>5215.12</v>
      </c>
      <c r="E870" s="476">
        <v>0</v>
      </c>
      <c r="F870" s="6">
        <v>0</v>
      </c>
      <c r="G870" s="6">
        <v>1</v>
      </c>
    </row>
    <row r="871" ht="15.75" customHeight="1" spans="1:7">
      <c r="A871" s="4" t="s">
        <v>2865</v>
      </c>
      <c r="B871" s="5" t="s">
        <v>2866</v>
      </c>
      <c r="C871" s="4" t="s">
        <v>9</v>
      </c>
      <c r="D871" s="475">
        <v>6039.38</v>
      </c>
      <c r="E871" s="476">
        <v>0</v>
      </c>
      <c r="F871" s="6">
        <v>0</v>
      </c>
      <c r="G871" s="6">
        <v>1</v>
      </c>
    </row>
    <row r="872" ht="15.75" customHeight="1" spans="1:7">
      <c r="A872" s="4" t="s">
        <v>2867</v>
      </c>
      <c r="B872" s="5" t="s">
        <v>2868</v>
      </c>
      <c r="C872" s="4" t="s">
        <v>9</v>
      </c>
      <c r="D872" s="475">
        <v>5640.69</v>
      </c>
      <c r="E872" s="476">
        <v>0</v>
      </c>
      <c r="F872" s="6">
        <v>0</v>
      </c>
      <c r="G872" s="6">
        <v>1</v>
      </c>
    </row>
    <row r="873" ht="15.75" customHeight="1" spans="1:7">
      <c r="A873" s="4" t="s">
        <v>2869</v>
      </c>
      <c r="B873" s="5" t="s">
        <v>2870</v>
      </c>
      <c r="C873" s="4" t="s">
        <v>9</v>
      </c>
      <c r="D873" s="475">
        <v>6682.68</v>
      </c>
      <c r="E873" s="476">
        <v>0</v>
      </c>
      <c r="F873" s="6">
        <v>0</v>
      </c>
      <c r="G873" s="6">
        <v>1</v>
      </c>
    </row>
    <row r="874" ht="15.75" customHeight="1" spans="1:7">
      <c r="A874" s="4" t="s">
        <v>2871</v>
      </c>
      <c r="B874" s="5" t="s">
        <v>2872</v>
      </c>
      <c r="C874" s="4" t="s">
        <v>9</v>
      </c>
      <c r="D874" s="475">
        <v>6283.99</v>
      </c>
      <c r="E874" s="476">
        <v>0</v>
      </c>
      <c r="F874" s="6">
        <v>0</v>
      </c>
      <c r="G874" s="6">
        <v>1</v>
      </c>
    </row>
    <row r="875" ht="15.75" customHeight="1" spans="1:7">
      <c r="A875" s="4" t="s">
        <v>2873</v>
      </c>
      <c r="B875" s="5" t="s">
        <v>2874</v>
      </c>
      <c r="C875" s="4" t="s">
        <v>9</v>
      </c>
      <c r="D875" s="475">
        <v>8238.12</v>
      </c>
      <c r="E875" s="476">
        <v>0</v>
      </c>
      <c r="F875" s="6">
        <v>0</v>
      </c>
      <c r="G875" s="6">
        <v>1</v>
      </c>
    </row>
    <row r="876" ht="15.75" customHeight="1" spans="1:7">
      <c r="A876" s="4" t="s">
        <v>2875</v>
      </c>
      <c r="B876" s="5" t="s">
        <v>2876</v>
      </c>
      <c r="C876" s="4" t="s">
        <v>9</v>
      </c>
      <c r="D876" s="475">
        <v>7723.64</v>
      </c>
      <c r="E876" s="476">
        <v>0</v>
      </c>
      <c r="F876" s="6">
        <v>0</v>
      </c>
      <c r="G876" s="6">
        <v>1</v>
      </c>
    </row>
    <row r="877" ht="15.75" customHeight="1" spans="1:7">
      <c r="A877" s="4" t="s">
        <v>2877</v>
      </c>
      <c r="B877" s="5" t="s">
        <v>2878</v>
      </c>
      <c r="C877" s="4" t="s">
        <v>9</v>
      </c>
      <c r="D877" s="475">
        <v>7451.45</v>
      </c>
      <c r="E877" s="476">
        <v>0</v>
      </c>
      <c r="F877" s="6">
        <v>0</v>
      </c>
      <c r="G877" s="6">
        <v>1</v>
      </c>
    </row>
    <row r="878" ht="15.75" customHeight="1" spans="1:7">
      <c r="A878" s="4" t="s">
        <v>2879</v>
      </c>
      <c r="B878" s="5" t="s">
        <v>2880</v>
      </c>
      <c r="C878" s="4" t="s">
        <v>9</v>
      </c>
      <c r="D878" s="475">
        <v>6936.97</v>
      </c>
      <c r="E878" s="476">
        <v>0</v>
      </c>
      <c r="F878" s="6">
        <v>0</v>
      </c>
      <c r="G878" s="6">
        <v>1</v>
      </c>
    </row>
    <row r="879" ht="15.75" customHeight="1" spans="1:7">
      <c r="A879" s="4" t="s">
        <v>2881</v>
      </c>
      <c r="B879" s="5" t="s">
        <v>2882</v>
      </c>
      <c r="C879" s="4" t="s">
        <v>9</v>
      </c>
      <c r="D879" s="475">
        <v>11279.18</v>
      </c>
      <c r="E879" s="476">
        <v>0</v>
      </c>
      <c r="F879" s="6">
        <v>0</v>
      </c>
      <c r="G879" s="6">
        <v>1</v>
      </c>
    </row>
    <row r="880" ht="15.75" customHeight="1" spans="1:7">
      <c r="A880" s="4" t="s">
        <v>2883</v>
      </c>
      <c r="B880" s="5" t="s">
        <v>2884</v>
      </c>
      <c r="C880" s="4" t="s">
        <v>9</v>
      </c>
      <c r="D880" s="475">
        <v>10458.01</v>
      </c>
      <c r="E880" s="476">
        <v>0</v>
      </c>
      <c r="F880" s="6">
        <v>0</v>
      </c>
      <c r="G880" s="6">
        <v>1</v>
      </c>
    </row>
    <row r="881" ht="15.75" customHeight="1" spans="1:7">
      <c r="A881" s="4" t="s">
        <v>2885</v>
      </c>
      <c r="B881" s="5" t="s">
        <v>2886</v>
      </c>
      <c r="C881" s="4" t="s">
        <v>9</v>
      </c>
      <c r="D881" s="475">
        <v>12049.54</v>
      </c>
      <c r="E881" s="476">
        <v>0</v>
      </c>
      <c r="F881" s="6">
        <v>0</v>
      </c>
      <c r="G881" s="6">
        <v>1</v>
      </c>
    </row>
    <row r="882" ht="15.75" customHeight="1" spans="1:7">
      <c r="A882" s="4" t="s">
        <v>2887</v>
      </c>
      <c r="B882" s="5" t="s">
        <v>2888</v>
      </c>
      <c r="C882" s="4" t="s">
        <v>9</v>
      </c>
      <c r="D882" s="475">
        <v>11228.37</v>
      </c>
      <c r="E882" s="476">
        <v>0</v>
      </c>
      <c r="F882" s="6">
        <v>0</v>
      </c>
      <c r="G882" s="6">
        <v>1</v>
      </c>
    </row>
    <row r="883" ht="15.75" customHeight="1" spans="1:7">
      <c r="A883" s="4" t="s">
        <v>2889</v>
      </c>
      <c r="B883" s="5" t="s">
        <v>2890</v>
      </c>
      <c r="C883" s="4" t="s">
        <v>9</v>
      </c>
      <c r="D883" s="475">
        <v>8503.66</v>
      </c>
      <c r="E883" s="476">
        <v>0</v>
      </c>
      <c r="F883" s="6">
        <v>0</v>
      </c>
      <c r="G883" s="6">
        <v>1</v>
      </c>
    </row>
    <row r="884" ht="15.75" customHeight="1" spans="1:7">
      <c r="A884" s="4" t="s">
        <v>2891</v>
      </c>
      <c r="B884" s="5" t="s">
        <v>2892</v>
      </c>
      <c r="C884" s="4" t="s">
        <v>9</v>
      </c>
      <c r="D884" s="475">
        <v>7989.17</v>
      </c>
      <c r="E884" s="476">
        <v>0</v>
      </c>
      <c r="F884" s="6">
        <v>0</v>
      </c>
      <c r="G884" s="6">
        <v>1</v>
      </c>
    </row>
    <row r="885" ht="15.75" customHeight="1" spans="1:7">
      <c r="A885" s="4" t="s">
        <v>2893</v>
      </c>
      <c r="B885" s="5" t="s">
        <v>2894</v>
      </c>
      <c r="C885" s="4" t="s">
        <v>9</v>
      </c>
      <c r="D885" s="475">
        <v>9294.64</v>
      </c>
      <c r="E885" s="476">
        <v>0</v>
      </c>
      <c r="F885" s="6">
        <v>0</v>
      </c>
      <c r="G885" s="6">
        <v>1</v>
      </c>
    </row>
    <row r="886" ht="15.75" customHeight="1" spans="1:7">
      <c r="A886" s="4" t="s">
        <v>2895</v>
      </c>
      <c r="B886" s="5" t="s">
        <v>2896</v>
      </c>
      <c r="C886" s="4" t="s">
        <v>9</v>
      </c>
      <c r="D886" s="475">
        <v>8618.36</v>
      </c>
      <c r="E886" s="476">
        <v>0</v>
      </c>
      <c r="F886" s="6">
        <v>0</v>
      </c>
      <c r="G886" s="6">
        <v>1</v>
      </c>
    </row>
    <row r="887" ht="15.75" customHeight="1" spans="1:7">
      <c r="A887" s="4" t="s">
        <v>2897</v>
      </c>
      <c r="B887" s="5" t="s">
        <v>2898</v>
      </c>
      <c r="C887" s="4" t="s">
        <v>9</v>
      </c>
      <c r="D887" s="475">
        <v>10484.72</v>
      </c>
      <c r="E887" s="476">
        <v>0</v>
      </c>
      <c r="F887" s="6">
        <v>0</v>
      </c>
      <c r="G887" s="6">
        <v>1</v>
      </c>
    </row>
    <row r="888" ht="15.75" customHeight="1" spans="1:7">
      <c r="A888" s="4" t="s">
        <v>2899</v>
      </c>
      <c r="B888" s="5" t="s">
        <v>2900</v>
      </c>
      <c r="C888" s="4" t="s">
        <v>9</v>
      </c>
      <c r="D888" s="475">
        <v>9808.44</v>
      </c>
      <c r="E888" s="476">
        <v>0</v>
      </c>
      <c r="F888" s="6">
        <v>0</v>
      </c>
      <c r="G888" s="6">
        <v>1</v>
      </c>
    </row>
    <row r="889" ht="15.75" customHeight="1" spans="1:7">
      <c r="A889" s="4" t="s">
        <v>2901</v>
      </c>
      <c r="B889" s="5" t="s">
        <v>2902</v>
      </c>
      <c r="C889" s="4" t="s">
        <v>9</v>
      </c>
      <c r="D889" s="475">
        <v>10883.6</v>
      </c>
      <c r="E889" s="476">
        <v>0</v>
      </c>
      <c r="F889" s="6">
        <v>0</v>
      </c>
      <c r="G889" s="6">
        <v>1</v>
      </c>
    </row>
    <row r="890" ht="15.75" customHeight="1" spans="1:7">
      <c r="A890" s="4" t="s">
        <v>2903</v>
      </c>
      <c r="B890" s="5" t="s">
        <v>2904</v>
      </c>
      <c r="C890" s="4" t="s">
        <v>9</v>
      </c>
      <c r="D890" s="475">
        <v>10230.46</v>
      </c>
      <c r="E890" s="476">
        <v>0</v>
      </c>
      <c r="F890" s="6">
        <v>0</v>
      </c>
      <c r="G890" s="6">
        <v>1</v>
      </c>
    </row>
    <row r="891" ht="15.75" customHeight="1" spans="1:7">
      <c r="A891" s="4" t="s">
        <v>2905</v>
      </c>
      <c r="B891" s="5" t="s">
        <v>2906</v>
      </c>
      <c r="C891" s="4" t="s">
        <v>9</v>
      </c>
      <c r="D891" s="475">
        <v>9688.72</v>
      </c>
      <c r="E891" s="476">
        <v>0</v>
      </c>
      <c r="F891" s="6">
        <v>0</v>
      </c>
      <c r="G891" s="6">
        <v>1</v>
      </c>
    </row>
    <row r="892" ht="15.75" customHeight="1" spans="1:7">
      <c r="A892" s="4" t="s">
        <v>2907</v>
      </c>
      <c r="B892" s="5" t="s">
        <v>2908</v>
      </c>
      <c r="C892" s="4" t="s">
        <v>9</v>
      </c>
      <c r="D892" s="475">
        <v>9035.58</v>
      </c>
      <c r="E892" s="476">
        <v>0</v>
      </c>
      <c r="F892" s="6">
        <v>0</v>
      </c>
      <c r="G892" s="6">
        <v>1</v>
      </c>
    </row>
    <row r="893" ht="15.75" customHeight="1" spans="1:7">
      <c r="A893" s="4" t="s">
        <v>2909</v>
      </c>
      <c r="B893" s="5" t="s">
        <v>2910</v>
      </c>
      <c r="C893" s="4" t="s">
        <v>9</v>
      </c>
      <c r="D893" s="475">
        <v>14945.71</v>
      </c>
      <c r="E893" s="476">
        <v>0</v>
      </c>
      <c r="F893" s="6">
        <v>0</v>
      </c>
      <c r="G893" s="6">
        <v>1</v>
      </c>
    </row>
    <row r="894" ht="15.75" customHeight="1" spans="1:7">
      <c r="A894" s="4" t="s">
        <v>2911</v>
      </c>
      <c r="B894" s="5" t="s">
        <v>2912</v>
      </c>
      <c r="C894" s="4" t="s">
        <v>9</v>
      </c>
      <c r="D894" s="475">
        <v>13947.23</v>
      </c>
      <c r="E894" s="476">
        <v>0</v>
      </c>
      <c r="F894" s="6">
        <v>0</v>
      </c>
      <c r="G894" s="6">
        <v>1</v>
      </c>
    </row>
    <row r="895" ht="15.75" customHeight="1" spans="1:7">
      <c r="A895" s="4" t="s">
        <v>2913</v>
      </c>
      <c r="B895" s="5" t="s">
        <v>2914</v>
      </c>
      <c r="C895" s="4" t="s">
        <v>9</v>
      </c>
      <c r="D895" s="475">
        <v>16168.85</v>
      </c>
      <c r="E895" s="476">
        <v>0</v>
      </c>
      <c r="F895" s="6">
        <v>0</v>
      </c>
      <c r="G895" s="6">
        <v>1</v>
      </c>
    </row>
    <row r="896" ht="15.75" customHeight="1" spans="1:7">
      <c r="A896" s="4" t="s">
        <v>2915</v>
      </c>
      <c r="B896" s="5" t="s">
        <v>2916</v>
      </c>
      <c r="C896" s="4" t="s">
        <v>9</v>
      </c>
      <c r="D896" s="475">
        <v>15170.36</v>
      </c>
      <c r="E896" s="476">
        <v>0</v>
      </c>
      <c r="F896" s="6">
        <v>0</v>
      </c>
      <c r="G896" s="6">
        <v>1</v>
      </c>
    </row>
    <row r="897" ht="15.75" customHeight="1" spans="1:7">
      <c r="A897" s="4" t="s">
        <v>2917</v>
      </c>
      <c r="B897" s="5" t="s">
        <v>2918</v>
      </c>
      <c r="C897" s="4" t="s">
        <v>9</v>
      </c>
      <c r="D897" s="475">
        <v>11048.83</v>
      </c>
      <c r="E897" s="476">
        <v>0</v>
      </c>
      <c r="F897" s="6">
        <v>0</v>
      </c>
      <c r="G897" s="6">
        <v>1</v>
      </c>
    </row>
    <row r="898" ht="15.75" customHeight="1" spans="1:7">
      <c r="A898" s="4" t="s">
        <v>2919</v>
      </c>
      <c r="B898" s="5" t="s">
        <v>2920</v>
      </c>
      <c r="C898" s="4" t="s">
        <v>9</v>
      </c>
      <c r="D898" s="475">
        <v>10225.44</v>
      </c>
      <c r="E898" s="476">
        <v>0</v>
      </c>
      <c r="F898" s="6">
        <v>0</v>
      </c>
      <c r="G898" s="6">
        <v>1</v>
      </c>
    </row>
    <row r="899" ht="15.75" customHeight="1" spans="1:7">
      <c r="A899" s="4" t="s">
        <v>2921</v>
      </c>
      <c r="B899" s="5" t="s">
        <v>2922</v>
      </c>
      <c r="C899" s="4" t="s">
        <v>9</v>
      </c>
      <c r="D899" s="475">
        <v>12626.56</v>
      </c>
      <c r="E899" s="476">
        <v>0</v>
      </c>
      <c r="F899" s="6">
        <v>0</v>
      </c>
      <c r="G899" s="6">
        <v>1</v>
      </c>
    </row>
    <row r="900" ht="15.75" customHeight="1" spans="1:7">
      <c r="A900" s="4" t="s">
        <v>2923</v>
      </c>
      <c r="B900" s="5" t="s">
        <v>2924</v>
      </c>
      <c r="C900" s="4" t="s">
        <v>9</v>
      </c>
      <c r="D900" s="475">
        <v>11803.16</v>
      </c>
      <c r="E900" s="476">
        <v>0</v>
      </c>
      <c r="F900" s="6">
        <v>0</v>
      </c>
      <c r="G900" s="6">
        <v>1</v>
      </c>
    </row>
    <row r="901" ht="15.75" customHeight="1" spans="1:7">
      <c r="A901" s="4" t="s">
        <v>2925</v>
      </c>
      <c r="B901" s="5" t="s">
        <v>2926</v>
      </c>
      <c r="C901" s="4" t="s">
        <v>9</v>
      </c>
      <c r="D901" s="475">
        <v>13929.25</v>
      </c>
      <c r="E901" s="476">
        <v>0</v>
      </c>
      <c r="F901" s="6">
        <v>0</v>
      </c>
      <c r="G901" s="6">
        <v>1</v>
      </c>
    </row>
    <row r="902" ht="15.75" customHeight="1" spans="1:7">
      <c r="A902" s="4" t="s">
        <v>2927</v>
      </c>
      <c r="B902" s="5" t="s">
        <v>2928</v>
      </c>
      <c r="C902" s="4" t="s">
        <v>9</v>
      </c>
      <c r="D902" s="475">
        <v>12930.77</v>
      </c>
      <c r="E902" s="476">
        <v>0</v>
      </c>
      <c r="F902" s="6">
        <v>0</v>
      </c>
      <c r="G902" s="6">
        <v>1</v>
      </c>
    </row>
    <row r="903" ht="15.75" customHeight="1" spans="1:7">
      <c r="A903" s="4" t="s">
        <v>2929</v>
      </c>
      <c r="B903" s="5" t="s">
        <v>2930</v>
      </c>
      <c r="C903" s="4" t="s">
        <v>9</v>
      </c>
      <c r="D903" s="475">
        <v>13623.57</v>
      </c>
      <c r="E903" s="476">
        <v>0</v>
      </c>
      <c r="F903" s="6">
        <v>0</v>
      </c>
      <c r="G903" s="6">
        <v>1</v>
      </c>
    </row>
    <row r="904" ht="15.75" customHeight="1" spans="1:7">
      <c r="A904" s="4" t="s">
        <v>2931</v>
      </c>
      <c r="B904" s="5" t="s">
        <v>2932</v>
      </c>
      <c r="C904" s="4" t="s">
        <v>9</v>
      </c>
      <c r="D904" s="475">
        <v>12654.18</v>
      </c>
      <c r="E904" s="476">
        <v>0</v>
      </c>
      <c r="F904" s="6">
        <v>0</v>
      </c>
      <c r="G904" s="6">
        <v>1</v>
      </c>
    </row>
    <row r="905" ht="15.75" customHeight="1" spans="1:7">
      <c r="A905" s="4" t="s">
        <v>2933</v>
      </c>
      <c r="B905" s="5" t="s">
        <v>2934</v>
      </c>
      <c r="C905" s="4" t="s">
        <v>9</v>
      </c>
      <c r="D905" s="475">
        <v>12778.28</v>
      </c>
      <c r="E905" s="476">
        <v>0</v>
      </c>
      <c r="F905" s="6">
        <v>0</v>
      </c>
      <c r="G905" s="6">
        <v>1</v>
      </c>
    </row>
    <row r="906" ht="15.75" customHeight="1" spans="1:7">
      <c r="A906" s="4" t="s">
        <v>2935</v>
      </c>
      <c r="B906" s="5" t="s">
        <v>2936</v>
      </c>
      <c r="C906" s="4" t="s">
        <v>9</v>
      </c>
      <c r="D906" s="475">
        <v>11808.89</v>
      </c>
      <c r="E906" s="476">
        <v>0</v>
      </c>
      <c r="F906" s="6">
        <v>0</v>
      </c>
      <c r="G906" s="6">
        <v>1</v>
      </c>
    </row>
    <row r="907" ht="15.75" customHeight="1" spans="1:7">
      <c r="A907" s="4" t="s">
        <v>2937</v>
      </c>
      <c r="B907" s="5" t="s">
        <v>2938</v>
      </c>
      <c r="C907" s="4" t="s">
        <v>9</v>
      </c>
      <c r="D907" s="475">
        <v>20042.44</v>
      </c>
      <c r="E907" s="476">
        <v>0</v>
      </c>
      <c r="F907" s="6">
        <v>0</v>
      </c>
      <c r="G907" s="6">
        <v>1</v>
      </c>
    </row>
    <row r="908" ht="15.75" customHeight="1" spans="1:7">
      <c r="A908" s="4" t="s">
        <v>2939</v>
      </c>
      <c r="B908" s="5" t="s">
        <v>2940</v>
      </c>
      <c r="C908" s="4" t="s">
        <v>9</v>
      </c>
      <c r="D908" s="475">
        <v>18589.97</v>
      </c>
      <c r="E908" s="476">
        <v>0</v>
      </c>
      <c r="F908" s="6">
        <v>0</v>
      </c>
      <c r="G908" s="6">
        <v>1</v>
      </c>
    </row>
    <row r="909" ht="15.75" customHeight="1" spans="1:7">
      <c r="A909" s="4" t="s">
        <v>2941</v>
      </c>
      <c r="B909" s="5" t="s">
        <v>2942</v>
      </c>
      <c r="C909" s="4" t="s">
        <v>9</v>
      </c>
      <c r="D909" s="475">
        <v>21698.91</v>
      </c>
      <c r="E909" s="476">
        <v>0</v>
      </c>
      <c r="F909" s="6">
        <v>0</v>
      </c>
      <c r="G909" s="6">
        <v>1</v>
      </c>
    </row>
    <row r="910" ht="15.75" customHeight="1" spans="1:7">
      <c r="A910" s="4" t="s">
        <v>2943</v>
      </c>
      <c r="B910" s="5" t="s">
        <v>2944</v>
      </c>
      <c r="C910" s="4" t="s">
        <v>9</v>
      </c>
      <c r="D910" s="475">
        <v>20246.44</v>
      </c>
      <c r="E910" s="476">
        <v>0</v>
      </c>
      <c r="F910" s="6">
        <v>0</v>
      </c>
      <c r="G910" s="6">
        <v>1</v>
      </c>
    </row>
    <row r="911" ht="15.75" customHeight="1" spans="1:7">
      <c r="A911" s="4" t="s">
        <v>2945</v>
      </c>
      <c r="B911" s="5" t="s">
        <v>2946</v>
      </c>
      <c r="C911" s="4" t="s">
        <v>9</v>
      </c>
      <c r="D911" s="475">
        <v>14636.25</v>
      </c>
      <c r="E911" s="476">
        <v>0</v>
      </c>
      <c r="F911" s="6">
        <v>0</v>
      </c>
      <c r="G911" s="6">
        <v>1</v>
      </c>
    </row>
    <row r="912" ht="15.75" customHeight="1" spans="1:7">
      <c r="A912" s="4" t="s">
        <v>2947</v>
      </c>
      <c r="B912" s="5" t="s">
        <v>2948</v>
      </c>
      <c r="C912" s="4" t="s">
        <v>9</v>
      </c>
      <c r="D912" s="475">
        <v>13461.57</v>
      </c>
      <c r="E912" s="476">
        <v>0</v>
      </c>
      <c r="F912" s="6">
        <v>0</v>
      </c>
      <c r="G912" s="6">
        <v>1</v>
      </c>
    </row>
    <row r="913" ht="15.75" customHeight="1" spans="1:7">
      <c r="A913" s="4" t="s">
        <v>2949</v>
      </c>
      <c r="B913" s="5" t="s">
        <v>2950</v>
      </c>
      <c r="C913" s="4" t="s">
        <v>9</v>
      </c>
      <c r="D913" s="475">
        <v>16833.72</v>
      </c>
      <c r="E913" s="476">
        <v>0</v>
      </c>
      <c r="F913" s="6">
        <v>0</v>
      </c>
      <c r="G913" s="6">
        <v>1</v>
      </c>
    </row>
    <row r="914" ht="15.75" customHeight="1" spans="1:7">
      <c r="A914" s="4" t="s">
        <v>2951</v>
      </c>
      <c r="B914" s="5" t="s">
        <v>2952</v>
      </c>
      <c r="C914" s="4" t="s">
        <v>9</v>
      </c>
      <c r="D914" s="475">
        <v>15659.03</v>
      </c>
      <c r="E914" s="476">
        <v>0</v>
      </c>
      <c r="F914" s="6">
        <v>0</v>
      </c>
      <c r="G914" s="6">
        <v>1</v>
      </c>
    </row>
    <row r="915" ht="15.75" customHeight="1" spans="1:7">
      <c r="A915" s="4" t="s">
        <v>2953</v>
      </c>
      <c r="B915" s="5" t="s">
        <v>2954</v>
      </c>
      <c r="C915" s="4" t="s">
        <v>9</v>
      </c>
      <c r="D915" s="475">
        <v>18461.05</v>
      </c>
      <c r="E915" s="476">
        <v>0</v>
      </c>
      <c r="F915" s="6">
        <v>0</v>
      </c>
      <c r="G915" s="6">
        <v>1</v>
      </c>
    </row>
    <row r="916" ht="15.75" customHeight="1" spans="1:7">
      <c r="A916" s="4" t="s">
        <v>2955</v>
      </c>
      <c r="B916" s="5" t="s">
        <v>2956</v>
      </c>
      <c r="C916" s="4" t="s">
        <v>9</v>
      </c>
      <c r="D916" s="475">
        <v>17008.58</v>
      </c>
      <c r="E916" s="476">
        <v>0</v>
      </c>
      <c r="F916" s="6">
        <v>0</v>
      </c>
      <c r="G916" s="6">
        <v>1</v>
      </c>
    </row>
    <row r="917" ht="15.75" customHeight="1" spans="1:7">
      <c r="A917" s="4" t="s">
        <v>2957</v>
      </c>
      <c r="B917" s="5" t="s">
        <v>2958</v>
      </c>
      <c r="C917" s="4" t="s">
        <v>82</v>
      </c>
      <c r="D917" s="475">
        <v>1548.05</v>
      </c>
      <c r="E917" s="476">
        <v>0</v>
      </c>
      <c r="F917" s="6">
        <v>0</v>
      </c>
      <c r="G917" s="6">
        <v>1</v>
      </c>
    </row>
    <row r="918" ht="15.75" customHeight="1" spans="1:7">
      <c r="A918" s="4" t="s">
        <v>2959</v>
      </c>
      <c r="B918" s="5" t="s">
        <v>2960</v>
      </c>
      <c r="C918" s="4" t="s">
        <v>82</v>
      </c>
      <c r="D918" s="475">
        <v>1311.6</v>
      </c>
      <c r="E918" s="476">
        <v>0</v>
      </c>
      <c r="F918" s="6">
        <v>0</v>
      </c>
      <c r="G918" s="6">
        <v>1</v>
      </c>
    </row>
    <row r="919" ht="15.75" customHeight="1" spans="1:7">
      <c r="A919" s="4" t="s">
        <v>2961</v>
      </c>
      <c r="B919" s="5" t="s">
        <v>2962</v>
      </c>
      <c r="C919" s="4" t="s">
        <v>82</v>
      </c>
      <c r="D919" s="475">
        <v>1556.69</v>
      </c>
      <c r="E919" s="476">
        <v>0</v>
      </c>
      <c r="F919" s="6">
        <v>0</v>
      </c>
      <c r="G919" s="6">
        <v>1</v>
      </c>
    </row>
    <row r="920" ht="15.75" customHeight="1" spans="1:7">
      <c r="A920" s="4" t="s">
        <v>2963</v>
      </c>
      <c r="B920" s="5" t="s">
        <v>2964</v>
      </c>
      <c r="C920" s="4" t="s">
        <v>82</v>
      </c>
      <c r="D920" s="475">
        <v>1319.76</v>
      </c>
      <c r="E920" s="476">
        <v>0</v>
      </c>
      <c r="F920" s="6">
        <v>0</v>
      </c>
      <c r="G920" s="6">
        <v>1</v>
      </c>
    </row>
    <row r="921" ht="15.75" customHeight="1" spans="1:7">
      <c r="A921" s="4" t="s">
        <v>2965</v>
      </c>
      <c r="B921" s="5" t="s">
        <v>2966</v>
      </c>
      <c r="C921" s="4" t="s">
        <v>82</v>
      </c>
      <c r="D921" s="475">
        <v>1567.58</v>
      </c>
      <c r="E921" s="476">
        <v>0</v>
      </c>
      <c r="F921" s="6">
        <v>0</v>
      </c>
      <c r="G921" s="6">
        <v>1</v>
      </c>
    </row>
    <row r="922" ht="15.75" customHeight="1" spans="1:7">
      <c r="A922" s="4" t="s">
        <v>2967</v>
      </c>
      <c r="B922" s="5" t="s">
        <v>2968</v>
      </c>
      <c r="C922" s="4" t="s">
        <v>82</v>
      </c>
      <c r="D922" s="475">
        <v>1330.17</v>
      </c>
      <c r="E922" s="476">
        <v>0</v>
      </c>
      <c r="F922" s="6">
        <v>0</v>
      </c>
      <c r="G922" s="6">
        <v>1</v>
      </c>
    </row>
    <row r="923" ht="15.75" customHeight="1" spans="1:7">
      <c r="A923" s="4" t="s">
        <v>2969</v>
      </c>
      <c r="B923" s="5" t="s">
        <v>2970</v>
      </c>
      <c r="C923" s="4" t="s">
        <v>82</v>
      </c>
      <c r="D923" s="475">
        <v>1585.15</v>
      </c>
      <c r="E923" s="476">
        <v>0</v>
      </c>
      <c r="F923" s="6">
        <v>0</v>
      </c>
      <c r="G923" s="6">
        <v>1</v>
      </c>
    </row>
    <row r="924" ht="15.75" customHeight="1" spans="1:7">
      <c r="A924" s="4" t="s">
        <v>2971</v>
      </c>
      <c r="B924" s="5" t="s">
        <v>2972</v>
      </c>
      <c r="C924" s="4" t="s">
        <v>82</v>
      </c>
      <c r="D924" s="475">
        <v>1346.89</v>
      </c>
      <c r="E924" s="476">
        <v>0</v>
      </c>
      <c r="F924" s="6">
        <v>0</v>
      </c>
      <c r="G924" s="6">
        <v>1</v>
      </c>
    </row>
    <row r="925" ht="15.75" customHeight="1" spans="1:7">
      <c r="A925" s="4" t="s">
        <v>2973</v>
      </c>
      <c r="B925" s="5" t="s">
        <v>2974</v>
      </c>
      <c r="C925" s="4" t="s">
        <v>82</v>
      </c>
      <c r="D925" s="475">
        <v>1608.16</v>
      </c>
      <c r="E925" s="476">
        <v>0</v>
      </c>
      <c r="F925" s="6">
        <v>0</v>
      </c>
      <c r="G925" s="6">
        <v>1</v>
      </c>
    </row>
    <row r="926" ht="15.75" customHeight="1" spans="1:7">
      <c r="A926" s="4" t="s">
        <v>2975</v>
      </c>
      <c r="B926" s="5" t="s">
        <v>2976</v>
      </c>
      <c r="C926" s="4" t="s">
        <v>82</v>
      </c>
      <c r="D926" s="475">
        <v>1368.81</v>
      </c>
      <c r="E926" s="476">
        <v>0</v>
      </c>
      <c r="F926" s="6">
        <v>0</v>
      </c>
      <c r="G926" s="6">
        <v>1</v>
      </c>
    </row>
    <row r="927" ht="15.75" customHeight="1" spans="1:7">
      <c r="A927" s="4" t="s">
        <v>2977</v>
      </c>
      <c r="B927" s="5" t="s">
        <v>2978</v>
      </c>
      <c r="C927" s="4" t="s">
        <v>82</v>
      </c>
      <c r="D927" s="475">
        <v>1638.39</v>
      </c>
      <c r="E927" s="476">
        <v>0</v>
      </c>
      <c r="F927" s="6">
        <v>0</v>
      </c>
      <c r="G927" s="6">
        <v>1</v>
      </c>
    </row>
    <row r="928" ht="15.75" customHeight="1" spans="1:7">
      <c r="A928" s="4" t="s">
        <v>2979</v>
      </c>
      <c r="B928" s="5" t="s">
        <v>2980</v>
      </c>
      <c r="C928" s="4" t="s">
        <v>82</v>
      </c>
      <c r="D928" s="475">
        <v>1397.84</v>
      </c>
      <c r="E928" s="476">
        <v>0</v>
      </c>
      <c r="F928" s="6">
        <v>0</v>
      </c>
      <c r="G928" s="6">
        <v>1</v>
      </c>
    </row>
    <row r="929" ht="15.75" customHeight="1" spans="1:7">
      <c r="A929" s="4" t="s">
        <v>2981</v>
      </c>
      <c r="B929" s="5" t="s">
        <v>2982</v>
      </c>
      <c r="C929" s="4" t="s">
        <v>82</v>
      </c>
      <c r="D929" s="475">
        <v>1679.31</v>
      </c>
      <c r="E929" s="476">
        <v>0</v>
      </c>
      <c r="F929" s="6">
        <v>0</v>
      </c>
      <c r="G929" s="6">
        <v>1</v>
      </c>
    </row>
    <row r="930" ht="15.75" customHeight="1" spans="1:7">
      <c r="A930" s="4" t="s">
        <v>2983</v>
      </c>
      <c r="B930" s="5" t="s">
        <v>2984</v>
      </c>
      <c r="C930" s="4" t="s">
        <v>82</v>
      </c>
      <c r="D930" s="475">
        <v>1437.31</v>
      </c>
      <c r="E930" s="476">
        <v>0</v>
      </c>
      <c r="F930" s="6">
        <v>0</v>
      </c>
      <c r="G930" s="6">
        <v>1</v>
      </c>
    </row>
    <row r="931" ht="15.75" customHeight="1" spans="1:7">
      <c r="A931" s="4" t="s">
        <v>2985</v>
      </c>
      <c r="B931" s="5" t="s">
        <v>2986</v>
      </c>
      <c r="C931" s="4" t="s">
        <v>82</v>
      </c>
      <c r="D931" s="475">
        <v>1732.7</v>
      </c>
      <c r="E931" s="476">
        <v>0</v>
      </c>
      <c r="F931" s="6">
        <v>0</v>
      </c>
      <c r="G931" s="6">
        <v>1</v>
      </c>
    </row>
    <row r="932" ht="15.75" customHeight="1" spans="1:7">
      <c r="A932" s="4" t="s">
        <v>2987</v>
      </c>
      <c r="B932" s="5" t="s">
        <v>2988</v>
      </c>
      <c r="C932" s="4" t="s">
        <v>82</v>
      </c>
      <c r="D932" s="475">
        <v>1489.13</v>
      </c>
      <c r="E932" s="476">
        <v>0</v>
      </c>
      <c r="F932" s="6">
        <v>0</v>
      </c>
      <c r="G932" s="6">
        <v>1</v>
      </c>
    </row>
    <row r="933" ht="15.75" customHeight="1" spans="1:7">
      <c r="A933" s="4" t="s">
        <v>2989</v>
      </c>
      <c r="B933" s="5" t="s">
        <v>2990</v>
      </c>
      <c r="C933" s="4" t="s">
        <v>82</v>
      </c>
      <c r="D933" s="475">
        <v>1805.78</v>
      </c>
      <c r="E933" s="476">
        <v>0</v>
      </c>
      <c r="F933" s="6">
        <v>0</v>
      </c>
      <c r="G933" s="6">
        <v>1</v>
      </c>
    </row>
    <row r="934" ht="15.75" customHeight="1" spans="1:7">
      <c r="A934" s="4" t="s">
        <v>2991</v>
      </c>
      <c r="B934" s="5" t="s">
        <v>2992</v>
      </c>
      <c r="C934" s="4" t="s">
        <v>82</v>
      </c>
      <c r="D934" s="475">
        <v>1560.39</v>
      </c>
      <c r="E934" s="476">
        <v>0</v>
      </c>
      <c r="F934" s="6">
        <v>0</v>
      </c>
      <c r="G934" s="6">
        <v>1</v>
      </c>
    </row>
    <row r="935" ht="15.75" customHeight="1" spans="1:7">
      <c r="A935" s="4" t="s">
        <v>2993</v>
      </c>
      <c r="B935" s="5" t="s">
        <v>2994</v>
      </c>
      <c r="C935" s="4" t="s">
        <v>82</v>
      </c>
      <c r="D935" s="475">
        <v>1550.02</v>
      </c>
      <c r="E935" s="476">
        <v>0</v>
      </c>
      <c r="F935" s="6">
        <v>0</v>
      </c>
      <c r="G935" s="6">
        <v>1</v>
      </c>
    </row>
    <row r="936" ht="15.75" customHeight="1" spans="1:7">
      <c r="A936" s="4" t="s">
        <v>2995</v>
      </c>
      <c r="B936" s="5" t="s">
        <v>2996</v>
      </c>
      <c r="C936" s="4" t="s">
        <v>82</v>
      </c>
      <c r="D936" s="475">
        <v>1313.45</v>
      </c>
      <c r="E936" s="476">
        <v>0</v>
      </c>
      <c r="F936" s="6">
        <v>0</v>
      </c>
      <c r="G936" s="6">
        <v>1</v>
      </c>
    </row>
    <row r="937" ht="15.75" customHeight="1" spans="1:7">
      <c r="A937" s="4" t="s">
        <v>2997</v>
      </c>
      <c r="B937" s="5" t="s">
        <v>2998</v>
      </c>
      <c r="C937" s="4" t="s">
        <v>82</v>
      </c>
      <c r="D937" s="475">
        <v>4005.65</v>
      </c>
      <c r="E937" s="476">
        <v>0</v>
      </c>
      <c r="F937" s="6">
        <v>0</v>
      </c>
      <c r="G937" s="6">
        <v>1</v>
      </c>
    </row>
    <row r="938" ht="15.75" customHeight="1" spans="1:7">
      <c r="A938" s="4" t="s">
        <v>2999</v>
      </c>
      <c r="B938" s="5" t="s">
        <v>3000</v>
      </c>
      <c r="C938" s="4" t="s">
        <v>82</v>
      </c>
      <c r="D938" s="475">
        <v>2305.47</v>
      </c>
      <c r="E938" s="476">
        <v>0</v>
      </c>
      <c r="F938" s="6">
        <v>0</v>
      </c>
      <c r="G938" s="6">
        <v>1</v>
      </c>
    </row>
    <row r="939" ht="15.75" customHeight="1" spans="1:7">
      <c r="A939" s="4" t="s">
        <v>3001</v>
      </c>
      <c r="B939" s="5" t="s">
        <v>3002</v>
      </c>
      <c r="C939" s="4" t="s">
        <v>82</v>
      </c>
      <c r="D939" s="475">
        <v>3388.74</v>
      </c>
      <c r="E939" s="476">
        <v>0</v>
      </c>
      <c r="F939" s="6">
        <v>0</v>
      </c>
      <c r="G939" s="6">
        <v>1</v>
      </c>
    </row>
    <row r="940" ht="15.75" customHeight="1" spans="1:7">
      <c r="A940" s="4" t="s">
        <v>3003</v>
      </c>
      <c r="B940" s="5" t="s">
        <v>3004</v>
      </c>
      <c r="C940" s="4" t="s">
        <v>82</v>
      </c>
      <c r="D940" s="475">
        <v>1938.54</v>
      </c>
      <c r="E940" s="476">
        <v>0</v>
      </c>
      <c r="F940" s="6">
        <v>0</v>
      </c>
      <c r="G940" s="6">
        <v>1</v>
      </c>
    </row>
    <row r="941" ht="15.75" customHeight="1" spans="1:7">
      <c r="A941" s="4" t="s">
        <v>3005</v>
      </c>
      <c r="B941" s="5" t="s">
        <v>3006</v>
      </c>
      <c r="C941" s="4" t="s">
        <v>82</v>
      </c>
      <c r="D941" s="475">
        <v>2318.54</v>
      </c>
      <c r="E941" s="476">
        <v>0</v>
      </c>
      <c r="F941" s="6">
        <v>0</v>
      </c>
      <c r="G941" s="6">
        <v>1</v>
      </c>
    </row>
    <row r="942" ht="15.75" customHeight="1" spans="1:7">
      <c r="A942" s="4" t="s">
        <v>3007</v>
      </c>
      <c r="B942" s="5" t="s">
        <v>3008</v>
      </c>
      <c r="C942" s="4" t="s">
        <v>82</v>
      </c>
      <c r="D942" s="475">
        <v>1950.76</v>
      </c>
      <c r="E942" s="476">
        <v>0</v>
      </c>
      <c r="F942" s="6">
        <v>0</v>
      </c>
      <c r="G942" s="6">
        <v>1</v>
      </c>
    </row>
    <row r="943" ht="15.75" customHeight="1" spans="1:7">
      <c r="A943" s="4" t="s">
        <v>3009</v>
      </c>
      <c r="B943" s="5" t="s">
        <v>3010</v>
      </c>
      <c r="C943" s="4" t="s">
        <v>82</v>
      </c>
      <c r="D943" s="475">
        <v>4190.52</v>
      </c>
      <c r="E943" s="476">
        <v>0</v>
      </c>
      <c r="F943" s="6">
        <v>0</v>
      </c>
      <c r="G943" s="6">
        <v>1</v>
      </c>
    </row>
    <row r="944" ht="15.75" customHeight="1" spans="1:7">
      <c r="A944" s="4" t="s">
        <v>3011</v>
      </c>
      <c r="B944" s="5" t="s">
        <v>3012</v>
      </c>
      <c r="C944" s="4" t="s">
        <v>82</v>
      </c>
      <c r="D944" s="475">
        <v>2335.55</v>
      </c>
      <c r="E944" s="476">
        <v>0</v>
      </c>
      <c r="F944" s="6">
        <v>0</v>
      </c>
      <c r="G944" s="6">
        <v>1</v>
      </c>
    </row>
    <row r="945" ht="15.75" customHeight="1" spans="1:7">
      <c r="A945" s="4" t="s">
        <v>3013</v>
      </c>
      <c r="B945" s="5" t="s">
        <v>3014</v>
      </c>
      <c r="C945" s="4" t="s">
        <v>82</v>
      </c>
      <c r="D945" s="475">
        <v>3544.13</v>
      </c>
      <c r="E945" s="476">
        <v>0</v>
      </c>
      <c r="F945" s="6">
        <v>0</v>
      </c>
      <c r="G945" s="6">
        <v>1</v>
      </c>
    </row>
    <row r="946" ht="15.75" customHeight="1" spans="1:7">
      <c r="A946" s="4" t="s">
        <v>3015</v>
      </c>
      <c r="B946" s="5" t="s">
        <v>3016</v>
      </c>
      <c r="C946" s="4" t="s">
        <v>82</v>
      </c>
      <c r="D946" s="475">
        <v>1966.69</v>
      </c>
      <c r="E946" s="476">
        <v>0</v>
      </c>
      <c r="F946" s="6">
        <v>0</v>
      </c>
      <c r="G946" s="6">
        <v>1</v>
      </c>
    </row>
    <row r="947" ht="15.75" customHeight="1" spans="1:7">
      <c r="A947" s="4" t="s">
        <v>3017</v>
      </c>
      <c r="B947" s="5" t="s">
        <v>3018</v>
      </c>
      <c r="C947" s="4" t="s">
        <v>82</v>
      </c>
      <c r="D947" s="475">
        <v>2359.99</v>
      </c>
      <c r="E947" s="476">
        <v>0</v>
      </c>
      <c r="F947" s="6">
        <v>0</v>
      </c>
      <c r="G947" s="6">
        <v>1</v>
      </c>
    </row>
    <row r="948" ht="15.75" customHeight="1" spans="1:7">
      <c r="A948" s="4" t="s">
        <v>3019</v>
      </c>
      <c r="B948" s="5" t="s">
        <v>3020</v>
      </c>
      <c r="C948" s="4" t="s">
        <v>82</v>
      </c>
      <c r="D948" s="475">
        <v>1989.68</v>
      </c>
      <c r="E948" s="476">
        <v>0</v>
      </c>
      <c r="F948" s="6">
        <v>0</v>
      </c>
      <c r="G948" s="6">
        <v>1</v>
      </c>
    </row>
    <row r="949" ht="15.75" customHeight="1" spans="1:7">
      <c r="A949" s="4" t="s">
        <v>3021</v>
      </c>
      <c r="B949" s="5" t="s">
        <v>3022</v>
      </c>
      <c r="C949" s="4" t="s">
        <v>82</v>
      </c>
      <c r="D949" s="475">
        <v>2393.34</v>
      </c>
      <c r="E949" s="476">
        <v>0</v>
      </c>
      <c r="F949" s="6">
        <v>0</v>
      </c>
      <c r="G949" s="6">
        <v>1</v>
      </c>
    </row>
    <row r="950" ht="15.75" customHeight="1" spans="1:7">
      <c r="A950" s="4" t="s">
        <v>3023</v>
      </c>
      <c r="B950" s="5" t="s">
        <v>3024</v>
      </c>
      <c r="C950" s="4" t="s">
        <v>82</v>
      </c>
      <c r="D950" s="475">
        <v>2021.22</v>
      </c>
      <c r="E950" s="476">
        <v>0</v>
      </c>
      <c r="F950" s="6">
        <v>0</v>
      </c>
      <c r="G950" s="6">
        <v>1</v>
      </c>
    </row>
    <row r="951" ht="15.75" customHeight="1" spans="1:7">
      <c r="A951" s="4" t="s">
        <v>3025</v>
      </c>
      <c r="B951" s="5" t="s">
        <v>3026</v>
      </c>
      <c r="C951" s="4" t="s">
        <v>82</v>
      </c>
      <c r="D951" s="475">
        <v>4676.77</v>
      </c>
      <c r="E951" s="476">
        <v>0</v>
      </c>
      <c r="F951" s="6">
        <v>0</v>
      </c>
      <c r="G951" s="6">
        <v>1</v>
      </c>
    </row>
    <row r="952" ht="15.75" customHeight="1" spans="1:7">
      <c r="A952" s="4" t="s">
        <v>3027</v>
      </c>
      <c r="B952" s="5" t="s">
        <v>3028</v>
      </c>
      <c r="C952" s="4" t="s">
        <v>82</v>
      </c>
      <c r="D952" s="475">
        <v>2438.34</v>
      </c>
      <c r="E952" s="476">
        <v>0</v>
      </c>
      <c r="F952" s="6">
        <v>0</v>
      </c>
      <c r="G952" s="6">
        <v>1</v>
      </c>
    </row>
    <row r="953" ht="15.75" customHeight="1" spans="1:7">
      <c r="A953" s="4" t="s">
        <v>3029</v>
      </c>
      <c r="B953" s="5" t="s">
        <v>3030</v>
      </c>
      <c r="C953" s="4" t="s">
        <v>82</v>
      </c>
      <c r="D953" s="475">
        <v>3953.42</v>
      </c>
      <c r="E953" s="476">
        <v>0</v>
      </c>
      <c r="F953" s="6">
        <v>0</v>
      </c>
      <c r="G953" s="6">
        <v>1</v>
      </c>
    </row>
    <row r="954" ht="15.75" customHeight="1" spans="1:7">
      <c r="A954" s="4" t="s">
        <v>3031</v>
      </c>
      <c r="B954" s="5" t="s">
        <v>3032</v>
      </c>
      <c r="C954" s="4" t="s">
        <v>82</v>
      </c>
      <c r="D954" s="475">
        <v>2063.92</v>
      </c>
      <c r="E954" s="476">
        <v>0</v>
      </c>
      <c r="F954" s="6">
        <v>0</v>
      </c>
      <c r="G954" s="6">
        <v>1</v>
      </c>
    </row>
    <row r="955" ht="15.75" customHeight="1" spans="1:7">
      <c r="A955" s="4" t="s">
        <v>3033</v>
      </c>
      <c r="B955" s="5" t="s">
        <v>3034</v>
      </c>
      <c r="C955" s="4" t="s">
        <v>82</v>
      </c>
      <c r="D955" s="475">
        <v>2497.03</v>
      </c>
      <c r="E955" s="476">
        <v>0</v>
      </c>
      <c r="F955" s="6">
        <v>0</v>
      </c>
      <c r="G955" s="6">
        <v>1</v>
      </c>
    </row>
    <row r="956" ht="15.75" customHeight="1" spans="1:7">
      <c r="A956" s="4" t="s">
        <v>3035</v>
      </c>
      <c r="B956" s="5" t="s">
        <v>3036</v>
      </c>
      <c r="C956" s="4" t="s">
        <v>82</v>
      </c>
      <c r="D956" s="475">
        <v>2120.07</v>
      </c>
      <c r="E956" s="476">
        <v>0</v>
      </c>
      <c r="F956" s="6">
        <v>0</v>
      </c>
      <c r="G956" s="6">
        <v>1</v>
      </c>
    </row>
    <row r="957" ht="15.75" customHeight="1" spans="1:7">
      <c r="A957" s="4" t="s">
        <v>3037</v>
      </c>
      <c r="B957" s="5" t="s">
        <v>3038</v>
      </c>
      <c r="C957" s="4" t="s">
        <v>82</v>
      </c>
      <c r="D957" s="475">
        <v>2575.61</v>
      </c>
      <c r="E957" s="476">
        <v>0</v>
      </c>
      <c r="F957" s="6">
        <v>0</v>
      </c>
      <c r="G957" s="6">
        <v>1</v>
      </c>
    </row>
    <row r="958" ht="15.75" customHeight="1" spans="1:7">
      <c r="A958" s="4" t="s">
        <v>3039</v>
      </c>
      <c r="B958" s="5" t="s">
        <v>3040</v>
      </c>
      <c r="C958" s="4" t="s">
        <v>82</v>
      </c>
      <c r="D958" s="475">
        <v>2195.63</v>
      </c>
      <c r="E958" s="476">
        <v>0</v>
      </c>
      <c r="F958" s="6">
        <v>0</v>
      </c>
      <c r="G958" s="6">
        <v>1</v>
      </c>
    </row>
    <row r="959" ht="15.75" customHeight="1" spans="1:7">
      <c r="A959" s="4" t="s">
        <v>3041</v>
      </c>
      <c r="B959" s="5" t="s">
        <v>3042</v>
      </c>
      <c r="C959" s="4" t="s">
        <v>82</v>
      </c>
      <c r="D959" s="475">
        <v>5792.78</v>
      </c>
      <c r="E959" s="476">
        <v>0</v>
      </c>
      <c r="F959" s="6">
        <v>0</v>
      </c>
      <c r="G959" s="6">
        <v>1</v>
      </c>
    </row>
    <row r="960" ht="15.75" customHeight="1" spans="1:7">
      <c r="A960" s="4" t="s">
        <v>3043</v>
      </c>
      <c r="B960" s="5" t="s">
        <v>3044</v>
      </c>
      <c r="C960" s="4" t="s">
        <v>82</v>
      </c>
      <c r="D960" s="475">
        <v>2680.13</v>
      </c>
      <c r="E960" s="476">
        <v>0</v>
      </c>
      <c r="F960" s="6">
        <v>0</v>
      </c>
      <c r="G960" s="6">
        <v>1</v>
      </c>
    </row>
    <row r="961" ht="15.75" customHeight="1" spans="1:7">
      <c r="A961" s="4" t="s">
        <v>3045</v>
      </c>
      <c r="B961" s="5" t="s">
        <v>3046</v>
      </c>
      <c r="C961" s="4" t="s">
        <v>82</v>
      </c>
      <c r="D961" s="475">
        <v>4890.25</v>
      </c>
      <c r="E961" s="476">
        <v>0</v>
      </c>
      <c r="F961" s="6">
        <v>0</v>
      </c>
      <c r="G961" s="6">
        <v>1</v>
      </c>
    </row>
    <row r="962" ht="15.75" customHeight="1" spans="1:7">
      <c r="A962" s="4" t="s">
        <v>3047</v>
      </c>
      <c r="B962" s="5" t="s">
        <v>3048</v>
      </c>
      <c r="C962" s="4" t="s">
        <v>82</v>
      </c>
      <c r="D962" s="475">
        <v>2297.01</v>
      </c>
      <c r="E962" s="476">
        <v>0</v>
      </c>
      <c r="F962" s="6">
        <v>0</v>
      </c>
      <c r="G962" s="6">
        <v>1</v>
      </c>
    </row>
    <row r="963" ht="15.75" customHeight="1" spans="1:7">
      <c r="A963" s="4" t="s">
        <v>3049</v>
      </c>
      <c r="B963" s="5" t="s">
        <v>3050</v>
      </c>
      <c r="C963" s="4" t="s">
        <v>82</v>
      </c>
      <c r="D963" s="475">
        <v>2308.67</v>
      </c>
      <c r="E963" s="476">
        <v>0</v>
      </c>
      <c r="F963" s="6">
        <v>0</v>
      </c>
      <c r="G963" s="6">
        <v>1</v>
      </c>
    </row>
    <row r="964" ht="15.75" customHeight="1" spans="1:7">
      <c r="A964" s="4" t="s">
        <v>3051</v>
      </c>
      <c r="B964" s="5" t="s">
        <v>3052</v>
      </c>
      <c r="C964" s="4" t="s">
        <v>82</v>
      </c>
      <c r="D964" s="475">
        <v>1941.49</v>
      </c>
      <c r="E964" s="476">
        <v>0</v>
      </c>
      <c r="F964" s="6">
        <v>0</v>
      </c>
      <c r="G964" s="6">
        <v>1</v>
      </c>
    </row>
    <row r="965" ht="15.75" customHeight="1" spans="1:7">
      <c r="A965" s="4" t="s">
        <v>3053</v>
      </c>
      <c r="B965" s="5" t="s">
        <v>3054</v>
      </c>
      <c r="C965" s="4" t="s">
        <v>82</v>
      </c>
      <c r="D965" s="475">
        <v>5827.73</v>
      </c>
      <c r="E965" s="476">
        <v>0</v>
      </c>
      <c r="F965" s="6">
        <v>0</v>
      </c>
      <c r="G965" s="6">
        <v>1</v>
      </c>
    </row>
    <row r="966" ht="15.75" customHeight="1" spans="1:7">
      <c r="A966" s="4" t="s">
        <v>3055</v>
      </c>
      <c r="B966" s="5" t="s">
        <v>3056</v>
      </c>
      <c r="C966" s="4" t="s">
        <v>82</v>
      </c>
      <c r="D966" s="475">
        <v>3212.39</v>
      </c>
      <c r="E966" s="476">
        <v>0</v>
      </c>
      <c r="F966" s="6">
        <v>0</v>
      </c>
      <c r="G966" s="6">
        <v>1</v>
      </c>
    </row>
    <row r="967" ht="15.75" customHeight="1" spans="1:7">
      <c r="A967" s="4" t="s">
        <v>3057</v>
      </c>
      <c r="B967" s="5" t="s">
        <v>3058</v>
      </c>
      <c r="C967" s="4" t="s">
        <v>82</v>
      </c>
      <c r="D967" s="475">
        <v>4874.58</v>
      </c>
      <c r="E967" s="476">
        <v>0</v>
      </c>
      <c r="F967" s="6">
        <v>0</v>
      </c>
      <c r="G967" s="6">
        <v>1</v>
      </c>
    </row>
    <row r="968" ht="15.75" customHeight="1" spans="1:7">
      <c r="A968" s="4" t="s">
        <v>3059</v>
      </c>
      <c r="B968" s="5" t="s">
        <v>3060</v>
      </c>
      <c r="C968" s="4" t="s">
        <v>82</v>
      </c>
      <c r="D968" s="475">
        <v>2679.82</v>
      </c>
      <c r="E968" s="476">
        <v>0</v>
      </c>
      <c r="F968" s="6">
        <v>0</v>
      </c>
      <c r="G968" s="6">
        <v>1</v>
      </c>
    </row>
    <row r="969" ht="15.75" customHeight="1" spans="1:7">
      <c r="A969" s="4" t="s">
        <v>3061</v>
      </c>
      <c r="B969" s="5" t="s">
        <v>3062</v>
      </c>
      <c r="C969" s="4" t="s">
        <v>82</v>
      </c>
      <c r="D969" s="475">
        <v>3231.78</v>
      </c>
      <c r="E969" s="476">
        <v>0</v>
      </c>
      <c r="F969" s="6">
        <v>0</v>
      </c>
      <c r="G969" s="6">
        <v>1</v>
      </c>
    </row>
    <row r="970" ht="15.75" customHeight="1" spans="1:7">
      <c r="A970" s="4" t="s">
        <v>3063</v>
      </c>
      <c r="B970" s="5" t="s">
        <v>3064</v>
      </c>
      <c r="C970" s="4" t="s">
        <v>82</v>
      </c>
      <c r="D970" s="475">
        <v>2697.52</v>
      </c>
      <c r="E970" s="476">
        <v>0</v>
      </c>
      <c r="F970" s="6">
        <v>0</v>
      </c>
      <c r="G970" s="6">
        <v>1</v>
      </c>
    </row>
    <row r="971" ht="15.75" customHeight="1" spans="1:7">
      <c r="A971" s="4" t="s">
        <v>3065</v>
      </c>
      <c r="B971" s="5" t="s">
        <v>3066</v>
      </c>
      <c r="C971" s="4" t="s">
        <v>82</v>
      </c>
      <c r="D971" s="475">
        <v>6110.7</v>
      </c>
      <c r="E971" s="476">
        <v>0</v>
      </c>
      <c r="F971" s="6">
        <v>0</v>
      </c>
      <c r="G971" s="6">
        <v>1</v>
      </c>
    </row>
    <row r="972" ht="15.75" customHeight="1" spans="1:7">
      <c r="A972" s="4" t="s">
        <v>3067</v>
      </c>
      <c r="B972" s="5" t="s">
        <v>3068</v>
      </c>
      <c r="C972" s="4" t="s">
        <v>82</v>
      </c>
      <c r="D972" s="475">
        <v>3256.34</v>
      </c>
      <c r="E972" s="476">
        <v>0</v>
      </c>
      <c r="F972" s="6">
        <v>0</v>
      </c>
      <c r="G972" s="6">
        <v>1</v>
      </c>
    </row>
    <row r="973" ht="15.75" customHeight="1" spans="1:7">
      <c r="A973" s="4" t="s">
        <v>3069</v>
      </c>
      <c r="B973" s="5" t="s">
        <v>3070</v>
      </c>
      <c r="C973" s="4" t="s">
        <v>82</v>
      </c>
      <c r="D973" s="475">
        <v>5109.22</v>
      </c>
      <c r="E973" s="476">
        <v>0</v>
      </c>
      <c r="F973" s="6">
        <v>0</v>
      </c>
      <c r="G973" s="6">
        <v>1</v>
      </c>
    </row>
    <row r="974" ht="15.75" customHeight="1" spans="1:7">
      <c r="A974" s="4" t="s">
        <v>3071</v>
      </c>
      <c r="B974" s="5" t="s">
        <v>3072</v>
      </c>
      <c r="C974" s="4" t="s">
        <v>82</v>
      </c>
      <c r="D974" s="475">
        <v>2720.02</v>
      </c>
      <c r="E974" s="476">
        <v>0</v>
      </c>
      <c r="F974" s="6">
        <v>0</v>
      </c>
      <c r="G974" s="6">
        <v>1</v>
      </c>
    </row>
    <row r="975" ht="15.75" customHeight="1" spans="1:7">
      <c r="A975" s="4" t="s">
        <v>3073</v>
      </c>
      <c r="B975" s="5" t="s">
        <v>3074</v>
      </c>
      <c r="C975" s="4" t="s">
        <v>82</v>
      </c>
      <c r="D975" s="475">
        <v>3292.48</v>
      </c>
      <c r="E975" s="476">
        <v>0</v>
      </c>
      <c r="F975" s="6">
        <v>0</v>
      </c>
      <c r="G975" s="6">
        <v>1</v>
      </c>
    </row>
    <row r="976" ht="15.75" customHeight="1" spans="1:7">
      <c r="A976" s="4" t="s">
        <v>3075</v>
      </c>
      <c r="B976" s="5" t="s">
        <v>3076</v>
      </c>
      <c r="C976" s="4" t="s">
        <v>82</v>
      </c>
      <c r="D976" s="475">
        <v>2753.26</v>
      </c>
      <c r="E976" s="476">
        <v>0</v>
      </c>
      <c r="F976" s="6">
        <v>0</v>
      </c>
      <c r="G976" s="6">
        <v>1</v>
      </c>
    </row>
    <row r="977" ht="15.75" customHeight="1" spans="1:7">
      <c r="A977" s="4" t="s">
        <v>3077</v>
      </c>
      <c r="B977" s="5" t="s">
        <v>3078</v>
      </c>
      <c r="C977" s="4" t="s">
        <v>82</v>
      </c>
      <c r="D977" s="475">
        <v>3341.68</v>
      </c>
      <c r="E977" s="476">
        <v>0</v>
      </c>
      <c r="F977" s="6">
        <v>0</v>
      </c>
      <c r="G977" s="6">
        <v>1</v>
      </c>
    </row>
    <row r="978" ht="15.75" customHeight="1" spans="1:7">
      <c r="A978" s="4" t="s">
        <v>3079</v>
      </c>
      <c r="B978" s="5" t="s">
        <v>3080</v>
      </c>
      <c r="C978" s="4" t="s">
        <v>82</v>
      </c>
      <c r="D978" s="475">
        <v>2798.71</v>
      </c>
      <c r="E978" s="476">
        <v>0</v>
      </c>
      <c r="F978" s="6">
        <v>0</v>
      </c>
      <c r="G978" s="6">
        <v>1</v>
      </c>
    </row>
    <row r="979" ht="15.75" customHeight="1" spans="1:7">
      <c r="A979" s="4" t="s">
        <v>3081</v>
      </c>
      <c r="B979" s="5" t="s">
        <v>3082</v>
      </c>
      <c r="C979" s="4" t="s">
        <v>82</v>
      </c>
      <c r="D979" s="475">
        <v>6822.22</v>
      </c>
      <c r="E979" s="476">
        <v>0</v>
      </c>
      <c r="F979" s="6">
        <v>0</v>
      </c>
      <c r="G979" s="6">
        <v>1</v>
      </c>
    </row>
    <row r="980" ht="15.75" customHeight="1" spans="1:7">
      <c r="A980" s="4" t="s">
        <v>3083</v>
      </c>
      <c r="B980" s="5" t="s">
        <v>3084</v>
      </c>
      <c r="C980" s="4" t="s">
        <v>82</v>
      </c>
      <c r="D980" s="475">
        <v>3407.22</v>
      </c>
      <c r="E980" s="476">
        <v>0</v>
      </c>
      <c r="F980" s="6">
        <v>0</v>
      </c>
      <c r="G980" s="6">
        <v>1</v>
      </c>
    </row>
    <row r="981" ht="15.75" customHeight="1" spans="1:7">
      <c r="A981" s="4" t="s">
        <v>3085</v>
      </c>
      <c r="B981" s="5" t="s">
        <v>3086</v>
      </c>
      <c r="C981" s="4" t="s">
        <v>82</v>
      </c>
      <c r="D981" s="475">
        <v>5700.4</v>
      </c>
      <c r="E981" s="476">
        <v>0</v>
      </c>
      <c r="F981" s="6">
        <v>0</v>
      </c>
      <c r="G981" s="6">
        <v>1</v>
      </c>
    </row>
    <row r="982" ht="15.75" customHeight="1" spans="1:7">
      <c r="A982" s="4" t="s">
        <v>3087</v>
      </c>
      <c r="B982" s="5" t="s">
        <v>3088</v>
      </c>
      <c r="C982" s="4" t="s">
        <v>82</v>
      </c>
      <c r="D982" s="475">
        <v>2859.78</v>
      </c>
      <c r="E982" s="476">
        <v>0</v>
      </c>
      <c r="F982" s="6">
        <v>0</v>
      </c>
      <c r="G982" s="6">
        <v>1</v>
      </c>
    </row>
    <row r="983" ht="15.75" customHeight="1" spans="1:7">
      <c r="A983" s="4" t="s">
        <v>3089</v>
      </c>
      <c r="B983" s="5" t="s">
        <v>3090</v>
      </c>
      <c r="C983" s="4" t="s">
        <v>82</v>
      </c>
      <c r="D983" s="475">
        <v>3490.87</v>
      </c>
      <c r="E983" s="476">
        <v>0</v>
      </c>
      <c r="F983" s="6">
        <v>0</v>
      </c>
      <c r="G983" s="6">
        <v>1</v>
      </c>
    </row>
    <row r="984" ht="15.75" customHeight="1" spans="1:7">
      <c r="A984" s="4" t="s">
        <v>3091</v>
      </c>
      <c r="B984" s="5" t="s">
        <v>3092</v>
      </c>
      <c r="C984" s="4" t="s">
        <v>82</v>
      </c>
      <c r="D984" s="475">
        <v>2938.36</v>
      </c>
      <c r="E984" s="476">
        <v>0</v>
      </c>
      <c r="F984" s="6">
        <v>0</v>
      </c>
      <c r="G984" s="6">
        <v>1</v>
      </c>
    </row>
    <row r="985" ht="15.75" customHeight="1" spans="1:7">
      <c r="A985" s="4" t="s">
        <v>3093</v>
      </c>
      <c r="B985" s="5" t="s">
        <v>3094</v>
      </c>
      <c r="C985" s="4" t="s">
        <v>82</v>
      </c>
      <c r="D985" s="475">
        <v>3601.83</v>
      </c>
      <c r="E985" s="476">
        <v>0</v>
      </c>
      <c r="F985" s="6">
        <v>0</v>
      </c>
      <c r="G985" s="6">
        <v>1</v>
      </c>
    </row>
    <row r="986" ht="15.75" customHeight="1" spans="1:7">
      <c r="A986" s="4" t="s">
        <v>3095</v>
      </c>
      <c r="B986" s="5" t="s">
        <v>3096</v>
      </c>
      <c r="C986" s="4" t="s">
        <v>82</v>
      </c>
      <c r="D986" s="475">
        <v>3043.4</v>
      </c>
      <c r="E986" s="476">
        <v>0</v>
      </c>
      <c r="F986" s="6">
        <v>0</v>
      </c>
      <c r="G986" s="6">
        <v>1</v>
      </c>
    </row>
    <row r="987" ht="15.75" customHeight="1" spans="1:7">
      <c r="A987" s="4" t="s">
        <v>3097</v>
      </c>
      <c r="B987" s="5" t="s">
        <v>3098</v>
      </c>
      <c r="C987" s="4" t="s">
        <v>82</v>
      </c>
      <c r="D987" s="475">
        <v>8463.49</v>
      </c>
      <c r="E987" s="476">
        <v>0</v>
      </c>
      <c r="F987" s="6">
        <v>0</v>
      </c>
      <c r="G987" s="6">
        <v>1</v>
      </c>
    </row>
    <row r="988" ht="15.75" customHeight="1" spans="1:7">
      <c r="A988" s="4" t="s">
        <v>3099</v>
      </c>
      <c r="B988" s="5" t="s">
        <v>3100</v>
      </c>
      <c r="C988" s="4" t="s">
        <v>82</v>
      </c>
      <c r="D988" s="475">
        <v>3749.64</v>
      </c>
      <c r="E988" s="476">
        <v>0</v>
      </c>
      <c r="F988" s="6">
        <v>0</v>
      </c>
      <c r="G988" s="6">
        <v>1</v>
      </c>
    </row>
    <row r="989" ht="15.75" customHeight="1" spans="1:7">
      <c r="A989" s="4" t="s">
        <v>3101</v>
      </c>
      <c r="B989" s="5" t="s">
        <v>3102</v>
      </c>
      <c r="C989" s="4" t="s">
        <v>82</v>
      </c>
      <c r="D989" s="475">
        <v>7061.13</v>
      </c>
      <c r="E989" s="476">
        <v>0</v>
      </c>
      <c r="F989" s="6">
        <v>0</v>
      </c>
      <c r="G989" s="6">
        <v>1</v>
      </c>
    </row>
    <row r="990" ht="15.75" customHeight="1" spans="1:7">
      <c r="A990" s="4" t="s">
        <v>3103</v>
      </c>
      <c r="B990" s="5" t="s">
        <v>3104</v>
      </c>
      <c r="C990" s="4" t="s">
        <v>82</v>
      </c>
      <c r="D990" s="475">
        <v>3184.69</v>
      </c>
      <c r="E990" s="476">
        <v>0</v>
      </c>
      <c r="F990" s="6">
        <v>0</v>
      </c>
      <c r="G990" s="6">
        <v>1</v>
      </c>
    </row>
    <row r="991" ht="15.75" customHeight="1" spans="1:7">
      <c r="A991" s="4" t="s">
        <v>3105</v>
      </c>
      <c r="B991" s="5" t="s">
        <v>3106</v>
      </c>
      <c r="C991" s="4" t="s">
        <v>82</v>
      </c>
      <c r="D991" s="475">
        <v>3217.29</v>
      </c>
      <c r="E991" s="476">
        <v>0</v>
      </c>
      <c r="F991" s="6">
        <v>0</v>
      </c>
      <c r="G991" s="6">
        <v>1</v>
      </c>
    </row>
    <row r="992" ht="15.75" customHeight="1" spans="1:7">
      <c r="A992" s="4" t="s">
        <v>3107</v>
      </c>
      <c r="B992" s="5" t="s">
        <v>3108</v>
      </c>
      <c r="C992" s="4" t="s">
        <v>82</v>
      </c>
      <c r="D992" s="475">
        <v>2684.23</v>
      </c>
      <c r="E992" s="476">
        <v>0</v>
      </c>
      <c r="F992" s="6">
        <v>0</v>
      </c>
      <c r="G992" s="6">
        <v>1</v>
      </c>
    </row>
    <row r="993" ht="15.75" customHeight="1" spans="1:7">
      <c r="A993" s="4" t="s">
        <v>3109</v>
      </c>
      <c r="B993" s="5" t="s">
        <v>3110</v>
      </c>
      <c r="C993" s="4" t="s">
        <v>82</v>
      </c>
      <c r="D993" s="475">
        <v>10350.19</v>
      </c>
      <c r="E993" s="476">
        <v>0</v>
      </c>
      <c r="F993" s="6">
        <v>0</v>
      </c>
      <c r="G993" s="6">
        <v>1</v>
      </c>
    </row>
    <row r="994" ht="15.75" customHeight="1" spans="1:7">
      <c r="A994" s="4" t="s">
        <v>3111</v>
      </c>
      <c r="B994" s="5" t="s">
        <v>3112</v>
      </c>
      <c r="C994" s="4" t="s">
        <v>82</v>
      </c>
      <c r="D994" s="475">
        <v>5526.82</v>
      </c>
      <c r="E994" s="476">
        <v>0</v>
      </c>
      <c r="F994" s="6">
        <v>0</v>
      </c>
      <c r="G994" s="6">
        <v>1</v>
      </c>
    </row>
    <row r="995" ht="15.75" customHeight="1" spans="1:7">
      <c r="A995" s="4" t="s">
        <v>3113</v>
      </c>
      <c r="B995" s="5" t="s">
        <v>3114</v>
      </c>
      <c r="C995" s="4" t="s">
        <v>82</v>
      </c>
      <c r="D995" s="475">
        <v>8521.21</v>
      </c>
      <c r="E995" s="476">
        <v>0</v>
      </c>
      <c r="F995" s="6">
        <v>0</v>
      </c>
      <c r="G995" s="6">
        <v>1</v>
      </c>
    </row>
    <row r="996" ht="15.75" customHeight="1" spans="1:7">
      <c r="A996" s="4" t="s">
        <v>3115</v>
      </c>
      <c r="B996" s="5" t="s">
        <v>3116</v>
      </c>
      <c r="C996" s="4" t="s">
        <v>82</v>
      </c>
      <c r="D996" s="475">
        <v>4574.15</v>
      </c>
      <c r="E996" s="476">
        <v>0</v>
      </c>
      <c r="F996" s="6">
        <v>0</v>
      </c>
      <c r="G996" s="6">
        <v>1</v>
      </c>
    </row>
    <row r="997" ht="15.75" customHeight="1" spans="1:7">
      <c r="A997" s="4" t="s">
        <v>3117</v>
      </c>
      <c r="B997" s="5" t="s">
        <v>3118</v>
      </c>
      <c r="C997" s="4" t="s">
        <v>82</v>
      </c>
      <c r="D997" s="475">
        <v>5556.21</v>
      </c>
      <c r="E997" s="476">
        <v>0</v>
      </c>
      <c r="F997" s="6">
        <v>0</v>
      </c>
      <c r="G997" s="6">
        <v>1</v>
      </c>
    </row>
    <row r="998" ht="15.75" customHeight="1" spans="1:7">
      <c r="A998" s="4" t="s">
        <v>3119</v>
      </c>
      <c r="B998" s="5" t="s">
        <v>3120</v>
      </c>
      <c r="C998" s="4" t="s">
        <v>82</v>
      </c>
      <c r="D998" s="475">
        <v>4600.64</v>
      </c>
      <c r="E998" s="476">
        <v>0</v>
      </c>
      <c r="F998" s="6">
        <v>0</v>
      </c>
      <c r="G998" s="6">
        <v>1</v>
      </c>
    </row>
    <row r="999" ht="15.75" customHeight="1" spans="1:7">
      <c r="A999" s="4" t="s">
        <v>3121</v>
      </c>
      <c r="B999" s="5" t="s">
        <v>3122</v>
      </c>
      <c r="C999" s="4" t="s">
        <v>82</v>
      </c>
      <c r="D999" s="475">
        <v>10864.05</v>
      </c>
      <c r="E999" s="476">
        <v>0</v>
      </c>
      <c r="F999" s="6">
        <v>0</v>
      </c>
      <c r="G999" s="6">
        <v>1</v>
      </c>
    </row>
    <row r="1000" ht="15.75" customHeight="1" spans="1:7">
      <c r="A1000" s="4" t="s">
        <v>3123</v>
      </c>
      <c r="B1000" s="5" t="s">
        <v>3124</v>
      </c>
      <c r="C1000" s="4" t="s">
        <v>82</v>
      </c>
      <c r="D1000" s="475">
        <v>5592.94</v>
      </c>
      <c r="E1000" s="476">
        <v>0</v>
      </c>
      <c r="F1000" s="6">
        <v>0</v>
      </c>
      <c r="G1000" s="6">
        <v>1</v>
      </c>
    </row>
    <row r="1001" ht="15.75" customHeight="1" spans="1:7">
      <c r="A1001" s="4" t="s">
        <v>3125</v>
      </c>
      <c r="B1001" s="5" t="s">
        <v>3126</v>
      </c>
      <c r="C1001" s="4" t="s">
        <v>82</v>
      </c>
      <c r="D1001" s="475">
        <v>8941.57</v>
      </c>
      <c r="E1001" s="476">
        <v>0</v>
      </c>
      <c r="F1001" s="6">
        <v>0</v>
      </c>
      <c r="G1001" s="6">
        <v>1</v>
      </c>
    </row>
    <row r="1002" ht="15.75" customHeight="1" spans="1:7">
      <c r="A1002" s="4" t="s">
        <v>3127</v>
      </c>
      <c r="B1002" s="5" t="s">
        <v>3128</v>
      </c>
      <c r="C1002" s="4" t="s">
        <v>82</v>
      </c>
      <c r="D1002" s="475">
        <v>4633.75</v>
      </c>
      <c r="E1002" s="476">
        <v>0</v>
      </c>
      <c r="F1002" s="6">
        <v>0</v>
      </c>
      <c r="G1002" s="6">
        <v>1</v>
      </c>
    </row>
    <row r="1003" ht="15.75" customHeight="1" spans="1:7">
      <c r="A1003" s="4" t="s">
        <v>3129</v>
      </c>
      <c r="B1003" s="5" t="s">
        <v>3130</v>
      </c>
      <c r="C1003" s="4" t="s">
        <v>82</v>
      </c>
      <c r="D1003" s="475">
        <v>5646.89</v>
      </c>
      <c r="E1003" s="476">
        <v>0</v>
      </c>
      <c r="F1003" s="6">
        <v>0</v>
      </c>
      <c r="G1003" s="6">
        <v>1</v>
      </c>
    </row>
    <row r="1004" ht="15.75" customHeight="1" spans="1:7">
      <c r="A1004" s="4" t="s">
        <v>3131</v>
      </c>
      <c r="B1004" s="5" t="s">
        <v>3132</v>
      </c>
      <c r="C1004" s="4" t="s">
        <v>82</v>
      </c>
      <c r="D1004" s="475">
        <v>4682.75</v>
      </c>
      <c r="E1004" s="476">
        <v>0</v>
      </c>
      <c r="F1004" s="6">
        <v>0</v>
      </c>
      <c r="G1004" s="6">
        <v>1</v>
      </c>
    </row>
    <row r="1005" ht="15.75" customHeight="1" spans="1:7">
      <c r="A1005" s="4" t="s">
        <v>3133</v>
      </c>
      <c r="B1005" s="5" t="s">
        <v>3134</v>
      </c>
      <c r="C1005" s="4" t="s">
        <v>82</v>
      </c>
      <c r="D1005" s="475">
        <v>5720.31</v>
      </c>
      <c r="E1005" s="476">
        <v>0</v>
      </c>
      <c r="F1005" s="6">
        <v>0</v>
      </c>
      <c r="G1005" s="6">
        <v>1</v>
      </c>
    </row>
    <row r="1006" ht="15.75" customHeight="1" spans="1:7">
      <c r="A1006" s="4" t="s">
        <v>3135</v>
      </c>
      <c r="B1006" s="5" t="s">
        <v>3136</v>
      </c>
      <c r="C1006" s="4" t="s">
        <v>82</v>
      </c>
      <c r="D1006" s="475">
        <v>4749.88</v>
      </c>
      <c r="E1006" s="476">
        <v>0</v>
      </c>
      <c r="F1006" s="6">
        <v>0</v>
      </c>
      <c r="G1006" s="6">
        <v>1</v>
      </c>
    </row>
    <row r="1007" ht="15.75" customHeight="1" spans="1:7">
      <c r="A1007" s="4" t="s">
        <v>3137</v>
      </c>
      <c r="B1007" s="5" t="s">
        <v>3138</v>
      </c>
      <c r="C1007" s="4" t="s">
        <v>82</v>
      </c>
      <c r="D1007" s="475">
        <v>12169.62</v>
      </c>
      <c r="E1007" s="476">
        <v>0</v>
      </c>
      <c r="F1007" s="6">
        <v>0</v>
      </c>
      <c r="G1007" s="6">
        <v>1</v>
      </c>
    </row>
    <row r="1008" ht="15.75" customHeight="1" spans="1:7">
      <c r="A1008" s="4" t="s">
        <v>3139</v>
      </c>
      <c r="B1008" s="5" t="s">
        <v>3140</v>
      </c>
      <c r="C1008" s="4" t="s">
        <v>82</v>
      </c>
      <c r="D1008" s="475">
        <v>5816.66</v>
      </c>
      <c r="E1008" s="476">
        <v>0</v>
      </c>
      <c r="F1008" s="6">
        <v>0</v>
      </c>
      <c r="G1008" s="6">
        <v>1</v>
      </c>
    </row>
    <row r="1009" ht="15.75" customHeight="1" spans="1:7">
      <c r="A1009" s="4" t="s">
        <v>3141</v>
      </c>
      <c r="B1009" s="5" t="s">
        <v>3142</v>
      </c>
      <c r="C1009" s="4" t="s">
        <v>82</v>
      </c>
      <c r="D1009" s="475">
        <v>10009.84</v>
      </c>
      <c r="E1009" s="476">
        <v>0</v>
      </c>
      <c r="F1009" s="6">
        <v>0</v>
      </c>
      <c r="G1009" s="6">
        <v>1</v>
      </c>
    </row>
    <row r="1010" ht="15.75" customHeight="1" spans="1:7">
      <c r="A1010" s="4" t="s">
        <v>3143</v>
      </c>
      <c r="B1010" s="5" t="s">
        <v>3144</v>
      </c>
      <c r="C1010" s="4" t="s">
        <v>82</v>
      </c>
      <c r="D1010" s="475">
        <v>4838.5</v>
      </c>
      <c r="E1010" s="476">
        <v>0</v>
      </c>
      <c r="F1010" s="6">
        <v>0</v>
      </c>
      <c r="G1010" s="6">
        <v>1</v>
      </c>
    </row>
    <row r="1011" ht="15.75" customHeight="1" spans="1:7">
      <c r="A1011" s="4" t="s">
        <v>3145</v>
      </c>
      <c r="B1011" s="5" t="s">
        <v>3146</v>
      </c>
      <c r="C1011" s="4" t="s">
        <v>82</v>
      </c>
      <c r="D1011" s="475">
        <v>5941.27</v>
      </c>
      <c r="E1011" s="476">
        <v>0</v>
      </c>
      <c r="F1011" s="6">
        <v>0</v>
      </c>
      <c r="G1011" s="6">
        <v>1</v>
      </c>
    </row>
    <row r="1012" ht="15.75" customHeight="1" spans="1:7">
      <c r="A1012" s="4" t="s">
        <v>3147</v>
      </c>
      <c r="B1012" s="5" t="s">
        <v>3148</v>
      </c>
      <c r="C1012" s="4" t="s">
        <v>82</v>
      </c>
      <c r="D1012" s="475">
        <v>4954.3</v>
      </c>
      <c r="E1012" s="476">
        <v>0</v>
      </c>
      <c r="F1012" s="6">
        <v>0</v>
      </c>
      <c r="G1012" s="6">
        <v>1</v>
      </c>
    </row>
    <row r="1013" ht="15.75" customHeight="1" spans="1:7">
      <c r="A1013" s="4" t="s">
        <v>3149</v>
      </c>
      <c r="B1013" s="5" t="s">
        <v>3150</v>
      </c>
      <c r="C1013" s="4" t="s">
        <v>82</v>
      </c>
      <c r="D1013" s="475">
        <v>6104.09</v>
      </c>
      <c r="E1013" s="476">
        <v>0</v>
      </c>
      <c r="F1013" s="6">
        <v>0</v>
      </c>
      <c r="G1013" s="6">
        <v>1</v>
      </c>
    </row>
    <row r="1014" ht="15.75" customHeight="1" spans="1:7">
      <c r="A1014" s="4" t="s">
        <v>3151</v>
      </c>
      <c r="B1014" s="5" t="s">
        <v>3152</v>
      </c>
      <c r="C1014" s="4" t="s">
        <v>82</v>
      </c>
      <c r="D1014" s="475">
        <v>5106.96</v>
      </c>
      <c r="E1014" s="476">
        <v>0</v>
      </c>
      <c r="F1014" s="6">
        <v>0</v>
      </c>
      <c r="G1014" s="6">
        <v>1</v>
      </c>
    </row>
    <row r="1015" ht="15.75" customHeight="1" spans="1:7">
      <c r="A1015" s="4" t="s">
        <v>3153</v>
      </c>
      <c r="B1015" s="5" t="s">
        <v>3154</v>
      </c>
      <c r="C1015" s="4" t="s">
        <v>82</v>
      </c>
      <c r="D1015" s="475">
        <v>15162.81</v>
      </c>
      <c r="E1015" s="476">
        <v>0</v>
      </c>
      <c r="F1015" s="6">
        <v>0</v>
      </c>
      <c r="G1015" s="6">
        <v>1</v>
      </c>
    </row>
    <row r="1016" ht="15.75" customHeight="1" spans="1:7">
      <c r="A1016" s="4" t="s">
        <v>3155</v>
      </c>
      <c r="B1016" s="5" t="s">
        <v>3156</v>
      </c>
      <c r="C1016" s="4" t="s">
        <v>82</v>
      </c>
      <c r="D1016" s="475">
        <v>6318.66</v>
      </c>
      <c r="E1016" s="476">
        <v>0</v>
      </c>
      <c r="F1016" s="6">
        <v>0</v>
      </c>
      <c r="G1016" s="6">
        <v>1</v>
      </c>
    </row>
    <row r="1017" ht="15.75" customHeight="1" spans="1:7">
      <c r="A1017" s="4" t="s">
        <v>3157</v>
      </c>
      <c r="B1017" s="5" t="s">
        <v>3158</v>
      </c>
      <c r="C1017" s="4" t="s">
        <v>82</v>
      </c>
      <c r="D1017" s="475">
        <v>12453.78</v>
      </c>
      <c r="E1017" s="476">
        <v>0</v>
      </c>
      <c r="F1017" s="6">
        <v>0</v>
      </c>
      <c r="G1017" s="6">
        <v>1</v>
      </c>
    </row>
    <row r="1018" ht="15.75" customHeight="1" spans="1:7">
      <c r="A1018" s="4" t="s">
        <v>3159</v>
      </c>
      <c r="B1018" s="5" t="s">
        <v>3160</v>
      </c>
      <c r="C1018" s="4" t="s">
        <v>82</v>
      </c>
      <c r="D1018" s="475">
        <v>5310.42</v>
      </c>
      <c r="E1018" s="476">
        <v>0</v>
      </c>
      <c r="F1018" s="6">
        <v>0</v>
      </c>
      <c r="G1018" s="6">
        <v>1</v>
      </c>
    </row>
    <row r="1019" ht="15.75" customHeight="1" spans="1:7">
      <c r="A1019" s="4" t="s">
        <v>3161</v>
      </c>
      <c r="B1019" s="5" t="s">
        <v>3162</v>
      </c>
      <c r="C1019" s="4" t="s">
        <v>82</v>
      </c>
      <c r="D1019" s="475">
        <v>5534.16</v>
      </c>
      <c r="E1019" s="476">
        <v>0</v>
      </c>
      <c r="F1019" s="6">
        <v>0</v>
      </c>
      <c r="G1019" s="6">
        <v>1</v>
      </c>
    </row>
    <row r="1020" ht="15.75" customHeight="1" spans="1:7">
      <c r="A1020" s="4" t="s">
        <v>3163</v>
      </c>
      <c r="B1020" s="5" t="s">
        <v>3164</v>
      </c>
      <c r="C1020" s="4" t="s">
        <v>82</v>
      </c>
      <c r="D1020" s="475">
        <v>4580.77</v>
      </c>
      <c r="E1020" s="476">
        <v>0</v>
      </c>
      <c r="F1020" s="6">
        <v>0</v>
      </c>
      <c r="G1020" s="6">
        <v>1</v>
      </c>
    </row>
    <row r="1021" ht="15.75" customHeight="1" spans="1:7">
      <c r="A1021" s="4" t="s">
        <v>3165</v>
      </c>
      <c r="B1021" s="5" t="s">
        <v>3166</v>
      </c>
      <c r="C1021" s="4" t="s">
        <v>82</v>
      </c>
      <c r="D1021" s="475">
        <v>372.58</v>
      </c>
      <c r="E1021" s="476">
        <v>0</v>
      </c>
      <c r="F1021" s="6">
        <v>0</v>
      </c>
      <c r="G1021" s="6">
        <v>1</v>
      </c>
    </row>
    <row r="1022" ht="15.75" customHeight="1" spans="1:7">
      <c r="A1022" s="4" t="s">
        <v>3167</v>
      </c>
      <c r="B1022" s="5" t="s">
        <v>3168</v>
      </c>
      <c r="C1022" s="4" t="s">
        <v>82</v>
      </c>
      <c r="D1022" s="475">
        <v>321.48</v>
      </c>
      <c r="E1022" s="476">
        <v>0</v>
      </c>
      <c r="F1022" s="6">
        <v>0</v>
      </c>
      <c r="G1022" s="6">
        <v>1</v>
      </c>
    </row>
    <row r="1023" ht="15.75" customHeight="1" spans="1:7">
      <c r="A1023" s="4" t="s">
        <v>3169</v>
      </c>
      <c r="B1023" s="5" t="s">
        <v>3170</v>
      </c>
      <c r="C1023" s="4" t="s">
        <v>82</v>
      </c>
      <c r="D1023" s="475">
        <v>374.08</v>
      </c>
      <c r="E1023" s="476">
        <v>0</v>
      </c>
      <c r="F1023" s="6">
        <v>0</v>
      </c>
      <c r="G1023" s="6">
        <v>1</v>
      </c>
    </row>
    <row r="1024" ht="15.75" customHeight="1" spans="1:7">
      <c r="A1024" s="4" t="s">
        <v>3171</v>
      </c>
      <c r="B1024" s="5" t="s">
        <v>3172</v>
      </c>
      <c r="C1024" s="4" t="s">
        <v>82</v>
      </c>
      <c r="D1024" s="475">
        <v>322.98</v>
      </c>
      <c r="E1024" s="476">
        <v>0</v>
      </c>
      <c r="F1024" s="6">
        <v>0</v>
      </c>
      <c r="G1024" s="6">
        <v>1</v>
      </c>
    </row>
    <row r="1025" ht="15.75" customHeight="1" spans="1:7">
      <c r="A1025" s="4" t="s">
        <v>3173</v>
      </c>
      <c r="B1025" s="5" t="s">
        <v>3174</v>
      </c>
      <c r="C1025" s="4" t="s">
        <v>82</v>
      </c>
      <c r="D1025" s="475">
        <v>375.58</v>
      </c>
      <c r="E1025" s="476">
        <v>0</v>
      </c>
      <c r="F1025" s="6">
        <v>0</v>
      </c>
      <c r="G1025" s="6">
        <v>1</v>
      </c>
    </row>
    <row r="1026" ht="15.75" customHeight="1" spans="1:7">
      <c r="A1026" s="4" t="s">
        <v>3175</v>
      </c>
      <c r="B1026" s="5" t="s">
        <v>3176</v>
      </c>
      <c r="C1026" s="4" t="s">
        <v>82</v>
      </c>
      <c r="D1026" s="475">
        <v>324.47</v>
      </c>
      <c r="E1026" s="476">
        <v>0</v>
      </c>
      <c r="F1026" s="6">
        <v>0</v>
      </c>
      <c r="G1026" s="6">
        <v>1</v>
      </c>
    </row>
    <row r="1027" ht="15.75" customHeight="1" spans="1:7">
      <c r="A1027" s="4" t="s">
        <v>3177</v>
      </c>
      <c r="B1027" s="5" t="s">
        <v>3178</v>
      </c>
      <c r="C1027" s="4" t="s">
        <v>82</v>
      </c>
      <c r="D1027" s="475">
        <v>378.31</v>
      </c>
      <c r="E1027" s="476">
        <v>0</v>
      </c>
      <c r="F1027" s="6">
        <v>0</v>
      </c>
      <c r="G1027" s="6">
        <v>1</v>
      </c>
    </row>
    <row r="1028" ht="15.75" customHeight="1" spans="1:7">
      <c r="A1028" s="4" t="s">
        <v>3179</v>
      </c>
      <c r="B1028" s="5" t="s">
        <v>3180</v>
      </c>
      <c r="C1028" s="4" t="s">
        <v>82</v>
      </c>
      <c r="D1028" s="475">
        <v>327.08</v>
      </c>
      <c r="E1028" s="476">
        <v>0</v>
      </c>
      <c r="F1028" s="6">
        <v>0</v>
      </c>
      <c r="G1028" s="6">
        <v>1</v>
      </c>
    </row>
    <row r="1029" ht="15.75" customHeight="1" spans="1:7">
      <c r="A1029" s="4" t="s">
        <v>3181</v>
      </c>
      <c r="B1029" s="5" t="s">
        <v>3182</v>
      </c>
      <c r="C1029" s="4" t="s">
        <v>82</v>
      </c>
      <c r="D1029" s="475">
        <v>382.05</v>
      </c>
      <c r="E1029" s="476">
        <v>0</v>
      </c>
      <c r="F1029" s="6">
        <v>0</v>
      </c>
      <c r="G1029" s="6">
        <v>1</v>
      </c>
    </row>
    <row r="1030" ht="15.75" customHeight="1" spans="1:7">
      <c r="A1030" s="4" t="s">
        <v>3183</v>
      </c>
      <c r="B1030" s="5" t="s">
        <v>3184</v>
      </c>
      <c r="C1030" s="4" t="s">
        <v>82</v>
      </c>
      <c r="D1030" s="475">
        <v>330.82</v>
      </c>
      <c r="E1030" s="476">
        <v>0</v>
      </c>
      <c r="F1030" s="6">
        <v>0</v>
      </c>
      <c r="G1030" s="6">
        <v>1</v>
      </c>
    </row>
    <row r="1031" ht="15.75" customHeight="1" spans="1:7">
      <c r="A1031" s="4" t="s">
        <v>3185</v>
      </c>
      <c r="B1031" s="5" t="s">
        <v>3186</v>
      </c>
      <c r="C1031" s="4" t="s">
        <v>82</v>
      </c>
      <c r="D1031" s="475">
        <v>387.02</v>
      </c>
      <c r="E1031" s="476">
        <v>0</v>
      </c>
      <c r="F1031" s="6">
        <v>0</v>
      </c>
      <c r="G1031" s="6">
        <v>1</v>
      </c>
    </row>
    <row r="1032" ht="15.75" customHeight="1" spans="1:7">
      <c r="A1032" s="4" t="s">
        <v>3187</v>
      </c>
      <c r="B1032" s="5" t="s">
        <v>3188</v>
      </c>
      <c r="C1032" s="4" t="s">
        <v>82</v>
      </c>
      <c r="D1032" s="475">
        <v>335.68</v>
      </c>
      <c r="E1032" s="476">
        <v>0</v>
      </c>
      <c r="F1032" s="6">
        <v>0</v>
      </c>
      <c r="G1032" s="6">
        <v>1</v>
      </c>
    </row>
    <row r="1033" ht="15.75" customHeight="1" spans="1:7">
      <c r="A1033" s="4" t="s">
        <v>3189</v>
      </c>
      <c r="B1033" s="5" t="s">
        <v>3190</v>
      </c>
      <c r="C1033" s="4" t="s">
        <v>82</v>
      </c>
      <c r="D1033" s="475">
        <v>393.77</v>
      </c>
      <c r="E1033" s="476">
        <v>0</v>
      </c>
      <c r="F1033" s="6">
        <v>0</v>
      </c>
      <c r="G1033" s="6">
        <v>1</v>
      </c>
    </row>
    <row r="1034" ht="15.75" customHeight="1" spans="1:7">
      <c r="A1034" s="4" t="s">
        <v>3191</v>
      </c>
      <c r="B1034" s="5" t="s">
        <v>3192</v>
      </c>
      <c r="C1034" s="4" t="s">
        <v>82</v>
      </c>
      <c r="D1034" s="475">
        <v>342.42</v>
      </c>
      <c r="E1034" s="476">
        <v>0</v>
      </c>
      <c r="F1034" s="6">
        <v>0</v>
      </c>
      <c r="G1034" s="6">
        <v>1</v>
      </c>
    </row>
    <row r="1035" ht="15.75" customHeight="1" spans="1:7">
      <c r="A1035" s="4" t="s">
        <v>3193</v>
      </c>
      <c r="B1035" s="5" t="s">
        <v>3194</v>
      </c>
      <c r="C1035" s="4" t="s">
        <v>82</v>
      </c>
      <c r="D1035" s="475">
        <v>402.49</v>
      </c>
      <c r="E1035" s="476">
        <v>0</v>
      </c>
      <c r="F1035" s="6">
        <v>0</v>
      </c>
      <c r="G1035" s="6">
        <v>1</v>
      </c>
    </row>
    <row r="1036" ht="15.75" customHeight="1" spans="1:7">
      <c r="A1036" s="4" t="s">
        <v>3195</v>
      </c>
      <c r="B1036" s="5" t="s">
        <v>3196</v>
      </c>
      <c r="C1036" s="4" t="s">
        <v>82</v>
      </c>
      <c r="D1036" s="475">
        <v>351.02</v>
      </c>
      <c r="E1036" s="476">
        <v>0</v>
      </c>
      <c r="F1036" s="6">
        <v>0</v>
      </c>
      <c r="G1036" s="6">
        <v>1</v>
      </c>
    </row>
    <row r="1037" ht="15.75" customHeight="1" spans="1:7">
      <c r="A1037" s="4" t="s">
        <v>3197</v>
      </c>
      <c r="B1037" s="5" t="s">
        <v>3198</v>
      </c>
      <c r="C1037" s="4" t="s">
        <v>82</v>
      </c>
      <c r="D1037" s="475">
        <v>415.7</v>
      </c>
      <c r="E1037" s="476">
        <v>0</v>
      </c>
      <c r="F1037" s="6">
        <v>0</v>
      </c>
      <c r="G1037" s="6">
        <v>1</v>
      </c>
    </row>
    <row r="1038" ht="15.75" customHeight="1" spans="1:7">
      <c r="A1038" s="4" t="s">
        <v>3199</v>
      </c>
      <c r="B1038" s="5" t="s">
        <v>3200</v>
      </c>
      <c r="C1038" s="4" t="s">
        <v>82</v>
      </c>
      <c r="D1038" s="475">
        <v>364.11</v>
      </c>
      <c r="E1038" s="476">
        <v>0</v>
      </c>
      <c r="F1038" s="6">
        <v>0</v>
      </c>
      <c r="G1038" s="6">
        <v>1</v>
      </c>
    </row>
    <row r="1039" ht="15.75" customHeight="1" spans="1:7">
      <c r="A1039" s="4" t="s">
        <v>3201</v>
      </c>
      <c r="B1039" s="5" t="s">
        <v>3202</v>
      </c>
      <c r="C1039" s="4" t="s">
        <v>82</v>
      </c>
      <c r="D1039" s="475">
        <v>373.33</v>
      </c>
      <c r="E1039" s="476">
        <v>0</v>
      </c>
      <c r="F1039" s="6">
        <v>0</v>
      </c>
      <c r="G1039" s="6">
        <v>1</v>
      </c>
    </row>
    <row r="1040" ht="15.75" customHeight="1" spans="1:7">
      <c r="A1040" s="4" t="s">
        <v>3203</v>
      </c>
      <c r="B1040" s="5" t="s">
        <v>3204</v>
      </c>
      <c r="C1040" s="4" t="s">
        <v>82</v>
      </c>
      <c r="D1040" s="475">
        <v>322.23</v>
      </c>
      <c r="E1040" s="476">
        <v>0</v>
      </c>
      <c r="F1040" s="6">
        <v>0</v>
      </c>
      <c r="G1040" s="6">
        <v>1</v>
      </c>
    </row>
    <row r="1041" ht="15.75" customHeight="1" spans="1:7">
      <c r="A1041" s="4" t="s">
        <v>3205</v>
      </c>
      <c r="B1041" s="5" t="s">
        <v>3206</v>
      </c>
      <c r="C1041" s="4" t="s">
        <v>82</v>
      </c>
      <c r="D1041" s="475">
        <v>1106.1</v>
      </c>
      <c r="E1041" s="476">
        <v>0</v>
      </c>
      <c r="F1041" s="6">
        <v>0</v>
      </c>
      <c r="G1041" s="6">
        <v>1</v>
      </c>
    </row>
    <row r="1042" ht="15.75" customHeight="1" spans="1:7">
      <c r="A1042" s="4" t="s">
        <v>3207</v>
      </c>
      <c r="B1042" s="5" t="s">
        <v>3208</v>
      </c>
      <c r="C1042" s="4" t="s">
        <v>82</v>
      </c>
      <c r="D1042" s="475">
        <v>755.3</v>
      </c>
      <c r="E1042" s="476">
        <v>0</v>
      </c>
      <c r="F1042" s="6">
        <v>0</v>
      </c>
      <c r="G1042" s="6">
        <v>1</v>
      </c>
    </row>
    <row r="1043" ht="15.75" customHeight="1" spans="1:7">
      <c r="A1043" s="4" t="s">
        <v>3209</v>
      </c>
      <c r="B1043" s="5" t="s">
        <v>3210</v>
      </c>
      <c r="C1043" s="4" t="s">
        <v>82</v>
      </c>
      <c r="D1043" s="475">
        <v>966.8</v>
      </c>
      <c r="E1043" s="476">
        <v>0</v>
      </c>
      <c r="F1043" s="6">
        <v>0</v>
      </c>
      <c r="G1043" s="6">
        <v>1</v>
      </c>
    </row>
    <row r="1044" ht="15.75" customHeight="1" spans="1:7">
      <c r="A1044" s="4" t="s">
        <v>3211</v>
      </c>
      <c r="B1044" s="5" t="s">
        <v>3212</v>
      </c>
      <c r="C1044" s="4" t="s">
        <v>82</v>
      </c>
      <c r="D1044" s="475">
        <v>642.7</v>
      </c>
      <c r="E1044" s="476">
        <v>0</v>
      </c>
      <c r="F1044" s="6">
        <v>0</v>
      </c>
      <c r="G1044" s="6">
        <v>1</v>
      </c>
    </row>
    <row r="1045" ht="15.75" customHeight="1" spans="1:7">
      <c r="A1045" s="4" t="s">
        <v>3213</v>
      </c>
      <c r="B1045" s="5" t="s">
        <v>3214</v>
      </c>
      <c r="C1045" s="4" t="s">
        <v>82</v>
      </c>
      <c r="D1045" s="475">
        <v>758.03</v>
      </c>
      <c r="E1045" s="476">
        <v>0</v>
      </c>
      <c r="F1045" s="6">
        <v>0</v>
      </c>
      <c r="G1045" s="6">
        <v>1</v>
      </c>
    </row>
    <row r="1046" ht="15.75" customHeight="1" spans="1:7">
      <c r="A1046" s="4" t="s">
        <v>3215</v>
      </c>
      <c r="B1046" s="5" t="s">
        <v>3216</v>
      </c>
      <c r="C1046" s="4" t="s">
        <v>82</v>
      </c>
      <c r="D1046" s="475">
        <v>645.3</v>
      </c>
      <c r="E1046" s="476">
        <v>0</v>
      </c>
      <c r="F1046" s="6">
        <v>0</v>
      </c>
      <c r="G1046" s="6">
        <v>1</v>
      </c>
    </row>
    <row r="1047" ht="15.75" customHeight="1" spans="1:7">
      <c r="A1047" s="4" t="s">
        <v>3217</v>
      </c>
      <c r="B1047" s="5" t="s">
        <v>3218</v>
      </c>
      <c r="C1047" s="4" t="s">
        <v>82</v>
      </c>
      <c r="D1047" s="475">
        <v>939.89</v>
      </c>
      <c r="E1047" s="476">
        <v>0</v>
      </c>
      <c r="F1047" s="6">
        <v>0</v>
      </c>
      <c r="G1047" s="6">
        <v>1</v>
      </c>
    </row>
    <row r="1048" ht="15.75" customHeight="1" spans="1:7">
      <c r="A1048" s="4" t="s">
        <v>3219</v>
      </c>
      <c r="B1048" s="5" t="s">
        <v>3220</v>
      </c>
      <c r="C1048" s="4" t="s">
        <v>82</v>
      </c>
      <c r="D1048" s="475">
        <v>761.02</v>
      </c>
      <c r="E1048" s="476">
        <v>0</v>
      </c>
      <c r="F1048" s="6">
        <v>0</v>
      </c>
      <c r="G1048" s="6">
        <v>1</v>
      </c>
    </row>
    <row r="1049" ht="15.75" customHeight="1" spans="1:7">
      <c r="A1049" s="4" t="s">
        <v>3221</v>
      </c>
      <c r="B1049" s="5" t="s">
        <v>3222</v>
      </c>
      <c r="C1049" s="4" t="s">
        <v>82</v>
      </c>
      <c r="D1049" s="475">
        <v>792.74</v>
      </c>
      <c r="E1049" s="476">
        <v>0</v>
      </c>
      <c r="F1049" s="6">
        <v>0</v>
      </c>
      <c r="G1049" s="6">
        <v>1</v>
      </c>
    </row>
    <row r="1050" ht="15.75" customHeight="1" spans="1:7">
      <c r="A1050" s="4" t="s">
        <v>3223</v>
      </c>
      <c r="B1050" s="5" t="s">
        <v>3224</v>
      </c>
      <c r="C1050" s="4" t="s">
        <v>82</v>
      </c>
      <c r="D1050" s="475">
        <v>648.3</v>
      </c>
      <c r="E1050" s="476">
        <v>0</v>
      </c>
      <c r="F1050" s="6">
        <v>0</v>
      </c>
      <c r="G1050" s="6">
        <v>1</v>
      </c>
    </row>
    <row r="1051" ht="15.75" customHeight="1" spans="1:7">
      <c r="A1051" s="4" t="s">
        <v>3225</v>
      </c>
      <c r="B1051" s="5" t="s">
        <v>3226</v>
      </c>
      <c r="C1051" s="4" t="s">
        <v>82</v>
      </c>
      <c r="D1051" s="475">
        <v>765.99</v>
      </c>
      <c r="E1051" s="476">
        <v>0</v>
      </c>
      <c r="F1051" s="6">
        <v>0</v>
      </c>
      <c r="G1051" s="6">
        <v>1</v>
      </c>
    </row>
    <row r="1052" ht="15.75" customHeight="1" spans="1:7">
      <c r="A1052" s="4" t="s">
        <v>3227</v>
      </c>
      <c r="B1052" s="5" t="s">
        <v>3228</v>
      </c>
      <c r="C1052" s="4" t="s">
        <v>82</v>
      </c>
      <c r="D1052" s="475">
        <v>653.15</v>
      </c>
      <c r="E1052" s="476">
        <v>0</v>
      </c>
      <c r="F1052" s="6">
        <v>0</v>
      </c>
      <c r="G1052" s="6">
        <v>1</v>
      </c>
    </row>
    <row r="1053" ht="15.75" customHeight="1" spans="1:7">
      <c r="A1053" s="4" t="s">
        <v>3229</v>
      </c>
      <c r="B1053" s="5" t="s">
        <v>3230</v>
      </c>
      <c r="C1053" s="4" t="s">
        <v>82</v>
      </c>
      <c r="D1053" s="475">
        <v>772.47</v>
      </c>
      <c r="E1053" s="476">
        <v>0</v>
      </c>
      <c r="F1053" s="6">
        <v>0</v>
      </c>
      <c r="G1053" s="6">
        <v>1</v>
      </c>
    </row>
    <row r="1054" ht="15.75" customHeight="1" spans="1:7">
      <c r="A1054" s="4" t="s">
        <v>3231</v>
      </c>
      <c r="B1054" s="5" t="s">
        <v>3232</v>
      </c>
      <c r="C1054" s="4" t="s">
        <v>82</v>
      </c>
      <c r="D1054" s="475">
        <v>659.5</v>
      </c>
      <c r="E1054" s="476">
        <v>0</v>
      </c>
      <c r="F1054" s="6">
        <v>0</v>
      </c>
      <c r="G1054" s="6">
        <v>1</v>
      </c>
    </row>
    <row r="1055" ht="15.75" customHeight="1" spans="1:7">
      <c r="A1055" s="4" t="s">
        <v>3233</v>
      </c>
      <c r="B1055" s="5" t="s">
        <v>3234</v>
      </c>
      <c r="C1055" s="4" t="s">
        <v>82</v>
      </c>
      <c r="D1055" s="475">
        <v>1308.38</v>
      </c>
      <c r="E1055" s="476">
        <v>0</v>
      </c>
      <c r="F1055" s="6">
        <v>0</v>
      </c>
      <c r="G1055" s="6">
        <v>1</v>
      </c>
    </row>
    <row r="1056" ht="15.75" customHeight="1" spans="1:7">
      <c r="A1056" s="4" t="s">
        <v>3235</v>
      </c>
      <c r="B1056" s="5" t="s">
        <v>3236</v>
      </c>
      <c r="C1056" s="4" t="s">
        <v>82</v>
      </c>
      <c r="D1056" s="475">
        <v>781.66</v>
      </c>
      <c r="E1056" s="476">
        <v>0</v>
      </c>
      <c r="F1056" s="6">
        <v>0</v>
      </c>
      <c r="G1056" s="6">
        <v>1</v>
      </c>
    </row>
    <row r="1057" ht="15.75" customHeight="1" spans="1:7">
      <c r="A1057" s="4" t="s">
        <v>3237</v>
      </c>
      <c r="B1057" s="5" t="s">
        <v>3238</v>
      </c>
      <c r="C1057" s="4" t="s">
        <v>82</v>
      </c>
      <c r="D1057" s="475">
        <v>1141.65</v>
      </c>
      <c r="E1057" s="476">
        <v>0</v>
      </c>
      <c r="F1057" s="6">
        <v>0</v>
      </c>
      <c r="G1057" s="6">
        <v>1</v>
      </c>
    </row>
    <row r="1058" ht="15.75" customHeight="1" spans="1:7">
      <c r="A1058" s="4" t="s">
        <v>3239</v>
      </c>
      <c r="B1058" s="5" t="s">
        <v>3240</v>
      </c>
      <c r="C1058" s="4" t="s">
        <v>82</v>
      </c>
      <c r="D1058" s="475">
        <v>668.45</v>
      </c>
      <c r="E1058" s="476">
        <v>0</v>
      </c>
      <c r="F1058" s="6">
        <v>0</v>
      </c>
      <c r="G1058" s="6">
        <v>1</v>
      </c>
    </row>
    <row r="1059" ht="15.75" customHeight="1" spans="1:7">
      <c r="A1059" s="4" t="s">
        <v>3241</v>
      </c>
      <c r="B1059" s="5" t="s">
        <v>3242</v>
      </c>
      <c r="C1059" s="4" t="s">
        <v>82</v>
      </c>
      <c r="D1059" s="475">
        <v>794.12</v>
      </c>
      <c r="E1059" s="476">
        <v>0</v>
      </c>
      <c r="F1059" s="6">
        <v>0</v>
      </c>
      <c r="G1059" s="6">
        <v>1</v>
      </c>
    </row>
    <row r="1060" ht="15.75" customHeight="1" spans="1:7">
      <c r="A1060" s="4" t="s">
        <v>3243</v>
      </c>
      <c r="B1060" s="5" t="s">
        <v>3244</v>
      </c>
      <c r="C1060" s="4" t="s">
        <v>82</v>
      </c>
      <c r="D1060" s="475">
        <v>680.8</v>
      </c>
      <c r="E1060" s="476">
        <v>0</v>
      </c>
      <c r="F1060" s="6">
        <v>0</v>
      </c>
      <c r="G1060" s="6">
        <v>1</v>
      </c>
    </row>
    <row r="1061" ht="15.75" customHeight="1" spans="1:7">
      <c r="A1061" s="4" t="s">
        <v>3245</v>
      </c>
      <c r="B1061" s="5" t="s">
        <v>3246</v>
      </c>
      <c r="C1061" s="4" t="s">
        <v>82</v>
      </c>
      <c r="D1061" s="475">
        <v>810.06</v>
      </c>
      <c r="E1061" s="476">
        <v>0</v>
      </c>
      <c r="F1061" s="6">
        <v>0</v>
      </c>
      <c r="G1061" s="6">
        <v>1</v>
      </c>
    </row>
    <row r="1062" ht="15.75" customHeight="1" spans="1:7">
      <c r="A1062" s="4" t="s">
        <v>3247</v>
      </c>
      <c r="B1062" s="5" t="s">
        <v>3248</v>
      </c>
      <c r="C1062" s="4" t="s">
        <v>82</v>
      </c>
      <c r="D1062" s="475">
        <v>696.49</v>
      </c>
      <c r="E1062" s="476">
        <v>0</v>
      </c>
      <c r="F1062" s="6">
        <v>0</v>
      </c>
      <c r="G1062" s="6">
        <v>1</v>
      </c>
    </row>
    <row r="1063" ht="15.75" customHeight="1" spans="1:7">
      <c r="A1063" s="4" t="s">
        <v>3249</v>
      </c>
      <c r="B1063" s="5" t="s">
        <v>3250</v>
      </c>
      <c r="C1063" s="4" t="s">
        <v>82</v>
      </c>
      <c r="D1063" s="475">
        <v>1618.5</v>
      </c>
      <c r="E1063" s="476">
        <v>0</v>
      </c>
      <c r="F1063" s="6">
        <v>0</v>
      </c>
      <c r="G1063" s="6">
        <v>1</v>
      </c>
    </row>
    <row r="1064" ht="15.75" customHeight="1" spans="1:7">
      <c r="A1064" s="4" t="s">
        <v>3251</v>
      </c>
      <c r="B1064" s="5" t="s">
        <v>3252</v>
      </c>
      <c r="C1064" s="4" t="s">
        <v>82</v>
      </c>
      <c r="D1064" s="475">
        <v>832.75</v>
      </c>
      <c r="E1064" s="476">
        <v>0</v>
      </c>
      <c r="F1064" s="6">
        <v>0</v>
      </c>
      <c r="G1064" s="6">
        <v>1</v>
      </c>
    </row>
    <row r="1065" ht="15.75" customHeight="1" spans="1:7">
      <c r="A1065" s="4" t="s">
        <v>3253</v>
      </c>
      <c r="B1065" s="5" t="s">
        <v>3254</v>
      </c>
      <c r="C1065" s="4" t="s">
        <v>82</v>
      </c>
      <c r="D1065" s="475">
        <v>1410.45</v>
      </c>
      <c r="E1065" s="476">
        <v>0</v>
      </c>
      <c r="F1065" s="6">
        <v>0</v>
      </c>
      <c r="G1065" s="6">
        <v>1</v>
      </c>
    </row>
    <row r="1066" ht="15.75" customHeight="1" spans="1:7">
      <c r="A1066" s="4" t="s">
        <v>3255</v>
      </c>
      <c r="B1066" s="5" t="s">
        <v>3256</v>
      </c>
      <c r="C1066" s="4" t="s">
        <v>82</v>
      </c>
      <c r="D1066" s="475">
        <v>718.93</v>
      </c>
      <c r="E1066" s="476">
        <v>0</v>
      </c>
      <c r="F1066" s="6">
        <v>0</v>
      </c>
      <c r="G1066" s="6">
        <v>1</v>
      </c>
    </row>
    <row r="1067" ht="15.75" customHeight="1" spans="1:7">
      <c r="A1067" s="4" t="s">
        <v>3257</v>
      </c>
      <c r="B1067" s="5" t="s">
        <v>3258</v>
      </c>
      <c r="C1067" s="4" t="s">
        <v>82</v>
      </c>
      <c r="D1067" s="475">
        <v>756.05</v>
      </c>
      <c r="E1067" s="476">
        <v>0</v>
      </c>
      <c r="F1067" s="6">
        <v>0</v>
      </c>
      <c r="G1067" s="6">
        <v>1</v>
      </c>
    </row>
    <row r="1068" ht="15.75" customHeight="1" spans="1:7">
      <c r="A1068" s="4" t="s">
        <v>3259</v>
      </c>
      <c r="B1068" s="5" t="s">
        <v>3260</v>
      </c>
      <c r="C1068" s="4" t="s">
        <v>82</v>
      </c>
      <c r="D1068" s="475">
        <v>643.45</v>
      </c>
      <c r="E1068" s="476">
        <v>0</v>
      </c>
      <c r="F1068" s="6">
        <v>0</v>
      </c>
      <c r="G1068" s="6">
        <v>1</v>
      </c>
    </row>
    <row r="1069" ht="15.75" customHeight="1" spans="1:7">
      <c r="A1069" s="4" t="s">
        <v>3261</v>
      </c>
      <c r="B1069" s="5" t="s">
        <v>3262</v>
      </c>
      <c r="C1069" s="4" t="s">
        <v>82</v>
      </c>
      <c r="D1069" s="475">
        <v>1853.82</v>
      </c>
      <c r="E1069" s="476">
        <v>0</v>
      </c>
      <c r="F1069" s="6">
        <v>0</v>
      </c>
      <c r="G1069" s="6">
        <v>1</v>
      </c>
    </row>
    <row r="1070" ht="15.75" customHeight="1" spans="1:7">
      <c r="A1070" s="4" t="s">
        <v>3263</v>
      </c>
      <c r="B1070" s="5" t="s">
        <v>3264</v>
      </c>
      <c r="C1070" s="4" t="s">
        <v>82</v>
      </c>
      <c r="D1070" s="475">
        <v>1281.04</v>
      </c>
      <c r="E1070" s="476">
        <v>0</v>
      </c>
      <c r="F1070" s="6">
        <v>0</v>
      </c>
      <c r="G1070" s="6">
        <v>1</v>
      </c>
    </row>
    <row r="1071" ht="15.75" customHeight="1" spans="1:7">
      <c r="A1071" s="4" t="s">
        <v>3265</v>
      </c>
      <c r="B1071" s="5" t="s">
        <v>3266</v>
      </c>
      <c r="C1071" s="4" t="s">
        <v>82</v>
      </c>
      <c r="D1071" s="475">
        <v>1595.26</v>
      </c>
      <c r="E1071" s="476">
        <v>0</v>
      </c>
      <c r="F1071" s="6">
        <v>0</v>
      </c>
      <c r="G1071" s="6">
        <v>1</v>
      </c>
    </row>
    <row r="1072" ht="15.75" customHeight="1" spans="1:7">
      <c r="A1072" s="4" t="s">
        <v>3267</v>
      </c>
      <c r="B1072" s="5" t="s">
        <v>3268</v>
      </c>
      <c r="C1072" s="4" t="s">
        <v>82</v>
      </c>
      <c r="D1072" s="475">
        <v>1085.44</v>
      </c>
      <c r="E1072" s="476">
        <v>0</v>
      </c>
      <c r="F1072" s="6">
        <v>0</v>
      </c>
      <c r="G1072" s="6">
        <v>1</v>
      </c>
    </row>
    <row r="1073" ht="15.75" customHeight="1" spans="1:7">
      <c r="A1073" s="4" t="s">
        <v>3269</v>
      </c>
      <c r="B1073" s="5" t="s">
        <v>3270</v>
      </c>
      <c r="C1073" s="4" t="s">
        <v>82</v>
      </c>
      <c r="D1073" s="475">
        <v>1285.27</v>
      </c>
      <c r="E1073" s="476">
        <v>0</v>
      </c>
      <c r="F1073" s="6">
        <v>0</v>
      </c>
      <c r="G1073" s="6">
        <v>1</v>
      </c>
    </row>
    <row r="1074" ht="15.75" customHeight="1" spans="1:7">
      <c r="A1074" s="4" t="s">
        <v>3271</v>
      </c>
      <c r="B1074" s="5" t="s">
        <v>3272</v>
      </c>
      <c r="C1074" s="4" t="s">
        <v>82</v>
      </c>
      <c r="D1074" s="475">
        <v>1089.54</v>
      </c>
      <c r="E1074" s="476">
        <v>0</v>
      </c>
      <c r="F1074" s="6">
        <v>0</v>
      </c>
      <c r="G1074" s="6">
        <v>1</v>
      </c>
    </row>
    <row r="1075" ht="15.75" customHeight="1" spans="1:7">
      <c r="A1075" s="4" t="s">
        <v>3273</v>
      </c>
      <c r="B1075" s="5" t="s">
        <v>3274</v>
      </c>
      <c r="C1075" s="4" t="s">
        <v>82</v>
      </c>
      <c r="D1075" s="475">
        <v>1953.75</v>
      </c>
      <c r="E1075" s="476">
        <v>0</v>
      </c>
      <c r="F1075" s="6">
        <v>0</v>
      </c>
      <c r="G1075" s="6">
        <v>1</v>
      </c>
    </row>
    <row r="1076" ht="15.75" customHeight="1" spans="1:7">
      <c r="A1076" s="4" t="s">
        <v>3275</v>
      </c>
      <c r="B1076" s="5" t="s">
        <v>3276</v>
      </c>
      <c r="C1076" s="4" t="s">
        <v>82</v>
      </c>
      <c r="D1076" s="475">
        <v>1290.99</v>
      </c>
      <c r="E1076" s="476">
        <v>0</v>
      </c>
      <c r="F1076" s="6">
        <v>0</v>
      </c>
      <c r="G1076" s="6">
        <v>1</v>
      </c>
    </row>
    <row r="1077" ht="15.75" customHeight="1" spans="1:7">
      <c r="A1077" s="4" t="s">
        <v>3277</v>
      </c>
      <c r="B1077" s="5" t="s">
        <v>3278</v>
      </c>
      <c r="C1077" s="4" t="s">
        <v>82</v>
      </c>
      <c r="D1077" s="475">
        <v>1680.45</v>
      </c>
      <c r="E1077" s="476">
        <v>0</v>
      </c>
      <c r="F1077" s="6">
        <v>0</v>
      </c>
      <c r="G1077" s="6">
        <v>1</v>
      </c>
    </row>
    <row r="1078" ht="15.75" customHeight="1" spans="1:7">
      <c r="A1078" s="4" t="s">
        <v>3279</v>
      </c>
      <c r="B1078" s="5" t="s">
        <v>3280</v>
      </c>
      <c r="C1078" s="4" t="s">
        <v>82</v>
      </c>
      <c r="D1078" s="475">
        <v>1095.14</v>
      </c>
      <c r="E1078" s="476">
        <v>0</v>
      </c>
      <c r="F1078" s="6">
        <v>0</v>
      </c>
      <c r="G1078" s="6">
        <v>1</v>
      </c>
    </row>
    <row r="1079" ht="15.75" customHeight="1" spans="1:7">
      <c r="A1079" s="4" t="s">
        <v>3281</v>
      </c>
      <c r="B1079" s="5" t="s">
        <v>3282</v>
      </c>
      <c r="C1079" s="4" t="s">
        <v>82</v>
      </c>
      <c r="D1079" s="475">
        <v>1299.7</v>
      </c>
      <c r="E1079" s="476">
        <v>0</v>
      </c>
      <c r="F1079" s="6">
        <v>0</v>
      </c>
      <c r="G1079" s="6">
        <v>1</v>
      </c>
    </row>
    <row r="1080" ht="15.75" customHeight="1" spans="1:7">
      <c r="A1080" s="4" t="s">
        <v>3283</v>
      </c>
      <c r="B1080" s="5" t="s">
        <v>3284</v>
      </c>
      <c r="C1080" s="4" t="s">
        <v>82</v>
      </c>
      <c r="D1080" s="475">
        <v>1103.73</v>
      </c>
      <c r="E1080" s="476">
        <v>0</v>
      </c>
      <c r="F1080" s="6">
        <v>0</v>
      </c>
      <c r="G1080" s="6">
        <v>1</v>
      </c>
    </row>
    <row r="1081" ht="15.75" customHeight="1" spans="1:7">
      <c r="A1081" s="4" t="s">
        <v>3285</v>
      </c>
      <c r="B1081" s="5" t="s">
        <v>3286</v>
      </c>
      <c r="C1081" s="4" t="s">
        <v>82</v>
      </c>
      <c r="D1081" s="475">
        <v>1311.15</v>
      </c>
      <c r="E1081" s="476">
        <v>0</v>
      </c>
      <c r="F1081" s="6">
        <v>0</v>
      </c>
      <c r="G1081" s="6">
        <v>1</v>
      </c>
    </row>
    <row r="1082" ht="15.75" customHeight="1" spans="1:7">
      <c r="A1082" s="4" t="s">
        <v>3287</v>
      </c>
      <c r="B1082" s="5" t="s">
        <v>3288</v>
      </c>
      <c r="C1082" s="4" t="s">
        <v>82</v>
      </c>
      <c r="D1082" s="475">
        <v>1114.94</v>
      </c>
      <c r="E1082" s="476">
        <v>0</v>
      </c>
      <c r="F1082" s="6">
        <v>0</v>
      </c>
      <c r="G1082" s="6">
        <v>1</v>
      </c>
    </row>
    <row r="1083" ht="15.75" customHeight="1" spans="1:7">
      <c r="A1083" s="4" t="s">
        <v>3289</v>
      </c>
      <c r="B1083" s="5" t="s">
        <v>3290</v>
      </c>
      <c r="C1083" s="4" t="s">
        <v>82</v>
      </c>
      <c r="D1083" s="475">
        <v>2182.77</v>
      </c>
      <c r="E1083" s="476">
        <v>0</v>
      </c>
      <c r="F1083" s="6">
        <v>0</v>
      </c>
      <c r="G1083" s="6">
        <v>1</v>
      </c>
    </row>
    <row r="1084" ht="15.75" customHeight="1" spans="1:7">
      <c r="A1084" s="4" t="s">
        <v>3291</v>
      </c>
      <c r="B1084" s="5" t="s">
        <v>3292</v>
      </c>
      <c r="C1084" s="4" t="s">
        <v>82</v>
      </c>
      <c r="D1084" s="475">
        <v>1326.81</v>
      </c>
      <c r="E1084" s="476">
        <v>0</v>
      </c>
      <c r="F1084" s="6">
        <v>0</v>
      </c>
      <c r="G1084" s="6">
        <v>1</v>
      </c>
    </row>
    <row r="1085" ht="15.75" customHeight="1" spans="1:7">
      <c r="A1085" s="4" t="s">
        <v>3293</v>
      </c>
      <c r="B1085" s="5" t="s">
        <v>3294</v>
      </c>
      <c r="C1085" s="4" t="s">
        <v>82</v>
      </c>
      <c r="D1085" s="475">
        <v>1876.01</v>
      </c>
      <c r="E1085" s="476">
        <v>0</v>
      </c>
      <c r="F1085" s="6">
        <v>0</v>
      </c>
      <c r="G1085" s="6">
        <v>1</v>
      </c>
    </row>
    <row r="1086" ht="15.75" customHeight="1" spans="1:7">
      <c r="A1086" s="4" t="s">
        <v>3295</v>
      </c>
      <c r="B1086" s="5" t="s">
        <v>3296</v>
      </c>
      <c r="C1086" s="4" t="s">
        <v>82</v>
      </c>
      <c r="D1086" s="475">
        <v>1130.24</v>
      </c>
      <c r="E1086" s="476">
        <v>0</v>
      </c>
      <c r="F1086" s="6">
        <v>0</v>
      </c>
      <c r="G1086" s="6">
        <v>1</v>
      </c>
    </row>
    <row r="1087" ht="15.75" customHeight="1" spans="1:7">
      <c r="A1087" s="4" t="s">
        <v>3297</v>
      </c>
      <c r="B1087" s="5" t="s">
        <v>3298</v>
      </c>
      <c r="C1087" s="4" t="s">
        <v>82</v>
      </c>
      <c r="D1087" s="475">
        <v>1348.47</v>
      </c>
      <c r="E1087" s="476">
        <v>0</v>
      </c>
      <c r="F1087" s="6">
        <v>0</v>
      </c>
      <c r="G1087" s="6">
        <v>1</v>
      </c>
    </row>
    <row r="1088" ht="15.75" customHeight="1" spans="1:7">
      <c r="A1088" s="4" t="s">
        <v>3299</v>
      </c>
      <c r="B1088" s="5" t="s">
        <v>3300</v>
      </c>
      <c r="C1088" s="4" t="s">
        <v>82</v>
      </c>
      <c r="D1088" s="475">
        <v>1151.53</v>
      </c>
      <c r="E1088" s="476">
        <v>0</v>
      </c>
      <c r="F1088" s="6">
        <v>0</v>
      </c>
      <c r="G1088" s="6">
        <v>1</v>
      </c>
    </row>
    <row r="1089" ht="15.75" customHeight="1" spans="1:7">
      <c r="A1089" s="4" t="s">
        <v>3301</v>
      </c>
      <c r="B1089" s="5" t="s">
        <v>3302</v>
      </c>
      <c r="C1089" s="4" t="s">
        <v>82</v>
      </c>
      <c r="D1089" s="475">
        <v>1376.87</v>
      </c>
      <c r="E1089" s="476">
        <v>0</v>
      </c>
      <c r="F1089" s="6">
        <v>0</v>
      </c>
      <c r="G1089" s="6">
        <v>1</v>
      </c>
    </row>
    <row r="1090" ht="15.75" customHeight="1" spans="1:7">
      <c r="A1090" s="4" t="s">
        <v>3303</v>
      </c>
      <c r="B1090" s="5" t="s">
        <v>3304</v>
      </c>
      <c r="C1090" s="4" t="s">
        <v>82</v>
      </c>
      <c r="D1090" s="475">
        <v>1179.57</v>
      </c>
      <c r="E1090" s="476">
        <v>0</v>
      </c>
      <c r="F1090" s="6">
        <v>0</v>
      </c>
      <c r="G1090" s="6">
        <v>1</v>
      </c>
    </row>
    <row r="1091" ht="15.75" customHeight="1" spans="1:7">
      <c r="A1091" s="4" t="s">
        <v>3305</v>
      </c>
      <c r="B1091" s="5" t="s">
        <v>3306</v>
      </c>
      <c r="C1091" s="4" t="s">
        <v>82</v>
      </c>
      <c r="D1091" s="475">
        <v>2711.44</v>
      </c>
      <c r="E1091" s="476">
        <v>0</v>
      </c>
      <c r="F1091" s="6">
        <v>0</v>
      </c>
      <c r="G1091" s="6">
        <v>1</v>
      </c>
    </row>
    <row r="1092" ht="15.75" customHeight="1" spans="1:7">
      <c r="A1092" s="4" t="s">
        <v>3307</v>
      </c>
      <c r="B1092" s="5" t="s">
        <v>3308</v>
      </c>
      <c r="C1092" s="4" t="s">
        <v>82</v>
      </c>
      <c r="D1092" s="475">
        <v>1415.77</v>
      </c>
      <c r="E1092" s="476">
        <v>0</v>
      </c>
      <c r="F1092" s="6">
        <v>0</v>
      </c>
      <c r="G1092" s="6">
        <v>1</v>
      </c>
    </row>
    <row r="1093" ht="15.75" customHeight="1" spans="1:7">
      <c r="A1093" s="4" t="s">
        <v>3309</v>
      </c>
      <c r="B1093" s="5" t="s">
        <v>3310</v>
      </c>
      <c r="C1093" s="4" t="s">
        <v>82</v>
      </c>
      <c r="D1093" s="475">
        <v>2326.27</v>
      </c>
      <c r="E1093" s="476">
        <v>0</v>
      </c>
      <c r="F1093" s="6">
        <v>0</v>
      </c>
      <c r="G1093" s="6">
        <v>1</v>
      </c>
    </row>
    <row r="1094" ht="15.75" customHeight="1" spans="1:7">
      <c r="A1094" s="4" t="s">
        <v>3311</v>
      </c>
      <c r="B1094" s="5" t="s">
        <v>3312</v>
      </c>
      <c r="C1094" s="4" t="s">
        <v>82</v>
      </c>
      <c r="D1094" s="475">
        <v>1218.11</v>
      </c>
      <c r="E1094" s="476">
        <v>0</v>
      </c>
      <c r="F1094" s="6">
        <v>0</v>
      </c>
      <c r="G1094" s="6">
        <v>1</v>
      </c>
    </row>
    <row r="1095" ht="15.75" customHeight="1" spans="1:7">
      <c r="A1095" s="4" t="s">
        <v>3313</v>
      </c>
      <c r="B1095" s="5" t="s">
        <v>3314</v>
      </c>
      <c r="C1095" s="4" t="s">
        <v>82</v>
      </c>
      <c r="D1095" s="475">
        <v>1282.54</v>
      </c>
      <c r="E1095" s="476">
        <v>0</v>
      </c>
      <c r="F1095" s="6">
        <v>0</v>
      </c>
      <c r="G1095" s="6">
        <v>1</v>
      </c>
    </row>
    <row r="1096" ht="15.75" customHeight="1" spans="1:7">
      <c r="A1096" s="4" t="s">
        <v>3315</v>
      </c>
      <c r="B1096" s="5" t="s">
        <v>3316</v>
      </c>
      <c r="C1096" s="4" t="s">
        <v>82</v>
      </c>
      <c r="D1096" s="475">
        <v>1086.93</v>
      </c>
      <c r="E1096" s="476">
        <v>0</v>
      </c>
      <c r="F1096" s="6">
        <v>0</v>
      </c>
      <c r="G1096" s="6">
        <v>1</v>
      </c>
    </row>
    <row r="1097" ht="15.75" customHeight="1" spans="1:7">
      <c r="A1097" s="4" t="s">
        <v>3317</v>
      </c>
      <c r="B1097" s="5" t="s">
        <v>3318</v>
      </c>
      <c r="C1097" s="4" t="s">
        <v>82</v>
      </c>
      <c r="D1097" s="475">
        <v>2869.78</v>
      </c>
      <c r="E1097" s="476">
        <v>0</v>
      </c>
      <c r="F1097" s="6">
        <v>0</v>
      </c>
      <c r="G1097" s="6">
        <v>1</v>
      </c>
    </row>
    <row r="1098" ht="15.75" customHeight="1" spans="1:7">
      <c r="A1098" s="4" t="s">
        <v>3319</v>
      </c>
      <c r="B1098" s="5" t="s">
        <v>3320</v>
      </c>
      <c r="C1098" s="4" t="s">
        <v>82</v>
      </c>
      <c r="D1098" s="475">
        <v>1919.85</v>
      </c>
      <c r="E1098" s="476">
        <v>0</v>
      </c>
      <c r="F1098" s="6">
        <v>0</v>
      </c>
      <c r="G1098" s="6">
        <v>1</v>
      </c>
    </row>
    <row r="1099" ht="15.75" customHeight="1" spans="1:7">
      <c r="A1099" s="4" t="s">
        <v>3321</v>
      </c>
      <c r="B1099" s="5" t="s">
        <v>3322</v>
      </c>
      <c r="C1099" s="4" t="s">
        <v>82</v>
      </c>
      <c r="D1099" s="475">
        <v>2438.81</v>
      </c>
      <c r="E1099" s="476">
        <v>0</v>
      </c>
      <c r="F1099" s="6">
        <v>0</v>
      </c>
      <c r="G1099" s="6">
        <v>1</v>
      </c>
    </row>
    <row r="1100" ht="15.75" customHeight="1" spans="1:7">
      <c r="A1100" s="4" t="s">
        <v>3323</v>
      </c>
      <c r="B1100" s="5" t="s">
        <v>3324</v>
      </c>
      <c r="C1100" s="4" t="s">
        <v>82</v>
      </c>
      <c r="D1100" s="475">
        <v>1616.1</v>
      </c>
      <c r="E1100" s="476">
        <v>0</v>
      </c>
      <c r="F1100" s="6">
        <v>0</v>
      </c>
      <c r="G1100" s="6">
        <v>1</v>
      </c>
    </row>
    <row r="1101" ht="15.75" customHeight="1" spans="1:7">
      <c r="A1101" s="4" t="s">
        <v>3325</v>
      </c>
      <c r="B1101" s="5" t="s">
        <v>3326</v>
      </c>
      <c r="C1101" s="4" t="s">
        <v>82</v>
      </c>
      <c r="D1101" s="475">
        <v>1925.57</v>
      </c>
      <c r="E1101" s="476">
        <v>0</v>
      </c>
      <c r="F1101" s="6">
        <v>0</v>
      </c>
      <c r="G1101" s="6">
        <v>1</v>
      </c>
    </row>
    <row r="1102" ht="15.75" customHeight="1" spans="1:7">
      <c r="A1102" s="4" t="s">
        <v>3327</v>
      </c>
      <c r="B1102" s="5" t="s">
        <v>3328</v>
      </c>
      <c r="C1102" s="4" t="s">
        <v>82</v>
      </c>
      <c r="D1102" s="475">
        <v>1621.7</v>
      </c>
      <c r="E1102" s="476">
        <v>0</v>
      </c>
      <c r="F1102" s="6">
        <v>0</v>
      </c>
      <c r="G1102" s="6">
        <v>1</v>
      </c>
    </row>
    <row r="1103" ht="15.75" customHeight="1" spans="1:7">
      <c r="A1103" s="4" t="s">
        <v>3329</v>
      </c>
      <c r="B1103" s="5" t="s">
        <v>3330</v>
      </c>
      <c r="C1103" s="4" t="s">
        <v>82</v>
      </c>
      <c r="D1103" s="475">
        <v>3014.75</v>
      </c>
      <c r="E1103" s="476">
        <v>0</v>
      </c>
      <c r="F1103" s="6">
        <v>0</v>
      </c>
      <c r="G1103" s="6">
        <v>1</v>
      </c>
    </row>
    <row r="1104" ht="15.75" customHeight="1" spans="1:7">
      <c r="A1104" s="4" t="s">
        <v>3331</v>
      </c>
      <c r="B1104" s="5" t="s">
        <v>3332</v>
      </c>
      <c r="C1104" s="4" t="s">
        <v>82</v>
      </c>
      <c r="D1104" s="475">
        <v>1934.01</v>
      </c>
      <c r="E1104" s="476">
        <v>0</v>
      </c>
      <c r="F1104" s="6">
        <v>0</v>
      </c>
      <c r="G1104" s="6">
        <v>1</v>
      </c>
    </row>
    <row r="1105" ht="15.75" customHeight="1" spans="1:7">
      <c r="A1105" s="4" t="s">
        <v>3333</v>
      </c>
      <c r="B1105" s="5" t="s">
        <v>3334</v>
      </c>
      <c r="C1105" s="4" t="s">
        <v>82</v>
      </c>
      <c r="D1105" s="475">
        <v>2560.83</v>
      </c>
      <c r="E1105" s="476">
        <v>0</v>
      </c>
      <c r="F1105" s="6">
        <v>0</v>
      </c>
      <c r="G1105" s="6">
        <v>1</v>
      </c>
    </row>
    <row r="1106" ht="15.75" customHeight="1" spans="1:7">
      <c r="A1106" s="4" t="s">
        <v>3335</v>
      </c>
      <c r="B1106" s="5" t="s">
        <v>3336</v>
      </c>
      <c r="C1106" s="4" t="s">
        <v>82</v>
      </c>
      <c r="D1106" s="475">
        <v>1629.91</v>
      </c>
      <c r="E1106" s="476">
        <v>0</v>
      </c>
      <c r="F1106" s="6">
        <v>0</v>
      </c>
      <c r="G1106" s="6">
        <v>1</v>
      </c>
    </row>
    <row r="1107" ht="15.75" customHeight="1" spans="1:7">
      <c r="A1107" s="4" t="s">
        <v>3337</v>
      </c>
      <c r="B1107" s="5" t="s">
        <v>3338</v>
      </c>
      <c r="C1107" s="4" t="s">
        <v>82</v>
      </c>
      <c r="D1107" s="475">
        <v>1945.93</v>
      </c>
      <c r="E1107" s="476">
        <v>0</v>
      </c>
      <c r="F1107" s="6">
        <v>0</v>
      </c>
      <c r="G1107" s="6">
        <v>1</v>
      </c>
    </row>
    <row r="1108" ht="15.75" customHeight="1" spans="1:7">
      <c r="A1108" s="4" t="s">
        <v>3339</v>
      </c>
      <c r="B1108" s="5" t="s">
        <v>3340</v>
      </c>
      <c r="C1108" s="4" t="s">
        <v>82</v>
      </c>
      <c r="D1108" s="475">
        <v>1641.46</v>
      </c>
      <c r="E1108" s="476">
        <v>0</v>
      </c>
      <c r="F1108" s="6">
        <v>0</v>
      </c>
      <c r="G1108" s="6">
        <v>1</v>
      </c>
    </row>
    <row r="1109" ht="15.75" customHeight="1" spans="1:7">
      <c r="A1109" s="4" t="s">
        <v>3341</v>
      </c>
      <c r="B1109" s="5" t="s">
        <v>3342</v>
      </c>
      <c r="C1109" s="4" t="s">
        <v>82</v>
      </c>
      <c r="D1109" s="475">
        <v>1962.34</v>
      </c>
      <c r="E1109" s="476">
        <v>0</v>
      </c>
      <c r="F1109" s="6">
        <v>0</v>
      </c>
      <c r="G1109" s="6">
        <v>1</v>
      </c>
    </row>
    <row r="1110" ht="15.75" customHeight="1" spans="1:7">
      <c r="A1110" s="4" t="s">
        <v>3343</v>
      </c>
      <c r="B1110" s="5" t="s">
        <v>3344</v>
      </c>
      <c r="C1110" s="4" t="s">
        <v>82</v>
      </c>
      <c r="D1110" s="475">
        <v>1657.51</v>
      </c>
      <c r="E1110" s="476">
        <v>0</v>
      </c>
      <c r="F1110" s="6">
        <v>0</v>
      </c>
      <c r="G1110" s="6">
        <v>1</v>
      </c>
    </row>
    <row r="1111" ht="15.75" customHeight="1" spans="1:7">
      <c r="A1111" s="4" t="s">
        <v>3345</v>
      </c>
      <c r="B1111" s="5" t="s">
        <v>3346</v>
      </c>
      <c r="C1111" s="4" t="s">
        <v>82</v>
      </c>
      <c r="D1111" s="475">
        <v>3361</v>
      </c>
      <c r="E1111" s="476">
        <v>0</v>
      </c>
      <c r="F1111" s="6">
        <v>0</v>
      </c>
      <c r="G1111" s="6">
        <v>1</v>
      </c>
    </row>
    <row r="1112" ht="15.75" customHeight="1" spans="1:7">
      <c r="A1112" s="4" t="s">
        <v>3347</v>
      </c>
      <c r="B1112" s="5" t="s">
        <v>3348</v>
      </c>
      <c r="C1112" s="4" t="s">
        <v>82</v>
      </c>
      <c r="D1112" s="475">
        <v>1985.22</v>
      </c>
      <c r="E1112" s="476">
        <v>0</v>
      </c>
      <c r="F1112" s="6">
        <v>0</v>
      </c>
      <c r="G1112" s="6">
        <v>1</v>
      </c>
    </row>
    <row r="1113" ht="15.75" customHeight="1" spans="1:7">
      <c r="A1113" s="4" t="s">
        <v>3349</v>
      </c>
      <c r="B1113" s="5" t="s">
        <v>3350</v>
      </c>
      <c r="C1113" s="4" t="s">
        <v>82</v>
      </c>
      <c r="D1113" s="475">
        <v>2852.95</v>
      </c>
      <c r="E1113" s="476">
        <v>0</v>
      </c>
      <c r="F1113" s="6">
        <v>0</v>
      </c>
      <c r="G1113" s="6">
        <v>1</v>
      </c>
    </row>
    <row r="1114" ht="15.75" customHeight="1" spans="1:7">
      <c r="A1114" s="4" t="s">
        <v>3351</v>
      </c>
      <c r="B1114" s="5" t="s">
        <v>3352</v>
      </c>
      <c r="C1114" s="4" t="s">
        <v>82</v>
      </c>
      <c r="D1114" s="475">
        <v>1679.91</v>
      </c>
      <c r="E1114" s="476">
        <v>0</v>
      </c>
      <c r="F1114" s="6">
        <v>0</v>
      </c>
      <c r="G1114" s="6">
        <v>1</v>
      </c>
    </row>
    <row r="1115" ht="15.75" customHeight="1" spans="1:7">
      <c r="A1115" s="4" t="s">
        <v>3353</v>
      </c>
      <c r="B1115" s="5" t="s">
        <v>3354</v>
      </c>
      <c r="C1115" s="4" t="s">
        <v>82</v>
      </c>
      <c r="D1115" s="475">
        <v>2014.85</v>
      </c>
      <c r="E1115" s="476">
        <v>0</v>
      </c>
      <c r="F1115" s="6">
        <v>0</v>
      </c>
      <c r="G1115" s="6">
        <v>1</v>
      </c>
    </row>
    <row r="1116" ht="15.75" customHeight="1" spans="1:7">
      <c r="A1116" s="4" t="s">
        <v>3355</v>
      </c>
      <c r="B1116" s="5" t="s">
        <v>3356</v>
      </c>
      <c r="C1116" s="4" t="s">
        <v>82</v>
      </c>
      <c r="D1116" s="475">
        <v>1709.06</v>
      </c>
      <c r="E1116" s="476">
        <v>0</v>
      </c>
      <c r="F1116" s="6">
        <v>0</v>
      </c>
      <c r="G1116" s="6">
        <v>1</v>
      </c>
    </row>
    <row r="1117" ht="15.75" customHeight="1" spans="1:7">
      <c r="A1117" s="4" t="s">
        <v>3357</v>
      </c>
      <c r="B1117" s="5" t="s">
        <v>3358</v>
      </c>
      <c r="C1117" s="4" t="s">
        <v>82</v>
      </c>
      <c r="D1117" s="475">
        <v>1981.26</v>
      </c>
      <c r="E1117" s="476">
        <v>0</v>
      </c>
      <c r="F1117" s="6">
        <v>0</v>
      </c>
      <c r="G1117" s="6">
        <v>1</v>
      </c>
    </row>
    <row r="1118" ht="15.75" customHeight="1" spans="1:7">
      <c r="A1118" s="4" t="s">
        <v>3359</v>
      </c>
      <c r="B1118" s="5" t="s">
        <v>3360</v>
      </c>
      <c r="C1118" s="4" t="s">
        <v>82</v>
      </c>
      <c r="D1118" s="475">
        <v>1674.86</v>
      </c>
      <c r="E1118" s="476">
        <v>0</v>
      </c>
      <c r="F1118" s="6">
        <v>0</v>
      </c>
      <c r="G1118" s="6">
        <v>1</v>
      </c>
    </row>
    <row r="1119" ht="15.75" customHeight="1" spans="1:7">
      <c r="A1119" s="4" t="s">
        <v>3361</v>
      </c>
      <c r="B1119" s="5" t="s">
        <v>3362</v>
      </c>
      <c r="C1119" s="4" t="s">
        <v>82</v>
      </c>
      <c r="D1119" s="475">
        <v>4185.92</v>
      </c>
      <c r="E1119" s="476">
        <v>0</v>
      </c>
      <c r="F1119" s="6">
        <v>0</v>
      </c>
      <c r="G1119" s="6">
        <v>1</v>
      </c>
    </row>
    <row r="1120" ht="15.75" customHeight="1" spans="1:7">
      <c r="A1120" s="4" t="s">
        <v>3363</v>
      </c>
      <c r="B1120" s="5" t="s">
        <v>3364</v>
      </c>
      <c r="C1120" s="4" t="s">
        <v>82</v>
      </c>
      <c r="D1120" s="475">
        <v>2112.26</v>
      </c>
      <c r="E1120" s="476">
        <v>0</v>
      </c>
      <c r="F1120" s="6">
        <v>0</v>
      </c>
      <c r="G1120" s="6">
        <v>1</v>
      </c>
    </row>
    <row r="1121" ht="15.75" customHeight="1" spans="1:7">
      <c r="A1121" s="4" t="s">
        <v>3365</v>
      </c>
      <c r="B1121" s="5" t="s">
        <v>3366</v>
      </c>
      <c r="C1121" s="4" t="s">
        <v>82</v>
      </c>
      <c r="D1121" s="475">
        <v>3546.42</v>
      </c>
      <c r="E1121" s="476">
        <v>0</v>
      </c>
      <c r="F1121" s="6">
        <v>0</v>
      </c>
      <c r="G1121" s="6">
        <v>1</v>
      </c>
    </row>
    <row r="1122" ht="15.75" customHeight="1" spans="1:7">
      <c r="A1122" s="4" t="s">
        <v>3367</v>
      </c>
      <c r="B1122" s="5" t="s">
        <v>3368</v>
      </c>
      <c r="C1122" s="4" t="s">
        <v>82</v>
      </c>
      <c r="D1122" s="475">
        <v>1805.13</v>
      </c>
      <c r="E1122" s="476">
        <v>0</v>
      </c>
      <c r="F1122" s="6">
        <v>0</v>
      </c>
      <c r="G1122" s="6">
        <v>1</v>
      </c>
    </row>
    <row r="1123" ht="15.75" customHeight="1" spans="1:7">
      <c r="A1123" s="4" t="s">
        <v>3369</v>
      </c>
      <c r="B1123" s="5" t="s">
        <v>3370</v>
      </c>
      <c r="C1123" s="4" t="s">
        <v>82</v>
      </c>
      <c r="D1123" s="475">
        <v>1920.6</v>
      </c>
      <c r="E1123" s="476">
        <v>0</v>
      </c>
      <c r="F1123" s="6">
        <v>0</v>
      </c>
      <c r="G1123" s="6">
        <v>1</v>
      </c>
    </row>
    <row r="1124" ht="15.75" customHeight="1" spans="1:7">
      <c r="A1124" s="4" t="s">
        <v>3371</v>
      </c>
      <c r="B1124" s="5" t="s">
        <v>3372</v>
      </c>
      <c r="C1124" s="4" t="s">
        <v>82</v>
      </c>
      <c r="D1124" s="475">
        <v>1616.85</v>
      </c>
      <c r="E1124" s="476">
        <v>0</v>
      </c>
      <c r="F1124" s="6">
        <v>0</v>
      </c>
      <c r="G1124" s="6">
        <v>1</v>
      </c>
    </row>
    <row r="1125" ht="15.75" customHeight="1" spans="1:7">
      <c r="A1125" s="4" t="s">
        <v>3373</v>
      </c>
      <c r="B1125" s="5" t="s">
        <v>3374</v>
      </c>
      <c r="C1125" s="4" t="s">
        <v>82</v>
      </c>
      <c r="D1125" s="475">
        <v>4163.47</v>
      </c>
      <c r="E1125" s="476">
        <v>0</v>
      </c>
      <c r="F1125" s="6">
        <v>0</v>
      </c>
      <c r="G1125" s="6">
        <v>1</v>
      </c>
    </row>
    <row r="1126" ht="15.75" customHeight="1" spans="1:7">
      <c r="A1126" s="4" t="s">
        <v>3375</v>
      </c>
      <c r="B1126" s="5" t="s">
        <v>3376</v>
      </c>
      <c r="C1126" s="4" t="s">
        <v>82</v>
      </c>
      <c r="D1126" s="475">
        <v>2673.44</v>
      </c>
      <c r="E1126" s="476">
        <v>0</v>
      </c>
      <c r="F1126" s="6">
        <v>0</v>
      </c>
      <c r="G1126" s="6">
        <v>1</v>
      </c>
    </row>
    <row r="1127" ht="15.75" customHeight="1" spans="1:7">
      <c r="A1127" s="4" t="s">
        <v>3377</v>
      </c>
      <c r="B1127" s="5" t="s">
        <v>3378</v>
      </c>
      <c r="C1127" s="4" t="s">
        <v>82</v>
      </c>
      <c r="D1127" s="475">
        <v>3498.23</v>
      </c>
      <c r="E1127" s="476">
        <v>0</v>
      </c>
      <c r="F1127" s="6">
        <v>0</v>
      </c>
      <c r="G1127" s="6">
        <v>1</v>
      </c>
    </row>
    <row r="1128" ht="15.75" customHeight="1" spans="1:7">
      <c r="A1128" s="4" t="s">
        <v>3379</v>
      </c>
      <c r="B1128" s="5" t="s">
        <v>3380</v>
      </c>
      <c r="C1128" s="4" t="s">
        <v>82</v>
      </c>
      <c r="D1128" s="475">
        <v>2233.9</v>
      </c>
      <c r="E1128" s="476">
        <v>0</v>
      </c>
      <c r="F1128" s="6">
        <v>0</v>
      </c>
      <c r="G1128" s="6">
        <v>1</v>
      </c>
    </row>
    <row r="1129" ht="15.75" customHeight="1" spans="1:7">
      <c r="A1129" s="4" t="s">
        <v>3381</v>
      </c>
      <c r="B1129" s="5" t="s">
        <v>3382</v>
      </c>
      <c r="C1129" s="4" t="s">
        <v>82</v>
      </c>
      <c r="D1129" s="475">
        <v>2682.84</v>
      </c>
      <c r="E1129" s="476">
        <v>0</v>
      </c>
      <c r="F1129" s="6">
        <v>0</v>
      </c>
      <c r="G1129" s="6">
        <v>1</v>
      </c>
    </row>
    <row r="1130" ht="15.75" customHeight="1" spans="1:7">
      <c r="A1130" s="4" t="s">
        <v>3383</v>
      </c>
      <c r="B1130" s="5" t="s">
        <v>3384</v>
      </c>
      <c r="C1130" s="4" t="s">
        <v>82</v>
      </c>
      <c r="D1130" s="475">
        <v>2242.81</v>
      </c>
      <c r="E1130" s="476">
        <v>0</v>
      </c>
      <c r="F1130" s="6">
        <v>0</v>
      </c>
      <c r="G1130" s="6">
        <v>1</v>
      </c>
    </row>
    <row r="1131" ht="15.75" customHeight="1" spans="1:7">
      <c r="A1131" s="4" t="s">
        <v>3385</v>
      </c>
      <c r="B1131" s="5" t="s">
        <v>3386</v>
      </c>
      <c r="C1131" s="4" t="s">
        <v>82</v>
      </c>
      <c r="D1131" s="475">
        <v>4385.62</v>
      </c>
      <c r="E1131" s="476">
        <v>0</v>
      </c>
      <c r="F1131" s="6">
        <v>0</v>
      </c>
      <c r="G1131" s="6">
        <v>1</v>
      </c>
    </row>
    <row r="1132" ht="15.75" customHeight="1" spans="1:7">
      <c r="A1132" s="4" t="s">
        <v>3387</v>
      </c>
      <c r="B1132" s="5" t="s">
        <v>3388</v>
      </c>
      <c r="C1132" s="4" t="s">
        <v>82</v>
      </c>
      <c r="D1132" s="475">
        <v>2694.48</v>
      </c>
      <c r="E1132" s="476">
        <v>0</v>
      </c>
      <c r="F1132" s="6">
        <v>0</v>
      </c>
      <c r="G1132" s="6">
        <v>1</v>
      </c>
    </row>
    <row r="1133" ht="15.75" customHeight="1" spans="1:7">
      <c r="A1133" s="4" t="s">
        <v>3389</v>
      </c>
      <c r="B1133" s="5" t="s">
        <v>3390</v>
      </c>
      <c r="C1133" s="4" t="s">
        <v>82</v>
      </c>
      <c r="D1133" s="475">
        <v>3682.57</v>
      </c>
      <c r="E1133" s="476">
        <v>0</v>
      </c>
      <c r="F1133" s="6">
        <v>0</v>
      </c>
      <c r="G1133" s="6">
        <v>1</v>
      </c>
    </row>
    <row r="1134" ht="15.75" customHeight="1" spans="1:7">
      <c r="A1134" s="4" t="s">
        <v>3391</v>
      </c>
      <c r="B1134" s="5" t="s">
        <v>3392</v>
      </c>
      <c r="C1134" s="4" t="s">
        <v>82</v>
      </c>
      <c r="D1134" s="475">
        <v>2253.97</v>
      </c>
      <c r="E1134" s="476">
        <v>0</v>
      </c>
      <c r="F1134" s="6">
        <v>0</v>
      </c>
      <c r="G1134" s="6">
        <v>1</v>
      </c>
    </row>
    <row r="1135" ht="15.75" customHeight="1" spans="1:7">
      <c r="A1135" s="4" t="s">
        <v>3393</v>
      </c>
      <c r="B1135" s="5" t="s">
        <v>3394</v>
      </c>
      <c r="C1135" s="4" t="s">
        <v>82</v>
      </c>
      <c r="D1135" s="475">
        <v>2712.05</v>
      </c>
      <c r="E1135" s="476">
        <v>0</v>
      </c>
      <c r="F1135" s="6">
        <v>0</v>
      </c>
      <c r="G1135" s="6">
        <v>1</v>
      </c>
    </row>
    <row r="1136" ht="15.75" customHeight="1" spans="1:7">
      <c r="A1136" s="4" t="s">
        <v>3395</v>
      </c>
      <c r="B1136" s="5" t="s">
        <v>3396</v>
      </c>
      <c r="C1136" s="4" t="s">
        <v>82</v>
      </c>
      <c r="D1136" s="475">
        <v>2270.69</v>
      </c>
      <c r="E1136" s="476">
        <v>0</v>
      </c>
      <c r="F1136" s="6">
        <v>0</v>
      </c>
      <c r="G1136" s="6">
        <v>1</v>
      </c>
    </row>
    <row r="1137" ht="15.75" customHeight="1" spans="1:7">
      <c r="A1137" s="4" t="s">
        <v>3397</v>
      </c>
      <c r="B1137" s="5" t="s">
        <v>3398</v>
      </c>
      <c r="C1137" s="4" t="s">
        <v>82</v>
      </c>
      <c r="D1137" s="475">
        <v>2736.08</v>
      </c>
      <c r="E1137" s="476">
        <v>0</v>
      </c>
      <c r="F1137" s="6">
        <v>0</v>
      </c>
      <c r="G1137" s="6">
        <v>1</v>
      </c>
    </row>
    <row r="1138" ht="15.75" customHeight="1" spans="1:7">
      <c r="A1138" s="4" t="s">
        <v>3399</v>
      </c>
      <c r="B1138" s="5" t="s">
        <v>3400</v>
      </c>
      <c r="C1138" s="4" t="s">
        <v>82</v>
      </c>
      <c r="D1138" s="475">
        <v>2293.76</v>
      </c>
      <c r="E1138" s="476">
        <v>0</v>
      </c>
      <c r="F1138" s="6">
        <v>0</v>
      </c>
      <c r="G1138" s="6">
        <v>1</v>
      </c>
    </row>
    <row r="1139" ht="15.75" customHeight="1" spans="1:7">
      <c r="A1139" s="4" t="s">
        <v>3401</v>
      </c>
      <c r="B1139" s="5" t="s">
        <v>3402</v>
      </c>
      <c r="C1139" s="4" t="s">
        <v>82</v>
      </c>
      <c r="D1139" s="475">
        <v>4903.88</v>
      </c>
      <c r="E1139" s="476">
        <v>0</v>
      </c>
      <c r="F1139" s="6">
        <v>0</v>
      </c>
      <c r="G1139" s="6">
        <v>1</v>
      </c>
    </row>
    <row r="1140" ht="15.75" customHeight="1" spans="1:7">
      <c r="A1140" s="4" t="s">
        <v>3403</v>
      </c>
      <c r="B1140" s="5" t="s">
        <v>3404</v>
      </c>
      <c r="C1140" s="4" t="s">
        <v>82</v>
      </c>
      <c r="D1140" s="475">
        <v>2768.56</v>
      </c>
      <c r="E1140" s="476">
        <v>0</v>
      </c>
      <c r="F1140" s="6">
        <v>0</v>
      </c>
      <c r="G1140" s="6">
        <v>1</v>
      </c>
    </row>
    <row r="1141" ht="15.75" customHeight="1" spans="1:7">
      <c r="A1141" s="4" t="s">
        <v>3405</v>
      </c>
      <c r="B1141" s="5" t="s">
        <v>3406</v>
      </c>
      <c r="C1141" s="4" t="s">
        <v>82</v>
      </c>
      <c r="D1141" s="475">
        <v>4114.2</v>
      </c>
      <c r="E1141" s="476">
        <v>0</v>
      </c>
      <c r="F1141" s="6">
        <v>0</v>
      </c>
      <c r="G1141" s="6">
        <v>1</v>
      </c>
    </row>
    <row r="1142" ht="15.75" customHeight="1" spans="1:7">
      <c r="A1142" s="4" t="s">
        <v>3407</v>
      </c>
      <c r="B1142" s="5" t="s">
        <v>3408</v>
      </c>
      <c r="C1142" s="4" t="s">
        <v>82</v>
      </c>
      <c r="D1142" s="475">
        <v>2325.03</v>
      </c>
      <c r="E1142" s="476">
        <v>0</v>
      </c>
      <c r="F1142" s="6">
        <v>0</v>
      </c>
      <c r="G1142" s="6">
        <v>1</v>
      </c>
    </row>
    <row r="1143" ht="15.75" customHeight="1" spans="1:7">
      <c r="A1143" s="4" t="s">
        <v>3409</v>
      </c>
      <c r="B1143" s="5" t="s">
        <v>3410</v>
      </c>
      <c r="C1143" s="4" t="s">
        <v>82</v>
      </c>
      <c r="D1143" s="475">
        <v>2810.51</v>
      </c>
      <c r="E1143" s="476">
        <v>0</v>
      </c>
      <c r="F1143" s="6">
        <v>0</v>
      </c>
      <c r="G1143" s="6">
        <v>1</v>
      </c>
    </row>
    <row r="1144" ht="15.75" customHeight="1" spans="1:7">
      <c r="A1144" s="4" t="s">
        <v>3411</v>
      </c>
      <c r="B1144" s="5" t="s">
        <v>3412</v>
      </c>
      <c r="C1144" s="4" t="s">
        <v>82</v>
      </c>
      <c r="D1144" s="475">
        <v>2365.65</v>
      </c>
      <c r="E1144" s="476">
        <v>0</v>
      </c>
      <c r="F1144" s="6">
        <v>0</v>
      </c>
      <c r="G1144" s="6">
        <v>1</v>
      </c>
    </row>
    <row r="1145" ht="15.75" customHeight="1" spans="1:7">
      <c r="A1145" s="4" t="s">
        <v>3413</v>
      </c>
      <c r="B1145" s="5" t="s">
        <v>3414</v>
      </c>
      <c r="C1145" s="4" t="s">
        <v>82</v>
      </c>
      <c r="D1145" s="475">
        <v>2868.39</v>
      </c>
      <c r="E1145" s="476">
        <v>0</v>
      </c>
      <c r="F1145" s="6">
        <v>0</v>
      </c>
      <c r="G1145" s="6">
        <v>1</v>
      </c>
    </row>
    <row r="1146" ht="15.75" customHeight="1" spans="1:7">
      <c r="A1146" s="4" t="s">
        <v>3415</v>
      </c>
      <c r="B1146" s="5" t="s">
        <v>3416</v>
      </c>
      <c r="C1146" s="4" t="s">
        <v>82</v>
      </c>
      <c r="D1146" s="475">
        <v>2421.96</v>
      </c>
      <c r="E1146" s="476">
        <v>0</v>
      </c>
      <c r="F1146" s="6">
        <v>0</v>
      </c>
      <c r="G1146" s="6">
        <v>1</v>
      </c>
    </row>
    <row r="1147" ht="15.75" customHeight="1" spans="1:7">
      <c r="A1147" s="4" t="s">
        <v>3417</v>
      </c>
      <c r="B1147" s="5" t="s">
        <v>3418</v>
      </c>
      <c r="C1147" s="4" t="s">
        <v>82</v>
      </c>
      <c r="D1147" s="475">
        <v>6115.07</v>
      </c>
      <c r="E1147" s="476">
        <v>0</v>
      </c>
      <c r="F1147" s="6">
        <v>0</v>
      </c>
      <c r="G1147" s="6">
        <v>1</v>
      </c>
    </row>
    <row r="1148" ht="15.75" customHeight="1" spans="1:7">
      <c r="A1148" s="4" t="s">
        <v>3419</v>
      </c>
      <c r="B1148" s="5" t="s">
        <v>3420</v>
      </c>
      <c r="C1148" s="4" t="s">
        <v>82</v>
      </c>
      <c r="D1148" s="475">
        <v>2945.49</v>
      </c>
      <c r="E1148" s="476">
        <v>0</v>
      </c>
      <c r="F1148" s="6">
        <v>0</v>
      </c>
      <c r="G1148" s="6">
        <v>1</v>
      </c>
    </row>
    <row r="1149" ht="15.75" customHeight="1" spans="1:7">
      <c r="A1149" s="4" t="s">
        <v>3421</v>
      </c>
      <c r="B1149" s="5" t="s">
        <v>3422</v>
      </c>
      <c r="C1149" s="4" t="s">
        <v>82</v>
      </c>
      <c r="D1149" s="475">
        <v>5119.15</v>
      </c>
      <c r="E1149" s="476">
        <v>0</v>
      </c>
      <c r="F1149" s="6">
        <v>0</v>
      </c>
      <c r="G1149" s="6">
        <v>1</v>
      </c>
    </row>
    <row r="1150" ht="15.75" customHeight="1" spans="1:7">
      <c r="A1150" s="4" t="s">
        <v>3423</v>
      </c>
      <c r="B1150" s="5" t="s">
        <v>3424</v>
      </c>
      <c r="C1150" s="4" t="s">
        <v>82</v>
      </c>
      <c r="D1150" s="475">
        <v>2497.36</v>
      </c>
      <c r="E1150" s="476">
        <v>0</v>
      </c>
      <c r="F1150" s="6">
        <v>0</v>
      </c>
      <c r="G1150" s="6">
        <v>1</v>
      </c>
    </row>
    <row r="1151" ht="15.75" customHeight="1" spans="1:7">
      <c r="A1151" s="4" t="s">
        <v>3425</v>
      </c>
      <c r="B1151" s="5" t="s">
        <v>3426</v>
      </c>
      <c r="C1151" s="4" t="s">
        <v>82</v>
      </c>
      <c r="D1151" s="475">
        <v>2676.17</v>
      </c>
      <c r="E1151" s="476">
        <v>0</v>
      </c>
      <c r="F1151" s="6">
        <v>0</v>
      </c>
      <c r="G1151" s="6">
        <v>1</v>
      </c>
    </row>
    <row r="1152" ht="15.75" customHeight="1" spans="1:7">
      <c r="A1152" s="4" t="s">
        <v>3427</v>
      </c>
      <c r="B1152" s="5" t="s">
        <v>3428</v>
      </c>
      <c r="C1152" s="4" t="s">
        <v>82</v>
      </c>
      <c r="D1152" s="475">
        <v>2236.5</v>
      </c>
      <c r="E1152" s="476">
        <v>0</v>
      </c>
      <c r="F1152" s="6">
        <v>0</v>
      </c>
      <c r="G1152" s="6">
        <v>1</v>
      </c>
    </row>
    <row r="1153" ht="15.75" customHeight="1" spans="1:7">
      <c r="A1153" s="4" t="s">
        <v>3429</v>
      </c>
      <c r="B1153" s="5" t="s">
        <v>3430</v>
      </c>
      <c r="C1153" s="4" t="s">
        <v>82</v>
      </c>
      <c r="D1153" s="475">
        <v>7574.49</v>
      </c>
      <c r="E1153" s="476">
        <v>0</v>
      </c>
      <c r="F1153" s="6">
        <v>0</v>
      </c>
      <c r="G1153" s="6">
        <v>1</v>
      </c>
    </row>
    <row r="1154" ht="15.75" customHeight="1" spans="1:7">
      <c r="A1154" s="4" t="s">
        <v>3431</v>
      </c>
      <c r="B1154" s="5" t="s">
        <v>3432</v>
      </c>
      <c r="C1154" s="4" t="s">
        <v>82</v>
      </c>
      <c r="D1154" s="475">
        <v>4610.07</v>
      </c>
      <c r="E1154" s="476">
        <v>0</v>
      </c>
      <c r="F1154" s="6">
        <v>0</v>
      </c>
      <c r="G1154" s="6">
        <v>1</v>
      </c>
    </row>
    <row r="1155" ht="15.75" customHeight="1" spans="1:7">
      <c r="A1155" s="4" t="s">
        <v>3433</v>
      </c>
      <c r="B1155" s="5" t="s">
        <v>3434</v>
      </c>
      <c r="C1155" s="4" t="s">
        <v>82</v>
      </c>
      <c r="D1155" s="475">
        <v>6268.42</v>
      </c>
      <c r="E1155" s="476">
        <v>0</v>
      </c>
      <c r="F1155" s="6">
        <v>0</v>
      </c>
      <c r="G1155" s="6">
        <v>1</v>
      </c>
    </row>
    <row r="1156" ht="15.75" customHeight="1" spans="1:7">
      <c r="A1156" s="4" t="s">
        <v>3435</v>
      </c>
      <c r="B1156" s="5" t="s">
        <v>3436</v>
      </c>
      <c r="C1156" s="4" t="s">
        <v>82</v>
      </c>
      <c r="D1156" s="475">
        <v>3826.31</v>
      </c>
      <c r="E1156" s="476">
        <v>0</v>
      </c>
      <c r="F1156" s="6">
        <v>0</v>
      </c>
      <c r="G1156" s="6">
        <v>1</v>
      </c>
    </row>
    <row r="1157" ht="15.75" customHeight="1" spans="1:7">
      <c r="A1157" s="4" t="s">
        <v>3437</v>
      </c>
      <c r="B1157" s="5" t="s">
        <v>3438</v>
      </c>
      <c r="C1157" s="4" t="s">
        <v>82</v>
      </c>
      <c r="D1157" s="475">
        <v>4622.93</v>
      </c>
      <c r="E1157" s="476">
        <v>0</v>
      </c>
      <c r="F1157" s="6">
        <v>0</v>
      </c>
      <c r="G1157" s="6">
        <v>1</v>
      </c>
    </row>
    <row r="1158" ht="15.75" customHeight="1" spans="1:7">
      <c r="A1158" s="4" t="s">
        <v>3439</v>
      </c>
      <c r="B1158" s="5" t="s">
        <v>3440</v>
      </c>
      <c r="C1158" s="4" t="s">
        <v>82</v>
      </c>
      <c r="D1158" s="475">
        <v>3838.57</v>
      </c>
      <c r="E1158" s="476">
        <v>0</v>
      </c>
      <c r="F1158" s="6">
        <v>0</v>
      </c>
      <c r="G1158" s="6">
        <v>1</v>
      </c>
    </row>
    <row r="1159" ht="15.75" customHeight="1" spans="1:7">
      <c r="A1159" s="4" t="s">
        <v>3441</v>
      </c>
      <c r="B1159" s="5" t="s">
        <v>3442</v>
      </c>
      <c r="C1159" s="4" t="s">
        <v>82</v>
      </c>
      <c r="D1159" s="475">
        <v>7990.18</v>
      </c>
      <c r="E1159" s="476">
        <v>0</v>
      </c>
      <c r="F1159" s="6">
        <v>0</v>
      </c>
      <c r="G1159" s="6">
        <v>1</v>
      </c>
    </row>
    <row r="1160" ht="15.75" customHeight="1" spans="1:7">
      <c r="A1160" s="4" t="s">
        <v>3443</v>
      </c>
      <c r="B1160" s="5" t="s">
        <v>3444</v>
      </c>
      <c r="C1160" s="4" t="s">
        <v>82</v>
      </c>
      <c r="D1160" s="475">
        <v>4639.75</v>
      </c>
      <c r="E1160" s="476">
        <v>0</v>
      </c>
      <c r="F1160" s="6">
        <v>0</v>
      </c>
      <c r="G1160" s="6">
        <v>1</v>
      </c>
    </row>
    <row r="1161" ht="15.75" customHeight="1" spans="1:7">
      <c r="A1161" s="4" t="s">
        <v>3445</v>
      </c>
      <c r="B1161" s="5" t="s">
        <v>3446</v>
      </c>
      <c r="C1161" s="4" t="s">
        <v>82</v>
      </c>
      <c r="D1161" s="475">
        <v>6609.09</v>
      </c>
      <c r="E1161" s="476">
        <v>0</v>
      </c>
      <c r="F1161" s="6">
        <v>0</v>
      </c>
      <c r="G1161" s="6">
        <v>1</v>
      </c>
    </row>
    <row r="1162" ht="15.75" customHeight="1" spans="1:7">
      <c r="A1162" s="4" t="s">
        <v>3447</v>
      </c>
      <c r="B1162" s="5" t="s">
        <v>3448</v>
      </c>
      <c r="C1162" s="4" t="s">
        <v>82</v>
      </c>
      <c r="D1162" s="475">
        <v>3854.54</v>
      </c>
      <c r="E1162" s="476">
        <v>0</v>
      </c>
      <c r="F1162" s="6">
        <v>0</v>
      </c>
      <c r="G1162" s="6">
        <v>1</v>
      </c>
    </row>
    <row r="1163" ht="15.75" customHeight="1" spans="1:7">
      <c r="A1163" s="4" t="s">
        <v>3449</v>
      </c>
      <c r="B1163" s="5" t="s">
        <v>3450</v>
      </c>
      <c r="C1163" s="4" t="s">
        <v>82</v>
      </c>
      <c r="D1163" s="475">
        <v>4664.26</v>
      </c>
      <c r="E1163" s="476">
        <v>0</v>
      </c>
      <c r="F1163" s="6">
        <v>0</v>
      </c>
      <c r="G1163" s="6">
        <v>1</v>
      </c>
    </row>
    <row r="1164" ht="15.75" customHeight="1" spans="1:7">
      <c r="A1164" s="4" t="s">
        <v>3451</v>
      </c>
      <c r="B1164" s="5" t="s">
        <v>3452</v>
      </c>
      <c r="C1164" s="4" t="s">
        <v>82</v>
      </c>
      <c r="D1164" s="475">
        <v>3877.96</v>
      </c>
      <c r="E1164" s="476">
        <v>0</v>
      </c>
      <c r="F1164" s="6">
        <v>0</v>
      </c>
      <c r="G1164" s="6">
        <v>1</v>
      </c>
    </row>
    <row r="1165" ht="15.75" customHeight="1" spans="1:7">
      <c r="A1165" s="4" t="s">
        <v>3453</v>
      </c>
      <c r="B1165" s="5" t="s">
        <v>3454</v>
      </c>
      <c r="C1165" s="4" t="s">
        <v>82</v>
      </c>
      <c r="D1165" s="475">
        <v>4697.69</v>
      </c>
      <c r="E1165" s="476">
        <v>0</v>
      </c>
      <c r="F1165" s="6">
        <v>0</v>
      </c>
      <c r="G1165" s="6">
        <v>1</v>
      </c>
    </row>
    <row r="1166" ht="15.75" customHeight="1" spans="1:7">
      <c r="A1166" s="4" t="s">
        <v>3455</v>
      </c>
      <c r="B1166" s="5" t="s">
        <v>3456</v>
      </c>
      <c r="C1166" s="4" t="s">
        <v>82</v>
      </c>
      <c r="D1166" s="475">
        <v>3909.94</v>
      </c>
      <c r="E1166" s="476">
        <v>0</v>
      </c>
      <c r="F1166" s="6">
        <v>0</v>
      </c>
      <c r="G1166" s="6">
        <v>1</v>
      </c>
    </row>
    <row r="1167" ht="15.75" customHeight="1" spans="1:7">
      <c r="A1167" s="4" t="s">
        <v>3457</v>
      </c>
      <c r="B1167" s="5" t="s">
        <v>3458</v>
      </c>
      <c r="C1167" s="4" t="s">
        <v>82</v>
      </c>
      <c r="D1167" s="475">
        <v>8957.69</v>
      </c>
      <c r="E1167" s="476">
        <v>0</v>
      </c>
      <c r="F1167" s="6">
        <v>0</v>
      </c>
      <c r="G1167" s="6">
        <v>1</v>
      </c>
    </row>
    <row r="1168" ht="15.75" customHeight="1" spans="1:7">
      <c r="A1168" s="4" t="s">
        <v>3459</v>
      </c>
      <c r="B1168" s="5" t="s">
        <v>3460</v>
      </c>
      <c r="C1168" s="4" t="s">
        <v>82</v>
      </c>
      <c r="D1168" s="475">
        <v>4742.56</v>
      </c>
      <c r="E1168" s="476">
        <v>0</v>
      </c>
      <c r="F1168" s="6">
        <v>0</v>
      </c>
      <c r="G1168" s="6">
        <v>1</v>
      </c>
    </row>
    <row r="1169" ht="15.75" customHeight="1" spans="1:7">
      <c r="A1169" s="4" t="s">
        <v>3461</v>
      </c>
      <c r="B1169" s="5" t="s">
        <v>3462</v>
      </c>
      <c r="C1169" s="4" t="s">
        <v>82</v>
      </c>
      <c r="D1169" s="475">
        <v>7402.98</v>
      </c>
      <c r="E1169" s="476">
        <v>0</v>
      </c>
      <c r="F1169" s="6">
        <v>0</v>
      </c>
      <c r="G1169" s="6">
        <v>1</v>
      </c>
    </row>
    <row r="1170" ht="15.75" customHeight="1" spans="1:7">
      <c r="A1170" s="4" t="s">
        <v>3463</v>
      </c>
      <c r="B1170" s="5" t="s">
        <v>3464</v>
      </c>
      <c r="C1170" s="4" t="s">
        <v>82</v>
      </c>
      <c r="D1170" s="475">
        <v>3953.12</v>
      </c>
      <c r="E1170" s="476">
        <v>0</v>
      </c>
      <c r="F1170" s="6">
        <v>0</v>
      </c>
      <c r="G1170" s="6">
        <v>1</v>
      </c>
    </row>
    <row r="1171" ht="15.75" customHeight="1" spans="1:7">
      <c r="A1171" s="4" t="s">
        <v>3465</v>
      </c>
      <c r="B1171" s="5" t="s">
        <v>3466</v>
      </c>
      <c r="C1171" s="4" t="s">
        <v>82</v>
      </c>
      <c r="D1171" s="475">
        <v>4802.62</v>
      </c>
      <c r="E1171" s="476">
        <v>0</v>
      </c>
      <c r="F1171" s="6">
        <v>0</v>
      </c>
      <c r="G1171" s="6">
        <v>1</v>
      </c>
    </row>
    <row r="1172" ht="15.75" customHeight="1" spans="1:7">
      <c r="A1172" s="4" t="s">
        <v>3467</v>
      </c>
      <c r="B1172" s="5" t="s">
        <v>3468</v>
      </c>
      <c r="C1172" s="4" t="s">
        <v>82</v>
      </c>
      <c r="D1172" s="475">
        <v>4011.25</v>
      </c>
      <c r="E1172" s="476">
        <v>0</v>
      </c>
      <c r="F1172" s="6">
        <v>0</v>
      </c>
      <c r="G1172" s="6">
        <v>1</v>
      </c>
    </row>
    <row r="1173" ht="15.75" customHeight="1" spans="1:7">
      <c r="A1173" s="4" t="s">
        <v>3469</v>
      </c>
      <c r="B1173" s="5" t="s">
        <v>3470</v>
      </c>
      <c r="C1173" s="4" t="s">
        <v>82</v>
      </c>
      <c r="D1173" s="475">
        <v>4882.84</v>
      </c>
      <c r="E1173" s="476">
        <v>0</v>
      </c>
      <c r="F1173" s="6">
        <v>0</v>
      </c>
      <c r="G1173" s="6">
        <v>1</v>
      </c>
    </row>
    <row r="1174" ht="15.75" customHeight="1" spans="1:7">
      <c r="A1174" s="4" t="s">
        <v>3471</v>
      </c>
      <c r="B1174" s="5" t="s">
        <v>3472</v>
      </c>
      <c r="C1174" s="4" t="s">
        <v>82</v>
      </c>
      <c r="D1174" s="475">
        <v>4089.17</v>
      </c>
      <c r="E1174" s="476">
        <v>0</v>
      </c>
      <c r="F1174" s="6">
        <v>0</v>
      </c>
      <c r="G1174" s="6">
        <v>1</v>
      </c>
    </row>
    <row r="1175" ht="15.75" customHeight="1" spans="1:7">
      <c r="A1175" s="4" t="s">
        <v>3473</v>
      </c>
      <c r="B1175" s="5" t="s">
        <v>3474</v>
      </c>
      <c r="C1175" s="4" t="s">
        <v>82</v>
      </c>
      <c r="D1175" s="475">
        <v>11237.92</v>
      </c>
      <c r="E1175" s="476">
        <v>0</v>
      </c>
      <c r="F1175" s="6">
        <v>0</v>
      </c>
      <c r="G1175" s="6">
        <v>1</v>
      </c>
    </row>
    <row r="1176" ht="15.75" customHeight="1" spans="1:7">
      <c r="A1176" s="4" t="s">
        <v>3475</v>
      </c>
      <c r="B1176" s="5" t="s">
        <v>3476</v>
      </c>
      <c r="C1176" s="4" t="s">
        <v>82</v>
      </c>
      <c r="D1176" s="475">
        <v>4992.48</v>
      </c>
      <c r="E1176" s="476">
        <v>0</v>
      </c>
      <c r="F1176" s="6">
        <v>0</v>
      </c>
      <c r="G1176" s="6">
        <v>1</v>
      </c>
    </row>
    <row r="1177" ht="15.75" customHeight="1" spans="1:7">
      <c r="A1177" s="4" t="s">
        <v>3477</v>
      </c>
      <c r="B1177" s="5" t="s">
        <v>3478</v>
      </c>
      <c r="C1177" s="4" t="s">
        <v>82</v>
      </c>
      <c r="D1177" s="475">
        <v>9268.19</v>
      </c>
      <c r="E1177" s="476">
        <v>0</v>
      </c>
      <c r="F1177" s="6">
        <v>0</v>
      </c>
      <c r="G1177" s="6">
        <v>1</v>
      </c>
    </row>
    <row r="1178" ht="15.75" customHeight="1" spans="1:7">
      <c r="A1178" s="4" t="s">
        <v>3479</v>
      </c>
      <c r="B1178" s="5" t="s">
        <v>3480</v>
      </c>
      <c r="C1178" s="4" t="s">
        <v>82</v>
      </c>
      <c r="D1178" s="475">
        <v>4196.28</v>
      </c>
      <c r="E1178" s="476">
        <v>0</v>
      </c>
      <c r="F1178" s="6">
        <v>0</v>
      </c>
      <c r="G1178" s="6">
        <v>1</v>
      </c>
    </row>
    <row r="1179" ht="15.75" customHeight="1" spans="1:7">
      <c r="A1179" s="4" t="s">
        <v>3481</v>
      </c>
      <c r="B1179" s="5" t="s">
        <v>3482</v>
      </c>
      <c r="C1179" s="4" t="s">
        <v>82</v>
      </c>
      <c r="D1179" s="475">
        <v>4613.54</v>
      </c>
      <c r="E1179" s="476">
        <v>0</v>
      </c>
      <c r="F1179" s="6">
        <v>0</v>
      </c>
      <c r="G1179" s="6">
        <v>1</v>
      </c>
    </row>
    <row r="1180" ht="15.75" customHeight="1" spans="1:7">
      <c r="A1180" s="4" t="s">
        <v>3483</v>
      </c>
      <c r="B1180" s="5" t="s">
        <v>3484</v>
      </c>
      <c r="C1180" s="4" t="s">
        <v>82</v>
      </c>
      <c r="D1180" s="475">
        <v>3829.66</v>
      </c>
      <c r="E1180" s="476">
        <v>0</v>
      </c>
      <c r="F1180" s="6">
        <v>0</v>
      </c>
      <c r="G1180" s="6">
        <v>1</v>
      </c>
    </row>
    <row r="1181" ht="15.75" customHeight="1" spans="1:7">
      <c r="A1181" s="4" t="s">
        <v>3485</v>
      </c>
      <c r="B1181" s="5" t="s">
        <v>3486</v>
      </c>
      <c r="C1181" s="4" t="s">
        <v>82</v>
      </c>
      <c r="D1181" s="475">
        <v>5141.52</v>
      </c>
      <c r="E1181" s="476">
        <v>0</v>
      </c>
      <c r="F1181" s="6">
        <v>0</v>
      </c>
      <c r="G1181" s="6">
        <v>1</v>
      </c>
    </row>
    <row r="1182" ht="15.75" customHeight="1" spans="1:7">
      <c r="A1182" s="4" t="s">
        <v>3487</v>
      </c>
      <c r="B1182" s="5" t="s">
        <v>3488</v>
      </c>
      <c r="C1182" s="4" t="s">
        <v>82</v>
      </c>
      <c r="D1182" s="475">
        <v>2810.34</v>
      </c>
      <c r="E1182" s="476">
        <v>0</v>
      </c>
      <c r="F1182" s="6">
        <v>0</v>
      </c>
      <c r="G1182" s="6">
        <v>1</v>
      </c>
    </row>
    <row r="1183" ht="15.75" customHeight="1" spans="1:7">
      <c r="A1183" s="4" t="s">
        <v>3489</v>
      </c>
      <c r="B1183" s="5" t="s">
        <v>3490</v>
      </c>
      <c r="C1183" s="4" t="s">
        <v>82</v>
      </c>
      <c r="D1183" s="475">
        <v>4338.67</v>
      </c>
      <c r="E1183" s="476">
        <v>0</v>
      </c>
      <c r="F1183" s="6">
        <v>0</v>
      </c>
      <c r="G1183" s="6">
        <v>1</v>
      </c>
    </row>
    <row r="1184" ht="15.75" customHeight="1" spans="1:7">
      <c r="A1184" s="4" t="s">
        <v>3491</v>
      </c>
      <c r="B1184" s="5" t="s">
        <v>3492</v>
      </c>
      <c r="C1184" s="4" t="s">
        <v>82</v>
      </c>
      <c r="D1184" s="475">
        <v>2349.9</v>
      </c>
      <c r="E1184" s="476">
        <v>0</v>
      </c>
      <c r="F1184" s="6">
        <v>0</v>
      </c>
      <c r="G1184" s="6">
        <v>1</v>
      </c>
    </row>
    <row r="1185" ht="15.75" customHeight="1" spans="1:7">
      <c r="A1185" s="4" t="s">
        <v>3493</v>
      </c>
      <c r="B1185" s="5" t="s">
        <v>3494</v>
      </c>
      <c r="C1185" s="4" t="s">
        <v>82</v>
      </c>
      <c r="D1185" s="475">
        <v>2829.53</v>
      </c>
      <c r="E1185" s="476">
        <v>0</v>
      </c>
      <c r="F1185" s="6">
        <v>0</v>
      </c>
      <c r="G1185" s="6">
        <v>1</v>
      </c>
    </row>
    <row r="1186" ht="15.75" customHeight="1" spans="1:7">
      <c r="A1186" s="4" t="s">
        <v>3495</v>
      </c>
      <c r="B1186" s="5" t="s">
        <v>3496</v>
      </c>
      <c r="C1186" s="4" t="s">
        <v>82</v>
      </c>
      <c r="D1186" s="475">
        <v>2367.64</v>
      </c>
      <c r="E1186" s="476">
        <v>0</v>
      </c>
      <c r="F1186" s="6">
        <v>0</v>
      </c>
      <c r="G1186" s="6">
        <v>1</v>
      </c>
    </row>
    <row r="1187" ht="15.75" customHeight="1" spans="1:7">
      <c r="A1187" s="4" t="s">
        <v>3497</v>
      </c>
      <c r="B1187" s="5" t="s">
        <v>3498</v>
      </c>
      <c r="C1187" s="4" t="s">
        <v>82</v>
      </c>
      <c r="D1187" s="475">
        <v>5365.81</v>
      </c>
      <c r="E1187" s="476">
        <v>0</v>
      </c>
      <c r="F1187" s="6">
        <v>0</v>
      </c>
      <c r="G1187" s="6">
        <v>1</v>
      </c>
    </row>
    <row r="1188" ht="15.75" customHeight="1" spans="1:7">
      <c r="A1188" s="4" t="s">
        <v>3499</v>
      </c>
      <c r="B1188" s="5" t="s">
        <v>3500</v>
      </c>
      <c r="C1188" s="4" t="s">
        <v>82</v>
      </c>
      <c r="D1188" s="475">
        <v>2855.12</v>
      </c>
      <c r="E1188" s="476">
        <v>0</v>
      </c>
      <c r="F1188" s="6">
        <v>0</v>
      </c>
      <c r="G1188" s="6">
        <v>1</v>
      </c>
    </row>
    <row r="1189" ht="15.75" customHeight="1" spans="1:7">
      <c r="A1189" s="4" t="s">
        <v>3501</v>
      </c>
      <c r="B1189" s="5" t="s">
        <v>3502</v>
      </c>
      <c r="C1189" s="4" t="s">
        <v>82</v>
      </c>
      <c r="D1189" s="475">
        <v>4527.08</v>
      </c>
      <c r="E1189" s="476">
        <v>0</v>
      </c>
      <c r="F1189" s="6">
        <v>0</v>
      </c>
      <c r="G1189" s="6">
        <v>1</v>
      </c>
    </row>
    <row r="1190" ht="15.75" customHeight="1" spans="1:7">
      <c r="A1190" s="4" t="s">
        <v>3503</v>
      </c>
      <c r="B1190" s="5" t="s">
        <v>3504</v>
      </c>
      <c r="C1190" s="4" t="s">
        <v>82</v>
      </c>
      <c r="D1190" s="475">
        <v>2391.29</v>
      </c>
      <c r="E1190" s="476">
        <v>0</v>
      </c>
      <c r="F1190" s="6">
        <v>0</v>
      </c>
      <c r="G1190" s="6">
        <v>1</v>
      </c>
    </row>
    <row r="1191" ht="15.75" customHeight="1" spans="1:7">
      <c r="A1191" s="4" t="s">
        <v>3505</v>
      </c>
      <c r="B1191" s="5" t="s">
        <v>3506</v>
      </c>
      <c r="C1191" s="4" t="s">
        <v>82</v>
      </c>
      <c r="D1191" s="475">
        <v>2892.08</v>
      </c>
      <c r="E1191" s="476">
        <v>0</v>
      </c>
      <c r="F1191" s="6">
        <v>0</v>
      </c>
      <c r="G1191" s="6">
        <v>1</v>
      </c>
    </row>
    <row r="1192" ht="15.75" customHeight="1" spans="1:7">
      <c r="A1192" s="4" t="s">
        <v>3507</v>
      </c>
      <c r="B1192" s="5" t="s">
        <v>3508</v>
      </c>
      <c r="C1192" s="4" t="s">
        <v>82</v>
      </c>
      <c r="D1192" s="475">
        <v>2425.71</v>
      </c>
      <c r="E1192" s="476">
        <v>0</v>
      </c>
      <c r="F1192" s="6">
        <v>0</v>
      </c>
      <c r="G1192" s="6">
        <v>1</v>
      </c>
    </row>
    <row r="1193" ht="15.75" customHeight="1" spans="1:7">
      <c r="A1193" s="4" t="s">
        <v>3509</v>
      </c>
      <c r="B1193" s="5" t="s">
        <v>3510</v>
      </c>
      <c r="C1193" s="4" t="s">
        <v>82</v>
      </c>
      <c r="D1193" s="475">
        <v>2942.85</v>
      </c>
      <c r="E1193" s="476">
        <v>0</v>
      </c>
      <c r="F1193" s="6">
        <v>0</v>
      </c>
      <c r="G1193" s="6">
        <v>1</v>
      </c>
    </row>
    <row r="1194" ht="15.75" customHeight="1" spans="1:7">
      <c r="A1194" s="4" t="s">
        <v>3511</v>
      </c>
      <c r="B1194" s="5" t="s">
        <v>3512</v>
      </c>
      <c r="C1194" s="4" t="s">
        <v>82</v>
      </c>
      <c r="D1194" s="475">
        <v>2473.1</v>
      </c>
      <c r="E1194" s="476">
        <v>0</v>
      </c>
      <c r="F1194" s="6">
        <v>0</v>
      </c>
      <c r="G1194" s="6">
        <v>1</v>
      </c>
    </row>
    <row r="1195" ht="15.75" customHeight="1" spans="1:7">
      <c r="A1195" s="4" t="s">
        <v>3513</v>
      </c>
      <c r="B1195" s="5" t="s">
        <v>3514</v>
      </c>
      <c r="C1195" s="4" t="s">
        <v>82</v>
      </c>
      <c r="D1195" s="475">
        <v>5988.86</v>
      </c>
      <c r="E1195" s="476">
        <v>0</v>
      </c>
      <c r="F1195" s="6">
        <v>0</v>
      </c>
      <c r="G1195" s="6">
        <v>1</v>
      </c>
    </row>
    <row r="1196" ht="15.75" customHeight="1" spans="1:7">
      <c r="A1196" s="4" t="s">
        <v>3515</v>
      </c>
      <c r="B1196" s="5" t="s">
        <v>3516</v>
      </c>
      <c r="C1196" s="4" t="s">
        <v>82</v>
      </c>
      <c r="D1196" s="475">
        <v>3010.24</v>
      </c>
      <c r="E1196" s="476">
        <v>0</v>
      </c>
      <c r="F1196" s="6">
        <v>0</v>
      </c>
      <c r="G1196" s="6">
        <v>1</v>
      </c>
    </row>
    <row r="1197" ht="15.75" customHeight="1" spans="1:7">
      <c r="A1197" s="4" t="s">
        <v>3517</v>
      </c>
      <c r="B1197" s="5" t="s">
        <v>3518</v>
      </c>
      <c r="C1197" s="4" t="s">
        <v>82</v>
      </c>
      <c r="D1197" s="475">
        <v>5050.58</v>
      </c>
      <c r="E1197" s="476">
        <v>0</v>
      </c>
      <c r="F1197" s="6">
        <v>0</v>
      </c>
      <c r="G1197" s="6">
        <v>1</v>
      </c>
    </row>
    <row r="1198" ht="15.75" customHeight="1" spans="1:7">
      <c r="A1198" s="4" t="s">
        <v>3519</v>
      </c>
      <c r="B1198" s="5" t="s">
        <v>3520</v>
      </c>
      <c r="C1198" s="4" t="s">
        <v>82</v>
      </c>
      <c r="D1198" s="475">
        <v>2536.5</v>
      </c>
      <c r="E1198" s="476">
        <v>0</v>
      </c>
      <c r="F1198" s="6">
        <v>0</v>
      </c>
      <c r="G1198" s="6">
        <v>1</v>
      </c>
    </row>
    <row r="1199" ht="15.75" customHeight="1" spans="1:7">
      <c r="A1199" s="4" t="s">
        <v>3521</v>
      </c>
      <c r="B1199" s="5" t="s">
        <v>3522</v>
      </c>
      <c r="C1199" s="4" t="s">
        <v>82</v>
      </c>
      <c r="D1199" s="475">
        <v>3097.24</v>
      </c>
      <c r="E1199" s="476">
        <v>0</v>
      </c>
      <c r="F1199" s="6">
        <v>0</v>
      </c>
      <c r="G1199" s="6">
        <v>1</v>
      </c>
    </row>
    <row r="1200" ht="15.75" customHeight="1" spans="1:7">
      <c r="A1200" s="4" t="s">
        <v>3523</v>
      </c>
      <c r="B1200" s="5" t="s">
        <v>3524</v>
      </c>
      <c r="C1200" s="4" t="s">
        <v>82</v>
      </c>
      <c r="D1200" s="475">
        <v>2618.91</v>
      </c>
      <c r="E1200" s="476">
        <v>0</v>
      </c>
      <c r="F1200" s="6">
        <v>0</v>
      </c>
      <c r="G1200" s="6">
        <v>1</v>
      </c>
    </row>
    <row r="1201" ht="15.75" customHeight="1" spans="1:7">
      <c r="A1201" s="4" t="s">
        <v>3525</v>
      </c>
      <c r="B1201" s="5" t="s">
        <v>3526</v>
      </c>
      <c r="C1201" s="4" t="s">
        <v>82</v>
      </c>
      <c r="D1201" s="475">
        <v>3213.32</v>
      </c>
      <c r="E1201" s="476">
        <v>0</v>
      </c>
      <c r="F1201" s="6">
        <v>0</v>
      </c>
      <c r="G1201" s="6">
        <v>1</v>
      </c>
    </row>
    <row r="1202" ht="15.75" customHeight="1" spans="1:7">
      <c r="A1202" s="4" t="s">
        <v>3527</v>
      </c>
      <c r="B1202" s="5" t="s">
        <v>3528</v>
      </c>
      <c r="C1202" s="4" t="s">
        <v>82</v>
      </c>
      <c r="D1202" s="475">
        <v>2729.67</v>
      </c>
      <c r="E1202" s="476">
        <v>0</v>
      </c>
      <c r="F1202" s="6">
        <v>0</v>
      </c>
      <c r="G1202" s="6">
        <v>1</v>
      </c>
    </row>
    <row r="1203" ht="15.75" customHeight="1" spans="1:7">
      <c r="A1203" s="4" t="s">
        <v>3529</v>
      </c>
      <c r="B1203" s="5" t="s">
        <v>3530</v>
      </c>
      <c r="C1203" s="4" t="s">
        <v>82</v>
      </c>
      <c r="D1203" s="475">
        <v>7410.73</v>
      </c>
      <c r="E1203" s="476">
        <v>0</v>
      </c>
      <c r="F1203" s="6">
        <v>0</v>
      </c>
      <c r="G1203" s="6">
        <v>1</v>
      </c>
    </row>
    <row r="1204" ht="15.75" customHeight="1" spans="1:7">
      <c r="A1204" s="4" t="s">
        <v>3531</v>
      </c>
      <c r="B1204" s="5" t="s">
        <v>3532</v>
      </c>
      <c r="C1204" s="4" t="s">
        <v>82</v>
      </c>
      <c r="D1204" s="475">
        <v>3366.52</v>
      </c>
      <c r="E1204" s="476">
        <v>0</v>
      </c>
      <c r="F1204" s="6">
        <v>0</v>
      </c>
      <c r="G1204" s="6">
        <v>1</v>
      </c>
    </row>
    <row r="1205" ht="15.75" customHeight="1" spans="1:7">
      <c r="A1205" s="4" t="s">
        <v>3533</v>
      </c>
      <c r="B1205" s="5" t="s">
        <v>3534</v>
      </c>
      <c r="C1205" s="4" t="s">
        <v>82</v>
      </c>
      <c r="D1205" s="475">
        <v>6244.45</v>
      </c>
      <c r="E1205" s="476">
        <v>0</v>
      </c>
      <c r="F1205" s="6">
        <v>0</v>
      </c>
      <c r="G1205" s="6">
        <v>1</v>
      </c>
    </row>
    <row r="1206" ht="15.75" customHeight="1" spans="1:7">
      <c r="A1206" s="4" t="s">
        <v>3535</v>
      </c>
      <c r="B1206" s="5" t="s">
        <v>3536</v>
      </c>
      <c r="C1206" s="4" t="s">
        <v>82</v>
      </c>
      <c r="D1206" s="475">
        <v>2877.07</v>
      </c>
      <c r="E1206" s="476">
        <v>0</v>
      </c>
      <c r="F1206" s="6">
        <v>0</v>
      </c>
      <c r="G1206" s="6">
        <v>1</v>
      </c>
    </row>
    <row r="1207" ht="15.75" customHeight="1" spans="1:7">
      <c r="A1207" s="4" t="s">
        <v>3537</v>
      </c>
      <c r="B1207" s="5" t="s">
        <v>3538</v>
      </c>
      <c r="C1207" s="4" t="s">
        <v>82</v>
      </c>
      <c r="D1207" s="475">
        <v>2814.77</v>
      </c>
      <c r="E1207" s="476">
        <v>0</v>
      </c>
      <c r="F1207" s="6">
        <v>0</v>
      </c>
      <c r="G1207" s="6">
        <v>1</v>
      </c>
    </row>
    <row r="1208" ht="15.75" customHeight="1" spans="1:7">
      <c r="A1208" s="4" t="s">
        <v>3539</v>
      </c>
      <c r="B1208" s="5" t="s">
        <v>3540</v>
      </c>
      <c r="C1208" s="4" t="s">
        <v>82</v>
      </c>
      <c r="D1208" s="475">
        <v>2353.96</v>
      </c>
      <c r="E1208" s="476">
        <v>0</v>
      </c>
      <c r="F1208" s="6">
        <v>0</v>
      </c>
      <c r="G1208" s="6">
        <v>1</v>
      </c>
    </row>
    <row r="1209" ht="15.75" customHeight="1" spans="1:7">
      <c r="A1209" s="4" t="s">
        <v>3541</v>
      </c>
      <c r="B1209" s="5" t="s">
        <v>3542</v>
      </c>
      <c r="C1209" s="4" t="s">
        <v>82</v>
      </c>
      <c r="D1209" s="475">
        <v>7491.24</v>
      </c>
      <c r="E1209" s="476">
        <v>0</v>
      </c>
      <c r="F1209" s="6">
        <v>0</v>
      </c>
      <c r="G1209" s="6">
        <v>1</v>
      </c>
    </row>
    <row r="1210" ht="15.75" customHeight="1" spans="1:7">
      <c r="A1210" s="4" t="s">
        <v>3543</v>
      </c>
      <c r="B1210" s="5" t="s">
        <v>3544</v>
      </c>
      <c r="C1210" s="4" t="s">
        <v>82</v>
      </c>
      <c r="D1210" s="475">
        <v>3860.18</v>
      </c>
      <c r="E1210" s="476">
        <v>0</v>
      </c>
      <c r="F1210" s="6">
        <v>0</v>
      </c>
      <c r="G1210" s="6">
        <v>1</v>
      </c>
    </row>
    <row r="1211" ht="15.75" customHeight="1" spans="1:7">
      <c r="A1211" s="4" t="s">
        <v>3545</v>
      </c>
      <c r="B1211" s="5" t="s">
        <v>3546</v>
      </c>
      <c r="C1211" s="4" t="s">
        <v>82</v>
      </c>
      <c r="D1211" s="475">
        <v>6250.18</v>
      </c>
      <c r="E1211" s="476">
        <v>0</v>
      </c>
      <c r="F1211" s="6">
        <v>0</v>
      </c>
      <c r="G1211" s="6">
        <v>1</v>
      </c>
    </row>
    <row r="1212" ht="15.75" customHeight="1" spans="1:7">
      <c r="A1212" s="4" t="s">
        <v>3547</v>
      </c>
      <c r="B1212" s="5" t="s">
        <v>3548</v>
      </c>
      <c r="C1212" s="4" t="s">
        <v>82</v>
      </c>
      <c r="D1212" s="475">
        <v>3196.03</v>
      </c>
      <c r="E1212" s="476">
        <v>0</v>
      </c>
      <c r="F1212" s="6">
        <v>0</v>
      </c>
      <c r="G1212" s="6">
        <v>1</v>
      </c>
    </row>
    <row r="1213" ht="15.75" customHeight="1" spans="1:7">
      <c r="A1213" s="4" t="s">
        <v>3549</v>
      </c>
      <c r="B1213" s="5" t="s">
        <v>3550</v>
      </c>
      <c r="C1213" s="4" t="s">
        <v>82</v>
      </c>
      <c r="D1213" s="475">
        <v>3889.57</v>
      </c>
      <c r="E1213" s="476">
        <v>0</v>
      </c>
      <c r="F1213" s="6">
        <v>0</v>
      </c>
      <c r="G1213" s="6">
        <v>1</v>
      </c>
    </row>
    <row r="1214" ht="15.75" customHeight="1" spans="1:7">
      <c r="A1214" s="4" t="s">
        <v>3551</v>
      </c>
      <c r="B1214" s="5" t="s">
        <v>3552</v>
      </c>
      <c r="C1214" s="4" t="s">
        <v>82</v>
      </c>
      <c r="D1214" s="475">
        <v>3222.52</v>
      </c>
      <c r="E1214" s="476">
        <v>0</v>
      </c>
      <c r="F1214" s="6">
        <v>0</v>
      </c>
      <c r="G1214" s="6">
        <v>1</v>
      </c>
    </row>
    <row r="1215" ht="15.75" customHeight="1" spans="1:7">
      <c r="A1215" s="4" t="s">
        <v>3553</v>
      </c>
      <c r="B1215" s="5" t="s">
        <v>3554</v>
      </c>
      <c r="C1215" s="4" t="s">
        <v>82</v>
      </c>
      <c r="D1215" s="475">
        <v>7835.78</v>
      </c>
      <c r="E1215" s="476">
        <v>0</v>
      </c>
      <c r="F1215" s="6">
        <v>0</v>
      </c>
      <c r="G1215" s="6">
        <v>1</v>
      </c>
    </row>
    <row r="1216" ht="15.75" customHeight="1" spans="1:7">
      <c r="A1216" s="4" t="s">
        <v>3555</v>
      </c>
      <c r="B1216" s="5" t="s">
        <v>3556</v>
      </c>
      <c r="C1216" s="4" t="s">
        <v>82</v>
      </c>
      <c r="D1216" s="475">
        <v>3927.05</v>
      </c>
      <c r="E1216" s="476">
        <v>0</v>
      </c>
      <c r="F1216" s="6">
        <v>0</v>
      </c>
      <c r="G1216" s="6">
        <v>1</v>
      </c>
    </row>
    <row r="1217" ht="15.75" customHeight="1" spans="1:7">
      <c r="A1217" s="4" t="s">
        <v>3557</v>
      </c>
      <c r="B1217" s="5" t="s">
        <v>3558</v>
      </c>
      <c r="C1217" s="4" t="s">
        <v>82</v>
      </c>
      <c r="D1217" s="475">
        <v>6535.88</v>
      </c>
      <c r="E1217" s="476">
        <v>0</v>
      </c>
      <c r="F1217" s="6">
        <v>0</v>
      </c>
      <c r="G1217" s="6">
        <v>1</v>
      </c>
    </row>
    <row r="1218" ht="15.75" customHeight="1" spans="1:7">
      <c r="A1218" s="4" t="s">
        <v>3559</v>
      </c>
      <c r="B1218" s="5" t="s">
        <v>3560</v>
      </c>
      <c r="C1218" s="4" t="s">
        <v>82</v>
      </c>
      <c r="D1218" s="475">
        <v>3256.38</v>
      </c>
      <c r="E1218" s="476">
        <v>0</v>
      </c>
      <c r="F1218" s="6">
        <v>0</v>
      </c>
      <c r="G1218" s="6">
        <v>1</v>
      </c>
    </row>
    <row r="1219" ht="15.75" customHeight="1" spans="1:7">
      <c r="A1219" s="4" t="s">
        <v>3561</v>
      </c>
      <c r="B1219" s="5" t="s">
        <v>3562</v>
      </c>
      <c r="C1219" s="4" t="s">
        <v>82</v>
      </c>
      <c r="D1219" s="475">
        <v>3981.75</v>
      </c>
      <c r="E1219" s="476">
        <v>0</v>
      </c>
      <c r="F1219" s="6">
        <v>0</v>
      </c>
      <c r="G1219" s="6">
        <v>1</v>
      </c>
    </row>
    <row r="1220" ht="15.75" customHeight="1" spans="1:7">
      <c r="A1220" s="4" t="s">
        <v>3563</v>
      </c>
      <c r="B1220" s="5" t="s">
        <v>3564</v>
      </c>
      <c r="C1220" s="4" t="s">
        <v>82</v>
      </c>
      <c r="D1220" s="475">
        <v>3306.13</v>
      </c>
      <c r="E1220" s="476">
        <v>0</v>
      </c>
      <c r="F1220" s="6">
        <v>0</v>
      </c>
      <c r="G1220" s="6">
        <v>1</v>
      </c>
    </row>
    <row r="1221" ht="15.75" customHeight="1" spans="1:7">
      <c r="A1221" s="4" t="s">
        <v>3565</v>
      </c>
      <c r="B1221" s="5" t="s">
        <v>3566</v>
      </c>
      <c r="C1221" s="4" t="s">
        <v>82</v>
      </c>
      <c r="D1221" s="475">
        <v>4056.4</v>
      </c>
      <c r="E1221" s="476">
        <v>0</v>
      </c>
      <c r="F1221" s="6">
        <v>0</v>
      </c>
      <c r="G1221" s="6">
        <v>1</v>
      </c>
    </row>
    <row r="1222" ht="15.75" customHeight="1" spans="1:7">
      <c r="A1222" s="4" t="s">
        <v>3567</v>
      </c>
      <c r="B1222" s="5" t="s">
        <v>3568</v>
      </c>
      <c r="C1222" s="4" t="s">
        <v>82</v>
      </c>
      <c r="D1222" s="475">
        <v>3374.37</v>
      </c>
      <c r="E1222" s="476">
        <v>0</v>
      </c>
      <c r="F1222" s="6">
        <v>0</v>
      </c>
      <c r="G1222" s="6">
        <v>1</v>
      </c>
    </row>
    <row r="1223" ht="15.75" customHeight="1" spans="1:7">
      <c r="A1223" s="4" t="s">
        <v>3569</v>
      </c>
      <c r="B1223" s="5" t="s">
        <v>3570</v>
      </c>
      <c r="C1223" s="4" t="s">
        <v>82</v>
      </c>
      <c r="D1223" s="475">
        <v>8737.68</v>
      </c>
      <c r="E1223" s="476">
        <v>0</v>
      </c>
      <c r="F1223" s="6">
        <v>0</v>
      </c>
      <c r="G1223" s="6">
        <v>1</v>
      </c>
    </row>
    <row r="1224" ht="15.75" customHeight="1" spans="1:7">
      <c r="A1224" s="4" t="s">
        <v>3571</v>
      </c>
      <c r="B1224" s="5" t="s">
        <v>3572</v>
      </c>
      <c r="C1224" s="4" t="s">
        <v>82</v>
      </c>
      <c r="D1224" s="475">
        <v>4154.25</v>
      </c>
      <c r="E1224" s="476">
        <v>0</v>
      </c>
      <c r="F1224" s="6">
        <v>0</v>
      </c>
      <c r="G1224" s="6">
        <v>1</v>
      </c>
    </row>
    <row r="1225" ht="15.75" customHeight="1" spans="1:7">
      <c r="A1225" s="4" t="s">
        <v>3573</v>
      </c>
      <c r="B1225" s="5" t="s">
        <v>3574</v>
      </c>
      <c r="C1225" s="4" t="s">
        <v>82</v>
      </c>
      <c r="D1225" s="475">
        <v>7283.13</v>
      </c>
      <c r="E1225" s="476">
        <v>0</v>
      </c>
      <c r="F1225" s="6">
        <v>0</v>
      </c>
      <c r="G1225" s="6">
        <v>1</v>
      </c>
    </row>
    <row r="1226" ht="15.75" customHeight="1" spans="1:7">
      <c r="A1226" s="4" t="s">
        <v>3575</v>
      </c>
      <c r="B1226" s="5" t="s">
        <v>3576</v>
      </c>
      <c r="C1226" s="4" t="s">
        <v>82</v>
      </c>
      <c r="D1226" s="475">
        <v>3464.49</v>
      </c>
      <c r="E1226" s="476">
        <v>0</v>
      </c>
      <c r="F1226" s="6">
        <v>0</v>
      </c>
      <c r="G1226" s="6">
        <v>1</v>
      </c>
    </row>
    <row r="1227" ht="15.75" customHeight="1" spans="1:7">
      <c r="A1227" s="4" t="s">
        <v>3577</v>
      </c>
      <c r="B1227" s="5" t="s">
        <v>3578</v>
      </c>
      <c r="C1227" s="4" t="s">
        <v>82</v>
      </c>
      <c r="D1227" s="475">
        <v>4280.08</v>
      </c>
      <c r="E1227" s="476">
        <v>0</v>
      </c>
      <c r="F1227" s="6">
        <v>0</v>
      </c>
      <c r="G1227" s="6">
        <v>1</v>
      </c>
    </row>
    <row r="1228" ht="15.75" customHeight="1" spans="1:7">
      <c r="A1228" s="4" t="s">
        <v>3579</v>
      </c>
      <c r="B1228" s="5" t="s">
        <v>3580</v>
      </c>
      <c r="C1228" s="4" t="s">
        <v>82</v>
      </c>
      <c r="D1228" s="475">
        <v>3581.38</v>
      </c>
      <c r="E1228" s="476">
        <v>0</v>
      </c>
      <c r="F1228" s="6">
        <v>0</v>
      </c>
      <c r="G1228" s="6">
        <v>1</v>
      </c>
    </row>
    <row r="1229" ht="15.75" customHeight="1" spans="1:7">
      <c r="A1229" s="4" t="s">
        <v>3581</v>
      </c>
      <c r="B1229" s="5" t="s">
        <v>3582</v>
      </c>
      <c r="C1229" s="4" t="s">
        <v>82</v>
      </c>
      <c r="D1229" s="475">
        <v>4445.14</v>
      </c>
      <c r="E1229" s="476">
        <v>0</v>
      </c>
      <c r="F1229" s="6">
        <v>0</v>
      </c>
      <c r="G1229" s="6">
        <v>1</v>
      </c>
    </row>
    <row r="1230" ht="15.75" customHeight="1" spans="1:7">
      <c r="A1230" s="4" t="s">
        <v>3583</v>
      </c>
      <c r="B1230" s="5" t="s">
        <v>3584</v>
      </c>
      <c r="C1230" s="4" t="s">
        <v>82</v>
      </c>
      <c r="D1230" s="475">
        <v>3736.29</v>
      </c>
      <c r="E1230" s="476">
        <v>0</v>
      </c>
      <c r="F1230" s="6">
        <v>0</v>
      </c>
      <c r="G1230" s="6">
        <v>1</v>
      </c>
    </row>
    <row r="1231" ht="15.75" customHeight="1" spans="1:7">
      <c r="A1231" s="4" t="s">
        <v>3585</v>
      </c>
      <c r="B1231" s="5" t="s">
        <v>3586</v>
      </c>
      <c r="C1231" s="4" t="s">
        <v>82</v>
      </c>
      <c r="D1231" s="475">
        <v>10819.86</v>
      </c>
      <c r="E1231" s="476">
        <v>0</v>
      </c>
      <c r="F1231" s="6">
        <v>0</v>
      </c>
      <c r="G1231" s="6">
        <v>1</v>
      </c>
    </row>
    <row r="1232" ht="15.75" customHeight="1" spans="1:7">
      <c r="A1232" s="4" t="s">
        <v>3587</v>
      </c>
      <c r="B1232" s="5" t="s">
        <v>3588</v>
      </c>
      <c r="C1232" s="4" t="s">
        <v>82</v>
      </c>
      <c r="D1232" s="475">
        <v>4662.17</v>
      </c>
      <c r="E1232" s="476">
        <v>0</v>
      </c>
      <c r="F1232" s="6">
        <v>0</v>
      </c>
      <c r="G1232" s="6">
        <v>1</v>
      </c>
    </row>
    <row r="1233" ht="15.75" customHeight="1" spans="1:7">
      <c r="A1233" s="4" t="s">
        <v>3589</v>
      </c>
      <c r="B1233" s="5" t="s">
        <v>3590</v>
      </c>
      <c r="C1233" s="4" t="s">
        <v>82</v>
      </c>
      <c r="D1233" s="475">
        <v>9009.61</v>
      </c>
      <c r="E1233" s="476">
        <v>0</v>
      </c>
      <c r="F1233" s="6">
        <v>0</v>
      </c>
      <c r="G1233" s="6">
        <v>1</v>
      </c>
    </row>
    <row r="1234" ht="15.75" customHeight="1" spans="1:7">
      <c r="A1234" s="4" t="s">
        <v>3591</v>
      </c>
      <c r="B1234" s="5" t="s">
        <v>3592</v>
      </c>
      <c r="C1234" s="4" t="s">
        <v>82</v>
      </c>
      <c r="D1234" s="475">
        <v>3941.96</v>
      </c>
      <c r="E1234" s="476">
        <v>0</v>
      </c>
      <c r="F1234" s="6">
        <v>0</v>
      </c>
      <c r="G1234" s="6">
        <v>1</v>
      </c>
    </row>
    <row r="1235" ht="15.75" customHeight="1" spans="1:7">
      <c r="A1235" s="4" t="s">
        <v>3593</v>
      </c>
      <c r="B1235" s="5" t="s">
        <v>3594</v>
      </c>
      <c r="C1235" s="4" t="s">
        <v>82</v>
      </c>
      <c r="D1235" s="475">
        <v>3867.53</v>
      </c>
      <c r="E1235" s="476">
        <v>0</v>
      </c>
      <c r="F1235" s="6">
        <v>0</v>
      </c>
      <c r="G1235" s="6">
        <v>1</v>
      </c>
    </row>
    <row r="1236" ht="15.75" customHeight="1" spans="1:7">
      <c r="A1236" s="4" t="s">
        <v>3595</v>
      </c>
      <c r="B1236" s="5" t="s">
        <v>3596</v>
      </c>
      <c r="C1236" s="4" t="s">
        <v>82</v>
      </c>
      <c r="D1236" s="475">
        <v>3202.65</v>
      </c>
      <c r="E1236" s="476">
        <v>0</v>
      </c>
      <c r="F1236" s="6">
        <v>0</v>
      </c>
      <c r="G1236" s="6">
        <v>1</v>
      </c>
    </row>
    <row r="1237" ht="15.75" customHeight="1" spans="1:7">
      <c r="A1237" s="4" t="s">
        <v>3597</v>
      </c>
      <c r="B1237" s="5" t="s">
        <v>3598</v>
      </c>
      <c r="C1237" s="4" t="s">
        <v>82</v>
      </c>
      <c r="D1237" s="475">
        <v>13174.37</v>
      </c>
      <c r="E1237" s="476">
        <v>0</v>
      </c>
      <c r="F1237" s="6">
        <v>0</v>
      </c>
      <c r="G1237" s="6">
        <v>1</v>
      </c>
    </row>
    <row r="1238" ht="15.75" customHeight="1" spans="1:7">
      <c r="A1238" s="4" t="s">
        <v>3599</v>
      </c>
      <c r="B1238" s="5" t="s">
        <v>3600</v>
      </c>
      <c r="C1238" s="4" t="s">
        <v>82</v>
      </c>
      <c r="D1238" s="475">
        <v>6530.72</v>
      </c>
      <c r="E1238" s="476">
        <v>0</v>
      </c>
      <c r="F1238" s="6">
        <v>0</v>
      </c>
      <c r="G1238" s="6">
        <v>1</v>
      </c>
    </row>
    <row r="1239" ht="15.75" customHeight="1" spans="1:7">
      <c r="A1239" s="4" t="s">
        <v>3601</v>
      </c>
      <c r="B1239" s="5" t="s">
        <v>3602</v>
      </c>
      <c r="C1239" s="4" t="s">
        <v>82</v>
      </c>
      <c r="D1239" s="475">
        <v>10816.45</v>
      </c>
      <c r="E1239" s="476">
        <v>0</v>
      </c>
      <c r="F1239" s="6">
        <v>0</v>
      </c>
      <c r="G1239" s="6">
        <v>1</v>
      </c>
    </row>
    <row r="1240" ht="15.75" customHeight="1" spans="1:7">
      <c r="A1240" s="4" t="s">
        <v>3603</v>
      </c>
      <c r="B1240" s="5" t="s">
        <v>3604</v>
      </c>
      <c r="C1240" s="4" t="s">
        <v>82</v>
      </c>
      <c r="D1240" s="475">
        <v>5354.78</v>
      </c>
      <c r="E1240" s="476">
        <v>0</v>
      </c>
      <c r="F1240" s="6">
        <v>0</v>
      </c>
      <c r="G1240" s="6">
        <v>1</v>
      </c>
    </row>
    <row r="1241" ht="15.75" customHeight="1" spans="1:7">
      <c r="A1241" s="4" t="s">
        <v>3605</v>
      </c>
      <c r="B1241" s="5" t="s">
        <v>3606</v>
      </c>
      <c r="C1241" s="4" t="s">
        <v>82</v>
      </c>
      <c r="D1241" s="475">
        <v>6576.15</v>
      </c>
      <c r="E1241" s="476">
        <v>0</v>
      </c>
      <c r="F1241" s="6">
        <v>0</v>
      </c>
      <c r="G1241" s="6">
        <v>1</v>
      </c>
    </row>
    <row r="1242" ht="15.75" customHeight="1" spans="1:7">
      <c r="A1242" s="4" t="s">
        <v>3607</v>
      </c>
      <c r="B1242" s="5" t="s">
        <v>3608</v>
      </c>
      <c r="C1242" s="4" t="s">
        <v>82</v>
      </c>
      <c r="D1242" s="475">
        <v>5395.14</v>
      </c>
      <c r="E1242" s="476">
        <v>0</v>
      </c>
      <c r="F1242" s="6">
        <v>0</v>
      </c>
      <c r="G1242" s="6">
        <v>1</v>
      </c>
    </row>
    <row r="1243" ht="15.75" customHeight="1" spans="1:7">
      <c r="A1243" s="4" t="s">
        <v>3609</v>
      </c>
      <c r="B1243" s="5" t="s">
        <v>3610</v>
      </c>
      <c r="C1243" s="4" t="s">
        <v>82</v>
      </c>
      <c r="D1243" s="475">
        <v>13788.59</v>
      </c>
      <c r="E1243" s="476">
        <v>0</v>
      </c>
      <c r="F1243" s="6">
        <v>0</v>
      </c>
      <c r="G1243" s="6">
        <v>1</v>
      </c>
    </row>
    <row r="1244" ht="15.75" customHeight="1" spans="1:7">
      <c r="A1244" s="4" t="s">
        <v>3611</v>
      </c>
      <c r="B1244" s="5" t="s">
        <v>3612</v>
      </c>
      <c r="C1244" s="4" t="s">
        <v>82</v>
      </c>
      <c r="D1244" s="475">
        <v>6634.31</v>
      </c>
      <c r="E1244" s="476">
        <v>0</v>
      </c>
      <c r="F1244" s="6">
        <v>0</v>
      </c>
      <c r="G1244" s="6">
        <v>1</v>
      </c>
    </row>
    <row r="1245" ht="15.75" customHeight="1" spans="1:7">
      <c r="A1245" s="4" t="s">
        <v>3613</v>
      </c>
      <c r="B1245" s="5" t="s">
        <v>3614</v>
      </c>
      <c r="C1245" s="4" t="s">
        <v>82</v>
      </c>
      <c r="D1245" s="475">
        <v>11318.3</v>
      </c>
      <c r="E1245" s="476">
        <v>0</v>
      </c>
      <c r="F1245" s="6">
        <v>0</v>
      </c>
      <c r="G1245" s="6">
        <v>1</v>
      </c>
    </row>
    <row r="1246" ht="15.75" customHeight="1" spans="1:7">
      <c r="A1246" s="4" t="s">
        <v>3615</v>
      </c>
      <c r="B1246" s="5" t="s">
        <v>3616</v>
      </c>
      <c r="C1246" s="4" t="s">
        <v>82</v>
      </c>
      <c r="D1246" s="475">
        <v>5446.89</v>
      </c>
      <c r="E1246" s="476">
        <v>0</v>
      </c>
      <c r="F1246" s="6">
        <v>0</v>
      </c>
      <c r="G1246" s="6">
        <v>1</v>
      </c>
    </row>
    <row r="1247" ht="15.75" customHeight="1" spans="1:7">
      <c r="A1247" s="4" t="s">
        <v>3617</v>
      </c>
      <c r="B1247" s="5" t="s">
        <v>3618</v>
      </c>
      <c r="C1247" s="4" t="s">
        <v>82</v>
      </c>
      <c r="D1247" s="475">
        <v>6718.18</v>
      </c>
      <c r="E1247" s="476">
        <v>0</v>
      </c>
      <c r="F1247" s="6">
        <v>0</v>
      </c>
      <c r="G1247" s="6">
        <v>1</v>
      </c>
    </row>
    <row r="1248" ht="15.75" customHeight="1" spans="1:7">
      <c r="A1248" s="4" t="s">
        <v>3619</v>
      </c>
      <c r="B1248" s="5" t="s">
        <v>3620</v>
      </c>
      <c r="C1248" s="4" t="s">
        <v>82</v>
      </c>
      <c r="D1248" s="475">
        <v>5521.82</v>
      </c>
      <c r="E1248" s="476">
        <v>0</v>
      </c>
      <c r="F1248" s="6">
        <v>0</v>
      </c>
      <c r="G1248" s="6">
        <v>1</v>
      </c>
    </row>
    <row r="1249" ht="15.75" customHeight="1" spans="1:7">
      <c r="A1249" s="4" t="s">
        <v>3621</v>
      </c>
      <c r="B1249" s="5" t="s">
        <v>3622</v>
      </c>
      <c r="C1249" s="4" t="s">
        <v>82</v>
      </c>
      <c r="D1249" s="475">
        <v>6831.78</v>
      </c>
      <c r="E1249" s="476">
        <v>0</v>
      </c>
      <c r="F1249" s="6">
        <v>0</v>
      </c>
      <c r="G1249" s="6">
        <v>1</v>
      </c>
    </row>
    <row r="1250" ht="15.75" customHeight="1" spans="1:7">
      <c r="A1250" s="4" t="s">
        <v>3623</v>
      </c>
      <c r="B1250" s="5" t="s">
        <v>3624</v>
      </c>
      <c r="C1250" s="4" t="s">
        <v>82</v>
      </c>
      <c r="D1250" s="475">
        <v>5624.07</v>
      </c>
      <c r="E1250" s="476">
        <v>0</v>
      </c>
      <c r="F1250" s="6">
        <v>0</v>
      </c>
      <c r="G1250" s="6">
        <v>1</v>
      </c>
    </row>
    <row r="1251" ht="15.75" customHeight="1" spans="1:7">
      <c r="A1251" s="4" t="s">
        <v>3625</v>
      </c>
      <c r="B1251" s="5" t="s">
        <v>3626</v>
      </c>
      <c r="C1251" s="4" t="s">
        <v>82</v>
      </c>
      <c r="D1251" s="475">
        <v>15419.52</v>
      </c>
      <c r="E1251" s="476">
        <v>0</v>
      </c>
      <c r="F1251" s="6">
        <v>0</v>
      </c>
      <c r="G1251" s="6">
        <v>1</v>
      </c>
    </row>
    <row r="1252" ht="15.75" customHeight="1" spans="1:7">
      <c r="A1252" s="4" t="s">
        <v>3627</v>
      </c>
      <c r="B1252" s="5" t="s">
        <v>3628</v>
      </c>
      <c r="C1252" s="4" t="s">
        <v>82</v>
      </c>
      <c r="D1252" s="475">
        <v>6979.62</v>
      </c>
      <c r="E1252" s="476">
        <v>0</v>
      </c>
      <c r="F1252" s="6">
        <v>0</v>
      </c>
      <c r="G1252" s="6">
        <v>1</v>
      </c>
    </row>
    <row r="1253" ht="15.75" customHeight="1" spans="1:7">
      <c r="A1253" s="4" t="s">
        <v>3629</v>
      </c>
      <c r="B1253" s="5" t="s">
        <v>3630</v>
      </c>
      <c r="C1253" s="4" t="s">
        <v>82</v>
      </c>
      <c r="D1253" s="475">
        <v>12650.93</v>
      </c>
      <c r="E1253" s="476">
        <v>0</v>
      </c>
      <c r="F1253" s="6">
        <v>0</v>
      </c>
      <c r="G1253" s="6">
        <v>1</v>
      </c>
    </row>
    <row r="1254" ht="15.75" customHeight="1" spans="1:7">
      <c r="A1254" s="4" t="s">
        <v>3631</v>
      </c>
      <c r="B1254" s="5" t="s">
        <v>3632</v>
      </c>
      <c r="C1254" s="4" t="s">
        <v>82</v>
      </c>
      <c r="D1254" s="475">
        <v>7169.73</v>
      </c>
      <c r="E1254" s="476">
        <v>0</v>
      </c>
      <c r="F1254" s="6">
        <v>0</v>
      </c>
      <c r="G1254" s="6">
        <v>1</v>
      </c>
    </row>
    <row r="1255" ht="15.75" customHeight="1" spans="1:7">
      <c r="A1255" s="4" t="s">
        <v>3633</v>
      </c>
      <c r="B1255" s="5" t="s">
        <v>3634</v>
      </c>
      <c r="C1255" s="4" t="s">
        <v>82</v>
      </c>
      <c r="D1255" s="475">
        <v>5932.29</v>
      </c>
      <c r="E1255" s="476">
        <v>0</v>
      </c>
      <c r="F1255" s="6">
        <v>0</v>
      </c>
      <c r="G1255" s="6">
        <v>1</v>
      </c>
    </row>
    <row r="1256" ht="15.75" customHeight="1" spans="1:7">
      <c r="A1256" s="4" t="s">
        <v>3635</v>
      </c>
      <c r="B1256" s="5" t="s">
        <v>3636</v>
      </c>
      <c r="C1256" s="4" t="s">
        <v>82</v>
      </c>
      <c r="D1256" s="475">
        <v>7414.38</v>
      </c>
      <c r="E1256" s="476">
        <v>0</v>
      </c>
      <c r="F1256" s="6">
        <v>0</v>
      </c>
      <c r="G1256" s="6">
        <v>1</v>
      </c>
    </row>
    <row r="1257" ht="15.75" customHeight="1" spans="1:7">
      <c r="A1257" s="4" t="s">
        <v>3637</v>
      </c>
      <c r="B1257" s="5" t="s">
        <v>3638</v>
      </c>
      <c r="C1257" s="4" t="s">
        <v>82</v>
      </c>
      <c r="D1257" s="475">
        <v>6158.94</v>
      </c>
      <c r="E1257" s="476">
        <v>0</v>
      </c>
      <c r="F1257" s="6">
        <v>0</v>
      </c>
      <c r="G1257" s="6">
        <v>1</v>
      </c>
    </row>
    <row r="1258" ht="15.75" customHeight="1" spans="1:7">
      <c r="A1258" s="4" t="s">
        <v>3639</v>
      </c>
      <c r="B1258" s="5" t="s">
        <v>3640</v>
      </c>
      <c r="C1258" s="4" t="s">
        <v>82</v>
      </c>
      <c r="D1258" s="475">
        <v>19157.79</v>
      </c>
      <c r="E1258" s="476">
        <v>0</v>
      </c>
      <c r="F1258" s="6">
        <v>0</v>
      </c>
      <c r="G1258" s="6">
        <v>1</v>
      </c>
    </row>
    <row r="1259" ht="15.75" customHeight="1" spans="1:7">
      <c r="A1259" s="4" t="s">
        <v>3641</v>
      </c>
      <c r="B1259" s="5" t="s">
        <v>3642</v>
      </c>
      <c r="C1259" s="4" t="s">
        <v>82</v>
      </c>
      <c r="D1259" s="475">
        <v>7735.31</v>
      </c>
      <c r="E1259" s="476">
        <v>0</v>
      </c>
      <c r="F1259" s="6">
        <v>0</v>
      </c>
      <c r="G1259" s="6">
        <v>1</v>
      </c>
    </row>
    <row r="1260" ht="15.75" customHeight="1" spans="1:7">
      <c r="A1260" s="4" t="s">
        <v>3643</v>
      </c>
      <c r="B1260" s="5" t="s">
        <v>3644</v>
      </c>
      <c r="C1260" s="4" t="s">
        <v>82</v>
      </c>
      <c r="D1260" s="475">
        <v>15700.41</v>
      </c>
      <c r="E1260" s="476">
        <v>0</v>
      </c>
      <c r="F1260" s="6">
        <v>0</v>
      </c>
      <c r="G1260" s="6">
        <v>1</v>
      </c>
    </row>
    <row r="1261" ht="15.75" customHeight="1" spans="1:7">
      <c r="A1261" s="4" t="s">
        <v>3645</v>
      </c>
      <c r="B1261" s="5" t="s">
        <v>3646</v>
      </c>
      <c r="C1261" s="4" t="s">
        <v>82</v>
      </c>
      <c r="D1261" s="475">
        <v>6459.81</v>
      </c>
      <c r="E1261" s="476">
        <v>0</v>
      </c>
      <c r="F1261" s="6">
        <v>0</v>
      </c>
      <c r="G1261" s="6">
        <v>1</v>
      </c>
    </row>
    <row r="1262" ht="15.75" customHeight="1" spans="1:7">
      <c r="A1262" s="4" t="s">
        <v>3647</v>
      </c>
      <c r="B1262" s="5" t="s">
        <v>3648</v>
      </c>
      <c r="C1262" s="4" t="s">
        <v>82</v>
      </c>
      <c r="D1262" s="475">
        <v>6542.21</v>
      </c>
      <c r="E1262" s="476">
        <v>0</v>
      </c>
      <c r="F1262" s="6">
        <v>0</v>
      </c>
      <c r="G1262" s="6">
        <v>1</v>
      </c>
    </row>
    <row r="1263" ht="15.75" customHeight="1" spans="1:7">
      <c r="A1263" s="4" t="s">
        <v>3649</v>
      </c>
      <c r="B1263" s="5" t="s">
        <v>3650</v>
      </c>
      <c r="C1263" s="4" t="s">
        <v>82</v>
      </c>
      <c r="D1263" s="475">
        <v>5365.07</v>
      </c>
      <c r="E1263" s="476">
        <v>0</v>
      </c>
      <c r="F1263" s="6">
        <v>0</v>
      </c>
      <c r="G1263" s="6">
        <v>1</v>
      </c>
    </row>
    <row r="1264" ht="15.75" customHeight="1" spans="1:7">
      <c r="A1264" s="4" t="s">
        <v>3651</v>
      </c>
      <c r="B1264" s="5" t="s">
        <v>3652</v>
      </c>
      <c r="C1264" s="4" t="s">
        <v>82</v>
      </c>
      <c r="D1264" s="475">
        <v>5758.13</v>
      </c>
      <c r="E1264" s="476">
        <v>0</v>
      </c>
      <c r="F1264" s="6">
        <v>0</v>
      </c>
      <c r="G1264" s="6">
        <v>1</v>
      </c>
    </row>
    <row r="1265" ht="15.75" customHeight="1" spans="1:7">
      <c r="A1265" s="4" t="s">
        <v>3653</v>
      </c>
      <c r="B1265" s="5" t="s">
        <v>3654</v>
      </c>
      <c r="C1265" s="4" t="s">
        <v>9</v>
      </c>
      <c r="D1265" s="475">
        <v>137.73</v>
      </c>
      <c r="E1265" s="476">
        <v>0.03632</v>
      </c>
      <c r="F1265" s="6">
        <v>0.413</v>
      </c>
      <c r="G1265" s="6">
        <v>7.5</v>
      </c>
    </row>
    <row r="1266" ht="15.75" customHeight="1" spans="1:7">
      <c r="A1266" s="4" t="s">
        <v>3655</v>
      </c>
      <c r="B1266" s="5" t="s">
        <v>3656</v>
      </c>
      <c r="C1266" s="4" t="s">
        <v>9</v>
      </c>
      <c r="D1266" s="475">
        <v>121.43</v>
      </c>
      <c r="E1266" s="476">
        <v>0.03632</v>
      </c>
      <c r="F1266" s="6">
        <v>0.413</v>
      </c>
      <c r="G1266" s="6">
        <v>7.5</v>
      </c>
    </row>
    <row r="1267" ht="15.75" customHeight="1" spans="1:7">
      <c r="A1267" s="4" t="s">
        <v>3657</v>
      </c>
      <c r="B1267" s="5" t="s">
        <v>3658</v>
      </c>
      <c r="C1267" s="4" t="s">
        <v>9</v>
      </c>
      <c r="D1267" s="475">
        <v>152.54</v>
      </c>
      <c r="E1267" s="476">
        <v>0.03632</v>
      </c>
      <c r="F1267" s="6">
        <v>0.413</v>
      </c>
      <c r="G1267" s="6">
        <v>7.5</v>
      </c>
    </row>
    <row r="1268" ht="15.75" customHeight="1" spans="1:7">
      <c r="A1268" s="4" t="s">
        <v>3659</v>
      </c>
      <c r="B1268" s="5" t="s">
        <v>3660</v>
      </c>
      <c r="C1268" s="4" t="s">
        <v>9</v>
      </c>
      <c r="D1268" s="475">
        <v>136.25</v>
      </c>
      <c r="E1268" s="476">
        <v>0.03632</v>
      </c>
      <c r="F1268" s="6">
        <v>0.413</v>
      </c>
      <c r="G1268" s="6">
        <v>7.5</v>
      </c>
    </row>
    <row r="1269" ht="15.75" customHeight="1" spans="1:7">
      <c r="A1269" s="4" t="s">
        <v>3661</v>
      </c>
      <c r="B1269" s="5" t="s">
        <v>3662</v>
      </c>
      <c r="C1269" s="4" t="s">
        <v>9</v>
      </c>
      <c r="D1269" s="475">
        <v>226.53</v>
      </c>
      <c r="E1269" s="476">
        <v>0.03632</v>
      </c>
      <c r="F1269" s="6">
        <v>0.413</v>
      </c>
      <c r="G1269" s="6">
        <v>7.5</v>
      </c>
    </row>
    <row r="1270" ht="15.75" customHeight="1" spans="1:7">
      <c r="A1270" s="4" t="s">
        <v>3663</v>
      </c>
      <c r="B1270" s="5" t="s">
        <v>3664</v>
      </c>
      <c r="C1270" s="4" t="s">
        <v>9</v>
      </c>
      <c r="D1270" s="475">
        <v>210.32</v>
      </c>
      <c r="E1270" s="476">
        <v>0.03632</v>
      </c>
      <c r="F1270" s="6">
        <v>0.413</v>
      </c>
      <c r="G1270" s="6">
        <v>7.5</v>
      </c>
    </row>
    <row r="1271" ht="15.75" customHeight="1" spans="1:7">
      <c r="A1271" s="4" t="s">
        <v>3665</v>
      </c>
      <c r="B1271" s="5" t="s">
        <v>3666</v>
      </c>
      <c r="C1271" s="4" t="s">
        <v>9</v>
      </c>
      <c r="D1271" s="475">
        <v>282.93</v>
      </c>
      <c r="E1271" s="476">
        <v>0.03632</v>
      </c>
      <c r="F1271" s="6">
        <v>0.413</v>
      </c>
      <c r="G1271" s="6">
        <v>7.5</v>
      </c>
    </row>
    <row r="1272" ht="15.75" customHeight="1" spans="1:7">
      <c r="A1272" s="4" t="s">
        <v>3667</v>
      </c>
      <c r="B1272" s="5" t="s">
        <v>3668</v>
      </c>
      <c r="C1272" s="4" t="s">
        <v>9</v>
      </c>
      <c r="D1272" s="475">
        <v>263.72</v>
      </c>
      <c r="E1272" s="476">
        <v>0.03632</v>
      </c>
      <c r="F1272" s="6">
        <v>0.413</v>
      </c>
      <c r="G1272" s="6">
        <v>7.5</v>
      </c>
    </row>
    <row r="1273" ht="15.75" customHeight="1" spans="1:7">
      <c r="A1273" s="4" t="s">
        <v>3669</v>
      </c>
      <c r="B1273" s="5" t="s">
        <v>3670</v>
      </c>
      <c r="C1273" s="4" t="s">
        <v>9</v>
      </c>
      <c r="D1273" s="475">
        <v>209.23</v>
      </c>
      <c r="E1273" s="476">
        <v>0.03632</v>
      </c>
      <c r="F1273" s="6">
        <v>0.5164</v>
      </c>
      <c r="G1273" s="6">
        <v>6.25</v>
      </c>
    </row>
    <row r="1274" ht="15.75" customHeight="1" spans="1:7">
      <c r="A1274" s="4" t="s">
        <v>3671</v>
      </c>
      <c r="B1274" s="5" t="s">
        <v>3672</v>
      </c>
      <c r="C1274" s="4" t="s">
        <v>9</v>
      </c>
      <c r="D1274" s="475">
        <v>183.27</v>
      </c>
      <c r="E1274" s="476">
        <v>0.03632</v>
      </c>
      <c r="F1274" s="6">
        <v>0.5164</v>
      </c>
      <c r="G1274" s="6">
        <v>6.25</v>
      </c>
    </row>
    <row r="1275" ht="15.75" customHeight="1" spans="1:7">
      <c r="A1275" s="4" t="s">
        <v>3673</v>
      </c>
      <c r="B1275" s="5" t="s">
        <v>3674</v>
      </c>
      <c r="C1275" s="4" t="s">
        <v>9</v>
      </c>
      <c r="D1275" s="475">
        <v>268.42</v>
      </c>
      <c r="E1275" s="476">
        <v>0.03632</v>
      </c>
      <c r="F1275" s="6">
        <v>0.5164</v>
      </c>
      <c r="G1275" s="6">
        <v>6.25</v>
      </c>
    </row>
    <row r="1276" ht="15.75" customHeight="1" spans="1:7">
      <c r="A1276" s="4" t="s">
        <v>3675</v>
      </c>
      <c r="B1276" s="5" t="s">
        <v>3676</v>
      </c>
      <c r="C1276" s="4" t="s">
        <v>9</v>
      </c>
      <c r="D1276" s="475">
        <v>242.53</v>
      </c>
      <c r="E1276" s="476">
        <v>0.03632</v>
      </c>
      <c r="F1276" s="6">
        <v>0.5164</v>
      </c>
      <c r="G1276" s="6">
        <v>6.25</v>
      </c>
    </row>
    <row r="1277" ht="15.75" customHeight="1" spans="1:7">
      <c r="A1277" s="4" t="s">
        <v>3677</v>
      </c>
      <c r="B1277" s="5" t="s">
        <v>3678</v>
      </c>
      <c r="C1277" s="4" t="s">
        <v>9</v>
      </c>
      <c r="D1277" s="475">
        <v>384.59</v>
      </c>
      <c r="E1277" s="476">
        <v>0.03632</v>
      </c>
      <c r="F1277" s="6">
        <v>0.5164</v>
      </c>
      <c r="G1277" s="6">
        <v>6.25</v>
      </c>
    </row>
    <row r="1278" ht="15.75" customHeight="1" spans="1:7">
      <c r="A1278" s="4" t="s">
        <v>3679</v>
      </c>
      <c r="B1278" s="5" t="s">
        <v>3680</v>
      </c>
      <c r="C1278" s="4" t="s">
        <v>9</v>
      </c>
      <c r="D1278" s="475">
        <v>355.6</v>
      </c>
      <c r="E1278" s="476">
        <v>0.03632</v>
      </c>
      <c r="F1278" s="6">
        <v>0.5164</v>
      </c>
      <c r="G1278" s="6">
        <v>6.25</v>
      </c>
    </row>
    <row r="1279" ht="15.75" customHeight="1" spans="1:7">
      <c r="A1279" s="4" t="s">
        <v>3681</v>
      </c>
      <c r="B1279" s="5" t="s">
        <v>3682</v>
      </c>
      <c r="C1279" s="4" t="s">
        <v>9</v>
      </c>
      <c r="D1279" s="475">
        <v>453.19</v>
      </c>
      <c r="E1279" s="476">
        <v>0.03632</v>
      </c>
      <c r="F1279" s="6">
        <v>0.5164</v>
      </c>
      <c r="G1279" s="6">
        <v>6.25</v>
      </c>
    </row>
    <row r="1280" ht="15.75" customHeight="1" spans="1:7">
      <c r="A1280" s="4" t="s">
        <v>3683</v>
      </c>
      <c r="B1280" s="5" t="s">
        <v>3684</v>
      </c>
      <c r="C1280" s="4" t="s">
        <v>9</v>
      </c>
      <c r="D1280" s="475">
        <v>418.1</v>
      </c>
      <c r="E1280" s="476">
        <v>0.03632</v>
      </c>
      <c r="F1280" s="6">
        <v>0.5164</v>
      </c>
      <c r="G1280" s="6">
        <v>6.25</v>
      </c>
    </row>
    <row r="1281" ht="15.75" customHeight="1" spans="1:7">
      <c r="A1281" s="4" t="s">
        <v>3685</v>
      </c>
      <c r="B1281" s="5" t="s">
        <v>3686</v>
      </c>
      <c r="C1281" s="4" t="s">
        <v>9</v>
      </c>
      <c r="D1281" s="475">
        <v>370.7</v>
      </c>
      <c r="E1281" s="476">
        <v>0.03632</v>
      </c>
      <c r="F1281" s="6">
        <v>0.6505</v>
      </c>
      <c r="G1281" s="6">
        <v>5</v>
      </c>
    </row>
    <row r="1282" ht="15.75" customHeight="1" spans="1:7">
      <c r="A1282" s="4" t="s">
        <v>3687</v>
      </c>
      <c r="B1282" s="5" t="s">
        <v>3688</v>
      </c>
      <c r="C1282" s="4" t="s">
        <v>9</v>
      </c>
      <c r="D1282" s="475">
        <v>335.1</v>
      </c>
      <c r="E1282" s="476">
        <v>0.03632</v>
      </c>
      <c r="F1282" s="6">
        <v>0.6505</v>
      </c>
      <c r="G1282" s="6">
        <v>5</v>
      </c>
    </row>
    <row r="1283" ht="15.75" customHeight="1" spans="1:7">
      <c r="A1283" s="4" t="s">
        <v>3689</v>
      </c>
      <c r="B1283" s="5" t="s">
        <v>3690</v>
      </c>
      <c r="C1283" s="4" t="s">
        <v>9</v>
      </c>
      <c r="D1283" s="475">
        <v>429.89</v>
      </c>
      <c r="E1283" s="476">
        <v>0.03632</v>
      </c>
      <c r="F1283" s="6">
        <v>0.6505</v>
      </c>
      <c r="G1283" s="6">
        <v>5</v>
      </c>
    </row>
    <row r="1284" ht="15.75" customHeight="1" spans="1:7">
      <c r="A1284" s="4" t="s">
        <v>3691</v>
      </c>
      <c r="B1284" s="5" t="s">
        <v>3692</v>
      </c>
      <c r="C1284" s="4" t="s">
        <v>9</v>
      </c>
      <c r="D1284" s="475">
        <v>394.36</v>
      </c>
      <c r="E1284" s="476">
        <v>0.03632</v>
      </c>
      <c r="F1284" s="6">
        <v>0.6505</v>
      </c>
      <c r="G1284" s="6">
        <v>5</v>
      </c>
    </row>
    <row r="1285" ht="15.75" customHeight="1" spans="1:7">
      <c r="A1285" s="4" t="s">
        <v>3693</v>
      </c>
      <c r="B1285" s="5" t="s">
        <v>3694</v>
      </c>
      <c r="C1285" s="4" t="s">
        <v>9</v>
      </c>
      <c r="D1285" s="475">
        <v>542.8</v>
      </c>
      <c r="E1285" s="476">
        <v>0.03632</v>
      </c>
      <c r="F1285" s="6">
        <v>0.6505</v>
      </c>
      <c r="G1285" s="6">
        <v>5</v>
      </c>
    </row>
    <row r="1286" ht="15.75" customHeight="1" spans="1:7">
      <c r="A1286" s="4" t="s">
        <v>3695</v>
      </c>
      <c r="B1286" s="5" t="s">
        <v>3696</v>
      </c>
      <c r="C1286" s="4" t="s">
        <v>9</v>
      </c>
      <c r="D1286" s="475">
        <v>497.45</v>
      </c>
      <c r="E1286" s="476">
        <v>0.03632</v>
      </c>
      <c r="F1286" s="6">
        <v>0.6505</v>
      </c>
      <c r="G1286" s="6">
        <v>5</v>
      </c>
    </row>
    <row r="1287" ht="15.75" customHeight="1" spans="1:7">
      <c r="A1287" s="4" t="s">
        <v>3697</v>
      </c>
      <c r="B1287" s="5" t="s">
        <v>3698</v>
      </c>
      <c r="C1287" s="4" t="s">
        <v>9</v>
      </c>
      <c r="D1287" s="475">
        <v>691.34</v>
      </c>
      <c r="E1287" s="476">
        <v>0.03632</v>
      </c>
      <c r="F1287" s="6">
        <v>0.6505</v>
      </c>
      <c r="G1287" s="6">
        <v>5</v>
      </c>
    </row>
    <row r="1288" ht="15.75" customHeight="1" spans="1:7">
      <c r="A1288" s="4" t="s">
        <v>3699</v>
      </c>
      <c r="B1288" s="5" t="s">
        <v>3700</v>
      </c>
      <c r="C1288" s="4" t="s">
        <v>9</v>
      </c>
      <c r="D1288" s="475">
        <v>638.45</v>
      </c>
      <c r="E1288" s="476">
        <v>0.03632</v>
      </c>
      <c r="F1288" s="6">
        <v>0.6505</v>
      </c>
      <c r="G1288" s="6">
        <v>5</v>
      </c>
    </row>
    <row r="1289" ht="15.75" customHeight="1" spans="1:7">
      <c r="A1289" s="4" t="s">
        <v>3701</v>
      </c>
      <c r="B1289" s="5" t="s">
        <v>3702</v>
      </c>
      <c r="C1289" s="4" t="s">
        <v>9</v>
      </c>
      <c r="D1289" s="475">
        <v>503.38</v>
      </c>
      <c r="E1289" s="476">
        <v>0.03632</v>
      </c>
      <c r="F1289" s="6">
        <v>0.9071</v>
      </c>
      <c r="G1289" s="6">
        <v>3.75</v>
      </c>
    </row>
    <row r="1290" ht="15.75" customHeight="1" spans="1:7">
      <c r="A1290" s="4" t="s">
        <v>3703</v>
      </c>
      <c r="B1290" s="5" t="s">
        <v>3704</v>
      </c>
      <c r="C1290" s="4" t="s">
        <v>9</v>
      </c>
      <c r="D1290" s="475">
        <v>451.55</v>
      </c>
      <c r="E1290" s="476">
        <v>0.03632</v>
      </c>
      <c r="F1290" s="6">
        <v>0.9071</v>
      </c>
      <c r="G1290" s="6">
        <v>3.75</v>
      </c>
    </row>
    <row r="1291" ht="15.75" customHeight="1" spans="1:7">
      <c r="A1291" s="4" t="s">
        <v>3705</v>
      </c>
      <c r="B1291" s="5" t="s">
        <v>3706</v>
      </c>
      <c r="C1291" s="4" t="s">
        <v>9</v>
      </c>
      <c r="D1291" s="475">
        <v>636.57</v>
      </c>
      <c r="E1291" s="476">
        <v>0.03632</v>
      </c>
      <c r="F1291" s="6">
        <v>0.9071</v>
      </c>
      <c r="G1291" s="6">
        <v>3.75</v>
      </c>
    </row>
    <row r="1292" ht="15.75" customHeight="1" spans="1:7">
      <c r="A1292" s="4" t="s">
        <v>3707</v>
      </c>
      <c r="B1292" s="5" t="s">
        <v>3708</v>
      </c>
      <c r="C1292" s="4" t="s">
        <v>9</v>
      </c>
      <c r="D1292" s="475">
        <v>584.89</v>
      </c>
      <c r="E1292" s="476">
        <v>0.03632</v>
      </c>
      <c r="F1292" s="6">
        <v>0.9071</v>
      </c>
      <c r="G1292" s="6">
        <v>3.75</v>
      </c>
    </row>
    <row r="1293" ht="15.75" customHeight="1" spans="1:7">
      <c r="A1293" s="4" t="s">
        <v>3709</v>
      </c>
      <c r="B1293" s="5" t="s">
        <v>3710</v>
      </c>
      <c r="C1293" s="4" t="s">
        <v>9</v>
      </c>
      <c r="D1293" s="475">
        <v>838.54</v>
      </c>
      <c r="E1293" s="476">
        <v>0.03632</v>
      </c>
      <c r="F1293" s="6">
        <v>0.9071</v>
      </c>
      <c r="G1293" s="6">
        <v>3.75</v>
      </c>
    </row>
    <row r="1294" ht="15.75" customHeight="1" spans="1:7">
      <c r="A1294" s="4" t="s">
        <v>3711</v>
      </c>
      <c r="B1294" s="5" t="s">
        <v>3712</v>
      </c>
      <c r="C1294" s="4" t="s">
        <v>9</v>
      </c>
      <c r="D1294" s="475">
        <v>769.5</v>
      </c>
      <c r="E1294" s="476">
        <v>0.03632</v>
      </c>
      <c r="F1294" s="6">
        <v>0.9071</v>
      </c>
      <c r="G1294" s="6">
        <v>3.75</v>
      </c>
    </row>
    <row r="1295" ht="15.75" customHeight="1" spans="1:7">
      <c r="A1295" s="4" t="s">
        <v>3713</v>
      </c>
      <c r="B1295" s="5" t="s">
        <v>3714</v>
      </c>
      <c r="C1295" s="4" t="s">
        <v>9</v>
      </c>
      <c r="D1295" s="475">
        <v>1008.55</v>
      </c>
      <c r="E1295" s="476">
        <v>0.03632</v>
      </c>
      <c r="F1295" s="6">
        <v>0.9071</v>
      </c>
      <c r="G1295" s="6">
        <v>3.75</v>
      </c>
    </row>
    <row r="1296" ht="15.75" customHeight="1" spans="1:7">
      <c r="A1296" s="4" t="s">
        <v>3715</v>
      </c>
      <c r="B1296" s="5" t="s">
        <v>3716</v>
      </c>
      <c r="C1296" s="4" t="s">
        <v>9</v>
      </c>
      <c r="D1296" s="475">
        <v>930.29</v>
      </c>
      <c r="E1296" s="476">
        <v>0.03632</v>
      </c>
      <c r="F1296" s="6">
        <v>0.9071</v>
      </c>
      <c r="G1296" s="6">
        <v>3.75</v>
      </c>
    </row>
    <row r="1297" ht="15.75" customHeight="1" spans="1:7">
      <c r="A1297" s="4" t="s">
        <v>3717</v>
      </c>
      <c r="B1297" s="5" t="s">
        <v>3718</v>
      </c>
      <c r="C1297" s="4" t="s">
        <v>9</v>
      </c>
      <c r="D1297" s="475">
        <v>814.66</v>
      </c>
      <c r="E1297" s="476">
        <v>0.03632</v>
      </c>
      <c r="F1297" s="6">
        <v>1.4126</v>
      </c>
      <c r="G1297" s="6">
        <v>2.5</v>
      </c>
    </row>
    <row r="1298" ht="15.75" customHeight="1" spans="1:7">
      <c r="A1298" s="4" t="s">
        <v>3719</v>
      </c>
      <c r="B1298" s="5" t="s">
        <v>3720</v>
      </c>
      <c r="C1298" s="4" t="s">
        <v>9</v>
      </c>
      <c r="D1298" s="475">
        <v>733.71</v>
      </c>
      <c r="E1298" s="476">
        <v>0.03632</v>
      </c>
      <c r="F1298" s="6">
        <v>1.4126</v>
      </c>
      <c r="G1298" s="6">
        <v>2.5</v>
      </c>
    </row>
    <row r="1299" ht="15.75" customHeight="1" spans="1:7">
      <c r="A1299" s="4" t="s">
        <v>3721</v>
      </c>
      <c r="B1299" s="5" t="s">
        <v>3722</v>
      </c>
      <c r="C1299" s="4" t="s">
        <v>9</v>
      </c>
      <c r="D1299" s="475">
        <v>1021.85</v>
      </c>
      <c r="E1299" s="476">
        <v>0.03632</v>
      </c>
      <c r="F1299" s="6">
        <v>1.4126</v>
      </c>
      <c r="G1299" s="6">
        <v>2.5</v>
      </c>
    </row>
    <row r="1300" ht="15.75" customHeight="1" spans="1:7">
      <c r="A1300" s="4" t="s">
        <v>3723</v>
      </c>
      <c r="B1300" s="5" t="s">
        <v>3724</v>
      </c>
      <c r="C1300" s="4" t="s">
        <v>9</v>
      </c>
      <c r="D1300" s="475">
        <v>941.12</v>
      </c>
      <c r="E1300" s="476">
        <v>0.03632</v>
      </c>
      <c r="F1300" s="6">
        <v>1.4126</v>
      </c>
      <c r="G1300" s="6">
        <v>2.5</v>
      </c>
    </row>
    <row r="1301" ht="15.75" customHeight="1" spans="1:7">
      <c r="A1301" s="4" t="s">
        <v>3725</v>
      </c>
      <c r="B1301" s="5" t="s">
        <v>3726</v>
      </c>
      <c r="C1301" s="4" t="s">
        <v>9</v>
      </c>
      <c r="D1301" s="475">
        <v>1347.51</v>
      </c>
      <c r="E1301" s="476">
        <v>0.03632</v>
      </c>
      <c r="F1301" s="6">
        <v>1.4126</v>
      </c>
      <c r="G1301" s="6">
        <v>2.5</v>
      </c>
    </row>
    <row r="1302" ht="15.75" customHeight="1" spans="1:7">
      <c r="A1302" s="4" t="s">
        <v>3727</v>
      </c>
      <c r="B1302" s="5" t="s">
        <v>3728</v>
      </c>
      <c r="C1302" s="4" t="s">
        <v>9</v>
      </c>
      <c r="D1302" s="475">
        <v>1240.64</v>
      </c>
      <c r="E1302" s="476">
        <v>0.03632</v>
      </c>
      <c r="F1302" s="6">
        <v>1.4126</v>
      </c>
      <c r="G1302" s="6">
        <v>2.5</v>
      </c>
    </row>
    <row r="1303" ht="15.75" customHeight="1" spans="1:7">
      <c r="A1303" s="4" t="s">
        <v>3729</v>
      </c>
      <c r="B1303" s="5" t="s">
        <v>3730</v>
      </c>
      <c r="C1303" s="4" t="s">
        <v>9</v>
      </c>
      <c r="D1303" s="475">
        <v>1614.29</v>
      </c>
      <c r="E1303" s="476">
        <v>0.03632</v>
      </c>
      <c r="F1303" s="6">
        <v>1.4126</v>
      </c>
      <c r="G1303" s="6">
        <v>2.5</v>
      </c>
    </row>
    <row r="1304" ht="15.75" customHeight="1" spans="1:7">
      <c r="A1304" s="4" t="s">
        <v>3731</v>
      </c>
      <c r="B1304" s="5" t="s">
        <v>3732</v>
      </c>
      <c r="C1304" s="4" t="s">
        <v>9</v>
      </c>
      <c r="D1304" s="475">
        <v>1503.82</v>
      </c>
      <c r="E1304" s="476">
        <v>0.03632</v>
      </c>
      <c r="F1304" s="6">
        <v>1.4126</v>
      </c>
      <c r="G1304" s="6">
        <v>2.5</v>
      </c>
    </row>
    <row r="1305" ht="15.75" customHeight="1" spans="1:7">
      <c r="A1305" s="4" t="s">
        <v>3733</v>
      </c>
      <c r="B1305" s="5" t="s">
        <v>3734</v>
      </c>
      <c r="C1305" s="4" t="s">
        <v>9</v>
      </c>
      <c r="D1305" s="475">
        <v>1011.38</v>
      </c>
      <c r="E1305" s="476">
        <v>0.04367</v>
      </c>
      <c r="F1305" s="6">
        <v>3.9151</v>
      </c>
      <c r="G1305" s="6">
        <v>2.075</v>
      </c>
    </row>
    <row r="1306" ht="15.75" customHeight="1" spans="1:7">
      <c r="A1306" s="4" t="s">
        <v>3735</v>
      </c>
      <c r="B1306" s="5" t="s">
        <v>3736</v>
      </c>
      <c r="C1306" s="4" t="s">
        <v>9</v>
      </c>
      <c r="D1306" s="475">
        <v>1088.37</v>
      </c>
      <c r="E1306" s="476">
        <v>0.04367</v>
      </c>
      <c r="F1306" s="6">
        <v>3.9151</v>
      </c>
      <c r="G1306" s="6">
        <v>2.075</v>
      </c>
    </row>
    <row r="1307" ht="15.75" customHeight="1" spans="1:7">
      <c r="A1307" s="4" t="s">
        <v>3737</v>
      </c>
      <c r="B1307" s="5" t="s">
        <v>3738</v>
      </c>
      <c r="C1307" s="4" t="s">
        <v>9</v>
      </c>
      <c r="D1307" s="475">
        <v>1038.67</v>
      </c>
      <c r="E1307" s="476">
        <v>0.04367</v>
      </c>
      <c r="F1307" s="6">
        <v>3.9151</v>
      </c>
      <c r="G1307" s="6">
        <v>2.075</v>
      </c>
    </row>
    <row r="1308" ht="15.75" customHeight="1" spans="1:7">
      <c r="A1308" s="4" t="s">
        <v>3739</v>
      </c>
      <c r="B1308" s="5" t="s">
        <v>3740</v>
      </c>
      <c r="C1308" s="4" t="s">
        <v>9</v>
      </c>
      <c r="D1308" s="475">
        <v>1115.66</v>
      </c>
      <c r="E1308" s="476">
        <v>0.04367</v>
      </c>
      <c r="F1308" s="6">
        <v>3.9151</v>
      </c>
      <c r="G1308" s="6">
        <v>2.075</v>
      </c>
    </row>
    <row r="1309" ht="15.75" customHeight="1" spans="1:7">
      <c r="A1309" s="4" t="s">
        <v>3741</v>
      </c>
      <c r="B1309" s="5" t="s">
        <v>3742</v>
      </c>
      <c r="C1309" s="4" t="s">
        <v>9</v>
      </c>
      <c r="D1309" s="475">
        <v>1104.83</v>
      </c>
      <c r="E1309" s="476">
        <v>0.04367</v>
      </c>
      <c r="F1309" s="6">
        <v>3.9151</v>
      </c>
      <c r="G1309" s="6">
        <v>2.075</v>
      </c>
    </row>
    <row r="1310" ht="15.75" customHeight="1" spans="1:7">
      <c r="A1310" s="4" t="s">
        <v>3743</v>
      </c>
      <c r="B1310" s="5" t="s">
        <v>3744</v>
      </c>
      <c r="C1310" s="4" t="s">
        <v>9</v>
      </c>
      <c r="D1310" s="475">
        <v>1181.82</v>
      </c>
      <c r="E1310" s="476">
        <v>0.04367</v>
      </c>
      <c r="F1310" s="6">
        <v>3.9151</v>
      </c>
      <c r="G1310" s="6">
        <v>2.075</v>
      </c>
    </row>
    <row r="1311" ht="15.75" customHeight="1" spans="1:7">
      <c r="A1311" s="4" t="s">
        <v>3745</v>
      </c>
      <c r="B1311" s="5" t="s">
        <v>3746</v>
      </c>
      <c r="C1311" s="4" t="s">
        <v>9</v>
      </c>
      <c r="D1311" s="475">
        <v>1214.62</v>
      </c>
      <c r="E1311" s="476">
        <v>0.04367</v>
      </c>
      <c r="F1311" s="6">
        <v>3.9151</v>
      </c>
      <c r="G1311" s="6">
        <v>2.075</v>
      </c>
    </row>
    <row r="1312" ht="15.75" customHeight="1" spans="1:7">
      <c r="A1312" s="4" t="s">
        <v>3747</v>
      </c>
      <c r="B1312" s="5" t="s">
        <v>3748</v>
      </c>
      <c r="C1312" s="4" t="s">
        <v>9</v>
      </c>
      <c r="D1312" s="475">
        <v>1291.61</v>
      </c>
      <c r="E1312" s="476">
        <v>0.04367</v>
      </c>
      <c r="F1312" s="6">
        <v>3.9151</v>
      </c>
      <c r="G1312" s="6">
        <v>2.075</v>
      </c>
    </row>
    <row r="1313" ht="15.75" customHeight="1" spans="1:7">
      <c r="A1313" s="4" t="s">
        <v>3749</v>
      </c>
      <c r="B1313" s="5" t="s">
        <v>3750</v>
      </c>
      <c r="C1313" s="4" t="s">
        <v>9</v>
      </c>
      <c r="D1313" s="475">
        <v>1303.42</v>
      </c>
      <c r="E1313" s="476">
        <v>0.04367</v>
      </c>
      <c r="F1313" s="6">
        <v>5.2201</v>
      </c>
      <c r="G1313" s="6">
        <v>1.55625</v>
      </c>
    </row>
    <row r="1314" ht="15.75" customHeight="1" spans="1:7">
      <c r="A1314" s="4" t="s">
        <v>3751</v>
      </c>
      <c r="B1314" s="5" t="s">
        <v>3752</v>
      </c>
      <c r="C1314" s="4" t="s">
        <v>9</v>
      </c>
      <c r="D1314" s="475">
        <v>1406.4</v>
      </c>
      <c r="E1314" s="476">
        <v>0.04367</v>
      </c>
      <c r="F1314" s="6">
        <v>5.2201</v>
      </c>
      <c r="G1314" s="6">
        <v>1.55625</v>
      </c>
    </row>
    <row r="1315" ht="15.75" customHeight="1" spans="1:7">
      <c r="A1315" s="4" t="s">
        <v>3753</v>
      </c>
      <c r="B1315" s="5" t="s">
        <v>3754</v>
      </c>
      <c r="C1315" s="4" t="s">
        <v>9</v>
      </c>
      <c r="D1315" s="475">
        <v>1402.74</v>
      </c>
      <c r="E1315" s="476">
        <v>0.04367</v>
      </c>
      <c r="F1315" s="6">
        <v>5.2201</v>
      </c>
      <c r="G1315" s="6">
        <v>1.55625</v>
      </c>
    </row>
    <row r="1316" ht="15.75" customHeight="1" spans="1:7">
      <c r="A1316" s="4" t="s">
        <v>3755</v>
      </c>
      <c r="B1316" s="5" t="s">
        <v>3756</v>
      </c>
      <c r="C1316" s="4" t="s">
        <v>9</v>
      </c>
      <c r="D1316" s="475">
        <v>1505.72</v>
      </c>
      <c r="E1316" s="476">
        <v>0.04367</v>
      </c>
      <c r="F1316" s="6">
        <v>5.2201</v>
      </c>
      <c r="G1316" s="6">
        <v>1.55625</v>
      </c>
    </row>
    <row r="1317" ht="15.75" customHeight="1" spans="1:7">
      <c r="A1317" s="4" t="s">
        <v>3757</v>
      </c>
      <c r="B1317" s="5" t="s">
        <v>3758</v>
      </c>
      <c r="C1317" s="4" t="s">
        <v>9</v>
      </c>
      <c r="D1317" s="475">
        <v>1510.29</v>
      </c>
      <c r="E1317" s="476">
        <v>0.04367</v>
      </c>
      <c r="F1317" s="6">
        <v>5.2201</v>
      </c>
      <c r="G1317" s="6">
        <v>1.55625</v>
      </c>
    </row>
    <row r="1318" ht="15.75" customHeight="1" spans="1:7">
      <c r="A1318" s="4" t="s">
        <v>3759</v>
      </c>
      <c r="B1318" s="5" t="s">
        <v>3760</v>
      </c>
      <c r="C1318" s="4" t="s">
        <v>9</v>
      </c>
      <c r="D1318" s="475">
        <v>1613.26</v>
      </c>
      <c r="E1318" s="476">
        <v>0.04367</v>
      </c>
      <c r="F1318" s="6">
        <v>5.2201</v>
      </c>
      <c r="G1318" s="6">
        <v>1.55625</v>
      </c>
    </row>
    <row r="1319" ht="15.75" customHeight="1" spans="1:7">
      <c r="A1319" s="4" t="s">
        <v>3761</v>
      </c>
      <c r="B1319" s="5" t="s">
        <v>3762</v>
      </c>
      <c r="C1319" s="4" t="s">
        <v>9</v>
      </c>
      <c r="D1319" s="475">
        <v>1563.09</v>
      </c>
      <c r="E1319" s="476">
        <v>0.04367</v>
      </c>
      <c r="F1319" s="6">
        <v>5.2201</v>
      </c>
      <c r="G1319" s="6">
        <v>1.55625</v>
      </c>
    </row>
    <row r="1320" ht="15.75" customHeight="1" spans="1:7">
      <c r="A1320" s="4" t="s">
        <v>3763</v>
      </c>
      <c r="B1320" s="5" t="s">
        <v>3764</v>
      </c>
      <c r="C1320" s="4" t="s">
        <v>9</v>
      </c>
      <c r="D1320" s="475">
        <v>1666.07</v>
      </c>
      <c r="E1320" s="476">
        <v>0.04367</v>
      </c>
      <c r="F1320" s="6">
        <v>5.2201</v>
      </c>
      <c r="G1320" s="6">
        <v>1.55625</v>
      </c>
    </row>
    <row r="1321" ht="15.75" customHeight="1" spans="1:7">
      <c r="A1321" s="4" t="s">
        <v>3765</v>
      </c>
      <c r="B1321" s="5" t="s">
        <v>3766</v>
      </c>
      <c r="C1321" s="4" t="s">
        <v>9</v>
      </c>
      <c r="D1321" s="475">
        <v>1747.47</v>
      </c>
      <c r="E1321" s="476">
        <v>0.04367</v>
      </c>
      <c r="F1321" s="6">
        <v>6.5251</v>
      </c>
      <c r="G1321" s="6">
        <v>1.245</v>
      </c>
    </row>
    <row r="1322" ht="15.75" customHeight="1" spans="1:7">
      <c r="A1322" s="4" t="s">
        <v>3767</v>
      </c>
      <c r="B1322" s="5" t="s">
        <v>3768</v>
      </c>
      <c r="C1322" s="4" t="s">
        <v>9</v>
      </c>
      <c r="D1322" s="475">
        <v>1878.73</v>
      </c>
      <c r="E1322" s="476">
        <v>0.04367</v>
      </c>
      <c r="F1322" s="6">
        <v>6.5251</v>
      </c>
      <c r="G1322" s="6">
        <v>1.245</v>
      </c>
    </row>
    <row r="1323" ht="15.75" customHeight="1" spans="1:7">
      <c r="A1323" s="4" t="s">
        <v>3769</v>
      </c>
      <c r="B1323" s="5" t="s">
        <v>3770</v>
      </c>
      <c r="C1323" s="4" t="s">
        <v>9</v>
      </c>
      <c r="D1323" s="475">
        <v>1829.79</v>
      </c>
      <c r="E1323" s="476">
        <v>0.04367</v>
      </c>
      <c r="F1323" s="6">
        <v>6.5251</v>
      </c>
      <c r="G1323" s="6">
        <v>1.245</v>
      </c>
    </row>
    <row r="1324" ht="15.75" customHeight="1" spans="1:7">
      <c r="A1324" s="4" t="s">
        <v>3771</v>
      </c>
      <c r="B1324" s="5" t="s">
        <v>3772</v>
      </c>
      <c r="C1324" s="4" t="s">
        <v>9</v>
      </c>
      <c r="D1324" s="475">
        <v>1961.05</v>
      </c>
      <c r="E1324" s="476">
        <v>0.04367</v>
      </c>
      <c r="F1324" s="6">
        <v>6.5251</v>
      </c>
      <c r="G1324" s="6">
        <v>1.245</v>
      </c>
    </row>
    <row r="1325" ht="15.75" customHeight="1" spans="1:7">
      <c r="A1325" s="4" t="s">
        <v>3773</v>
      </c>
      <c r="B1325" s="5" t="s">
        <v>3774</v>
      </c>
      <c r="C1325" s="4" t="s">
        <v>9</v>
      </c>
      <c r="D1325" s="475">
        <v>2089.72</v>
      </c>
      <c r="E1325" s="476">
        <v>0.04367</v>
      </c>
      <c r="F1325" s="6">
        <v>6.5251</v>
      </c>
      <c r="G1325" s="6">
        <v>1.245</v>
      </c>
    </row>
    <row r="1326" ht="15.75" customHeight="1" spans="1:7">
      <c r="A1326" s="4" t="s">
        <v>3775</v>
      </c>
      <c r="B1326" s="5" t="s">
        <v>3776</v>
      </c>
      <c r="C1326" s="4" t="s">
        <v>9</v>
      </c>
      <c r="D1326" s="475">
        <v>2220.98</v>
      </c>
      <c r="E1326" s="476">
        <v>0.04367</v>
      </c>
      <c r="F1326" s="6">
        <v>6.5251</v>
      </c>
      <c r="G1326" s="6">
        <v>1.245</v>
      </c>
    </row>
    <row r="1327" ht="15.75" customHeight="1" spans="1:7">
      <c r="A1327" s="4" t="s">
        <v>3777</v>
      </c>
      <c r="B1327" s="5" t="s">
        <v>3778</v>
      </c>
      <c r="C1327" s="4" t="s">
        <v>9</v>
      </c>
      <c r="D1327" s="475">
        <v>2348.68</v>
      </c>
      <c r="E1327" s="476">
        <v>0.04367</v>
      </c>
      <c r="F1327" s="6">
        <v>6.5251</v>
      </c>
      <c r="G1327" s="6">
        <v>1.245</v>
      </c>
    </row>
    <row r="1328" ht="15.75" customHeight="1" spans="1:7">
      <c r="A1328" s="4" t="s">
        <v>3779</v>
      </c>
      <c r="B1328" s="5" t="s">
        <v>3780</v>
      </c>
      <c r="C1328" s="4" t="s">
        <v>9</v>
      </c>
      <c r="D1328" s="475">
        <v>2479.94</v>
      </c>
      <c r="E1328" s="476">
        <v>0.04367</v>
      </c>
      <c r="F1328" s="6">
        <v>6.5251</v>
      </c>
      <c r="G1328" s="6">
        <v>1.245</v>
      </c>
    </row>
    <row r="1329" ht="15.75" customHeight="1" spans="1:7">
      <c r="A1329" s="4" t="s">
        <v>3781</v>
      </c>
      <c r="B1329" s="5" t="s">
        <v>3782</v>
      </c>
      <c r="C1329" s="4" t="s">
        <v>9</v>
      </c>
      <c r="D1329" s="475">
        <v>2774.89</v>
      </c>
      <c r="E1329" s="476">
        <v>0.04367</v>
      </c>
      <c r="F1329" s="6">
        <v>8.4827</v>
      </c>
      <c r="G1329" s="6">
        <v>0.95769</v>
      </c>
    </row>
    <row r="1330" ht="15.75" customHeight="1" spans="1:7">
      <c r="A1330" s="4" t="s">
        <v>3783</v>
      </c>
      <c r="B1330" s="5" t="s">
        <v>3784</v>
      </c>
      <c r="C1330" s="4" t="s">
        <v>9</v>
      </c>
      <c r="D1330" s="475">
        <v>2944.36</v>
      </c>
      <c r="E1330" s="476">
        <v>0.04367</v>
      </c>
      <c r="F1330" s="6">
        <v>8.4827</v>
      </c>
      <c r="G1330" s="6">
        <v>0.95769</v>
      </c>
    </row>
    <row r="1331" ht="15.75" customHeight="1" spans="1:7">
      <c r="A1331" s="4" t="s">
        <v>3785</v>
      </c>
      <c r="B1331" s="5" t="s">
        <v>3786</v>
      </c>
      <c r="C1331" s="4" t="s">
        <v>9</v>
      </c>
      <c r="D1331" s="475">
        <v>2817.9</v>
      </c>
      <c r="E1331" s="476">
        <v>0.04367</v>
      </c>
      <c r="F1331" s="6">
        <v>8.4827</v>
      </c>
      <c r="G1331" s="6">
        <v>0.95769</v>
      </c>
    </row>
    <row r="1332" ht="15.75" customHeight="1" spans="1:7">
      <c r="A1332" s="4" t="s">
        <v>3787</v>
      </c>
      <c r="B1332" s="5" t="s">
        <v>3788</v>
      </c>
      <c r="C1332" s="4" t="s">
        <v>9</v>
      </c>
      <c r="D1332" s="475">
        <v>2987.37</v>
      </c>
      <c r="E1332" s="476">
        <v>0.04367</v>
      </c>
      <c r="F1332" s="6">
        <v>8.4827</v>
      </c>
      <c r="G1332" s="6">
        <v>0.95769</v>
      </c>
    </row>
    <row r="1333" ht="15.75" customHeight="1" spans="1:7">
      <c r="A1333" s="4" t="s">
        <v>3789</v>
      </c>
      <c r="B1333" s="5" t="s">
        <v>3790</v>
      </c>
      <c r="C1333" s="4" t="s">
        <v>9</v>
      </c>
      <c r="D1333" s="475">
        <v>2959.63</v>
      </c>
      <c r="E1333" s="476">
        <v>0.04367</v>
      </c>
      <c r="F1333" s="6">
        <v>8.4827</v>
      </c>
      <c r="G1333" s="6">
        <v>0.95769</v>
      </c>
    </row>
    <row r="1334" ht="15.75" customHeight="1" spans="1:7">
      <c r="A1334" s="4" t="s">
        <v>3791</v>
      </c>
      <c r="B1334" s="5" t="s">
        <v>3792</v>
      </c>
      <c r="C1334" s="4" t="s">
        <v>9</v>
      </c>
      <c r="D1334" s="475">
        <v>3129.11</v>
      </c>
      <c r="E1334" s="476">
        <v>0.04367</v>
      </c>
      <c r="F1334" s="6">
        <v>8.4827</v>
      </c>
      <c r="G1334" s="6">
        <v>0.95769</v>
      </c>
    </row>
    <row r="1335" ht="15.75" customHeight="1" spans="1:7">
      <c r="A1335" s="4" t="s">
        <v>3793</v>
      </c>
      <c r="B1335" s="5" t="s">
        <v>3794</v>
      </c>
      <c r="C1335" s="4" t="s">
        <v>9</v>
      </c>
      <c r="D1335" s="475">
        <v>3154.91</v>
      </c>
      <c r="E1335" s="476">
        <v>0.04367</v>
      </c>
      <c r="F1335" s="6">
        <v>8.4827</v>
      </c>
      <c r="G1335" s="6">
        <v>0.95769</v>
      </c>
    </row>
    <row r="1336" ht="15.75" customHeight="1" spans="1:7">
      <c r="A1336" s="4" t="s">
        <v>3795</v>
      </c>
      <c r="B1336" s="5" t="s">
        <v>3796</v>
      </c>
      <c r="C1336" s="4" t="s">
        <v>9</v>
      </c>
      <c r="D1336" s="475">
        <v>3324.39</v>
      </c>
      <c r="E1336" s="476">
        <v>0.04367</v>
      </c>
      <c r="F1336" s="6">
        <v>8.4827</v>
      </c>
      <c r="G1336" s="6">
        <v>0.95769</v>
      </c>
    </row>
    <row r="1337" ht="15.75" customHeight="1" spans="1:7">
      <c r="A1337" s="4" t="s">
        <v>3797</v>
      </c>
      <c r="B1337" s="5" t="s">
        <v>3798</v>
      </c>
      <c r="C1337" s="4" t="s">
        <v>9</v>
      </c>
      <c r="D1337" s="475">
        <v>225.71</v>
      </c>
      <c r="E1337" s="476">
        <v>0.04367</v>
      </c>
      <c r="F1337" s="6">
        <v>0.6525</v>
      </c>
      <c r="G1337" s="6">
        <v>12.45</v>
      </c>
    </row>
    <row r="1338" ht="15.75" customHeight="1" spans="1:7">
      <c r="A1338" s="4" t="s">
        <v>3799</v>
      </c>
      <c r="B1338" s="5" t="s">
        <v>3800</v>
      </c>
      <c r="C1338" s="4" t="s">
        <v>9</v>
      </c>
      <c r="D1338" s="475">
        <v>244.45</v>
      </c>
      <c r="E1338" s="476">
        <v>0.04367</v>
      </c>
      <c r="F1338" s="6">
        <v>0.6525</v>
      </c>
      <c r="G1338" s="6">
        <v>12.45</v>
      </c>
    </row>
    <row r="1339" ht="15.75" customHeight="1" spans="1:7">
      <c r="A1339" s="4" t="s">
        <v>3801</v>
      </c>
      <c r="B1339" s="5" t="s">
        <v>3802</v>
      </c>
      <c r="C1339" s="4" t="s">
        <v>9</v>
      </c>
      <c r="D1339" s="475">
        <v>230.6</v>
      </c>
      <c r="E1339" s="476">
        <v>0.04367</v>
      </c>
      <c r="F1339" s="6">
        <v>0.6525</v>
      </c>
      <c r="G1339" s="6">
        <v>12.45</v>
      </c>
    </row>
    <row r="1340" ht="15.75" customHeight="1" spans="1:7">
      <c r="A1340" s="4" t="s">
        <v>3803</v>
      </c>
      <c r="B1340" s="5" t="s">
        <v>3804</v>
      </c>
      <c r="C1340" s="4" t="s">
        <v>9</v>
      </c>
      <c r="D1340" s="475">
        <v>249.34</v>
      </c>
      <c r="E1340" s="476">
        <v>0.04367</v>
      </c>
      <c r="F1340" s="6">
        <v>0.6525</v>
      </c>
      <c r="G1340" s="6">
        <v>12.45</v>
      </c>
    </row>
    <row r="1341" ht="15.75" customHeight="1" spans="1:7">
      <c r="A1341" s="4" t="s">
        <v>3805</v>
      </c>
      <c r="B1341" s="5" t="s">
        <v>3806</v>
      </c>
      <c r="C1341" s="4" t="s">
        <v>9</v>
      </c>
      <c r="D1341" s="475">
        <v>243.33</v>
      </c>
      <c r="E1341" s="476">
        <v>0.04367</v>
      </c>
      <c r="F1341" s="6">
        <v>0.6525</v>
      </c>
      <c r="G1341" s="6">
        <v>12.45</v>
      </c>
    </row>
    <row r="1342" ht="15.75" customHeight="1" spans="1:7">
      <c r="A1342" s="4" t="s">
        <v>3807</v>
      </c>
      <c r="B1342" s="5" t="s">
        <v>3808</v>
      </c>
      <c r="C1342" s="4" t="s">
        <v>9</v>
      </c>
      <c r="D1342" s="475">
        <v>262.08</v>
      </c>
      <c r="E1342" s="476">
        <v>0.04367</v>
      </c>
      <c r="F1342" s="6">
        <v>0.6525</v>
      </c>
      <c r="G1342" s="6">
        <v>12.45</v>
      </c>
    </row>
    <row r="1343" ht="15.75" customHeight="1" spans="1:7">
      <c r="A1343" s="4" t="s">
        <v>3809</v>
      </c>
      <c r="B1343" s="5" t="s">
        <v>3810</v>
      </c>
      <c r="C1343" s="4" t="s">
        <v>9</v>
      </c>
      <c r="D1343" s="475">
        <v>284.41</v>
      </c>
      <c r="E1343" s="476">
        <v>0.04367</v>
      </c>
      <c r="F1343" s="6">
        <v>0.6525</v>
      </c>
      <c r="G1343" s="6">
        <v>12.45</v>
      </c>
    </row>
    <row r="1344" ht="15.75" customHeight="1" spans="1:7">
      <c r="A1344" s="4" t="s">
        <v>3811</v>
      </c>
      <c r="B1344" s="5" t="s">
        <v>3812</v>
      </c>
      <c r="C1344" s="4" t="s">
        <v>9</v>
      </c>
      <c r="D1344" s="475">
        <v>303.15</v>
      </c>
      <c r="E1344" s="476">
        <v>0.04367</v>
      </c>
      <c r="F1344" s="6">
        <v>0.6525</v>
      </c>
      <c r="G1344" s="6">
        <v>12.45</v>
      </c>
    </row>
    <row r="1345" ht="15.75" customHeight="1" spans="1:7">
      <c r="A1345" s="4" t="s">
        <v>3813</v>
      </c>
      <c r="B1345" s="5" t="s">
        <v>3814</v>
      </c>
      <c r="C1345" s="4" t="s">
        <v>9</v>
      </c>
      <c r="D1345" s="475">
        <v>354.58</v>
      </c>
      <c r="E1345" s="476">
        <v>0.04367</v>
      </c>
      <c r="F1345" s="6">
        <v>1.305</v>
      </c>
      <c r="G1345" s="6">
        <v>6.225</v>
      </c>
    </row>
    <row r="1346" ht="15.75" customHeight="1" spans="1:7">
      <c r="A1346" s="4" t="s">
        <v>3815</v>
      </c>
      <c r="B1346" s="5" t="s">
        <v>3816</v>
      </c>
      <c r="C1346" s="4" t="s">
        <v>9</v>
      </c>
      <c r="D1346" s="475">
        <v>382.74</v>
      </c>
      <c r="E1346" s="476">
        <v>0.04367</v>
      </c>
      <c r="F1346" s="6">
        <v>1.305</v>
      </c>
      <c r="G1346" s="6">
        <v>6.225</v>
      </c>
    </row>
    <row r="1347" ht="15.75" customHeight="1" spans="1:7">
      <c r="A1347" s="4" t="s">
        <v>3817</v>
      </c>
      <c r="B1347" s="5" t="s">
        <v>3818</v>
      </c>
      <c r="C1347" s="4" t="s">
        <v>9</v>
      </c>
      <c r="D1347" s="475">
        <v>388.43</v>
      </c>
      <c r="E1347" s="476">
        <v>0.04367</v>
      </c>
      <c r="F1347" s="6">
        <v>1.305</v>
      </c>
      <c r="G1347" s="6">
        <v>6.225</v>
      </c>
    </row>
    <row r="1348" ht="15.75" customHeight="1" spans="1:7">
      <c r="A1348" s="4" t="s">
        <v>3819</v>
      </c>
      <c r="B1348" s="5" t="s">
        <v>3820</v>
      </c>
      <c r="C1348" s="4" t="s">
        <v>9</v>
      </c>
      <c r="D1348" s="475">
        <v>416.59</v>
      </c>
      <c r="E1348" s="476">
        <v>0.04367</v>
      </c>
      <c r="F1348" s="6">
        <v>1.305</v>
      </c>
      <c r="G1348" s="6">
        <v>6.225</v>
      </c>
    </row>
    <row r="1349" ht="15.75" customHeight="1" spans="1:7">
      <c r="A1349" s="4" t="s">
        <v>3821</v>
      </c>
      <c r="B1349" s="5" t="s">
        <v>3822</v>
      </c>
      <c r="C1349" s="4" t="s">
        <v>9</v>
      </c>
      <c r="D1349" s="475">
        <v>422.9</v>
      </c>
      <c r="E1349" s="476">
        <v>0.04367</v>
      </c>
      <c r="F1349" s="6">
        <v>1.305</v>
      </c>
      <c r="G1349" s="6">
        <v>6.225</v>
      </c>
    </row>
    <row r="1350" ht="15.75" customHeight="1" spans="1:7">
      <c r="A1350" s="4" t="s">
        <v>3823</v>
      </c>
      <c r="B1350" s="5" t="s">
        <v>3824</v>
      </c>
      <c r="C1350" s="4" t="s">
        <v>9</v>
      </c>
      <c r="D1350" s="475">
        <v>451.05</v>
      </c>
      <c r="E1350" s="476">
        <v>0.04367</v>
      </c>
      <c r="F1350" s="6">
        <v>1.305</v>
      </c>
      <c r="G1350" s="6">
        <v>6.225</v>
      </c>
    </row>
    <row r="1351" ht="15.75" customHeight="1" spans="1:7">
      <c r="A1351" s="4" t="s">
        <v>3825</v>
      </c>
      <c r="B1351" s="5" t="s">
        <v>3826</v>
      </c>
      <c r="C1351" s="4" t="s">
        <v>9</v>
      </c>
      <c r="D1351" s="475">
        <v>434.25</v>
      </c>
      <c r="E1351" s="476">
        <v>0.04367</v>
      </c>
      <c r="F1351" s="6">
        <v>1.305</v>
      </c>
      <c r="G1351" s="6">
        <v>6.225</v>
      </c>
    </row>
    <row r="1352" ht="15.75" customHeight="1" spans="1:7">
      <c r="A1352" s="4" t="s">
        <v>3827</v>
      </c>
      <c r="B1352" s="5" t="s">
        <v>3828</v>
      </c>
      <c r="C1352" s="4" t="s">
        <v>9</v>
      </c>
      <c r="D1352" s="475">
        <v>462.4</v>
      </c>
      <c r="E1352" s="476">
        <v>0.04367</v>
      </c>
      <c r="F1352" s="6">
        <v>1.305</v>
      </c>
      <c r="G1352" s="6">
        <v>6.225</v>
      </c>
    </row>
    <row r="1353" ht="15.75" customHeight="1" spans="1:7">
      <c r="A1353" s="4" t="s">
        <v>3829</v>
      </c>
      <c r="B1353" s="5" t="s">
        <v>3830</v>
      </c>
      <c r="C1353" s="4" t="s">
        <v>9</v>
      </c>
      <c r="D1353" s="475">
        <v>531.92</v>
      </c>
      <c r="E1353" s="476">
        <v>0.04367</v>
      </c>
      <c r="F1353" s="6">
        <v>1.9575</v>
      </c>
      <c r="G1353" s="6">
        <v>4.15</v>
      </c>
    </row>
    <row r="1354" ht="15.75" customHeight="1" spans="1:7">
      <c r="A1354" s="4" t="s">
        <v>3831</v>
      </c>
      <c r="B1354" s="5" t="s">
        <v>3832</v>
      </c>
      <c r="C1354" s="4" t="s">
        <v>9</v>
      </c>
      <c r="D1354" s="475">
        <v>570.41</v>
      </c>
      <c r="E1354" s="476">
        <v>0.04367</v>
      </c>
      <c r="F1354" s="6">
        <v>1.9575</v>
      </c>
      <c r="G1354" s="6">
        <v>4.15</v>
      </c>
    </row>
    <row r="1355" ht="15.75" customHeight="1" spans="1:7">
      <c r="A1355" s="4" t="s">
        <v>3833</v>
      </c>
      <c r="B1355" s="5" t="s">
        <v>3834</v>
      </c>
      <c r="C1355" s="4" t="s">
        <v>9</v>
      </c>
      <c r="D1355" s="475">
        <v>545.56</v>
      </c>
      <c r="E1355" s="476">
        <v>0.04367</v>
      </c>
      <c r="F1355" s="6">
        <v>1.9575</v>
      </c>
      <c r="G1355" s="6">
        <v>4.15</v>
      </c>
    </row>
    <row r="1356" ht="15.75" customHeight="1" spans="1:7">
      <c r="A1356" s="4" t="s">
        <v>3835</v>
      </c>
      <c r="B1356" s="5" t="s">
        <v>3836</v>
      </c>
      <c r="C1356" s="4" t="s">
        <v>9</v>
      </c>
      <c r="D1356" s="475">
        <v>584.06</v>
      </c>
      <c r="E1356" s="476">
        <v>0.04367</v>
      </c>
      <c r="F1356" s="6">
        <v>1.9575</v>
      </c>
      <c r="G1356" s="6">
        <v>4.15</v>
      </c>
    </row>
    <row r="1357" ht="15.75" customHeight="1" spans="1:7">
      <c r="A1357" s="4" t="s">
        <v>3837</v>
      </c>
      <c r="B1357" s="5" t="s">
        <v>3838</v>
      </c>
      <c r="C1357" s="4" t="s">
        <v>9</v>
      </c>
      <c r="D1357" s="475">
        <v>578.64</v>
      </c>
      <c r="E1357" s="476">
        <v>0.04367</v>
      </c>
      <c r="F1357" s="6">
        <v>1.9575</v>
      </c>
      <c r="G1357" s="6">
        <v>4.15</v>
      </c>
    </row>
    <row r="1358" ht="15.75" customHeight="1" spans="1:7">
      <c r="A1358" s="4" t="s">
        <v>3839</v>
      </c>
      <c r="B1358" s="5" t="s">
        <v>3840</v>
      </c>
      <c r="C1358" s="4" t="s">
        <v>9</v>
      </c>
      <c r="D1358" s="475">
        <v>617.14</v>
      </c>
      <c r="E1358" s="476">
        <v>0.04367</v>
      </c>
      <c r="F1358" s="6">
        <v>1.9575</v>
      </c>
      <c r="G1358" s="6">
        <v>4.15</v>
      </c>
    </row>
    <row r="1359" ht="15.75" customHeight="1" spans="1:7">
      <c r="A1359" s="4" t="s">
        <v>3841</v>
      </c>
      <c r="B1359" s="5" t="s">
        <v>3842</v>
      </c>
      <c r="C1359" s="4" t="s">
        <v>9</v>
      </c>
      <c r="D1359" s="475">
        <v>633.54</v>
      </c>
      <c r="E1359" s="476">
        <v>0.04367</v>
      </c>
      <c r="F1359" s="6">
        <v>1.9575</v>
      </c>
      <c r="G1359" s="6">
        <v>4.15</v>
      </c>
    </row>
    <row r="1360" ht="15.75" customHeight="1" spans="1:7">
      <c r="A1360" s="4" t="s">
        <v>3843</v>
      </c>
      <c r="B1360" s="5" t="s">
        <v>3844</v>
      </c>
      <c r="C1360" s="4" t="s">
        <v>9</v>
      </c>
      <c r="D1360" s="475">
        <v>672.03</v>
      </c>
      <c r="E1360" s="476">
        <v>0.04367</v>
      </c>
      <c r="F1360" s="6">
        <v>1.9575</v>
      </c>
      <c r="G1360" s="6">
        <v>4.15</v>
      </c>
    </row>
    <row r="1361" ht="15.75" customHeight="1" spans="1:7">
      <c r="A1361" s="4" t="s">
        <v>3845</v>
      </c>
      <c r="B1361" s="5" t="s">
        <v>3846</v>
      </c>
      <c r="C1361" s="4" t="s">
        <v>9</v>
      </c>
      <c r="D1361" s="475">
        <v>678.84</v>
      </c>
      <c r="E1361" s="476">
        <v>0.04367</v>
      </c>
      <c r="F1361" s="6">
        <v>2.61</v>
      </c>
      <c r="G1361" s="6">
        <v>3.1125</v>
      </c>
    </row>
    <row r="1362" ht="15.75" customHeight="1" spans="1:7">
      <c r="A1362" s="4" t="s">
        <v>3847</v>
      </c>
      <c r="B1362" s="5" t="s">
        <v>3848</v>
      </c>
      <c r="C1362" s="4" t="s">
        <v>9</v>
      </c>
      <c r="D1362" s="475">
        <v>729.1</v>
      </c>
      <c r="E1362" s="476">
        <v>0.04367</v>
      </c>
      <c r="F1362" s="6">
        <v>2.61</v>
      </c>
      <c r="G1362" s="6">
        <v>3.1125</v>
      </c>
    </row>
    <row r="1363" ht="15.75" customHeight="1" spans="1:7">
      <c r="A1363" s="4" t="s">
        <v>3849</v>
      </c>
      <c r="B1363" s="5" t="s">
        <v>3850</v>
      </c>
      <c r="C1363" s="4" t="s">
        <v>9</v>
      </c>
      <c r="D1363" s="475">
        <v>728.49</v>
      </c>
      <c r="E1363" s="476">
        <v>0.04367</v>
      </c>
      <c r="F1363" s="6">
        <v>2.61</v>
      </c>
      <c r="G1363" s="6">
        <v>3.1125</v>
      </c>
    </row>
    <row r="1364" ht="15.75" customHeight="1" spans="1:7">
      <c r="A1364" s="4" t="s">
        <v>3851</v>
      </c>
      <c r="B1364" s="5" t="s">
        <v>3852</v>
      </c>
      <c r="C1364" s="4" t="s">
        <v>9</v>
      </c>
      <c r="D1364" s="475">
        <v>778.76</v>
      </c>
      <c r="E1364" s="476">
        <v>0.04367</v>
      </c>
      <c r="F1364" s="6">
        <v>2.61</v>
      </c>
      <c r="G1364" s="6">
        <v>3.1125</v>
      </c>
    </row>
    <row r="1365" ht="15.75" customHeight="1" spans="1:7">
      <c r="A1365" s="4" t="s">
        <v>3853</v>
      </c>
      <c r="B1365" s="5" t="s">
        <v>3854</v>
      </c>
      <c r="C1365" s="4" t="s">
        <v>9</v>
      </c>
      <c r="D1365" s="475">
        <v>782.27</v>
      </c>
      <c r="E1365" s="476">
        <v>0.04367</v>
      </c>
      <c r="F1365" s="6">
        <v>2.61</v>
      </c>
      <c r="G1365" s="6">
        <v>3.1125</v>
      </c>
    </row>
    <row r="1366" ht="15.75" customHeight="1" spans="1:7">
      <c r="A1366" s="4" t="s">
        <v>3855</v>
      </c>
      <c r="B1366" s="5" t="s">
        <v>3856</v>
      </c>
      <c r="C1366" s="4" t="s">
        <v>9</v>
      </c>
      <c r="D1366" s="475">
        <v>832.53</v>
      </c>
      <c r="E1366" s="476">
        <v>0.04367</v>
      </c>
      <c r="F1366" s="6">
        <v>2.61</v>
      </c>
      <c r="G1366" s="6">
        <v>3.1125</v>
      </c>
    </row>
    <row r="1367" ht="15.75" customHeight="1" spans="1:7">
      <c r="A1367" s="4" t="s">
        <v>3857</v>
      </c>
      <c r="B1367" s="5" t="s">
        <v>3858</v>
      </c>
      <c r="C1367" s="4" t="s">
        <v>9</v>
      </c>
      <c r="D1367" s="475">
        <v>808.67</v>
      </c>
      <c r="E1367" s="476">
        <v>0.04367</v>
      </c>
      <c r="F1367" s="6">
        <v>2.61</v>
      </c>
      <c r="G1367" s="6">
        <v>3.1125</v>
      </c>
    </row>
    <row r="1368" ht="15.75" customHeight="1" spans="1:7">
      <c r="A1368" s="4" t="s">
        <v>3859</v>
      </c>
      <c r="B1368" s="5" t="s">
        <v>3860</v>
      </c>
      <c r="C1368" s="4" t="s">
        <v>9</v>
      </c>
      <c r="D1368" s="475">
        <v>858.93</v>
      </c>
      <c r="E1368" s="476">
        <v>0.04367</v>
      </c>
      <c r="F1368" s="6">
        <v>2.61</v>
      </c>
      <c r="G1368" s="6">
        <v>3.1125</v>
      </c>
    </row>
    <row r="1369" ht="15.75" customHeight="1" spans="1:7">
      <c r="A1369" s="4" t="s">
        <v>3861</v>
      </c>
      <c r="B1369" s="5" t="s">
        <v>3862</v>
      </c>
      <c r="C1369" s="4" t="s">
        <v>9</v>
      </c>
      <c r="D1369" s="475">
        <v>900.9</v>
      </c>
      <c r="E1369" s="476">
        <v>0.04367</v>
      </c>
      <c r="F1369" s="6">
        <v>3.2626</v>
      </c>
      <c r="G1369" s="6">
        <v>2.49</v>
      </c>
    </row>
    <row r="1370" ht="15.75" customHeight="1" spans="1:7">
      <c r="A1370" s="4" t="s">
        <v>3863</v>
      </c>
      <c r="B1370" s="5" t="s">
        <v>3864</v>
      </c>
      <c r="C1370" s="4" t="s">
        <v>9</v>
      </c>
      <c r="D1370" s="475">
        <v>963.7</v>
      </c>
      <c r="E1370" s="476">
        <v>0.04367</v>
      </c>
      <c r="F1370" s="6">
        <v>3.2626</v>
      </c>
      <c r="G1370" s="6">
        <v>2.49</v>
      </c>
    </row>
    <row r="1371" ht="15.75" customHeight="1" spans="1:7">
      <c r="A1371" s="4" t="s">
        <v>3865</v>
      </c>
      <c r="B1371" s="5" t="s">
        <v>3866</v>
      </c>
      <c r="C1371" s="4" t="s">
        <v>9</v>
      </c>
      <c r="D1371" s="475">
        <v>942.06</v>
      </c>
      <c r="E1371" s="476">
        <v>0.04367</v>
      </c>
      <c r="F1371" s="6">
        <v>3.2626</v>
      </c>
      <c r="G1371" s="6">
        <v>2.49</v>
      </c>
    </row>
    <row r="1372" ht="15.75" customHeight="1" spans="1:7">
      <c r="A1372" s="4" t="s">
        <v>3867</v>
      </c>
      <c r="B1372" s="5" t="s">
        <v>3868</v>
      </c>
      <c r="C1372" s="4" t="s">
        <v>9</v>
      </c>
      <c r="D1372" s="475">
        <v>1004.86</v>
      </c>
      <c r="E1372" s="476">
        <v>0.04367</v>
      </c>
      <c r="F1372" s="6">
        <v>3.2626</v>
      </c>
      <c r="G1372" s="6">
        <v>2.49</v>
      </c>
    </row>
    <row r="1373" ht="15.75" customHeight="1" spans="1:7">
      <c r="A1373" s="4" t="s">
        <v>3869</v>
      </c>
      <c r="B1373" s="5" t="s">
        <v>3870</v>
      </c>
      <c r="C1373" s="4" t="s">
        <v>9</v>
      </c>
      <c r="D1373" s="475">
        <v>1072.02</v>
      </c>
      <c r="E1373" s="476">
        <v>0.04367</v>
      </c>
      <c r="F1373" s="6">
        <v>3.2626</v>
      </c>
      <c r="G1373" s="6">
        <v>2.49</v>
      </c>
    </row>
    <row r="1374" ht="15.75" customHeight="1" spans="1:7">
      <c r="A1374" s="4" t="s">
        <v>3871</v>
      </c>
      <c r="B1374" s="5" t="s">
        <v>3872</v>
      </c>
      <c r="C1374" s="4" t="s">
        <v>9</v>
      </c>
      <c r="D1374" s="475">
        <v>1134.83</v>
      </c>
      <c r="E1374" s="476">
        <v>0.04367</v>
      </c>
      <c r="F1374" s="6">
        <v>3.2626</v>
      </c>
      <c r="G1374" s="6">
        <v>2.49</v>
      </c>
    </row>
    <row r="1375" ht="15.75" customHeight="1" spans="1:7">
      <c r="A1375" s="4" t="s">
        <v>3873</v>
      </c>
      <c r="B1375" s="5" t="s">
        <v>3874</v>
      </c>
      <c r="C1375" s="4" t="s">
        <v>9</v>
      </c>
      <c r="D1375" s="475">
        <v>1201.5</v>
      </c>
      <c r="E1375" s="476">
        <v>0.04367</v>
      </c>
      <c r="F1375" s="6">
        <v>3.2626</v>
      </c>
      <c r="G1375" s="6">
        <v>2.49</v>
      </c>
    </row>
    <row r="1376" ht="15.75" customHeight="1" spans="1:7">
      <c r="A1376" s="4" t="s">
        <v>3875</v>
      </c>
      <c r="B1376" s="5" t="s">
        <v>3876</v>
      </c>
      <c r="C1376" s="4" t="s">
        <v>9</v>
      </c>
      <c r="D1376" s="475">
        <v>1264.31</v>
      </c>
      <c r="E1376" s="476">
        <v>0.04367</v>
      </c>
      <c r="F1376" s="6">
        <v>3.2626</v>
      </c>
      <c r="G1376" s="6">
        <v>2.49</v>
      </c>
    </row>
    <row r="1377" ht="15.75" customHeight="1" spans="1:7">
      <c r="A1377" s="4" t="s">
        <v>3877</v>
      </c>
      <c r="B1377" s="5" t="s">
        <v>3878</v>
      </c>
      <c r="C1377" s="4" t="s">
        <v>9</v>
      </c>
      <c r="D1377" s="475">
        <v>1417.78</v>
      </c>
      <c r="E1377" s="476">
        <v>0.04367</v>
      </c>
      <c r="F1377" s="6">
        <v>4.2413</v>
      </c>
      <c r="G1377" s="6">
        <v>1.91538</v>
      </c>
    </row>
    <row r="1378" ht="15.75" customHeight="1" spans="1:7">
      <c r="A1378" s="4" t="s">
        <v>3879</v>
      </c>
      <c r="B1378" s="5" t="s">
        <v>3880</v>
      </c>
      <c r="C1378" s="4" t="s">
        <v>9</v>
      </c>
      <c r="D1378" s="475">
        <v>1499.45</v>
      </c>
      <c r="E1378" s="476">
        <v>0.04367</v>
      </c>
      <c r="F1378" s="6">
        <v>4.2413</v>
      </c>
      <c r="G1378" s="6">
        <v>1.91538</v>
      </c>
    </row>
    <row r="1379" ht="15.75" customHeight="1" spans="1:7">
      <c r="A1379" s="4" t="s">
        <v>3881</v>
      </c>
      <c r="B1379" s="5" t="s">
        <v>3882</v>
      </c>
      <c r="C1379" s="4" t="s">
        <v>9</v>
      </c>
      <c r="D1379" s="475">
        <v>1439.28</v>
      </c>
      <c r="E1379" s="476">
        <v>0.04367</v>
      </c>
      <c r="F1379" s="6">
        <v>4.2413</v>
      </c>
      <c r="G1379" s="6">
        <v>1.91538</v>
      </c>
    </row>
    <row r="1380" ht="15.75" customHeight="1" spans="1:7">
      <c r="A1380" s="4" t="s">
        <v>3883</v>
      </c>
      <c r="B1380" s="5" t="s">
        <v>3884</v>
      </c>
      <c r="C1380" s="4" t="s">
        <v>9</v>
      </c>
      <c r="D1380" s="475">
        <v>1520.95</v>
      </c>
      <c r="E1380" s="476">
        <v>0.04367</v>
      </c>
      <c r="F1380" s="6">
        <v>4.2413</v>
      </c>
      <c r="G1380" s="6">
        <v>1.91538</v>
      </c>
    </row>
    <row r="1381" ht="15.75" customHeight="1" spans="1:7">
      <c r="A1381" s="4" t="s">
        <v>3885</v>
      </c>
      <c r="B1381" s="5" t="s">
        <v>3886</v>
      </c>
      <c r="C1381" s="4" t="s">
        <v>9</v>
      </c>
      <c r="D1381" s="475">
        <v>1510.15</v>
      </c>
      <c r="E1381" s="476">
        <v>0.04367</v>
      </c>
      <c r="F1381" s="6">
        <v>4.2413</v>
      </c>
      <c r="G1381" s="6">
        <v>1.91538</v>
      </c>
    </row>
    <row r="1382" ht="15.75" customHeight="1" spans="1:7">
      <c r="A1382" s="4" t="s">
        <v>3887</v>
      </c>
      <c r="B1382" s="5" t="s">
        <v>3888</v>
      </c>
      <c r="C1382" s="4" t="s">
        <v>9</v>
      </c>
      <c r="D1382" s="475">
        <v>1591.82</v>
      </c>
      <c r="E1382" s="476">
        <v>0.04367</v>
      </c>
      <c r="F1382" s="6">
        <v>4.2413</v>
      </c>
      <c r="G1382" s="6">
        <v>1.91538</v>
      </c>
    </row>
    <row r="1383" ht="15.75" customHeight="1" spans="1:7">
      <c r="A1383" s="4" t="s">
        <v>3889</v>
      </c>
      <c r="B1383" s="5" t="s">
        <v>3890</v>
      </c>
      <c r="C1383" s="4" t="s">
        <v>9</v>
      </c>
      <c r="D1383" s="475">
        <v>1607.79</v>
      </c>
      <c r="E1383" s="476">
        <v>0.04367</v>
      </c>
      <c r="F1383" s="6">
        <v>4.2413</v>
      </c>
      <c r="G1383" s="6">
        <v>1.91538</v>
      </c>
    </row>
    <row r="1384" ht="15.75" customHeight="1" spans="1:7">
      <c r="A1384" s="4" t="s">
        <v>3891</v>
      </c>
      <c r="B1384" s="5" t="s">
        <v>3892</v>
      </c>
      <c r="C1384" s="4" t="s">
        <v>9</v>
      </c>
      <c r="D1384" s="475">
        <v>1689.46</v>
      </c>
      <c r="E1384" s="476">
        <v>0.04367</v>
      </c>
      <c r="F1384" s="6">
        <v>4.2413</v>
      </c>
      <c r="G1384" s="6">
        <v>1.91538</v>
      </c>
    </row>
    <row r="1385" ht="15.75" customHeight="1" spans="1:7">
      <c r="A1385" s="4" t="s">
        <v>3893</v>
      </c>
      <c r="B1385" s="5" t="s">
        <v>3894</v>
      </c>
      <c r="C1385" s="4" t="s">
        <v>9</v>
      </c>
      <c r="D1385" s="475">
        <v>1928.02</v>
      </c>
      <c r="E1385" s="476">
        <v>0.04367</v>
      </c>
      <c r="F1385" s="6">
        <v>7.8301</v>
      </c>
      <c r="G1385" s="6">
        <v>1.0375</v>
      </c>
    </row>
    <row r="1386" ht="15.75" customHeight="1" spans="1:7">
      <c r="A1386" s="4" t="s">
        <v>3895</v>
      </c>
      <c r="B1386" s="5" t="s">
        <v>3896</v>
      </c>
      <c r="C1386" s="4" t="s">
        <v>9</v>
      </c>
      <c r="D1386" s="475">
        <v>2083.71</v>
      </c>
      <c r="E1386" s="476">
        <v>0.04367</v>
      </c>
      <c r="F1386" s="6">
        <v>7.8301</v>
      </c>
      <c r="G1386" s="6">
        <v>1.0375</v>
      </c>
    </row>
    <row r="1387" ht="15.75" customHeight="1" spans="1:7">
      <c r="A1387" s="4" t="s">
        <v>3897</v>
      </c>
      <c r="B1387" s="5" t="s">
        <v>3898</v>
      </c>
      <c r="C1387" s="4" t="s">
        <v>9</v>
      </c>
      <c r="D1387" s="475">
        <v>2076.99</v>
      </c>
      <c r="E1387" s="476">
        <v>0.04367</v>
      </c>
      <c r="F1387" s="6">
        <v>7.8301</v>
      </c>
      <c r="G1387" s="6">
        <v>1.0375</v>
      </c>
    </row>
    <row r="1388" ht="15.75" customHeight="1" spans="1:7">
      <c r="A1388" s="4" t="s">
        <v>3899</v>
      </c>
      <c r="B1388" s="5" t="s">
        <v>3900</v>
      </c>
      <c r="C1388" s="4" t="s">
        <v>9</v>
      </c>
      <c r="D1388" s="475">
        <v>2232.69</v>
      </c>
      <c r="E1388" s="476">
        <v>0.04367</v>
      </c>
      <c r="F1388" s="6">
        <v>7.8301</v>
      </c>
      <c r="G1388" s="6">
        <v>1.0375</v>
      </c>
    </row>
    <row r="1389" ht="15.75" customHeight="1" spans="1:7">
      <c r="A1389" s="4" t="s">
        <v>3901</v>
      </c>
      <c r="B1389" s="5" t="s">
        <v>3902</v>
      </c>
      <c r="C1389" s="4" t="s">
        <v>9</v>
      </c>
      <c r="D1389" s="475">
        <v>2238.31</v>
      </c>
      <c r="E1389" s="476">
        <v>0.04367</v>
      </c>
      <c r="F1389" s="6">
        <v>7.8301</v>
      </c>
      <c r="G1389" s="6">
        <v>1.0375</v>
      </c>
    </row>
    <row r="1390" ht="15.75" customHeight="1" spans="1:7">
      <c r="A1390" s="4" t="s">
        <v>3903</v>
      </c>
      <c r="B1390" s="5" t="s">
        <v>3904</v>
      </c>
      <c r="C1390" s="4" t="s">
        <v>9</v>
      </c>
      <c r="D1390" s="475">
        <v>2394</v>
      </c>
      <c r="E1390" s="476">
        <v>0.04367</v>
      </c>
      <c r="F1390" s="6">
        <v>7.8301</v>
      </c>
      <c r="G1390" s="6">
        <v>1.0375</v>
      </c>
    </row>
    <row r="1391" ht="15.75" customHeight="1" spans="1:7">
      <c r="A1391" s="4" t="s">
        <v>3905</v>
      </c>
      <c r="B1391" s="5" t="s">
        <v>3906</v>
      </c>
      <c r="C1391" s="4" t="s">
        <v>9</v>
      </c>
      <c r="D1391" s="475">
        <v>2317.52</v>
      </c>
      <c r="E1391" s="476">
        <v>0.04367</v>
      </c>
      <c r="F1391" s="6">
        <v>7.8301</v>
      </c>
      <c r="G1391" s="6">
        <v>1.0375</v>
      </c>
    </row>
    <row r="1392" ht="15.75" customHeight="1" spans="1:7">
      <c r="A1392" s="4" t="s">
        <v>3907</v>
      </c>
      <c r="B1392" s="5" t="s">
        <v>3908</v>
      </c>
      <c r="C1392" s="4" t="s">
        <v>9</v>
      </c>
      <c r="D1392" s="475">
        <v>2473.21</v>
      </c>
      <c r="E1392" s="476">
        <v>0.04367</v>
      </c>
      <c r="F1392" s="6">
        <v>7.8301</v>
      </c>
      <c r="G1392" s="6">
        <v>1.0375</v>
      </c>
    </row>
    <row r="1393" ht="15.75" customHeight="1" spans="1:7">
      <c r="A1393" s="4" t="s">
        <v>3909</v>
      </c>
      <c r="B1393" s="5" t="s">
        <v>3910</v>
      </c>
      <c r="C1393" s="4" t="s">
        <v>9</v>
      </c>
      <c r="D1393" s="475">
        <v>2593.77</v>
      </c>
      <c r="E1393" s="476">
        <v>0.04367</v>
      </c>
      <c r="F1393" s="6">
        <v>9.7877</v>
      </c>
      <c r="G1393" s="6">
        <v>0.83</v>
      </c>
    </row>
    <row r="1394" ht="15.75" customHeight="1" spans="1:7">
      <c r="A1394" s="4" t="s">
        <v>3911</v>
      </c>
      <c r="B1394" s="5" t="s">
        <v>3912</v>
      </c>
      <c r="C1394" s="4" t="s">
        <v>9</v>
      </c>
      <c r="D1394" s="475">
        <v>2793.35</v>
      </c>
      <c r="E1394" s="476">
        <v>0.04367</v>
      </c>
      <c r="F1394" s="6">
        <v>9.7877</v>
      </c>
      <c r="G1394" s="6">
        <v>0.83</v>
      </c>
    </row>
    <row r="1395" ht="15.75" customHeight="1" spans="1:7">
      <c r="A1395" s="4" t="s">
        <v>3913</v>
      </c>
      <c r="B1395" s="5" t="s">
        <v>3914</v>
      </c>
      <c r="C1395" s="4" t="s">
        <v>9</v>
      </c>
      <c r="D1395" s="475">
        <v>2717.25</v>
      </c>
      <c r="E1395" s="476">
        <v>0.04367</v>
      </c>
      <c r="F1395" s="6">
        <v>9.7877</v>
      </c>
      <c r="G1395" s="6">
        <v>0.83</v>
      </c>
    </row>
    <row r="1396" ht="15.75" customHeight="1" spans="1:7">
      <c r="A1396" s="4" t="s">
        <v>3915</v>
      </c>
      <c r="B1396" s="5" t="s">
        <v>3916</v>
      </c>
      <c r="C1396" s="4" t="s">
        <v>9</v>
      </c>
      <c r="D1396" s="475">
        <v>2916.83</v>
      </c>
      <c r="E1396" s="476">
        <v>0.04367</v>
      </c>
      <c r="F1396" s="6">
        <v>9.7877</v>
      </c>
      <c r="G1396" s="6">
        <v>0.83</v>
      </c>
    </row>
    <row r="1397" ht="15.75" customHeight="1" spans="1:7">
      <c r="A1397" s="4" t="s">
        <v>3917</v>
      </c>
      <c r="B1397" s="5" t="s">
        <v>3918</v>
      </c>
      <c r="C1397" s="4" t="s">
        <v>9</v>
      </c>
      <c r="D1397" s="475">
        <v>3107.14</v>
      </c>
      <c r="E1397" s="476">
        <v>0.04367</v>
      </c>
      <c r="F1397" s="6">
        <v>9.7877</v>
      </c>
      <c r="G1397" s="6">
        <v>0.83</v>
      </c>
    </row>
    <row r="1398" ht="15.75" customHeight="1" spans="1:7">
      <c r="A1398" s="4" t="s">
        <v>3919</v>
      </c>
      <c r="B1398" s="5" t="s">
        <v>3920</v>
      </c>
      <c r="C1398" s="4" t="s">
        <v>9</v>
      </c>
      <c r="D1398" s="475">
        <v>3306.73</v>
      </c>
      <c r="E1398" s="476">
        <v>0.04367</v>
      </c>
      <c r="F1398" s="6">
        <v>9.7877</v>
      </c>
      <c r="G1398" s="6">
        <v>0.83</v>
      </c>
    </row>
    <row r="1399" ht="15.75" customHeight="1" spans="1:7">
      <c r="A1399" s="4" t="s">
        <v>3921</v>
      </c>
      <c r="B1399" s="5" t="s">
        <v>3922</v>
      </c>
      <c r="C1399" s="4" t="s">
        <v>9</v>
      </c>
      <c r="D1399" s="475">
        <v>3495.59</v>
      </c>
      <c r="E1399" s="476">
        <v>0.04367</v>
      </c>
      <c r="F1399" s="6">
        <v>9.7877</v>
      </c>
      <c r="G1399" s="6">
        <v>0.83</v>
      </c>
    </row>
    <row r="1400" ht="15.75" customHeight="1" spans="1:7">
      <c r="A1400" s="4" t="s">
        <v>3923</v>
      </c>
      <c r="B1400" s="5" t="s">
        <v>3924</v>
      </c>
      <c r="C1400" s="4" t="s">
        <v>9</v>
      </c>
      <c r="D1400" s="475">
        <v>3695.17</v>
      </c>
      <c r="E1400" s="476">
        <v>0.04367</v>
      </c>
      <c r="F1400" s="6">
        <v>9.7877</v>
      </c>
      <c r="G1400" s="6">
        <v>0.83</v>
      </c>
    </row>
    <row r="1401" ht="15.75" customHeight="1" spans="1:7">
      <c r="A1401" s="4" t="s">
        <v>3925</v>
      </c>
      <c r="B1401" s="5" t="s">
        <v>3926</v>
      </c>
      <c r="C1401" s="4" t="s">
        <v>9</v>
      </c>
      <c r="D1401" s="475">
        <v>4132.28</v>
      </c>
      <c r="E1401" s="476">
        <v>0.04367</v>
      </c>
      <c r="F1401" s="6">
        <v>12.724</v>
      </c>
      <c r="G1401" s="6">
        <v>0.63846</v>
      </c>
    </row>
    <row r="1402" ht="15.75" customHeight="1" spans="1:7">
      <c r="A1402" s="4" t="s">
        <v>3927</v>
      </c>
      <c r="B1402" s="5" t="s">
        <v>3928</v>
      </c>
      <c r="C1402" s="4" t="s">
        <v>9</v>
      </c>
      <c r="D1402" s="475">
        <v>4389.69</v>
      </c>
      <c r="E1402" s="476">
        <v>0.04367</v>
      </c>
      <c r="F1402" s="6">
        <v>12.724</v>
      </c>
      <c r="G1402" s="6">
        <v>0.63846</v>
      </c>
    </row>
    <row r="1403" ht="15.75" customHeight="1" spans="1:7">
      <c r="A1403" s="4" t="s">
        <v>3929</v>
      </c>
      <c r="B1403" s="5" t="s">
        <v>3930</v>
      </c>
      <c r="C1403" s="4" t="s">
        <v>9</v>
      </c>
      <c r="D1403" s="475">
        <v>4196.8</v>
      </c>
      <c r="E1403" s="476">
        <v>0.04367</v>
      </c>
      <c r="F1403" s="6">
        <v>12.724</v>
      </c>
      <c r="G1403" s="6">
        <v>0.63846</v>
      </c>
    </row>
    <row r="1404" ht="15.75" customHeight="1" spans="1:7">
      <c r="A1404" s="4" t="s">
        <v>3931</v>
      </c>
      <c r="B1404" s="5" t="s">
        <v>3932</v>
      </c>
      <c r="C1404" s="4" t="s">
        <v>9</v>
      </c>
      <c r="D1404" s="475">
        <v>4454.2</v>
      </c>
      <c r="E1404" s="476">
        <v>0.04367</v>
      </c>
      <c r="F1404" s="6">
        <v>12.724</v>
      </c>
      <c r="G1404" s="6">
        <v>0.63846</v>
      </c>
    </row>
    <row r="1405" ht="15.75" customHeight="1" spans="1:7">
      <c r="A1405" s="4" t="s">
        <v>3933</v>
      </c>
      <c r="B1405" s="5" t="s">
        <v>3934</v>
      </c>
      <c r="C1405" s="4" t="s">
        <v>9</v>
      </c>
      <c r="D1405" s="475">
        <v>4409.4</v>
      </c>
      <c r="E1405" s="476">
        <v>0.04367</v>
      </c>
      <c r="F1405" s="6">
        <v>12.724</v>
      </c>
      <c r="G1405" s="6">
        <v>0.63846</v>
      </c>
    </row>
    <row r="1406" ht="15.75" customHeight="1" spans="1:7">
      <c r="A1406" s="4" t="s">
        <v>3935</v>
      </c>
      <c r="B1406" s="5" t="s">
        <v>3936</v>
      </c>
      <c r="C1406" s="4" t="s">
        <v>9</v>
      </c>
      <c r="D1406" s="475">
        <v>4666.81</v>
      </c>
      <c r="E1406" s="476">
        <v>0.04367</v>
      </c>
      <c r="F1406" s="6">
        <v>12.724</v>
      </c>
      <c r="G1406" s="6">
        <v>0.63846</v>
      </c>
    </row>
    <row r="1407" ht="15.75" customHeight="1" spans="1:7">
      <c r="A1407" s="4" t="s">
        <v>3937</v>
      </c>
      <c r="B1407" s="5" t="s">
        <v>3938</v>
      </c>
      <c r="C1407" s="4" t="s">
        <v>9</v>
      </c>
      <c r="D1407" s="475">
        <v>4702.32</v>
      </c>
      <c r="E1407" s="476">
        <v>0.04367</v>
      </c>
      <c r="F1407" s="6">
        <v>12.724</v>
      </c>
      <c r="G1407" s="6">
        <v>0.63846</v>
      </c>
    </row>
    <row r="1408" ht="15.75" customHeight="1" spans="1:7">
      <c r="A1408" s="4" t="s">
        <v>3939</v>
      </c>
      <c r="B1408" s="5" t="s">
        <v>3940</v>
      </c>
      <c r="C1408" s="4" t="s">
        <v>9</v>
      </c>
      <c r="D1408" s="475">
        <v>4959.72</v>
      </c>
      <c r="E1408" s="476">
        <v>0.04367</v>
      </c>
      <c r="F1408" s="6">
        <v>12.724</v>
      </c>
      <c r="G1408" s="6">
        <v>0.63846</v>
      </c>
    </row>
    <row r="1409" ht="15.75" customHeight="1" spans="1:7">
      <c r="A1409" s="4" t="s">
        <v>3941</v>
      </c>
      <c r="B1409" s="5" t="s">
        <v>3942</v>
      </c>
      <c r="C1409" s="4" t="s">
        <v>82</v>
      </c>
      <c r="D1409" s="475">
        <v>44.58</v>
      </c>
      <c r="E1409" s="476">
        <v>0</v>
      </c>
      <c r="F1409" s="6">
        <v>0</v>
      </c>
      <c r="G1409" s="6">
        <v>1</v>
      </c>
    </row>
    <row r="1410" ht="15.75" customHeight="1" spans="1:7">
      <c r="A1410" s="4" t="s">
        <v>3943</v>
      </c>
      <c r="B1410" s="5" t="s">
        <v>3944</v>
      </c>
      <c r="C1410" s="4" t="s">
        <v>82</v>
      </c>
      <c r="D1410" s="475">
        <v>56.36</v>
      </c>
      <c r="E1410" s="476">
        <v>0</v>
      </c>
      <c r="F1410" s="6">
        <v>0</v>
      </c>
      <c r="G1410" s="6">
        <v>1</v>
      </c>
    </row>
    <row r="1411" ht="15.75" customHeight="1" spans="1:7">
      <c r="A1411" s="4" t="s">
        <v>3945</v>
      </c>
      <c r="B1411" s="5" t="s">
        <v>3946</v>
      </c>
      <c r="C1411" s="4" t="s">
        <v>82</v>
      </c>
      <c r="D1411" s="475">
        <v>53.43</v>
      </c>
      <c r="E1411" s="476">
        <v>0</v>
      </c>
      <c r="F1411" s="6">
        <v>0</v>
      </c>
      <c r="G1411" s="6">
        <v>1</v>
      </c>
    </row>
    <row r="1412" ht="15.75" customHeight="1" spans="1:7">
      <c r="A1412" s="4" t="s">
        <v>3947</v>
      </c>
      <c r="B1412" s="5" t="s">
        <v>3948</v>
      </c>
      <c r="C1412" s="4" t="s">
        <v>82</v>
      </c>
      <c r="D1412" s="475">
        <v>67.56</v>
      </c>
      <c r="E1412" s="476">
        <v>0</v>
      </c>
      <c r="F1412" s="6">
        <v>0</v>
      </c>
      <c r="G1412" s="6">
        <v>1</v>
      </c>
    </row>
    <row r="1413" ht="15.75" customHeight="1" spans="1:7">
      <c r="A1413" s="4" t="s">
        <v>3949</v>
      </c>
      <c r="B1413" s="5" t="s">
        <v>3950</v>
      </c>
      <c r="C1413" s="4" t="s">
        <v>82</v>
      </c>
      <c r="D1413" s="475">
        <v>62.01</v>
      </c>
      <c r="E1413" s="476">
        <v>0</v>
      </c>
      <c r="F1413" s="6">
        <v>0</v>
      </c>
      <c r="G1413" s="6">
        <v>1</v>
      </c>
    </row>
    <row r="1414" ht="15.75" customHeight="1" spans="1:7">
      <c r="A1414" s="4" t="s">
        <v>3951</v>
      </c>
      <c r="B1414" s="5" t="s">
        <v>3952</v>
      </c>
      <c r="C1414" s="4" t="s">
        <v>82</v>
      </c>
      <c r="D1414" s="475">
        <v>78.34</v>
      </c>
      <c r="E1414" s="476">
        <v>0</v>
      </c>
      <c r="F1414" s="6">
        <v>0</v>
      </c>
      <c r="G1414" s="6">
        <v>1</v>
      </c>
    </row>
    <row r="1415" ht="15.75" customHeight="1" spans="1:7">
      <c r="A1415" s="4" t="s">
        <v>3953</v>
      </c>
      <c r="B1415" s="5" t="s">
        <v>3954</v>
      </c>
      <c r="C1415" s="4" t="s">
        <v>82</v>
      </c>
      <c r="D1415" s="475">
        <v>72.58</v>
      </c>
      <c r="E1415" s="476">
        <v>0</v>
      </c>
      <c r="F1415" s="6">
        <v>0</v>
      </c>
      <c r="G1415" s="6">
        <v>1</v>
      </c>
    </row>
    <row r="1416" ht="15.75" customHeight="1" spans="1:7">
      <c r="A1416" s="4" t="s">
        <v>3955</v>
      </c>
      <c r="B1416" s="5" t="s">
        <v>3956</v>
      </c>
      <c r="C1416" s="4" t="s">
        <v>82</v>
      </c>
      <c r="D1416" s="475">
        <v>91.98</v>
      </c>
      <c r="E1416" s="476">
        <v>0</v>
      </c>
      <c r="F1416" s="6">
        <v>0</v>
      </c>
      <c r="G1416" s="6">
        <v>1</v>
      </c>
    </row>
    <row r="1417" ht="15.75" customHeight="1" spans="1:7">
      <c r="A1417" s="4" t="s">
        <v>3957</v>
      </c>
      <c r="B1417" s="5" t="s">
        <v>3958</v>
      </c>
      <c r="C1417" s="4" t="s">
        <v>82</v>
      </c>
      <c r="D1417" s="475">
        <v>15.15</v>
      </c>
      <c r="E1417" s="476">
        <v>0</v>
      </c>
      <c r="F1417" s="6">
        <v>0</v>
      </c>
      <c r="G1417" s="6">
        <v>1</v>
      </c>
    </row>
    <row r="1418" ht="15.75" customHeight="1" spans="1:7">
      <c r="A1418" s="4" t="s">
        <v>3959</v>
      </c>
      <c r="B1418" s="5" t="s">
        <v>3960</v>
      </c>
      <c r="C1418" s="4" t="s">
        <v>82</v>
      </c>
      <c r="D1418" s="475">
        <v>18.71</v>
      </c>
      <c r="E1418" s="476">
        <v>0</v>
      </c>
      <c r="F1418" s="6">
        <v>0</v>
      </c>
      <c r="G1418" s="6">
        <v>1</v>
      </c>
    </row>
    <row r="1419" ht="15.75" customHeight="1" spans="1:7">
      <c r="A1419" s="4" t="s">
        <v>3961</v>
      </c>
      <c r="B1419" s="5" t="s">
        <v>3962</v>
      </c>
      <c r="C1419" s="4" t="s">
        <v>82</v>
      </c>
      <c r="D1419" s="475">
        <v>17.72</v>
      </c>
      <c r="E1419" s="476">
        <v>0</v>
      </c>
      <c r="F1419" s="6">
        <v>0</v>
      </c>
      <c r="G1419" s="6">
        <v>1</v>
      </c>
    </row>
    <row r="1420" ht="15.75" customHeight="1" spans="1:7">
      <c r="A1420" s="4" t="s">
        <v>3963</v>
      </c>
      <c r="B1420" s="5" t="s">
        <v>3964</v>
      </c>
      <c r="C1420" s="4" t="s">
        <v>82</v>
      </c>
      <c r="D1420" s="475">
        <v>22.38</v>
      </c>
      <c r="E1420" s="476">
        <v>0</v>
      </c>
      <c r="F1420" s="6">
        <v>0</v>
      </c>
      <c r="G1420" s="6">
        <v>1</v>
      </c>
    </row>
    <row r="1421" ht="15.75" customHeight="1" spans="1:7">
      <c r="A1421" s="4" t="s">
        <v>3965</v>
      </c>
      <c r="B1421" s="5" t="s">
        <v>3966</v>
      </c>
      <c r="C1421" s="4" t="s">
        <v>82</v>
      </c>
      <c r="D1421" s="475">
        <v>24.01</v>
      </c>
      <c r="E1421" s="476">
        <v>0</v>
      </c>
      <c r="F1421" s="6">
        <v>0</v>
      </c>
      <c r="G1421" s="6">
        <v>1</v>
      </c>
    </row>
    <row r="1422" ht="15.75" customHeight="1" spans="1:7">
      <c r="A1422" s="4" t="s">
        <v>3967</v>
      </c>
      <c r="B1422" s="5" t="s">
        <v>3968</v>
      </c>
      <c r="C1422" s="4" t="s">
        <v>82</v>
      </c>
      <c r="D1422" s="475">
        <v>29.9</v>
      </c>
      <c r="E1422" s="476">
        <v>0</v>
      </c>
      <c r="F1422" s="6">
        <v>0</v>
      </c>
      <c r="G1422" s="6">
        <v>1</v>
      </c>
    </row>
    <row r="1423" ht="15.75" customHeight="1" spans="1:7">
      <c r="A1423" s="4" t="s">
        <v>3969</v>
      </c>
      <c r="B1423" s="5" t="s">
        <v>3970</v>
      </c>
      <c r="C1423" s="4" t="s">
        <v>82</v>
      </c>
      <c r="D1423" s="475">
        <v>26.86</v>
      </c>
      <c r="E1423" s="476">
        <v>0</v>
      </c>
      <c r="F1423" s="6">
        <v>0</v>
      </c>
      <c r="G1423" s="6">
        <v>1</v>
      </c>
    </row>
    <row r="1424" ht="15.75" customHeight="1" spans="1:7">
      <c r="A1424" s="4" t="s">
        <v>3971</v>
      </c>
      <c r="B1424" s="5" t="s">
        <v>3972</v>
      </c>
      <c r="C1424" s="4" t="s">
        <v>82</v>
      </c>
      <c r="D1424" s="475">
        <v>33.98</v>
      </c>
      <c r="E1424" s="476">
        <v>0</v>
      </c>
      <c r="F1424" s="6">
        <v>0</v>
      </c>
      <c r="G1424" s="6">
        <v>1</v>
      </c>
    </row>
    <row r="1425" ht="15.75" customHeight="1" spans="1:7">
      <c r="A1425" s="4" t="s">
        <v>3973</v>
      </c>
      <c r="B1425" s="5" t="s">
        <v>3974</v>
      </c>
      <c r="C1425" s="4" t="s">
        <v>82</v>
      </c>
      <c r="D1425" s="475">
        <v>32.58</v>
      </c>
      <c r="E1425" s="476">
        <v>0</v>
      </c>
      <c r="F1425" s="6">
        <v>0</v>
      </c>
      <c r="G1425" s="6">
        <v>1</v>
      </c>
    </row>
    <row r="1426" ht="15.75" customHeight="1" spans="1:7">
      <c r="A1426" s="4" t="s">
        <v>3975</v>
      </c>
      <c r="B1426" s="5" t="s">
        <v>3976</v>
      </c>
      <c r="C1426" s="4" t="s">
        <v>82</v>
      </c>
      <c r="D1426" s="475">
        <v>40.68</v>
      </c>
      <c r="E1426" s="476">
        <v>0</v>
      </c>
      <c r="F1426" s="6">
        <v>0</v>
      </c>
      <c r="G1426" s="6">
        <v>1</v>
      </c>
    </row>
    <row r="1427" ht="15.75" customHeight="1" spans="1:7">
      <c r="A1427" s="4" t="s">
        <v>3977</v>
      </c>
      <c r="B1427" s="5" t="s">
        <v>3978</v>
      </c>
      <c r="C1427" s="4" t="s">
        <v>82</v>
      </c>
      <c r="D1427" s="475">
        <v>36.29</v>
      </c>
      <c r="E1427" s="476">
        <v>0</v>
      </c>
      <c r="F1427" s="6">
        <v>0</v>
      </c>
      <c r="G1427" s="6">
        <v>1</v>
      </c>
    </row>
    <row r="1428" ht="15.75" customHeight="1" spans="1:7">
      <c r="A1428" s="4" t="s">
        <v>3979</v>
      </c>
      <c r="B1428" s="5" t="s">
        <v>3980</v>
      </c>
      <c r="C1428" s="4" t="s">
        <v>82</v>
      </c>
      <c r="D1428" s="475">
        <v>45.99</v>
      </c>
      <c r="E1428" s="476">
        <v>0</v>
      </c>
      <c r="F1428" s="6">
        <v>0</v>
      </c>
      <c r="G1428" s="6">
        <v>1</v>
      </c>
    </row>
    <row r="1429" ht="15.75" customHeight="1" spans="1:7">
      <c r="A1429" s="4" t="s">
        <v>3981</v>
      </c>
      <c r="B1429" s="5" t="s">
        <v>3982</v>
      </c>
      <c r="C1429" s="4" t="s">
        <v>82</v>
      </c>
      <c r="D1429" s="475">
        <v>80.29</v>
      </c>
      <c r="E1429" s="476">
        <v>0</v>
      </c>
      <c r="F1429" s="6">
        <v>0</v>
      </c>
      <c r="G1429" s="6">
        <v>1</v>
      </c>
    </row>
    <row r="1430" ht="15.75" customHeight="1" spans="1:7">
      <c r="A1430" s="4" t="s">
        <v>3983</v>
      </c>
      <c r="B1430" s="5" t="s">
        <v>3984</v>
      </c>
      <c r="C1430" s="4" t="s">
        <v>82</v>
      </c>
      <c r="D1430" s="475">
        <v>101.54</v>
      </c>
      <c r="E1430" s="476">
        <v>0</v>
      </c>
      <c r="F1430" s="6">
        <v>0</v>
      </c>
      <c r="G1430" s="6">
        <v>1</v>
      </c>
    </row>
    <row r="1431" ht="15.75" customHeight="1" spans="1:7">
      <c r="A1431" s="4" t="s">
        <v>3985</v>
      </c>
      <c r="B1431" s="5" t="s">
        <v>3986</v>
      </c>
      <c r="C1431" s="4" t="s">
        <v>82</v>
      </c>
      <c r="D1431" s="475">
        <v>91.15</v>
      </c>
      <c r="E1431" s="476">
        <v>0</v>
      </c>
      <c r="F1431" s="6">
        <v>0</v>
      </c>
      <c r="G1431" s="6">
        <v>1</v>
      </c>
    </row>
    <row r="1432" ht="15.75" customHeight="1" spans="1:7">
      <c r="A1432" s="4" t="s">
        <v>3987</v>
      </c>
      <c r="B1432" s="5" t="s">
        <v>3988</v>
      </c>
      <c r="C1432" s="4" t="s">
        <v>82</v>
      </c>
      <c r="D1432" s="475">
        <v>115.59</v>
      </c>
      <c r="E1432" s="476">
        <v>0</v>
      </c>
      <c r="F1432" s="6">
        <v>0</v>
      </c>
      <c r="G1432" s="6">
        <v>1</v>
      </c>
    </row>
    <row r="1433" ht="15.75" customHeight="1" spans="1:7">
      <c r="A1433" s="4" t="s">
        <v>3989</v>
      </c>
      <c r="B1433" s="5" t="s">
        <v>3990</v>
      </c>
      <c r="C1433" s="4" t="s">
        <v>82</v>
      </c>
      <c r="D1433" s="475">
        <v>109.15</v>
      </c>
      <c r="E1433" s="476">
        <v>0</v>
      </c>
      <c r="F1433" s="6">
        <v>0</v>
      </c>
      <c r="G1433" s="6">
        <v>1</v>
      </c>
    </row>
    <row r="1434" ht="15.75" customHeight="1" spans="1:7">
      <c r="A1434" s="4" t="s">
        <v>3991</v>
      </c>
      <c r="B1434" s="5" t="s">
        <v>3992</v>
      </c>
      <c r="C1434" s="4" t="s">
        <v>82</v>
      </c>
      <c r="D1434" s="475">
        <v>138.38</v>
      </c>
      <c r="E1434" s="476">
        <v>0</v>
      </c>
      <c r="F1434" s="6">
        <v>0</v>
      </c>
      <c r="G1434" s="6">
        <v>1</v>
      </c>
    </row>
    <row r="1435" ht="15.75" customHeight="1" spans="1:7">
      <c r="A1435" s="4" t="s">
        <v>3993</v>
      </c>
      <c r="B1435" s="5" t="s">
        <v>3994</v>
      </c>
      <c r="C1435" s="4" t="s">
        <v>7</v>
      </c>
      <c r="D1435" s="475">
        <v>151.92</v>
      </c>
      <c r="E1435" s="476">
        <v>0.03632</v>
      </c>
      <c r="F1435" s="6">
        <v>1.9329</v>
      </c>
      <c r="G1435" s="6">
        <v>1</v>
      </c>
    </row>
    <row r="1436" ht="15.75" customHeight="1" spans="1:7">
      <c r="A1436" s="4" t="s">
        <v>3995</v>
      </c>
      <c r="B1436" s="5" t="s">
        <v>3996</v>
      </c>
      <c r="C1436" s="4" t="s">
        <v>7</v>
      </c>
      <c r="D1436" s="475">
        <v>150.55</v>
      </c>
      <c r="E1436" s="476">
        <v>0.03632</v>
      </c>
      <c r="F1436" s="6">
        <v>1.9329</v>
      </c>
      <c r="G1436" s="6">
        <v>1</v>
      </c>
    </row>
    <row r="1437" ht="15.75" customHeight="1" spans="1:7">
      <c r="A1437" s="4" t="s">
        <v>3997</v>
      </c>
      <c r="B1437" s="5" t="s">
        <v>3998</v>
      </c>
      <c r="C1437" s="4" t="s">
        <v>82</v>
      </c>
      <c r="D1437" s="475">
        <v>15805</v>
      </c>
      <c r="E1437" s="476">
        <v>0</v>
      </c>
      <c r="F1437" s="6">
        <v>0</v>
      </c>
      <c r="G1437" s="6">
        <v>1</v>
      </c>
    </row>
    <row r="1438" ht="15.75" customHeight="1" spans="1:7">
      <c r="A1438" s="4" t="s">
        <v>3999</v>
      </c>
      <c r="B1438" s="5" t="s">
        <v>4000</v>
      </c>
      <c r="C1438" s="4" t="s">
        <v>9</v>
      </c>
      <c r="D1438" s="475">
        <v>141.02</v>
      </c>
      <c r="E1438" s="476">
        <v>0.03632</v>
      </c>
      <c r="F1438" s="6">
        <v>0.5799</v>
      </c>
      <c r="G1438" s="6">
        <v>1</v>
      </c>
    </row>
    <row r="1439" ht="15.75" customHeight="1" spans="1:7">
      <c r="A1439" s="4" t="s">
        <v>4001</v>
      </c>
      <c r="B1439" s="5" t="s">
        <v>4002</v>
      </c>
      <c r="C1439" s="4" t="s">
        <v>7</v>
      </c>
      <c r="D1439" s="475">
        <v>145.41</v>
      </c>
      <c r="E1439" s="476">
        <v>0.03632</v>
      </c>
      <c r="F1439" s="6">
        <v>0.4412</v>
      </c>
      <c r="G1439" s="6">
        <v>5</v>
      </c>
    </row>
    <row r="1440" ht="15.75" customHeight="1" spans="1:7">
      <c r="A1440" s="4" t="s">
        <v>4003</v>
      </c>
      <c r="B1440" s="5" t="s">
        <v>4004</v>
      </c>
      <c r="C1440" s="4" t="s">
        <v>7</v>
      </c>
      <c r="D1440" s="475">
        <v>42.31</v>
      </c>
      <c r="E1440" s="476">
        <v>0.03632</v>
      </c>
      <c r="F1440" s="6">
        <v>0.4412</v>
      </c>
      <c r="G1440" s="6">
        <v>5</v>
      </c>
    </row>
    <row r="1441" ht="15.75" customHeight="1" spans="1:7">
      <c r="A1441" s="4" t="s">
        <v>4005</v>
      </c>
      <c r="B1441" s="5" t="s">
        <v>4006</v>
      </c>
      <c r="C1441" s="4" t="s">
        <v>7</v>
      </c>
      <c r="D1441" s="475">
        <v>4.72</v>
      </c>
      <c r="E1441" s="476">
        <v>0.03632</v>
      </c>
      <c r="F1441" s="6">
        <v>0.0951</v>
      </c>
      <c r="G1441" s="6">
        <v>1</v>
      </c>
    </row>
    <row r="1442" ht="15.75" customHeight="1" spans="1:7">
      <c r="A1442" s="4" t="s">
        <v>4007</v>
      </c>
      <c r="B1442" s="5" t="s">
        <v>4008</v>
      </c>
      <c r="C1442" s="4" t="s">
        <v>82</v>
      </c>
      <c r="D1442" s="475">
        <v>8106.88</v>
      </c>
      <c r="E1442" s="476">
        <v>0</v>
      </c>
      <c r="F1442" s="6">
        <v>0</v>
      </c>
      <c r="G1442" s="6">
        <v>1</v>
      </c>
    </row>
    <row r="1443" ht="15.75" customHeight="1" spans="1:7">
      <c r="A1443" s="4" t="s">
        <v>4009</v>
      </c>
      <c r="B1443" s="5" t="s">
        <v>4010</v>
      </c>
      <c r="C1443" s="4" t="s">
        <v>82</v>
      </c>
      <c r="D1443" s="475">
        <v>37637.99</v>
      </c>
      <c r="E1443" s="476">
        <v>0</v>
      </c>
      <c r="F1443" s="6">
        <v>0</v>
      </c>
      <c r="G1443" s="6">
        <v>1</v>
      </c>
    </row>
    <row r="1444" ht="15.75" customHeight="1" spans="1:7">
      <c r="A1444" s="4" t="s">
        <v>4011</v>
      </c>
      <c r="B1444" s="5" t="s">
        <v>4012</v>
      </c>
      <c r="C1444" s="4" t="s">
        <v>7</v>
      </c>
      <c r="D1444" s="475">
        <v>33.67</v>
      </c>
      <c r="E1444" s="476">
        <v>0.03632</v>
      </c>
      <c r="F1444" s="6">
        <v>0.6522</v>
      </c>
      <c r="G1444" s="6">
        <v>1</v>
      </c>
    </row>
    <row r="1445" ht="15.75" customHeight="1" spans="1:7">
      <c r="A1445" s="4" t="s">
        <v>4013</v>
      </c>
      <c r="B1445" s="5" t="s">
        <v>4014</v>
      </c>
      <c r="C1445" s="4" t="s">
        <v>82</v>
      </c>
      <c r="D1445" s="475">
        <v>655.76</v>
      </c>
      <c r="E1445" s="476">
        <v>0</v>
      </c>
      <c r="F1445" s="6">
        <v>0</v>
      </c>
      <c r="G1445" s="6">
        <v>1</v>
      </c>
    </row>
    <row r="1446" ht="15.75" customHeight="1" spans="1:7">
      <c r="A1446" s="4" t="s">
        <v>4015</v>
      </c>
      <c r="B1446" s="5" t="s">
        <v>4016</v>
      </c>
      <c r="C1446" s="4" t="s">
        <v>82</v>
      </c>
      <c r="D1446" s="475">
        <v>1253336.37</v>
      </c>
      <c r="E1446" s="476">
        <v>0</v>
      </c>
      <c r="F1446" s="6">
        <v>0</v>
      </c>
      <c r="G1446" s="6">
        <v>1</v>
      </c>
    </row>
    <row r="1447" ht="15.75" customHeight="1" spans="1:7">
      <c r="A1447" s="4" t="s">
        <v>4017</v>
      </c>
      <c r="B1447" s="5" t="s">
        <v>4018</v>
      </c>
      <c r="C1447" s="4" t="s">
        <v>82</v>
      </c>
      <c r="D1447" s="475">
        <v>626757.37</v>
      </c>
      <c r="E1447" s="476">
        <v>0</v>
      </c>
      <c r="F1447" s="6">
        <v>0</v>
      </c>
      <c r="G1447" s="6">
        <v>1</v>
      </c>
    </row>
    <row r="1448" ht="15.75" customHeight="1" spans="1:7">
      <c r="A1448" s="4" t="s">
        <v>4019</v>
      </c>
      <c r="B1448" s="5" t="s">
        <v>4020</v>
      </c>
      <c r="C1448" s="4" t="s">
        <v>7</v>
      </c>
      <c r="D1448" s="475">
        <v>29.17</v>
      </c>
      <c r="E1448" s="476">
        <v>0.03814</v>
      </c>
      <c r="F1448" s="6">
        <v>0.7358</v>
      </c>
      <c r="G1448" s="6">
        <v>9.25926</v>
      </c>
    </row>
    <row r="1449" ht="15.75" customHeight="1" spans="1:7">
      <c r="A1449" s="4" t="s">
        <v>4021</v>
      </c>
      <c r="B1449" s="5" t="s">
        <v>4022</v>
      </c>
      <c r="C1449" s="4" t="s">
        <v>82</v>
      </c>
      <c r="D1449" s="475">
        <v>122199.43</v>
      </c>
      <c r="E1449" s="476">
        <v>0</v>
      </c>
      <c r="F1449" s="6">
        <v>0</v>
      </c>
      <c r="G1449" s="6">
        <v>1</v>
      </c>
    </row>
    <row r="1450" ht="15.75" customHeight="1" spans="1:7">
      <c r="A1450" s="4" t="s">
        <v>4023</v>
      </c>
      <c r="B1450" s="5" t="s">
        <v>4024</v>
      </c>
      <c r="C1450" s="4" t="s">
        <v>82</v>
      </c>
      <c r="D1450" s="475">
        <v>206125.79</v>
      </c>
      <c r="E1450" s="476">
        <v>0</v>
      </c>
      <c r="F1450" s="6">
        <v>0</v>
      </c>
      <c r="G1450" s="6">
        <v>1</v>
      </c>
    </row>
    <row r="1451" ht="15.75" customHeight="1" spans="1:7">
      <c r="A1451" s="4" t="s">
        <v>4025</v>
      </c>
      <c r="B1451" s="5" t="s">
        <v>4026</v>
      </c>
      <c r="C1451" s="4" t="s">
        <v>82</v>
      </c>
      <c r="D1451" s="475">
        <v>76469.62</v>
      </c>
      <c r="E1451" s="476">
        <v>0</v>
      </c>
      <c r="F1451" s="6">
        <v>0</v>
      </c>
      <c r="G1451" s="6">
        <v>1</v>
      </c>
    </row>
    <row r="1452" ht="15.75" customHeight="1" spans="1:7">
      <c r="A1452" s="4" t="s">
        <v>4027</v>
      </c>
      <c r="B1452" s="5" t="s">
        <v>4028</v>
      </c>
      <c r="C1452" s="4" t="s">
        <v>82</v>
      </c>
      <c r="D1452" s="475">
        <v>88511.75</v>
      </c>
      <c r="E1452" s="476">
        <v>0</v>
      </c>
      <c r="F1452" s="6">
        <v>0</v>
      </c>
      <c r="G1452" s="6">
        <v>1</v>
      </c>
    </row>
    <row r="1453" ht="15.75" customHeight="1" spans="1:7">
      <c r="A1453" s="4" t="s">
        <v>4029</v>
      </c>
      <c r="B1453" s="5" t="s">
        <v>4030</v>
      </c>
      <c r="C1453" s="4" t="s">
        <v>82</v>
      </c>
      <c r="D1453" s="475">
        <v>3623953.49</v>
      </c>
      <c r="E1453" s="476">
        <v>0</v>
      </c>
      <c r="F1453" s="6">
        <v>0</v>
      </c>
      <c r="G1453" s="6">
        <v>1</v>
      </c>
    </row>
    <row r="1454" ht="15.75" customHeight="1" spans="1:7">
      <c r="A1454" s="4" t="s">
        <v>4031</v>
      </c>
      <c r="B1454" s="5" t="s">
        <v>4032</v>
      </c>
      <c r="C1454" s="4" t="s">
        <v>82</v>
      </c>
      <c r="D1454" s="475">
        <v>215412.25</v>
      </c>
      <c r="E1454" s="476">
        <v>0</v>
      </c>
      <c r="F1454" s="6">
        <v>0</v>
      </c>
      <c r="G1454" s="6">
        <v>1</v>
      </c>
    </row>
    <row r="1455" ht="15.75" customHeight="1" spans="1:7">
      <c r="A1455" s="4" t="s">
        <v>4033</v>
      </c>
      <c r="B1455" s="5" t="s">
        <v>4034</v>
      </c>
      <c r="C1455" s="4" t="s">
        <v>82</v>
      </c>
      <c r="D1455" s="475">
        <v>136553.47</v>
      </c>
      <c r="E1455" s="476">
        <v>0</v>
      </c>
      <c r="F1455" s="6">
        <v>0</v>
      </c>
      <c r="G1455" s="6">
        <v>1</v>
      </c>
    </row>
    <row r="1456" ht="15.75" customHeight="1" spans="1:7">
      <c r="A1456" s="4" t="s">
        <v>4035</v>
      </c>
      <c r="B1456" s="5" t="s">
        <v>4036</v>
      </c>
      <c r="C1456" s="4" t="s">
        <v>82</v>
      </c>
      <c r="D1456" s="475">
        <v>130345</v>
      </c>
      <c r="E1456" s="476">
        <v>0</v>
      </c>
      <c r="F1456" s="6">
        <v>0</v>
      </c>
      <c r="G1456" s="6">
        <v>1</v>
      </c>
    </row>
    <row r="1457" ht="15.75" customHeight="1" spans="1:7">
      <c r="A1457" s="4" t="s">
        <v>4037</v>
      </c>
      <c r="B1457" s="5" t="s">
        <v>4038</v>
      </c>
      <c r="C1457" s="4" t="s">
        <v>82</v>
      </c>
      <c r="D1457" s="475">
        <v>7839650.33</v>
      </c>
      <c r="E1457" s="476">
        <v>0</v>
      </c>
      <c r="F1457" s="6">
        <v>0</v>
      </c>
      <c r="G1457" s="6">
        <v>1</v>
      </c>
    </row>
    <row r="1458" ht="30" customHeight="1" spans="1:7">
      <c r="A1458" s="4" t="s">
        <v>4039</v>
      </c>
      <c r="B1458" s="5" t="s">
        <v>4040</v>
      </c>
      <c r="C1458" s="4" t="s">
        <v>9</v>
      </c>
      <c r="D1458" s="475">
        <v>219.12</v>
      </c>
      <c r="E1458" s="476">
        <v>0.04722</v>
      </c>
      <c r="F1458" s="6">
        <v>3.0321</v>
      </c>
      <c r="G1458" s="6">
        <v>2.6738</v>
      </c>
    </row>
    <row r="1459" ht="15.75" customHeight="1" spans="1:7">
      <c r="A1459" s="4" t="s">
        <v>4041</v>
      </c>
      <c r="B1459" s="5" t="s">
        <v>4042</v>
      </c>
      <c r="C1459" s="4" t="s">
        <v>99</v>
      </c>
      <c r="D1459" s="475">
        <v>129.64</v>
      </c>
      <c r="E1459" s="476">
        <v>0.04722</v>
      </c>
      <c r="F1459" s="6">
        <v>0.0361</v>
      </c>
      <c r="G1459" s="6">
        <v>223.63</v>
      </c>
    </row>
    <row r="1460" ht="30" customHeight="1" spans="1:7">
      <c r="A1460" s="4" t="s">
        <v>4043</v>
      </c>
      <c r="B1460" s="5" t="s">
        <v>4044</v>
      </c>
      <c r="C1460" s="4" t="s">
        <v>82</v>
      </c>
      <c r="D1460" s="475">
        <v>6028189.35</v>
      </c>
      <c r="E1460" s="476">
        <v>0.04722</v>
      </c>
      <c r="F1460" s="6">
        <v>4759.2927</v>
      </c>
      <c r="G1460" s="6">
        <v>0.00255</v>
      </c>
    </row>
    <row r="1461" ht="30" customHeight="1" spans="1:7">
      <c r="A1461" s="4" t="s">
        <v>4045</v>
      </c>
      <c r="B1461" s="5" t="s">
        <v>4046</v>
      </c>
      <c r="C1461" s="4" t="s">
        <v>82</v>
      </c>
      <c r="D1461" s="475">
        <v>71851.74</v>
      </c>
      <c r="E1461" s="476">
        <v>0.04722</v>
      </c>
      <c r="F1461" s="6">
        <v>513.26</v>
      </c>
      <c r="G1461" s="6">
        <v>0.02273</v>
      </c>
    </row>
    <row r="1462" ht="30" customHeight="1" spans="1:7">
      <c r="A1462" s="4" t="s">
        <v>4047</v>
      </c>
      <c r="B1462" s="5" t="s">
        <v>4048</v>
      </c>
      <c r="C1462" s="4" t="s">
        <v>82</v>
      </c>
      <c r="D1462" s="475">
        <v>133588.56</v>
      </c>
      <c r="E1462" s="476">
        <v>0.04722</v>
      </c>
      <c r="F1462" s="6">
        <v>762.469</v>
      </c>
      <c r="G1462" s="6">
        <v>0.01948</v>
      </c>
    </row>
    <row r="1463" ht="30" customHeight="1" spans="1:7">
      <c r="A1463" s="4" t="s">
        <v>4049</v>
      </c>
      <c r="B1463" s="5" t="s">
        <v>4050</v>
      </c>
      <c r="C1463" s="4" t="s">
        <v>82</v>
      </c>
      <c r="D1463" s="475">
        <v>114204.37</v>
      </c>
      <c r="E1463" s="476">
        <v>0.04722</v>
      </c>
      <c r="F1463" s="6">
        <v>680.0143</v>
      </c>
      <c r="G1463" s="6">
        <v>0.025</v>
      </c>
    </row>
    <row r="1464" ht="30" customHeight="1" spans="1:7">
      <c r="A1464" s="4" t="s">
        <v>4051</v>
      </c>
      <c r="B1464" s="5" t="s">
        <v>4052</v>
      </c>
      <c r="C1464" s="4" t="s">
        <v>82</v>
      </c>
      <c r="D1464" s="475">
        <v>37695.31</v>
      </c>
      <c r="E1464" s="476">
        <v>0.04722</v>
      </c>
      <c r="F1464" s="6">
        <v>99.8864</v>
      </c>
      <c r="G1464" s="6">
        <v>0.06821</v>
      </c>
    </row>
    <row r="1465" ht="30" customHeight="1" spans="1:7">
      <c r="A1465" s="4" t="s">
        <v>4053</v>
      </c>
      <c r="B1465" s="5" t="s">
        <v>4054</v>
      </c>
      <c r="C1465" s="4" t="s">
        <v>82</v>
      </c>
      <c r="D1465" s="475">
        <v>51934.02</v>
      </c>
      <c r="E1465" s="476">
        <v>0.04722</v>
      </c>
      <c r="F1465" s="6">
        <v>215.8905</v>
      </c>
      <c r="G1465" s="6">
        <v>0.04547</v>
      </c>
    </row>
    <row r="1466" ht="30" customHeight="1" spans="1:7">
      <c r="A1466" s="4" t="s">
        <v>4055</v>
      </c>
      <c r="B1466" s="5" t="s">
        <v>4056</v>
      </c>
      <c r="C1466" s="4" t="s">
        <v>82</v>
      </c>
      <c r="D1466" s="475">
        <v>3338612.62</v>
      </c>
      <c r="E1466" s="476">
        <v>0.04722</v>
      </c>
      <c r="F1466" s="6">
        <v>1311.8374</v>
      </c>
      <c r="G1466" s="6">
        <v>0.00833</v>
      </c>
    </row>
    <row r="1467" ht="30" customHeight="1" spans="1:7">
      <c r="A1467" s="4" t="s">
        <v>4057</v>
      </c>
      <c r="B1467" s="5" t="s">
        <v>4058</v>
      </c>
      <c r="C1467" s="4" t="s">
        <v>82</v>
      </c>
      <c r="D1467" s="475">
        <v>142282.57</v>
      </c>
      <c r="E1467" s="476">
        <v>0.04722</v>
      </c>
      <c r="F1467" s="6">
        <v>762.469</v>
      </c>
      <c r="G1467" s="6">
        <v>0.01948</v>
      </c>
    </row>
    <row r="1468" ht="30" customHeight="1" spans="1:7">
      <c r="A1468" s="4" t="s">
        <v>4059</v>
      </c>
      <c r="B1468" s="5" t="s">
        <v>4060</v>
      </c>
      <c r="C1468" s="4" t="s">
        <v>82</v>
      </c>
      <c r="D1468" s="475">
        <v>101751.98</v>
      </c>
      <c r="E1468" s="476">
        <v>0.04722</v>
      </c>
      <c r="F1468" s="6">
        <v>53.0349</v>
      </c>
      <c r="G1468" s="6">
        <v>0.13642</v>
      </c>
    </row>
    <row r="1469" ht="30" customHeight="1" spans="1:7">
      <c r="A1469" s="4" t="s">
        <v>4061</v>
      </c>
      <c r="B1469" s="5" t="s">
        <v>4062</v>
      </c>
      <c r="C1469" s="4" t="s">
        <v>82</v>
      </c>
      <c r="D1469" s="475">
        <v>68440.69</v>
      </c>
      <c r="E1469" s="476">
        <v>0.04722</v>
      </c>
      <c r="F1469" s="6">
        <v>70.6817</v>
      </c>
      <c r="G1469" s="6">
        <v>0.09095</v>
      </c>
    </row>
    <row r="1470" ht="15.75" customHeight="1" spans="1:7">
      <c r="A1470" s="4" t="s">
        <v>4063</v>
      </c>
      <c r="B1470" s="5" t="s">
        <v>4064</v>
      </c>
      <c r="C1470" s="4" t="s">
        <v>9</v>
      </c>
      <c r="D1470" s="475">
        <v>197</v>
      </c>
      <c r="E1470" s="476">
        <v>0</v>
      </c>
      <c r="F1470" s="6">
        <v>0</v>
      </c>
      <c r="G1470" s="6">
        <v>1</v>
      </c>
    </row>
    <row r="1471" ht="15.75" customHeight="1" spans="1:7">
      <c r="A1471" s="4" t="s">
        <v>4065</v>
      </c>
      <c r="B1471" s="5" t="s">
        <v>4066</v>
      </c>
      <c r="C1471" s="4" t="s">
        <v>9</v>
      </c>
      <c r="D1471" s="475">
        <v>347</v>
      </c>
      <c r="E1471" s="476">
        <v>0</v>
      </c>
      <c r="F1471" s="6">
        <v>0</v>
      </c>
      <c r="G1471" s="6">
        <v>1</v>
      </c>
    </row>
    <row r="1472" ht="15.75" customHeight="1" spans="1:7">
      <c r="A1472" s="4" t="s">
        <v>4067</v>
      </c>
      <c r="B1472" s="5" t="s">
        <v>4068</v>
      </c>
      <c r="C1472" s="4" t="s">
        <v>82</v>
      </c>
      <c r="D1472" s="475">
        <v>67585.13</v>
      </c>
      <c r="E1472" s="476">
        <v>0</v>
      </c>
      <c r="F1472" s="6">
        <v>0</v>
      </c>
      <c r="G1472" s="6">
        <v>1</v>
      </c>
    </row>
    <row r="1473" ht="15.75" customHeight="1" spans="1:7">
      <c r="A1473" s="4" t="s">
        <v>4069</v>
      </c>
      <c r="B1473" s="5" t="s">
        <v>4070</v>
      </c>
      <c r="C1473" s="4" t="s">
        <v>82</v>
      </c>
      <c r="D1473" s="475">
        <v>41477.41</v>
      </c>
      <c r="E1473" s="476">
        <v>0</v>
      </c>
      <c r="F1473" s="6">
        <v>0</v>
      </c>
      <c r="G1473" s="6">
        <v>1</v>
      </c>
    </row>
    <row r="1474" ht="15.75" customHeight="1" spans="1:7">
      <c r="A1474" s="4" t="s">
        <v>4071</v>
      </c>
      <c r="B1474" s="5" t="s">
        <v>4072</v>
      </c>
      <c r="C1474" s="4" t="s">
        <v>82</v>
      </c>
      <c r="D1474" s="475">
        <v>24309.22</v>
      </c>
      <c r="E1474" s="476">
        <v>0</v>
      </c>
      <c r="F1474" s="6">
        <v>0</v>
      </c>
      <c r="G1474" s="6">
        <v>1</v>
      </c>
    </row>
    <row r="1475" ht="15.75" customHeight="1" spans="1:7">
      <c r="A1475" s="4" t="s">
        <v>4073</v>
      </c>
      <c r="B1475" s="5" t="s">
        <v>4074</v>
      </c>
      <c r="C1475" s="4" t="s">
        <v>82</v>
      </c>
      <c r="D1475" s="475">
        <v>22378.54</v>
      </c>
      <c r="E1475" s="476">
        <v>0</v>
      </c>
      <c r="F1475" s="6">
        <v>0</v>
      </c>
      <c r="G1475" s="6">
        <v>1</v>
      </c>
    </row>
    <row r="1476" ht="15.75" customHeight="1" spans="1:7">
      <c r="A1476" s="4" t="s">
        <v>4075</v>
      </c>
      <c r="B1476" s="5" t="s">
        <v>4076</v>
      </c>
      <c r="C1476" s="4" t="s">
        <v>82</v>
      </c>
      <c r="D1476" s="475">
        <v>13906.46</v>
      </c>
      <c r="E1476" s="476">
        <v>0</v>
      </c>
      <c r="F1476" s="6">
        <v>0</v>
      </c>
      <c r="G1476" s="6">
        <v>1</v>
      </c>
    </row>
    <row r="1477" ht="15.75" customHeight="1" spans="1:7">
      <c r="A1477" s="4" t="s">
        <v>4077</v>
      </c>
      <c r="B1477" s="5" t="s">
        <v>4078</v>
      </c>
      <c r="C1477" s="4" t="s">
        <v>82</v>
      </c>
      <c r="D1477" s="475">
        <v>22808.41</v>
      </c>
      <c r="E1477" s="476">
        <v>0</v>
      </c>
      <c r="F1477" s="6">
        <v>0</v>
      </c>
      <c r="G1477" s="6">
        <v>1</v>
      </c>
    </row>
    <row r="1478" ht="15.75" customHeight="1" spans="1:7">
      <c r="A1478" s="4" t="s">
        <v>4079</v>
      </c>
      <c r="B1478" s="5" t="s">
        <v>4080</v>
      </c>
      <c r="C1478" s="4" t="s">
        <v>82</v>
      </c>
      <c r="D1478" s="475">
        <v>52553.07</v>
      </c>
      <c r="E1478" s="476">
        <v>0</v>
      </c>
      <c r="F1478" s="6">
        <v>0</v>
      </c>
      <c r="G1478" s="6">
        <v>1</v>
      </c>
    </row>
    <row r="1479" ht="15.75" customHeight="1" spans="1:7">
      <c r="A1479" s="4" t="s">
        <v>4081</v>
      </c>
      <c r="B1479" s="5" t="s">
        <v>4082</v>
      </c>
      <c r="C1479" s="4" t="s">
        <v>82</v>
      </c>
      <c r="D1479" s="475">
        <v>39904.34</v>
      </c>
      <c r="E1479" s="476">
        <v>0</v>
      </c>
      <c r="F1479" s="6">
        <v>0</v>
      </c>
      <c r="G1479" s="6">
        <v>1</v>
      </c>
    </row>
    <row r="1480" ht="15.75" customHeight="1" spans="1:7">
      <c r="A1480" s="4" t="s">
        <v>4083</v>
      </c>
      <c r="B1480" s="5" t="s">
        <v>4084</v>
      </c>
      <c r="C1480" s="4" t="s">
        <v>82</v>
      </c>
      <c r="D1480" s="475">
        <v>23625.38</v>
      </c>
      <c r="E1480" s="476">
        <v>0</v>
      </c>
      <c r="F1480" s="6">
        <v>0</v>
      </c>
      <c r="G1480" s="6">
        <v>1</v>
      </c>
    </row>
    <row r="1481" ht="15.75" customHeight="1" spans="1:7">
      <c r="A1481" s="4" t="s">
        <v>4085</v>
      </c>
      <c r="B1481" s="5" t="s">
        <v>4086</v>
      </c>
      <c r="C1481" s="4" t="s">
        <v>82</v>
      </c>
      <c r="D1481" s="475">
        <v>18113.63</v>
      </c>
      <c r="E1481" s="476">
        <v>0</v>
      </c>
      <c r="F1481" s="6">
        <v>0</v>
      </c>
      <c r="G1481" s="6">
        <v>1</v>
      </c>
    </row>
    <row r="1482" ht="15.75" customHeight="1" spans="1:7">
      <c r="A1482" s="4" t="s">
        <v>4087</v>
      </c>
      <c r="B1482" s="5" t="s">
        <v>4088</v>
      </c>
      <c r="C1482" s="4" t="s">
        <v>7</v>
      </c>
      <c r="D1482" s="475">
        <v>3.13</v>
      </c>
      <c r="E1482" s="476">
        <v>0.03632</v>
      </c>
      <c r="F1482" s="6">
        <v>0.0623</v>
      </c>
      <c r="G1482" s="6">
        <v>1</v>
      </c>
    </row>
    <row r="1483" ht="15.75" customHeight="1" spans="1:7">
      <c r="A1483" s="4" t="s">
        <v>4089</v>
      </c>
      <c r="B1483" s="5" t="s">
        <v>4090</v>
      </c>
      <c r="C1483" s="4" t="s">
        <v>82</v>
      </c>
      <c r="D1483" s="475">
        <v>1930.04</v>
      </c>
      <c r="E1483" s="476">
        <v>0</v>
      </c>
      <c r="F1483" s="6">
        <v>0</v>
      </c>
      <c r="G1483" s="6">
        <v>1</v>
      </c>
    </row>
    <row r="1484" ht="15.75" customHeight="1" spans="1:7">
      <c r="A1484" s="4" t="s">
        <v>4091</v>
      </c>
      <c r="B1484" s="5" t="s">
        <v>4092</v>
      </c>
      <c r="C1484" s="4" t="s">
        <v>82</v>
      </c>
      <c r="D1484" s="475">
        <v>16836</v>
      </c>
      <c r="E1484" s="476">
        <v>0</v>
      </c>
      <c r="F1484" s="6">
        <v>0</v>
      </c>
      <c r="G1484" s="6">
        <v>1</v>
      </c>
    </row>
    <row r="1485" ht="15.75" customHeight="1" spans="1:7">
      <c r="A1485" s="4" t="s">
        <v>4093</v>
      </c>
      <c r="B1485" s="5" t="s">
        <v>4094</v>
      </c>
      <c r="C1485" s="4" t="s">
        <v>7</v>
      </c>
      <c r="D1485" s="475">
        <v>17.16</v>
      </c>
      <c r="E1485" s="476">
        <v>0.03632</v>
      </c>
      <c r="F1485" s="6">
        <v>0.517</v>
      </c>
      <c r="G1485" s="6">
        <v>1</v>
      </c>
    </row>
    <row r="1486" ht="15.75" customHeight="1" spans="1:7">
      <c r="A1486" s="4" t="s">
        <v>4095</v>
      </c>
      <c r="B1486" s="5" t="s">
        <v>114</v>
      </c>
      <c r="C1486" s="4" t="s">
        <v>99</v>
      </c>
      <c r="D1486" s="475">
        <v>3.72</v>
      </c>
      <c r="E1486" s="476">
        <v>0.03632</v>
      </c>
      <c r="F1486" s="6">
        <v>0.099</v>
      </c>
      <c r="G1486" s="6">
        <v>9</v>
      </c>
    </row>
    <row r="1487" ht="15.75" customHeight="1" spans="1:7">
      <c r="A1487" s="4" t="s">
        <v>4096</v>
      </c>
      <c r="B1487" s="5" t="s">
        <v>4097</v>
      </c>
      <c r="C1487" s="4" t="s">
        <v>99</v>
      </c>
      <c r="D1487" s="475">
        <v>4378.86</v>
      </c>
      <c r="E1487" s="476">
        <v>0.03632</v>
      </c>
      <c r="F1487" s="6">
        <v>3.283</v>
      </c>
      <c r="G1487" s="6">
        <v>1.2176</v>
      </c>
    </row>
    <row r="1488" ht="15.75" customHeight="1" spans="1:7">
      <c r="A1488" s="4" t="s">
        <v>4098</v>
      </c>
      <c r="B1488" s="5" t="s">
        <v>4099</v>
      </c>
      <c r="C1488" s="4" t="s">
        <v>99</v>
      </c>
      <c r="D1488" s="475">
        <v>861.09</v>
      </c>
      <c r="E1488" s="476">
        <v>0.03632</v>
      </c>
      <c r="F1488" s="6">
        <v>2.227</v>
      </c>
      <c r="G1488" s="6">
        <v>3.79429</v>
      </c>
    </row>
    <row r="1489" ht="15.75" customHeight="1" spans="1:7">
      <c r="A1489" s="4" t="s">
        <v>4100</v>
      </c>
      <c r="B1489" s="5" t="s">
        <v>4101</v>
      </c>
      <c r="C1489" s="4" t="s">
        <v>99</v>
      </c>
      <c r="D1489" s="475">
        <v>807.42</v>
      </c>
      <c r="E1489" s="476">
        <v>0.03632</v>
      </c>
      <c r="F1489" s="6">
        <v>2.227</v>
      </c>
      <c r="G1489" s="6">
        <v>3.79429</v>
      </c>
    </row>
    <row r="1490" ht="15.75" customHeight="1" spans="1:7">
      <c r="A1490" s="4" t="s">
        <v>4102</v>
      </c>
      <c r="B1490" s="5" t="s">
        <v>4103</v>
      </c>
      <c r="C1490" s="4" t="s">
        <v>99</v>
      </c>
      <c r="D1490" s="475">
        <v>647.42</v>
      </c>
      <c r="E1490" s="476">
        <v>0.03632</v>
      </c>
      <c r="F1490" s="6">
        <v>2.3171</v>
      </c>
      <c r="G1490" s="6">
        <v>4.02424</v>
      </c>
    </row>
    <row r="1491" ht="15.75" customHeight="1" spans="1:7">
      <c r="A1491" s="4" t="s">
        <v>4104</v>
      </c>
      <c r="B1491" s="5" t="s">
        <v>4105</v>
      </c>
      <c r="C1491" s="4" t="s">
        <v>99</v>
      </c>
      <c r="D1491" s="475">
        <v>554.39</v>
      </c>
      <c r="E1491" s="476">
        <v>0.03632</v>
      </c>
      <c r="F1491" s="6">
        <v>2.3171</v>
      </c>
      <c r="G1491" s="6">
        <v>4.02424</v>
      </c>
    </row>
    <row r="1492" ht="15.75" customHeight="1" spans="1:7">
      <c r="A1492" s="4" t="s">
        <v>4106</v>
      </c>
      <c r="B1492" s="5" t="s">
        <v>4107</v>
      </c>
      <c r="C1492" s="4" t="s">
        <v>99</v>
      </c>
      <c r="D1492" s="475">
        <v>542.22</v>
      </c>
      <c r="E1492" s="476">
        <v>0.03632</v>
      </c>
      <c r="F1492" s="6">
        <v>2.2094</v>
      </c>
      <c r="G1492" s="6">
        <v>4.22034</v>
      </c>
    </row>
    <row r="1493" ht="15.75" customHeight="1" spans="1:7">
      <c r="A1493" s="4" t="s">
        <v>4108</v>
      </c>
      <c r="B1493" s="5" t="s">
        <v>4109</v>
      </c>
      <c r="C1493" s="4" t="s">
        <v>99</v>
      </c>
      <c r="D1493" s="475">
        <v>430.62</v>
      </c>
      <c r="E1493" s="476">
        <v>0.03632</v>
      </c>
      <c r="F1493" s="6">
        <v>2.2094</v>
      </c>
      <c r="G1493" s="6">
        <v>4.22034</v>
      </c>
    </row>
    <row r="1494" ht="15.75" customHeight="1" spans="1:7">
      <c r="A1494" s="4" t="s">
        <v>4110</v>
      </c>
      <c r="B1494" s="5" t="s">
        <v>4111</v>
      </c>
      <c r="C1494" s="4" t="s">
        <v>99</v>
      </c>
      <c r="D1494" s="475">
        <v>642.84</v>
      </c>
      <c r="E1494" s="476">
        <v>0.03632</v>
      </c>
      <c r="F1494" s="6">
        <v>2.4856</v>
      </c>
      <c r="G1494" s="6">
        <v>3.75141</v>
      </c>
    </row>
    <row r="1495" ht="15.75" customHeight="1" spans="1:7">
      <c r="A1495" s="4" t="s">
        <v>4112</v>
      </c>
      <c r="B1495" s="5" t="s">
        <v>4113</v>
      </c>
      <c r="C1495" s="4" t="s">
        <v>99</v>
      </c>
      <c r="D1495" s="475">
        <v>520.41</v>
      </c>
      <c r="E1495" s="476">
        <v>0.03632</v>
      </c>
      <c r="F1495" s="6">
        <v>2.4856</v>
      </c>
      <c r="G1495" s="6">
        <v>3.75141</v>
      </c>
    </row>
    <row r="1496" ht="15.75" customHeight="1" spans="1:7">
      <c r="A1496" s="4" t="s">
        <v>4114</v>
      </c>
      <c r="B1496" s="5" t="s">
        <v>4115</v>
      </c>
      <c r="C1496" s="4" t="s">
        <v>99</v>
      </c>
      <c r="D1496" s="475">
        <v>489.46</v>
      </c>
      <c r="E1496" s="476">
        <v>0.03632</v>
      </c>
      <c r="F1496" s="6">
        <v>2.4371</v>
      </c>
      <c r="G1496" s="6">
        <v>4.18487</v>
      </c>
    </row>
    <row r="1497" ht="15.75" customHeight="1" spans="1:7">
      <c r="A1497" s="4" t="s">
        <v>4116</v>
      </c>
      <c r="B1497" s="5" t="s">
        <v>4117</v>
      </c>
      <c r="C1497" s="4" t="s">
        <v>99</v>
      </c>
      <c r="D1497" s="475">
        <v>367.06</v>
      </c>
      <c r="E1497" s="476">
        <v>0.03632</v>
      </c>
      <c r="F1497" s="6">
        <v>2.4371</v>
      </c>
      <c r="G1497" s="6">
        <v>4.18487</v>
      </c>
    </row>
    <row r="1498" ht="15.75" customHeight="1" spans="1:7">
      <c r="A1498" s="4" t="s">
        <v>4118</v>
      </c>
      <c r="B1498" s="5" t="s">
        <v>4119</v>
      </c>
      <c r="C1498" s="4" t="s">
        <v>99</v>
      </c>
      <c r="D1498" s="475">
        <v>386.65</v>
      </c>
      <c r="E1498" s="476">
        <v>0.03632</v>
      </c>
      <c r="F1498" s="6">
        <v>2.3245</v>
      </c>
      <c r="G1498" s="6">
        <v>4.38767</v>
      </c>
    </row>
    <row r="1499" ht="15.75" customHeight="1" spans="1:7">
      <c r="A1499" s="4" t="s">
        <v>4120</v>
      </c>
      <c r="B1499" s="5" t="s">
        <v>4121</v>
      </c>
      <c r="C1499" s="4" t="s">
        <v>99</v>
      </c>
      <c r="D1499" s="475">
        <v>245.61</v>
      </c>
      <c r="E1499" s="476">
        <v>0.03632</v>
      </c>
      <c r="F1499" s="6">
        <v>2.3245</v>
      </c>
      <c r="G1499" s="6">
        <v>4.38767</v>
      </c>
    </row>
    <row r="1500" ht="15.75" customHeight="1" spans="1:7">
      <c r="A1500" s="4" t="s">
        <v>4122</v>
      </c>
      <c r="B1500" s="5" t="s">
        <v>4123</v>
      </c>
      <c r="C1500" s="4" t="s">
        <v>99</v>
      </c>
      <c r="D1500" s="475">
        <v>485.79</v>
      </c>
      <c r="E1500" s="476">
        <v>0.03632</v>
      </c>
      <c r="F1500" s="6">
        <v>2.4388</v>
      </c>
      <c r="G1500" s="6">
        <v>3.82342</v>
      </c>
    </row>
    <row r="1501" ht="15.75" customHeight="1" spans="1:7">
      <c r="A1501" s="4" t="s">
        <v>4124</v>
      </c>
      <c r="B1501" s="5" t="s">
        <v>4125</v>
      </c>
      <c r="C1501" s="4" t="s">
        <v>99</v>
      </c>
      <c r="D1501" s="475">
        <v>394.6</v>
      </c>
      <c r="E1501" s="476">
        <v>0.03632</v>
      </c>
      <c r="F1501" s="6">
        <v>2.4388</v>
      </c>
      <c r="G1501" s="6">
        <v>3.82342</v>
      </c>
    </row>
    <row r="1502" ht="15.75" customHeight="1" spans="1:7">
      <c r="A1502" s="4" t="s">
        <v>4126</v>
      </c>
      <c r="B1502" s="5" t="s">
        <v>4127</v>
      </c>
      <c r="C1502" s="4" t="s">
        <v>99</v>
      </c>
      <c r="D1502" s="475">
        <v>357.69</v>
      </c>
      <c r="E1502" s="476">
        <v>0.03632</v>
      </c>
      <c r="F1502" s="6">
        <v>2.2796</v>
      </c>
      <c r="G1502" s="6">
        <v>4.09035</v>
      </c>
    </row>
    <row r="1503" ht="15.75" customHeight="1" spans="1:7">
      <c r="A1503" s="4" t="s">
        <v>4128</v>
      </c>
      <c r="B1503" s="5" t="s">
        <v>4129</v>
      </c>
      <c r="C1503" s="4" t="s">
        <v>99</v>
      </c>
      <c r="D1503" s="475">
        <v>242.2</v>
      </c>
      <c r="E1503" s="476">
        <v>0.03632</v>
      </c>
      <c r="F1503" s="6">
        <v>2.2796</v>
      </c>
      <c r="G1503" s="6">
        <v>4.09035</v>
      </c>
    </row>
    <row r="1504" ht="15.75" customHeight="1" spans="1:7">
      <c r="A1504" s="4" t="s">
        <v>4130</v>
      </c>
      <c r="B1504" s="5" t="s">
        <v>4131</v>
      </c>
      <c r="C1504" s="4" t="s">
        <v>99</v>
      </c>
      <c r="D1504" s="475">
        <v>412.38</v>
      </c>
      <c r="E1504" s="476">
        <v>0.03632</v>
      </c>
      <c r="F1504" s="6">
        <v>2.3779</v>
      </c>
      <c r="G1504" s="6">
        <v>3.92126</v>
      </c>
    </row>
    <row r="1505" ht="15.75" customHeight="1" spans="1:7">
      <c r="A1505" s="4" t="s">
        <v>4132</v>
      </c>
      <c r="B1505" s="5" t="s">
        <v>4133</v>
      </c>
      <c r="C1505" s="4" t="s">
        <v>99</v>
      </c>
      <c r="D1505" s="475">
        <v>307.63</v>
      </c>
      <c r="E1505" s="476">
        <v>0.03632</v>
      </c>
      <c r="F1505" s="6">
        <v>2.3779</v>
      </c>
      <c r="G1505" s="6">
        <v>3.92126</v>
      </c>
    </row>
    <row r="1506" ht="15.75" customHeight="1" spans="1:7">
      <c r="A1506" s="4" t="s">
        <v>4134</v>
      </c>
      <c r="B1506" s="5" t="s">
        <v>4135</v>
      </c>
      <c r="C1506" s="4" t="s">
        <v>99</v>
      </c>
      <c r="D1506" s="475">
        <v>371.14</v>
      </c>
      <c r="E1506" s="476">
        <v>0.03632</v>
      </c>
      <c r="F1506" s="6">
        <v>2.3592</v>
      </c>
      <c r="G1506" s="6">
        <v>3.95238</v>
      </c>
    </row>
    <row r="1507" ht="15.75" customHeight="1" spans="1:7">
      <c r="A1507" s="4" t="s">
        <v>4136</v>
      </c>
      <c r="B1507" s="5" t="s">
        <v>4137</v>
      </c>
      <c r="C1507" s="4" t="s">
        <v>99</v>
      </c>
      <c r="D1507" s="475">
        <v>258.83</v>
      </c>
      <c r="E1507" s="476">
        <v>0.03632</v>
      </c>
      <c r="F1507" s="6">
        <v>2.3592</v>
      </c>
      <c r="G1507" s="6">
        <v>3.95238</v>
      </c>
    </row>
    <row r="1508" ht="15.75" customHeight="1" spans="1:7">
      <c r="A1508" s="4" t="s">
        <v>4138</v>
      </c>
      <c r="B1508" s="5" t="s">
        <v>4139</v>
      </c>
      <c r="C1508" s="4" t="s">
        <v>99</v>
      </c>
      <c r="D1508" s="475">
        <v>445.86</v>
      </c>
      <c r="E1508" s="476">
        <v>0.03632</v>
      </c>
      <c r="F1508" s="6">
        <v>2.4856</v>
      </c>
      <c r="G1508" s="6">
        <v>3.75141</v>
      </c>
    </row>
    <row r="1509" ht="15.75" customHeight="1" spans="1:7">
      <c r="A1509" s="4" t="s">
        <v>4140</v>
      </c>
      <c r="B1509" s="5" t="s">
        <v>4141</v>
      </c>
      <c r="C1509" s="4" t="s">
        <v>99</v>
      </c>
      <c r="D1509" s="475">
        <v>348.04</v>
      </c>
      <c r="E1509" s="476">
        <v>0.03632</v>
      </c>
      <c r="F1509" s="6">
        <v>2.4856</v>
      </c>
      <c r="G1509" s="6">
        <v>3.75141</v>
      </c>
    </row>
    <row r="1510" ht="15.75" customHeight="1" spans="1:7">
      <c r="A1510" s="4" t="s">
        <v>4142</v>
      </c>
      <c r="B1510" s="5" t="s">
        <v>4143</v>
      </c>
      <c r="C1510" s="4" t="s">
        <v>99</v>
      </c>
      <c r="D1510" s="475">
        <v>420.7</v>
      </c>
      <c r="E1510" s="476">
        <v>0.03632</v>
      </c>
      <c r="F1510" s="6">
        <v>2.4434</v>
      </c>
      <c r="G1510" s="6">
        <v>3.81609</v>
      </c>
    </row>
    <row r="1511" ht="15.75" customHeight="1" spans="1:7">
      <c r="A1511" s="4" t="s">
        <v>4144</v>
      </c>
      <c r="B1511" s="5" t="s">
        <v>4145</v>
      </c>
      <c r="C1511" s="4" t="s">
        <v>99</v>
      </c>
      <c r="D1511" s="475">
        <v>318.01</v>
      </c>
      <c r="E1511" s="476">
        <v>0.03632</v>
      </c>
      <c r="F1511" s="6">
        <v>2.4434</v>
      </c>
      <c r="G1511" s="6">
        <v>3.81609</v>
      </c>
    </row>
    <row r="1512" ht="15.75" customHeight="1" spans="1:7">
      <c r="A1512" s="4" t="s">
        <v>4146</v>
      </c>
      <c r="B1512" s="5" t="s">
        <v>4147</v>
      </c>
      <c r="C1512" s="4" t="s">
        <v>99</v>
      </c>
      <c r="D1512" s="475">
        <v>400.64</v>
      </c>
      <c r="E1512" s="476">
        <v>0.03632</v>
      </c>
      <c r="F1512" s="6">
        <v>2.406</v>
      </c>
      <c r="G1512" s="6">
        <v>3.87549</v>
      </c>
    </row>
    <row r="1513" ht="15.75" customHeight="1" spans="1:7">
      <c r="A1513" s="4" t="s">
        <v>4148</v>
      </c>
      <c r="B1513" s="5" t="s">
        <v>4149</v>
      </c>
      <c r="C1513" s="4" t="s">
        <v>99</v>
      </c>
      <c r="D1513" s="475">
        <v>294.08</v>
      </c>
      <c r="E1513" s="476">
        <v>0.03632</v>
      </c>
      <c r="F1513" s="6">
        <v>2.406</v>
      </c>
      <c r="G1513" s="6">
        <v>3.87549</v>
      </c>
    </row>
    <row r="1514" ht="15.75" customHeight="1" spans="1:7">
      <c r="A1514" s="4" t="s">
        <v>4150</v>
      </c>
      <c r="B1514" s="5" t="s">
        <v>4151</v>
      </c>
      <c r="C1514" s="4" t="s">
        <v>99</v>
      </c>
      <c r="D1514" s="475">
        <v>384.42</v>
      </c>
      <c r="E1514" s="476">
        <v>0.03632</v>
      </c>
      <c r="F1514" s="6">
        <v>2.3779</v>
      </c>
      <c r="G1514" s="6">
        <v>3.92126</v>
      </c>
    </row>
    <row r="1515" ht="15.75" customHeight="1" spans="1:7">
      <c r="A1515" s="4" t="s">
        <v>4152</v>
      </c>
      <c r="B1515" s="5" t="s">
        <v>4153</v>
      </c>
      <c r="C1515" s="4" t="s">
        <v>99</v>
      </c>
      <c r="D1515" s="475">
        <v>274.71</v>
      </c>
      <c r="E1515" s="476">
        <v>0.03632</v>
      </c>
      <c r="F1515" s="6">
        <v>2.3779</v>
      </c>
      <c r="G1515" s="6">
        <v>3.92126</v>
      </c>
    </row>
    <row r="1516" ht="15.75" customHeight="1" spans="1:7">
      <c r="A1516" s="4" t="s">
        <v>4154</v>
      </c>
      <c r="B1516" s="5" t="s">
        <v>4155</v>
      </c>
      <c r="C1516" s="4" t="s">
        <v>99</v>
      </c>
      <c r="D1516" s="475">
        <v>4124.54</v>
      </c>
      <c r="E1516" s="476">
        <v>0.03632</v>
      </c>
      <c r="F1516" s="6">
        <v>3.3392</v>
      </c>
      <c r="G1516" s="6">
        <v>1.19712</v>
      </c>
    </row>
    <row r="1517" ht="30" customHeight="1" spans="1:7">
      <c r="A1517" s="4" t="s">
        <v>4156</v>
      </c>
      <c r="B1517" s="5" t="s">
        <v>4157</v>
      </c>
      <c r="C1517" s="4" t="s">
        <v>99</v>
      </c>
      <c r="D1517" s="475">
        <v>12566</v>
      </c>
      <c r="E1517" s="476">
        <v>0.03632</v>
      </c>
      <c r="F1517" s="6">
        <v>4.7543</v>
      </c>
      <c r="G1517" s="6">
        <v>0.97266</v>
      </c>
    </row>
    <row r="1518" ht="15.75" customHeight="1" spans="1:7">
      <c r="A1518" s="4" t="s">
        <v>4158</v>
      </c>
      <c r="B1518" s="5" t="s">
        <v>4159</v>
      </c>
      <c r="C1518" s="4" t="s">
        <v>99</v>
      </c>
      <c r="D1518" s="475">
        <v>0</v>
      </c>
      <c r="E1518" s="476">
        <v>0</v>
      </c>
      <c r="F1518" s="6">
        <v>0</v>
      </c>
      <c r="G1518" s="6">
        <v>1</v>
      </c>
    </row>
    <row r="1519" ht="30" customHeight="1" spans="1:7">
      <c r="A1519" s="4" t="s">
        <v>4160</v>
      </c>
      <c r="B1519" s="5" t="s">
        <v>4161</v>
      </c>
      <c r="C1519" s="4" t="s">
        <v>99</v>
      </c>
      <c r="D1519" s="475">
        <v>614.89</v>
      </c>
      <c r="E1519" s="476">
        <v>0.03632</v>
      </c>
      <c r="F1519" s="6">
        <v>2.7156</v>
      </c>
      <c r="G1519" s="6">
        <v>3.7656</v>
      </c>
    </row>
    <row r="1520" ht="30" customHeight="1" spans="1:7">
      <c r="A1520" s="4" t="s">
        <v>4162</v>
      </c>
      <c r="B1520" s="5" t="s">
        <v>4163</v>
      </c>
      <c r="C1520" s="4" t="s">
        <v>99</v>
      </c>
      <c r="D1520" s="475">
        <v>495.29</v>
      </c>
      <c r="E1520" s="476">
        <v>0.03632</v>
      </c>
      <c r="F1520" s="6">
        <v>2.7156</v>
      </c>
      <c r="G1520" s="6">
        <v>3.7656</v>
      </c>
    </row>
    <row r="1521" ht="15.75" customHeight="1" spans="1:7">
      <c r="A1521" s="4" t="s">
        <v>4164</v>
      </c>
      <c r="B1521" s="5" t="s">
        <v>4165</v>
      </c>
      <c r="C1521" s="4" t="s">
        <v>99</v>
      </c>
      <c r="D1521" s="475">
        <v>523.51</v>
      </c>
      <c r="E1521" s="476">
        <v>0.03632</v>
      </c>
      <c r="F1521" s="6">
        <v>0.3504</v>
      </c>
      <c r="G1521" s="6">
        <v>24.9</v>
      </c>
    </row>
    <row r="1522" ht="15.75" customHeight="1" spans="1:7">
      <c r="A1522" s="4" t="s">
        <v>4166</v>
      </c>
      <c r="B1522" s="5" t="s">
        <v>4167</v>
      </c>
      <c r="C1522" s="4" t="s">
        <v>99</v>
      </c>
      <c r="D1522" s="475">
        <v>560.09</v>
      </c>
      <c r="E1522" s="476">
        <v>0.03632</v>
      </c>
      <c r="F1522" s="6">
        <v>0.3504</v>
      </c>
      <c r="G1522" s="6">
        <v>24.9</v>
      </c>
    </row>
    <row r="1523" ht="15.75" customHeight="1" spans="1:7">
      <c r="A1523" s="4" t="s">
        <v>4168</v>
      </c>
      <c r="B1523" s="5" t="s">
        <v>4169</v>
      </c>
      <c r="C1523" s="4" t="s">
        <v>99</v>
      </c>
      <c r="D1523" s="475">
        <v>600.91</v>
      </c>
      <c r="E1523" s="476">
        <v>0.03632</v>
      </c>
      <c r="F1523" s="6">
        <v>0.3504</v>
      </c>
      <c r="G1523" s="6">
        <v>24.9</v>
      </c>
    </row>
    <row r="1524" ht="15.75" customHeight="1" spans="1:7">
      <c r="A1524" s="4" t="s">
        <v>4170</v>
      </c>
      <c r="B1524" s="5" t="s">
        <v>4171</v>
      </c>
      <c r="C1524" s="4" t="s">
        <v>99</v>
      </c>
      <c r="D1524" s="475">
        <v>646.54</v>
      </c>
      <c r="E1524" s="476">
        <v>0.03632</v>
      </c>
      <c r="F1524" s="6">
        <v>0.3504</v>
      </c>
      <c r="G1524" s="6">
        <v>24.9</v>
      </c>
    </row>
    <row r="1525" ht="15.75" customHeight="1" spans="1:7">
      <c r="A1525" s="4" t="s">
        <v>4172</v>
      </c>
      <c r="B1525" s="5" t="s">
        <v>4173</v>
      </c>
      <c r="C1525" s="4" t="s">
        <v>99</v>
      </c>
      <c r="D1525" s="475">
        <v>697.54</v>
      </c>
      <c r="E1525" s="476">
        <v>0.03632</v>
      </c>
      <c r="F1525" s="6">
        <v>0.3504</v>
      </c>
      <c r="G1525" s="6">
        <v>24.9</v>
      </c>
    </row>
    <row r="1526" ht="15.75" customHeight="1" spans="1:7">
      <c r="A1526" s="4" t="s">
        <v>4174</v>
      </c>
      <c r="B1526" s="5" t="s">
        <v>4175</v>
      </c>
      <c r="C1526" s="4" t="s">
        <v>99</v>
      </c>
      <c r="D1526" s="475">
        <v>754.54</v>
      </c>
      <c r="E1526" s="476">
        <v>0.03632</v>
      </c>
      <c r="F1526" s="6">
        <v>0.3504</v>
      </c>
      <c r="G1526" s="6">
        <v>24.9</v>
      </c>
    </row>
    <row r="1527" ht="15.75" customHeight="1" spans="1:7">
      <c r="A1527" s="4" t="s">
        <v>4176</v>
      </c>
      <c r="B1527" s="5" t="s">
        <v>4177</v>
      </c>
      <c r="C1527" s="4" t="s">
        <v>99</v>
      </c>
      <c r="D1527" s="475">
        <v>830.56</v>
      </c>
      <c r="E1527" s="476">
        <v>0.03632</v>
      </c>
      <c r="F1527" s="6">
        <v>0.3504</v>
      </c>
      <c r="G1527" s="6">
        <v>24.9</v>
      </c>
    </row>
    <row r="1528" ht="30" customHeight="1" spans="1:7">
      <c r="A1528" s="4" t="s">
        <v>4178</v>
      </c>
      <c r="B1528" s="5" t="s">
        <v>4179</v>
      </c>
      <c r="C1528" s="4" t="s">
        <v>99</v>
      </c>
      <c r="D1528" s="475">
        <v>1143.71</v>
      </c>
      <c r="E1528" s="476">
        <v>0.03632</v>
      </c>
      <c r="F1528" s="6">
        <v>0.8305</v>
      </c>
      <c r="G1528" s="6">
        <v>16.6</v>
      </c>
    </row>
    <row r="1529" ht="15.75" customHeight="1" spans="1:7">
      <c r="A1529" s="4" t="s">
        <v>4180</v>
      </c>
      <c r="B1529" s="5" t="s">
        <v>4181</v>
      </c>
      <c r="C1529" s="4" t="s">
        <v>99</v>
      </c>
      <c r="D1529" s="475">
        <v>285.43</v>
      </c>
      <c r="E1529" s="476">
        <v>0.03632</v>
      </c>
      <c r="F1529" s="6">
        <v>0.4364</v>
      </c>
      <c r="G1529" s="6">
        <v>3.92899</v>
      </c>
    </row>
    <row r="1530" ht="15.75" customHeight="1" spans="1:7">
      <c r="A1530" s="4" t="s">
        <v>4182</v>
      </c>
      <c r="B1530" s="5" t="s">
        <v>4183</v>
      </c>
      <c r="C1530" s="4" t="s">
        <v>99</v>
      </c>
      <c r="D1530" s="475">
        <v>408.22</v>
      </c>
      <c r="E1530" s="476">
        <v>0.03632</v>
      </c>
      <c r="F1530" s="6">
        <v>0.4364</v>
      </c>
      <c r="G1530" s="6">
        <v>3.92899</v>
      </c>
    </row>
    <row r="1531" ht="15.75" customHeight="1" spans="1:7">
      <c r="A1531" s="4" t="s">
        <v>4184</v>
      </c>
      <c r="B1531" s="5" t="s">
        <v>4185</v>
      </c>
      <c r="C1531" s="4" t="s">
        <v>99</v>
      </c>
      <c r="D1531" s="475">
        <v>579.37</v>
      </c>
      <c r="E1531" s="476">
        <v>0.03632</v>
      </c>
      <c r="F1531" s="6">
        <v>0.3504</v>
      </c>
      <c r="G1531" s="6">
        <v>24.9</v>
      </c>
    </row>
    <row r="1532" ht="15.75" customHeight="1" spans="1:7">
      <c r="A1532" s="4" t="s">
        <v>4186</v>
      </c>
      <c r="B1532" s="5" t="s">
        <v>4187</v>
      </c>
      <c r="C1532" s="4" t="s">
        <v>99</v>
      </c>
      <c r="D1532" s="475">
        <v>621.85</v>
      </c>
      <c r="E1532" s="476">
        <v>0.03632</v>
      </c>
      <c r="F1532" s="6">
        <v>0.3504</v>
      </c>
      <c r="G1532" s="6">
        <v>24.9</v>
      </c>
    </row>
    <row r="1533" ht="15.75" customHeight="1" spans="1:7">
      <c r="A1533" s="4" t="s">
        <v>4188</v>
      </c>
      <c r="B1533" s="5" t="s">
        <v>4189</v>
      </c>
      <c r="C1533" s="4" t="s">
        <v>99</v>
      </c>
      <c r="D1533" s="475">
        <v>459.87</v>
      </c>
      <c r="E1533" s="476">
        <v>0.03632</v>
      </c>
      <c r="F1533" s="6">
        <v>0.3504</v>
      </c>
      <c r="G1533" s="6">
        <v>24.9</v>
      </c>
    </row>
    <row r="1534" ht="15.75" customHeight="1" spans="1:7">
      <c r="A1534" s="4" t="s">
        <v>4190</v>
      </c>
      <c r="B1534" s="5" t="s">
        <v>4191</v>
      </c>
      <c r="C1534" s="4" t="s">
        <v>99</v>
      </c>
      <c r="D1534" s="475">
        <v>471.19</v>
      </c>
      <c r="E1534" s="476">
        <v>0.03632</v>
      </c>
      <c r="F1534" s="6">
        <v>0.3504</v>
      </c>
      <c r="G1534" s="6">
        <v>24.9</v>
      </c>
    </row>
    <row r="1535" ht="15.75" customHeight="1" spans="1:7">
      <c r="A1535" s="4" t="s">
        <v>4192</v>
      </c>
      <c r="B1535" s="5" t="s">
        <v>4193</v>
      </c>
      <c r="C1535" s="4" t="s">
        <v>99</v>
      </c>
      <c r="D1535" s="475">
        <v>500.94</v>
      </c>
      <c r="E1535" s="476">
        <v>0.03632</v>
      </c>
      <c r="F1535" s="6">
        <v>0.3504</v>
      </c>
      <c r="G1535" s="6">
        <v>24.9</v>
      </c>
    </row>
    <row r="1536" ht="15.75" customHeight="1" spans="1:7">
      <c r="A1536" s="4" t="s">
        <v>4194</v>
      </c>
      <c r="B1536" s="5" t="s">
        <v>4195</v>
      </c>
      <c r="C1536" s="4" t="s">
        <v>99</v>
      </c>
      <c r="D1536" s="475">
        <v>534.16</v>
      </c>
      <c r="E1536" s="476">
        <v>0.03632</v>
      </c>
      <c r="F1536" s="6">
        <v>0.3504</v>
      </c>
      <c r="G1536" s="6">
        <v>24.9</v>
      </c>
    </row>
    <row r="1537" ht="15.75" customHeight="1" spans="1:7">
      <c r="A1537" s="4" t="s">
        <v>4196</v>
      </c>
      <c r="B1537" s="5" t="s">
        <v>4197</v>
      </c>
      <c r="C1537" s="4" t="s">
        <v>99</v>
      </c>
      <c r="D1537" s="475">
        <v>955.5</v>
      </c>
      <c r="E1537" s="476">
        <v>0.03632</v>
      </c>
      <c r="F1537" s="6">
        <v>2.6283</v>
      </c>
      <c r="G1537" s="6">
        <v>3.89063</v>
      </c>
    </row>
    <row r="1538" ht="15.75" customHeight="1" spans="1:7">
      <c r="A1538" s="4" t="s">
        <v>4198</v>
      </c>
      <c r="B1538" s="5" t="s">
        <v>4199</v>
      </c>
      <c r="C1538" s="4" t="s">
        <v>99</v>
      </c>
      <c r="D1538" s="475">
        <v>1035.79</v>
      </c>
      <c r="E1538" s="476">
        <v>0.03632</v>
      </c>
      <c r="F1538" s="6">
        <v>2.654</v>
      </c>
      <c r="G1538" s="6">
        <v>3.853</v>
      </c>
    </row>
    <row r="1539" ht="15.75" customHeight="1" spans="1:7">
      <c r="A1539" s="4" t="s">
        <v>4200</v>
      </c>
      <c r="B1539" s="5" t="s">
        <v>4201</v>
      </c>
      <c r="C1539" s="4" t="s">
        <v>99</v>
      </c>
      <c r="D1539" s="475">
        <v>453.77</v>
      </c>
      <c r="E1539" s="476">
        <v>0.03632</v>
      </c>
      <c r="F1539" s="6">
        <v>2.5821</v>
      </c>
      <c r="G1539" s="6">
        <v>3.96024</v>
      </c>
    </row>
    <row r="1540" ht="15.75" customHeight="1" spans="1:7">
      <c r="A1540" s="4" t="s">
        <v>4202</v>
      </c>
      <c r="B1540" s="5" t="s">
        <v>4203</v>
      </c>
      <c r="C1540" s="4" t="s">
        <v>99</v>
      </c>
      <c r="D1540" s="475">
        <v>331.08</v>
      </c>
      <c r="E1540" s="476">
        <v>0.03632</v>
      </c>
      <c r="F1540" s="6">
        <v>2.5821</v>
      </c>
      <c r="G1540" s="6">
        <v>3.96024</v>
      </c>
    </row>
    <row r="1541" ht="15.75" customHeight="1" spans="1:7">
      <c r="A1541" s="4" t="s">
        <v>4204</v>
      </c>
      <c r="B1541" s="5" t="s">
        <v>4205</v>
      </c>
      <c r="C1541" s="4" t="s">
        <v>99</v>
      </c>
      <c r="D1541" s="475">
        <v>475.11</v>
      </c>
      <c r="E1541" s="476">
        <v>0.03632</v>
      </c>
      <c r="F1541" s="6">
        <v>2.6027</v>
      </c>
      <c r="G1541" s="6">
        <v>3.92899</v>
      </c>
    </row>
    <row r="1542" ht="15.75" customHeight="1" spans="1:7">
      <c r="A1542" s="4" t="s">
        <v>4206</v>
      </c>
      <c r="B1542" s="5" t="s">
        <v>4207</v>
      </c>
      <c r="C1542" s="4" t="s">
        <v>99</v>
      </c>
      <c r="D1542" s="475">
        <v>354.29</v>
      </c>
      <c r="E1542" s="476">
        <v>0.03632</v>
      </c>
      <c r="F1542" s="6">
        <v>2.6027</v>
      </c>
      <c r="G1542" s="6">
        <v>3.92899</v>
      </c>
    </row>
    <row r="1543" ht="15.75" customHeight="1" spans="1:7">
      <c r="A1543" s="4" t="s">
        <v>4208</v>
      </c>
      <c r="B1543" s="5" t="s">
        <v>175</v>
      </c>
      <c r="C1543" s="4" t="s">
        <v>99</v>
      </c>
      <c r="D1543" s="475">
        <v>405.71</v>
      </c>
      <c r="E1543" s="476">
        <v>0.03632</v>
      </c>
      <c r="F1543" s="6">
        <v>0.3504</v>
      </c>
      <c r="G1543" s="6">
        <v>24.9</v>
      </c>
    </row>
    <row r="1544" ht="15.75" customHeight="1" spans="1:7">
      <c r="A1544" s="4" t="s">
        <v>4209</v>
      </c>
      <c r="B1544" s="5" t="s">
        <v>4210</v>
      </c>
      <c r="C1544" s="4" t="s">
        <v>99</v>
      </c>
      <c r="D1544" s="475">
        <v>284.42</v>
      </c>
      <c r="E1544" s="476">
        <v>0.03632</v>
      </c>
      <c r="F1544" s="6">
        <v>0.3504</v>
      </c>
      <c r="G1544" s="6">
        <v>24.9</v>
      </c>
    </row>
    <row r="1545" ht="15.75" customHeight="1" spans="1:7">
      <c r="A1545" s="4" t="s">
        <v>4211</v>
      </c>
      <c r="B1545" s="5" t="s">
        <v>4212</v>
      </c>
      <c r="C1545" s="4" t="s">
        <v>99</v>
      </c>
      <c r="D1545" s="475">
        <v>356.13</v>
      </c>
      <c r="E1545" s="476">
        <v>0.03632</v>
      </c>
      <c r="F1545" s="6">
        <v>0.2584</v>
      </c>
      <c r="G1545" s="6">
        <v>33.2</v>
      </c>
    </row>
    <row r="1546" ht="15.75" customHeight="1" spans="1:7">
      <c r="A1546" s="4" t="s">
        <v>4213</v>
      </c>
      <c r="B1546" s="5" t="s">
        <v>4214</v>
      </c>
      <c r="C1546" s="4" t="s">
        <v>99</v>
      </c>
      <c r="D1546" s="475">
        <v>234.84</v>
      </c>
      <c r="E1546" s="476">
        <v>0.03632</v>
      </c>
      <c r="F1546" s="6">
        <v>0.2584</v>
      </c>
      <c r="G1546" s="6">
        <v>33.2</v>
      </c>
    </row>
    <row r="1547" ht="15.75" customHeight="1" spans="1:7">
      <c r="A1547" s="4" t="s">
        <v>4215</v>
      </c>
      <c r="B1547" s="5" t="s">
        <v>4216</v>
      </c>
      <c r="C1547" s="4" t="s">
        <v>99</v>
      </c>
      <c r="D1547" s="475">
        <v>499.04</v>
      </c>
      <c r="E1547" s="476">
        <v>0.03632</v>
      </c>
      <c r="F1547" s="6">
        <v>2.6283</v>
      </c>
      <c r="G1547" s="6">
        <v>3.89063</v>
      </c>
    </row>
    <row r="1548" ht="15.75" customHeight="1" spans="1:7">
      <c r="A1548" s="4" t="s">
        <v>4217</v>
      </c>
      <c r="B1548" s="5" t="s">
        <v>4218</v>
      </c>
      <c r="C1548" s="4" t="s">
        <v>99</v>
      </c>
      <c r="D1548" s="475">
        <v>380.3</v>
      </c>
      <c r="E1548" s="476">
        <v>0.03632</v>
      </c>
      <c r="F1548" s="6">
        <v>2.6283</v>
      </c>
      <c r="G1548" s="6">
        <v>3.89063</v>
      </c>
    </row>
    <row r="1549" ht="15.75" customHeight="1" spans="1:7">
      <c r="A1549" s="4" t="s">
        <v>4219</v>
      </c>
      <c r="B1549" s="5" t="s">
        <v>4220</v>
      </c>
      <c r="C1549" s="4" t="s">
        <v>99</v>
      </c>
      <c r="D1549" s="475">
        <v>421.69</v>
      </c>
      <c r="E1549" s="476">
        <v>0.03632</v>
      </c>
      <c r="F1549" s="6">
        <v>0.3504</v>
      </c>
      <c r="G1549" s="6">
        <v>24.9</v>
      </c>
    </row>
    <row r="1550" ht="15.75" customHeight="1" spans="1:7">
      <c r="A1550" s="4" t="s">
        <v>4221</v>
      </c>
      <c r="B1550" s="5" t="s">
        <v>4222</v>
      </c>
      <c r="C1550" s="4" t="s">
        <v>99</v>
      </c>
      <c r="D1550" s="475">
        <v>301.83</v>
      </c>
      <c r="E1550" s="476">
        <v>0.03632</v>
      </c>
      <c r="F1550" s="6">
        <v>0.3504</v>
      </c>
      <c r="G1550" s="6">
        <v>24.9</v>
      </c>
    </row>
    <row r="1551" ht="15.75" customHeight="1" spans="1:7">
      <c r="A1551" s="4" t="s">
        <v>4223</v>
      </c>
      <c r="B1551" s="5" t="s">
        <v>4224</v>
      </c>
      <c r="C1551" s="4" t="s">
        <v>99</v>
      </c>
      <c r="D1551" s="475">
        <v>368.32</v>
      </c>
      <c r="E1551" s="476">
        <v>0.03632</v>
      </c>
      <c r="F1551" s="6">
        <v>0.2584</v>
      </c>
      <c r="G1551" s="6">
        <v>33.2</v>
      </c>
    </row>
    <row r="1552" ht="15.75" customHeight="1" spans="1:7">
      <c r="A1552" s="4" t="s">
        <v>4225</v>
      </c>
      <c r="B1552" s="5" t="s">
        <v>4226</v>
      </c>
      <c r="C1552" s="4" t="s">
        <v>99</v>
      </c>
      <c r="D1552" s="475">
        <v>248.47</v>
      </c>
      <c r="E1552" s="476">
        <v>0.03632</v>
      </c>
      <c r="F1552" s="6">
        <v>0.2584</v>
      </c>
      <c r="G1552" s="6">
        <v>33.2</v>
      </c>
    </row>
    <row r="1553" ht="15.75" customHeight="1" spans="1:7">
      <c r="A1553" s="4" t="s">
        <v>4227</v>
      </c>
      <c r="B1553" s="5" t="s">
        <v>4228</v>
      </c>
      <c r="C1553" s="4" t="s">
        <v>99</v>
      </c>
      <c r="D1553" s="475">
        <v>523.42</v>
      </c>
      <c r="E1553" s="476">
        <v>0.03632</v>
      </c>
      <c r="F1553" s="6">
        <v>2.6643</v>
      </c>
      <c r="G1553" s="6">
        <v>3.83815</v>
      </c>
    </row>
    <row r="1554" ht="15.75" customHeight="1" spans="1:7">
      <c r="A1554" s="4" t="s">
        <v>4229</v>
      </c>
      <c r="B1554" s="5" t="s">
        <v>4230</v>
      </c>
      <c r="C1554" s="4" t="s">
        <v>99</v>
      </c>
      <c r="D1554" s="475">
        <v>410.42</v>
      </c>
      <c r="E1554" s="476">
        <v>0.03632</v>
      </c>
      <c r="F1554" s="6">
        <v>2.6643</v>
      </c>
      <c r="G1554" s="6">
        <v>3.83815</v>
      </c>
    </row>
    <row r="1555" ht="15.75" customHeight="1" spans="1:7">
      <c r="A1555" s="4" t="s">
        <v>4231</v>
      </c>
      <c r="B1555" s="5" t="s">
        <v>4232</v>
      </c>
      <c r="C1555" s="4" t="s">
        <v>99</v>
      </c>
      <c r="D1555" s="475">
        <v>525.69</v>
      </c>
      <c r="E1555" s="476">
        <v>0.03632</v>
      </c>
      <c r="F1555" s="6">
        <v>2.654</v>
      </c>
      <c r="G1555" s="6">
        <v>3.853</v>
      </c>
    </row>
    <row r="1556" ht="15.75" customHeight="1" spans="1:7">
      <c r="A1556" s="4" t="s">
        <v>4233</v>
      </c>
      <c r="B1556" s="5" t="s">
        <v>4234</v>
      </c>
      <c r="C1556" s="4" t="s">
        <v>99</v>
      </c>
      <c r="D1556" s="475">
        <v>409.28</v>
      </c>
      <c r="E1556" s="476">
        <v>0.03632</v>
      </c>
      <c r="F1556" s="6">
        <v>2.654</v>
      </c>
      <c r="G1556" s="6">
        <v>3.853</v>
      </c>
    </row>
    <row r="1557" ht="15.75" customHeight="1" spans="1:7">
      <c r="A1557" s="4" t="s">
        <v>4235</v>
      </c>
      <c r="B1557" s="5" t="s">
        <v>177</v>
      </c>
      <c r="C1557" s="4" t="s">
        <v>99</v>
      </c>
      <c r="D1557" s="475">
        <v>442.53</v>
      </c>
      <c r="E1557" s="476">
        <v>0.03632</v>
      </c>
      <c r="F1557" s="6">
        <v>0.3504</v>
      </c>
      <c r="G1557" s="6">
        <v>24.9</v>
      </c>
    </row>
    <row r="1558" ht="15.75" customHeight="1" spans="1:7">
      <c r="A1558" s="4" t="s">
        <v>4236</v>
      </c>
      <c r="B1558" s="5" t="s">
        <v>4237</v>
      </c>
      <c r="C1558" s="4" t="s">
        <v>99</v>
      </c>
      <c r="D1558" s="475">
        <v>324.56</v>
      </c>
      <c r="E1558" s="476">
        <v>0.03632</v>
      </c>
      <c r="F1558" s="6">
        <v>0.3504</v>
      </c>
      <c r="G1558" s="6">
        <v>24.9</v>
      </c>
    </row>
    <row r="1559" ht="15.75" customHeight="1" spans="1:7">
      <c r="A1559" s="4" t="s">
        <v>4238</v>
      </c>
      <c r="B1559" s="5" t="s">
        <v>4239</v>
      </c>
      <c r="C1559" s="4" t="s">
        <v>99</v>
      </c>
      <c r="D1559" s="475">
        <v>384.3</v>
      </c>
      <c r="E1559" s="476">
        <v>0.03632</v>
      </c>
      <c r="F1559" s="6">
        <v>0.2584</v>
      </c>
      <c r="G1559" s="6">
        <v>33.2</v>
      </c>
    </row>
    <row r="1560" ht="15.75" customHeight="1" spans="1:7">
      <c r="A1560" s="4" t="s">
        <v>4240</v>
      </c>
      <c r="B1560" s="5" t="s">
        <v>4241</v>
      </c>
      <c r="C1560" s="4" t="s">
        <v>99</v>
      </c>
      <c r="D1560" s="475">
        <v>266.33</v>
      </c>
      <c r="E1560" s="476">
        <v>0.03632</v>
      </c>
      <c r="F1560" s="6">
        <v>0.2584</v>
      </c>
      <c r="G1560" s="6">
        <v>33.2</v>
      </c>
    </row>
    <row r="1561" ht="15.75" customHeight="1" spans="1:7">
      <c r="A1561" s="4" t="s">
        <v>4242</v>
      </c>
      <c r="B1561" s="5" t="s">
        <v>4243</v>
      </c>
      <c r="C1561" s="4" t="s">
        <v>99</v>
      </c>
      <c r="D1561" s="475">
        <v>415.3</v>
      </c>
      <c r="E1561" s="476">
        <v>0.03632</v>
      </c>
      <c r="F1561" s="6">
        <v>0.8305</v>
      </c>
      <c r="G1561" s="6">
        <v>16.6</v>
      </c>
    </row>
    <row r="1562" ht="15.75" customHeight="1" spans="1:7">
      <c r="A1562" s="4" t="s">
        <v>4244</v>
      </c>
      <c r="B1562" s="5" t="s">
        <v>4245</v>
      </c>
      <c r="C1562" s="4" t="s">
        <v>99</v>
      </c>
      <c r="D1562" s="475">
        <v>555.53</v>
      </c>
      <c r="E1562" s="476">
        <v>0.03632</v>
      </c>
      <c r="F1562" s="6">
        <v>2.6848</v>
      </c>
      <c r="G1562" s="6">
        <v>3.8088</v>
      </c>
    </row>
    <row r="1563" ht="15.75" customHeight="1" spans="1:7">
      <c r="A1563" s="4" t="s">
        <v>4246</v>
      </c>
      <c r="B1563" s="5" t="s">
        <v>4247</v>
      </c>
      <c r="C1563" s="4" t="s">
        <v>99</v>
      </c>
      <c r="D1563" s="475">
        <v>441.73</v>
      </c>
      <c r="E1563" s="476">
        <v>0.03632</v>
      </c>
      <c r="F1563" s="6">
        <v>2.6848</v>
      </c>
      <c r="G1563" s="6">
        <v>3.8088</v>
      </c>
    </row>
    <row r="1564" ht="15.75" customHeight="1" spans="1:7">
      <c r="A1564" s="4" t="s">
        <v>4248</v>
      </c>
      <c r="B1564" s="5" t="s">
        <v>128</v>
      </c>
      <c r="C1564" s="4" t="s">
        <v>99</v>
      </c>
      <c r="D1564" s="475">
        <v>588.78</v>
      </c>
      <c r="E1564" s="476">
        <v>0.03632</v>
      </c>
      <c r="F1564" s="6">
        <v>2.7156</v>
      </c>
      <c r="G1564" s="6">
        <v>3.7656</v>
      </c>
    </row>
    <row r="1565" ht="15.75" customHeight="1" spans="1:7">
      <c r="A1565" s="4" t="s">
        <v>4249</v>
      </c>
      <c r="B1565" s="5" t="s">
        <v>4250</v>
      </c>
      <c r="C1565" s="4" t="s">
        <v>99</v>
      </c>
      <c r="D1565" s="475">
        <v>477.88</v>
      </c>
      <c r="E1565" s="476">
        <v>0.03632</v>
      </c>
      <c r="F1565" s="6">
        <v>2.7156</v>
      </c>
      <c r="G1565" s="6">
        <v>3.7656</v>
      </c>
    </row>
    <row r="1566" ht="15.75" customHeight="1" spans="1:7">
      <c r="A1566" s="4" t="s">
        <v>4251</v>
      </c>
      <c r="B1566" s="5" t="s">
        <v>4252</v>
      </c>
      <c r="C1566" s="4" t="s">
        <v>99</v>
      </c>
      <c r="D1566" s="475">
        <v>480.71</v>
      </c>
      <c r="E1566" s="476">
        <v>0.03814</v>
      </c>
      <c r="F1566" s="6">
        <v>0.3679</v>
      </c>
      <c r="G1566" s="6">
        <v>24.9</v>
      </c>
    </row>
    <row r="1567" ht="15.75" customHeight="1" spans="1:7">
      <c r="A1567" s="4" t="s">
        <v>4253</v>
      </c>
      <c r="B1567" s="5" t="s">
        <v>4254</v>
      </c>
      <c r="C1567" s="4" t="s">
        <v>99</v>
      </c>
      <c r="D1567" s="475">
        <v>364.69</v>
      </c>
      <c r="E1567" s="476">
        <v>0.03814</v>
      </c>
      <c r="F1567" s="6">
        <v>0.3679</v>
      </c>
      <c r="G1567" s="6">
        <v>24.9</v>
      </c>
    </row>
    <row r="1568" ht="15.75" customHeight="1" spans="1:7">
      <c r="A1568" s="4">
        <v>1106057</v>
      </c>
      <c r="B1568" s="5" t="s">
        <v>109</v>
      </c>
      <c r="C1568" s="4" t="s">
        <v>99</v>
      </c>
      <c r="D1568" s="475">
        <v>462.33</v>
      </c>
      <c r="E1568" s="476">
        <v>0.03632</v>
      </c>
      <c r="F1568" s="6">
        <v>2.5958</v>
      </c>
      <c r="G1568" s="6">
        <v>3.92899</v>
      </c>
    </row>
    <row r="1569" ht="15.75" customHeight="1" spans="1:7">
      <c r="A1569" s="4" t="s">
        <v>4255</v>
      </c>
      <c r="B1569" s="5" t="s">
        <v>4256</v>
      </c>
      <c r="C1569" s="4" t="s">
        <v>99</v>
      </c>
      <c r="D1569" s="475">
        <v>346.56</v>
      </c>
      <c r="E1569" s="476">
        <v>0.03632</v>
      </c>
      <c r="F1569" s="6">
        <v>2.5958</v>
      </c>
      <c r="G1569" s="6">
        <v>3.92899</v>
      </c>
    </row>
    <row r="1570" ht="15.75" customHeight="1" spans="1:7">
      <c r="A1570" s="4" t="s">
        <v>4257</v>
      </c>
      <c r="B1570" s="5" t="s">
        <v>4258</v>
      </c>
      <c r="C1570" s="4" t="s">
        <v>99</v>
      </c>
      <c r="D1570" s="475">
        <v>452.46</v>
      </c>
      <c r="E1570" s="476">
        <v>0.03632</v>
      </c>
      <c r="F1570" s="6">
        <v>0.3504</v>
      </c>
      <c r="G1570" s="6">
        <v>24.9</v>
      </c>
    </row>
    <row r="1571" ht="15.75" customHeight="1" spans="1:7">
      <c r="A1571" s="4" t="s">
        <v>4259</v>
      </c>
      <c r="B1571" s="5" t="s">
        <v>4260</v>
      </c>
      <c r="C1571" s="4" t="s">
        <v>99</v>
      </c>
      <c r="D1571" s="475">
        <v>338.15</v>
      </c>
      <c r="E1571" s="476">
        <v>0.03632</v>
      </c>
      <c r="F1571" s="6">
        <v>0.3504</v>
      </c>
      <c r="G1571" s="6">
        <v>24.9</v>
      </c>
    </row>
    <row r="1572" ht="15.75" customHeight="1" spans="1:7">
      <c r="A1572" s="4" t="s">
        <v>4261</v>
      </c>
      <c r="B1572" s="5" t="s">
        <v>4262</v>
      </c>
      <c r="C1572" s="4" t="s">
        <v>99</v>
      </c>
      <c r="D1572" s="475">
        <v>391.1</v>
      </c>
      <c r="E1572" s="476">
        <v>0.03632</v>
      </c>
      <c r="F1572" s="6">
        <v>0.2584</v>
      </c>
      <c r="G1572" s="6">
        <v>33.2</v>
      </c>
    </row>
    <row r="1573" ht="15.75" customHeight="1" spans="1:7">
      <c r="A1573" s="4" t="s">
        <v>4263</v>
      </c>
      <c r="B1573" s="5" t="s">
        <v>4264</v>
      </c>
      <c r="C1573" s="4" t="s">
        <v>99</v>
      </c>
      <c r="D1573" s="475">
        <v>276.79</v>
      </c>
      <c r="E1573" s="476">
        <v>0.03632</v>
      </c>
      <c r="F1573" s="6">
        <v>0.2584</v>
      </c>
      <c r="G1573" s="6">
        <v>33.2</v>
      </c>
    </row>
    <row r="1574" ht="15.75" customHeight="1" spans="1:7">
      <c r="A1574" s="4" t="s">
        <v>4265</v>
      </c>
      <c r="B1574" s="5" t="s">
        <v>176</v>
      </c>
      <c r="C1574" s="4" t="s">
        <v>99</v>
      </c>
      <c r="D1574" s="475">
        <v>476.95</v>
      </c>
      <c r="E1574" s="476">
        <v>0.03632</v>
      </c>
      <c r="F1574" s="6">
        <v>0.3504</v>
      </c>
      <c r="G1574" s="6">
        <v>24.9</v>
      </c>
    </row>
    <row r="1575" ht="15.75" customHeight="1" spans="1:7">
      <c r="A1575" s="4" t="s">
        <v>4266</v>
      </c>
      <c r="B1575" s="5" t="s">
        <v>4267</v>
      </c>
      <c r="C1575" s="4" t="s">
        <v>99</v>
      </c>
      <c r="D1575" s="475">
        <v>364.84</v>
      </c>
      <c r="E1575" s="476">
        <v>0.03632</v>
      </c>
      <c r="F1575" s="6">
        <v>0.3504</v>
      </c>
      <c r="G1575" s="6">
        <v>24.9</v>
      </c>
    </row>
    <row r="1576" ht="15.75" customHeight="1" spans="1:7">
      <c r="A1576" s="4" t="s">
        <v>4268</v>
      </c>
      <c r="B1576" s="5" t="s">
        <v>4269</v>
      </c>
      <c r="C1576" s="4" t="s">
        <v>99</v>
      </c>
      <c r="D1576" s="475">
        <v>409.92</v>
      </c>
      <c r="E1576" s="476">
        <v>0.03632</v>
      </c>
      <c r="F1576" s="6">
        <v>0.2584</v>
      </c>
      <c r="G1576" s="6">
        <v>33.2</v>
      </c>
    </row>
    <row r="1577" ht="15.75" customHeight="1" spans="1:7">
      <c r="A1577" s="4" t="s">
        <v>4270</v>
      </c>
      <c r="B1577" s="5" t="s">
        <v>4271</v>
      </c>
      <c r="C1577" s="4" t="s">
        <v>99</v>
      </c>
      <c r="D1577" s="475">
        <v>297.81</v>
      </c>
      <c r="E1577" s="476">
        <v>0.03632</v>
      </c>
      <c r="F1577" s="6">
        <v>0.2584</v>
      </c>
      <c r="G1577" s="6">
        <v>33.2</v>
      </c>
    </row>
    <row r="1578" ht="15.75" customHeight="1" spans="1:7">
      <c r="A1578" s="4" t="s">
        <v>4272</v>
      </c>
      <c r="B1578" s="5" t="s">
        <v>4273</v>
      </c>
      <c r="C1578" s="4" t="s">
        <v>99</v>
      </c>
      <c r="D1578" s="475">
        <v>508.5</v>
      </c>
      <c r="E1578" s="476">
        <v>0.03632</v>
      </c>
      <c r="F1578" s="6">
        <v>0.3504</v>
      </c>
      <c r="G1578" s="6">
        <v>24.9</v>
      </c>
    </row>
    <row r="1579" ht="15.75" customHeight="1" spans="1:7">
      <c r="A1579" s="4" t="s">
        <v>4274</v>
      </c>
      <c r="B1579" s="5" t="s">
        <v>4275</v>
      </c>
      <c r="C1579" s="4" t="s">
        <v>99</v>
      </c>
      <c r="D1579" s="475">
        <v>399.2</v>
      </c>
      <c r="E1579" s="476">
        <v>0.03632</v>
      </c>
      <c r="F1579" s="6">
        <v>0.3504</v>
      </c>
      <c r="G1579" s="6">
        <v>24.9</v>
      </c>
    </row>
    <row r="1580" ht="15.75" customHeight="1" spans="1:7">
      <c r="A1580" s="4" t="s">
        <v>4276</v>
      </c>
      <c r="B1580" s="5" t="s">
        <v>4277</v>
      </c>
      <c r="C1580" s="4" t="s">
        <v>99</v>
      </c>
      <c r="D1580" s="475">
        <v>434.1</v>
      </c>
      <c r="E1580" s="476">
        <v>0.03632</v>
      </c>
      <c r="F1580" s="6">
        <v>0.2584</v>
      </c>
      <c r="G1580" s="6">
        <v>33.2</v>
      </c>
    </row>
    <row r="1581" ht="15.75" customHeight="1" spans="1:7">
      <c r="A1581" s="4" t="s">
        <v>4278</v>
      </c>
      <c r="B1581" s="5" t="s">
        <v>4279</v>
      </c>
      <c r="C1581" s="4" t="s">
        <v>99</v>
      </c>
      <c r="D1581" s="475">
        <v>324.8</v>
      </c>
      <c r="E1581" s="476">
        <v>0.03632</v>
      </c>
      <c r="F1581" s="6">
        <v>0.2584</v>
      </c>
      <c r="G1581" s="6">
        <v>33.2</v>
      </c>
    </row>
    <row r="1582" ht="15.75" customHeight="1" spans="1:7">
      <c r="A1582" s="4" t="s">
        <v>4280</v>
      </c>
      <c r="B1582" s="5" t="s">
        <v>178</v>
      </c>
      <c r="C1582" s="4" t="s">
        <v>99</v>
      </c>
      <c r="D1582" s="475">
        <v>543.72</v>
      </c>
      <c r="E1582" s="476">
        <v>0.03632</v>
      </c>
      <c r="F1582" s="6">
        <v>0.3504</v>
      </c>
      <c r="G1582" s="6">
        <v>24.9</v>
      </c>
    </row>
    <row r="1583" ht="15.75" customHeight="1" spans="1:7">
      <c r="A1583" s="4" t="s">
        <v>4281</v>
      </c>
      <c r="B1583" s="5" t="s">
        <v>4282</v>
      </c>
      <c r="C1583" s="4" t="s">
        <v>99</v>
      </c>
      <c r="D1583" s="475">
        <v>437.56</v>
      </c>
      <c r="E1583" s="476">
        <v>0.03632</v>
      </c>
      <c r="F1583" s="6">
        <v>0.3504</v>
      </c>
      <c r="G1583" s="6">
        <v>24.9</v>
      </c>
    </row>
    <row r="1584" ht="15.75" customHeight="1" spans="1:7">
      <c r="A1584" s="4" t="s">
        <v>4283</v>
      </c>
      <c r="B1584" s="5" t="s">
        <v>4284</v>
      </c>
      <c r="C1584" s="4" t="s">
        <v>99</v>
      </c>
      <c r="D1584" s="475">
        <v>461.13</v>
      </c>
      <c r="E1584" s="476">
        <v>0.03632</v>
      </c>
      <c r="F1584" s="6">
        <v>0.2584</v>
      </c>
      <c r="G1584" s="6">
        <v>33.2</v>
      </c>
    </row>
    <row r="1585" ht="15.75" customHeight="1" spans="1:7">
      <c r="A1585" s="4" t="s">
        <v>4285</v>
      </c>
      <c r="B1585" s="5" t="s">
        <v>4286</v>
      </c>
      <c r="C1585" s="4" t="s">
        <v>99</v>
      </c>
      <c r="D1585" s="475">
        <v>354.97</v>
      </c>
      <c r="E1585" s="476">
        <v>0.03632</v>
      </c>
      <c r="F1585" s="6">
        <v>0.2584</v>
      </c>
      <c r="G1585" s="6">
        <v>33.2</v>
      </c>
    </row>
    <row r="1586" ht="15.75" customHeight="1" spans="1:7">
      <c r="A1586" s="4" t="s">
        <v>4287</v>
      </c>
      <c r="B1586" s="5" t="s">
        <v>4288</v>
      </c>
      <c r="C1586" s="4" t="s">
        <v>99</v>
      </c>
      <c r="D1586" s="475">
        <v>352.8</v>
      </c>
      <c r="E1586" s="476">
        <v>0.04722</v>
      </c>
      <c r="F1586" s="6">
        <v>0.4555</v>
      </c>
      <c r="G1586" s="6">
        <v>24.9</v>
      </c>
    </row>
    <row r="1587" ht="30" customHeight="1" spans="1:7">
      <c r="A1587" s="4" t="s">
        <v>4289</v>
      </c>
      <c r="B1587" s="5" t="s">
        <v>4290</v>
      </c>
      <c r="C1587" s="4" t="s">
        <v>99</v>
      </c>
      <c r="D1587" s="475">
        <v>226.73</v>
      </c>
      <c r="E1587" s="476">
        <v>0.04722</v>
      </c>
      <c r="F1587" s="6">
        <v>0.4555</v>
      </c>
      <c r="G1587" s="6">
        <v>24.9</v>
      </c>
    </row>
    <row r="1588" ht="15.75" customHeight="1" spans="1:7">
      <c r="A1588" s="4" t="s">
        <v>4291</v>
      </c>
      <c r="B1588" s="5" t="s">
        <v>4292</v>
      </c>
      <c r="C1588" s="4" t="s">
        <v>99</v>
      </c>
      <c r="D1588" s="475">
        <v>459.97</v>
      </c>
      <c r="E1588" s="476">
        <v>0.03632</v>
      </c>
      <c r="F1588" s="6">
        <v>2.3331</v>
      </c>
      <c r="G1588" s="6">
        <v>4.00805</v>
      </c>
    </row>
    <row r="1589" ht="30" customHeight="1" spans="1:7">
      <c r="A1589" s="4" t="s">
        <v>4293</v>
      </c>
      <c r="B1589" s="5" t="s">
        <v>4294</v>
      </c>
      <c r="C1589" s="4" t="s">
        <v>99</v>
      </c>
      <c r="D1589" s="475">
        <v>388.6</v>
      </c>
      <c r="E1589" s="476">
        <v>0.03632</v>
      </c>
      <c r="F1589" s="6">
        <v>2.3331</v>
      </c>
      <c r="G1589" s="6">
        <v>4.00805</v>
      </c>
    </row>
    <row r="1590" ht="15.75" customHeight="1" spans="1:7">
      <c r="A1590" s="4" t="s">
        <v>4295</v>
      </c>
      <c r="B1590" s="5" t="s">
        <v>4296</v>
      </c>
      <c r="C1590" s="4" t="s">
        <v>99</v>
      </c>
      <c r="D1590" s="475">
        <v>482.25</v>
      </c>
      <c r="E1590" s="476">
        <v>0.03632</v>
      </c>
      <c r="F1590" s="6">
        <v>0.3504</v>
      </c>
      <c r="G1590" s="6">
        <v>24.9</v>
      </c>
    </row>
    <row r="1591" ht="15.75" customHeight="1" spans="1:7">
      <c r="A1591" s="4" t="s">
        <v>4297</v>
      </c>
      <c r="B1591" s="5" t="s">
        <v>4298</v>
      </c>
      <c r="C1591" s="4" t="s">
        <v>99</v>
      </c>
      <c r="D1591" s="475">
        <v>486.99</v>
      </c>
      <c r="E1591" s="476">
        <v>0.03632</v>
      </c>
      <c r="F1591" s="6">
        <v>0.3504</v>
      </c>
      <c r="G1591" s="6">
        <v>24.9</v>
      </c>
    </row>
    <row r="1592" ht="15.75" customHeight="1" spans="1:7">
      <c r="A1592" s="4" t="s">
        <v>4299</v>
      </c>
      <c r="B1592" s="5" t="s">
        <v>4300</v>
      </c>
      <c r="C1592" s="4" t="s">
        <v>99</v>
      </c>
      <c r="D1592" s="475">
        <v>510.62</v>
      </c>
      <c r="E1592" s="476">
        <v>0.03632</v>
      </c>
      <c r="F1592" s="6">
        <v>0.3504</v>
      </c>
      <c r="G1592" s="6">
        <v>24.9</v>
      </c>
    </row>
    <row r="1593" ht="15.75" customHeight="1" spans="1:7">
      <c r="A1593" s="4" t="s">
        <v>4301</v>
      </c>
      <c r="B1593" s="5" t="s">
        <v>4302</v>
      </c>
      <c r="C1593" s="4" t="s">
        <v>99</v>
      </c>
      <c r="D1593" s="475">
        <v>545.82</v>
      </c>
      <c r="E1593" s="476">
        <v>0.03632</v>
      </c>
      <c r="F1593" s="6">
        <v>0.3504</v>
      </c>
      <c r="G1593" s="6">
        <v>24.9</v>
      </c>
    </row>
    <row r="1594" ht="15.75" customHeight="1" spans="1:7">
      <c r="A1594" s="4" t="s">
        <v>4303</v>
      </c>
      <c r="B1594" s="5" t="s">
        <v>4304</v>
      </c>
      <c r="C1594" s="4" t="s">
        <v>99</v>
      </c>
      <c r="D1594" s="475">
        <v>585.15</v>
      </c>
      <c r="E1594" s="476">
        <v>0.03632</v>
      </c>
      <c r="F1594" s="6">
        <v>0.3504</v>
      </c>
      <c r="G1594" s="6">
        <v>24.9</v>
      </c>
    </row>
    <row r="1595" ht="15.75" customHeight="1" spans="1:7">
      <c r="A1595" s="4" t="s">
        <v>4305</v>
      </c>
      <c r="B1595" s="5" t="s">
        <v>4306</v>
      </c>
      <c r="C1595" s="4" t="s">
        <v>99</v>
      </c>
      <c r="D1595" s="475">
        <v>59.69</v>
      </c>
      <c r="E1595" s="476">
        <v>0.03632</v>
      </c>
      <c r="F1595" s="6">
        <v>0.1465</v>
      </c>
      <c r="G1595" s="6">
        <v>24.9</v>
      </c>
    </row>
    <row r="1596" ht="15.75" customHeight="1" spans="1:7">
      <c r="A1596" s="4" t="s">
        <v>4307</v>
      </c>
      <c r="B1596" s="5" t="s">
        <v>4308</v>
      </c>
      <c r="C1596" s="4" t="s">
        <v>99</v>
      </c>
      <c r="D1596" s="475">
        <v>49.96</v>
      </c>
      <c r="E1596" s="476">
        <v>0.03632</v>
      </c>
      <c r="F1596" s="6">
        <v>0.1099</v>
      </c>
      <c r="G1596" s="6">
        <v>33.2</v>
      </c>
    </row>
    <row r="1597" ht="15.75" customHeight="1" spans="1:7">
      <c r="A1597" s="4" t="s">
        <v>4309</v>
      </c>
      <c r="B1597" s="5" t="s">
        <v>4310</v>
      </c>
      <c r="C1597" s="4" t="s">
        <v>99</v>
      </c>
      <c r="D1597" s="475">
        <v>68.05</v>
      </c>
      <c r="E1597" s="476">
        <v>0.03632</v>
      </c>
      <c r="F1597" s="6">
        <v>0.4341</v>
      </c>
      <c r="G1597" s="6">
        <v>24.9</v>
      </c>
    </row>
    <row r="1598" ht="15.75" customHeight="1" spans="1:7">
      <c r="A1598" s="4" t="s">
        <v>4311</v>
      </c>
      <c r="B1598" s="5" t="s">
        <v>4312</v>
      </c>
      <c r="C1598" s="4" t="s">
        <v>99</v>
      </c>
      <c r="D1598" s="475">
        <v>58.58</v>
      </c>
      <c r="E1598" s="476">
        <v>0.03632</v>
      </c>
      <c r="F1598" s="6">
        <v>0.4065</v>
      </c>
      <c r="G1598" s="6">
        <v>33.2</v>
      </c>
    </row>
    <row r="1599" ht="15.75" customHeight="1" spans="1:7">
      <c r="A1599" s="4" t="s">
        <v>4313</v>
      </c>
      <c r="B1599" s="5" t="s">
        <v>4314</v>
      </c>
      <c r="C1599" s="4" t="s">
        <v>99</v>
      </c>
      <c r="D1599" s="475">
        <v>15.66</v>
      </c>
      <c r="E1599" s="476">
        <v>0.03632</v>
      </c>
      <c r="F1599" s="6">
        <v>0.5433</v>
      </c>
      <c r="G1599" s="6">
        <v>16.6</v>
      </c>
    </row>
    <row r="1600" ht="15.75" customHeight="1" spans="1:7">
      <c r="A1600" s="4" t="s">
        <v>4315</v>
      </c>
      <c r="B1600" s="5" t="s">
        <v>4316</v>
      </c>
      <c r="C1600" s="4" t="s">
        <v>99</v>
      </c>
      <c r="D1600" s="475">
        <v>66.14</v>
      </c>
      <c r="E1600" s="476">
        <v>0.03632</v>
      </c>
      <c r="F1600" s="6">
        <v>0.404</v>
      </c>
      <c r="G1600" s="6">
        <v>33.2</v>
      </c>
    </row>
    <row r="1601" ht="15.75" customHeight="1" spans="1:7">
      <c r="A1601" s="4" t="s">
        <v>4317</v>
      </c>
      <c r="B1601" s="5" t="s">
        <v>4318</v>
      </c>
      <c r="C1601" s="4" t="s">
        <v>99</v>
      </c>
      <c r="D1601" s="475">
        <v>72.5</v>
      </c>
      <c r="E1601" s="476">
        <v>0.03632</v>
      </c>
      <c r="F1601" s="6">
        <v>0.4129</v>
      </c>
      <c r="G1601" s="6">
        <v>24.9</v>
      </c>
    </row>
    <row r="1602" ht="30" customHeight="1" spans="1:7">
      <c r="A1602" s="4" t="s">
        <v>4319</v>
      </c>
      <c r="B1602" s="5" t="s">
        <v>4320</v>
      </c>
      <c r="C1602" s="4" t="s">
        <v>99</v>
      </c>
      <c r="D1602" s="475">
        <v>22.9</v>
      </c>
      <c r="E1602" s="476">
        <v>0.03632</v>
      </c>
      <c r="F1602" s="6">
        <v>0.6193</v>
      </c>
      <c r="G1602" s="6">
        <v>16.6</v>
      </c>
    </row>
    <row r="1603" ht="15.75" customHeight="1" spans="1:7">
      <c r="A1603" s="4" t="s">
        <v>4321</v>
      </c>
      <c r="B1603" s="5" t="s">
        <v>4322</v>
      </c>
      <c r="C1603" s="4" t="s">
        <v>99</v>
      </c>
      <c r="D1603" s="475">
        <v>59.62</v>
      </c>
      <c r="E1603" s="476">
        <v>0.03632</v>
      </c>
      <c r="F1603" s="6">
        <v>0.3123</v>
      </c>
      <c r="G1603" s="6">
        <v>33.2</v>
      </c>
    </row>
    <row r="1604" ht="15.75" customHeight="1" spans="1:7">
      <c r="A1604" s="4" t="s">
        <v>4323</v>
      </c>
      <c r="B1604" s="5" t="s">
        <v>4324</v>
      </c>
      <c r="C1604" s="4" t="s">
        <v>99</v>
      </c>
      <c r="D1604" s="475">
        <v>3779.09</v>
      </c>
      <c r="E1604" s="476">
        <v>0.03632</v>
      </c>
      <c r="F1604" s="6">
        <v>5.2375</v>
      </c>
      <c r="G1604" s="6">
        <v>1.25758</v>
      </c>
    </row>
    <row r="1605" ht="15.75" customHeight="1" spans="1:7">
      <c r="A1605" s="4" t="s">
        <v>4325</v>
      </c>
      <c r="B1605" s="5" t="s">
        <v>4326</v>
      </c>
      <c r="C1605" s="4" t="s">
        <v>99</v>
      </c>
      <c r="D1605" s="475">
        <v>3721.41</v>
      </c>
      <c r="E1605" s="476">
        <v>0.03632</v>
      </c>
      <c r="F1605" s="6">
        <v>5.3764</v>
      </c>
      <c r="G1605" s="6">
        <v>1.22509</v>
      </c>
    </row>
    <row r="1606" ht="15.75" customHeight="1" spans="1:7">
      <c r="A1606" s="4" t="s">
        <v>4327</v>
      </c>
      <c r="B1606" s="5" t="s">
        <v>4328</v>
      </c>
      <c r="C1606" s="4" t="s">
        <v>99</v>
      </c>
      <c r="D1606" s="475">
        <v>577.5</v>
      </c>
      <c r="E1606" s="476">
        <v>0.03632</v>
      </c>
      <c r="F1606" s="6">
        <v>1.6518</v>
      </c>
      <c r="G1606" s="6">
        <v>3.91356</v>
      </c>
    </row>
    <row r="1607" ht="15.75" customHeight="1" spans="1:7">
      <c r="A1607" s="4" t="s">
        <v>4329</v>
      </c>
      <c r="B1607" s="5" t="s">
        <v>4330</v>
      </c>
      <c r="C1607" s="4" t="s">
        <v>99</v>
      </c>
      <c r="D1607" s="475">
        <v>616.03</v>
      </c>
      <c r="E1607" s="476">
        <v>0.03632</v>
      </c>
      <c r="F1607" s="6">
        <v>1.6647</v>
      </c>
      <c r="G1607" s="6">
        <v>3.88304</v>
      </c>
    </row>
    <row r="1608" ht="15.75" customHeight="1" spans="1:7">
      <c r="A1608" s="4" t="s">
        <v>4331</v>
      </c>
      <c r="B1608" s="5" t="s">
        <v>4332</v>
      </c>
      <c r="C1608" s="4" t="s">
        <v>99</v>
      </c>
      <c r="D1608" s="475">
        <v>659.14</v>
      </c>
      <c r="E1608" s="476">
        <v>0.03632</v>
      </c>
      <c r="F1608" s="6">
        <v>1.681</v>
      </c>
      <c r="G1608" s="6">
        <v>3.84556</v>
      </c>
    </row>
    <row r="1609" ht="15.75" customHeight="1" spans="1:7">
      <c r="A1609" s="4" t="s">
        <v>4333</v>
      </c>
      <c r="B1609" s="5" t="s">
        <v>4334</v>
      </c>
      <c r="C1609" s="4" t="s">
        <v>99</v>
      </c>
      <c r="D1609" s="475">
        <v>592.64</v>
      </c>
      <c r="E1609" s="476">
        <v>0.03632</v>
      </c>
      <c r="F1609" s="6">
        <v>0.3504</v>
      </c>
      <c r="G1609" s="6">
        <v>24.9</v>
      </c>
    </row>
    <row r="1610" ht="15.75" customHeight="1" spans="1:7">
      <c r="A1610" s="4" t="s">
        <v>4335</v>
      </c>
      <c r="B1610" s="5" t="s">
        <v>4336</v>
      </c>
      <c r="C1610" s="4" t="s">
        <v>99</v>
      </c>
      <c r="D1610" s="475">
        <v>761.27</v>
      </c>
      <c r="E1610" s="476">
        <v>0.03632</v>
      </c>
      <c r="F1610" s="6">
        <v>1.7231</v>
      </c>
      <c r="G1610" s="6">
        <v>3.75141</v>
      </c>
    </row>
    <row r="1611" ht="15.75" customHeight="1" spans="1:7">
      <c r="A1611" s="4" t="s">
        <v>4337</v>
      </c>
      <c r="B1611" s="5" t="s">
        <v>4338</v>
      </c>
      <c r="C1611" s="4" t="s">
        <v>99</v>
      </c>
      <c r="D1611" s="475">
        <v>686.25</v>
      </c>
      <c r="E1611" s="476">
        <v>0.03632</v>
      </c>
      <c r="F1611" s="6">
        <v>0.3504</v>
      </c>
      <c r="G1611" s="6">
        <v>24.9</v>
      </c>
    </row>
    <row r="1612" ht="15.75" customHeight="1" spans="1:7">
      <c r="A1612" s="4" t="s">
        <v>4339</v>
      </c>
      <c r="B1612" s="5" t="s">
        <v>4340</v>
      </c>
      <c r="C1612" s="4" t="s">
        <v>99</v>
      </c>
      <c r="D1612" s="475">
        <v>923.96</v>
      </c>
      <c r="E1612" s="476">
        <v>0.03632</v>
      </c>
      <c r="F1612" s="6">
        <v>3.6725</v>
      </c>
      <c r="G1612" s="6">
        <v>3.55572</v>
      </c>
    </row>
    <row r="1613" ht="15.75" customHeight="1" spans="1:7">
      <c r="A1613" s="4" t="s">
        <v>4341</v>
      </c>
      <c r="B1613" s="5" t="s">
        <v>4342</v>
      </c>
      <c r="C1613" s="4" t="s">
        <v>99</v>
      </c>
      <c r="D1613" s="475">
        <v>1156.85</v>
      </c>
      <c r="E1613" s="476">
        <v>0.03632</v>
      </c>
      <c r="F1613" s="6">
        <v>5.2027</v>
      </c>
      <c r="G1613" s="6">
        <v>2.50992</v>
      </c>
    </row>
    <row r="1614" ht="15.75" customHeight="1" spans="1:7">
      <c r="A1614" s="4" t="s">
        <v>4343</v>
      </c>
      <c r="B1614" s="5" t="s">
        <v>4344</v>
      </c>
      <c r="C1614" s="4" t="s">
        <v>99</v>
      </c>
      <c r="D1614" s="475">
        <v>1769.79</v>
      </c>
      <c r="E1614" s="476">
        <v>0.03632</v>
      </c>
      <c r="F1614" s="6">
        <v>10.4887</v>
      </c>
      <c r="G1614" s="6">
        <v>1.245</v>
      </c>
    </row>
    <row r="1615" ht="15.75" customHeight="1" spans="1:7">
      <c r="A1615" s="4" t="s">
        <v>4345</v>
      </c>
      <c r="B1615" s="5" t="s">
        <v>4346</v>
      </c>
      <c r="C1615" s="4" t="s">
        <v>99</v>
      </c>
      <c r="D1615" s="475">
        <v>969.29</v>
      </c>
      <c r="E1615" s="476">
        <v>0.03632</v>
      </c>
      <c r="F1615" s="6">
        <v>3.6725</v>
      </c>
      <c r="G1615" s="6">
        <v>3.55572</v>
      </c>
    </row>
    <row r="1616" ht="15.75" customHeight="1" spans="1:7">
      <c r="A1616" s="4" t="s">
        <v>4347</v>
      </c>
      <c r="B1616" s="5" t="s">
        <v>4348</v>
      </c>
      <c r="C1616" s="4" t="s">
        <v>99</v>
      </c>
      <c r="D1616" s="475">
        <v>1211.89</v>
      </c>
      <c r="E1616" s="476">
        <v>0.03632</v>
      </c>
      <c r="F1616" s="6">
        <v>5.2027</v>
      </c>
      <c r="G1616" s="6">
        <v>2.50992</v>
      </c>
    </row>
    <row r="1617" ht="15.75" customHeight="1" spans="1:7">
      <c r="A1617" s="4" t="s">
        <v>4349</v>
      </c>
      <c r="B1617" s="5" t="s">
        <v>4350</v>
      </c>
      <c r="C1617" s="4" t="s">
        <v>99</v>
      </c>
      <c r="D1617" s="475">
        <v>1846.85</v>
      </c>
      <c r="E1617" s="476">
        <v>0.03632</v>
      </c>
      <c r="F1617" s="6">
        <v>10.4887</v>
      </c>
      <c r="G1617" s="6">
        <v>1.245</v>
      </c>
    </row>
    <row r="1618" ht="15.75" customHeight="1" spans="1:7">
      <c r="A1618" s="4" t="s">
        <v>4351</v>
      </c>
      <c r="B1618" s="5" t="s">
        <v>4352</v>
      </c>
      <c r="C1618" s="4" t="s">
        <v>99</v>
      </c>
      <c r="D1618" s="475">
        <v>1020</v>
      </c>
      <c r="E1618" s="476">
        <v>0.03632</v>
      </c>
      <c r="F1618" s="6">
        <v>3.6725</v>
      </c>
      <c r="G1618" s="6">
        <v>3.55572</v>
      </c>
    </row>
    <row r="1619" ht="15.75" customHeight="1" spans="1:7">
      <c r="A1619" s="4" t="s">
        <v>4353</v>
      </c>
      <c r="B1619" s="5" t="s">
        <v>4354</v>
      </c>
      <c r="C1619" s="4" t="s">
        <v>99</v>
      </c>
      <c r="D1619" s="475">
        <v>1273.48</v>
      </c>
      <c r="E1619" s="476">
        <v>0.03632</v>
      </c>
      <c r="F1619" s="6">
        <v>5.2027</v>
      </c>
      <c r="G1619" s="6">
        <v>2.50992</v>
      </c>
    </row>
    <row r="1620" ht="15.75" customHeight="1" spans="1:7">
      <c r="A1620" s="4" t="s">
        <v>4355</v>
      </c>
      <c r="B1620" s="5" t="s">
        <v>4356</v>
      </c>
      <c r="C1620" s="4" t="s">
        <v>99</v>
      </c>
      <c r="D1620" s="475">
        <v>1933.07</v>
      </c>
      <c r="E1620" s="476">
        <v>0.03632</v>
      </c>
      <c r="F1620" s="6">
        <v>10.4887</v>
      </c>
      <c r="G1620" s="6">
        <v>1.245</v>
      </c>
    </row>
    <row r="1621" ht="15.75" customHeight="1" spans="1:7">
      <c r="A1621" s="4" t="s">
        <v>4357</v>
      </c>
      <c r="B1621" s="5" t="s">
        <v>4358</v>
      </c>
      <c r="C1621" s="4" t="s">
        <v>99</v>
      </c>
      <c r="D1621" s="475">
        <v>1140.16</v>
      </c>
      <c r="E1621" s="476">
        <v>0.03632</v>
      </c>
      <c r="F1621" s="6">
        <v>3.6725</v>
      </c>
      <c r="G1621" s="6">
        <v>3.55572</v>
      </c>
    </row>
    <row r="1622" ht="15.75" customHeight="1" spans="1:7">
      <c r="A1622" s="4" t="s">
        <v>4359</v>
      </c>
      <c r="B1622" s="5" t="s">
        <v>4360</v>
      </c>
      <c r="C1622" s="4" t="s">
        <v>99</v>
      </c>
      <c r="D1622" s="475">
        <v>1419.38</v>
      </c>
      <c r="E1622" s="476">
        <v>0.03632</v>
      </c>
      <c r="F1622" s="6">
        <v>5.2027</v>
      </c>
      <c r="G1622" s="6">
        <v>2.50992</v>
      </c>
    </row>
    <row r="1623" ht="15.75" customHeight="1" spans="1:7">
      <c r="A1623" s="4" t="s">
        <v>4361</v>
      </c>
      <c r="B1623" s="5" t="s">
        <v>4362</v>
      </c>
      <c r="C1623" s="4" t="s">
        <v>99</v>
      </c>
      <c r="D1623" s="475">
        <v>2137.33</v>
      </c>
      <c r="E1623" s="476">
        <v>0.03632</v>
      </c>
      <c r="F1623" s="6">
        <v>10.4887</v>
      </c>
      <c r="G1623" s="6">
        <v>1.245</v>
      </c>
    </row>
    <row r="1624" ht="15.75" customHeight="1" spans="1:7">
      <c r="A1624" s="4" t="s">
        <v>4363</v>
      </c>
      <c r="B1624" s="5" t="s">
        <v>4364</v>
      </c>
      <c r="C1624" s="4" t="s">
        <v>99</v>
      </c>
      <c r="D1624" s="475">
        <v>914.65</v>
      </c>
      <c r="E1624" s="476">
        <v>0</v>
      </c>
      <c r="F1624" s="6">
        <v>0</v>
      </c>
      <c r="G1624" s="6">
        <v>10.16</v>
      </c>
    </row>
    <row r="1625" ht="15.75" customHeight="1" spans="1:7">
      <c r="A1625" s="4" t="s">
        <v>4365</v>
      </c>
      <c r="B1625" s="5" t="s">
        <v>4366</v>
      </c>
      <c r="C1625" s="4" t="s">
        <v>99</v>
      </c>
      <c r="D1625" s="475">
        <v>890.68</v>
      </c>
      <c r="E1625" s="476">
        <v>0</v>
      </c>
      <c r="F1625" s="6">
        <v>0</v>
      </c>
      <c r="G1625" s="6">
        <v>12.06</v>
      </c>
    </row>
    <row r="1626" ht="15.75" customHeight="1" spans="1:7">
      <c r="A1626" s="4" t="s">
        <v>4367</v>
      </c>
      <c r="B1626" s="5" t="s">
        <v>4368</v>
      </c>
      <c r="C1626" s="4" t="s">
        <v>99</v>
      </c>
      <c r="D1626" s="475">
        <v>871.52</v>
      </c>
      <c r="E1626" s="476">
        <v>0</v>
      </c>
      <c r="F1626" s="6">
        <v>0</v>
      </c>
      <c r="G1626" s="6">
        <v>14.18</v>
      </c>
    </row>
    <row r="1627" ht="15.75" customHeight="1" spans="1:7">
      <c r="A1627" s="4" t="s">
        <v>4369</v>
      </c>
      <c r="B1627" s="5" t="s">
        <v>4370</v>
      </c>
      <c r="C1627" s="4" t="s">
        <v>99</v>
      </c>
      <c r="D1627" s="475">
        <v>849.46</v>
      </c>
      <c r="E1627" s="476">
        <v>0</v>
      </c>
      <c r="F1627" s="6">
        <v>0</v>
      </c>
      <c r="G1627" s="6">
        <v>17.78</v>
      </c>
    </row>
    <row r="1628" ht="15.75" customHeight="1" spans="1:7">
      <c r="A1628" s="4" t="s">
        <v>4371</v>
      </c>
      <c r="B1628" s="5" t="s">
        <v>4372</v>
      </c>
      <c r="C1628" s="4" t="s">
        <v>99</v>
      </c>
      <c r="D1628" s="475">
        <v>964.77</v>
      </c>
      <c r="E1628" s="476">
        <v>0</v>
      </c>
      <c r="F1628" s="6">
        <v>0</v>
      </c>
      <c r="G1628" s="6">
        <v>8.62785</v>
      </c>
    </row>
    <row r="1629" ht="15.75" customHeight="1" spans="1:7">
      <c r="A1629" s="4" t="s">
        <v>4373</v>
      </c>
      <c r="B1629" s="5" t="s">
        <v>4374</v>
      </c>
      <c r="C1629" s="4" t="s">
        <v>99</v>
      </c>
      <c r="D1629" s="475">
        <v>933.11</v>
      </c>
      <c r="E1629" s="476">
        <v>0</v>
      </c>
      <c r="F1629" s="6">
        <v>0</v>
      </c>
      <c r="G1629" s="6">
        <v>10.48</v>
      </c>
    </row>
    <row r="1630" ht="15.75" customHeight="1" spans="1:7">
      <c r="A1630" s="4" t="s">
        <v>4375</v>
      </c>
      <c r="B1630" s="5" t="s">
        <v>4376</v>
      </c>
      <c r="C1630" s="4" t="s">
        <v>99</v>
      </c>
      <c r="D1630" s="475">
        <v>908.98</v>
      </c>
      <c r="E1630" s="476">
        <v>0</v>
      </c>
      <c r="F1630" s="6">
        <v>0</v>
      </c>
      <c r="G1630" s="6">
        <v>12.53</v>
      </c>
    </row>
    <row r="1631" ht="15.75" customHeight="1" spans="1:7">
      <c r="A1631" s="4" t="s">
        <v>4377</v>
      </c>
      <c r="B1631" s="5" t="s">
        <v>4378</v>
      </c>
      <c r="C1631" s="4" t="s">
        <v>99</v>
      </c>
      <c r="D1631" s="475">
        <v>883.33</v>
      </c>
      <c r="E1631" s="476">
        <v>0</v>
      </c>
      <c r="F1631" s="6">
        <v>0</v>
      </c>
      <c r="G1631" s="6">
        <v>15.82</v>
      </c>
    </row>
    <row r="1632" ht="15.75" customHeight="1" spans="1:7">
      <c r="A1632" s="4" t="s">
        <v>4379</v>
      </c>
      <c r="B1632" s="5" t="s">
        <v>4380</v>
      </c>
      <c r="C1632" s="4" t="s">
        <v>99</v>
      </c>
      <c r="D1632" s="475">
        <v>1025.71</v>
      </c>
      <c r="E1632" s="476">
        <v>0</v>
      </c>
      <c r="F1632" s="6">
        <v>0</v>
      </c>
      <c r="G1632" s="6">
        <v>7.1712</v>
      </c>
    </row>
    <row r="1633" ht="15.75" customHeight="1" spans="1:7">
      <c r="A1633" s="4" t="s">
        <v>4381</v>
      </c>
      <c r="B1633" s="5" t="s">
        <v>4382</v>
      </c>
      <c r="C1633" s="4" t="s">
        <v>99</v>
      </c>
      <c r="D1633" s="475">
        <v>982.6</v>
      </c>
      <c r="E1633" s="476">
        <v>0</v>
      </c>
      <c r="F1633" s="6">
        <v>0</v>
      </c>
      <c r="G1633" s="6">
        <v>8.964</v>
      </c>
    </row>
    <row r="1634" ht="15.75" customHeight="1" spans="1:7">
      <c r="A1634" s="4" t="s">
        <v>4383</v>
      </c>
      <c r="B1634" s="5" t="s">
        <v>4384</v>
      </c>
      <c r="C1634" s="4" t="s">
        <v>99</v>
      </c>
      <c r="D1634" s="475">
        <v>946.36</v>
      </c>
      <c r="E1634" s="476">
        <v>0</v>
      </c>
      <c r="F1634" s="6">
        <v>0</v>
      </c>
      <c r="G1634" s="6">
        <v>11.35</v>
      </c>
    </row>
    <row r="1635" ht="15.75" customHeight="1" spans="1:7">
      <c r="A1635" s="4" t="s">
        <v>4385</v>
      </c>
      <c r="B1635" s="5" t="s">
        <v>4386</v>
      </c>
      <c r="C1635" s="4" t="s">
        <v>99</v>
      </c>
      <c r="D1635" s="475">
        <v>916.48</v>
      </c>
      <c r="E1635" s="476">
        <v>0</v>
      </c>
      <c r="F1635" s="6">
        <v>0</v>
      </c>
      <c r="G1635" s="6">
        <v>14.54</v>
      </c>
    </row>
    <row r="1636" ht="15.75" customHeight="1" spans="1:7">
      <c r="A1636" s="4" t="s">
        <v>4387</v>
      </c>
      <c r="B1636" s="5" t="s">
        <v>4388</v>
      </c>
      <c r="C1636" s="4" t="s">
        <v>99</v>
      </c>
      <c r="D1636" s="475">
        <v>1103.28</v>
      </c>
      <c r="E1636" s="476">
        <v>0</v>
      </c>
      <c r="F1636" s="6">
        <v>0</v>
      </c>
      <c r="G1636" s="6">
        <v>5.78925</v>
      </c>
    </row>
    <row r="1637" ht="15.75" customHeight="1" spans="1:7">
      <c r="A1637" s="4" t="s">
        <v>4389</v>
      </c>
      <c r="B1637" s="5" t="s">
        <v>4390</v>
      </c>
      <c r="C1637" s="4" t="s">
        <v>99</v>
      </c>
      <c r="D1637" s="475">
        <v>1041.68</v>
      </c>
      <c r="E1637" s="476">
        <v>0</v>
      </c>
      <c r="F1637" s="6">
        <v>0</v>
      </c>
      <c r="G1637" s="6">
        <v>7.52603</v>
      </c>
    </row>
    <row r="1638" ht="15.75" customHeight="1" spans="1:7">
      <c r="A1638" s="4" t="s">
        <v>4391</v>
      </c>
      <c r="B1638" s="5" t="s">
        <v>4392</v>
      </c>
      <c r="C1638" s="4" t="s">
        <v>99</v>
      </c>
      <c r="D1638" s="475">
        <v>999.77</v>
      </c>
      <c r="E1638" s="476">
        <v>0</v>
      </c>
      <c r="F1638" s="6">
        <v>0</v>
      </c>
      <c r="G1638" s="6">
        <v>9.45578</v>
      </c>
    </row>
    <row r="1639" ht="15.75" customHeight="1" spans="1:7">
      <c r="A1639" s="4" t="s">
        <v>4393</v>
      </c>
      <c r="B1639" s="5" t="s">
        <v>4394</v>
      </c>
      <c r="C1639" s="4" t="s">
        <v>99</v>
      </c>
      <c r="D1639" s="475">
        <v>957.63</v>
      </c>
      <c r="E1639" s="476">
        <v>0</v>
      </c>
      <c r="F1639" s="6">
        <v>0</v>
      </c>
      <c r="G1639" s="6">
        <v>12.74</v>
      </c>
    </row>
    <row r="1640" ht="15.75" customHeight="1" spans="1:7">
      <c r="A1640" s="4" t="s">
        <v>4395</v>
      </c>
      <c r="B1640" s="5" t="s">
        <v>4396</v>
      </c>
      <c r="C1640" s="4" t="s">
        <v>99</v>
      </c>
      <c r="D1640" s="475">
        <v>1253.42</v>
      </c>
      <c r="E1640" s="476">
        <v>0</v>
      </c>
      <c r="F1640" s="6">
        <v>0</v>
      </c>
      <c r="G1640" s="6">
        <v>1.494</v>
      </c>
    </row>
    <row r="1641" ht="15.75" customHeight="1" spans="1:7">
      <c r="A1641" s="4" t="s">
        <v>4397</v>
      </c>
      <c r="B1641" s="5" t="s">
        <v>4398</v>
      </c>
      <c r="C1641" s="4" t="s">
        <v>99</v>
      </c>
      <c r="D1641" s="475">
        <v>1218.98</v>
      </c>
      <c r="E1641" s="476">
        <v>0</v>
      </c>
      <c r="F1641" s="6">
        <v>0</v>
      </c>
      <c r="G1641" s="6">
        <v>1.68075</v>
      </c>
    </row>
    <row r="1642" ht="15.75" customHeight="1" spans="1:7">
      <c r="A1642" s="4" t="s">
        <v>4399</v>
      </c>
      <c r="B1642" s="5" t="s">
        <v>4400</v>
      </c>
      <c r="C1642" s="4" t="s">
        <v>99</v>
      </c>
      <c r="D1642" s="475">
        <v>1191.42</v>
      </c>
      <c r="E1642" s="476">
        <v>0</v>
      </c>
      <c r="F1642" s="6">
        <v>0</v>
      </c>
      <c r="G1642" s="6">
        <v>1.8675</v>
      </c>
    </row>
    <row r="1643" ht="15.75" customHeight="1" spans="1:7">
      <c r="A1643" s="4" t="s">
        <v>4401</v>
      </c>
      <c r="B1643" s="5" t="s">
        <v>4402</v>
      </c>
      <c r="C1643" s="4" t="s">
        <v>99</v>
      </c>
      <c r="D1643" s="475">
        <v>1150.1</v>
      </c>
      <c r="E1643" s="476">
        <v>0</v>
      </c>
      <c r="F1643" s="6">
        <v>0</v>
      </c>
      <c r="G1643" s="6">
        <v>2.241</v>
      </c>
    </row>
    <row r="1644" ht="15.75" customHeight="1" spans="1:7">
      <c r="A1644" s="4" t="s">
        <v>4403</v>
      </c>
      <c r="B1644" s="5" t="s">
        <v>4404</v>
      </c>
      <c r="C1644" s="4" t="s">
        <v>99</v>
      </c>
      <c r="D1644" s="475">
        <v>1403.52</v>
      </c>
      <c r="E1644" s="476">
        <v>0</v>
      </c>
      <c r="F1644" s="6">
        <v>0</v>
      </c>
      <c r="G1644" s="6">
        <v>1.08315</v>
      </c>
    </row>
    <row r="1645" ht="15.75" customHeight="1" spans="1:7">
      <c r="A1645" s="4" t="s">
        <v>4405</v>
      </c>
      <c r="B1645" s="5" t="s">
        <v>4406</v>
      </c>
      <c r="C1645" s="4" t="s">
        <v>99</v>
      </c>
      <c r="D1645" s="475">
        <v>1360.77</v>
      </c>
      <c r="E1645" s="476">
        <v>0</v>
      </c>
      <c r="F1645" s="6">
        <v>0</v>
      </c>
      <c r="G1645" s="6">
        <v>1.2035</v>
      </c>
    </row>
    <row r="1646" ht="15.75" customHeight="1" spans="1:7">
      <c r="A1646" s="4" t="s">
        <v>4407</v>
      </c>
      <c r="B1646" s="5" t="s">
        <v>4408</v>
      </c>
      <c r="C1646" s="4" t="s">
        <v>99</v>
      </c>
      <c r="D1646" s="475">
        <v>1296.64</v>
      </c>
      <c r="E1646" s="476">
        <v>0</v>
      </c>
      <c r="F1646" s="6">
        <v>0</v>
      </c>
      <c r="G1646" s="6">
        <v>1.4442</v>
      </c>
    </row>
    <row r="1647" ht="15.75" customHeight="1" spans="1:7">
      <c r="A1647" s="4" t="s">
        <v>4409</v>
      </c>
      <c r="B1647" s="5" t="s">
        <v>4410</v>
      </c>
      <c r="C1647" s="4" t="s">
        <v>99</v>
      </c>
      <c r="D1647" s="475">
        <v>1232.51</v>
      </c>
      <c r="E1647" s="476">
        <v>0</v>
      </c>
      <c r="F1647" s="6">
        <v>0</v>
      </c>
      <c r="G1647" s="6">
        <v>1.80525</v>
      </c>
    </row>
    <row r="1648" ht="15.75" customHeight="1" spans="1:7">
      <c r="A1648" s="4" t="s">
        <v>4411</v>
      </c>
      <c r="B1648" s="5" t="s">
        <v>4412</v>
      </c>
      <c r="C1648" s="4" t="s">
        <v>99</v>
      </c>
      <c r="D1648" s="475">
        <v>1024.78</v>
      </c>
      <c r="E1648" s="476">
        <v>0</v>
      </c>
      <c r="F1648" s="6">
        <v>0</v>
      </c>
      <c r="G1648" s="6">
        <v>10.16</v>
      </c>
    </row>
    <row r="1649" ht="15.75" customHeight="1" spans="1:7">
      <c r="A1649" s="4" t="s">
        <v>4413</v>
      </c>
      <c r="B1649" s="5" t="s">
        <v>4414</v>
      </c>
      <c r="C1649" s="4" t="s">
        <v>99</v>
      </c>
      <c r="D1649" s="475">
        <v>1000.81</v>
      </c>
      <c r="E1649" s="476">
        <v>0</v>
      </c>
      <c r="F1649" s="6">
        <v>0</v>
      </c>
      <c r="G1649" s="6">
        <v>12.06</v>
      </c>
    </row>
    <row r="1650" ht="15.75" customHeight="1" spans="1:7">
      <c r="A1650" s="4" t="s">
        <v>4415</v>
      </c>
      <c r="B1650" s="5" t="s">
        <v>4416</v>
      </c>
      <c r="C1650" s="4" t="s">
        <v>99</v>
      </c>
      <c r="D1650" s="475">
        <v>981.65</v>
      </c>
      <c r="E1650" s="476">
        <v>0</v>
      </c>
      <c r="F1650" s="6">
        <v>0</v>
      </c>
      <c r="G1650" s="6">
        <v>14.18</v>
      </c>
    </row>
    <row r="1651" ht="15.75" customHeight="1" spans="1:7">
      <c r="A1651" s="4" t="s">
        <v>4417</v>
      </c>
      <c r="B1651" s="5" t="s">
        <v>4418</v>
      </c>
      <c r="C1651" s="4" t="s">
        <v>99</v>
      </c>
      <c r="D1651" s="475">
        <v>959.58</v>
      </c>
      <c r="E1651" s="476">
        <v>0</v>
      </c>
      <c r="F1651" s="6">
        <v>0</v>
      </c>
      <c r="G1651" s="6">
        <v>17.78</v>
      </c>
    </row>
    <row r="1652" ht="15.75" customHeight="1" spans="1:7">
      <c r="A1652" s="4" t="s">
        <v>4419</v>
      </c>
      <c r="B1652" s="5" t="s">
        <v>4420</v>
      </c>
      <c r="C1652" s="4" t="s">
        <v>99</v>
      </c>
      <c r="D1652" s="475">
        <v>1078.23</v>
      </c>
      <c r="E1652" s="476">
        <v>0</v>
      </c>
      <c r="F1652" s="6">
        <v>0</v>
      </c>
      <c r="G1652" s="6">
        <v>8.62785</v>
      </c>
    </row>
    <row r="1653" ht="15.75" customHeight="1" spans="1:7">
      <c r="A1653" s="4" t="s">
        <v>4421</v>
      </c>
      <c r="B1653" s="5" t="s">
        <v>4422</v>
      </c>
      <c r="C1653" s="4" t="s">
        <v>99</v>
      </c>
      <c r="D1653" s="475">
        <v>1046.58</v>
      </c>
      <c r="E1653" s="476">
        <v>0</v>
      </c>
      <c r="F1653" s="6">
        <v>0</v>
      </c>
      <c r="G1653" s="6">
        <v>10.48</v>
      </c>
    </row>
    <row r="1654" ht="15.75" customHeight="1" spans="1:7">
      <c r="A1654" s="4" t="s">
        <v>4423</v>
      </c>
      <c r="B1654" s="5" t="s">
        <v>4424</v>
      </c>
      <c r="C1654" s="4" t="s">
        <v>99</v>
      </c>
      <c r="D1654" s="475">
        <v>1022.45</v>
      </c>
      <c r="E1654" s="476">
        <v>0</v>
      </c>
      <c r="F1654" s="6">
        <v>0</v>
      </c>
      <c r="G1654" s="6">
        <v>12.53</v>
      </c>
    </row>
    <row r="1655" ht="15.75" customHeight="1" spans="1:7">
      <c r="A1655" s="4" t="s">
        <v>4425</v>
      </c>
      <c r="B1655" s="5" t="s">
        <v>4426</v>
      </c>
      <c r="C1655" s="4" t="s">
        <v>99</v>
      </c>
      <c r="D1655" s="475">
        <v>996.8</v>
      </c>
      <c r="E1655" s="476">
        <v>0</v>
      </c>
      <c r="F1655" s="6">
        <v>0</v>
      </c>
      <c r="G1655" s="6">
        <v>15.82</v>
      </c>
    </row>
    <row r="1656" ht="15.75" customHeight="1" spans="1:7">
      <c r="A1656" s="4" t="s">
        <v>4427</v>
      </c>
      <c r="B1656" s="5" t="s">
        <v>4428</v>
      </c>
      <c r="C1656" s="4" t="s">
        <v>99</v>
      </c>
      <c r="D1656" s="475">
        <v>1142.72</v>
      </c>
      <c r="E1656" s="476">
        <v>0</v>
      </c>
      <c r="F1656" s="6">
        <v>0</v>
      </c>
      <c r="G1656" s="6">
        <v>7.1712</v>
      </c>
    </row>
    <row r="1657" ht="15.75" customHeight="1" spans="1:7">
      <c r="A1657" s="4" t="s">
        <v>4429</v>
      </c>
      <c r="B1657" s="5" t="s">
        <v>4430</v>
      </c>
      <c r="C1657" s="4" t="s">
        <v>99</v>
      </c>
      <c r="D1657" s="475">
        <v>1099.61</v>
      </c>
      <c r="E1657" s="476">
        <v>0</v>
      </c>
      <c r="F1657" s="6">
        <v>0</v>
      </c>
      <c r="G1657" s="6">
        <v>8.964</v>
      </c>
    </row>
    <row r="1658" ht="15.75" customHeight="1" spans="1:7">
      <c r="A1658" s="4" t="s">
        <v>4431</v>
      </c>
      <c r="B1658" s="5" t="s">
        <v>4432</v>
      </c>
      <c r="C1658" s="4" t="s">
        <v>99</v>
      </c>
      <c r="D1658" s="475">
        <v>1063.37</v>
      </c>
      <c r="E1658" s="476">
        <v>0</v>
      </c>
      <c r="F1658" s="6">
        <v>0</v>
      </c>
      <c r="G1658" s="6">
        <v>11.35</v>
      </c>
    </row>
    <row r="1659" ht="15.75" customHeight="1" spans="1:7">
      <c r="A1659" s="4" t="s">
        <v>4433</v>
      </c>
      <c r="B1659" s="5" t="s">
        <v>4434</v>
      </c>
      <c r="C1659" s="4" t="s">
        <v>99</v>
      </c>
      <c r="D1659" s="475">
        <v>1033.5</v>
      </c>
      <c r="E1659" s="476">
        <v>0</v>
      </c>
      <c r="F1659" s="6">
        <v>0</v>
      </c>
      <c r="G1659" s="6">
        <v>14.54</v>
      </c>
    </row>
    <row r="1660" ht="15.75" customHeight="1" spans="1:7">
      <c r="A1660" s="4" t="s">
        <v>4435</v>
      </c>
      <c r="B1660" s="5" t="s">
        <v>4436</v>
      </c>
      <c r="C1660" s="4" t="s">
        <v>99</v>
      </c>
      <c r="D1660" s="475">
        <v>1224.07</v>
      </c>
      <c r="E1660" s="476">
        <v>0</v>
      </c>
      <c r="F1660" s="6">
        <v>0</v>
      </c>
      <c r="G1660" s="6">
        <v>5.78925</v>
      </c>
    </row>
    <row r="1661" ht="15.75" customHeight="1" spans="1:7">
      <c r="A1661" s="4" t="s">
        <v>4437</v>
      </c>
      <c r="B1661" s="5" t="s">
        <v>4438</v>
      </c>
      <c r="C1661" s="4" t="s">
        <v>99</v>
      </c>
      <c r="D1661" s="475">
        <v>1162.46</v>
      </c>
      <c r="E1661" s="476">
        <v>0</v>
      </c>
      <c r="F1661" s="6">
        <v>0</v>
      </c>
      <c r="G1661" s="6">
        <v>7.52603</v>
      </c>
    </row>
    <row r="1662" ht="15.75" customHeight="1" spans="1:7">
      <c r="A1662" s="4" t="s">
        <v>4439</v>
      </c>
      <c r="B1662" s="5" t="s">
        <v>4440</v>
      </c>
      <c r="C1662" s="4" t="s">
        <v>99</v>
      </c>
      <c r="D1662" s="475">
        <v>1120.56</v>
      </c>
      <c r="E1662" s="476">
        <v>0</v>
      </c>
      <c r="F1662" s="6">
        <v>0</v>
      </c>
      <c r="G1662" s="6">
        <v>9.45578</v>
      </c>
    </row>
    <row r="1663" ht="15.75" customHeight="1" spans="1:7">
      <c r="A1663" s="4" t="s">
        <v>4441</v>
      </c>
      <c r="B1663" s="5" t="s">
        <v>4442</v>
      </c>
      <c r="C1663" s="4" t="s">
        <v>99</v>
      </c>
      <c r="D1663" s="475">
        <v>1078.42</v>
      </c>
      <c r="E1663" s="476">
        <v>0</v>
      </c>
      <c r="F1663" s="6">
        <v>0</v>
      </c>
      <c r="G1663" s="6">
        <v>12.74</v>
      </c>
    </row>
    <row r="1664" ht="15.75" customHeight="1" spans="1:7">
      <c r="A1664" s="4" t="s">
        <v>4443</v>
      </c>
      <c r="B1664" s="5" t="s">
        <v>4444</v>
      </c>
      <c r="C1664" s="4" t="s">
        <v>99</v>
      </c>
      <c r="D1664" s="475">
        <v>1378.23</v>
      </c>
      <c r="E1664" s="476">
        <v>0</v>
      </c>
      <c r="F1664" s="6">
        <v>0</v>
      </c>
      <c r="G1664" s="6">
        <v>1.494</v>
      </c>
    </row>
    <row r="1665" ht="15.75" customHeight="1" spans="1:7">
      <c r="A1665" s="4" t="s">
        <v>4445</v>
      </c>
      <c r="B1665" s="5" t="s">
        <v>4446</v>
      </c>
      <c r="C1665" s="4" t="s">
        <v>99</v>
      </c>
      <c r="D1665" s="475">
        <v>1343.79</v>
      </c>
      <c r="E1665" s="476">
        <v>0</v>
      </c>
      <c r="F1665" s="6">
        <v>0</v>
      </c>
      <c r="G1665" s="6">
        <v>1.68075</v>
      </c>
    </row>
    <row r="1666" ht="15.75" customHeight="1" spans="1:7">
      <c r="A1666" s="4" t="s">
        <v>4447</v>
      </c>
      <c r="B1666" s="5" t="s">
        <v>4448</v>
      </c>
      <c r="C1666" s="4" t="s">
        <v>99</v>
      </c>
      <c r="D1666" s="475">
        <v>1316.24</v>
      </c>
      <c r="E1666" s="476">
        <v>0</v>
      </c>
      <c r="F1666" s="6">
        <v>0</v>
      </c>
      <c r="G1666" s="6">
        <v>1.8675</v>
      </c>
    </row>
    <row r="1667" ht="15.75" customHeight="1" spans="1:7">
      <c r="A1667" s="4" t="s">
        <v>4449</v>
      </c>
      <c r="B1667" s="5" t="s">
        <v>4450</v>
      </c>
      <c r="C1667" s="4" t="s">
        <v>99</v>
      </c>
      <c r="D1667" s="475">
        <v>1274.91</v>
      </c>
      <c r="E1667" s="476">
        <v>0</v>
      </c>
      <c r="F1667" s="6">
        <v>0</v>
      </c>
      <c r="G1667" s="6">
        <v>2.241</v>
      </c>
    </row>
    <row r="1668" ht="15.75" customHeight="1" spans="1:7">
      <c r="A1668" s="4" t="s">
        <v>4451</v>
      </c>
      <c r="B1668" s="5" t="s">
        <v>4452</v>
      </c>
      <c r="C1668" s="4" t="s">
        <v>99</v>
      </c>
      <c r="D1668" s="475">
        <v>1532.64</v>
      </c>
      <c r="E1668" s="476">
        <v>0</v>
      </c>
      <c r="F1668" s="6">
        <v>0</v>
      </c>
      <c r="G1668" s="6">
        <v>1.08315</v>
      </c>
    </row>
    <row r="1669" ht="15.75" customHeight="1" spans="1:7">
      <c r="A1669" s="4" t="s">
        <v>4453</v>
      </c>
      <c r="B1669" s="5" t="s">
        <v>4454</v>
      </c>
      <c r="C1669" s="4" t="s">
        <v>99</v>
      </c>
      <c r="D1669" s="475">
        <v>1489.88</v>
      </c>
      <c r="E1669" s="476">
        <v>0</v>
      </c>
      <c r="F1669" s="6">
        <v>0</v>
      </c>
      <c r="G1669" s="6">
        <v>1.2035</v>
      </c>
    </row>
    <row r="1670" ht="15.75" customHeight="1" spans="1:7">
      <c r="A1670" s="4" t="s">
        <v>4455</v>
      </c>
      <c r="B1670" s="5" t="s">
        <v>4456</v>
      </c>
      <c r="C1670" s="4" t="s">
        <v>99</v>
      </c>
      <c r="D1670" s="475">
        <v>1425.75</v>
      </c>
      <c r="E1670" s="476">
        <v>0</v>
      </c>
      <c r="F1670" s="6">
        <v>0</v>
      </c>
      <c r="G1670" s="6">
        <v>1.4442</v>
      </c>
    </row>
    <row r="1671" ht="15.75" customHeight="1" spans="1:7">
      <c r="A1671" s="4" t="s">
        <v>4457</v>
      </c>
      <c r="B1671" s="5" t="s">
        <v>4458</v>
      </c>
      <c r="C1671" s="4" t="s">
        <v>99</v>
      </c>
      <c r="D1671" s="475">
        <v>1361.62</v>
      </c>
      <c r="E1671" s="476">
        <v>0</v>
      </c>
      <c r="F1671" s="6">
        <v>0</v>
      </c>
      <c r="G1671" s="6">
        <v>1.80525</v>
      </c>
    </row>
    <row r="1672" ht="15.75" customHeight="1" spans="1:7">
      <c r="A1672" s="4" t="s">
        <v>4459</v>
      </c>
      <c r="B1672" s="5" t="s">
        <v>4460</v>
      </c>
      <c r="C1672" s="4" t="s">
        <v>9</v>
      </c>
      <c r="D1672" s="475">
        <v>5.69</v>
      </c>
      <c r="E1672" s="476">
        <v>0</v>
      </c>
      <c r="F1672" s="6">
        <v>0</v>
      </c>
      <c r="G1672" s="6">
        <v>98.45</v>
      </c>
    </row>
    <row r="1673" ht="15.75" customHeight="1" spans="1:7">
      <c r="A1673" s="4" t="s">
        <v>4461</v>
      </c>
      <c r="B1673" s="5" t="s">
        <v>4462</v>
      </c>
      <c r="C1673" s="4" t="s">
        <v>9</v>
      </c>
      <c r="D1673" s="475">
        <v>2.44</v>
      </c>
      <c r="E1673" s="476">
        <v>0</v>
      </c>
      <c r="F1673" s="6">
        <v>0</v>
      </c>
      <c r="G1673" s="6">
        <v>64.68</v>
      </c>
    </row>
    <row r="1674" ht="15.75" customHeight="1" spans="1:7">
      <c r="A1674" s="4" t="s">
        <v>4463</v>
      </c>
      <c r="B1674" s="5" t="s">
        <v>4464</v>
      </c>
      <c r="C1674" s="4" t="s">
        <v>9</v>
      </c>
      <c r="D1674" s="475">
        <v>10.66</v>
      </c>
      <c r="E1674" s="476">
        <v>0</v>
      </c>
      <c r="F1674" s="6">
        <v>0</v>
      </c>
      <c r="G1674" s="6">
        <v>15.06</v>
      </c>
    </row>
    <row r="1675" ht="15.75" customHeight="1" spans="1:7">
      <c r="A1675" s="4" t="s">
        <v>4465</v>
      </c>
      <c r="B1675" s="5" t="s">
        <v>4466</v>
      </c>
      <c r="C1675" s="4" t="s">
        <v>9</v>
      </c>
      <c r="D1675" s="475">
        <v>2.39</v>
      </c>
      <c r="E1675" s="476">
        <v>0</v>
      </c>
      <c r="F1675" s="6">
        <v>0</v>
      </c>
      <c r="G1675" s="6">
        <v>56.32</v>
      </c>
    </row>
    <row r="1676" ht="15.75" customHeight="1" spans="1:7">
      <c r="A1676" s="4" t="s">
        <v>4467</v>
      </c>
      <c r="B1676" s="5" t="s">
        <v>4468</v>
      </c>
      <c r="C1676" s="4" t="s">
        <v>4469</v>
      </c>
      <c r="D1676" s="475">
        <v>0.27</v>
      </c>
      <c r="E1676" s="476">
        <v>0</v>
      </c>
      <c r="F1676" s="6">
        <v>0</v>
      </c>
      <c r="G1676" s="6">
        <v>498</v>
      </c>
    </row>
    <row r="1677" ht="15.75" customHeight="1" spans="1:7">
      <c r="A1677" s="4" t="s">
        <v>4470</v>
      </c>
      <c r="B1677" s="5" t="s">
        <v>4471</v>
      </c>
      <c r="C1677" s="4" t="s">
        <v>82</v>
      </c>
      <c r="D1677" s="475">
        <v>0.17</v>
      </c>
      <c r="E1677" s="476">
        <v>0</v>
      </c>
      <c r="F1677" s="6">
        <v>0</v>
      </c>
      <c r="G1677" s="6">
        <v>298.8</v>
      </c>
    </row>
    <row r="1678" ht="15.75" customHeight="1" spans="1:7">
      <c r="A1678" s="4" t="s">
        <v>4472</v>
      </c>
      <c r="B1678" s="5" t="s">
        <v>4473</v>
      </c>
      <c r="C1678" s="4" t="s">
        <v>9</v>
      </c>
      <c r="D1678" s="475">
        <v>4.31</v>
      </c>
      <c r="E1678" s="476">
        <v>0</v>
      </c>
      <c r="F1678" s="6">
        <v>0</v>
      </c>
      <c r="G1678" s="6">
        <v>72.35</v>
      </c>
    </row>
    <row r="1679" ht="15.75" customHeight="1" spans="1:7">
      <c r="A1679" s="4" t="s">
        <v>4474</v>
      </c>
      <c r="B1679" s="5" t="s">
        <v>4475</v>
      </c>
      <c r="C1679" s="4" t="s">
        <v>9</v>
      </c>
      <c r="D1679" s="475">
        <v>3.22</v>
      </c>
      <c r="E1679" s="476">
        <v>0</v>
      </c>
      <c r="F1679" s="6">
        <v>0</v>
      </c>
      <c r="G1679" s="6">
        <v>27.22</v>
      </c>
    </row>
    <row r="1680" ht="15.75" customHeight="1" spans="1:7">
      <c r="A1680" s="4" t="s">
        <v>4476</v>
      </c>
      <c r="B1680" s="5" t="s">
        <v>4477</v>
      </c>
      <c r="C1680" s="4" t="s">
        <v>9</v>
      </c>
      <c r="D1680" s="475">
        <v>4.3</v>
      </c>
      <c r="E1680" s="476">
        <v>0</v>
      </c>
      <c r="F1680" s="6">
        <v>0</v>
      </c>
      <c r="G1680" s="6">
        <v>25.4</v>
      </c>
    </row>
    <row r="1681" ht="15.75" customHeight="1" spans="1:7">
      <c r="A1681" s="4" t="s">
        <v>4478</v>
      </c>
      <c r="B1681" s="5" t="s">
        <v>4479</v>
      </c>
      <c r="C1681" s="4" t="s">
        <v>9</v>
      </c>
      <c r="D1681" s="475">
        <v>3.63</v>
      </c>
      <c r="E1681" s="476">
        <v>0</v>
      </c>
      <c r="F1681" s="6">
        <v>0</v>
      </c>
      <c r="G1681" s="6">
        <v>25.93</v>
      </c>
    </row>
    <row r="1682" ht="15.75" customHeight="1" spans="1:7">
      <c r="A1682" s="4" t="s">
        <v>4480</v>
      </c>
      <c r="B1682" s="5" t="s">
        <v>4481</v>
      </c>
      <c r="C1682" s="4" t="s">
        <v>9</v>
      </c>
      <c r="D1682" s="475">
        <v>6.65</v>
      </c>
      <c r="E1682" s="476">
        <v>0</v>
      </c>
      <c r="F1682" s="6">
        <v>0</v>
      </c>
      <c r="G1682" s="6">
        <v>17.87</v>
      </c>
    </row>
    <row r="1683" ht="15.75" customHeight="1" spans="1:7">
      <c r="A1683" s="4" t="s">
        <v>4482</v>
      </c>
      <c r="B1683" s="5" t="s">
        <v>4483</v>
      </c>
      <c r="C1683" s="4" t="s">
        <v>9</v>
      </c>
      <c r="D1683" s="475">
        <v>2.29</v>
      </c>
      <c r="E1683" s="476">
        <v>0</v>
      </c>
      <c r="F1683" s="6">
        <v>0</v>
      </c>
      <c r="G1683" s="6">
        <v>30.73</v>
      </c>
    </row>
    <row r="1684" ht="15.75" customHeight="1" spans="1:7">
      <c r="A1684" s="4" t="s">
        <v>4484</v>
      </c>
      <c r="B1684" s="5" t="s">
        <v>4485</v>
      </c>
      <c r="C1684" s="4" t="s">
        <v>9</v>
      </c>
      <c r="D1684" s="475">
        <v>1.82</v>
      </c>
      <c r="E1684" s="476">
        <v>0</v>
      </c>
      <c r="F1684" s="6">
        <v>0</v>
      </c>
      <c r="G1684" s="6">
        <v>45.85</v>
      </c>
    </row>
    <row r="1685" ht="15.75" customHeight="1" spans="1:7">
      <c r="A1685" s="4" t="s">
        <v>4486</v>
      </c>
      <c r="B1685" s="5" t="s">
        <v>4487</v>
      </c>
      <c r="C1685" s="4" t="s">
        <v>9</v>
      </c>
      <c r="D1685" s="475">
        <v>2.47</v>
      </c>
      <c r="E1685" s="476">
        <v>0</v>
      </c>
      <c r="F1685" s="6">
        <v>0</v>
      </c>
      <c r="G1685" s="6">
        <v>29.99</v>
      </c>
    </row>
    <row r="1686" ht="15.75" customHeight="1" spans="1:7">
      <c r="A1686" s="4" t="s">
        <v>4488</v>
      </c>
      <c r="B1686" s="5" t="s">
        <v>4489</v>
      </c>
      <c r="C1686" s="4" t="s">
        <v>9</v>
      </c>
      <c r="D1686" s="475">
        <v>2.14</v>
      </c>
      <c r="E1686" s="476">
        <v>0</v>
      </c>
      <c r="F1686" s="6">
        <v>0</v>
      </c>
      <c r="G1686" s="6">
        <v>41.55</v>
      </c>
    </row>
    <row r="1687" ht="15.75" customHeight="1" spans="1:7">
      <c r="A1687" s="4" t="s">
        <v>4490</v>
      </c>
      <c r="B1687" s="5" t="s">
        <v>4491</v>
      </c>
      <c r="C1687" s="4" t="s">
        <v>9</v>
      </c>
      <c r="D1687" s="475">
        <v>2.59</v>
      </c>
      <c r="E1687" s="476">
        <v>0</v>
      </c>
      <c r="F1687" s="6">
        <v>0</v>
      </c>
      <c r="G1687" s="6">
        <v>29.51</v>
      </c>
    </row>
    <row r="1688" ht="15.75" customHeight="1" spans="1:7">
      <c r="A1688" s="4" t="s">
        <v>4492</v>
      </c>
      <c r="B1688" s="5" t="s">
        <v>4493</v>
      </c>
      <c r="C1688" s="4" t="s">
        <v>9</v>
      </c>
      <c r="D1688" s="475">
        <v>2.38</v>
      </c>
      <c r="E1688" s="476">
        <v>0</v>
      </c>
      <c r="F1688" s="6">
        <v>0</v>
      </c>
      <c r="G1688" s="6">
        <v>38.75</v>
      </c>
    </row>
    <row r="1689" ht="15.75" customHeight="1" spans="1:7">
      <c r="A1689" s="4" t="s">
        <v>4494</v>
      </c>
      <c r="B1689" s="5" t="s">
        <v>4495</v>
      </c>
      <c r="C1689" s="4" t="s">
        <v>9</v>
      </c>
      <c r="D1689" s="475">
        <v>2.75</v>
      </c>
      <c r="E1689" s="476">
        <v>0</v>
      </c>
      <c r="F1689" s="6">
        <v>0</v>
      </c>
      <c r="G1689" s="6">
        <v>28.88</v>
      </c>
    </row>
    <row r="1690" ht="15.75" customHeight="1" spans="1:7">
      <c r="A1690" s="4" t="s">
        <v>4496</v>
      </c>
      <c r="B1690" s="5" t="s">
        <v>4497</v>
      </c>
      <c r="C1690" s="4" t="s">
        <v>9</v>
      </c>
      <c r="D1690" s="475">
        <v>2.76</v>
      </c>
      <c r="E1690" s="476">
        <v>0</v>
      </c>
      <c r="F1690" s="6">
        <v>0</v>
      </c>
      <c r="G1690" s="6">
        <v>35.09</v>
      </c>
    </row>
    <row r="1691" ht="15.75" customHeight="1" spans="1:7">
      <c r="A1691" s="4" t="s">
        <v>4498</v>
      </c>
      <c r="B1691" s="5" t="s">
        <v>4499</v>
      </c>
      <c r="C1691" s="4" t="s">
        <v>9</v>
      </c>
      <c r="D1691" s="475">
        <v>2.9</v>
      </c>
      <c r="E1691" s="476">
        <v>0</v>
      </c>
      <c r="F1691" s="6">
        <v>0</v>
      </c>
      <c r="G1691" s="6">
        <v>28.33</v>
      </c>
    </row>
    <row r="1692" ht="15.75" customHeight="1" spans="1:7">
      <c r="A1692" s="4" t="s">
        <v>4500</v>
      </c>
      <c r="B1692" s="5" t="s">
        <v>4501</v>
      </c>
      <c r="C1692" s="4" t="s">
        <v>9</v>
      </c>
      <c r="D1692" s="475">
        <v>3.17</v>
      </c>
      <c r="E1692" s="476">
        <v>0</v>
      </c>
      <c r="F1692" s="6">
        <v>0</v>
      </c>
      <c r="G1692" s="6">
        <v>31.86</v>
      </c>
    </row>
    <row r="1693" ht="15.75" customHeight="1" spans="1:7">
      <c r="A1693" s="4" t="s">
        <v>4502</v>
      </c>
      <c r="B1693" s="5" t="s">
        <v>4503</v>
      </c>
      <c r="C1693" s="4" t="s">
        <v>82</v>
      </c>
      <c r="D1693" s="475">
        <v>0.22</v>
      </c>
      <c r="E1693" s="476">
        <v>0</v>
      </c>
      <c r="F1693" s="6">
        <v>0</v>
      </c>
      <c r="G1693" s="6">
        <v>249</v>
      </c>
    </row>
    <row r="1694" ht="15.75" customHeight="1" spans="1:7">
      <c r="A1694" s="4" t="s">
        <v>4504</v>
      </c>
      <c r="B1694" s="5" t="s">
        <v>4505</v>
      </c>
      <c r="C1694" s="4" t="s">
        <v>4469</v>
      </c>
      <c r="D1694" s="475">
        <v>0.07</v>
      </c>
      <c r="E1694" s="476">
        <v>0</v>
      </c>
      <c r="F1694" s="6">
        <v>0</v>
      </c>
      <c r="G1694" s="6">
        <v>1535.5</v>
      </c>
    </row>
    <row r="1695" ht="15.75" customHeight="1" spans="1:7">
      <c r="A1695" s="4" t="s">
        <v>4506</v>
      </c>
      <c r="B1695" s="5" t="s">
        <v>4507</v>
      </c>
      <c r="C1695" s="4" t="s">
        <v>82</v>
      </c>
      <c r="D1695" s="475">
        <v>8.44</v>
      </c>
      <c r="E1695" s="476">
        <v>0.03632</v>
      </c>
      <c r="F1695" s="6">
        <v>0.0498</v>
      </c>
      <c r="G1695" s="6">
        <v>19.8</v>
      </c>
    </row>
    <row r="1696" ht="15.75" customHeight="1" spans="1:7">
      <c r="A1696" s="4" t="s">
        <v>4508</v>
      </c>
      <c r="B1696" s="5" t="s">
        <v>4509</v>
      </c>
      <c r="C1696" s="4" t="s">
        <v>82</v>
      </c>
      <c r="D1696" s="475">
        <v>8.73</v>
      </c>
      <c r="E1696" s="476">
        <v>0.03632</v>
      </c>
      <c r="F1696" s="6">
        <v>0.0571</v>
      </c>
      <c r="G1696" s="6">
        <v>17.29</v>
      </c>
    </row>
    <row r="1697" ht="15.75" customHeight="1" spans="1:7">
      <c r="A1697" s="4" t="s">
        <v>4510</v>
      </c>
      <c r="B1697" s="5" t="s">
        <v>4511</v>
      </c>
      <c r="C1697" s="4" t="s">
        <v>82</v>
      </c>
      <c r="D1697" s="475">
        <v>8.94</v>
      </c>
      <c r="E1697" s="476">
        <v>0.03632</v>
      </c>
      <c r="F1697" s="6">
        <v>0.0626</v>
      </c>
      <c r="G1697" s="6">
        <v>15.77</v>
      </c>
    </row>
    <row r="1698" ht="15.75" customHeight="1" spans="1:7">
      <c r="A1698" s="4" t="s">
        <v>4512</v>
      </c>
      <c r="B1698" s="5" t="s">
        <v>4513</v>
      </c>
      <c r="C1698" s="4" t="s">
        <v>82</v>
      </c>
      <c r="D1698" s="475">
        <v>8.79</v>
      </c>
      <c r="E1698" s="476">
        <v>0.03632</v>
      </c>
      <c r="F1698" s="6">
        <v>0.0586</v>
      </c>
      <c r="G1698" s="6">
        <v>16.82</v>
      </c>
    </row>
    <row r="1699" ht="15.75" customHeight="1" spans="1:7">
      <c r="A1699" s="4" t="s">
        <v>4514</v>
      </c>
      <c r="B1699" s="5" t="s">
        <v>4515</v>
      </c>
      <c r="C1699" s="4" t="s">
        <v>9</v>
      </c>
      <c r="D1699" s="475">
        <v>3.73</v>
      </c>
      <c r="E1699" s="476">
        <v>0</v>
      </c>
      <c r="F1699" s="6">
        <v>0</v>
      </c>
      <c r="G1699" s="6">
        <v>73.87</v>
      </c>
    </row>
    <row r="1700" ht="15.75" customHeight="1" spans="1:7">
      <c r="A1700" s="4" t="s">
        <v>4516</v>
      </c>
      <c r="B1700" s="5" t="s">
        <v>4517</v>
      </c>
      <c r="C1700" s="4" t="s">
        <v>82</v>
      </c>
      <c r="D1700" s="475">
        <v>3.01</v>
      </c>
      <c r="E1700" s="476">
        <v>0.03632</v>
      </c>
      <c r="F1700" s="6">
        <v>0.0337</v>
      </c>
      <c r="G1700" s="6">
        <v>30.18</v>
      </c>
    </row>
    <row r="1701" ht="15.75" customHeight="1" spans="1:7">
      <c r="A1701" s="4" t="s">
        <v>4518</v>
      </c>
      <c r="B1701" s="5" t="s">
        <v>4519</v>
      </c>
      <c r="C1701" s="4" t="s">
        <v>82</v>
      </c>
      <c r="D1701" s="475">
        <v>3.38</v>
      </c>
      <c r="E1701" s="476">
        <v>0.03632</v>
      </c>
      <c r="F1701" s="6">
        <v>0.0378</v>
      </c>
      <c r="G1701" s="6">
        <v>26.92</v>
      </c>
    </row>
    <row r="1702" ht="15.75" customHeight="1" spans="1:7">
      <c r="A1702" s="4" t="s">
        <v>4520</v>
      </c>
      <c r="B1702" s="5" t="s">
        <v>4521</v>
      </c>
      <c r="C1702" s="4" t="s">
        <v>82</v>
      </c>
      <c r="D1702" s="475">
        <v>3.66</v>
      </c>
      <c r="E1702" s="476">
        <v>0.03632</v>
      </c>
      <c r="F1702" s="6">
        <v>0.0409</v>
      </c>
      <c r="G1702" s="6">
        <v>24.9</v>
      </c>
    </row>
    <row r="1703" ht="15.75" customHeight="1" spans="1:7">
      <c r="A1703" s="4" t="s">
        <v>4522</v>
      </c>
      <c r="B1703" s="5" t="s">
        <v>4523</v>
      </c>
      <c r="C1703" s="4" t="s">
        <v>82</v>
      </c>
      <c r="D1703" s="475">
        <v>3.49</v>
      </c>
      <c r="E1703" s="476">
        <v>0.03632</v>
      </c>
      <c r="F1703" s="6">
        <v>0.0388</v>
      </c>
      <c r="G1703" s="6">
        <v>26.21</v>
      </c>
    </row>
    <row r="1704" ht="15.75" customHeight="1" spans="1:7">
      <c r="A1704" s="4" t="s">
        <v>4524</v>
      </c>
      <c r="B1704" s="5" t="s">
        <v>4525</v>
      </c>
      <c r="C1704" s="4" t="s">
        <v>82</v>
      </c>
      <c r="D1704" s="475">
        <v>1.41</v>
      </c>
      <c r="E1704" s="476">
        <v>0</v>
      </c>
      <c r="F1704" s="6">
        <v>0</v>
      </c>
      <c r="G1704" s="6">
        <v>150.91</v>
      </c>
    </row>
    <row r="1705" ht="15.75" customHeight="1" spans="1:7">
      <c r="A1705" s="4" t="s">
        <v>4526</v>
      </c>
      <c r="B1705" s="5" t="s">
        <v>4527</v>
      </c>
      <c r="C1705" s="4" t="s">
        <v>9</v>
      </c>
      <c r="D1705" s="475">
        <v>319.82</v>
      </c>
      <c r="E1705" s="476">
        <v>0</v>
      </c>
      <c r="F1705" s="6">
        <v>0</v>
      </c>
      <c r="G1705" s="6">
        <v>0.55251</v>
      </c>
    </row>
    <row r="1706" ht="15.75" customHeight="1" spans="1:7">
      <c r="A1706" s="4" t="s">
        <v>4528</v>
      </c>
      <c r="B1706" s="5" t="s">
        <v>4529</v>
      </c>
      <c r="C1706" s="4" t="s">
        <v>9</v>
      </c>
      <c r="D1706" s="475">
        <v>746.72</v>
      </c>
      <c r="E1706" s="476">
        <v>0</v>
      </c>
      <c r="F1706" s="6">
        <v>0</v>
      </c>
      <c r="G1706" s="6">
        <v>0.27531</v>
      </c>
    </row>
    <row r="1707" ht="15.75" customHeight="1" spans="1:7">
      <c r="A1707" s="4" t="s">
        <v>4530</v>
      </c>
      <c r="B1707" s="5" t="s">
        <v>4531</v>
      </c>
      <c r="C1707" s="4" t="s">
        <v>9</v>
      </c>
      <c r="D1707" s="475">
        <v>60.02</v>
      </c>
      <c r="E1707" s="476">
        <v>0</v>
      </c>
      <c r="F1707" s="6">
        <v>0</v>
      </c>
      <c r="G1707" s="6">
        <v>1.98833</v>
      </c>
    </row>
    <row r="1708" ht="15.75" customHeight="1" spans="1:7">
      <c r="A1708" s="4" t="s">
        <v>4532</v>
      </c>
      <c r="B1708" s="5" t="s">
        <v>4533</v>
      </c>
      <c r="C1708" s="4" t="s">
        <v>9</v>
      </c>
      <c r="D1708" s="475">
        <v>105.47</v>
      </c>
      <c r="E1708" s="476">
        <v>0</v>
      </c>
      <c r="F1708" s="6">
        <v>0</v>
      </c>
      <c r="G1708" s="6">
        <v>1.39129</v>
      </c>
    </row>
    <row r="1709" ht="15.75" customHeight="1" spans="1:7">
      <c r="A1709" s="4" t="s">
        <v>4534</v>
      </c>
      <c r="B1709" s="5" t="s">
        <v>4535</v>
      </c>
      <c r="C1709" s="4" t="s">
        <v>9</v>
      </c>
      <c r="D1709" s="475">
        <v>163.67</v>
      </c>
      <c r="E1709" s="476">
        <v>0</v>
      </c>
      <c r="F1709" s="6">
        <v>0</v>
      </c>
      <c r="G1709" s="6">
        <v>1.01906</v>
      </c>
    </row>
    <row r="1710" ht="15.75" customHeight="1" spans="1:7">
      <c r="A1710" s="4" t="s">
        <v>4536</v>
      </c>
      <c r="B1710" s="5" t="s">
        <v>4537</v>
      </c>
      <c r="C1710" s="4" t="s">
        <v>101</v>
      </c>
      <c r="D1710" s="475">
        <v>186.81</v>
      </c>
      <c r="E1710" s="476">
        <v>0</v>
      </c>
      <c r="F1710" s="6">
        <v>0</v>
      </c>
      <c r="G1710" s="6">
        <v>1.26332</v>
      </c>
    </row>
    <row r="1711" ht="15.75" customHeight="1" spans="1:7">
      <c r="A1711" s="4" t="s">
        <v>4538</v>
      </c>
      <c r="B1711" s="5" t="s">
        <v>4539</v>
      </c>
      <c r="C1711" s="4" t="s">
        <v>99</v>
      </c>
      <c r="D1711" s="475">
        <v>542.36</v>
      </c>
      <c r="E1711" s="476">
        <v>0.13329</v>
      </c>
      <c r="F1711" s="6">
        <v>18.8759</v>
      </c>
      <c r="G1711" s="6">
        <v>1</v>
      </c>
    </row>
    <row r="1712" ht="15.75" customHeight="1" spans="1:7">
      <c r="A1712" s="4" t="s">
        <v>4540</v>
      </c>
      <c r="B1712" s="5" t="s">
        <v>4541</v>
      </c>
      <c r="C1712" s="4" t="s">
        <v>99</v>
      </c>
      <c r="D1712" s="475">
        <v>394.29</v>
      </c>
      <c r="E1712" s="476">
        <v>0.13329</v>
      </c>
      <c r="F1712" s="6">
        <v>18.8759</v>
      </c>
      <c r="G1712" s="6">
        <v>1</v>
      </c>
    </row>
    <row r="1713" ht="15.75" customHeight="1" spans="1:7">
      <c r="A1713" s="4" t="s">
        <v>4542</v>
      </c>
      <c r="B1713" s="5" t="s">
        <v>4543</v>
      </c>
      <c r="C1713" s="4" t="s">
        <v>99</v>
      </c>
      <c r="D1713" s="475">
        <v>291.71</v>
      </c>
      <c r="E1713" s="476">
        <v>0.11084</v>
      </c>
      <c r="F1713" s="6">
        <v>14.7219</v>
      </c>
      <c r="G1713" s="6">
        <v>2</v>
      </c>
    </row>
    <row r="1714" ht="15.75" customHeight="1" spans="1:7">
      <c r="A1714" s="4" t="s">
        <v>4544</v>
      </c>
      <c r="B1714" s="5" t="s">
        <v>4545</v>
      </c>
      <c r="C1714" s="4" t="s">
        <v>99</v>
      </c>
      <c r="D1714" s="475">
        <v>204.51</v>
      </c>
      <c r="E1714" s="476">
        <v>0.11084</v>
      </c>
      <c r="F1714" s="6">
        <v>14.7219</v>
      </c>
      <c r="G1714" s="6">
        <v>2</v>
      </c>
    </row>
    <row r="1715" ht="15.75" customHeight="1" spans="1:7">
      <c r="A1715" s="4" t="s">
        <v>4546</v>
      </c>
      <c r="B1715" s="5" t="s">
        <v>4547</v>
      </c>
      <c r="C1715" s="4" t="s">
        <v>99</v>
      </c>
      <c r="D1715" s="475">
        <v>170.12</v>
      </c>
      <c r="E1715" s="476">
        <v>0.13329</v>
      </c>
      <c r="F1715" s="6">
        <v>1.4701</v>
      </c>
      <c r="G1715" s="6">
        <v>50.11</v>
      </c>
    </row>
    <row r="1716" ht="15.75" customHeight="1" spans="1:7">
      <c r="A1716" s="4" t="s">
        <v>4548</v>
      </c>
      <c r="B1716" s="5" t="s">
        <v>113</v>
      </c>
      <c r="C1716" s="4" t="s">
        <v>99</v>
      </c>
      <c r="D1716" s="475">
        <v>180.81</v>
      </c>
      <c r="E1716" s="476">
        <v>0.11084</v>
      </c>
      <c r="F1716" s="6">
        <v>6.0529</v>
      </c>
      <c r="G1716" s="6">
        <v>4</v>
      </c>
    </row>
    <row r="1717" ht="15.75" customHeight="1" spans="1:7">
      <c r="A1717" s="4" t="s">
        <v>4549</v>
      </c>
      <c r="B1717" s="5" t="s">
        <v>4550</v>
      </c>
      <c r="C1717" s="4" t="s">
        <v>99</v>
      </c>
      <c r="D1717" s="475">
        <v>108.14</v>
      </c>
      <c r="E1717" s="476">
        <v>0.11084</v>
      </c>
      <c r="F1717" s="6">
        <v>6.0529</v>
      </c>
      <c r="G1717" s="6">
        <v>4</v>
      </c>
    </row>
    <row r="1718" ht="15.75" customHeight="1" spans="1:7">
      <c r="A1718" s="4" t="s">
        <v>4551</v>
      </c>
      <c r="B1718" s="5" t="s">
        <v>4552</v>
      </c>
      <c r="C1718" s="4" t="s">
        <v>82</v>
      </c>
      <c r="D1718" s="475">
        <v>6.43</v>
      </c>
      <c r="E1718" s="476">
        <v>0.13329</v>
      </c>
      <c r="F1718" s="6">
        <v>0.1537</v>
      </c>
      <c r="G1718" s="6">
        <v>192</v>
      </c>
    </row>
    <row r="1719" ht="15.75" customHeight="1" spans="1:7">
      <c r="A1719" s="4" t="s">
        <v>4553</v>
      </c>
      <c r="B1719" s="5" t="s">
        <v>4554</v>
      </c>
      <c r="C1719" s="4" t="s">
        <v>7</v>
      </c>
      <c r="D1719" s="475">
        <v>37.07</v>
      </c>
      <c r="E1719" s="476">
        <v>0.13329</v>
      </c>
      <c r="F1719" s="6">
        <v>0.035</v>
      </c>
      <c r="G1719" s="6">
        <v>180</v>
      </c>
    </row>
    <row r="1720" ht="15.75" customHeight="1" spans="1:7">
      <c r="A1720" s="4" t="s">
        <v>4555</v>
      </c>
      <c r="B1720" s="5" t="s">
        <v>4556</v>
      </c>
      <c r="C1720" s="4" t="s">
        <v>7</v>
      </c>
      <c r="D1720" s="475">
        <v>54.22</v>
      </c>
      <c r="E1720" s="476">
        <v>0.13329</v>
      </c>
      <c r="F1720" s="6">
        <v>0.035</v>
      </c>
      <c r="G1720" s="6">
        <v>180</v>
      </c>
    </row>
    <row r="1721" ht="15.75" customHeight="1" spans="1:7">
      <c r="A1721" s="4" t="s">
        <v>4557</v>
      </c>
      <c r="B1721" s="5" t="s">
        <v>4558</v>
      </c>
      <c r="C1721" s="4" t="s">
        <v>7</v>
      </c>
      <c r="D1721" s="475">
        <v>40.86</v>
      </c>
      <c r="E1721" s="476">
        <v>0.13329</v>
      </c>
      <c r="F1721" s="6">
        <v>0.035</v>
      </c>
      <c r="G1721" s="6">
        <v>180</v>
      </c>
    </row>
    <row r="1722" ht="15.75" customHeight="1" spans="1:7">
      <c r="A1722" s="4" t="s">
        <v>4559</v>
      </c>
      <c r="B1722" s="5" t="s">
        <v>4560</v>
      </c>
      <c r="C1722" s="4" t="s">
        <v>7</v>
      </c>
      <c r="D1722" s="475">
        <v>58.47</v>
      </c>
      <c r="E1722" s="476">
        <v>0.13329</v>
      </c>
      <c r="F1722" s="6">
        <v>0.035</v>
      </c>
      <c r="G1722" s="6">
        <v>180</v>
      </c>
    </row>
    <row r="1723" ht="15.75" customHeight="1" spans="1:7">
      <c r="A1723" s="4" t="s">
        <v>4561</v>
      </c>
      <c r="B1723" s="5" t="s">
        <v>4562</v>
      </c>
      <c r="C1723" s="4" t="s">
        <v>7</v>
      </c>
      <c r="D1723" s="475">
        <v>76.9</v>
      </c>
      <c r="E1723" s="476">
        <v>0.13329</v>
      </c>
      <c r="F1723" s="6">
        <v>0.035</v>
      </c>
      <c r="G1723" s="6">
        <v>180</v>
      </c>
    </row>
    <row r="1724" ht="15.75" customHeight="1" spans="1:7">
      <c r="A1724" s="4" t="s">
        <v>4563</v>
      </c>
      <c r="B1724" s="5" t="s">
        <v>4564</v>
      </c>
      <c r="C1724" s="4" t="s">
        <v>7</v>
      </c>
      <c r="D1724" s="475">
        <v>61.46</v>
      </c>
      <c r="E1724" s="476">
        <v>0.13329</v>
      </c>
      <c r="F1724" s="6">
        <v>0.035</v>
      </c>
      <c r="G1724" s="6">
        <v>180</v>
      </c>
    </row>
    <row r="1725" ht="15.75" customHeight="1" spans="1:7">
      <c r="A1725" s="4" t="s">
        <v>4565</v>
      </c>
      <c r="B1725" s="5" t="s">
        <v>4566</v>
      </c>
      <c r="C1725" s="4" t="s">
        <v>7</v>
      </c>
      <c r="D1725" s="475">
        <v>71.34</v>
      </c>
      <c r="E1725" s="476">
        <v>0.13329</v>
      </c>
      <c r="F1725" s="6">
        <v>0.035</v>
      </c>
      <c r="G1725" s="6">
        <v>180</v>
      </c>
    </row>
    <row r="1726" ht="15.75" customHeight="1" spans="1:7">
      <c r="A1726" s="4" t="s">
        <v>4567</v>
      </c>
      <c r="B1726" s="5" t="s">
        <v>4568</v>
      </c>
      <c r="C1726" s="4" t="s">
        <v>7</v>
      </c>
      <c r="D1726" s="475">
        <v>89.35</v>
      </c>
      <c r="E1726" s="476">
        <v>0.13329</v>
      </c>
      <c r="F1726" s="6">
        <v>0.035</v>
      </c>
      <c r="G1726" s="6">
        <v>180</v>
      </c>
    </row>
    <row r="1727" ht="15.75" customHeight="1" spans="1:7">
      <c r="A1727" s="4" t="s">
        <v>4569</v>
      </c>
      <c r="B1727" s="5" t="s">
        <v>4570</v>
      </c>
      <c r="C1727" s="4" t="s">
        <v>7</v>
      </c>
      <c r="D1727" s="475">
        <v>74.72</v>
      </c>
      <c r="E1727" s="476">
        <v>0.13329</v>
      </c>
      <c r="F1727" s="6">
        <v>0.035</v>
      </c>
      <c r="G1727" s="6">
        <v>180</v>
      </c>
    </row>
    <row r="1728" ht="15.75" customHeight="1" spans="1:7">
      <c r="A1728" s="4" t="s">
        <v>4571</v>
      </c>
      <c r="B1728" s="5" t="s">
        <v>4572</v>
      </c>
      <c r="C1728" s="4" t="s">
        <v>7</v>
      </c>
      <c r="D1728" s="475">
        <v>28.37</v>
      </c>
      <c r="E1728" s="476">
        <v>0.13329</v>
      </c>
      <c r="F1728" s="6">
        <v>0.035</v>
      </c>
      <c r="G1728" s="6">
        <v>180</v>
      </c>
    </row>
    <row r="1729" ht="15.75" customHeight="1" spans="1:7">
      <c r="A1729" s="4" t="s">
        <v>4573</v>
      </c>
      <c r="B1729" s="5" t="s">
        <v>4574</v>
      </c>
      <c r="C1729" s="4" t="s">
        <v>7</v>
      </c>
      <c r="D1729" s="475">
        <v>42.07</v>
      </c>
      <c r="E1729" s="476">
        <v>0.13329</v>
      </c>
      <c r="F1729" s="6">
        <v>0.035</v>
      </c>
      <c r="G1729" s="6">
        <v>180</v>
      </c>
    </row>
    <row r="1730" ht="15.75" customHeight="1" spans="1:7">
      <c r="A1730" s="4" t="s">
        <v>4575</v>
      </c>
      <c r="B1730" s="5" t="s">
        <v>4576</v>
      </c>
      <c r="C1730" s="4" t="s">
        <v>7</v>
      </c>
      <c r="D1730" s="475">
        <v>35.8</v>
      </c>
      <c r="E1730" s="476">
        <v>0.13329</v>
      </c>
      <c r="F1730" s="6">
        <v>0.035</v>
      </c>
      <c r="G1730" s="6">
        <v>180</v>
      </c>
    </row>
    <row r="1731" ht="15.75" customHeight="1" spans="1:7">
      <c r="A1731" s="4" t="s">
        <v>4577</v>
      </c>
      <c r="B1731" s="5" t="s">
        <v>4578</v>
      </c>
      <c r="C1731" s="4" t="s">
        <v>7</v>
      </c>
      <c r="D1731" s="475">
        <v>30.89</v>
      </c>
      <c r="E1731" s="476">
        <v>0.13329</v>
      </c>
      <c r="F1731" s="6">
        <v>0.011</v>
      </c>
      <c r="G1731" s="6">
        <v>570</v>
      </c>
    </row>
    <row r="1732" ht="15.75" customHeight="1" spans="1:7">
      <c r="A1732" s="4" t="s">
        <v>4579</v>
      </c>
      <c r="B1732" s="5" t="s">
        <v>4580</v>
      </c>
      <c r="C1732" s="4" t="s">
        <v>7</v>
      </c>
      <c r="D1732" s="475">
        <v>33.12</v>
      </c>
      <c r="E1732" s="476">
        <v>0.13329</v>
      </c>
      <c r="F1732" s="6">
        <v>0.011</v>
      </c>
      <c r="G1732" s="6">
        <v>570</v>
      </c>
    </row>
    <row r="1733" ht="15.75" customHeight="1" spans="1:7">
      <c r="A1733" s="4" t="s">
        <v>4581</v>
      </c>
      <c r="B1733" s="5" t="s">
        <v>4582</v>
      </c>
      <c r="C1733" s="4" t="s">
        <v>7</v>
      </c>
      <c r="D1733" s="475">
        <v>43.7</v>
      </c>
      <c r="E1733" s="476">
        <v>0.13329</v>
      </c>
      <c r="F1733" s="6">
        <v>0.011</v>
      </c>
      <c r="G1733" s="6">
        <v>570</v>
      </c>
    </row>
    <row r="1734" ht="15.75" customHeight="1" spans="1:7">
      <c r="A1734" s="4" t="s">
        <v>4583</v>
      </c>
      <c r="B1734" s="5" t="s">
        <v>4584</v>
      </c>
      <c r="C1734" s="4" t="s">
        <v>7</v>
      </c>
      <c r="D1734" s="475">
        <v>64.98</v>
      </c>
      <c r="E1734" s="476">
        <v>0.13329</v>
      </c>
      <c r="F1734" s="6">
        <v>0.011</v>
      </c>
      <c r="G1734" s="6">
        <v>570</v>
      </c>
    </row>
    <row r="1735" ht="15.75" customHeight="1" spans="1:7">
      <c r="A1735" s="4" t="s">
        <v>4585</v>
      </c>
      <c r="B1735" s="5" t="s">
        <v>4586</v>
      </c>
      <c r="C1735" s="4" t="s">
        <v>7</v>
      </c>
      <c r="D1735" s="475">
        <v>86.11</v>
      </c>
      <c r="E1735" s="476">
        <v>0.13329</v>
      </c>
      <c r="F1735" s="6">
        <v>0.011</v>
      </c>
      <c r="G1735" s="6">
        <v>570</v>
      </c>
    </row>
    <row r="1736" ht="15.75" customHeight="1" spans="1:7">
      <c r="A1736" s="4" t="s">
        <v>4587</v>
      </c>
      <c r="B1736" s="5" t="s">
        <v>4588</v>
      </c>
      <c r="C1736" s="4" t="s">
        <v>7</v>
      </c>
      <c r="D1736" s="475">
        <v>23.02</v>
      </c>
      <c r="E1736" s="476">
        <v>0.13329</v>
      </c>
      <c r="F1736" s="6">
        <v>0.011</v>
      </c>
      <c r="G1736" s="6">
        <v>570</v>
      </c>
    </row>
    <row r="1737" ht="15.75" customHeight="1" spans="1:7">
      <c r="A1737" s="4" t="s">
        <v>4589</v>
      </c>
      <c r="B1737" s="5" t="s">
        <v>4590</v>
      </c>
      <c r="C1737" s="4" t="s">
        <v>7</v>
      </c>
      <c r="D1737" s="475">
        <v>29.84</v>
      </c>
      <c r="E1737" s="476">
        <v>0.13329</v>
      </c>
      <c r="F1737" s="6">
        <v>0.011</v>
      </c>
      <c r="G1737" s="6">
        <v>570</v>
      </c>
    </row>
    <row r="1738" ht="30" customHeight="1" spans="1:7">
      <c r="A1738" s="4" t="s">
        <v>4591</v>
      </c>
      <c r="B1738" s="5" t="s">
        <v>4592</v>
      </c>
      <c r="C1738" s="4" t="s">
        <v>7</v>
      </c>
      <c r="D1738" s="475">
        <v>194.37</v>
      </c>
      <c r="E1738" s="476">
        <v>0.13329</v>
      </c>
      <c r="F1738" s="6">
        <v>5.3542</v>
      </c>
      <c r="G1738" s="6">
        <v>2.5</v>
      </c>
    </row>
    <row r="1739" ht="30" customHeight="1" spans="1:7">
      <c r="A1739" s="4" t="s">
        <v>4593</v>
      </c>
      <c r="B1739" s="5" t="s">
        <v>4594</v>
      </c>
      <c r="C1739" s="4" t="s">
        <v>7</v>
      </c>
      <c r="D1739" s="475">
        <v>189.55</v>
      </c>
      <c r="E1739" s="476">
        <v>0.13329</v>
      </c>
      <c r="F1739" s="6">
        <v>5.3542</v>
      </c>
      <c r="G1739" s="6">
        <v>2.5</v>
      </c>
    </row>
    <row r="1740" ht="30" customHeight="1" spans="1:7">
      <c r="A1740" s="4" t="s">
        <v>4595</v>
      </c>
      <c r="B1740" s="5" t="s">
        <v>4596</v>
      </c>
      <c r="C1740" s="4" t="s">
        <v>7</v>
      </c>
      <c r="D1740" s="475">
        <v>186.88</v>
      </c>
      <c r="E1740" s="476">
        <v>0.13329</v>
      </c>
      <c r="F1740" s="6">
        <v>5.3542</v>
      </c>
      <c r="G1740" s="6">
        <v>2.5</v>
      </c>
    </row>
    <row r="1741" ht="30" customHeight="1" spans="1:7">
      <c r="A1741" s="4" t="s">
        <v>4597</v>
      </c>
      <c r="B1741" s="5" t="s">
        <v>4598</v>
      </c>
      <c r="C1741" s="4" t="s">
        <v>7</v>
      </c>
      <c r="D1741" s="475">
        <v>219.65</v>
      </c>
      <c r="E1741" s="476">
        <v>0.13329</v>
      </c>
      <c r="F1741" s="6">
        <v>5.3542</v>
      </c>
      <c r="G1741" s="6">
        <v>2.5</v>
      </c>
    </row>
    <row r="1742" ht="15.75" customHeight="1" spans="1:7">
      <c r="A1742" s="4" t="s">
        <v>4599</v>
      </c>
      <c r="B1742" s="5" t="s">
        <v>4600</v>
      </c>
      <c r="C1742" s="4" t="s">
        <v>99</v>
      </c>
      <c r="D1742" s="475">
        <v>455.85</v>
      </c>
      <c r="E1742" s="476">
        <v>0.13329</v>
      </c>
      <c r="F1742" s="6">
        <v>16.5316</v>
      </c>
      <c r="G1742" s="6">
        <v>1</v>
      </c>
    </row>
    <row r="1743" ht="15.75" customHeight="1" spans="1:7">
      <c r="A1743" s="4" t="s">
        <v>4601</v>
      </c>
      <c r="B1743" s="5" t="s">
        <v>4602</v>
      </c>
      <c r="C1743" s="4" t="s">
        <v>99</v>
      </c>
      <c r="D1743" s="475">
        <v>333.43</v>
      </c>
      <c r="E1743" s="476">
        <v>0.13329</v>
      </c>
      <c r="F1743" s="6">
        <v>16.5316</v>
      </c>
      <c r="G1743" s="6">
        <v>1</v>
      </c>
    </row>
    <row r="1744" ht="30" customHeight="1" spans="1:7">
      <c r="A1744" s="4" t="s">
        <v>4603</v>
      </c>
      <c r="B1744" s="5" t="s">
        <v>4604</v>
      </c>
      <c r="C1744" s="4" t="s">
        <v>7</v>
      </c>
      <c r="D1744" s="475">
        <v>204.46</v>
      </c>
      <c r="E1744" s="476">
        <v>0.13329</v>
      </c>
      <c r="F1744" s="6">
        <v>0.4342</v>
      </c>
      <c r="G1744" s="6">
        <v>37.5</v>
      </c>
    </row>
    <row r="1745" ht="15.75" customHeight="1" spans="1:7">
      <c r="A1745" s="4" t="s">
        <v>4605</v>
      </c>
      <c r="B1745" s="5" t="s">
        <v>4606</v>
      </c>
      <c r="C1745" s="4" t="s">
        <v>7</v>
      </c>
      <c r="D1745" s="475">
        <v>619.42</v>
      </c>
      <c r="E1745" s="476">
        <v>0.13329</v>
      </c>
      <c r="F1745" s="6">
        <v>1.2584</v>
      </c>
      <c r="G1745" s="6">
        <v>5</v>
      </c>
    </row>
    <row r="1746" ht="15.75" customHeight="1" spans="1:7">
      <c r="A1746" s="4" t="s">
        <v>4607</v>
      </c>
      <c r="B1746" s="5" t="s">
        <v>4608</v>
      </c>
      <c r="C1746" s="4" t="s">
        <v>7</v>
      </c>
      <c r="D1746" s="475">
        <v>535.25</v>
      </c>
      <c r="E1746" s="476">
        <v>0.13329</v>
      </c>
      <c r="F1746" s="6">
        <v>1.2584</v>
      </c>
      <c r="G1746" s="6">
        <v>5</v>
      </c>
    </row>
    <row r="1747" ht="15.75" customHeight="1" spans="1:7">
      <c r="A1747" s="4" t="s">
        <v>4609</v>
      </c>
      <c r="B1747" s="5" t="s">
        <v>4610</v>
      </c>
      <c r="C1747" s="4" t="s">
        <v>99</v>
      </c>
      <c r="D1747" s="475">
        <v>111.52</v>
      </c>
      <c r="E1747" s="476">
        <v>0.03632</v>
      </c>
      <c r="F1747" s="6">
        <v>2.4421</v>
      </c>
      <c r="G1747" s="6">
        <v>0.996</v>
      </c>
    </row>
    <row r="1748" ht="15.75" customHeight="1" spans="1:7">
      <c r="A1748" s="4" t="s">
        <v>4611</v>
      </c>
      <c r="B1748" s="5" t="s">
        <v>4612</v>
      </c>
      <c r="C1748" s="4" t="s">
        <v>7</v>
      </c>
      <c r="D1748" s="475">
        <v>20.95</v>
      </c>
      <c r="E1748" s="476">
        <v>0.03632</v>
      </c>
      <c r="F1748" s="6">
        <v>0.7339</v>
      </c>
      <c r="G1748" s="6">
        <v>1.1952</v>
      </c>
    </row>
    <row r="1749" ht="15.75" customHeight="1" spans="1:7">
      <c r="A1749" s="4" t="s">
        <v>4613</v>
      </c>
      <c r="B1749" s="5" t="s">
        <v>4614</v>
      </c>
      <c r="C1749" s="4" t="s">
        <v>99</v>
      </c>
      <c r="D1749" s="475">
        <v>862.66</v>
      </c>
      <c r="E1749" s="476">
        <v>0.03632</v>
      </c>
      <c r="F1749" s="6">
        <v>8.3066</v>
      </c>
      <c r="G1749" s="6">
        <v>0.63048</v>
      </c>
    </row>
    <row r="1750" ht="15.75" customHeight="1" spans="1:7">
      <c r="A1750" s="4" t="s">
        <v>4615</v>
      </c>
      <c r="B1750" s="5" t="s">
        <v>4616</v>
      </c>
      <c r="C1750" s="4" t="s">
        <v>99</v>
      </c>
      <c r="D1750" s="475">
        <v>452.31</v>
      </c>
      <c r="E1750" s="476">
        <v>0.03632</v>
      </c>
      <c r="F1750" s="6">
        <v>4.4859</v>
      </c>
      <c r="G1750" s="6">
        <v>0.46704</v>
      </c>
    </row>
    <row r="1751" ht="15.75" customHeight="1" spans="1:7">
      <c r="A1751" s="4" t="s">
        <v>4617</v>
      </c>
      <c r="B1751" s="5" t="s">
        <v>4618</v>
      </c>
      <c r="C1751" s="4" t="s">
        <v>99</v>
      </c>
      <c r="D1751" s="475">
        <v>661.9</v>
      </c>
      <c r="E1751" s="476">
        <v>0.03632</v>
      </c>
      <c r="F1751" s="6">
        <v>19.8077</v>
      </c>
      <c r="G1751" s="6">
        <v>0.04597</v>
      </c>
    </row>
    <row r="1752" ht="15.75" customHeight="1" spans="1:7">
      <c r="A1752" s="4" t="s">
        <v>4619</v>
      </c>
      <c r="B1752" s="5" t="s">
        <v>4620</v>
      </c>
      <c r="C1752" s="4" t="s">
        <v>99</v>
      </c>
      <c r="D1752" s="475">
        <v>452.07</v>
      </c>
      <c r="E1752" s="476">
        <v>0.03632</v>
      </c>
      <c r="F1752" s="6">
        <v>12.5893</v>
      </c>
      <c r="G1752" s="6">
        <v>0.0747</v>
      </c>
    </row>
    <row r="1753" ht="15.75" customHeight="1" spans="1:7">
      <c r="A1753" s="4" t="s">
        <v>4621</v>
      </c>
      <c r="B1753" s="5" t="s">
        <v>4622</v>
      </c>
      <c r="C1753" s="4" t="s">
        <v>7</v>
      </c>
      <c r="D1753" s="475">
        <v>15.96</v>
      </c>
      <c r="E1753" s="476">
        <v>0.03632</v>
      </c>
      <c r="F1753" s="6">
        <v>0.5592</v>
      </c>
      <c r="G1753" s="6">
        <v>10</v>
      </c>
    </row>
    <row r="1754" ht="15.75" customHeight="1" spans="1:7">
      <c r="A1754" s="4" t="s">
        <v>4623</v>
      </c>
      <c r="B1754" s="5" t="s">
        <v>4624</v>
      </c>
      <c r="C1754" s="4" t="s">
        <v>7</v>
      </c>
      <c r="D1754" s="475">
        <v>4.3</v>
      </c>
      <c r="E1754" s="476">
        <v>0.03632</v>
      </c>
      <c r="F1754" s="6">
        <v>0.1506</v>
      </c>
      <c r="G1754" s="6">
        <v>30</v>
      </c>
    </row>
    <row r="1755" ht="15.75" customHeight="1" spans="1:7">
      <c r="A1755" s="4" t="s">
        <v>4625</v>
      </c>
      <c r="B1755" s="5" t="s">
        <v>4626</v>
      </c>
      <c r="C1755" s="4" t="s">
        <v>99</v>
      </c>
      <c r="D1755" s="475">
        <v>7.92</v>
      </c>
      <c r="E1755" s="476">
        <v>0</v>
      </c>
      <c r="F1755" s="6">
        <v>0</v>
      </c>
      <c r="G1755" s="6">
        <v>68.65</v>
      </c>
    </row>
    <row r="1756" ht="15.75" customHeight="1" spans="1:7">
      <c r="A1756" s="4" t="s">
        <v>4627</v>
      </c>
      <c r="B1756" s="5" t="s">
        <v>4628</v>
      </c>
      <c r="C1756" s="4" t="s">
        <v>7</v>
      </c>
      <c r="D1756" s="475">
        <v>17.96</v>
      </c>
      <c r="E1756" s="476">
        <v>0</v>
      </c>
      <c r="F1756" s="6">
        <v>0</v>
      </c>
      <c r="G1756" s="6">
        <v>34.86</v>
      </c>
    </row>
    <row r="1757" ht="15.75" customHeight="1" spans="1:7">
      <c r="A1757" s="4" t="s">
        <v>4629</v>
      </c>
      <c r="B1757" s="5" t="s">
        <v>4630</v>
      </c>
      <c r="C1757" s="4" t="s">
        <v>99</v>
      </c>
      <c r="D1757" s="475">
        <v>61.81</v>
      </c>
      <c r="E1757" s="476">
        <v>0</v>
      </c>
      <c r="F1757" s="6">
        <v>0</v>
      </c>
      <c r="G1757" s="6">
        <v>8.30252</v>
      </c>
    </row>
    <row r="1758" ht="15.75" customHeight="1" spans="1:7">
      <c r="A1758" s="4" t="s">
        <v>4631</v>
      </c>
      <c r="B1758" s="5" t="s">
        <v>4632</v>
      </c>
      <c r="C1758" s="4" t="s">
        <v>99</v>
      </c>
      <c r="D1758" s="475">
        <v>43.37</v>
      </c>
      <c r="E1758" s="476">
        <v>0</v>
      </c>
      <c r="F1758" s="6">
        <v>0</v>
      </c>
      <c r="G1758" s="6">
        <v>10.01</v>
      </c>
    </row>
    <row r="1759" ht="15.75" customHeight="1" spans="1:7">
      <c r="A1759" s="4" t="s">
        <v>4633</v>
      </c>
      <c r="B1759" s="5" t="s">
        <v>4634</v>
      </c>
      <c r="C1759" s="4" t="s">
        <v>7</v>
      </c>
      <c r="D1759" s="475">
        <v>1.25</v>
      </c>
      <c r="E1759" s="476">
        <v>0</v>
      </c>
      <c r="F1759" s="6">
        <v>0</v>
      </c>
      <c r="G1759" s="6">
        <v>32.77</v>
      </c>
    </row>
    <row r="1760" ht="15.75" customHeight="1" spans="1:7">
      <c r="A1760" s="4" t="s">
        <v>4635</v>
      </c>
      <c r="B1760" s="5" t="s">
        <v>4636</v>
      </c>
      <c r="C1760" s="4" t="s">
        <v>9</v>
      </c>
      <c r="D1760" s="475">
        <v>216.82</v>
      </c>
      <c r="E1760" s="476">
        <v>0.03632</v>
      </c>
      <c r="F1760" s="6">
        <v>1.5095</v>
      </c>
      <c r="G1760" s="6">
        <v>0.664</v>
      </c>
    </row>
    <row r="1761" ht="15.75" customHeight="1" spans="1:7">
      <c r="A1761" s="4" t="s">
        <v>4637</v>
      </c>
      <c r="B1761" s="5" t="s">
        <v>4638</v>
      </c>
      <c r="C1761" s="4" t="s">
        <v>9</v>
      </c>
      <c r="D1761" s="475">
        <v>64.9</v>
      </c>
      <c r="E1761" s="476">
        <v>0.03632</v>
      </c>
      <c r="F1761" s="6">
        <v>0.4025</v>
      </c>
      <c r="G1761" s="6">
        <v>2.49</v>
      </c>
    </row>
    <row r="1762" ht="15.75" customHeight="1" spans="1:7">
      <c r="A1762" s="4" t="s">
        <v>4639</v>
      </c>
      <c r="B1762" s="5" t="s">
        <v>4640</v>
      </c>
      <c r="C1762" s="4" t="s">
        <v>9</v>
      </c>
      <c r="D1762" s="475">
        <v>71.35</v>
      </c>
      <c r="E1762" s="476">
        <v>0.03632</v>
      </c>
      <c r="F1762" s="6">
        <v>0.4557</v>
      </c>
      <c r="G1762" s="6">
        <v>2.1995</v>
      </c>
    </row>
    <row r="1763" ht="15.75" customHeight="1" spans="1:7">
      <c r="A1763" s="4" t="s">
        <v>4641</v>
      </c>
      <c r="B1763" s="5" t="s">
        <v>4642</v>
      </c>
      <c r="C1763" s="4" t="s">
        <v>9</v>
      </c>
      <c r="D1763" s="475">
        <v>81.16</v>
      </c>
      <c r="E1763" s="476">
        <v>0.03632</v>
      </c>
      <c r="F1763" s="6">
        <v>0.5139</v>
      </c>
      <c r="G1763" s="6">
        <v>1.9505</v>
      </c>
    </row>
    <row r="1764" ht="15.75" customHeight="1" spans="1:7">
      <c r="A1764" s="4" t="s">
        <v>4643</v>
      </c>
      <c r="B1764" s="5" t="s">
        <v>4644</v>
      </c>
      <c r="C1764" s="4" t="s">
        <v>9</v>
      </c>
      <c r="D1764" s="475">
        <v>92.94</v>
      </c>
      <c r="E1764" s="476">
        <v>0.03632</v>
      </c>
      <c r="F1764" s="6">
        <v>0.6038</v>
      </c>
      <c r="G1764" s="6">
        <v>1.66</v>
      </c>
    </row>
    <row r="1765" ht="15.75" customHeight="1" spans="1:7">
      <c r="A1765" s="4" t="s">
        <v>4645</v>
      </c>
      <c r="B1765" s="5" t="s">
        <v>4646</v>
      </c>
      <c r="C1765" s="4" t="s">
        <v>9</v>
      </c>
      <c r="D1765" s="475">
        <v>96.7</v>
      </c>
      <c r="E1765" s="476">
        <v>0.03632</v>
      </c>
      <c r="F1765" s="6">
        <v>0.6709</v>
      </c>
      <c r="G1765" s="6">
        <v>1.494</v>
      </c>
    </row>
    <row r="1766" ht="15.75" customHeight="1" spans="1:7">
      <c r="A1766" s="4" t="s">
        <v>4647</v>
      </c>
      <c r="B1766" s="5" t="s">
        <v>4648</v>
      </c>
      <c r="C1766" s="4" t="s">
        <v>9</v>
      </c>
      <c r="D1766" s="475">
        <v>104.64</v>
      </c>
      <c r="E1766" s="476">
        <v>0.03632</v>
      </c>
      <c r="F1766" s="6">
        <v>0.7547</v>
      </c>
      <c r="G1766" s="6">
        <v>1.328</v>
      </c>
    </row>
    <row r="1767" ht="15.75" customHeight="1" spans="1:7">
      <c r="A1767" s="4" t="s">
        <v>4649</v>
      </c>
      <c r="B1767" s="5" t="s">
        <v>4650</v>
      </c>
      <c r="C1767" s="4" t="s">
        <v>9</v>
      </c>
      <c r="D1767" s="475">
        <v>111.2</v>
      </c>
      <c r="E1767" s="476">
        <v>0.03632</v>
      </c>
      <c r="F1767" s="6">
        <v>0.8051</v>
      </c>
      <c r="G1767" s="6">
        <v>1.245</v>
      </c>
    </row>
    <row r="1768" ht="15.75" customHeight="1" spans="1:7">
      <c r="A1768" s="4" t="s">
        <v>4651</v>
      </c>
      <c r="B1768" s="5" t="s">
        <v>4652</v>
      </c>
      <c r="C1768" s="4" t="s">
        <v>9</v>
      </c>
      <c r="D1768" s="475">
        <v>129.56</v>
      </c>
      <c r="E1768" s="476">
        <v>0.03632</v>
      </c>
      <c r="F1768" s="6">
        <v>1.0063</v>
      </c>
      <c r="G1768" s="6">
        <v>0.996</v>
      </c>
    </row>
    <row r="1769" ht="15.75" customHeight="1" spans="1:7">
      <c r="A1769" s="4" t="s">
        <v>4653</v>
      </c>
      <c r="B1769" s="5" t="s">
        <v>4654</v>
      </c>
      <c r="C1769" s="4" t="s">
        <v>9</v>
      </c>
      <c r="D1769" s="475">
        <v>170.25</v>
      </c>
      <c r="E1769" s="476">
        <v>0.03632</v>
      </c>
      <c r="F1769" s="6">
        <v>1.2076</v>
      </c>
      <c r="G1769" s="6">
        <v>0.83</v>
      </c>
    </row>
    <row r="1770" ht="15.75" customHeight="1" spans="1:7">
      <c r="A1770" s="4" t="s">
        <v>4655</v>
      </c>
      <c r="B1770" s="5" t="s">
        <v>4656</v>
      </c>
      <c r="C1770" s="4" t="s">
        <v>9</v>
      </c>
      <c r="D1770" s="475">
        <v>21.61</v>
      </c>
      <c r="E1770" s="476">
        <v>0.03632</v>
      </c>
      <c r="F1770" s="6">
        <v>0.6028</v>
      </c>
      <c r="G1770" s="6">
        <v>1.494</v>
      </c>
    </row>
    <row r="1771" ht="15.75" customHeight="1" spans="1:7">
      <c r="A1771" s="4" t="s">
        <v>4657</v>
      </c>
      <c r="B1771" s="5" t="s">
        <v>4658</v>
      </c>
      <c r="C1771" s="4" t="s">
        <v>9</v>
      </c>
      <c r="D1771" s="475">
        <v>34.07</v>
      </c>
      <c r="E1771" s="476">
        <v>0.03632</v>
      </c>
      <c r="F1771" s="6">
        <v>0.7977</v>
      </c>
      <c r="G1771" s="6">
        <v>1.162</v>
      </c>
    </row>
    <row r="1772" ht="15.75" customHeight="1" spans="1:7">
      <c r="A1772" s="4" t="s">
        <v>4659</v>
      </c>
      <c r="B1772" s="5" t="s">
        <v>4660</v>
      </c>
      <c r="C1772" s="4" t="s">
        <v>9</v>
      </c>
      <c r="D1772" s="475">
        <v>41.55</v>
      </c>
      <c r="E1772" s="476">
        <v>0.03632</v>
      </c>
      <c r="F1772" s="6">
        <v>0.9627</v>
      </c>
      <c r="G1772" s="6">
        <v>0.9628</v>
      </c>
    </row>
    <row r="1773" ht="15.75" customHeight="1" spans="1:7">
      <c r="A1773" s="4" t="s">
        <v>4661</v>
      </c>
      <c r="B1773" s="5" t="s">
        <v>4662</v>
      </c>
      <c r="C1773" s="4" t="s">
        <v>9</v>
      </c>
      <c r="D1773" s="475">
        <v>0.86</v>
      </c>
      <c r="E1773" s="476">
        <v>0.03632</v>
      </c>
      <c r="F1773" s="6">
        <v>0.03</v>
      </c>
      <c r="G1773" s="6">
        <v>57.1</v>
      </c>
    </row>
    <row r="1774" ht="15.75" customHeight="1" spans="1:7">
      <c r="A1774" s="4" t="s">
        <v>4663</v>
      </c>
      <c r="B1774" s="5" t="s">
        <v>4664</v>
      </c>
      <c r="C1774" s="4" t="s">
        <v>7</v>
      </c>
      <c r="D1774" s="475">
        <v>13.65</v>
      </c>
      <c r="E1774" s="476">
        <v>0.04722</v>
      </c>
      <c r="F1774" s="6">
        <v>0.448</v>
      </c>
      <c r="G1774" s="6">
        <v>27</v>
      </c>
    </row>
    <row r="1775" ht="15.75" customHeight="1" spans="1:7">
      <c r="A1775" s="4" t="s">
        <v>4665</v>
      </c>
      <c r="B1775" s="5" t="s">
        <v>4666</v>
      </c>
      <c r="C1775" s="4" t="s">
        <v>7</v>
      </c>
      <c r="D1775" s="475">
        <v>4.54</v>
      </c>
      <c r="E1775" s="476">
        <v>0.03814</v>
      </c>
      <c r="F1775" s="6">
        <v>0.1652</v>
      </c>
      <c r="G1775" s="6">
        <v>1.60645</v>
      </c>
    </row>
    <row r="1776" ht="15.75" customHeight="1" spans="1:7">
      <c r="A1776" s="4" t="s">
        <v>4667</v>
      </c>
      <c r="B1776" s="5" t="s">
        <v>4668</v>
      </c>
      <c r="C1776" s="4" t="s">
        <v>9</v>
      </c>
      <c r="D1776" s="475">
        <v>10.71</v>
      </c>
      <c r="E1776" s="476">
        <v>0.04722</v>
      </c>
      <c r="F1776" s="6">
        <v>0.3043</v>
      </c>
      <c r="G1776" s="6">
        <v>19.38</v>
      </c>
    </row>
    <row r="1777" ht="15.75" customHeight="1" spans="1:7">
      <c r="A1777" s="4" t="s">
        <v>4669</v>
      </c>
      <c r="B1777" s="5" t="s">
        <v>4670</v>
      </c>
      <c r="C1777" s="4" t="s">
        <v>9</v>
      </c>
      <c r="D1777" s="475">
        <v>11.99</v>
      </c>
      <c r="E1777" s="476">
        <v>0.04722</v>
      </c>
      <c r="F1777" s="6">
        <v>0.3619</v>
      </c>
      <c r="G1777" s="6">
        <v>19.38</v>
      </c>
    </row>
    <row r="1778" ht="30" customHeight="1" spans="1:7">
      <c r="A1778" s="4" t="s">
        <v>4671</v>
      </c>
      <c r="B1778" s="5" t="s">
        <v>4672</v>
      </c>
      <c r="C1778" s="4" t="s">
        <v>99</v>
      </c>
      <c r="D1778" s="475">
        <v>138.64</v>
      </c>
      <c r="E1778" s="476">
        <v>0</v>
      </c>
      <c r="F1778" s="6">
        <v>0</v>
      </c>
      <c r="G1778" s="6">
        <v>21.45</v>
      </c>
    </row>
    <row r="1779" ht="30" customHeight="1" spans="1:7">
      <c r="A1779" s="4" t="s">
        <v>4673</v>
      </c>
      <c r="B1779" s="5" t="s">
        <v>4674</v>
      </c>
      <c r="C1779" s="4" t="s">
        <v>99</v>
      </c>
      <c r="D1779" s="475">
        <v>143.19</v>
      </c>
      <c r="E1779" s="476">
        <v>0</v>
      </c>
      <c r="F1779" s="6">
        <v>0</v>
      </c>
      <c r="G1779" s="6">
        <v>21.45</v>
      </c>
    </row>
    <row r="1780" ht="30" customHeight="1" spans="1:7">
      <c r="A1780" s="4" t="s">
        <v>4675</v>
      </c>
      <c r="B1780" s="5" t="s">
        <v>4676</v>
      </c>
      <c r="C1780" s="4" t="s">
        <v>99</v>
      </c>
      <c r="D1780" s="475">
        <v>143.76</v>
      </c>
      <c r="E1780" s="476">
        <v>0</v>
      </c>
      <c r="F1780" s="6">
        <v>0</v>
      </c>
      <c r="G1780" s="6">
        <v>21.45</v>
      </c>
    </row>
    <row r="1781" ht="30" customHeight="1" spans="1:7">
      <c r="A1781" s="4" t="s">
        <v>4677</v>
      </c>
      <c r="B1781" s="5" t="s">
        <v>4678</v>
      </c>
      <c r="C1781" s="4" t="s">
        <v>99</v>
      </c>
      <c r="D1781" s="475">
        <v>144.33</v>
      </c>
      <c r="E1781" s="476">
        <v>0</v>
      </c>
      <c r="F1781" s="6">
        <v>0</v>
      </c>
      <c r="G1781" s="6">
        <v>21.45</v>
      </c>
    </row>
    <row r="1782" ht="30" customHeight="1" spans="1:7">
      <c r="A1782" s="4" t="s">
        <v>4679</v>
      </c>
      <c r="B1782" s="5" t="s">
        <v>4680</v>
      </c>
      <c r="C1782" s="4" t="s">
        <v>99</v>
      </c>
      <c r="D1782" s="475">
        <v>144.9</v>
      </c>
      <c r="E1782" s="476">
        <v>0</v>
      </c>
      <c r="F1782" s="6">
        <v>0</v>
      </c>
      <c r="G1782" s="6">
        <v>21.45</v>
      </c>
    </row>
    <row r="1783" ht="30" customHeight="1" spans="1:7">
      <c r="A1783" s="4" t="s">
        <v>4681</v>
      </c>
      <c r="B1783" s="5" t="s">
        <v>4682</v>
      </c>
      <c r="C1783" s="4" t="s">
        <v>99</v>
      </c>
      <c r="D1783" s="475">
        <v>146.04</v>
      </c>
      <c r="E1783" s="476">
        <v>0</v>
      </c>
      <c r="F1783" s="6">
        <v>0</v>
      </c>
      <c r="G1783" s="6">
        <v>21.45</v>
      </c>
    </row>
    <row r="1784" ht="30" customHeight="1" spans="1:7">
      <c r="A1784" s="4" t="s">
        <v>4683</v>
      </c>
      <c r="B1784" s="5" t="s">
        <v>4684</v>
      </c>
      <c r="C1784" s="4" t="s">
        <v>99</v>
      </c>
      <c r="D1784" s="475">
        <v>147.18</v>
      </c>
      <c r="E1784" s="476">
        <v>0</v>
      </c>
      <c r="F1784" s="6">
        <v>0</v>
      </c>
      <c r="G1784" s="6">
        <v>21.45</v>
      </c>
    </row>
    <row r="1785" ht="30" customHeight="1" spans="1:7">
      <c r="A1785" s="4" t="s">
        <v>4685</v>
      </c>
      <c r="B1785" s="5" t="s">
        <v>4686</v>
      </c>
      <c r="C1785" s="4" t="s">
        <v>99</v>
      </c>
      <c r="D1785" s="475">
        <v>148.88</v>
      </c>
      <c r="E1785" s="476">
        <v>0</v>
      </c>
      <c r="F1785" s="6">
        <v>0</v>
      </c>
      <c r="G1785" s="6">
        <v>21.45</v>
      </c>
    </row>
    <row r="1786" ht="30" customHeight="1" spans="1:7">
      <c r="A1786" s="4" t="s">
        <v>4687</v>
      </c>
      <c r="B1786" s="5" t="s">
        <v>4688</v>
      </c>
      <c r="C1786" s="4" t="s">
        <v>99</v>
      </c>
      <c r="D1786" s="475">
        <v>140.34</v>
      </c>
      <c r="E1786" s="476">
        <v>0</v>
      </c>
      <c r="F1786" s="6">
        <v>0</v>
      </c>
      <c r="G1786" s="6">
        <v>21.45</v>
      </c>
    </row>
    <row r="1787" ht="30" customHeight="1" spans="1:7">
      <c r="A1787" s="4" t="s">
        <v>4689</v>
      </c>
      <c r="B1787" s="5" t="s">
        <v>4690</v>
      </c>
      <c r="C1787" s="4" t="s">
        <v>99</v>
      </c>
      <c r="D1787" s="475">
        <v>150.02</v>
      </c>
      <c r="E1787" s="476">
        <v>0</v>
      </c>
      <c r="F1787" s="6">
        <v>0</v>
      </c>
      <c r="G1787" s="6">
        <v>21.45</v>
      </c>
    </row>
    <row r="1788" ht="30" customHeight="1" spans="1:7">
      <c r="A1788" s="4" t="s">
        <v>4691</v>
      </c>
      <c r="B1788" s="5" t="s">
        <v>4692</v>
      </c>
      <c r="C1788" s="4" t="s">
        <v>99</v>
      </c>
      <c r="D1788" s="475">
        <v>140.91</v>
      </c>
      <c r="E1788" s="476">
        <v>0</v>
      </c>
      <c r="F1788" s="6">
        <v>0</v>
      </c>
      <c r="G1788" s="6">
        <v>21.45</v>
      </c>
    </row>
    <row r="1789" ht="30" customHeight="1" spans="1:7">
      <c r="A1789" s="4" t="s">
        <v>4693</v>
      </c>
      <c r="B1789" s="5" t="s">
        <v>4694</v>
      </c>
      <c r="C1789" s="4" t="s">
        <v>99</v>
      </c>
      <c r="D1789" s="475">
        <v>142.05</v>
      </c>
      <c r="E1789" s="476">
        <v>0</v>
      </c>
      <c r="F1789" s="6">
        <v>0</v>
      </c>
      <c r="G1789" s="6">
        <v>21.45</v>
      </c>
    </row>
    <row r="1790" ht="30" customHeight="1" spans="1:7">
      <c r="A1790" s="4" t="s">
        <v>4695</v>
      </c>
      <c r="B1790" s="5" t="s">
        <v>4696</v>
      </c>
      <c r="C1790" s="4" t="s">
        <v>99</v>
      </c>
      <c r="D1790" s="475">
        <v>142.62</v>
      </c>
      <c r="E1790" s="476">
        <v>0</v>
      </c>
      <c r="F1790" s="6">
        <v>0</v>
      </c>
      <c r="G1790" s="6">
        <v>21.45</v>
      </c>
    </row>
    <row r="1791" ht="30" customHeight="1" spans="1:7">
      <c r="A1791" s="4" t="s">
        <v>4697</v>
      </c>
      <c r="B1791" s="5" t="s">
        <v>4698</v>
      </c>
      <c r="C1791" s="4" t="s">
        <v>99</v>
      </c>
      <c r="D1791" s="475">
        <v>87.6</v>
      </c>
      <c r="E1791" s="476">
        <v>0</v>
      </c>
      <c r="F1791" s="6">
        <v>0</v>
      </c>
      <c r="G1791" s="6">
        <v>21.45</v>
      </c>
    </row>
    <row r="1792" ht="15.75" customHeight="1" spans="1:7">
      <c r="A1792" s="4" t="s">
        <v>4699</v>
      </c>
      <c r="B1792" s="5" t="s">
        <v>4700</v>
      </c>
      <c r="C1792" s="4" t="s">
        <v>99</v>
      </c>
      <c r="D1792" s="475">
        <v>86.2</v>
      </c>
      <c r="E1792" s="476">
        <v>0</v>
      </c>
      <c r="F1792" s="6">
        <v>0</v>
      </c>
      <c r="G1792" s="6">
        <v>21.45</v>
      </c>
    </row>
    <row r="1793" ht="30" customHeight="1" spans="1:7">
      <c r="A1793" s="4" t="s">
        <v>4701</v>
      </c>
      <c r="B1793" s="5" t="s">
        <v>4702</v>
      </c>
      <c r="C1793" s="4" t="s">
        <v>99</v>
      </c>
      <c r="D1793" s="475">
        <v>137.24</v>
      </c>
      <c r="E1793" s="476">
        <v>0</v>
      </c>
      <c r="F1793" s="6">
        <v>0</v>
      </c>
      <c r="G1793" s="6">
        <v>21.45</v>
      </c>
    </row>
    <row r="1794" ht="30" customHeight="1" spans="1:7">
      <c r="A1794" s="4" t="s">
        <v>4703</v>
      </c>
      <c r="B1794" s="5" t="s">
        <v>4704</v>
      </c>
      <c r="C1794" s="4" t="s">
        <v>99</v>
      </c>
      <c r="D1794" s="475">
        <v>141.79</v>
      </c>
      <c r="E1794" s="476">
        <v>0</v>
      </c>
      <c r="F1794" s="6">
        <v>0</v>
      </c>
      <c r="G1794" s="6">
        <v>21.45</v>
      </c>
    </row>
    <row r="1795" ht="30" customHeight="1" spans="1:7">
      <c r="A1795" s="4" t="s">
        <v>4705</v>
      </c>
      <c r="B1795" s="5" t="s">
        <v>4706</v>
      </c>
      <c r="C1795" s="4" t="s">
        <v>99</v>
      </c>
      <c r="D1795" s="475">
        <v>142.36</v>
      </c>
      <c r="E1795" s="476">
        <v>0</v>
      </c>
      <c r="F1795" s="6">
        <v>0</v>
      </c>
      <c r="G1795" s="6">
        <v>21.45</v>
      </c>
    </row>
    <row r="1796" ht="30" customHeight="1" spans="1:7">
      <c r="A1796" s="4" t="s">
        <v>4707</v>
      </c>
      <c r="B1796" s="5" t="s">
        <v>4708</v>
      </c>
      <c r="C1796" s="4" t="s">
        <v>99</v>
      </c>
      <c r="D1796" s="475">
        <v>142.93</v>
      </c>
      <c r="E1796" s="476">
        <v>0</v>
      </c>
      <c r="F1796" s="6">
        <v>0</v>
      </c>
      <c r="G1796" s="6">
        <v>21.45</v>
      </c>
    </row>
    <row r="1797" ht="30" customHeight="1" spans="1:7">
      <c r="A1797" s="4" t="s">
        <v>4709</v>
      </c>
      <c r="B1797" s="5" t="s">
        <v>4710</v>
      </c>
      <c r="C1797" s="4" t="s">
        <v>99</v>
      </c>
      <c r="D1797" s="475">
        <v>143.5</v>
      </c>
      <c r="E1797" s="476">
        <v>0</v>
      </c>
      <c r="F1797" s="6">
        <v>0</v>
      </c>
      <c r="G1797" s="6">
        <v>21.45</v>
      </c>
    </row>
    <row r="1798" ht="30" customHeight="1" spans="1:7">
      <c r="A1798" s="4" t="s">
        <v>4711</v>
      </c>
      <c r="B1798" s="5" t="s">
        <v>4712</v>
      </c>
      <c r="C1798" s="4" t="s">
        <v>99</v>
      </c>
      <c r="D1798" s="475">
        <v>144.64</v>
      </c>
      <c r="E1798" s="476">
        <v>0</v>
      </c>
      <c r="F1798" s="6">
        <v>0</v>
      </c>
      <c r="G1798" s="6">
        <v>21.45</v>
      </c>
    </row>
    <row r="1799" ht="30" customHeight="1" spans="1:7">
      <c r="A1799" s="4" t="s">
        <v>4713</v>
      </c>
      <c r="B1799" s="5" t="s">
        <v>4714</v>
      </c>
      <c r="C1799" s="4" t="s">
        <v>99</v>
      </c>
      <c r="D1799" s="475">
        <v>145.77</v>
      </c>
      <c r="E1799" s="476">
        <v>0</v>
      </c>
      <c r="F1799" s="6">
        <v>0</v>
      </c>
      <c r="G1799" s="6">
        <v>21.45</v>
      </c>
    </row>
    <row r="1800" ht="30" customHeight="1" spans="1:7">
      <c r="A1800" s="4" t="s">
        <v>4715</v>
      </c>
      <c r="B1800" s="5" t="s">
        <v>4716</v>
      </c>
      <c r="C1800" s="4" t="s">
        <v>99</v>
      </c>
      <c r="D1800" s="475">
        <v>147.48</v>
      </c>
      <c r="E1800" s="476">
        <v>0</v>
      </c>
      <c r="F1800" s="6">
        <v>0</v>
      </c>
      <c r="G1800" s="6">
        <v>21.45</v>
      </c>
    </row>
    <row r="1801" ht="30" customHeight="1" spans="1:7">
      <c r="A1801" s="4" t="s">
        <v>4717</v>
      </c>
      <c r="B1801" s="5" t="s">
        <v>4718</v>
      </c>
      <c r="C1801" s="4" t="s">
        <v>99</v>
      </c>
      <c r="D1801" s="475">
        <v>138.94</v>
      </c>
      <c r="E1801" s="476">
        <v>0</v>
      </c>
      <c r="F1801" s="6">
        <v>0</v>
      </c>
      <c r="G1801" s="6">
        <v>21.45</v>
      </c>
    </row>
    <row r="1802" ht="30" customHeight="1" spans="1:7">
      <c r="A1802" s="4" t="s">
        <v>4719</v>
      </c>
      <c r="B1802" s="5" t="s">
        <v>4720</v>
      </c>
      <c r="C1802" s="4" t="s">
        <v>99</v>
      </c>
      <c r="D1802" s="475">
        <v>148.62</v>
      </c>
      <c r="E1802" s="476">
        <v>0</v>
      </c>
      <c r="F1802" s="6">
        <v>0</v>
      </c>
      <c r="G1802" s="6">
        <v>21.45</v>
      </c>
    </row>
    <row r="1803" ht="30" customHeight="1" spans="1:7">
      <c r="A1803" s="4" t="s">
        <v>4721</v>
      </c>
      <c r="B1803" s="5" t="s">
        <v>4722</v>
      </c>
      <c r="C1803" s="4" t="s">
        <v>99</v>
      </c>
      <c r="D1803" s="475">
        <v>139.51</v>
      </c>
      <c r="E1803" s="476">
        <v>0</v>
      </c>
      <c r="F1803" s="6">
        <v>0</v>
      </c>
      <c r="G1803" s="6">
        <v>21.45</v>
      </c>
    </row>
    <row r="1804" ht="30" customHeight="1" spans="1:7">
      <c r="A1804" s="4" t="s">
        <v>4723</v>
      </c>
      <c r="B1804" s="5" t="s">
        <v>4724</v>
      </c>
      <c r="C1804" s="4" t="s">
        <v>99</v>
      </c>
      <c r="D1804" s="475">
        <v>140.65</v>
      </c>
      <c r="E1804" s="476">
        <v>0</v>
      </c>
      <c r="F1804" s="6">
        <v>0</v>
      </c>
      <c r="G1804" s="6">
        <v>21.45</v>
      </c>
    </row>
    <row r="1805" ht="30" customHeight="1" spans="1:7">
      <c r="A1805" s="4" t="s">
        <v>4725</v>
      </c>
      <c r="B1805" s="5" t="s">
        <v>4726</v>
      </c>
      <c r="C1805" s="4" t="s">
        <v>99</v>
      </c>
      <c r="D1805" s="475">
        <v>141.22</v>
      </c>
      <c r="E1805" s="476">
        <v>0</v>
      </c>
      <c r="F1805" s="6">
        <v>0</v>
      </c>
      <c r="G1805" s="6">
        <v>21.45</v>
      </c>
    </row>
    <row r="1806" ht="15.75" customHeight="1" spans="1:7">
      <c r="A1806" s="4" t="s">
        <v>4727</v>
      </c>
      <c r="B1806" s="5" t="s">
        <v>4728</v>
      </c>
      <c r="C1806" s="4" t="s">
        <v>99</v>
      </c>
      <c r="D1806" s="475">
        <v>111.26</v>
      </c>
      <c r="E1806" s="476">
        <v>0</v>
      </c>
      <c r="F1806" s="6">
        <v>0</v>
      </c>
      <c r="G1806" s="6">
        <v>154.55</v>
      </c>
    </row>
    <row r="1807" ht="30" customHeight="1" spans="1:7">
      <c r="A1807" s="4" t="s">
        <v>4729</v>
      </c>
      <c r="B1807" s="5" t="s">
        <v>4730</v>
      </c>
      <c r="C1807" s="4" t="s">
        <v>99</v>
      </c>
      <c r="D1807" s="475">
        <v>124.92</v>
      </c>
      <c r="E1807" s="476">
        <v>0</v>
      </c>
      <c r="F1807" s="6">
        <v>0</v>
      </c>
      <c r="G1807" s="6">
        <v>154.55</v>
      </c>
    </row>
    <row r="1808" ht="30" customHeight="1" spans="1:7">
      <c r="A1808" s="4" t="s">
        <v>4731</v>
      </c>
      <c r="B1808" s="5" t="s">
        <v>4732</v>
      </c>
      <c r="C1808" s="4" t="s">
        <v>99</v>
      </c>
      <c r="D1808" s="475">
        <v>125.88</v>
      </c>
      <c r="E1808" s="476">
        <v>0</v>
      </c>
      <c r="F1808" s="6">
        <v>0</v>
      </c>
      <c r="G1808" s="6">
        <v>154.55</v>
      </c>
    </row>
    <row r="1809" ht="30" customHeight="1" spans="1:7">
      <c r="A1809" s="4" t="s">
        <v>4733</v>
      </c>
      <c r="B1809" s="5" t="s">
        <v>4734</v>
      </c>
      <c r="C1809" s="4" t="s">
        <v>99</v>
      </c>
      <c r="D1809" s="475">
        <v>125.98</v>
      </c>
      <c r="E1809" s="476">
        <v>0</v>
      </c>
      <c r="F1809" s="6">
        <v>0</v>
      </c>
      <c r="G1809" s="6">
        <v>154.55</v>
      </c>
    </row>
    <row r="1810" ht="30" customHeight="1" spans="1:7">
      <c r="A1810" s="4" t="s">
        <v>4735</v>
      </c>
      <c r="B1810" s="5" t="s">
        <v>4736</v>
      </c>
      <c r="C1810" s="4" t="s">
        <v>99</v>
      </c>
      <c r="D1810" s="475">
        <v>126.17</v>
      </c>
      <c r="E1810" s="476">
        <v>0</v>
      </c>
      <c r="F1810" s="6">
        <v>0</v>
      </c>
      <c r="G1810" s="6">
        <v>154.55</v>
      </c>
    </row>
    <row r="1811" ht="30" customHeight="1" spans="1:7">
      <c r="A1811" s="4" t="s">
        <v>4737</v>
      </c>
      <c r="B1811" s="5" t="s">
        <v>4738</v>
      </c>
      <c r="C1811" s="4" t="s">
        <v>99</v>
      </c>
      <c r="D1811" s="475">
        <v>126.27</v>
      </c>
      <c r="E1811" s="476">
        <v>0</v>
      </c>
      <c r="F1811" s="6">
        <v>0</v>
      </c>
      <c r="G1811" s="6">
        <v>154.55</v>
      </c>
    </row>
    <row r="1812" ht="30" customHeight="1" spans="1:7">
      <c r="A1812" s="4" t="s">
        <v>4739</v>
      </c>
      <c r="B1812" s="5" t="s">
        <v>4740</v>
      </c>
      <c r="C1812" s="4" t="s">
        <v>99</v>
      </c>
      <c r="D1812" s="475">
        <v>126.46</v>
      </c>
      <c r="E1812" s="476">
        <v>0</v>
      </c>
      <c r="F1812" s="6">
        <v>0</v>
      </c>
      <c r="G1812" s="6">
        <v>154.55</v>
      </c>
    </row>
    <row r="1813" ht="30" customHeight="1" spans="1:7">
      <c r="A1813" s="4" t="s">
        <v>4741</v>
      </c>
      <c r="B1813" s="5" t="s">
        <v>4742</v>
      </c>
      <c r="C1813" s="4" t="s">
        <v>99</v>
      </c>
      <c r="D1813" s="475">
        <v>126.65</v>
      </c>
      <c r="E1813" s="476">
        <v>0</v>
      </c>
      <c r="F1813" s="6">
        <v>0</v>
      </c>
      <c r="G1813" s="6">
        <v>154.55</v>
      </c>
    </row>
    <row r="1814" ht="30" customHeight="1" spans="1:7">
      <c r="A1814" s="4" t="s">
        <v>4743</v>
      </c>
      <c r="B1814" s="5" t="s">
        <v>4744</v>
      </c>
      <c r="C1814" s="4" t="s">
        <v>99</v>
      </c>
      <c r="D1814" s="475">
        <v>127.04</v>
      </c>
      <c r="E1814" s="476">
        <v>0</v>
      </c>
      <c r="F1814" s="6">
        <v>0</v>
      </c>
      <c r="G1814" s="6">
        <v>154.55</v>
      </c>
    </row>
    <row r="1815" ht="30" customHeight="1" spans="1:7">
      <c r="A1815" s="4" t="s">
        <v>4745</v>
      </c>
      <c r="B1815" s="5" t="s">
        <v>4746</v>
      </c>
      <c r="C1815" s="4" t="s">
        <v>99</v>
      </c>
      <c r="D1815" s="475">
        <v>125.2</v>
      </c>
      <c r="E1815" s="476">
        <v>0</v>
      </c>
      <c r="F1815" s="6">
        <v>0</v>
      </c>
      <c r="G1815" s="6">
        <v>154.55</v>
      </c>
    </row>
    <row r="1816" ht="30" customHeight="1" spans="1:7">
      <c r="A1816" s="4" t="s">
        <v>4747</v>
      </c>
      <c r="B1816" s="5" t="s">
        <v>4748</v>
      </c>
      <c r="C1816" s="4" t="s">
        <v>99</v>
      </c>
      <c r="D1816" s="475">
        <v>127.33</v>
      </c>
      <c r="E1816" s="476">
        <v>0</v>
      </c>
      <c r="F1816" s="6">
        <v>0</v>
      </c>
      <c r="G1816" s="6">
        <v>154.55</v>
      </c>
    </row>
    <row r="1817" ht="30" customHeight="1" spans="1:7">
      <c r="A1817" s="4" t="s">
        <v>4749</v>
      </c>
      <c r="B1817" s="5" t="s">
        <v>4750</v>
      </c>
      <c r="C1817" s="4" t="s">
        <v>99</v>
      </c>
      <c r="D1817" s="475">
        <v>125.4</v>
      </c>
      <c r="E1817" s="476">
        <v>0</v>
      </c>
      <c r="F1817" s="6">
        <v>0</v>
      </c>
      <c r="G1817" s="6">
        <v>154.55</v>
      </c>
    </row>
    <row r="1818" ht="30" customHeight="1" spans="1:7">
      <c r="A1818" s="4" t="s">
        <v>4751</v>
      </c>
      <c r="B1818" s="5" t="s">
        <v>4752</v>
      </c>
      <c r="C1818" s="4" t="s">
        <v>99</v>
      </c>
      <c r="D1818" s="475">
        <v>125.59</v>
      </c>
      <c r="E1818" s="476">
        <v>0</v>
      </c>
      <c r="F1818" s="6">
        <v>0</v>
      </c>
      <c r="G1818" s="6">
        <v>154.55</v>
      </c>
    </row>
    <row r="1819" ht="30" customHeight="1" spans="1:7">
      <c r="A1819" s="4" t="s">
        <v>4753</v>
      </c>
      <c r="B1819" s="5" t="s">
        <v>4754</v>
      </c>
      <c r="C1819" s="4" t="s">
        <v>99</v>
      </c>
      <c r="D1819" s="475">
        <v>125.69</v>
      </c>
      <c r="E1819" s="476">
        <v>0</v>
      </c>
      <c r="F1819" s="6">
        <v>0</v>
      </c>
      <c r="G1819" s="6">
        <v>154.55</v>
      </c>
    </row>
    <row r="1820" ht="30" customHeight="1" spans="1:7">
      <c r="A1820" s="4" t="s">
        <v>4755</v>
      </c>
      <c r="B1820" s="5" t="s">
        <v>4756</v>
      </c>
      <c r="C1820" s="4" t="s">
        <v>99</v>
      </c>
      <c r="D1820" s="475">
        <v>100.4</v>
      </c>
      <c r="E1820" s="476">
        <v>0</v>
      </c>
      <c r="F1820" s="6">
        <v>0</v>
      </c>
      <c r="G1820" s="6">
        <v>25.86</v>
      </c>
    </row>
    <row r="1821" ht="30" customHeight="1" spans="1:7">
      <c r="A1821" s="4" t="s">
        <v>4757</v>
      </c>
      <c r="B1821" s="5" t="s">
        <v>4758</v>
      </c>
      <c r="C1821" s="4" t="s">
        <v>99</v>
      </c>
      <c r="D1821" s="475">
        <v>100.4</v>
      </c>
      <c r="E1821" s="476">
        <v>0</v>
      </c>
      <c r="F1821" s="6">
        <v>0</v>
      </c>
      <c r="G1821" s="6">
        <v>25.86</v>
      </c>
    </row>
    <row r="1822" ht="30" customHeight="1" spans="1:7">
      <c r="A1822" s="4" t="s">
        <v>4759</v>
      </c>
      <c r="B1822" s="5" t="s">
        <v>4760</v>
      </c>
      <c r="C1822" s="4" t="s">
        <v>99</v>
      </c>
      <c r="D1822" s="475">
        <v>134.4</v>
      </c>
      <c r="E1822" s="476">
        <v>0</v>
      </c>
      <c r="F1822" s="6">
        <v>0</v>
      </c>
      <c r="G1822" s="6">
        <v>16.01</v>
      </c>
    </row>
    <row r="1823" ht="30" customHeight="1" spans="1:7">
      <c r="A1823" s="4" t="s">
        <v>4761</v>
      </c>
      <c r="B1823" s="5" t="s">
        <v>4762</v>
      </c>
      <c r="C1823" s="4" t="s">
        <v>99</v>
      </c>
      <c r="D1823" s="475">
        <v>106.47</v>
      </c>
      <c r="E1823" s="476">
        <v>0</v>
      </c>
      <c r="F1823" s="6">
        <v>0</v>
      </c>
      <c r="G1823" s="6">
        <v>24.01</v>
      </c>
    </row>
    <row r="1824" ht="30" customHeight="1" spans="1:7">
      <c r="A1824" s="4" t="s">
        <v>4763</v>
      </c>
      <c r="B1824" s="5" t="s">
        <v>4764</v>
      </c>
      <c r="C1824" s="4" t="s">
        <v>99</v>
      </c>
      <c r="D1824" s="475">
        <v>218.28</v>
      </c>
      <c r="E1824" s="476">
        <v>0</v>
      </c>
      <c r="F1824" s="6">
        <v>0</v>
      </c>
      <c r="G1824" s="6">
        <v>8.00357</v>
      </c>
    </row>
    <row r="1825" ht="30" customHeight="1" spans="1:7">
      <c r="A1825" s="4" t="s">
        <v>4765</v>
      </c>
      <c r="B1825" s="5" t="s">
        <v>4766</v>
      </c>
      <c r="C1825" s="4" t="s">
        <v>99</v>
      </c>
      <c r="D1825" s="475">
        <v>136.28</v>
      </c>
      <c r="E1825" s="476">
        <v>0</v>
      </c>
      <c r="F1825" s="6">
        <v>0</v>
      </c>
      <c r="G1825" s="6">
        <v>16.01</v>
      </c>
    </row>
    <row r="1826" ht="30" customHeight="1" spans="1:7">
      <c r="A1826" s="4" t="s">
        <v>4767</v>
      </c>
      <c r="B1826" s="5" t="s">
        <v>4768</v>
      </c>
      <c r="C1826" s="4" t="s">
        <v>99</v>
      </c>
      <c r="D1826" s="475">
        <v>107.72</v>
      </c>
      <c r="E1826" s="476">
        <v>0</v>
      </c>
      <c r="F1826" s="6">
        <v>0</v>
      </c>
      <c r="G1826" s="6">
        <v>24.01</v>
      </c>
    </row>
    <row r="1827" ht="30" customHeight="1" spans="1:7">
      <c r="A1827" s="4" t="s">
        <v>4769</v>
      </c>
      <c r="B1827" s="5" t="s">
        <v>4770</v>
      </c>
      <c r="C1827" s="4" t="s">
        <v>99</v>
      </c>
      <c r="D1827" s="475">
        <v>222.04</v>
      </c>
      <c r="E1827" s="476">
        <v>0</v>
      </c>
      <c r="F1827" s="6">
        <v>0</v>
      </c>
      <c r="G1827" s="6">
        <v>8.00357</v>
      </c>
    </row>
    <row r="1828" ht="30" customHeight="1" spans="1:7">
      <c r="A1828" s="4" t="s">
        <v>4771</v>
      </c>
      <c r="B1828" s="5" t="s">
        <v>4772</v>
      </c>
      <c r="C1828" s="4" t="s">
        <v>99</v>
      </c>
      <c r="D1828" s="475">
        <v>79.41</v>
      </c>
      <c r="E1828" s="476">
        <v>0</v>
      </c>
      <c r="F1828" s="6">
        <v>0</v>
      </c>
      <c r="G1828" s="6">
        <v>32.13</v>
      </c>
    </row>
    <row r="1829" ht="30" customHeight="1" spans="1:7">
      <c r="A1829" s="4" t="s">
        <v>4773</v>
      </c>
      <c r="B1829" s="5" t="s">
        <v>4774</v>
      </c>
      <c r="C1829" s="4" t="s">
        <v>99</v>
      </c>
      <c r="D1829" s="475">
        <v>56.74</v>
      </c>
      <c r="E1829" s="476">
        <v>0</v>
      </c>
      <c r="F1829" s="6">
        <v>0</v>
      </c>
      <c r="G1829" s="6">
        <v>51.41</v>
      </c>
    </row>
    <row r="1830" ht="15.75" customHeight="1" spans="1:7">
      <c r="A1830" s="4" t="s">
        <v>4775</v>
      </c>
      <c r="B1830" s="5" t="s">
        <v>4776</v>
      </c>
      <c r="C1830" s="4" t="s">
        <v>724</v>
      </c>
      <c r="D1830" s="475">
        <v>19.43</v>
      </c>
      <c r="E1830" s="476">
        <v>0</v>
      </c>
      <c r="F1830" s="6">
        <v>0</v>
      </c>
      <c r="G1830" s="6">
        <v>8</v>
      </c>
    </row>
    <row r="1831" ht="15.75" customHeight="1" spans="1:7">
      <c r="A1831" s="4" t="s">
        <v>4777</v>
      </c>
      <c r="B1831" s="5" t="s">
        <v>4778</v>
      </c>
      <c r="C1831" s="4" t="s">
        <v>724</v>
      </c>
      <c r="D1831" s="475">
        <v>25.9</v>
      </c>
      <c r="E1831" s="476">
        <v>0</v>
      </c>
      <c r="F1831" s="6">
        <v>0</v>
      </c>
      <c r="G1831" s="6">
        <v>6</v>
      </c>
    </row>
    <row r="1832" ht="15.75" customHeight="1" spans="1:7">
      <c r="A1832" s="4" t="s">
        <v>4779</v>
      </c>
      <c r="B1832" s="5" t="s">
        <v>4780</v>
      </c>
      <c r="C1832" s="4" t="s">
        <v>724</v>
      </c>
      <c r="D1832" s="475">
        <v>115.2</v>
      </c>
      <c r="E1832" s="476">
        <v>0</v>
      </c>
      <c r="F1832" s="6">
        <v>0</v>
      </c>
      <c r="G1832" s="6">
        <v>4.87503</v>
      </c>
    </row>
    <row r="1833" ht="15.75" customHeight="1" spans="1:7">
      <c r="A1833" s="4" t="s">
        <v>4781</v>
      </c>
      <c r="B1833" s="5" t="s">
        <v>4782</v>
      </c>
      <c r="C1833" s="4" t="s">
        <v>724</v>
      </c>
      <c r="D1833" s="475">
        <v>51.55</v>
      </c>
      <c r="E1833" s="476">
        <v>0</v>
      </c>
      <c r="F1833" s="6">
        <v>0</v>
      </c>
      <c r="G1833" s="6">
        <v>4.482</v>
      </c>
    </row>
    <row r="1834" ht="15.75" customHeight="1" spans="1:7">
      <c r="A1834" s="4" t="s">
        <v>4783</v>
      </c>
      <c r="B1834" s="5" t="s">
        <v>4784</v>
      </c>
      <c r="C1834" s="4" t="s">
        <v>724</v>
      </c>
      <c r="D1834" s="475">
        <v>154.65</v>
      </c>
      <c r="E1834" s="476">
        <v>0</v>
      </c>
      <c r="F1834" s="6">
        <v>0</v>
      </c>
      <c r="G1834" s="6">
        <v>1.494</v>
      </c>
    </row>
    <row r="1835" ht="15.75" customHeight="1" spans="1:7">
      <c r="A1835" s="4" t="s">
        <v>4785</v>
      </c>
      <c r="B1835" s="5" t="s">
        <v>4786</v>
      </c>
      <c r="C1835" s="4" t="s">
        <v>724</v>
      </c>
      <c r="D1835" s="475">
        <v>77.33</v>
      </c>
      <c r="E1835" s="476">
        <v>0</v>
      </c>
      <c r="F1835" s="6">
        <v>0</v>
      </c>
      <c r="G1835" s="6">
        <v>2.988</v>
      </c>
    </row>
    <row r="1836" ht="30" customHeight="1" spans="1:7">
      <c r="A1836" s="4" t="s">
        <v>4787</v>
      </c>
      <c r="B1836" s="5" t="s">
        <v>4788</v>
      </c>
      <c r="C1836" s="4" t="s">
        <v>99</v>
      </c>
      <c r="D1836" s="475">
        <v>6.24</v>
      </c>
      <c r="E1836" s="476">
        <v>0</v>
      </c>
      <c r="F1836" s="6">
        <v>0</v>
      </c>
      <c r="G1836" s="6">
        <v>618</v>
      </c>
    </row>
    <row r="1837" ht="30" customHeight="1" spans="1:7">
      <c r="A1837" s="4" t="s">
        <v>4789</v>
      </c>
      <c r="B1837" s="5" t="s">
        <v>4790</v>
      </c>
      <c r="C1837" s="4" t="s">
        <v>99</v>
      </c>
      <c r="D1837" s="475">
        <v>6.46</v>
      </c>
      <c r="E1837" s="476">
        <v>0</v>
      </c>
      <c r="F1837" s="6">
        <v>0</v>
      </c>
      <c r="G1837" s="6">
        <v>606</v>
      </c>
    </row>
    <row r="1838" ht="30" customHeight="1" spans="1:7">
      <c r="A1838" s="4" t="s">
        <v>4791</v>
      </c>
      <c r="B1838" s="5" t="s">
        <v>4792</v>
      </c>
      <c r="C1838" s="4" t="s">
        <v>99</v>
      </c>
      <c r="D1838" s="475">
        <v>7.06</v>
      </c>
      <c r="E1838" s="476">
        <v>0</v>
      </c>
      <c r="F1838" s="6">
        <v>0</v>
      </c>
      <c r="G1838" s="6">
        <v>594</v>
      </c>
    </row>
    <row r="1839" ht="30" customHeight="1" spans="1:7">
      <c r="A1839" s="4" t="s">
        <v>4793</v>
      </c>
      <c r="B1839" s="5" t="s">
        <v>4794</v>
      </c>
      <c r="C1839" s="4" t="s">
        <v>99</v>
      </c>
      <c r="D1839" s="475">
        <v>7.33</v>
      </c>
      <c r="E1839" s="476">
        <v>0</v>
      </c>
      <c r="F1839" s="6">
        <v>0</v>
      </c>
      <c r="G1839" s="6">
        <v>577.8</v>
      </c>
    </row>
    <row r="1840" ht="30" customHeight="1" spans="1:7">
      <c r="A1840" s="4" t="s">
        <v>4795</v>
      </c>
      <c r="B1840" s="5" t="s">
        <v>4796</v>
      </c>
      <c r="C1840" s="4" t="s">
        <v>99</v>
      </c>
      <c r="D1840" s="475">
        <v>7.68</v>
      </c>
      <c r="E1840" s="476">
        <v>0</v>
      </c>
      <c r="F1840" s="6">
        <v>0</v>
      </c>
      <c r="G1840" s="6">
        <v>561.6</v>
      </c>
    </row>
    <row r="1841" ht="30" customHeight="1" spans="1:7">
      <c r="A1841" s="4" t="s">
        <v>4797</v>
      </c>
      <c r="B1841" s="5" t="s">
        <v>4798</v>
      </c>
      <c r="C1841" s="4" t="s">
        <v>99</v>
      </c>
      <c r="D1841" s="475">
        <v>38.71</v>
      </c>
      <c r="E1841" s="476">
        <v>0</v>
      </c>
      <c r="F1841" s="6">
        <v>0</v>
      </c>
      <c r="G1841" s="6">
        <v>135</v>
      </c>
    </row>
    <row r="1842" ht="30" customHeight="1" spans="1:7">
      <c r="A1842" s="4" t="s">
        <v>4799</v>
      </c>
      <c r="B1842" s="5" t="s">
        <v>4800</v>
      </c>
      <c r="C1842" s="4" t="s">
        <v>99</v>
      </c>
      <c r="D1842" s="475">
        <v>40.01</v>
      </c>
      <c r="E1842" s="476">
        <v>0</v>
      </c>
      <c r="F1842" s="6">
        <v>0</v>
      </c>
      <c r="G1842" s="6">
        <v>130.2</v>
      </c>
    </row>
    <row r="1843" ht="30" customHeight="1" spans="1:7">
      <c r="A1843" s="4" t="s">
        <v>4801</v>
      </c>
      <c r="B1843" s="5" t="s">
        <v>4802</v>
      </c>
      <c r="C1843" s="4" t="s">
        <v>99</v>
      </c>
      <c r="D1843" s="475">
        <v>42.08</v>
      </c>
      <c r="E1843" s="476">
        <v>0</v>
      </c>
      <c r="F1843" s="6">
        <v>0</v>
      </c>
      <c r="G1843" s="6">
        <v>124.2</v>
      </c>
    </row>
    <row r="1844" ht="30" customHeight="1" spans="1:7">
      <c r="A1844" s="4" t="s">
        <v>4803</v>
      </c>
      <c r="B1844" s="5" t="s">
        <v>4804</v>
      </c>
      <c r="C1844" s="4" t="s">
        <v>99</v>
      </c>
      <c r="D1844" s="475">
        <v>44.33</v>
      </c>
      <c r="E1844" s="476">
        <v>0</v>
      </c>
      <c r="F1844" s="6">
        <v>0</v>
      </c>
      <c r="G1844" s="6">
        <v>117</v>
      </c>
    </row>
    <row r="1845" ht="30" customHeight="1" spans="1:7">
      <c r="A1845" s="4" t="s">
        <v>4805</v>
      </c>
      <c r="B1845" s="5" t="s">
        <v>4806</v>
      </c>
      <c r="C1845" s="4" t="s">
        <v>99</v>
      </c>
      <c r="D1845" s="475">
        <v>46.87</v>
      </c>
      <c r="E1845" s="476">
        <v>0</v>
      </c>
      <c r="F1845" s="6">
        <v>0</v>
      </c>
      <c r="G1845" s="6">
        <v>109.8</v>
      </c>
    </row>
    <row r="1846" ht="30" customHeight="1" spans="1:7">
      <c r="A1846" s="4" t="s">
        <v>4807</v>
      </c>
      <c r="B1846" s="5" t="s">
        <v>4808</v>
      </c>
      <c r="C1846" s="4" t="s">
        <v>99</v>
      </c>
      <c r="D1846" s="475">
        <v>48.2</v>
      </c>
      <c r="E1846" s="476">
        <v>0</v>
      </c>
      <c r="F1846" s="6">
        <v>0</v>
      </c>
      <c r="G1846" s="6">
        <v>106.8</v>
      </c>
    </row>
    <row r="1847" ht="30" customHeight="1" spans="1:7">
      <c r="A1847" s="4" t="s">
        <v>4809</v>
      </c>
      <c r="B1847" s="5" t="s">
        <v>4810</v>
      </c>
      <c r="C1847" s="4" t="s">
        <v>99</v>
      </c>
      <c r="D1847" s="475">
        <v>49.58</v>
      </c>
      <c r="E1847" s="476">
        <v>0</v>
      </c>
      <c r="F1847" s="6">
        <v>0</v>
      </c>
      <c r="G1847" s="6">
        <v>103.8</v>
      </c>
    </row>
    <row r="1848" ht="30" customHeight="1" spans="1:7">
      <c r="A1848" s="4" t="s">
        <v>4811</v>
      </c>
      <c r="B1848" s="5" t="s">
        <v>4812</v>
      </c>
      <c r="C1848" s="4" t="s">
        <v>99</v>
      </c>
      <c r="D1848" s="475">
        <v>51.39</v>
      </c>
      <c r="E1848" s="476">
        <v>0</v>
      </c>
      <c r="F1848" s="6">
        <v>0</v>
      </c>
      <c r="G1848" s="6">
        <v>100.8</v>
      </c>
    </row>
    <row r="1849" ht="30" customHeight="1" spans="1:7">
      <c r="A1849" s="4" t="s">
        <v>4813</v>
      </c>
      <c r="B1849" s="5" t="s">
        <v>4814</v>
      </c>
      <c r="C1849" s="4" t="s">
        <v>99</v>
      </c>
      <c r="D1849" s="475">
        <v>52.95</v>
      </c>
      <c r="E1849" s="476">
        <v>0</v>
      </c>
      <c r="F1849" s="6">
        <v>0</v>
      </c>
      <c r="G1849" s="6">
        <v>97.8</v>
      </c>
    </row>
    <row r="1850" ht="30" customHeight="1" spans="1:7">
      <c r="A1850" s="4" t="s">
        <v>4815</v>
      </c>
      <c r="B1850" s="5" t="s">
        <v>4816</v>
      </c>
      <c r="C1850" s="4" t="s">
        <v>99</v>
      </c>
      <c r="D1850" s="475">
        <v>54.58</v>
      </c>
      <c r="E1850" s="476">
        <v>0</v>
      </c>
      <c r="F1850" s="6">
        <v>0</v>
      </c>
      <c r="G1850" s="6">
        <v>94.8</v>
      </c>
    </row>
    <row r="1851" ht="30" customHeight="1" spans="1:7">
      <c r="A1851" s="4" t="s">
        <v>4817</v>
      </c>
      <c r="B1851" s="5" t="s">
        <v>4818</v>
      </c>
      <c r="C1851" s="4" t="s">
        <v>99</v>
      </c>
      <c r="D1851" s="475">
        <v>7.96</v>
      </c>
      <c r="E1851" s="476">
        <v>0</v>
      </c>
      <c r="F1851" s="6">
        <v>0</v>
      </c>
      <c r="G1851" s="6">
        <v>546</v>
      </c>
    </row>
    <row r="1852" ht="30" customHeight="1" spans="1:7">
      <c r="A1852" s="4" t="s">
        <v>4819</v>
      </c>
      <c r="B1852" s="5" t="s">
        <v>4820</v>
      </c>
      <c r="C1852" s="4" t="s">
        <v>99</v>
      </c>
      <c r="D1852" s="475">
        <v>8.3</v>
      </c>
      <c r="E1852" s="476">
        <v>0</v>
      </c>
      <c r="F1852" s="6">
        <v>0</v>
      </c>
      <c r="G1852" s="6">
        <v>532.8</v>
      </c>
    </row>
    <row r="1853" ht="30" customHeight="1" spans="1:7">
      <c r="A1853" s="4" t="s">
        <v>4821</v>
      </c>
      <c r="B1853" s="5" t="s">
        <v>4822</v>
      </c>
      <c r="C1853" s="4" t="s">
        <v>99</v>
      </c>
      <c r="D1853" s="475">
        <v>8.87</v>
      </c>
      <c r="E1853" s="476">
        <v>0</v>
      </c>
      <c r="F1853" s="6">
        <v>0</v>
      </c>
      <c r="G1853" s="6">
        <v>519.6</v>
      </c>
    </row>
    <row r="1854" ht="30" customHeight="1" spans="1:7">
      <c r="A1854" s="4" t="s">
        <v>4823</v>
      </c>
      <c r="B1854" s="5" t="s">
        <v>4824</v>
      </c>
      <c r="C1854" s="4" t="s">
        <v>99</v>
      </c>
      <c r="D1854" s="475">
        <v>9.25</v>
      </c>
      <c r="E1854" s="476">
        <v>0</v>
      </c>
      <c r="F1854" s="6">
        <v>0</v>
      </c>
      <c r="G1854" s="6">
        <v>504.6</v>
      </c>
    </row>
    <row r="1855" ht="30" customHeight="1" spans="1:7">
      <c r="A1855" s="4" t="s">
        <v>4825</v>
      </c>
      <c r="B1855" s="5" t="s">
        <v>4826</v>
      </c>
      <c r="C1855" s="4" t="s">
        <v>99</v>
      </c>
      <c r="D1855" s="475">
        <v>9.55</v>
      </c>
      <c r="E1855" s="476">
        <v>0</v>
      </c>
      <c r="F1855" s="6">
        <v>0</v>
      </c>
      <c r="G1855" s="6">
        <v>489.6</v>
      </c>
    </row>
    <row r="1856" ht="30" customHeight="1" spans="1:7">
      <c r="A1856" s="4" t="s">
        <v>4827</v>
      </c>
      <c r="B1856" s="5" t="s">
        <v>4828</v>
      </c>
      <c r="C1856" s="4" t="s">
        <v>99</v>
      </c>
      <c r="D1856" s="475">
        <v>9.96</v>
      </c>
      <c r="E1856" s="476">
        <v>0</v>
      </c>
      <c r="F1856" s="6">
        <v>0</v>
      </c>
      <c r="G1856" s="6">
        <v>474.6</v>
      </c>
    </row>
    <row r="1857" ht="30" customHeight="1" spans="1:7">
      <c r="A1857" s="4" t="s">
        <v>4829</v>
      </c>
      <c r="B1857" s="5" t="s">
        <v>4830</v>
      </c>
      <c r="C1857" s="4" t="s">
        <v>99</v>
      </c>
      <c r="D1857" s="475">
        <v>10.37</v>
      </c>
      <c r="E1857" s="476">
        <v>0</v>
      </c>
      <c r="F1857" s="6">
        <v>0</v>
      </c>
      <c r="G1857" s="6">
        <v>459.6</v>
      </c>
    </row>
    <row r="1858" ht="30" customHeight="1" spans="1:7">
      <c r="A1858" s="4" t="s">
        <v>4831</v>
      </c>
      <c r="B1858" s="5" t="s">
        <v>4832</v>
      </c>
      <c r="C1858" s="4" t="s">
        <v>99</v>
      </c>
      <c r="D1858" s="475">
        <v>11.02</v>
      </c>
      <c r="E1858" s="476">
        <v>0</v>
      </c>
      <c r="F1858" s="6">
        <v>0</v>
      </c>
      <c r="G1858" s="6">
        <v>444.6</v>
      </c>
    </row>
    <row r="1859" ht="30" customHeight="1" spans="1:7">
      <c r="A1859" s="4" t="s">
        <v>4833</v>
      </c>
      <c r="B1859" s="5" t="s">
        <v>4834</v>
      </c>
      <c r="C1859" s="4" t="s">
        <v>99</v>
      </c>
      <c r="D1859" s="475">
        <v>11.4</v>
      </c>
      <c r="E1859" s="476">
        <v>0</v>
      </c>
      <c r="F1859" s="6">
        <v>0</v>
      </c>
      <c r="G1859" s="6">
        <v>433.2</v>
      </c>
    </row>
    <row r="1860" ht="30" customHeight="1" spans="1:7">
      <c r="A1860" s="4" t="s">
        <v>4835</v>
      </c>
      <c r="B1860" s="5" t="s">
        <v>4836</v>
      </c>
      <c r="C1860" s="4" t="s">
        <v>99</v>
      </c>
      <c r="D1860" s="475">
        <v>11.8</v>
      </c>
      <c r="E1860" s="476">
        <v>0</v>
      </c>
      <c r="F1860" s="6">
        <v>0</v>
      </c>
      <c r="G1860" s="6">
        <v>421.8</v>
      </c>
    </row>
    <row r="1861" ht="30" customHeight="1" spans="1:7">
      <c r="A1861" s="4" t="s">
        <v>4837</v>
      </c>
      <c r="B1861" s="5" t="s">
        <v>4838</v>
      </c>
      <c r="C1861" s="4" t="s">
        <v>99</v>
      </c>
      <c r="D1861" s="475">
        <v>12.21</v>
      </c>
      <c r="E1861" s="476">
        <v>0</v>
      </c>
      <c r="F1861" s="6">
        <v>0</v>
      </c>
      <c r="G1861" s="6">
        <v>410.4</v>
      </c>
    </row>
    <row r="1862" ht="30" customHeight="1" spans="1:7">
      <c r="A1862" s="4" t="s">
        <v>4839</v>
      </c>
      <c r="B1862" s="5" t="s">
        <v>4840</v>
      </c>
      <c r="C1862" s="4" t="s">
        <v>99</v>
      </c>
      <c r="D1862" s="475">
        <v>12.54</v>
      </c>
      <c r="E1862" s="476">
        <v>0</v>
      </c>
      <c r="F1862" s="6">
        <v>0</v>
      </c>
      <c r="G1862" s="6">
        <v>399</v>
      </c>
    </row>
    <row r="1863" ht="30" customHeight="1" spans="1:7">
      <c r="A1863" s="4" t="s">
        <v>4841</v>
      </c>
      <c r="B1863" s="5" t="s">
        <v>4842</v>
      </c>
      <c r="C1863" s="4" t="s">
        <v>99</v>
      </c>
      <c r="D1863" s="475">
        <v>13.24</v>
      </c>
      <c r="E1863" s="476">
        <v>0</v>
      </c>
      <c r="F1863" s="6">
        <v>0</v>
      </c>
      <c r="G1863" s="6">
        <v>388.8</v>
      </c>
    </row>
    <row r="1864" ht="30" customHeight="1" spans="1:7">
      <c r="A1864" s="4" t="s">
        <v>4843</v>
      </c>
      <c r="B1864" s="5" t="s">
        <v>4844</v>
      </c>
      <c r="C1864" s="4" t="s">
        <v>99</v>
      </c>
      <c r="D1864" s="475">
        <v>13.66</v>
      </c>
      <c r="E1864" s="476">
        <v>0</v>
      </c>
      <c r="F1864" s="6">
        <v>0</v>
      </c>
      <c r="G1864" s="6">
        <v>378.6</v>
      </c>
    </row>
    <row r="1865" ht="30" customHeight="1" spans="1:7">
      <c r="A1865" s="4" t="s">
        <v>4845</v>
      </c>
      <c r="B1865" s="5" t="s">
        <v>4846</v>
      </c>
      <c r="C1865" s="4" t="s">
        <v>99</v>
      </c>
      <c r="D1865" s="475">
        <v>14.08</v>
      </c>
      <c r="E1865" s="476">
        <v>0</v>
      </c>
      <c r="F1865" s="6">
        <v>0</v>
      </c>
      <c r="G1865" s="6">
        <v>369</v>
      </c>
    </row>
    <row r="1866" ht="30" customHeight="1" spans="1:7">
      <c r="A1866" s="4" t="s">
        <v>4847</v>
      </c>
      <c r="B1866" s="5" t="s">
        <v>4848</v>
      </c>
      <c r="C1866" s="4" t="s">
        <v>99</v>
      </c>
      <c r="D1866" s="475">
        <v>14.5</v>
      </c>
      <c r="E1866" s="476">
        <v>0</v>
      </c>
      <c r="F1866" s="6">
        <v>0</v>
      </c>
      <c r="G1866" s="6">
        <v>359.4</v>
      </c>
    </row>
    <row r="1867" ht="30" customHeight="1" spans="1:7">
      <c r="A1867" s="4" t="s">
        <v>4849</v>
      </c>
      <c r="B1867" s="5" t="s">
        <v>4850</v>
      </c>
      <c r="C1867" s="4" t="s">
        <v>99</v>
      </c>
      <c r="D1867" s="475">
        <v>14.94</v>
      </c>
      <c r="E1867" s="476">
        <v>0</v>
      </c>
      <c r="F1867" s="6">
        <v>0</v>
      </c>
      <c r="G1867" s="6">
        <v>349.8</v>
      </c>
    </row>
    <row r="1868" ht="30" customHeight="1" spans="1:7">
      <c r="A1868" s="4" t="s">
        <v>4851</v>
      </c>
      <c r="B1868" s="5" t="s">
        <v>4852</v>
      </c>
      <c r="C1868" s="4" t="s">
        <v>99</v>
      </c>
      <c r="D1868" s="475">
        <v>15.68</v>
      </c>
      <c r="E1868" s="476">
        <v>0</v>
      </c>
      <c r="F1868" s="6">
        <v>0</v>
      </c>
      <c r="G1868" s="6">
        <v>340.8</v>
      </c>
    </row>
    <row r="1869" ht="30" customHeight="1" spans="1:7">
      <c r="A1869" s="4" t="s">
        <v>4853</v>
      </c>
      <c r="B1869" s="5" t="s">
        <v>4854</v>
      </c>
      <c r="C1869" s="4" t="s">
        <v>99</v>
      </c>
      <c r="D1869" s="475">
        <v>16.11</v>
      </c>
      <c r="E1869" s="476">
        <v>0</v>
      </c>
      <c r="F1869" s="6">
        <v>0</v>
      </c>
      <c r="G1869" s="6">
        <v>332.4</v>
      </c>
    </row>
    <row r="1870" ht="30" customHeight="1" spans="1:7">
      <c r="A1870" s="4" t="s">
        <v>4855</v>
      </c>
      <c r="B1870" s="5" t="s">
        <v>4856</v>
      </c>
      <c r="C1870" s="4" t="s">
        <v>99</v>
      </c>
      <c r="D1870" s="475">
        <v>16.55</v>
      </c>
      <c r="E1870" s="476">
        <v>0</v>
      </c>
      <c r="F1870" s="6">
        <v>0</v>
      </c>
      <c r="G1870" s="6">
        <v>324</v>
      </c>
    </row>
    <row r="1871" ht="30" customHeight="1" spans="1:7">
      <c r="A1871" s="4" t="s">
        <v>4857</v>
      </c>
      <c r="B1871" s="5" t="s">
        <v>4858</v>
      </c>
      <c r="C1871" s="4" t="s">
        <v>99</v>
      </c>
      <c r="D1871" s="475">
        <v>5.53</v>
      </c>
      <c r="E1871" s="476">
        <v>0</v>
      </c>
      <c r="F1871" s="6">
        <v>0</v>
      </c>
      <c r="G1871" s="6">
        <v>654</v>
      </c>
    </row>
    <row r="1872" ht="30" customHeight="1" spans="1:7">
      <c r="A1872" s="4" t="s">
        <v>4859</v>
      </c>
      <c r="B1872" s="5" t="s">
        <v>4860</v>
      </c>
      <c r="C1872" s="4" t="s">
        <v>99</v>
      </c>
      <c r="D1872" s="475">
        <v>17.01</v>
      </c>
      <c r="E1872" s="476">
        <v>0</v>
      </c>
      <c r="F1872" s="6">
        <v>0</v>
      </c>
      <c r="G1872" s="6">
        <v>315.6</v>
      </c>
    </row>
    <row r="1873" ht="30" customHeight="1" spans="1:7">
      <c r="A1873" s="4" t="s">
        <v>4861</v>
      </c>
      <c r="B1873" s="5" t="s">
        <v>4862</v>
      </c>
      <c r="C1873" s="4" t="s">
        <v>99</v>
      </c>
      <c r="D1873" s="475">
        <v>17.57</v>
      </c>
      <c r="E1873" s="476">
        <v>0</v>
      </c>
      <c r="F1873" s="6">
        <v>0</v>
      </c>
      <c r="G1873" s="6">
        <v>307.2</v>
      </c>
    </row>
    <row r="1874" ht="30" customHeight="1" spans="1:7">
      <c r="A1874" s="4" t="s">
        <v>4863</v>
      </c>
      <c r="B1874" s="5" t="s">
        <v>4864</v>
      </c>
      <c r="C1874" s="4" t="s">
        <v>99</v>
      </c>
      <c r="D1874" s="475">
        <v>18.35</v>
      </c>
      <c r="E1874" s="476">
        <v>0</v>
      </c>
      <c r="F1874" s="6">
        <v>0</v>
      </c>
      <c r="G1874" s="6">
        <v>298.8</v>
      </c>
    </row>
    <row r="1875" ht="30" customHeight="1" spans="1:7">
      <c r="A1875" s="4" t="s">
        <v>4865</v>
      </c>
      <c r="B1875" s="5" t="s">
        <v>4866</v>
      </c>
      <c r="C1875" s="4" t="s">
        <v>99</v>
      </c>
      <c r="D1875" s="475">
        <v>18.85</v>
      </c>
      <c r="E1875" s="476">
        <v>0</v>
      </c>
      <c r="F1875" s="6">
        <v>0</v>
      </c>
      <c r="G1875" s="6">
        <v>290.4</v>
      </c>
    </row>
    <row r="1876" ht="30" customHeight="1" spans="1:7">
      <c r="A1876" s="4" t="s">
        <v>4867</v>
      </c>
      <c r="B1876" s="5" t="s">
        <v>4868</v>
      </c>
      <c r="C1876" s="4" t="s">
        <v>99</v>
      </c>
      <c r="D1876" s="475">
        <v>19.46</v>
      </c>
      <c r="E1876" s="476">
        <v>0</v>
      </c>
      <c r="F1876" s="6">
        <v>0</v>
      </c>
      <c r="G1876" s="6">
        <v>282</v>
      </c>
    </row>
    <row r="1877" ht="30" customHeight="1" spans="1:7">
      <c r="A1877" s="4" t="s">
        <v>4869</v>
      </c>
      <c r="B1877" s="5" t="s">
        <v>4870</v>
      </c>
      <c r="C1877" s="4" t="s">
        <v>99</v>
      </c>
      <c r="D1877" s="475">
        <v>20.02</v>
      </c>
      <c r="E1877" s="476">
        <v>0</v>
      </c>
      <c r="F1877" s="6">
        <v>0</v>
      </c>
      <c r="G1877" s="6">
        <v>273</v>
      </c>
    </row>
    <row r="1878" ht="30" customHeight="1" spans="1:7">
      <c r="A1878" s="4" t="s">
        <v>4871</v>
      </c>
      <c r="B1878" s="5" t="s">
        <v>4872</v>
      </c>
      <c r="C1878" s="4" t="s">
        <v>99</v>
      </c>
      <c r="D1878" s="475">
        <v>20.7</v>
      </c>
      <c r="E1878" s="476">
        <v>0</v>
      </c>
      <c r="F1878" s="6">
        <v>0</v>
      </c>
      <c r="G1878" s="6">
        <v>264</v>
      </c>
    </row>
    <row r="1879" ht="30" customHeight="1" spans="1:7">
      <c r="A1879" s="4" t="s">
        <v>4873</v>
      </c>
      <c r="B1879" s="5" t="s">
        <v>4874</v>
      </c>
      <c r="C1879" s="4" t="s">
        <v>99</v>
      </c>
      <c r="D1879" s="475">
        <v>21.7</v>
      </c>
      <c r="E1879" s="476">
        <v>0</v>
      </c>
      <c r="F1879" s="6">
        <v>0</v>
      </c>
      <c r="G1879" s="6">
        <v>255</v>
      </c>
    </row>
    <row r="1880" ht="30" customHeight="1" spans="1:7">
      <c r="A1880" s="4" t="s">
        <v>4875</v>
      </c>
      <c r="B1880" s="5" t="s">
        <v>4876</v>
      </c>
      <c r="C1880" s="4" t="s">
        <v>99</v>
      </c>
      <c r="D1880" s="475">
        <v>22.43</v>
      </c>
      <c r="E1880" s="476">
        <v>0</v>
      </c>
      <c r="F1880" s="6">
        <v>0</v>
      </c>
      <c r="G1880" s="6">
        <v>246</v>
      </c>
    </row>
    <row r="1881" ht="30" customHeight="1" spans="1:7">
      <c r="A1881" s="4" t="s">
        <v>4877</v>
      </c>
      <c r="B1881" s="5" t="s">
        <v>4878</v>
      </c>
      <c r="C1881" s="4" t="s">
        <v>99</v>
      </c>
      <c r="D1881" s="475">
        <v>23.45</v>
      </c>
      <c r="E1881" s="476">
        <v>0</v>
      </c>
      <c r="F1881" s="6">
        <v>0</v>
      </c>
      <c r="G1881" s="6">
        <v>234</v>
      </c>
    </row>
    <row r="1882" ht="30" customHeight="1" spans="1:7">
      <c r="A1882" s="4" t="s">
        <v>4879</v>
      </c>
      <c r="B1882" s="5" t="s">
        <v>4880</v>
      </c>
      <c r="C1882" s="4" t="s">
        <v>99</v>
      </c>
      <c r="D1882" s="475">
        <v>5.73</v>
      </c>
      <c r="E1882" s="476">
        <v>0</v>
      </c>
      <c r="F1882" s="6">
        <v>0</v>
      </c>
      <c r="G1882" s="6">
        <v>642</v>
      </c>
    </row>
    <row r="1883" ht="30" customHeight="1" spans="1:7">
      <c r="A1883" s="4" t="s">
        <v>4881</v>
      </c>
      <c r="B1883" s="5" t="s">
        <v>4882</v>
      </c>
      <c r="C1883" s="4" t="s">
        <v>99</v>
      </c>
      <c r="D1883" s="475">
        <v>24.45</v>
      </c>
      <c r="E1883" s="476">
        <v>0</v>
      </c>
      <c r="F1883" s="6">
        <v>0</v>
      </c>
      <c r="G1883" s="6">
        <v>222</v>
      </c>
    </row>
    <row r="1884" ht="30" customHeight="1" spans="1:7">
      <c r="A1884" s="4" t="s">
        <v>4883</v>
      </c>
      <c r="B1884" s="5" t="s">
        <v>4884</v>
      </c>
      <c r="C1884" s="4" t="s">
        <v>99</v>
      </c>
      <c r="D1884" s="475">
        <v>25.71</v>
      </c>
      <c r="E1884" s="476">
        <v>0</v>
      </c>
      <c r="F1884" s="6">
        <v>0</v>
      </c>
      <c r="G1884" s="6">
        <v>210</v>
      </c>
    </row>
    <row r="1885" ht="30" customHeight="1" spans="1:7">
      <c r="A1885" s="4" t="s">
        <v>4885</v>
      </c>
      <c r="B1885" s="5" t="s">
        <v>4886</v>
      </c>
      <c r="C1885" s="4" t="s">
        <v>99</v>
      </c>
      <c r="D1885" s="475">
        <v>27.13</v>
      </c>
      <c r="E1885" s="476">
        <v>0</v>
      </c>
      <c r="F1885" s="6">
        <v>0</v>
      </c>
      <c r="G1885" s="6">
        <v>199.8</v>
      </c>
    </row>
    <row r="1886" ht="30" customHeight="1" spans="1:7">
      <c r="A1886" s="4" t="s">
        <v>4887</v>
      </c>
      <c r="B1886" s="5" t="s">
        <v>4888</v>
      </c>
      <c r="C1886" s="4" t="s">
        <v>99</v>
      </c>
      <c r="D1886" s="475">
        <v>28.34</v>
      </c>
      <c r="E1886" s="476">
        <v>0</v>
      </c>
      <c r="F1886" s="6">
        <v>0</v>
      </c>
      <c r="G1886" s="6">
        <v>189.6</v>
      </c>
    </row>
    <row r="1887" ht="30" customHeight="1" spans="1:7">
      <c r="A1887" s="4" t="s">
        <v>4889</v>
      </c>
      <c r="B1887" s="5" t="s">
        <v>4890</v>
      </c>
      <c r="C1887" s="4" t="s">
        <v>99</v>
      </c>
      <c r="D1887" s="475">
        <v>29.67</v>
      </c>
      <c r="E1887" s="476">
        <v>0</v>
      </c>
      <c r="F1887" s="6">
        <v>0</v>
      </c>
      <c r="G1887" s="6">
        <v>180</v>
      </c>
    </row>
    <row r="1888" ht="30" customHeight="1" spans="1:7">
      <c r="A1888" s="4" t="s">
        <v>4891</v>
      </c>
      <c r="B1888" s="5" t="s">
        <v>4892</v>
      </c>
      <c r="C1888" s="4" t="s">
        <v>99</v>
      </c>
      <c r="D1888" s="475">
        <v>31.04</v>
      </c>
      <c r="E1888" s="476">
        <v>0</v>
      </c>
      <c r="F1888" s="6">
        <v>0</v>
      </c>
      <c r="G1888" s="6">
        <v>171</v>
      </c>
    </row>
    <row r="1889" ht="30" customHeight="1" spans="1:7">
      <c r="A1889" s="4" t="s">
        <v>4893</v>
      </c>
      <c r="B1889" s="5" t="s">
        <v>4894</v>
      </c>
      <c r="C1889" s="4" t="s">
        <v>99</v>
      </c>
      <c r="D1889" s="475">
        <v>32.5</v>
      </c>
      <c r="E1889" s="476">
        <v>0</v>
      </c>
      <c r="F1889" s="6">
        <v>0</v>
      </c>
      <c r="G1889" s="6">
        <v>162</v>
      </c>
    </row>
    <row r="1890" ht="30" customHeight="1" spans="1:7">
      <c r="A1890" s="4" t="s">
        <v>4895</v>
      </c>
      <c r="B1890" s="5" t="s">
        <v>4896</v>
      </c>
      <c r="C1890" s="4" t="s">
        <v>99</v>
      </c>
      <c r="D1890" s="475">
        <v>34.23</v>
      </c>
      <c r="E1890" s="476">
        <v>0</v>
      </c>
      <c r="F1890" s="6">
        <v>0</v>
      </c>
      <c r="G1890" s="6">
        <v>154.8</v>
      </c>
    </row>
    <row r="1891" ht="30" customHeight="1" spans="1:7">
      <c r="A1891" s="4" t="s">
        <v>4897</v>
      </c>
      <c r="B1891" s="5" t="s">
        <v>4898</v>
      </c>
      <c r="C1891" s="4" t="s">
        <v>99</v>
      </c>
      <c r="D1891" s="475">
        <v>35.58</v>
      </c>
      <c r="E1891" s="476">
        <v>0</v>
      </c>
      <c r="F1891" s="6">
        <v>0</v>
      </c>
      <c r="G1891" s="6">
        <v>148.2</v>
      </c>
    </row>
    <row r="1892" ht="30" customHeight="1" spans="1:7">
      <c r="A1892" s="4" t="s">
        <v>4899</v>
      </c>
      <c r="B1892" s="5" t="s">
        <v>4900</v>
      </c>
      <c r="C1892" s="4" t="s">
        <v>99</v>
      </c>
      <c r="D1892" s="475">
        <v>36.92</v>
      </c>
      <c r="E1892" s="476">
        <v>0</v>
      </c>
      <c r="F1892" s="6">
        <v>0</v>
      </c>
      <c r="G1892" s="6">
        <v>142.2</v>
      </c>
    </row>
    <row r="1893" ht="30" customHeight="1" spans="1:7">
      <c r="A1893" s="4" t="s">
        <v>4901</v>
      </c>
      <c r="B1893" s="5" t="s">
        <v>4902</v>
      </c>
      <c r="C1893" s="4" t="s">
        <v>99</v>
      </c>
      <c r="D1893" s="475">
        <v>5.95</v>
      </c>
      <c r="E1893" s="476">
        <v>0</v>
      </c>
      <c r="F1893" s="6">
        <v>0</v>
      </c>
      <c r="G1893" s="6">
        <v>630</v>
      </c>
    </row>
    <row r="1894" ht="30" customHeight="1" spans="1:7">
      <c r="A1894" s="4" t="s">
        <v>4903</v>
      </c>
      <c r="B1894" s="5" t="s">
        <v>4904</v>
      </c>
      <c r="C1894" s="4" t="s">
        <v>99</v>
      </c>
      <c r="D1894" s="475">
        <v>5.48</v>
      </c>
      <c r="E1894" s="476">
        <v>0</v>
      </c>
      <c r="F1894" s="6">
        <v>0</v>
      </c>
      <c r="G1894" s="6">
        <v>660</v>
      </c>
    </row>
    <row r="1895" ht="30" customHeight="1" spans="1:7">
      <c r="A1895" s="4" t="s">
        <v>4905</v>
      </c>
      <c r="B1895" s="5" t="s">
        <v>4906</v>
      </c>
      <c r="C1895" s="4" t="s">
        <v>99</v>
      </c>
      <c r="D1895" s="475">
        <v>8.24</v>
      </c>
      <c r="E1895" s="476">
        <v>0</v>
      </c>
      <c r="F1895" s="6">
        <v>0</v>
      </c>
      <c r="G1895" s="6">
        <v>124.2</v>
      </c>
    </row>
    <row r="1896" ht="30" customHeight="1" spans="1:7">
      <c r="A1896" s="4" t="s">
        <v>4907</v>
      </c>
      <c r="B1896" s="5" t="s">
        <v>4908</v>
      </c>
      <c r="C1896" s="4" t="s">
        <v>99</v>
      </c>
      <c r="D1896" s="475">
        <v>8.82</v>
      </c>
      <c r="E1896" s="476">
        <v>0</v>
      </c>
      <c r="F1896" s="6">
        <v>0</v>
      </c>
      <c r="G1896" s="6">
        <v>117</v>
      </c>
    </row>
    <row r="1897" ht="30" customHeight="1" spans="1:7">
      <c r="A1897" s="4" t="s">
        <v>4909</v>
      </c>
      <c r="B1897" s="5" t="s">
        <v>4910</v>
      </c>
      <c r="C1897" s="4" t="s">
        <v>99</v>
      </c>
      <c r="D1897" s="475">
        <v>9.42</v>
      </c>
      <c r="E1897" s="476">
        <v>0</v>
      </c>
      <c r="F1897" s="6">
        <v>0</v>
      </c>
      <c r="G1897" s="6">
        <v>112.2</v>
      </c>
    </row>
    <row r="1898" ht="30" customHeight="1" spans="1:7">
      <c r="A1898" s="4" t="s">
        <v>4911</v>
      </c>
      <c r="B1898" s="5" t="s">
        <v>4912</v>
      </c>
      <c r="C1898" s="4" t="s">
        <v>99</v>
      </c>
      <c r="D1898" s="475">
        <v>9.86</v>
      </c>
      <c r="E1898" s="476">
        <v>0</v>
      </c>
      <c r="F1898" s="6">
        <v>0</v>
      </c>
      <c r="G1898" s="6">
        <v>108</v>
      </c>
    </row>
    <row r="1899" ht="30" customHeight="1" spans="1:7">
      <c r="A1899" s="4" t="s">
        <v>4913</v>
      </c>
      <c r="B1899" s="5" t="s">
        <v>4914</v>
      </c>
      <c r="C1899" s="4" t="s">
        <v>99</v>
      </c>
      <c r="D1899" s="475">
        <v>10.32</v>
      </c>
      <c r="E1899" s="476">
        <v>0</v>
      </c>
      <c r="F1899" s="6">
        <v>0</v>
      </c>
      <c r="G1899" s="6">
        <v>104.4</v>
      </c>
    </row>
    <row r="1900" ht="30" customHeight="1" spans="1:7">
      <c r="A1900" s="4" t="s">
        <v>4915</v>
      </c>
      <c r="B1900" s="5" t="s">
        <v>4916</v>
      </c>
      <c r="C1900" s="4" t="s">
        <v>99</v>
      </c>
      <c r="D1900" s="475">
        <v>10.85</v>
      </c>
      <c r="E1900" s="476">
        <v>0</v>
      </c>
      <c r="F1900" s="6">
        <v>0</v>
      </c>
      <c r="G1900" s="6">
        <v>100.2</v>
      </c>
    </row>
    <row r="1901" ht="30" customHeight="1" spans="1:7">
      <c r="A1901" s="4" t="s">
        <v>4917</v>
      </c>
      <c r="B1901" s="5" t="s">
        <v>4918</v>
      </c>
      <c r="C1901" s="4" t="s">
        <v>99</v>
      </c>
      <c r="D1901" s="475">
        <v>11.36</v>
      </c>
      <c r="E1901" s="476">
        <v>0</v>
      </c>
      <c r="F1901" s="6">
        <v>0</v>
      </c>
      <c r="G1901" s="6">
        <v>96.6</v>
      </c>
    </row>
    <row r="1902" ht="30" customHeight="1" spans="1:7">
      <c r="A1902" s="4" t="s">
        <v>4919</v>
      </c>
      <c r="B1902" s="5" t="s">
        <v>4920</v>
      </c>
      <c r="C1902" s="4" t="s">
        <v>99</v>
      </c>
      <c r="D1902" s="475">
        <v>12</v>
      </c>
      <c r="E1902" s="476">
        <v>0</v>
      </c>
      <c r="F1902" s="6">
        <v>0</v>
      </c>
      <c r="G1902" s="6">
        <v>93</v>
      </c>
    </row>
    <row r="1903" ht="30" customHeight="1" spans="1:7">
      <c r="A1903" s="4" t="s">
        <v>4921</v>
      </c>
      <c r="B1903" s="5" t="s">
        <v>4922</v>
      </c>
      <c r="C1903" s="4" t="s">
        <v>99</v>
      </c>
      <c r="D1903" s="475">
        <v>12.62</v>
      </c>
      <c r="E1903" s="476">
        <v>0</v>
      </c>
      <c r="F1903" s="6">
        <v>0</v>
      </c>
      <c r="G1903" s="6">
        <v>89.4</v>
      </c>
    </row>
    <row r="1904" ht="30" customHeight="1" spans="1:7">
      <c r="A1904" s="4" t="s">
        <v>4923</v>
      </c>
      <c r="B1904" s="5" t="s">
        <v>4924</v>
      </c>
      <c r="C1904" s="4" t="s">
        <v>99</v>
      </c>
      <c r="D1904" s="475">
        <v>13.14</v>
      </c>
      <c r="E1904" s="476">
        <v>0</v>
      </c>
      <c r="F1904" s="6">
        <v>0</v>
      </c>
      <c r="G1904" s="6">
        <v>86.4</v>
      </c>
    </row>
    <row r="1905" ht="30" customHeight="1" spans="1:7">
      <c r="A1905" s="4" t="s">
        <v>4925</v>
      </c>
      <c r="B1905" s="5" t="s">
        <v>4926</v>
      </c>
      <c r="C1905" s="4" t="s">
        <v>99</v>
      </c>
      <c r="D1905" s="475">
        <v>13.74</v>
      </c>
      <c r="E1905" s="476">
        <v>0</v>
      </c>
      <c r="F1905" s="6">
        <v>0</v>
      </c>
      <c r="G1905" s="6">
        <v>83.4</v>
      </c>
    </row>
    <row r="1906" ht="30" customHeight="1" spans="1:7">
      <c r="A1906" s="4" t="s">
        <v>4927</v>
      </c>
      <c r="B1906" s="5" t="s">
        <v>4928</v>
      </c>
      <c r="C1906" s="4" t="s">
        <v>99</v>
      </c>
      <c r="D1906" s="475">
        <v>14.36</v>
      </c>
      <c r="E1906" s="476">
        <v>0</v>
      </c>
      <c r="F1906" s="6">
        <v>0</v>
      </c>
      <c r="G1906" s="6">
        <v>80.4</v>
      </c>
    </row>
    <row r="1907" ht="30" customHeight="1" spans="1:7">
      <c r="A1907" s="4" t="s">
        <v>4929</v>
      </c>
      <c r="B1907" s="5" t="s">
        <v>4930</v>
      </c>
      <c r="C1907" s="4" t="s">
        <v>99</v>
      </c>
      <c r="D1907" s="475">
        <v>15.13</v>
      </c>
      <c r="E1907" s="476">
        <v>0</v>
      </c>
      <c r="F1907" s="6">
        <v>0</v>
      </c>
      <c r="G1907" s="6">
        <v>77.4</v>
      </c>
    </row>
    <row r="1908" ht="30" customHeight="1" spans="1:7">
      <c r="A1908" s="4" t="s">
        <v>4931</v>
      </c>
      <c r="B1908" s="5" t="s">
        <v>4932</v>
      </c>
      <c r="C1908" s="4" t="s">
        <v>99</v>
      </c>
      <c r="D1908" s="475">
        <v>15.77</v>
      </c>
      <c r="E1908" s="476">
        <v>0</v>
      </c>
      <c r="F1908" s="6">
        <v>0</v>
      </c>
      <c r="G1908" s="6">
        <v>75</v>
      </c>
    </row>
    <row r="1909" ht="30" customHeight="1" spans="1:7">
      <c r="A1909" s="4" t="s">
        <v>4933</v>
      </c>
      <c r="B1909" s="5" t="s">
        <v>4934</v>
      </c>
      <c r="C1909" s="4" t="s">
        <v>99</v>
      </c>
      <c r="D1909" s="475">
        <v>16.55</v>
      </c>
      <c r="E1909" s="476">
        <v>0</v>
      </c>
      <c r="F1909" s="6">
        <v>0</v>
      </c>
      <c r="G1909" s="6">
        <v>72</v>
      </c>
    </row>
    <row r="1910" ht="15.75" customHeight="1" spans="1:7">
      <c r="A1910" s="4" t="s">
        <v>4935</v>
      </c>
      <c r="B1910" s="5" t="s">
        <v>4936</v>
      </c>
      <c r="C1910" s="4" t="s">
        <v>99</v>
      </c>
      <c r="D1910" s="475">
        <v>6.74</v>
      </c>
      <c r="E1910" s="476">
        <v>0</v>
      </c>
      <c r="F1910" s="6">
        <v>0</v>
      </c>
      <c r="G1910" s="6">
        <v>147</v>
      </c>
    </row>
    <row r="1911" ht="15.75" customHeight="1" spans="1:7">
      <c r="A1911" s="4" t="s">
        <v>4937</v>
      </c>
      <c r="B1911" s="5" t="s">
        <v>4938</v>
      </c>
      <c r="C1911" s="4" t="s">
        <v>99</v>
      </c>
      <c r="D1911" s="475">
        <v>7.01</v>
      </c>
      <c r="E1911" s="476">
        <v>0</v>
      </c>
      <c r="F1911" s="6">
        <v>0</v>
      </c>
      <c r="G1911" s="6">
        <v>143.4</v>
      </c>
    </row>
    <row r="1912" ht="30" customHeight="1" spans="1:7">
      <c r="A1912" s="4" t="s">
        <v>4939</v>
      </c>
      <c r="B1912" s="5" t="s">
        <v>4940</v>
      </c>
      <c r="C1912" s="4" t="s">
        <v>99</v>
      </c>
      <c r="D1912" s="475">
        <v>7.56</v>
      </c>
      <c r="E1912" s="476">
        <v>0</v>
      </c>
      <c r="F1912" s="6">
        <v>0</v>
      </c>
      <c r="G1912" s="6">
        <v>134.4</v>
      </c>
    </row>
    <row r="1913" ht="15.75" customHeight="1" spans="1:7">
      <c r="A1913" s="4" t="s">
        <v>4941</v>
      </c>
      <c r="B1913" s="5" t="s">
        <v>4942</v>
      </c>
      <c r="C1913" s="4" t="s">
        <v>99</v>
      </c>
      <c r="D1913" s="475">
        <v>6.59</v>
      </c>
      <c r="E1913" s="476">
        <v>0</v>
      </c>
      <c r="F1913" s="6">
        <v>0</v>
      </c>
      <c r="G1913" s="6">
        <v>149.4</v>
      </c>
    </row>
    <row r="1914" ht="30" customHeight="1" spans="1:7">
      <c r="A1914" s="4" t="s">
        <v>4943</v>
      </c>
      <c r="B1914" s="5" t="s">
        <v>4944</v>
      </c>
      <c r="C1914" s="4" t="s">
        <v>99</v>
      </c>
      <c r="D1914" s="475">
        <v>6.25</v>
      </c>
      <c r="E1914" s="476">
        <v>0</v>
      </c>
      <c r="F1914" s="6">
        <v>0</v>
      </c>
      <c r="G1914" s="6">
        <v>253.8</v>
      </c>
    </row>
    <row r="1915" ht="30" customHeight="1" spans="1:7">
      <c r="A1915" s="4" t="s">
        <v>4945</v>
      </c>
      <c r="B1915" s="5" t="s">
        <v>4946</v>
      </c>
      <c r="C1915" s="4" t="s">
        <v>99</v>
      </c>
      <c r="D1915" s="475">
        <v>6.63</v>
      </c>
      <c r="E1915" s="476">
        <v>0</v>
      </c>
      <c r="F1915" s="6">
        <v>0</v>
      </c>
      <c r="G1915" s="6">
        <v>243</v>
      </c>
    </row>
    <row r="1916" ht="30" customHeight="1" spans="1:7">
      <c r="A1916" s="4" t="s">
        <v>4947</v>
      </c>
      <c r="B1916" s="5" t="s">
        <v>4948</v>
      </c>
      <c r="C1916" s="4" t="s">
        <v>99</v>
      </c>
      <c r="D1916" s="475">
        <v>7.2</v>
      </c>
      <c r="E1916" s="476">
        <v>0</v>
      </c>
      <c r="F1916" s="6">
        <v>0</v>
      </c>
      <c r="G1916" s="6">
        <v>232.8</v>
      </c>
    </row>
    <row r="1917" ht="30" customHeight="1" spans="1:7">
      <c r="A1917" s="4" t="s">
        <v>4949</v>
      </c>
      <c r="B1917" s="5" t="s">
        <v>4950</v>
      </c>
      <c r="C1917" s="4" t="s">
        <v>99</v>
      </c>
      <c r="D1917" s="475">
        <v>7.68</v>
      </c>
      <c r="E1917" s="476">
        <v>0</v>
      </c>
      <c r="F1917" s="6">
        <v>0</v>
      </c>
      <c r="G1917" s="6">
        <v>223.2</v>
      </c>
    </row>
    <row r="1918" ht="30" customHeight="1" spans="1:7">
      <c r="A1918" s="4" t="s">
        <v>4951</v>
      </c>
      <c r="B1918" s="5" t="s">
        <v>4952</v>
      </c>
      <c r="C1918" s="4" t="s">
        <v>99</v>
      </c>
      <c r="D1918" s="475">
        <v>7.96</v>
      </c>
      <c r="E1918" s="476">
        <v>0</v>
      </c>
      <c r="F1918" s="6">
        <v>0</v>
      </c>
      <c r="G1918" s="6">
        <v>214.8</v>
      </c>
    </row>
    <row r="1919" ht="30" customHeight="1" spans="1:7">
      <c r="A1919" s="4" t="s">
        <v>4953</v>
      </c>
      <c r="B1919" s="5" t="s">
        <v>4954</v>
      </c>
      <c r="C1919" s="4" t="s">
        <v>99</v>
      </c>
      <c r="D1919" s="475">
        <v>8.45</v>
      </c>
      <c r="E1919" s="476">
        <v>0</v>
      </c>
      <c r="F1919" s="6">
        <v>0</v>
      </c>
      <c r="G1919" s="6">
        <v>206.4</v>
      </c>
    </row>
    <row r="1920" ht="30" customHeight="1" spans="1:7">
      <c r="A1920" s="4" t="s">
        <v>4955</v>
      </c>
      <c r="B1920" s="5" t="s">
        <v>4956</v>
      </c>
      <c r="C1920" s="4" t="s">
        <v>99</v>
      </c>
      <c r="D1920" s="475">
        <v>8.91</v>
      </c>
      <c r="E1920" s="476">
        <v>0</v>
      </c>
      <c r="F1920" s="6">
        <v>0</v>
      </c>
      <c r="G1920" s="6">
        <v>198.6</v>
      </c>
    </row>
    <row r="1921" ht="30" customHeight="1" spans="1:7">
      <c r="A1921" s="4" t="s">
        <v>4957</v>
      </c>
      <c r="B1921" s="5" t="s">
        <v>4958</v>
      </c>
      <c r="C1921" s="4" t="s">
        <v>99</v>
      </c>
      <c r="D1921" s="475">
        <v>9.52</v>
      </c>
      <c r="E1921" s="476">
        <v>0</v>
      </c>
      <c r="F1921" s="6">
        <v>0</v>
      </c>
      <c r="G1921" s="6">
        <v>190.8</v>
      </c>
    </row>
    <row r="1922" ht="30" customHeight="1" spans="1:7">
      <c r="A1922" s="4" t="s">
        <v>4959</v>
      </c>
      <c r="B1922" s="5" t="s">
        <v>4960</v>
      </c>
      <c r="C1922" s="4" t="s">
        <v>99</v>
      </c>
      <c r="D1922" s="475">
        <v>9.98</v>
      </c>
      <c r="E1922" s="476">
        <v>0</v>
      </c>
      <c r="F1922" s="6">
        <v>0</v>
      </c>
      <c r="G1922" s="6">
        <v>184.2</v>
      </c>
    </row>
    <row r="1923" ht="30" customHeight="1" spans="1:7">
      <c r="A1923" s="4" t="s">
        <v>4961</v>
      </c>
      <c r="B1923" s="5" t="s">
        <v>4962</v>
      </c>
      <c r="C1923" s="4" t="s">
        <v>99</v>
      </c>
      <c r="D1923" s="475">
        <v>10.47</v>
      </c>
      <c r="E1923" s="476">
        <v>0</v>
      </c>
      <c r="F1923" s="6">
        <v>0</v>
      </c>
      <c r="G1923" s="6">
        <v>177.6</v>
      </c>
    </row>
    <row r="1924" ht="30" customHeight="1" spans="1:7">
      <c r="A1924" s="4" t="s">
        <v>4963</v>
      </c>
      <c r="B1924" s="5" t="s">
        <v>4964</v>
      </c>
      <c r="C1924" s="4" t="s">
        <v>99</v>
      </c>
      <c r="D1924" s="475">
        <v>10.91</v>
      </c>
      <c r="E1924" s="476">
        <v>0</v>
      </c>
      <c r="F1924" s="6">
        <v>0</v>
      </c>
      <c r="G1924" s="6">
        <v>171</v>
      </c>
    </row>
    <row r="1925" ht="30" customHeight="1" spans="1:7">
      <c r="A1925" s="4" t="s">
        <v>4965</v>
      </c>
      <c r="B1925" s="5" t="s">
        <v>4966</v>
      </c>
      <c r="C1925" s="4" t="s">
        <v>99</v>
      </c>
      <c r="D1925" s="475">
        <v>11.41</v>
      </c>
      <c r="E1925" s="476">
        <v>0</v>
      </c>
      <c r="F1925" s="6">
        <v>0</v>
      </c>
      <c r="G1925" s="6">
        <v>165</v>
      </c>
    </row>
    <row r="1926" ht="30" customHeight="1" spans="1:7">
      <c r="A1926" s="4" t="s">
        <v>4967</v>
      </c>
      <c r="B1926" s="5" t="s">
        <v>4968</v>
      </c>
      <c r="C1926" s="4" t="s">
        <v>99</v>
      </c>
      <c r="D1926" s="475">
        <v>12.17</v>
      </c>
      <c r="E1926" s="476">
        <v>0</v>
      </c>
      <c r="F1926" s="6">
        <v>0</v>
      </c>
      <c r="G1926" s="6">
        <v>159</v>
      </c>
    </row>
    <row r="1927" ht="30" customHeight="1" spans="1:7">
      <c r="A1927" s="4" t="s">
        <v>4969</v>
      </c>
      <c r="B1927" s="5" t="s">
        <v>4970</v>
      </c>
      <c r="C1927" s="4" t="s">
        <v>99</v>
      </c>
      <c r="D1927" s="475">
        <v>12.72</v>
      </c>
      <c r="E1927" s="476">
        <v>0</v>
      </c>
      <c r="F1927" s="6">
        <v>0</v>
      </c>
      <c r="G1927" s="6">
        <v>153</v>
      </c>
    </row>
    <row r="1928" ht="30" customHeight="1" spans="1:7">
      <c r="A1928" s="4" t="s">
        <v>4971</v>
      </c>
      <c r="B1928" s="5" t="s">
        <v>4972</v>
      </c>
      <c r="C1928" s="4" t="s">
        <v>99</v>
      </c>
      <c r="D1928" s="475">
        <v>13.29</v>
      </c>
      <c r="E1928" s="476">
        <v>0</v>
      </c>
      <c r="F1928" s="6">
        <v>0</v>
      </c>
      <c r="G1928" s="6">
        <v>147</v>
      </c>
    </row>
    <row r="1929" ht="30" customHeight="1" spans="1:7">
      <c r="A1929" s="4" t="s">
        <v>4973</v>
      </c>
      <c r="B1929" s="5" t="s">
        <v>4974</v>
      </c>
      <c r="C1929" s="4" t="s">
        <v>99</v>
      </c>
      <c r="D1929" s="475">
        <v>13.92</v>
      </c>
      <c r="E1929" s="476">
        <v>0</v>
      </c>
      <c r="F1929" s="6">
        <v>0</v>
      </c>
      <c r="G1929" s="6">
        <v>141.6</v>
      </c>
    </row>
    <row r="1930" ht="30" customHeight="1" spans="1:7">
      <c r="A1930" s="4" t="s">
        <v>4975</v>
      </c>
      <c r="B1930" s="5" t="s">
        <v>4976</v>
      </c>
      <c r="C1930" s="4" t="s">
        <v>99</v>
      </c>
      <c r="D1930" s="475">
        <v>14.57</v>
      </c>
      <c r="E1930" s="476">
        <v>0</v>
      </c>
      <c r="F1930" s="6">
        <v>0</v>
      </c>
      <c r="G1930" s="6">
        <v>136.2</v>
      </c>
    </row>
    <row r="1931" ht="30" customHeight="1" spans="1:7">
      <c r="A1931" s="4" t="s">
        <v>4977</v>
      </c>
      <c r="B1931" s="5" t="s">
        <v>4978</v>
      </c>
      <c r="C1931" s="4" t="s">
        <v>99</v>
      </c>
      <c r="D1931" s="475">
        <v>15.44</v>
      </c>
      <c r="E1931" s="476">
        <v>0</v>
      </c>
      <c r="F1931" s="6">
        <v>0</v>
      </c>
      <c r="G1931" s="6">
        <v>130.8</v>
      </c>
    </row>
    <row r="1932" ht="30" customHeight="1" spans="1:7">
      <c r="A1932" s="4" t="s">
        <v>4979</v>
      </c>
      <c r="B1932" s="5" t="s">
        <v>4980</v>
      </c>
      <c r="C1932" s="4" t="s">
        <v>99</v>
      </c>
      <c r="D1932" s="475">
        <v>16.16</v>
      </c>
      <c r="E1932" s="476">
        <v>0</v>
      </c>
      <c r="F1932" s="6">
        <v>0</v>
      </c>
      <c r="G1932" s="6">
        <v>125.4</v>
      </c>
    </row>
    <row r="1933" ht="30" customHeight="1" spans="1:7">
      <c r="A1933" s="4" t="s">
        <v>4981</v>
      </c>
      <c r="B1933" s="5" t="s">
        <v>4982</v>
      </c>
      <c r="C1933" s="4" t="s">
        <v>99</v>
      </c>
      <c r="D1933" s="475">
        <v>16.92</v>
      </c>
      <c r="E1933" s="476">
        <v>0</v>
      </c>
      <c r="F1933" s="6">
        <v>0</v>
      </c>
      <c r="G1933" s="6">
        <v>120</v>
      </c>
    </row>
    <row r="1934" ht="30" customHeight="1" spans="1:7">
      <c r="A1934" s="4" t="s">
        <v>4983</v>
      </c>
      <c r="B1934" s="5" t="s">
        <v>4984</v>
      </c>
      <c r="C1934" s="4" t="s">
        <v>99</v>
      </c>
      <c r="D1934" s="475">
        <v>17.91</v>
      </c>
      <c r="E1934" s="476">
        <v>0</v>
      </c>
      <c r="F1934" s="6">
        <v>0</v>
      </c>
      <c r="G1934" s="6">
        <v>114</v>
      </c>
    </row>
    <row r="1935" ht="30" customHeight="1" spans="1:7">
      <c r="A1935" s="4" t="s">
        <v>4985</v>
      </c>
      <c r="B1935" s="5" t="s">
        <v>4986</v>
      </c>
      <c r="C1935" s="4" t="s">
        <v>99</v>
      </c>
      <c r="D1935" s="475">
        <v>18.91</v>
      </c>
      <c r="E1935" s="476">
        <v>0</v>
      </c>
      <c r="F1935" s="6">
        <v>0</v>
      </c>
      <c r="G1935" s="6">
        <v>108</v>
      </c>
    </row>
    <row r="1936" ht="30" customHeight="1" spans="1:7">
      <c r="A1936" s="4" t="s">
        <v>4987</v>
      </c>
      <c r="B1936" s="5" t="s">
        <v>4988</v>
      </c>
      <c r="C1936" s="4" t="s">
        <v>99</v>
      </c>
      <c r="D1936" s="475">
        <v>20.23</v>
      </c>
      <c r="E1936" s="476">
        <v>0</v>
      </c>
      <c r="F1936" s="6">
        <v>0</v>
      </c>
      <c r="G1936" s="6">
        <v>102</v>
      </c>
    </row>
    <row r="1937" ht="30" customHeight="1" spans="1:7">
      <c r="A1937" s="4" t="s">
        <v>4989</v>
      </c>
      <c r="B1937" s="5" t="s">
        <v>4990</v>
      </c>
      <c r="C1937" s="4" t="s">
        <v>99</v>
      </c>
      <c r="D1937" s="475">
        <v>21.53</v>
      </c>
      <c r="E1937" s="476">
        <v>0</v>
      </c>
      <c r="F1937" s="6">
        <v>0</v>
      </c>
      <c r="G1937" s="6">
        <v>96</v>
      </c>
    </row>
    <row r="1938" ht="30" customHeight="1" spans="1:7">
      <c r="A1938" s="4" t="s">
        <v>4991</v>
      </c>
      <c r="B1938" s="5" t="s">
        <v>4992</v>
      </c>
      <c r="C1938" s="4" t="s">
        <v>99</v>
      </c>
      <c r="D1938" s="475">
        <v>22.93</v>
      </c>
      <c r="E1938" s="476">
        <v>0</v>
      </c>
      <c r="F1938" s="6">
        <v>0</v>
      </c>
      <c r="G1938" s="6">
        <v>90</v>
      </c>
    </row>
    <row r="1939" ht="15.75" customHeight="1" spans="1:7">
      <c r="A1939" s="4" t="s">
        <v>4993</v>
      </c>
      <c r="B1939" s="5" t="s">
        <v>4994</v>
      </c>
      <c r="C1939" s="4" t="s">
        <v>99</v>
      </c>
      <c r="D1939" s="475">
        <v>5.3</v>
      </c>
      <c r="E1939" s="476">
        <v>0</v>
      </c>
      <c r="F1939" s="6">
        <v>0</v>
      </c>
      <c r="G1939" s="6">
        <v>280.2</v>
      </c>
    </row>
    <row r="1940" ht="30" customHeight="1" spans="1:7">
      <c r="A1940" s="4" t="s">
        <v>4995</v>
      </c>
      <c r="B1940" s="5" t="s">
        <v>4996</v>
      </c>
      <c r="C1940" s="4" t="s">
        <v>99</v>
      </c>
      <c r="D1940" s="475">
        <v>24.6</v>
      </c>
      <c r="E1940" s="476">
        <v>0</v>
      </c>
      <c r="F1940" s="6">
        <v>0</v>
      </c>
      <c r="G1940" s="6">
        <v>84</v>
      </c>
    </row>
    <row r="1941" ht="30" customHeight="1" spans="1:7">
      <c r="A1941" s="4" t="s">
        <v>4997</v>
      </c>
      <c r="B1941" s="5" t="s">
        <v>4998</v>
      </c>
      <c r="C1941" s="4" t="s">
        <v>99</v>
      </c>
      <c r="D1941" s="475">
        <v>26.43</v>
      </c>
      <c r="E1941" s="476">
        <v>0</v>
      </c>
      <c r="F1941" s="6">
        <v>0</v>
      </c>
      <c r="G1941" s="6">
        <v>78</v>
      </c>
    </row>
    <row r="1942" ht="30" customHeight="1" spans="1:7">
      <c r="A1942" s="4" t="s">
        <v>4999</v>
      </c>
      <c r="B1942" s="5" t="s">
        <v>5000</v>
      </c>
      <c r="C1942" s="4" t="s">
        <v>99</v>
      </c>
      <c r="D1942" s="475">
        <v>28.78</v>
      </c>
      <c r="E1942" s="476">
        <v>0</v>
      </c>
      <c r="F1942" s="6">
        <v>0</v>
      </c>
      <c r="G1942" s="6">
        <v>72</v>
      </c>
    </row>
    <row r="1943" ht="30" customHeight="1" spans="1:7">
      <c r="A1943" s="4" t="s">
        <v>5001</v>
      </c>
      <c r="B1943" s="5" t="s">
        <v>5002</v>
      </c>
      <c r="C1943" s="4" t="s">
        <v>99</v>
      </c>
      <c r="D1943" s="475">
        <v>31.09</v>
      </c>
      <c r="E1943" s="476">
        <v>0</v>
      </c>
      <c r="F1943" s="6">
        <v>0</v>
      </c>
      <c r="G1943" s="6">
        <v>66.6</v>
      </c>
    </row>
    <row r="1944" ht="30" customHeight="1" spans="1:7">
      <c r="A1944" s="4" t="s">
        <v>5003</v>
      </c>
      <c r="B1944" s="5" t="s">
        <v>5004</v>
      </c>
      <c r="C1944" s="4" t="s">
        <v>99</v>
      </c>
      <c r="D1944" s="475">
        <v>33.25</v>
      </c>
      <c r="E1944" s="476">
        <v>0</v>
      </c>
      <c r="F1944" s="6">
        <v>0</v>
      </c>
      <c r="G1944" s="6">
        <v>62.4</v>
      </c>
    </row>
    <row r="1945" ht="30" customHeight="1" spans="1:7">
      <c r="A1945" s="4" t="s">
        <v>5005</v>
      </c>
      <c r="B1945" s="5" t="s">
        <v>5006</v>
      </c>
      <c r="C1945" s="4" t="s">
        <v>99</v>
      </c>
      <c r="D1945" s="475">
        <v>35.37</v>
      </c>
      <c r="E1945" s="476">
        <v>0</v>
      </c>
      <c r="F1945" s="6">
        <v>0</v>
      </c>
      <c r="G1945" s="6">
        <v>58.8</v>
      </c>
    </row>
    <row r="1946" ht="30" customHeight="1" spans="1:7">
      <c r="A1946" s="4" t="s">
        <v>5007</v>
      </c>
      <c r="B1946" s="5" t="s">
        <v>5008</v>
      </c>
      <c r="C1946" s="4" t="s">
        <v>99</v>
      </c>
      <c r="D1946" s="475">
        <v>37.72</v>
      </c>
      <c r="E1946" s="476">
        <v>0</v>
      </c>
      <c r="F1946" s="6">
        <v>0</v>
      </c>
      <c r="G1946" s="6">
        <v>55.2</v>
      </c>
    </row>
    <row r="1947" ht="30" customHeight="1" spans="1:7">
      <c r="A1947" s="4" t="s">
        <v>5009</v>
      </c>
      <c r="B1947" s="5" t="s">
        <v>5010</v>
      </c>
      <c r="C1947" s="4" t="s">
        <v>99</v>
      </c>
      <c r="D1947" s="475">
        <v>40.53</v>
      </c>
      <c r="E1947" s="476">
        <v>0</v>
      </c>
      <c r="F1947" s="6">
        <v>0</v>
      </c>
      <c r="G1947" s="6">
        <v>51.6</v>
      </c>
    </row>
    <row r="1948" ht="30" customHeight="1" spans="1:7">
      <c r="A1948" s="4" t="s">
        <v>5011</v>
      </c>
      <c r="B1948" s="5" t="s">
        <v>5012</v>
      </c>
      <c r="C1948" s="4" t="s">
        <v>99</v>
      </c>
      <c r="D1948" s="475">
        <v>42.67</v>
      </c>
      <c r="E1948" s="476">
        <v>0</v>
      </c>
      <c r="F1948" s="6">
        <v>0</v>
      </c>
      <c r="G1948" s="6">
        <v>49.2</v>
      </c>
    </row>
    <row r="1949" ht="15.75" customHeight="1" spans="1:7">
      <c r="A1949" s="4" t="s">
        <v>5013</v>
      </c>
      <c r="B1949" s="5" t="s">
        <v>5014</v>
      </c>
      <c r="C1949" s="4" t="s">
        <v>99</v>
      </c>
      <c r="D1949" s="475">
        <v>5.55</v>
      </c>
      <c r="E1949" s="476">
        <v>0</v>
      </c>
      <c r="F1949" s="6">
        <v>0</v>
      </c>
      <c r="G1949" s="6">
        <v>274.8</v>
      </c>
    </row>
    <row r="1950" ht="30" customHeight="1" spans="1:7">
      <c r="A1950" s="4" t="s">
        <v>5015</v>
      </c>
      <c r="B1950" s="5" t="s">
        <v>5016</v>
      </c>
      <c r="C1950" s="4" t="s">
        <v>99</v>
      </c>
      <c r="D1950" s="475">
        <v>5.82</v>
      </c>
      <c r="E1950" s="476">
        <v>0</v>
      </c>
      <c r="F1950" s="6">
        <v>0</v>
      </c>
      <c r="G1950" s="6">
        <v>268.2</v>
      </c>
    </row>
    <row r="1951" ht="15.75" customHeight="1" spans="1:7">
      <c r="A1951" s="4" t="s">
        <v>5017</v>
      </c>
      <c r="B1951" s="5" t="s">
        <v>5018</v>
      </c>
      <c r="C1951" s="4" t="s">
        <v>99</v>
      </c>
      <c r="D1951" s="475">
        <v>5.22</v>
      </c>
      <c r="E1951" s="476">
        <v>0</v>
      </c>
      <c r="F1951" s="6">
        <v>0</v>
      </c>
      <c r="G1951" s="6">
        <v>285</v>
      </c>
    </row>
    <row r="1952" ht="30" customHeight="1" spans="1:7">
      <c r="A1952" s="4" t="s">
        <v>5019</v>
      </c>
      <c r="B1952" s="5" t="s">
        <v>5020</v>
      </c>
      <c r="C1952" s="4" t="s">
        <v>99</v>
      </c>
      <c r="D1952" s="475">
        <v>6.21</v>
      </c>
      <c r="E1952" s="476">
        <v>0</v>
      </c>
      <c r="F1952" s="6">
        <v>0</v>
      </c>
      <c r="G1952" s="6">
        <v>406.8</v>
      </c>
    </row>
    <row r="1953" ht="30" customHeight="1" spans="1:7">
      <c r="A1953" s="4" t="s">
        <v>5021</v>
      </c>
      <c r="B1953" s="5" t="s">
        <v>5022</v>
      </c>
      <c r="C1953" s="4" t="s">
        <v>99</v>
      </c>
      <c r="D1953" s="475">
        <v>6.61</v>
      </c>
      <c r="E1953" s="476">
        <v>0</v>
      </c>
      <c r="F1953" s="6">
        <v>0</v>
      </c>
      <c r="G1953" s="6">
        <v>390</v>
      </c>
    </row>
    <row r="1954" ht="30" customHeight="1" spans="1:7">
      <c r="A1954" s="4" t="s">
        <v>5023</v>
      </c>
      <c r="B1954" s="5" t="s">
        <v>5024</v>
      </c>
      <c r="C1954" s="4" t="s">
        <v>99</v>
      </c>
      <c r="D1954" s="475">
        <v>7.16</v>
      </c>
      <c r="E1954" s="476">
        <v>0</v>
      </c>
      <c r="F1954" s="6">
        <v>0</v>
      </c>
      <c r="G1954" s="6">
        <v>376.8</v>
      </c>
    </row>
    <row r="1955" ht="30" customHeight="1" spans="1:7">
      <c r="A1955" s="4" t="s">
        <v>5025</v>
      </c>
      <c r="B1955" s="5" t="s">
        <v>5026</v>
      </c>
      <c r="C1955" s="4" t="s">
        <v>99</v>
      </c>
      <c r="D1955" s="475">
        <v>7.52</v>
      </c>
      <c r="E1955" s="476">
        <v>0</v>
      </c>
      <c r="F1955" s="6">
        <v>0</v>
      </c>
      <c r="G1955" s="6">
        <v>364.8</v>
      </c>
    </row>
    <row r="1956" ht="30" customHeight="1" spans="1:7">
      <c r="A1956" s="4" t="s">
        <v>5027</v>
      </c>
      <c r="B1956" s="5" t="s">
        <v>5028</v>
      </c>
      <c r="C1956" s="4" t="s">
        <v>99</v>
      </c>
      <c r="D1956" s="475">
        <v>7.85</v>
      </c>
      <c r="E1956" s="476">
        <v>0</v>
      </c>
      <c r="F1956" s="6">
        <v>0</v>
      </c>
      <c r="G1956" s="6">
        <v>355.2</v>
      </c>
    </row>
    <row r="1957" ht="30" customHeight="1" spans="1:7">
      <c r="A1957" s="4" t="s">
        <v>5029</v>
      </c>
      <c r="B1957" s="5" t="s">
        <v>5030</v>
      </c>
      <c r="C1957" s="4" t="s">
        <v>99</v>
      </c>
      <c r="D1957" s="475">
        <v>8.2</v>
      </c>
      <c r="E1957" s="476">
        <v>0</v>
      </c>
      <c r="F1957" s="6">
        <v>0</v>
      </c>
      <c r="G1957" s="6">
        <v>345.6</v>
      </c>
    </row>
    <row r="1958" ht="30" customHeight="1" spans="1:7">
      <c r="A1958" s="4" t="s">
        <v>5031</v>
      </c>
      <c r="B1958" s="5" t="s">
        <v>5032</v>
      </c>
      <c r="C1958" s="4" t="s">
        <v>99</v>
      </c>
      <c r="D1958" s="475">
        <v>8.48</v>
      </c>
      <c r="E1958" s="476">
        <v>0</v>
      </c>
      <c r="F1958" s="6">
        <v>0</v>
      </c>
      <c r="G1958" s="6">
        <v>336</v>
      </c>
    </row>
    <row r="1959" ht="30" customHeight="1" spans="1:7">
      <c r="A1959" s="4" t="s">
        <v>5033</v>
      </c>
      <c r="B1959" s="5" t="s">
        <v>5034</v>
      </c>
      <c r="C1959" s="4" t="s">
        <v>99</v>
      </c>
      <c r="D1959" s="475">
        <v>9.09</v>
      </c>
      <c r="E1959" s="476">
        <v>0</v>
      </c>
      <c r="F1959" s="6">
        <v>0</v>
      </c>
      <c r="G1959" s="6">
        <v>326.4</v>
      </c>
    </row>
    <row r="1960" ht="30" customHeight="1" spans="1:7">
      <c r="A1960" s="4" t="s">
        <v>5035</v>
      </c>
      <c r="B1960" s="5" t="s">
        <v>5036</v>
      </c>
      <c r="C1960" s="4" t="s">
        <v>99</v>
      </c>
      <c r="D1960" s="475">
        <v>9.4</v>
      </c>
      <c r="E1960" s="476">
        <v>0</v>
      </c>
      <c r="F1960" s="6">
        <v>0</v>
      </c>
      <c r="G1960" s="6">
        <v>319.8</v>
      </c>
    </row>
    <row r="1961" ht="30" customHeight="1" spans="1:7">
      <c r="A1961" s="4" t="s">
        <v>5037</v>
      </c>
      <c r="B1961" s="5" t="s">
        <v>5038</v>
      </c>
      <c r="C1961" s="4" t="s">
        <v>99</v>
      </c>
      <c r="D1961" s="475">
        <v>9.72</v>
      </c>
      <c r="E1961" s="476">
        <v>0</v>
      </c>
      <c r="F1961" s="6">
        <v>0</v>
      </c>
      <c r="G1961" s="6">
        <v>313.2</v>
      </c>
    </row>
    <row r="1962" ht="30" customHeight="1" spans="1:7">
      <c r="A1962" s="4" t="s">
        <v>5039</v>
      </c>
      <c r="B1962" s="5" t="s">
        <v>5040</v>
      </c>
      <c r="C1962" s="4" t="s">
        <v>99</v>
      </c>
      <c r="D1962" s="475">
        <v>10.05</v>
      </c>
      <c r="E1962" s="476">
        <v>0</v>
      </c>
      <c r="F1962" s="6">
        <v>0</v>
      </c>
      <c r="G1962" s="6">
        <v>306.6</v>
      </c>
    </row>
    <row r="1963" ht="30" customHeight="1" spans="1:7">
      <c r="A1963" s="4" t="s">
        <v>5041</v>
      </c>
      <c r="B1963" s="5" t="s">
        <v>5042</v>
      </c>
      <c r="C1963" s="4" t="s">
        <v>99</v>
      </c>
      <c r="D1963" s="475">
        <v>10.38</v>
      </c>
      <c r="E1963" s="476">
        <v>0</v>
      </c>
      <c r="F1963" s="6">
        <v>0</v>
      </c>
      <c r="G1963" s="6">
        <v>300</v>
      </c>
    </row>
    <row r="1964" ht="30" customHeight="1" spans="1:7">
      <c r="A1964" s="4" t="s">
        <v>5043</v>
      </c>
      <c r="B1964" s="5" t="s">
        <v>5044</v>
      </c>
      <c r="C1964" s="4" t="s">
        <v>99</v>
      </c>
      <c r="D1964" s="475">
        <v>11.03</v>
      </c>
      <c r="E1964" s="476">
        <v>0</v>
      </c>
      <c r="F1964" s="6">
        <v>0</v>
      </c>
      <c r="G1964" s="6">
        <v>291</v>
      </c>
    </row>
    <row r="1965" ht="30" customHeight="1" spans="1:7">
      <c r="A1965" s="4" t="s">
        <v>5045</v>
      </c>
      <c r="B1965" s="5" t="s">
        <v>5046</v>
      </c>
      <c r="C1965" s="4" t="s">
        <v>99</v>
      </c>
      <c r="D1965" s="475">
        <v>11.44</v>
      </c>
      <c r="E1965" s="476">
        <v>0</v>
      </c>
      <c r="F1965" s="6">
        <v>0</v>
      </c>
      <c r="G1965" s="6">
        <v>282</v>
      </c>
    </row>
    <row r="1966" ht="30" customHeight="1" spans="1:7">
      <c r="A1966" s="4" t="s">
        <v>5047</v>
      </c>
      <c r="B1966" s="5" t="s">
        <v>5048</v>
      </c>
      <c r="C1966" s="4" t="s">
        <v>99</v>
      </c>
      <c r="D1966" s="475">
        <v>11.86</v>
      </c>
      <c r="E1966" s="476">
        <v>0</v>
      </c>
      <c r="F1966" s="6">
        <v>0</v>
      </c>
      <c r="G1966" s="6">
        <v>273</v>
      </c>
    </row>
    <row r="1967" ht="30" customHeight="1" spans="1:7">
      <c r="A1967" s="4" t="s">
        <v>5049</v>
      </c>
      <c r="B1967" s="5" t="s">
        <v>5050</v>
      </c>
      <c r="C1967" s="4" t="s">
        <v>99</v>
      </c>
      <c r="D1967" s="475">
        <v>12.38</v>
      </c>
      <c r="E1967" s="476">
        <v>0</v>
      </c>
      <c r="F1967" s="6">
        <v>0</v>
      </c>
      <c r="G1967" s="6">
        <v>264</v>
      </c>
    </row>
    <row r="1968" ht="30" customHeight="1" spans="1:7">
      <c r="A1968" s="4" t="s">
        <v>5051</v>
      </c>
      <c r="B1968" s="5" t="s">
        <v>5052</v>
      </c>
      <c r="C1968" s="4" t="s">
        <v>99</v>
      </c>
      <c r="D1968" s="475">
        <v>12.84</v>
      </c>
      <c r="E1968" s="476">
        <v>0</v>
      </c>
      <c r="F1968" s="6">
        <v>0</v>
      </c>
      <c r="G1968" s="6">
        <v>255</v>
      </c>
    </row>
    <row r="1969" ht="30" customHeight="1" spans="1:7">
      <c r="A1969" s="4" t="s">
        <v>5053</v>
      </c>
      <c r="B1969" s="5" t="s">
        <v>5054</v>
      </c>
      <c r="C1969" s="4" t="s">
        <v>99</v>
      </c>
      <c r="D1969" s="475">
        <v>13.57</v>
      </c>
      <c r="E1969" s="476">
        <v>0</v>
      </c>
      <c r="F1969" s="6">
        <v>0</v>
      </c>
      <c r="G1969" s="6">
        <v>246</v>
      </c>
    </row>
    <row r="1970" ht="30" customHeight="1" spans="1:7">
      <c r="A1970" s="4" t="s">
        <v>5055</v>
      </c>
      <c r="B1970" s="5" t="s">
        <v>5056</v>
      </c>
      <c r="C1970" s="4" t="s">
        <v>99</v>
      </c>
      <c r="D1970" s="475">
        <v>14.15</v>
      </c>
      <c r="E1970" s="476">
        <v>0</v>
      </c>
      <c r="F1970" s="6">
        <v>0</v>
      </c>
      <c r="G1970" s="6">
        <v>237</v>
      </c>
    </row>
    <row r="1971" ht="30" customHeight="1" spans="1:7">
      <c r="A1971" s="4" t="s">
        <v>5057</v>
      </c>
      <c r="B1971" s="5" t="s">
        <v>5058</v>
      </c>
      <c r="C1971" s="4" t="s">
        <v>99</v>
      </c>
      <c r="D1971" s="475">
        <v>14.75</v>
      </c>
      <c r="E1971" s="476">
        <v>0</v>
      </c>
      <c r="F1971" s="6">
        <v>0</v>
      </c>
      <c r="G1971" s="6">
        <v>228</v>
      </c>
    </row>
    <row r="1972" ht="30" customHeight="1" spans="1:7">
      <c r="A1972" s="4" t="s">
        <v>5059</v>
      </c>
      <c r="B1972" s="5" t="s">
        <v>5060</v>
      </c>
      <c r="C1972" s="4" t="s">
        <v>99</v>
      </c>
      <c r="D1972" s="475">
        <v>15.38</v>
      </c>
      <c r="E1972" s="476">
        <v>0</v>
      </c>
      <c r="F1972" s="6">
        <v>0</v>
      </c>
      <c r="G1972" s="6">
        <v>219</v>
      </c>
    </row>
    <row r="1973" ht="30" customHeight="1" spans="1:7">
      <c r="A1973" s="4" t="s">
        <v>5061</v>
      </c>
      <c r="B1973" s="5" t="s">
        <v>5062</v>
      </c>
      <c r="C1973" s="4" t="s">
        <v>99</v>
      </c>
      <c r="D1973" s="475">
        <v>16.05</v>
      </c>
      <c r="E1973" s="476">
        <v>0</v>
      </c>
      <c r="F1973" s="6">
        <v>0</v>
      </c>
      <c r="G1973" s="6">
        <v>210</v>
      </c>
    </row>
    <row r="1974" ht="30" customHeight="1" spans="1:7">
      <c r="A1974" s="4" t="s">
        <v>5063</v>
      </c>
      <c r="B1974" s="5" t="s">
        <v>5064</v>
      </c>
      <c r="C1974" s="4" t="s">
        <v>99</v>
      </c>
      <c r="D1974" s="475">
        <v>17</v>
      </c>
      <c r="E1974" s="476">
        <v>0</v>
      </c>
      <c r="F1974" s="6">
        <v>0</v>
      </c>
      <c r="G1974" s="6">
        <v>201</v>
      </c>
    </row>
    <row r="1975" ht="30" customHeight="1" spans="1:7">
      <c r="A1975" s="4" t="s">
        <v>5065</v>
      </c>
      <c r="B1975" s="5" t="s">
        <v>5066</v>
      </c>
      <c r="C1975" s="4" t="s">
        <v>99</v>
      </c>
      <c r="D1975" s="475">
        <v>17.92</v>
      </c>
      <c r="E1975" s="476">
        <v>0</v>
      </c>
      <c r="F1975" s="6">
        <v>0</v>
      </c>
      <c r="G1975" s="6">
        <v>190.2</v>
      </c>
    </row>
    <row r="1976" ht="30" customHeight="1" spans="1:7">
      <c r="A1976" s="4" t="s">
        <v>5067</v>
      </c>
      <c r="B1976" s="5" t="s">
        <v>5068</v>
      </c>
      <c r="C1976" s="4" t="s">
        <v>99</v>
      </c>
      <c r="D1976" s="475">
        <v>18.91</v>
      </c>
      <c r="E1976" s="476">
        <v>0</v>
      </c>
      <c r="F1976" s="6">
        <v>0</v>
      </c>
      <c r="G1976" s="6">
        <v>179.4</v>
      </c>
    </row>
    <row r="1977" ht="30" customHeight="1" spans="1:7">
      <c r="A1977" s="4" t="s">
        <v>5069</v>
      </c>
      <c r="B1977" s="5" t="s">
        <v>5070</v>
      </c>
      <c r="C1977" s="4" t="s">
        <v>99</v>
      </c>
      <c r="D1977" s="475">
        <v>5.04</v>
      </c>
      <c r="E1977" s="476">
        <v>0</v>
      </c>
      <c r="F1977" s="6">
        <v>0</v>
      </c>
      <c r="G1977" s="6">
        <v>472.2</v>
      </c>
    </row>
    <row r="1978" ht="30" customHeight="1" spans="1:7">
      <c r="A1978" s="4" t="s">
        <v>5071</v>
      </c>
      <c r="B1978" s="5" t="s">
        <v>5072</v>
      </c>
      <c r="C1978" s="4" t="s">
        <v>99</v>
      </c>
      <c r="D1978" s="475">
        <v>20.15</v>
      </c>
      <c r="E1978" s="476">
        <v>0</v>
      </c>
      <c r="F1978" s="6">
        <v>0</v>
      </c>
      <c r="G1978" s="6">
        <v>167.4</v>
      </c>
    </row>
    <row r="1979" ht="30" customHeight="1" spans="1:7">
      <c r="A1979" s="4" t="s">
        <v>5073</v>
      </c>
      <c r="B1979" s="5" t="s">
        <v>5074</v>
      </c>
      <c r="C1979" s="4" t="s">
        <v>99</v>
      </c>
      <c r="D1979" s="475">
        <v>21.47</v>
      </c>
      <c r="E1979" s="476">
        <v>0</v>
      </c>
      <c r="F1979" s="6">
        <v>0</v>
      </c>
      <c r="G1979" s="6">
        <v>156</v>
      </c>
    </row>
    <row r="1980" ht="30" customHeight="1" spans="1:7">
      <c r="A1980" s="4" t="s">
        <v>5075</v>
      </c>
      <c r="B1980" s="5" t="s">
        <v>5076</v>
      </c>
      <c r="C1980" s="4" t="s">
        <v>99</v>
      </c>
      <c r="D1980" s="475">
        <v>23.26</v>
      </c>
      <c r="E1980" s="476">
        <v>0</v>
      </c>
      <c r="F1980" s="6">
        <v>0</v>
      </c>
      <c r="G1980" s="6">
        <v>144.6</v>
      </c>
    </row>
    <row r="1981" ht="30" customHeight="1" spans="1:7">
      <c r="A1981" s="4" t="s">
        <v>5077</v>
      </c>
      <c r="B1981" s="5" t="s">
        <v>5078</v>
      </c>
      <c r="C1981" s="4" t="s">
        <v>99</v>
      </c>
      <c r="D1981" s="475">
        <v>24.55</v>
      </c>
      <c r="E1981" s="476">
        <v>0</v>
      </c>
      <c r="F1981" s="6">
        <v>0</v>
      </c>
      <c r="G1981" s="6">
        <v>136.2</v>
      </c>
    </row>
    <row r="1982" ht="30" customHeight="1" spans="1:7">
      <c r="A1982" s="4" t="s">
        <v>5079</v>
      </c>
      <c r="B1982" s="5" t="s">
        <v>5080</v>
      </c>
      <c r="C1982" s="4" t="s">
        <v>99</v>
      </c>
      <c r="D1982" s="475">
        <v>26.04</v>
      </c>
      <c r="E1982" s="476">
        <v>0</v>
      </c>
      <c r="F1982" s="6">
        <v>0</v>
      </c>
      <c r="G1982" s="6">
        <v>127.8</v>
      </c>
    </row>
    <row r="1983" ht="30" customHeight="1" spans="1:7">
      <c r="A1983" s="4" t="s">
        <v>5081</v>
      </c>
      <c r="B1983" s="5" t="s">
        <v>5082</v>
      </c>
      <c r="C1983" s="4" t="s">
        <v>99</v>
      </c>
      <c r="D1983" s="475">
        <v>27.75</v>
      </c>
      <c r="E1983" s="476">
        <v>0</v>
      </c>
      <c r="F1983" s="6">
        <v>0</v>
      </c>
      <c r="G1983" s="6">
        <v>119.4</v>
      </c>
    </row>
    <row r="1984" ht="30" customHeight="1" spans="1:7">
      <c r="A1984" s="4" t="s">
        <v>5083</v>
      </c>
      <c r="B1984" s="5" t="s">
        <v>5084</v>
      </c>
      <c r="C1984" s="4" t="s">
        <v>99</v>
      </c>
      <c r="D1984" s="475">
        <v>29.25</v>
      </c>
      <c r="E1984" s="476">
        <v>0</v>
      </c>
      <c r="F1984" s="6">
        <v>0</v>
      </c>
      <c r="G1984" s="6">
        <v>112.8</v>
      </c>
    </row>
    <row r="1985" ht="30" customHeight="1" spans="1:7">
      <c r="A1985" s="4" t="s">
        <v>5085</v>
      </c>
      <c r="B1985" s="5" t="s">
        <v>5086</v>
      </c>
      <c r="C1985" s="4" t="s">
        <v>99</v>
      </c>
      <c r="D1985" s="475">
        <v>31.29</v>
      </c>
      <c r="E1985" s="476">
        <v>0</v>
      </c>
      <c r="F1985" s="6">
        <v>0</v>
      </c>
      <c r="G1985" s="6">
        <v>106.2</v>
      </c>
    </row>
    <row r="1986" ht="30" customHeight="1" spans="1:7">
      <c r="A1986" s="4" t="s">
        <v>5087</v>
      </c>
      <c r="B1986" s="5" t="s">
        <v>5088</v>
      </c>
      <c r="C1986" s="4" t="s">
        <v>99</v>
      </c>
      <c r="D1986" s="475">
        <v>33.22</v>
      </c>
      <c r="E1986" s="476">
        <v>0</v>
      </c>
      <c r="F1986" s="6">
        <v>0</v>
      </c>
      <c r="G1986" s="6">
        <v>99.6</v>
      </c>
    </row>
    <row r="1987" ht="30" customHeight="1" spans="1:7">
      <c r="A1987" s="4" t="s">
        <v>5089</v>
      </c>
      <c r="B1987" s="5" t="s">
        <v>5090</v>
      </c>
      <c r="C1987" s="4" t="s">
        <v>99</v>
      </c>
      <c r="D1987" s="475">
        <v>34.98</v>
      </c>
      <c r="E1987" s="476">
        <v>0</v>
      </c>
      <c r="F1987" s="6">
        <v>0</v>
      </c>
      <c r="G1987" s="6">
        <v>94.2</v>
      </c>
    </row>
    <row r="1988" ht="30" customHeight="1" spans="1:7">
      <c r="A1988" s="4" t="s">
        <v>5091</v>
      </c>
      <c r="B1988" s="5" t="s">
        <v>5092</v>
      </c>
      <c r="C1988" s="4" t="s">
        <v>99</v>
      </c>
      <c r="D1988" s="475">
        <v>5.5</v>
      </c>
      <c r="E1988" s="476">
        <v>0</v>
      </c>
      <c r="F1988" s="6">
        <v>0</v>
      </c>
      <c r="G1988" s="6">
        <v>444</v>
      </c>
    </row>
    <row r="1989" ht="30" customHeight="1" spans="1:7">
      <c r="A1989" s="4" t="s">
        <v>5093</v>
      </c>
      <c r="B1989" s="5" t="s">
        <v>5094</v>
      </c>
      <c r="C1989" s="4" t="s">
        <v>99</v>
      </c>
      <c r="D1989" s="475">
        <v>37.04</v>
      </c>
      <c r="E1989" s="476">
        <v>0</v>
      </c>
      <c r="F1989" s="6">
        <v>0</v>
      </c>
      <c r="G1989" s="6">
        <v>88.8</v>
      </c>
    </row>
    <row r="1990" ht="30" customHeight="1" spans="1:7">
      <c r="A1990" s="4" t="s">
        <v>5095</v>
      </c>
      <c r="B1990" s="5" t="s">
        <v>5096</v>
      </c>
      <c r="C1990" s="4" t="s">
        <v>99</v>
      </c>
      <c r="D1990" s="475">
        <v>39.34</v>
      </c>
      <c r="E1990" s="476">
        <v>0</v>
      </c>
      <c r="F1990" s="6">
        <v>0</v>
      </c>
      <c r="G1990" s="6">
        <v>83.4</v>
      </c>
    </row>
    <row r="1991" ht="30" customHeight="1" spans="1:7">
      <c r="A1991" s="4" t="s">
        <v>5097</v>
      </c>
      <c r="B1991" s="5" t="s">
        <v>5098</v>
      </c>
      <c r="C1991" s="4" t="s">
        <v>99</v>
      </c>
      <c r="D1991" s="475">
        <v>41.63</v>
      </c>
      <c r="E1991" s="476">
        <v>0</v>
      </c>
      <c r="F1991" s="6">
        <v>0</v>
      </c>
      <c r="G1991" s="6">
        <v>79.2</v>
      </c>
    </row>
    <row r="1992" ht="30" customHeight="1" spans="1:7">
      <c r="A1992" s="4" t="s">
        <v>5099</v>
      </c>
      <c r="B1992" s="5" t="s">
        <v>5100</v>
      </c>
      <c r="C1992" s="4" t="s">
        <v>99</v>
      </c>
      <c r="D1992" s="475">
        <v>43.89</v>
      </c>
      <c r="E1992" s="476">
        <v>0</v>
      </c>
      <c r="F1992" s="6">
        <v>0</v>
      </c>
      <c r="G1992" s="6">
        <v>75</v>
      </c>
    </row>
    <row r="1993" ht="30" customHeight="1" spans="1:7">
      <c r="A1993" s="4" t="s">
        <v>5101</v>
      </c>
      <c r="B1993" s="5" t="s">
        <v>5102</v>
      </c>
      <c r="C1993" s="4" t="s">
        <v>99</v>
      </c>
      <c r="D1993" s="475">
        <v>46.41</v>
      </c>
      <c r="E1993" s="476">
        <v>0</v>
      </c>
      <c r="F1993" s="6">
        <v>0</v>
      </c>
      <c r="G1993" s="6">
        <v>70.8</v>
      </c>
    </row>
    <row r="1994" ht="30" customHeight="1" spans="1:7">
      <c r="A1994" s="4" t="s">
        <v>5103</v>
      </c>
      <c r="B1994" s="5" t="s">
        <v>5104</v>
      </c>
      <c r="C1994" s="4" t="s">
        <v>99</v>
      </c>
      <c r="D1994" s="475">
        <v>49.28</v>
      </c>
      <c r="E1994" s="476">
        <v>0</v>
      </c>
      <c r="F1994" s="6">
        <v>0</v>
      </c>
      <c r="G1994" s="6">
        <v>66.6</v>
      </c>
    </row>
    <row r="1995" ht="30" customHeight="1" spans="1:7">
      <c r="A1995" s="4" t="s">
        <v>5105</v>
      </c>
      <c r="B1995" s="5" t="s">
        <v>5106</v>
      </c>
      <c r="C1995" s="4" t="s">
        <v>99</v>
      </c>
      <c r="D1995" s="475">
        <v>52.47</v>
      </c>
      <c r="E1995" s="476">
        <v>0</v>
      </c>
      <c r="F1995" s="6">
        <v>0</v>
      </c>
      <c r="G1995" s="6">
        <v>62.4</v>
      </c>
    </row>
    <row r="1996" ht="30" customHeight="1" spans="1:7">
      <c r="A1996" s="4" t="s">
        <v>5107</v>
      </c>
      <c r="B1996" s="5" t="s">
        <v>5108</v>
      </c>
      <c r="C1996" s="4" t="s">
        <v>99</v>
      </c>
      <c r="D1996" s="475">
        <v>54.93</v>
      </c>
      <c r="E1996" s="476">
        <v>0</v>
      </c>
      <c r="F1996" s="6">
        <v>0</v>
      </c>
      <c r="G1996" s="6">
        <v>60</v>
      </c>
    </row>
    <row r="1997" ht="30" customHeight="1" spans="1:7">
      <c r="A1997" s="4" t="s">
        <v>5109</v>
      </c>
      <c r="B1997" s="5" t="s">
        <v>5110</v>
      </c>
      <c r="C1997" s="4" t="s">
        <v>99</v>
      </c>
      <c r="D1997" s="475">
        <v>57.24</v>
      </c>
      <c r="E1997" s="476">
        <v>0</v>
      </c>
      <c r="F1997" s="6">
        <v>0</v>
      </c>
      <c r="G1997" s="6">
        <v>57.6</v>
      </c>
    </row>
    <row r="1998" ht="30" customHeight="1" spans="1:7">
      <c r="A1998" s="4" t="s">
        <v>5111</v>
      </c>
      <c r="B1998" s="5" t="s">
        <v>5112</v>
      </c>
      <c r="C1998" s="4" t="s">
        <v>99</v>
      </c>
      <c r="D1998" s="475">
        <v>59.83</v>
      </c>
      <c r="E1998" s="476">
        <v>0</v>
      </c>
      <c r="F1998" s="6">
        <v>0</v>
      </c>
      <c r="G1998" s="6">
        <v>55.2</v>
      </c>
    </row>
    <row r="1999" ht="30" customHeight="1" spans="1:7">
      <c r="A1999" s="4" t="s">
        <v>5113</v>
      </c>
      <c r="B1999" s="5" t="s">
        <v>5114</v>
      </c>
      <c r="C1999" s="4" t="s">
        <v>99</v>
      </c>
      <c r="D1999" s="475">
        <v>5.81</v>
      </c>
      <c r="E1999" s="476">
        <v>0</v>
      </c>
      <c r="F1999" s="6">
        <v>0</v>
      </c>
      <c r="G1999" s="6">
        <v>424.8</v>
      </c>
    </row>
    <row r="2000" ht="15.75" customHeight="1" spans="1:7">
      <c r="A2000" s="4" t="s">
        <v>5115</v>
      </c>
      <c r="B2000" s="5" t="s">
        <v>5116</v>
      </c>
      <c r="C2000" s="4" t="s">
        <v>99</v>
      </c>
      <c r="D2000" s="475">
        <v>4.7</v>
      </c>
      <c r="E2000" s="476">
        <v>0</v>
      </c>
      <c r="F2000" s="6">
        <v>0</v>
      </c>
      <c r="G2000" s="6">
        <v>511.8</v>
      </c>
    </row>
    <row r="2001" ht="15.75" customHeight="1" spans="1:7">
      <c r="A2001" s="4" t="s">
        <v>5117</v>
      </c>
      <c r="B2001" s="5" t="s">
        <v>5118</v>
      </c>
      <c r="C2001" s="4" t="s">
        <v>99</v>
      </c>
      <c r="D2001" s="475">
        <v>28.89</v>
      </c>
      <c r="E2001" s="476">
        <v>0</v>
      </c>
      <c r="F2001" s="6">
        <v>0</v>
      </c>
      <c r="G2001" s="6">
        <v>393.62</v>
      </c>
    </row>
    <row r="2002" ht="15.75" customHeight="1" spans="1:7">
      <c r="A2002" s="4" t="s">
        <v>5119</v>
      </c>
      <c r="B2002" s="5" t="s">
        <v>5120</v>
      </c>
      <c r="C2002" s="4" t="s">
        <v>99</v>
      </c>
      <c r="D2002" s="475">
        <v>29.39</v>
      </c>
      <c r="E2002" s="476">
        <v>0</v>
      </c>
      <c r="F2002" s="6">
        <v>0</v>
      </c>
      <c r="G2002" s="6">
        <v>386.87</v>
      </c>
    </row>
    <row r="2003" ht="15.75" customHeight="1" spans="1:7">
      <c r="A2003" s="4" t="s">
        <v>5121</v>
      </c>
      <c r="B2003" s="5" t="s">
        <v>5122</v>
      </c>
      <c r="C2003" s="4" t="s">
        <v>99</v>
      </c>
      <c r="D2003" s="475">
        <v>29.91</v>
      </c>
      <c r="E2003" s="476">
        <v>0</v>
      </c>
      <c r="F2003" s="6">
        <v>0</v>
      </c>
      <c r="G2003" s="6">
        <v>380.2</v>
      </c>
    </row>
    <row r="2004" ht="15.75" customHeight="1" spans="1:7">
      <c r="A2004" s="4" t="s">
        <v>5123</v>
      </c>
      <c r="B2004" s="5" t="s">
        <v>5124</v>
      </c>
      <c r="C2004" s="4" t="s">
        <v>99</v>
      </c>
      <c r="D2004" s="475">
        <v>30.45</v>
      </c>
      <c r="E2004" s="476">
        <v>0</v>
      </c>
      <c r="F2004" s="6">
        <v>0</v>
      </c>
      <c r="G2004" s="6">
        <v>373.47</v>
      </c>
    </row>
    <row r="2005" ht="15.75" customHeight="1" spans="1:7">
      <c r="A2005" s="4" t="s">
        <v>5125</v>
      </c>
      <c r="B2005" s="5" t="s">
        <v>5126</v>
      </c>
      <c r="C2005" s="4" t="s">
        <v>99</v>
      </c>
      <c r="D2005" s="475">
        <v>31.02</v>
      </c>
      <c r="E2005" s="476">
        <v>0</v>
      </c>
      <c r="F2005" s="6">
        <v>0</v>
      </c>
      <c r="G2005" s="6">
        <v>366.56</v>
      </c>
    </row>
    <row r="2006" ht="15.75" customHeight="1" spans="1:7">
      <c r="A2006" s="4" t="s">
        <v>5127</v>
      </c>
      <c r="B2006" s="5" t="s">
        <v>5128</v>
      </c>
      <c r="C2006" s="4" t="s">
        <v>99</v>
      </c>
      <c r="D2006" s="475">
        <v>31.32</v>
      </c>
      <c r="E2006" s="476">
        <v>0</v>
      </c>
      <c r="F2006" s="6">
        <v>0</v>
      </c>
      <c r="G2006" s="6">
        <v>363.02</v>
      </c>
    </row>
    <row r="2007" ht="15.75" customHeight="1" spans="1:7">
      <c r="A2007" s="4" t="s">
        <v>5129</v>
      </c>
      <c r="B2007" s="5" t="s">
        <v>5130</v>
      </c>
      <c r="C2007" s="4" t="s">
        <v>99</v>
      </c>
      <c r="D2007" s="475">
        <v>16.12</v>
      </c>
      <c r="E2007" s="476">
        <v>0</v>
      </c>
      <c r="F2007" s="6">
        <v>0</v>
      </c>
      <c r="G2007" s="6">
        <v>2719.95</v>
      </c>
    </row>
    <row r="2008" ht="15.75" customHeight="1" spans="1:7">
      <c r="A2008" s="4" t="s">
        <v>5131</v>
      </c>
      <c r="B2008" s="5" t="s">
        <v>5132</v>
      </c>
      <c r="C2008" s="4" t="s">
        <v>99</v>
      </c>
      <c r="D2008" s="475">
        <v>16.24</v>
      </c>
      <c r="E2008" s="476">
        <v>0</v>
      </c>
      <c r="F2008" s="6">
        <v>0</v>
      </c>
      <c r="G2008" s="6">
        <v>2699.58</v>
      </c>
    </row>
    <row r="2009" ht="15.75" customHeight="1" spans="1:7">
      <c r="A2009" s="4" t="s">
        <v>5133</v>
      </c>
      <c r="B2009" s="5" t="s">
        <v>5134</v>
      </c>
      <c r="C2009" s="4" t="s">
        <v>99</v>
      </c>
      <c r="D2009" s="475">
        <v>16.37</v>
      </c>
      <c r="E2009" s="476">
        <v>0</v>
      </c>
      <c r="F2009" s="6">
        <v>0</v>
      </c>
      <c r="G2009" s="6">
        <v>2678.7</v>
      </c>
    </row>
    <row r="2010" ht="15.75" customHeight="1" spans="1:7">
      <c r="A2010" s="4" t="s">
        <v>5135</v>
      </c>
      <c r="B2010" s="5" t="s">
        <v>5136</v>
      </c>
      <c r="C2010" s="4" t="s">
        <v>99</v>
      </c>
      <c r="D2010" s="475">
        <v>16.5</v>
      </c>
      <c r="E2010" s="476">
        <v>0</v>
      </c>
      <c r="F2010" s="6">
        <v>0</v>
      </c>
      <c r="G2010" s="6">
        <v>2657.35</v>
      </c>
    </row>
    <row r="2011" ht="15.75" customHeight="1" spans="1:7">
      <c r="A2011" s="4" t="s">
        <v>5137</v>
      </c>
      <c r="B2011" s="5" t="s">
        <v>5138</v>
      </c>
      <c r="C2011" s="4" t="s">
        <v>99</v>
      </c>
      <c r="D2011" s="475">
        <v>16.64</v>
      </c>
      <c r="E2011" s="476">
        <v>0</v>
      </c>
      <c r="F2011" s="6">
        <v>0</v>
      </c>
      <c r="G2011" s="6">
        <v>2634.98</v>
      </c>
    </row>
    <row r="2012" ht="15.75" customHeight="1" spans="1:7">
      <c r="A2012" s="4" t="s">
        <v>5139</v>
      </c>
      <c r="B2012" s="5" t="s">
        <v>5140</v>
      </c>
      <c r="C2012" s="4" t="s">
        <v>99</v>
      </c>
      <c r="D2012" s="475">
        <v>16.72</v>
      </c>
      <c r="E2012" s="476">
        <v>0</v>
      </c>
      <c r="F2012" s="6">
        <v>0</v>
      </c>
      <c r="G2012" s="6">
        <v>2623.16</v>
      </c>
    </row>
    <row r="2013" ht="15.75" customHeight="1" spans="1:7">
      <c r="A2013" s="4" t="s">
        <v>5141</v>
      </c>
      <c r="B2013" s="5" t="s">
        <v>5142</v>
      </c>
      <c r="C2013" s="4" t="s">
        <v>99</v>
      </c>
      <c r="D2013" s="475">
        <v>21.15</v>
      </c>
      <c r="E2013" s="476">
        <v>0</v>
      </c>
      <c r="F2013" s="6">
        <v>0</v>
      </c>
      <c r="G2013" s="6">
        <v>2909.29</v>
      </c>
    </row>
    <row r="2014" ht="15.75" customHeight="1" spans="1:7">
      <c r="A2014" s="4" t="s">
        <v>5143</v>
      </c>
      <c r="B2014" s="5" t="s">
        <v>5144</v>
      </c>
      <c r="C2014" s="4" t="s">
        <v>99</v>
      </c>
      <c r="D2014" s="475">
        <v>21.27</v>
      </c>
      <c r="E2014" s="476">
        <v>0</v>
      </c>
      <c r="F2014" s="6">
        <v>0</v>
      </c>
      <c r="G2014" s="6">
        <v>2893.72</v>
      </c>
    </row>
    <row r="2015" ht="15.75" customHeight="1" spans="1:7">
      <c r="A2015" s="4" t="s">
        <v>5145</v>
      </c>
      <c r="B2015" s="5" t="s">
        <v>5146</v>
      </c>
      <c r="C2015" s="4" t="s">
        <v>99</v>
      </c>
      <c r="D2015" s="475">
        <v>21.39</v>
      </c>
      <c r="E2015" s="476">
        <v>0</v>
      </c>
      <c r="F2015" s="6">
        <v>0</v>
      </c>
      <c r="G2015" s="6">
        <v>2877.69</v>
      </c>
    </row>
    <row r="2016" ht="15.75" customHeight="1" spans="1:7">
      <c r="A2016" s="4" t="s">
        <v>5147</v>
      </c>
      <c r="B2016" s="5" t="s">
        <v>5148</v>
      </c>
      <c r="C2016" s="4" t="s">
        <v>99</v>
      </c>
      <c r="D2016" s="475">
        <v>21.51</v>
      </c>
      <c r="E2016" s="476">
        <v>0</v>
      </c>
      <c r="F2016" s="6">
        <v>0</v>
      </c>
      <c r="G2016" s="6">
        <v>2861.23</v>
      </c>
    </row>
    <row r="2017" ht="15.75" customHeight="1" spans="1:7">
      <c r="A2017" s="4" t="s">
        <v>5149</v>
      </c>
      <c r="B2017" s="5" t="s">
        <v>5150</v>
      </c>
      <c r="C2017" s="4" t="s">
        <v>99</v>
      </c>
      <c r="D2017" s="475">
        <v>21.64</v>
      </c>
      <c r="E2017" s="476">
        <v>0</v>
      </c>
      <c r="F2017" s="6">
        <v>0</v>
      </c>
      <c r="G2017" s="6">
        <v>2843.9</v>
      </c>
    </row>
    <row r="2018" ht="15.75" customHeight="1" spans="1:7">
      <c r="A2018" s="4" t="s">
        <v>5151</v>
      </c>
      <c r="B2018" s="5" t="s">
        <v>5152</v>
      </c>
      <c r="C2018" s="4" t="s">
        <v>99</v>
      </c>
      <c r="D2018" s="475">
        <v>21.71</v>
      </c>
      <c r="E2018" s="476">
        <v>0</v>
      </c>
      <c r="F2018" s="6">
        <v>0</v>
      </c>
      <c r="G2018" s="6">
        <v>2834.71</v>
      </c>
    </row>
    <row r="2019" ht="15.75" customHeight="1" spans="1:7">
      <c r="A2019" s="4" t="s">
        <v>5153</v>
      </c>
      <c r="B2019" s="5" t="s">
        <v>5154</v>
      </c>
      <c r="C2019" s="4" t="s">
        <v>99</v>
      </c>
      <c r="D2019" s="475">
        <v>19.05</v>
      </c>
      <c r="E2019" s="476">
        <v>0</v>
      </c>
      <c r="F2019" s="6">
        <v>0</v>
      </c>
      <c r="G2019" s="6">
        <v>788.46</v>
      </c>
    </row>
    <row r="2020" ht="15.75" customHeight="1" spans="1:7">
      <c r="A2020" s="4" t="s">
        <v>5155</v>
      </c>
      <c r="B2020" s="5" t="s">
        <v>5156</v>
      </c>
      <c r="C2020" s="4" t="s">
        <v>99</v>
      </c>
      <c r="D2020" s="475">
        <v>19.34</v>
      </c>
      <c r="E2020" s="476">
        <v>0</v>
      </c>
      <c r="F2020" s="6">
        <v>0</v>
      </c>
      <c r="G2020" s="6">
        <v>776.53</v>
      </c>
    </row>
    <row r="2021" ht="15.75" customHeight="1" spans="1:7">
      <c r="A2021" s="4" t="s">
        <v>5157</v>
      </c>
      <c r="B2021" s="5" t="s">
        <v>5158</v>
      </c>
      <c r="C2021" s="4" t="s">
        <v>99</v>
      </c>
      <c r="D2021" s="475">
        <v>19.65</v>
      </c>
      <c r="E2021" s="476">
        <v>0</v>
      </c>
      <c r="F2021" s="6">
        <v>0</v>
      </c>
      <c r="G2021" s="6">
        <v>764.63</v>
      </c>
    </row>
    <row r="2022" ht="15.75" customHeight="1" spans="1:7">
      <c r="A2022" s="4" t="s">
        <v>5159</v>
      </c>
      <c r="B2022" s="5" t="s">
        <v>5160</v>
      </c>
      <c r="C2022" s="4" t="s">
        <v>99</v>
      </c>
      <c r="D2022" s="475">
        <v>19.96</v>
      </c>
      <c r="E2022" s="476">
        <v>0</v>
      </c>
      <c r="F2022" s="6">
        <v>0</v>
      </c>
      <c r="G2022" s="6">
        <v>752.69</v>
      </c>
    </row>
    <row r="2023" ht="15.75" customHeight="1" spans="1:7">
      <c r="A2023" s="4" t="s">
        <v>5161</v>
      </c>
      <c r="B2023" s="5" t="s">
        <v>5162</v>
      </c>
      <c r="C2023" s="4" t="s">
        <v>99</v>
      </c>
      <c r="D2023" s="475">
        <v>20.29</v>
      </c>
      <c r="E2023" s="476">
        <v>0</v>
      </c>
      <c r="F2023" s="6">
        <v>0</v>
      </c>
      <c r="G2023" s="6">
        <v>740.28</v>
      </c>
    </row>
    <row r="2024" ht="15.75" customHeight="1" spans="1:7">
      <c r="A2024" s="4" t="s">
        <v>5163</v>
      </c>
      <c r="B2024" s="5" t="s">
        <v>5164</v>
      </c>
      <c r="C2024" s="4" t="s">
        <v>99</v>
      </c>
      <c r="D2024" s="475">
        <v>20.47</v>
      </c>
      <c r="E2024" s="476">
        <v>0</v>
      </c>
      <c r="F2024" s="6">
        <v>0</v>
      </c>
      <c r="G2024" s="6">
        <v>733.88</v>
      </c>
    </row>
    <row r="2025" ht="15.75" customHeight="1" spans="1:7">
      <c r="A2025" s="4" t="s">
        <v>5165</v>
      </c>
      <c r="B2025" s="5" t="s">
        <v>5166</v>
      </c>
      <c r="C2025" s="4" t="s">
        <v>99</v>
      </c>
      <c r="D2025" s="475">
        <v>26.31</v>
      </c>
      <c r="E2025" s="476">
        <v>0</v>
      </c>
      <c r="F2025" s="6">
        <v>0</v>
      </c>
      <c r="G2025" s="6">
        <v>3014.08</v>
      </c>
    </row>
    <row r="2026" ht="15.75" customHeight="1" spans="1:7">
      <c r="A2026" s="4" t="s">
        <v>5167</v>
      </c>
      <c r="B2026" s="5" t="s">
        <v>5168</v>
      </c>
      <c r="C2026" s="4" t="s">
        <v>99</v>
      </c>
      <c r="D2026" s="475">
        <v>26.42</v>
      </c>
      <c r="E2026" s="476">
        <v>0</v>
      </c>
      <c r="F2026" s="6">
        <v>0</v>
      </c>
      <c r="G2026" s="6">
        <v>3001.52</v>
      </c>
    </row>
    <row r="2027" ht="15.75" customHeight="1" spans="1:7">
      <c r="A2027" s="4" t="s">
        <v>5169</v>
      </c>
      <c r="B2027" s="5" t="s">
        <v>5170</v>
      </c>
      <c r="C2027" s="4" t="s">
        <v>99</v>
      </c>
      <c r="D2027" s="475">
        <v>26.53</v>
      </c>
      <c r="E2027" s="476">
        <v>0</v>
      </c>
      <c r="F2027" s="6">
        <v>0</v>
      </c>
      <c r="G2027" s="6">
        <v>2988.58</v>
      </c>
    </row>
    <row r="2028" ht="15.75" customHeight="1" spans="1:7">
      <c r="A2028" s="4" t="s">
        <v>5171</v>
      </c>
      <c r="B2028" s="5" t="s">
        <v>5172</v>
      </c>
      <c r="C2028" s="4" t="s">
        <v>99</v>
      </c>
      <c r="D2028" s="475">
        <v>26.65</v>
      </c>
      <c r="E2028" s="476">
        <v>0</v>
      </c>
      <c r="F2028" s="6">
        <v>0</v>
      </c>
      <c r="G2028" s="6">
        <v>2975.24</v>
      </c>
    </row>
    <row r="2029" ht="15.75" customHeight="1" spans="1:7">
      <c r="A2029" s="4" t="s">
        <v>5173</v>
      </c>
      <c r="B2029" s="5" t="s">
        <v>5174</v>
      </c>
      <c r="C2029" s="4" t="s">
        <v>99</v>
      </c>
      <c r="D2029" s="475">
        <v>26.78</v>
      </c>
      <c r="E2029" s="476">
        <v>0</v>
      </c>
      <c r="F2029" s="6">
        <v>0</v>
      </c>
      <c r="G2029" s="6">
        <v>2961.17</v>
      </c>
    </row>
    <row r="2030" ht="15.75" customHeight="1" spans="1:7">
      <c r="A2030" s="4" t="s">
        <v>5175</v>
      </c>
      <c r="B2030" s="5" t="s">
        <v>5176</v>
      </c>
      <c r="C2030" s="4" t="s">
        <v>99</v>
      </c>
      <c r="D2030" s="475">
        <v>26.85</v>
      </c>
      <c r="E2030" s="476">
        <v>0</v>
      </c>
      <c r="F2030" s="6">
        <v>0</v>
      </c>
      <c r="G2030" s="6">
        <v>2953.69</v>
      </c>
    </row>
    <row r="2031" ht="15.75" customHeight="1" spans="1:7">
      <c r="A2031" s="4" t="s">
        <v>5177</v>
      </c>
      <c r="B2031" s="5" t="s">
        <v>5178</v>
      </c>
      <c r="C2031" s="4" t="s">
        <v>99</v>
      </c>
      <c r="D2031" s="475">
        <v>17.42</v>
      </c>
      <c r="E2031" s="476">
        <v>0</v>
      </c>
      <c r="F2031" s="6">
        <v>0</v>
      </c>
      <c r="G2031" s="6">
        <v>1081.03</v>
      </c>
    </row>
    <row r="2032" ht="15.75" customHeight="1" spans="1:7">
      <c r="A2032" s="4" t="s">
        <v>5179</v>
      </c>
      <c r="B2032" s="5" t="s">
        <v>5180</v>
      </c>
      <c r="C2032" s="4" t="s">
        <v>99</v>
      </c>
      <c r="D2032" s="475">
        <v>17.65</v>
      </c>
      <c r="E2032" s="476">
        <v>0</v>
      </c>
      <c r="F2032" s="6">
        <v>0</v>
      </c>
      <c r="G2032" s="6">
        <v>1067.13</v>
      </c>
    </row>
    <row r="2033" ht="15.75" customHeight="1" spans="1:7">
      <c r="A2033" s="4" t="s">
        <v>5181</v>
      </c>
      <c r="B2033" s="5" t="s">
        <v>5182</v>
      </c>
      <c r="C2033" s="4" t="s">
        <v>99</v>
      </c>
      <c r="D2033" s="475">
        <v>17.88</v>
      </c>
      <c r="E2033" s="476">
        <v>0</v>
      </c>
      <c r="F2033" s="6">
        <v>0</v>
      </c>
      <c r="G2033" s="6">
        <v>1053.27</v>
      </c>
    </row>
    <row r="2034" ht="15.75" customHeight="1" spans="1:7">
      <c r="A2034" s="4" t="s">
        <v>5183</v>
      </c>
      <c r="B2034" s="5" t="s">
        <v>5184</v>
      </c>
      <c r="C2034" s="4" t="s">
        <v>99</v>
      </c>
      <c r="D2034" s="475">
        <v>18.12</v>
      </c>
      <c r="E2034" s="476">
        <v>0</v>
      </c>
      <c r="F2034" s="6">
        <v>0</v>
      </c>
      <c r="G2034" s="6">
        <v>1039.05</v>
      </c>
    </row>
    <row r="2035" ht="15.75" customHeight="1" spans="1:7">
      <c r="A2035" s="4" t="s">
        <v>5185</v>
      </c>
      <c r="B2035" s="5" t="s">
        <v>5186</v>
      </c>
      <c r="C2035" s="4" t="s">
        <v>99</v>
      </c>
      <c r="D2035" s="475">
        <v>18.38</v>
      </c>
      <c r="E2035" s="476">
        <v>0</v>
      </c>
      <c r="F2035" s="6">
        <v>0</v>
      </c>
      <c r="G2035" s="6">
        <v>1024.43</v>
      </c>
    </row>
    <row r="2036" ht="15.75" customHeight="1" spans="1:7">
      <c r="A2036" s="4" t="s">
        <v>5187</v>
      </c>
      <c r="B2036" s="5" t="s">
        <v>5188</v>
      </c>
      <c r="C2036" s="4" t="s">
        <v>99</v>
      </c>
      <c r="D2036" s="475">
        <v>18.52</v>
      </c>
      <c r="E2036" s="476">
        <v>0</v>
      </c>
      <c r="F2036" s="6">
        <v>0</v>
      </c>
      <c r="G2036" s="6">
        <v>1016.75</v>
      </c>
    </row>
    <row r="2037" ht="15.75" customHeight="1" spans="1:7">
      <c r="A2037" s="4" t="s">
        <v>5189</v>
      </c>
      <c r="B2037" s="5" t="s">
        <v>5190</v>
      </c>
      <c r="C2037" s="4" t="s">
        <v>99</v>
      </c>
      <c r="D2037" s="475">
        <v>16.18</v>
      </c>
      <c r="E2037" s="476">
        <v>0</v>
      </c>
      <c r="F2037" s="6">
        <v>0</v>
      </c>
      <c r="G2037" s="6">
        <v>1393.38</v>
      </c>
    </row>
    <row r="2038" ht="15.75" customHeight="1" spans="1:7">
      <c r="A2038" s="4" t="s">
        <v>5191</v>
      </c>
      <c r="B2038" s="5" t="s">
        <v>5192</v>
      </c>
      <c r="C2038" s="4" t="s">
        <v>99</v>
      </c>
      <c r="D2038" s="475">
        <v>16.37</v>
      </c>
      <c r="E2038" s="476">
        <v>0</v>
      </c>
      <c r="F2038" s="6">
        <v>0</v>
      </c>
      <c r="G2038" s="6">
        <v>1376.85</v>
      </c>
    </row>
    <row r="2039" ht="15.75" customHeight="1" spans="1:7">
      <c r="A2039" s="4" t="s">
        <v>5193</v>
      </c>
      <c r="B2039" s="5" t="s">
        <v>5194</v>
      </c>
      <c r="C2039" s="4" t="s">
        <v>99</v>
      </c>
      <c r="D2039" s="475">
        <v>16.57</v>
      </c>
      <c r="E2039" s="476">
        <v>0</v>
      </c>
      <c r="F2039" s="6">
        <v>0</v>
      </c>
      <c r="G2039" s="6">
        <v>1360.18</v>
      </c>
    </row>
    <row r="2040" ht="15.75" customHeight="1" spans="1:7">
      <c r="A2040" s="4" t="s">
        <v>5195</v>
      </c>
      <c r="B2040" s="5" t="s">
        <v>5196</v>
      </c>
      <c r="C2040" s="4" t="s">
        <v>99</v>
      </c>
      <c r="D2040" s="475">
        <v>16.78</v>
      </c>
      <c r="E2040" s="476">
        <v>0</v>
      </c>
      <c r="F2040" s="6">
        <v>0</v>
      </c>
      <c r="G2040" s="6">
        <v>1343.28</v>
      </c>
    </row>
    <row r="2041" ht="15.75" customHeight="1" spans="1:7">
      <c r="A2041" s="4" t="s">
        <v>5197</v>
      </c>
      <c r="B2041" s="5" t="s">
        <v>5198</v>
      </c>
      <c r="C2041" s="4" t="s">
        <v>99</v>
      </c>
      <c r="D2041" s="475">
        <v>17.01</v>
      </c>
      <c r="E2041" s="476">
        <v>0</v>
      </c>
      <c r="F2041" s="6">
        <v>0</v>
      </c>
      <c r="G2041" s="6">
        <v>1325.69</v>
      </c>
    </row>
    <row r="2042" ht="15.75" customHeight="1" spans="1:7">
      <c r="A2042" s="4" t="s">
        <v>5199</v>
      </c>
      <c r="B2042" s="5" t="s">
        <v>5200</v>
      </c>
      <c r="C2042" s="4" t="s">
        <v>99</v>
      </c>
      <c r="D2042" s="475">
        <v>17.13</v>
      </c>
      <c r="E2042" s="476">
        <v>0</v>
      </c>
      <c r="F2042" s="6">
        <v>0</v>
      </c>
      <c r="G2042" s="6">
        <v>1316.4</v>
      </c>
    </row>
    <row r="2043" ht="15.75" customHeight="1" spans="1:7">
      <c r="A2043" s="4" t="s">
        <v>5201</v>
      </c>
      <c r="B2043" s="5" t="s">
        <v>5202</v>
      </c>
      <c r="C2043" s="4" t="s">
        <v>99</v>
      </c>
      <c r="D2043" s="475">
        <v>17.71</v>
      </c>
      <c r="E2043" s="476">
        <v>0</v>
      </c>
      <c r="F2043" s="6">
        <v>0</v>
      </c>
      <c r="G2043" s="6">
        <v>1478.8</v>
      </c>
    </row>
    <row r="2044" ht="15.75" customHeight="1" spans="1:7">
      <c r="A2044" s="4" t="s">
        <v>5203</v>
      </c>
      <c r="B2044" s="5" t="s">
        <v>5204</v>
      </c>
      <c r="C2044" s="4" t="s">
        <v>99</v>
      </c>
      <c r="D2044" s="475">
        <v>17.88</v>
      </c>
      <c r="E2044" s="476">
        <v>0</v>
      </c>
      <c r="F2044" s="6">
        <v>0</v>
      </c>
      <c r="G2044" s="6">
        <v>1464.72</v>
      </c>
    </row>
    <row r="2045" ht="15.75" customHeight="1" spans="1:7">
      <c r="A2045" s="4" t="s">
        <v>5205</v>
      </c>
      <c r="B2045" s="5" t="s">
        <v>5206</v>
      </c>
      <c r="C2045" s="4" t="s">
        <v>99</v>
      </c>
      <c r="D2045" s="475">
        <v>18.06</v>
      </c>
      <c r="E2045" s="476">
        <v>0</v>
      </c>
      <c r="F2045" s="6">
        <v>0</v>
      </c>
      <c r="G2045" s="6">
        <v>1450.55</v>
      </c>
    </row>
    <row r="2046" ht="15.75" customHeight="1" spans="1:7">
      <c r="A2046" s="4" t="s">
        <v>5207</v>
      </c>
      <c r="B2046" s="5" t="s">
        <v>5208</v>
      </c>
      <c r="C2046" s="4" t="s">
        <v>99</v>
      </c>
      <c r="D2046" s="475">
        <v>18.24</v>
      </c>
      <c r="E2046" s="476">
        <v>0</v>
      </c>
      <c r="F2046" s="6">
        <v>0</v>
      </c>
      <c r="G2046" s="6">
        <v>1435.95</v>
      </c>
    </row>
    <row r="2047" ht="15.75" customHeight="1" spans="1:7">
      <c r="A2047" s="4" t="s">
        <v>5209</v>
      </c>
      <c r="B2047" s="5" t="s">
        <v>5210</v>
      </c>
      <c r="C2047" s="4" t="s">
        <v>99</v>
      </c>
      <c r="D2047" s="475">
        <v>18.44</v>
      </c>
      <c r="E2047" s="476">
        <v>0</v>
      </c>
      <c r="F2047" s="6">
        <v>0</v>
      </c>
      <c r="G2047" s="6">
        <v>1420.74</v>
      </c>
    </row>
    <row r="2048" ht="15.75" customHeight="1" spans="1:7">
      <c r="A2048" s="4" t="s">
        <v>5211</v>
      </c>
      <c r="B2048" s="5" t="s">
        <v>5212</v>
      </c>
      <c r="C2048" s="4" t="s">
        <v>99</v>
      </c>
      <c r="D2048" s="475">
        <v>18.54</v>
      </c>
      <c r="E2048" s="476">
        <v>0</v>
      </c>
      <c r="F2048" s="6">
        <v>0</v>
      </c>
      <c r="G2048" s="6">
        <v>1412.86</v>
      </c>
    </row>
    <row r="2049" ht="15.75" customHeight="1" spans="1:7">
      <c r="A2049" s="4" t="s">
        <v>5213</v>
      </c>
      <c r="B2049" s="5" t="s">
        <v>5214</v>
      </c>
      <c r="C2049" s="4" t="s">
        <v>99</v>
      </c>
      <c r="D2049" s="475">
        <v>40.34</v>
      </c>
      <c r="E2049" s="476">
        <v>0</v>
      </c>
      <c r="F2049" s="6">
        <v>0</v>
      </c>
      <c r="G2049" s="6">
        <v>258.91</v>
      </c>
    </row>
    <row r="2050" ht="15.75" customHeight="1" spans="1:7">
      <c r="A2050" s="4" t="s">
        <v>5215</v>
      </c>
      <c r="B2050" s="5" t="s">
        <v>5216</v>
      </c>
      <c r="C2050" s="4" t="s">
        <v>99</v>
      </c>
      <c r="D2050" s="475">
        <v>41.08</v>
      </c>
      <c r="E2050" s="476">
        <v>0</v>
      </c>
      <c r="F2050" s="6">
        <v>0</v>
      </c>
      <c r="G2050" s="6">
        <v>254.23</v>
      </c>
    </row>
    <row r="2051" ht="15.75" customHeight="1" spans="1:7">
      <c r="A2051" s="4" t="s">
        <v>5217</v>
      </c>
      <c r="B2051" s="5" t="s">
        <v>5218</v>
      </c>
      <c r="C2051" s="4" t="s">
        <v>99</v>
      </c>
      <c r="D2051" s="475">
        <v>41.83</v>
      </c>
      <c r="E2051" s="476">
        <v>0</v>
      </c>
      <c r="F2051" s="6">
        <v>0</v>
      </c>
      <c r="G2051" s="6">
        <v>249.66</v>
      </c>
    </row>
    <row r="2052" ht="15.75" customHeight="1" spans="1:7">
      <c r="A2052" s="4" t="s">
        <v>5219</v>
      </c>
      <c r="B2052" s="5" t="s">
        <v>5220</v>
      </c>
      <c r="C2052" s="4" t="s">
        <v>99</v>
      </c>
      <c r="D2052" s="475">
        <v>42.63</v>
      </c>
      <c r="E2052" s="476">
        <v>0</v>
      </c>
      <c r="F2052" s="6">
        <v>0</v>
      </c>
      <c r="G2052" s="6">
        <v>244.99</v>
      </c>
    </row>
    <row r="2053" ht="15.75" customHeight="1" spans="1:7">
      <c r="A2053" s="4" t="s">
        <v>5221</v>
      </c>
      <c r="B2053" s="5" t="s">
        <v>5222</v>
      </c>
      <c r="C2053" s="4" t="s">
        <v>99</v>
      </c>
      <c r="D2053" s="475">
        <v>43.47</v>
      </c>
      <c r="E2053" s="476">
        <v>0</v>
      </c>
      <c r="F2053" s="6">
        <v>0</v>
      </c>
      <c r="G2053" s="6">
        <v>240.26</v>
      </c>
    </row>
    <row r="2054" ht="15.75" customHeight="1" spans="1:7">
      <c r="A2054" s="4" t="s">
        <v>5223</v>
      </c>
      <c r="B2054" s="5" t="s">
        <v>5224</v>
      </c>
      <c r="C2054" s="4" t="s">
        <v>99</v>
      </c>
      <c r="D2054" s="475">
        <v>43.91</v>
      </c>
      <c r="E2054" s="476">
        <v>0</v>
      </c>
      <c r="F2054" s="6">
        <v>0</v>
      </c>
      <c r="G2054" s="6">
        <v>237.83</v>
      </c>
    </row>
    <row r="2055" ht="30" customHeight="1" spans="1:7">
      <c r="A2055" s="4" t="s">
        <v>5225</v>
      </c>
      <c r="B2055" s="5" t="s">
        <v>5226</v>
      </c>
      <c r="C2055" s="4" t="s">
        <v>99</v>
      </c>
      <c r="D2055" s="475">
        <v>8.45</v>
      </c>
      <c r="E2055" s="476">
        <v>0</v>
      </c>
      <c r="F2055" s="6">
        <v>0</v>
      </c>
      <c r="G2055" s="6">
        <v>529.2</v>
      </c>
    </row>
    <row r="2056" ht="30" customHeight="1" spans="1:7">
      <c r="A2056" s="4" t="s">
        <v>5227</v>
      </c>
      <c r="B2056" s="5" t="s">
        <v>5228</v>
      </c>
      <c r="C2056" s="4" t="s">
        <v>99</v>
      </c>
      <c r="D2056" s="475">
        <v>8.98</v>
      </c>
      <c r="E2056" s="476">
        <v>0</v>
      </c>
      <c r="F2056" s="6">
        <v>0</v>
      </c>
      <c r="G2056" s="6">
        <v>516</v>
      </c>
    </row>
    <row r="2057" ht="30" customHeight="1" spans="1:7">
      <c r="A2057" s="4" t="s">
        <v>5229</v>
      </c>
      <c r="B2057" s="5" t="s">
        <v>5230</v>
      </c>
      <c r="C2057" s="4" t="s">
        <v>99</v>
      </c>
      <c r="D2057" s="475">
        <v>9.42</v>
      </c>
      <c r="E2057" s="476">
        <v>0</v>
      </c>
      <c r="F2057" s="6">
        <v>0</v>
      </c>
      <c r="G2057" s="6">
        <v>504</v>
      </c>
    </row>
    <row r="2058" ht="30" customHeight="1" spans="1:7">
      <c r="A2058" s="4" t="s">
        <v>5231</v>
      </c>
      <c r="B2058" s="5" t="s">
        <v>5232</v>
      </c>
      <c r="C2058" s="4" t="s">
        <v>99</v>
      </c>
      <c r="D2058" s="475">
        <v>9.92</v>
      </c>
      <c r="E2058" s="476">
        <v>0</v>
      </c>
      <c r="F2058" s="6">
        <v>0</v>
      </c>
      <c r="G2058" s="6">
        <v>493.8</v>
      </c>
    </row>
    <row r="2059" ht="30" customHeight="1" spans="1:7">
      <c r="A2059" s="4" t="s">
        <v>5233</v>
      </c>
      <c r="B2059" s="5" t="s">
        <v>5234</v>
      </c>
      <c r="C2059" s="4" t="s">
        <v>99</v>
      </c>
      <c r="D2059" s="475">
        <v>10.65</v>
      </c>
      <c r="E2059" s="476">
        <v>0</v>
      </c>
      <c r="F2059" s="6">
        <v>0</v>
      </c>
      <c r="G2059" s="6">
        <v>483.6</v>
      </c>
    </row>
    <row r="2060" ht="30" customHeight="1" spans="1:7">
      <c r="A2060" s="4" t="s">
        <v>5235</v>
      </c>
      <c r="B2060" s="5" t="s">
        <v>5236</v>
      </c>
      <c r="C2060" s="4" t="s">
        <v>99</v>
      </c>
      <c r="D2060" s="475">
        <v>11.22</v>
      </c>
      <c r="E2060" s="476">
        <v>0</v>
      </c>
      <c r="F2060" s="6">
        <v>0</v>
      </c>
      <c r="G2060" s="6">
        <v>469.2</v>
      </c>
    </row>
    <row r="2061" ht="30" customHeight="1" spans="1:7">
      <c r="A2061" s="4" t="s">
        <v>5237</v>
      </c>
      <c r="B2061" s="5" t="s">
        <v>5238</v>
      </c>
      <c r="C2061" s="4" t="s">
        <v>99</v>
      </c>
      <c r="D2061" s="475">
        <v>11.73</v>
      </c>
      <c r="E2061" s="476">
        <v>0</v>
      </c>
      <c r="F2061" s="6">
        <v>0</v>
      </c>
      <c r="G2061" s="6">
        <v>454.8</v>
      </c>
    </row>
    <row r="2062" ht="30" customHeight="1" spans="1:7">
      <c r="A2062" s="4" t="s">
        <v>5239</v>
      </c>
      <c r="B2062" s="5" t="s">
        <v>5240</v>
      </c>
      <c r="C2062" s="4" t="s">
        <v>99</v>
      </c>
      <c r="D2062" s="475">
        <v>12.51</v>
      </c>
      <c r="E2062" s="476">
        <v>0</v>
      </c>
      <c r="F2062" s="6">
        <v>0</v>
      </c>
      <c r="G2062" s="6">
        <v>429.6</v>
      </c>
    </row>
    <row r="2063" ht="30" customHeight="1" spans="1:7">
      <c r="A2063" s="4" t="s">
        <v>5241</v>
      </c>
      <c r="B2063" s="5" t="s">
        <v>5242</v>
      </c>
      <c r="C2063" s="4" t="s">
        <v>99</v>
      </c>
      <c r="D2063" s="475">
        <v>13.64</v>
      </c>
      <c r="E2063" s="476">
        <v>0</v>
      </c>
      <c r="F2063" s="6">
        <v>0</v>
      </c>
      <c r="G2063" s="6">
        <v>404.4</v>
      </c>
    </row>
    <row r="2064" ht="30" customHeight="1" spans="1:7">
      <c r="A2064" s="4" t="s">
        <v>5243</v>
      </c>
      <c r="B2064" s="5" t="s">
        <v>5244</v>
      </c>
      <c r="C2064" s="4" t="s">
        <v>99</v>
      </c>
      <c r="D2064" s="475">
        <v>14.53</v>
      </c>
      <c r="E2064" s="476">
        <v>0</v>
      </c>
      <c r="F2064" s="6">
        <v>0</v>
      </c>
      <c r="G2064" s="6">
        <v>379.2</v>
      </c>
    </row>
    <row r="2065" ht="30" customHeight="1" spans="1:7">
      <c r="A2065" s="4" t="s">
        <v>5245</v>
      </c>
      <c r="B2065" s="5" t="s">
        <v>5246</v>
      </c>
      <c r="C2065" s="4" t="s">
        <v>99</v>
      </c>
      <c r="D2065" s="475">
        <v>15.54</v>
      </c>
      <c r="E2065" s="476">
        <v>0</v>
      </c>
      <c r="F2065" s="6">
        <v>0</v>
      </c>
      <c r="G2065" s="6">
        <v>352.2</v>
      </c>
    </row>
    <row r="2066" ht="30" customHeight="1" spans="1:7">
      <c r="A2066" s="4" t="s">
        <v>5247</v>
      </c>
      <c r="B2066" s="5" t="s">
        <v>5248</v>
      </c>
      <c r="C2066" s="4" t="s">
        <v>99</v>
      </c>
      <c r="D2066" s="475">
        <v>17.63</v>
      </c>
      <c r="E2066" s="476">
        <v>0</v>
      </c>
      <c r="F2066" s="6">
        <v>0</v>
      </c>
      <c r="G2066" s="6">
        <v>300</v>
      </c>
    </row>
    <row r="2067" ht="30" customHeight="1" spans="1:7">
      <c r="A2067" s="4" t="s">
        <v>5249</v>
      </c>
      <c r="B2067" s="5" t="s">
        <v>5250</v>
      </c>
      <c r="C2067" s="4" t="s">
        <v>99</v>
      </c>
      <c r="D2067" s="475">
        <v>20.55</v>
      </c>
      <c r="E2067" s="476">
        <v>0</v>
      </c>
      <c r="F2067" s="6">
        <v>0</v>
      </c>
      <c r="G2067" s="6">
        <v>250.2</v>
      </c>
    </row>
    <row r="2068" ht="30" customHeight="1" spans="1:7">
      <c r="A2068" s="4" t="s">
        <v>5251</v>
      </c>
      <c r="B2068" s="5" t="s">
        <v>5252</v>
      </c>
      <c r="C2068" s="4" t="s">
        <v>99</v>
      </c>
      <c r="D2068" s="475">
        <v>23.2</v>
      </c>
      <c r="E2068" s="476">
        <v>0</v>
      </c>
      <c r="F2068" s="6">
        <v>0</v>
      </c>
      <c r="G2068" s="6">
        <v>214.2</v>
      </c>
    </row>
    <row r="2069" ht="30" customHeight="1" spans="1:7">
      <c r="A2069" s="4" t="s">
        <v>5253</v>
      </c>
      <c r="B2069" s="5" t="s">
        <v>5254</v>
      </c>
      <c r="C2069" s="4" t="s">
        <v>99</v>
      </c>
      <c r="D2069" s="475">
        <v>26.57</v>
      </c>
      <c r="E2069" s="476">
        <v>0</v>
      </c>
      <c r="F2069" s="6">
        <v>0</v>
      </c>
      <c r="G2069" s="6">
        <v>181.2</v>
      </c>
    </row>
    <row r="2070" ht="30" customHeight="1" spans="1:7">
      <c r="A2070" s="4" t="s">
        <v>5255</v>
      </c>
      <c r="B2070" s="5" t="s">
        <v>5256</v>
      </c>
      <c r="C2070" s="4" t="s">
        <v>99</v>
      </c>
      <c r="D2070" s="475">
        <v>30.07</v>
      </c>
      <c r="E2070" s="476">
        <v>0</v>
      </c>
      <c r="F2070" s="6">
        <v>0</v>
      </c>
      <c r="G2070" s="6">
        <v>156</v>
      </c>
    </row>
    <row r="2071" ht="30" customHeight="1" spans="1:7">
      <c r="A2071" s="4" t="s">
        <v>5257</v>
      </c>
      <c r="B2071" s="5" t="s">
        <v>5258</v>
      </c>
      <c r="C2071" s="4" t="s">
        <v>99</v>
      </c>
      <c r="D2071" s="475">
        <v>34.29</v>
      </c>
      <c r="E2071" s="476">
        <v>0</v>
      </c>
      <c r="F2071" s="6">
        <v>0</v>
      </c>
      <c r="G2071" s="6">
        <v>135</v>
      </c>
    </row>
    <row r="2072" ht="30" customHeight="1" spans="1:7">
      <c r="A2072" s="4" t="s">
        <v>5259</v>
      </c>
      <c r="B2072" s="5" t="s">
        <v>5260</v>
      </c>
      <c r="C2072" s="4" t="s">
        <v>99</v>
      </c>
      <c r="D2072" s="475">
        <v>38.87</v>
      </c>
      <c r="E2072" s="476">
        <v>0</v>
      </c>
      <c r="F2072" s="6">
        <v>0</v>
      </c>
      <c r="G2072" s="6">
        <v>116.4</v>
      </c>
    </row>
    <row r="2073" ht="30" customHeight="1" spans="1:7">
      <c r="A2073" s="4" t="s">
        <v>5261</v>
      </c>
      <c r="B2073" s="5" t="s">
        <v>5262</v>
      </c>
      <c r="C2073" s="4" t="s">
        <v>99</v>
      </c>
      <c r="D2073" s="475">
        <v>43.01</v>
      </c>
      <c r="E2073" s="476">
        <v>0</v>
      </c>
      <c r="F2073" s="6">
        <v>0</v>
      </c>
      <c r="G2073" s="6">
        <v>103.8</v>
      </c>
    </row>
    <row r="2074" ht="30" customHeight="1" spans="1:7">
      <c r="A2074" s="4" t="s">
        <v>5263</v>
      </c>
      <c r="B2074" s="5" t="s">
        <v>5264</v>
      </c>
      <c r="C2074" s="4" t="s">
        <v>99</v>
      </c>
      <c r="D2074" s="475">
        <v>48.76</v>
      </c>
      <c r="E2074" s="476">
        <v>0</v>
      </c>
      <c r="F2074" s="6">
        <v>0</v>
      </c>
      <c r="G2074" s="6">
        <v>90</v>
      </c>
    </row>
    <row r="2075" ht="30" customHeight="1" spans="1:7">
      <c r="A2075" s="4" t="s">
        <v>5265</v>
      </c>
      <c r="B2075" s="5" t="s">
        <v>5266</v>
      </c>
      <c r="C2075" s="4" t="s">
        <v>99</v>
      </c>
      <c r="D2075" s="475">
        <v>53.97</v>
      </c>
      <c r="E2075" s="476">
        <v>0</v>
      </c>
      <c r="F2075" s="6">
        <v>0</v>
      </c>
      <c r="G2075" s="6">
        <v>81</v>
      </c>
    </row>
    <row r="2076" ht="30" customHeight="1" spans="1:7">
      <c r="A2076" s="4" t="s">
        <v>5267</v>
      </c>
      <c r="B2076" s="5" t="s">
        <v>5268</v>
      </c>
      <c r="C2076" s="4" t="s">
        <v>99</v>
      </c>
      <c r="D2076" s="475">
        <v>60.01</v>
      </c>
      <c r="E2076" s="476">
        <v>0</v>
      </c>
      <c r="F2076" s="6">
        <v>0</v>
      </c>
      <c r="G2076" s="6">
        <v>72</v>
      </c>
    </row>
    <row r="2077" ht="30" customHeight="1" spans="1:7">
      <c r="A2077" s="4" t="s">
        <v>5269</v>
      </c>
      <c r="B2077" s="5" t="s">
        <v>5270</v>
      </c>
      <c r="C2077" s="4" t="s">
        <v>99</v>
      </c>
      <c r="D2077" s="475">
        <v>67.76</v>
      </c>
      <c r="E2077" s="476">
        <v>0</v>
      </c>
      <c r="F2077" s="6">
        <v>0</v>
      </c>
      <c r="G2077" s="6">
        <v>63</v>
      </c>
    </row>
    <row r="2078" ht="30" customHeight="1" spans="1:7">
      <c r="A2078" s="4" t="s">
        <v>5271</v>
      </c>
      <c r="B2078" s="5" t="s">
        <v>5272</v>
      </c>
      <c r="C2078" s="4" t="s">
        <v>99</v>
      </c>
      <c r="D2078" s="475">
        <v>71.21</v>
      </c>
      <c r="E2078" s="476">
        <v>0</v>
      </c>
      <c r="F2078" s="6">
        <v>0</v>
      </c>
      <c r="G2078" s="6">
        <v>60</v>
      </c>
    </row>
    <row r="2079" ht="30" customHeight="1" spans="1:7">
      <c r="A2079" s="4" t="s">
        <v>5273</v>
      </c>
      <c r="B2079" s="5" t="s">
        <v>5274</v>
      </c>
      <c r="C2079" s="4" t="s">
        <v>99</v>
      </c>
      <c r="D2079" s="475">
        <v>6.79</v>
      </c>
      <c r="E2079" s="476">
        <v>0</v>
      </c>
      <c r="F2079" s="6">
        <v>0</v>
      </c>
      <c r="G2079" s="6">
        <v>567</v>
      </c>
    </row>
    <row r="2080" ht="30" customHeight="1" spans="1:7">
      <c r="A2080" s="4" t="s">
        <v>5275</v>
      </c>
      <c r="B2080" s="5" t="s">
        <v>5276</v>
      </c>
      <c r="C2080" s="4" t="s">
        <v>99</v>
      </c>
      <c r="D2080" s="475">
        <v>7.21</v>
      </c>
      <c r="E2080" s="476">
        <v>0</v>
      </c>
      <c r="F2080" s="6">
        <v>0</v>
      </c>
      <c r="G2080" s="6">
        <v>555</v>
      </c>
    </row>
    <row r="2081" ht="30" customHeight="1" spans="1:7">
      <c r="A2081" s="4" t="s">
        <v>5277</v>
      </c>
      <c r="B2081" s="5" t="s">
        <v>5278</v>
      </c>
      <c r="C2081" s="4" t="s">
        <v>99</v>
      </c>
      <c r="D2081" s="475">
        <v>7.72</v>
      </c>
      <c r="E2081" s="476">
        <v>0</v>
      </c>
      <c r="F2081" s="6">
        <v>0</v>
      </c>
      <c r="G2081" s="6">
        <v>542.4</v>
      </c>
    </row>
    <row r="2082" ht="30" customHeight="1" spans="1:7">
      <c r="A2082" s="4" t="s">
        <v>5279</v>
      </c>
      <c r="B2082" s="5" t="s">
        <v>5280</v>
      </c>
      <c r="C2082" s="4" t="s">
        <v>99</v>
      </c>
      <c r="D2082" s="475">
        <v>6.68</v>
      </c>
      <c r="E2082" s="476">
        <v>0</v>
      </c>
      <c r="F2082" s="6">
        <v>0</v>
      </c>
      <c r="G2082" s="6">
        <v>579</v>
      </c>
    </row>
    <row r="2083" ht="30" customHeight="1" spans="1:7">
      <c r="A2083" s="4" t="s">
        <v>5281</v>
      </c>
      <c r="B2083" s="5" t="s">
        <v>5282</v>
      </c>
      <c r="C2083" s="4" t="s">
        <v>99</v>
      </c>
      <c r="D2083" s="475">
        <v>9.75</v>
      </c>
      <c r="E2083" s="476">
        <v>0</v>
      </c>
      <c r="F2083" s="6">
        <v>0</v>
      </c>
      <c r="G2083" s="6">
        <v>107.4</v>
      </c>
    </row>
    <row r="2084" ht="30" customHeight="1" spans="1:7">
      <c r="A2084" s="4" t="s">
        <v>5283</v>
      </c>
      <c r="B2084" s="5" t="s">
        <v>5284</v>
      </c>
      <c r="C2084" s="4" t="s">
        <v>99</v>
      </c>
      <c r="D2084" s="475">
        <v>10.45</v>
      </c>
      <c r="E2084" s="476">
        <v>0</v>
      </c>
      <c r="F2084" s="6">
        <v>0</v>
      </c>
      <c r="G2084" s="6">
        <v>100.8</v>
      </c>
    </row>
    <row r="2085" ht="30" customHeight="1" spans="1:7">
      <c r="A2085" s="4" t="s">
        <v>5285</v>
      </c>
      <c r="B2085" s="5" t="s">
        <v>5286</v>
      </c>
      <c r="C2085" s="4" t="s">
        <v>99</v>
      </c>
      <c r="D2085" s="475">
        <v>11.33</v>
      </c>
      <c r="E2085" s="476">
        <v>0</v>
      </c>
      <c r="F2085" s="6">
        <v>0</v>
      </c>
      <c r="G2085" s="6">
        <v>94.2</v>
      </c>
    </row>
    <row r="2086" ht="30" customHeight="1" spans="1:7">
      <c r="A2086" s="4" t="s">
        <v>5287</v>
      </c>
      <c r="B2086" s="5" t="s">
        <v>5288</v>
      </c>
      <c r="C2086" s="4" t="s">
        <v>99</v>
      </c>
      <c r="D2086" s="475">
        <v>12.26</v>
      </c>
      <c r="E2086" s="476">
        <v>0</v>
      </c>
      <c r="F2086" s="6">
        <v>0</v>
      </c>
      <c r="G2086" s="6">
        <v>87.6</v>
      </c>
    </row>
    <row r="2087" ht="30" customHeight="1" spans="1:7">
      <c r="A2087" s="4" t="s">
        <v>5289</v>
      </c>
      <c r="B2087" s="5" t="s">
        <v>5290</v>
      </c>
      <c r="C2087" s="4" t="s">
        <v>99</v>
      </c>
      <c r="D2087" s="475">
        <v>13.43</v>
      </c>
      <c r="E2087" s="476">
        <v>0</v>
      </c>
      <c r="F2087" s="6">
        <v>0</v>
      </c>
      <c r="G2087" s="6">
        <v>81.6</v>
      </c>
    </row>
    <row r="2088" ht="30" customHeight="1" spans="1:7">
      <c r="A2088" s="4" t="s">
        <v>5291</v>
      </c>
      <c r="B2088" s="5" t="s">
        <v>5292</v>
      </c>
      <c r="C2088" s="4" t="s">
        <v>99</v>
      </c>
      <c r="D2088" s="475">
        <v>14.72</v>
      </c>
      <c r="E2088" s="476">
        <v>0</v>
      </c>
      <c r="F2088" s="6">
        <v>0</v>
      </c>
      <c r="G2088" s="6">
        <v>75</v>
      </c>
    </row>
    <row r="2089" ht="30" customHeight="1" spans="1:7">
      <c r="A2089" s="4" t="s">
        <v>5293</v>
      </c>
      <c r="B2089" s="5" t="s">
        <v>5294</v>
      </c>
      <c r="C2089" s="4" t="s">
        <v>99</v>
      </c>
      <c r="D2089" s="475">
        <v>18.42</v>
      </c>
      <c r="E2089" s="476">
        <v>0</v>
      </c>
      <c r="F2089" s="6">
        <v>0</v>
      </c>
      <c r="G2089" s="6">
        <v>60</v>
      </c>
    </row>
    <row r="2090" ht="30" customHeight="1" spans="1:7">
      <c r="A2090" s="4" t="s">
        <v>5295</v>
      </c>
      <c r="B2090" s="5" t="s">
        <v>5296</v>
      </c>
      <c r="C2090" s="4" t="s">
        <v>99</v>
      </c>
      <c r="D2090" s="475">
        <v>7.38</v>
      </c>
      <c r="E2090" s="476">
        <v>0</v>
      </c>
      <c r="F2090" s="6">
        <v>0</v>
      </c>
      <c r="G2090" s="6">
        <v>135.6</v>
      </c>
    </row>
    <row r="2091" ht="30" customHeight="1" spans="1:7">
      <c r="A2091" s="4" t="s">
        <v>5297</v>
      </c>
      <c r="B2091" s="5" t="s">
        <v>5298</v>
      </c>
      <c r="C2091" s="4" t="s">
        <v>99</v>
      </c>
      <c r="D2091" s="475">
        <v>7.82</v>
      </c>
      <c r="E2091" s="476">
        <v>0</v>
      </c>
      <c r="F2091" s="6">
        <v>0</v>
      </c>
      <c r="G2091" s="6">
        <v>129</v>
      </c>
    </row>
    <row r="2092" ht="30" customHeight="1" spans="1:7">
      <c r="A2092" s="4" t="s">
        <v>5299</v>
      </c>
      <c r="B2092" s="5" t="s">
        <v>5300</v>
      </c>
      <c r="C2092" s="4" t="s">
        <v>99</v>
      </c>
      <c r="D2092" s="475">
        <v>8.75</v>
      </c>
      <c r="E2092" s="476">
        <v>0</v>
      </c>
      <c r="F2092" s="6">
        <v>0</v>
      </c>
      <c r="G2092" s="6">
        <v>117</v>
      </c>
    </row>
    <row r="2093" ht="15.75" customHeight="1" spans="1:7">
      <c r="A2093" s="4" t="s">
        <v>5301</v>
      </c>
      <c r="B2093" s="5" t="s">
        <v>5302</v>
      </c>
      <c r="C2093" s="4" t="s">
        <v>99</v>
      </c>
      <c r="D2093" s="475">
        <v>7.21</v>
      </c>
      <c r="E2093" s="476">
        <v>0</v>
      </c>
      <c r="F2093" s="6">
        <v>0</v>
      </c>
      <c r="G2093" s="6">
        <v>138</v>
      </c>
    </row>
    <row r="2094" ht="30" customHeight="1" spans="1:7">
      <c r="A2094" s="4" t="s">
        <v>5303</v>
      </c>
      <c r="B2094" s="5" t="s">
        <v>5304</v>
      </c>
      <c r="C2094" s="4" t="s">
        <v>99</v>
      </c>
      <c r="D2094" s="475">
        <v>7.34</v>
      </c>
      <c r="E2094" s="476">
        <v>0</v>
      </c>
      <c r="F2094" s="6">
        <v>0</v>
      </c>
      <c r="G2094" s="6">
        <v>228</v>
      </c>
    </row>
    <row r="2095" ht="30" customHeight="1" spans="1:7">
      <c r="A2095" s="4" t="s">
        <v>5305</v>
      </c>
      <c r="B2095" s="5" t="s">
        <v>5306</v>
      </c>
      <c r="C2095" s="4" t="s">
        <v>99</v>
      </c>
      <c r="D2095" s="475">
        <v>8.23</v>
      </c>
      <c r="E2095" s="476">
        <v>0</v>
      </c>
      <c r="F2095" s="6">
        <v>0</v>
      </c>
      <c r="G2095" s="6">
        <v>213</v>
      </c>
    </row>
    <row r="2096" ht="30" customHeight="1" spans="1:7">
      <c r="A2096" s="4" t="s">
        <v>5307</v>
      </c>
      <c r="B2096" s="5" t="s">
        <v>5308</v>
      </c>
      <c r="C2096" s="4" t="s">
        <v>99</v>
      </c>
      <c r="D2096" s="475">
        <v>8.98</v>
      </c>
      <c r="E2096" s="476">
        <v>0</v>
      </c>
      <c r="F2096" s="6">
        <v>0</v>
      </c>
      <c r="G2096" s="6">
        <v>196.8</v>
      </c>
    </row>
    <row r="2097" ht="30" customHeight="1" spans="1:7">
      <c r="A2097" s="4" t="s">
        <v>5309</v>
      </c>
      <c r="B2097" s="5" t="s">
        <v>5310</v>
      </c>
      <c r="C2097" s="4" t="s">
        <v>99</v>
      </c>
      <c r="D2097" s="475">
        <v>9.93</v>
      </c>
      <c r="E2097" s="476">
        <v>0</v>
      </c>
      <c r="F2097" s="6">
        <v>0</v>
      </c>
      <c r="G2097" s="6">
        <v>179.4</v>
      </c>
    </row>
    <row r="2098" ht="30" customHeight="1" spans="1:7">
      <c r="A2098" s="4" t="s">
        <v>5311</v>
      </c>
      <c r="B2098" s="5" t="s">
        <v>5312</v>
      </c>
      <c r="C2098" s="4" t="s">
        <v>99</v>
      </c>
      <c r="D2098" s="475">
        <v>11.1</v>
      </c>
      <c r="E2098" s="476">
        <v>0</v>
      </c>
      <c r="F2098" s="6">
        <v>0</v>
      </c>
      <c r="G2098" s="6">
        <v>162</v>
      </c>
    </row>
    <row r="2099" ht="30" customHeight="1" spans="1:7">
      <c r="A2099" s="4" t="s">
        <v>5313</v>
      </c>
      <c r="B2099" s="5" t="s">
        <v>5314</v>
      </c>
      <c r="C2099" s="4" t="s">
        <v>99</v>
      </c>
      <c r="D2099" s="475">
        <v>12.96</v>
      </c>
      <c r="E2099" s="476">
        <v>0</v>
      </c>
      <c r="F2099" s="6">
        <v>0</v>
      </c>
      <c r="G2099" s="6">
        <v>138</v>
      </c>
    </row>
    <row r="2100" ht="30" customHeight="1" spans="1:7">
      <c r="A2100" s="4" t="s">
        <v>5315</v>
      </c>
      <c r="B2100" s="5" t="s">
        <v>5316</v>
      </c>
      <c r="C2100" s="4" t="s">
        <v>99</v>
      </c>
      <c r="D2100" s="475">
        <v>16.51</v>
      </c>
      <c r="E2100" s="476">
        <v>0</v>
      </c>
      <c r="F2100" s="6">
        <v>0</v>
      </c>
      <c r="G2100" s="6">
        <v>106.8</v>
      </c>
    </row>
    <row r="2101" ht="30" customHeight="1" spans="1:7">
      <c r="A2101" s="4" t="s">
        <v>5317</v>
      </c>
      <c r="B2101" s="5" t="s">
        <v>5318</v>
      </c>
      <c r="C2101" s="4" t="s">
        <v>99</v>
      </c>
      <c r="D2101" s="475">
        <v>20.65</v>
      </c>
      <c r="E2101" s="476">
        <v>0</v>
      </c>
      <c r="F2101" s="6">
        <v>0</v>
      </c>
      <c r="G2101" s="6">
        <v>84</v>
      </c>
    </row>
    <row r="2102" ht="30" customHeight="1" spans="1:7">
      <c r="A2102" s="4" t="s">
        <v>5319</v>
      </c>
      <c r="B2102" s="5" t="s">
        <v>5320</v>
      </c>
      <c r="C2102" s="4" t="s">
        <v>99</v>
      </c>
      <c r="D2102" s="475">
        <v>25.93</v>
      </c>
      <c r="E2102" s="476">
        <v>0</v>
      </c>
      <c r="F2102" s="6">
        <v>0</v>
      </c>
      <c r="G2102" s="6">
        <v>66</v>
      </c>
    </row>
    <row r="2103" ht="30" customHeight="1" spans="1:7">
      <c r="A2103" s="4" t="s">
        <v>5321</v>
      </c>
      <c r="B2103" s="5" t="s">
        <v>5322</v>
      </c>
      <c r="C2103" s="4" t="s">
        <v>99</v>
      </c>
      <c r="D2103" s="475">
        <v>31.5</v>
      </c>
      <c r="E2103" s="476">
        <v>0</v>
      </c>
      <c r="F2103" s="6">
        <v>0</v>
      </c>
      <c r="G2103" s="6">
        <v>54</v>
      </c>
    </row>
    <row r="2104" ht="30" customHeight="1" spans="1:7">
      <c r="A2104" s="4" t="s">
        <v>5323</v>
      </c>
      <c r="B2104" s="5" t="s">
        <v>5324</v>
      </c>
      <c r="C2104" s="4" t="s">
        <v>99</v>
      </c>
      <c r="D2104" s="475">
        <v>39.26</v>
      </c>
      <c r="E2104" s="476">
        <v>0</v>
      </c>
      <c r="F2104" s="6">
        <v>0</v>
      </c>
      <c r="G2104" s="6">
        <v>43.2</v>
      </c>
    </row>
    <row r="2105" ht="30" customHeight="1" spans="1:7">
      <c r="A2105" s="4" t="s">
        <v>5325</v>
      </c>
      <c r="B2105" s="5" t="s">
        <v>5326</v>
      </c>
      <c r="C2105" s="4" t="s">
        <v>99</v>
      </c>
      <c r="D2105" s="475">
        <v>46.97</v>
      </c>
      <c r="E2105" s="476">
        <v>0</v>
      </c>
      <c r="F2105" s="6">
        <v>0</v>
      </c>
      <c r="G2105" s="6">
        <v>36</v>
      </c>
    </row>
    <row r="2106" ht="30" customHeight="1" spans="1:7">
      <c r="A2106" s="4" t="s">
        <v>5327</v>
      </c>
      <c r="B2106" s="5" t="s">
        <v>5328</v>
      </c>
      <c r="C2106" s="4" t="s">
        <v>99</v>
      </c>
      <c r="D2106" s="475">
        <v>58</v>
      </c>
      <c r="E2106" s="476">
        <v>0</v>
      </c>
      <c r="F2106" s="6">
        <v>0</v>
      </c>
      <c r="G2106" s="6">
        <v>33</v>
      </c>
    </row>
    <row r="2107" ht="30" customHeight="1" spans="1:7">
      <c r="A2107" s="4" t="s">
        <v>5329</v>
      </c>
      <c r="B2107" s="5" t="s">
        <v>5330</v>
      </c>
      <c r="C2107" s="4" t="s">
        <v>99</v>
      </c>
      <c r="D2107" s="475">
        <v>6.08</v>
      </c>
      <c r="E2107" s="476">
        <v>0</v>
      </c>
      <c r="F2107" s="6">
        <v>0</v>
      </c>
      <c r="G2107" s="6">
        <v>252</v>
      </c>
    </row>
    <row r="2108" ht="30" customHeight="1" spans="1:7">
      <c r="A2108" s="4" t="s">
        <v>5331</v>
      </c>
      <c r="B2108" s="5" t="s">
        <v>5332</v>
      </c>
      <c r="C2108" s="4" t="s">
        <v>99</v>
      </c>
      <c r="D2108" s="475">
        <v>6.45</v>
      </c>
      <c r="E2108" s="476">
        <v>0</v>
      </c>
      <c r="F2108" s="6">
        <v>0</v>
      </c>
      <c r="G2108" s="6">
        <v>246</v>
      </c>
    </row>
    <row r="2109" ht="30" customHeight="1" spans="1:7">
      <c r="A2109" s="4" t="s">
        <v>5333</v>
      </c>
      <c r="B2109" s="5" t="s">
        <v>5334</v>
      </c>
      <c r="C2109" s="4" t="s">
        <v>99</v>
      </c>
      <c r="D2109" s="475">
        <v>6.82</v>
      </c>
      <c r="E2109" s="476">
        <v>0</v>
      </c>
      <c r="F2109" s="6">
        <v>0</v>
      </c>
      <c r="G2109" s="6">
        <v>240</v>
      </c>
    </row>
    <row r="2110" ht="15.75" customHeight="1" spans="1:7">
      <c r="A2110" s="4" t="s">
        <v>5335</v>
      </c>
      <c r="B2110" s="5" t="s">
        <v>5336</v>
      </c>
      <c r="C2110" s="4" t="s">
        <v>99</v>
      </c>
      <c r="D2110" s="475">
        <v>5.63</v>
      </c>
      <c r="E2110" s="476">
        <v>0</v>
      </c>
      <c r="F2110" s="6">
        <v>0</v>
      </c>
      <c r="G2110" s="6">
        <v>258</v>
      </c>
    </row>
    <row r="2111" ht="30" customHeight="1" spans="1:7">
      <c r="A2111" s="4" t="s">
        <v>5337</v>
      </c>
      <c r="B2111" s="5" t="s">
        <v>5338</v>
      </c>
      <c r="C2111" s="4" t="s">
        <v>99</v>
      </c>
      <c r="D2111" s="475">
        <v>8.38</v>
      </c>
      <c r="E2111" s="476">
        <v>0</v>
      </c>
      <c r="F2111" s="6">
        <v>0</v>
      </c>
      <c r="G2111" s="6">
        <v>346.2</v>
      </c>
    </row>
    <row r="2112" ht="30" customHeight="1" spans="1:7">
      <c r="A2112" s="4" t="s">
        <v>5339</v>
      </c>
      <c r="B2112" s="5" t="s">
        <v>5340</v>
      </c>
      <c r="C2112" s="4" t="s">
        <v>99</v>
      </c>
      <c r="D2112" s="475">
        <v>9.03</v>
      </c>
      <c r="E2112" s="476">
        <v>0</v>
      </c>
      <c r="F2112" s="6">
        <v>0</v>
      </c>
      <c r="G2112" s="6">
        <v>325.2</v>
      </c>
    </row>
    <row r="2113" ht="30" customHeight="1" spans="1:7">
      <c r="A2113" s="4" t="s">
        <v>5341</v>
      </c>
      <c r="B2113" s="5" t="s">
        <v>5342</v>
      </c>
      <c r="C2113" s="4" t="s">
        <v>99</v>
      </c>
      <c r="D2113" s="475">
        <v>9.74</v>
      </c>
      <c r="E2113" s="476">
        <v>0</v>
      </c>
      <c r="F2113" s="6">
        <v>0</v>
      </c>
      <c r="G2113" s="6">
        <v>307.2</v>
      </c>
    </row>
    <row r="2114" ht="30" customHeight="1" spans="1:7">
      <c r="A2114" s="4" t="s">
        <v>5343</v>
      </c>
      <c r="B2114" s="5" t="s">
        <v>5344</v>
      </c>
      <c r="C2114" s="4" t="s">
        <v>99</v>
      </c>
      <c r="D2114" s="475">
        <v>10.47</v>
      </c>
      <c r="E2114" s="476">
        <v>0</v>
      </c>
      <c r="F2114" s="6">
        <v>0</v>
      </c>
      <c r="G2114" s="6">
        <v>290.4</v>
      </c>
    </row>
    <row r="2115" ht="30" customHeight="1" spans="1:7">
      <c r="A2115" s="4" t="s">
        <v>5345</v>
      </c>
      <c r="B2115" s="5" t="s">
        <v>5346</v>
      </c>
      <c r="C2115" s="4" t="s">
        <v>99</v>
      </c>
      <c r="D2115" s="475">
        <v>11.55</v>
      </c>
      <c r="E2115" s="476">
        <v>0</v>
      </c>
      <c r="F2115" s="6">
        <v>0</v>
      </c>
      <c r="G2115" s="6">
        <v>274.8</v>
      </c>
    </row>
    <row r="2116" ht="30" customHeight="1" spans="1:7">
      <c r="A2116" s="4" t="s">
        <v>5347</v>
      </c>
      <c r="B2116" s="5" t="s">
        <v>5348</v>
      </c>
      <c r="C2116" s="4" t="s">
        <v>99</v>
      </c>
      <c r="D2116" s="475">
        <v>12.53</v>
      </c>
      <c r="E2116" s="476">
        <v>0</v>
      </c>
      <c r="F2116" s="6">
        <v>0</v>
      </c>
      <c r="G2116" s="6">
        <v>253.2</v>
      </c>
    </row>
    <row r="2117" ht="30" customHeight="1" spans="1:7">
      <c r="A2117" s="4" t="s">
        <v>5349</v>
      </c>
      <c r="B2117" s="5" t="s">
        <v>5350</v>
      </c>
      <c r="C2117" s="4" t="s">
        <v>99</v>
      </c>
      <c r="D2117" s="475">
        <v>13.83</v>
      </c>
      <c r="E2117" s="476">
        <v>0</v>
      </c>
      <c r="F2117" s="6">
        <v>0</v>
      </c>
      <c r="G2117" s="6">
        <v>228.6</v>
      </c>
    </row>
    <row r="2118" ht="30" customHeight="1" spans="1:7">
      <c r="A2118" s="4" t="s">
        <v>5351</v>
      </c>
      <c r="B2118" s="5" t="s">
        <v>5352</v>
      </c>
      <c r="C2118" s="4" t="s">
        <v>99</v>
      </c>
      <c r="D2118" s="475">
        <v>15.43</v>
      </c>
      <c r="E2118" s="476">
        <v>0</v>
      </c>
      <c r="F2118" s="6">
        <v>0</v>
      </c>
      <c r="G2118" s="6">
        <v>202.2</v>
      </c>
    </row>
    <row r="2119" ht="30" customHeight="1" spans="1:7">
      <c r="A2119" s="4" t="s">
        <v>5353</v>
      </c>
      <c r="B2119" s="5" t="s">
        <v>5354</v>
      </c>
      <c r="C2119" s="4" t="s">
        <v>99</v>
      </c>
      <c r="D2119" s="475">
        <v>18.97</v>
      </c>
      <c r="E2119" s="476">
        <v>0</v>
      </c>
      <c r="F2119" s="6">
        <v>0</v>
      </c>
      <c r="G2119" s="6">
        <v>160.8</v>
      </c>
    </row>
    <row r="2120" ht="30" customHeight="1" spans="1:7">
      <c r="A2120" s="4" t="s">
        <v>5355</v>
      </c>
      <c r="B2120" s="5" t="s">
        <v>5356</v>
      </c>
      <c r="C2120" s="4" t="s">
        <v>99</v>
      </c>
      <c r="D2120" s="475">
        <v>22.5</v>
      </c>
      <c r="E2120" s="476">
        <v>0</v>
      </c>
      <c r="F2120" s="6">
        <v>0</v>
      </c>
      <c r="G2120" s="6">
        <v>132</v>
      </c>
    </row>
    <row r="2121" ht="30" customHeight="1" spans="1:7">
      <c r="A2121" s="4" t="s">
        <v>5357</v>
      </c>
      <c r="B2121" s="5" t="s">
        <v>5358</v>
      </c>
      <c r="C2121" s="4" t="s">
        <v>99</v>
      </c>
      <c r="D2121" s="475">
        <v>26.79</v>
      </c>
      <c r="E2121" s="476">
        <v>0</v>
      </c>
      <c r="F2121" s="6">
        <v>0</v>
      </c>
      <c r="G2121" s="6">
        <v>108</v>
      </c>
    </row>
    <row r="2122" ht="30" customHeight="1" spans="1:7">
      <c r="A2122" s="4" t="s">
        <v>5359</v>
      </c>
      <c r="B2122" s="5" t="s">
        <v>5360</v>
      </c>
      <c r="C2122" s="4" t="s">
        <v>99</v>
      </c>
      <c r="D2122" s="475">
        <v>31.5</v>
      </c>
      <c r="E2122" s="476">
        <v>0</v>
      </c>
      <c r="F2122" s="6">
        <v>0</v>
      </c>
      <c r="G2122" s="6">
        <v>90</v>
      </c>
    </row>
    <row r="2123" ht="30" customHeight="1" spans="1:7">
      <c r="A2123" s="4" t="s">
        <v>5361</v>
      </c>
      <c r="B2123" s="5" t="s">
        <v>5362</v>
      </c>
      <c r="C2123" s="4" t="s">
        <v>99</v>
      </c>
      <c r="D2123" s="475">
        <v>37.47</v>
      </c>
      <c r="E2123" s="476">
        <v>0</v>
      </c>
      <c r="F2123" s="6">
        <v>0</v>
      </c>
      <c r="G2123" s="6">
        <v>75</v>
      </c>
    </row>
    <row r="2124" ht="30" customHeight="1" spans="1:7">
      <c r="A2124" s="4" t="s">
        <v>5363</v>
      </c>
      <c r="B2124" s="5" t="s">
        <v>5364</v>
      </c>
      <c r="C2124" s="4" t="s">
        <v>99</v>
      </c>
      <c r="D2124" s="475">
        <v>43.99</v>
      </c>
      <c r="E2124" s="476">
        <v>0</v>
      </c>
      <c r="F2124" s="6">
        <v>0</v>
      </c>
      <c r="G2124" s="6">
        <v>63</v>
      </c>
    </row>
    <row r="2125" ht="30" customHeight="1" spans="1:7">
      <c r="A2125" s="4" t="s">
        <v>5365</v>
      </c>
      <c r="B2125" s="5" t="s">
        <v>5366</v>
      </c>
      <c r="C2125" s="4" t="s">
        <v>99</v>
      </c>
      <c r="D2125" s="475">
        <v>49.82</v>
      </c>
      <c r="E2125" s="476">
        <v>0</v>
      </c>
      <c r="F2125" s="6">
        <v>0</v>
      </c>
      <c r="G2125" s="6">
        <v>55.2</v>
      </c>
    </row>
    <row r="2126" ht="30" customHeight="1" spans="1:7">
      <c r="A2126" s="4" t="s">
        <v>5367</v>
      </c>
      <c r="B2126" s="5" t="s">
        <v>5368</v>
      </c>
      <c r="C2126" s="4" t="s">
        <v>99</v>
      </c>
      <c r="D2126" s="475">
        <v>57.57</v>
      </c>
      <c r="E2126" s="476">
        <v>0</v>
      </c>
      <c r="F2126" s="6">
        <v>0</v>
      </c>
      <c r="G2126" s="6">
        <v>47.4</v>
      </c>
    </row>
    <row r="2127" ht="30" customHeight="1" spans="1:7">
      <c r="A2127" s="4" t="s">
        <v>5369</v>
      </c>
      <c r="B2127" s="5" t="s">
        <v>5370</v>
      </c>
      <c r="C2127" s="4" t="s">
        <v>99</v>
      </c>
      <c r="D2127" s="475">
        <v>60.5</v>
      </c>
      <c r="E2127" s="476">
        <v>0</v>
      </c>
      <c r="F2127" s="6">
        <v>0</v>
      </c>
      <c r="G2127" s="6">
        <v>45.6</v>
      </c>
    </row>
    <row r="2128" ht="30" customHeight="1" spans="1:7">
      <c r="A2128" s="4" t="s">
        <v>5371</v>
      </c>
      <c r="B2128" s="5" t="s">
        <v>5372</v>
      </c>
      <c r="C2128" s="4" t="s">
        <v>99</v>
      </c>
      <c r="D2128" s="475">
        <v>6.02</v>
      </c>
      <c r="E2128" s="476">
        <v>0</v>
      </c>
      <c r="F2128" s="6">
        <v>0</v>
      </c>
      <c r="G2128" s="6">
        <v>423</v>
      </c>
    </row>
    <row r="2129" ht="30" customHeight="1" spans="1:7">
      <c r="A2129" s="4" t="s">
        <v>5373</v>
      </c>
      <c r="B2129" s="5" t="s">
        <v>5374</v>
      </c>
      <c r="C2129" s="4" t="s">
        <v>99</v>
      </c>
      <c r="D2129" s="475">
        <v>6.73</v>
      </c>
      <c r="E2129" s="476">
        <v>0</v>
      </c>
      <c r="F2129" s="6">
        <v>0</v>
      </c>
      <c r="G2129" s="6">
        <v>393</v>
      </c>
    </row>
    <row r="2130" ht="30" customHeight="1" spans="1:7">
      <c r="A2130" s="4" t="s">
        <v>5375</v>
      </c>
      <c r="B2130" s="5" t="s">
        <v>5376</v>
      </c>
      <c r="C2130" s="4" t="s">
        <v>99</v>
      </c>
      <c r="D2130" s="475">
        <v>7.44</v>
      </c>
      <c r="E2130" s="476">
        <v>0</v>
      </c>
      <c r="F2130" s="6">
        <v>0</v>
      </c>
      <c r="G2130" s="6">
        <v>367.2</v>
      </c>
    </row>
    <row r="2131" ht="30" customHeight="1" spans="1:7">
      <c r="A2131" s="4" t="s">
        <v>5377</v>
      </c>
      <c r="B2131" s="5" t="s">
        <v>5378</v>
      </c>
      <c r="C2131" s="4" t="s">
        <v>99</v>
      </c>
      <c r="D2131" s="475">
        <v>5.55</v>
      </c>
      <c r="E2131" s="476">
        <v>0</v>
      </c>
      <c r="F2131" s="6">
        <v>0</v>
      </c>
      <c r="G2131" s="6">
        <v>468</v>
      </c>
    </row>
    <row r="2132" ht="15.75" customHeight="1" spans="1:7">
      <c r="A2132" s="4" t="s">
        <v>5379</v>
      </c>
      <c r="B2132" s="5" t="s">
        <v>5380</v>
      </c>
      <c r="C2132" s="4" t="s">
        <v>99</v>
      </c>
      <c r="D2132" s="475">
        <v>26.32</v>
      </c>
      <c r="E2132" s="476">
        <v>0</v>
      </c>
      <c r="F2132" s="6">
        <v>0</v>
      </c>
      <c r="G2132" s="6">
        <v>432.02</v>
      </c>
    </row>
    <row r="2133" ht="15.75" customHeight="1" spans="1:7">
      <c r="A2133" s="4" t="s">
        <v>5381</v>
      </c>
      <c r="B2133" s="5" t="s">
        <v>5382</v>
      </c>
      <c r="C2133" s="4" t="s">
        <v>99</v>
      </c>
      <c r="D2133" s="475">
        <v>26.81</v>
      </c>
      <c r="E2133" s="476">
        <v>0</v>
      </c>
      <c r="F2133" s="6">
        <v>0</v>
      </c>
      <c r="G2133" s="6">
        <v>424.12</v>
      </c>
    </row>
    <row r="2134" ht="15.75" customHeight="1" spans="1:7">
      <c r="A2134" s="4" t="s">
        <v>5383</v>
      </c>
      <c r="B2134" s="5" t="s">
        <v>5384</v>
      </c>
      <c r="C2134" s="4" t="s">
        <v>99</v>
      </c>
      <c r="D2134" s="475">
        <v>27.31</v>
      </c>
      <c r="E2134" s="476">
        <v>0</v>
      </c>
      <c r="F2134" s="6">
        <v>0</v>
      </c>
      <c r="G2134" s="6">
        <v>416.3</v>
      </c>
    </row>
    <row r="2135" ht="15.75" customHeight="1" spans="1:7">
      <c r="A2135" s="4" t="s">
        <v>5385</v>
      </c>
      <c r="B2135" s="5" t="s">
        <v>5386</v>
      </c>
      <c r="C2135" s="4" t="s">
        <v>99</v>
      </c>
      <c r="D2135" s="475">
        <v>27.84</v>
      </c>
      <c r="E2135" s="476">
        <v>0</v>
      </c>
      <c r="F2135" s="6">
        <v>0</v>
      </c>
      <c r="G2135" s="6">
        <v>408.45</v>
      </c>
    </row>
    <row r="2136" ht="15.75" customHeight="1" spans="1:7">
      <c r="A2136" s="4" t="s">
        <v>5387</v>
      </c>
      <c r="B2136" s="5" t="s">
        <v>5388</v>
      </c>
      <c r="C2136" s="4" t="s">
        <v>99</v>
      </c>
      <c r="D2136" s="475">
        <v>28.4</v>
      </c>
      <c r="E2136" s="476">
        <v>0</v>
      </c>
      <c r="F2136" s="6">
        <v>0</v>
      </c>
      <c r="G2136" s="6">
        <v>400.41</v>
      </c>
    </row>
    <row r="2137" ht="15.75" customHeight="1" spans="1:7">
      <c r="A2137" s="4" t="s">
        <v>5389</v>
      </c>
      <c r="B2137" s="5" t="s">
        <v>5390</v>
      </c>
      <c r="C2137" s="4" t="s">
        <v>99</v>
      </c>
      <c r="D2137" s="475">
        <v>28.69</v>
      </c>
      <c r="E2137" s="476">
        <v>0</v>
      </c>
      <c r="F2137" s="6">
        <v>0</v>
      </c>
      <c r="G2137" s="6">
        <v>396.29</v>
      </c>
    </row>
    <row r="2138" ht="15.75" customHeight="1" spans="1:7">
      <c r="A2138" s="4" t="s">
        <v>5391</v>
      </c>
      <c r="B2138" s="5" t="s">
        <v>5392</v>
      </c>
      <c r="C2138" s="4" t="s">
        <v>99</v>
      </c>
      <c r="D2138" s="475">
        <v>14.48</v>
      </c>
      <c r="E2138" s="476">
        <v>0</v>
      </c>
      <c r="F2138" s="6">
        <v>0</v>
      </c>
      <c r="G2138" s="6">
        <v>3027.6</v>
      </c>
    </row>
    <row r="2139" ht="15.75" customHeight="1" spans="1:7">
      <c r="A2139" s="4" t="s">
        <v>5393</v>
      </c>
      <c r="B2139" s="5" t="s">
        <v>5394</v>
      </c>
      <c r="C2139" s="4" t="s">
        <v>99</v>
      </c>
      <c r="D2139" s="475">
        <v>14.6</v>
      </c>
      <c r="E2139" s="476">
        <v>0</v>
      </c>
      <c r="F2139" s="6">
        <v>0</v>
      </c>
      <c r="G2139" s="6">
        <v>3003.01</v>
      </c>
    </row>
    <row r="2140" ht="15.75" customHeight="1" spans="1:7">
      <c r="A2140" s="4" t="s">
        <v>5395</v>
      </c>
      <c r="B2140" s="5" t="s">
        <v>5396</v>
      </c>
      <c r="C2140" s="4" t="s">
        <v>99</v>
      </c>
      <c r="D2140" s="475">
        <v>14.73</v>
      </c>
      <c r="E2140" s="476">
        <v>0</v>
      </c>
      <c r="F2140" s="6">
        <v>0</v>
      </c>
      <c r="G2140" s="6">
        <v>2977.85</v>
      </c>
    </row>
    <row r="2141" ht="15.75" customHeight="1" spans="1:7">
      <c r="A2141" s="4" t="s">
        <v>5397</v>
      </c>
      <c r="B2141" s="5" t="s">
        <v>5398</v>
      </c>
      <c r="C2141" s="4" t="s">
        <v>99</v>
      </c>
      <c r="D2141" s="475">
        <v>14.85</v>
      </c>
      <c r="E2141" s="476">
        <v>0</v>
      </c>
      <c r="F2141" s="6">
        <v>0</v>
      </c>
      <c r="G2141" s="6">
        <v>2952.16</v>
      </c>
    </row>
    <row r="2142" ht="15.75" customHeight="1" spans="1:7">
      <c r="A2142" s="4" t="s">
        <v>5399</v>
      </c>
      <c r="B2142" s="5" t="s">
        <v>5400</v>
      </c>
      <c r="C2142" s="4" t="s">
        <v>99</v>
      </c>
      <c r="D2142" s="475">
        <v>14.99</v>
      </c>
      <c r="E2142" s="476">
        <v>0</v>
      </c>
      <c r="F2142" s="6">
        <v>0</v>
      </c>
      <c r="G2142" s="6">
        <v>2925.27</v>
      </c>
    </row>
    <row r="2143" ht="15.75" customHeight="1" spans="1:7">
      <c r="A2143" s="4" t="s">
        <v>5401</v>
      </c>
      <c r="B2143" s="5" t="s">
        <v>5402</v>
      </c>
      <c r="C2143" s="4" t="s">
        <v>99</v>
      </c>
      <c r="D2143" s="475">
        <v>15.06</v>
      </c>
      <c r="E2143" s="476">
        <v>0</v>
      </c>
      <c r="F2143" s="6">
        <v>0</v>
      </c>
      <c r="G2143" s="6">
        <v>2911.08</v>
      </c>
    </row>
    <row r="2144" ht="15.75" customHeight="1" spans="1:7">
      <c r="A2144" s="4" t="s">
        <v>5403</v>
      </c>
      <c r="B2144" s="5" t="s">
        <v>5404</v>
      </c>
      <c r="C2144" s="4" t="s">
        <v>99</v>
      </c>
      <c r="D2144" s="475">
        <v>18.89</v>
      </c>
      <c r="E2144" s="476">
        <v>0</v>
      </c>
      <c r="F2144" s="6">
        <v>0</v>
      </c>
      <c r="G2144" s="6">
        <v>3257.29</v>
      </c>
    </row>
    <row r="2145" ht="15.75" customHeight="1" spans="1:7">
      <c r="A2145" s="4" t="s">
        <v>5405</v>
      </c>
      <c r="B2145" s="5" t="s">
        <v>5406</v>
      </c>
      <c r="C2145" s="4" t="s">
        <v>99</v>
      </c>
      <c r="D2145" s="475">
        <v>19</v>
      </c>
      <c r="E2145" s="476">
        <v>0</v>
      </c>
      <c r="F2145" s="6">
        <v>0</v>
      </c>
      <c r="G2145" s="6">
        <v>3238.27</v>
      </c>
    </row>
    <row r="2146" ht="15.75" customHeight="1" spans="1:7">
      <c r="A2146" s="4" t="s">
        <v>5407</v>
      </c>
      <c r="B2146" s="5" t="s">
        <v>5408</v>
      </c>
      <c r="C2146" s="4" t="s">
        <v>99</v>
      </c>
      <c r="D2146" s="475">
        <v>19.12</v>
      </c>
      <c r="E2146" s="476">
        <v>0</v>
      </c>
      <c r="F2146" s="6">
        <v>0</v>
      </c>
      <c r="G2146" s="6">
        <v>3218.72</v>
      </c>
    </row>
    <row r="2147" ht="15.75" customHeight="1" spans="1:7">
      <c r="A2147" s="4" t="s">
        <v>5409</v>
      </c>
      <c r="B2147" s="5" t="s">
        <v>5410</v>
      </c>
      <c r="C2147" s="4" t="s">
        <v>99</v>
      </c>
      <c r="D2147" s="475">
        <v>19.24</v>
      </c>
      <c r="E2147" s="476">
        <v>0</v>
      </c>
      <c r="F2147" s="6">
        <v>0</v>
      </c>
      <c r="G2147" s="6">
        <v>3198.66</v>
      </c>
    </row>
    <row r="2148" ht="15.75" customHeight="1" spans="1:7">
      <c r="A2148" s="4" t="s">
        <v>5411</v>
      </c>
      <c r="B2148" s="5" t="s">
        <v>5412</v>
      </c>
      <c r="C2148" s="4" t="s">
        <v>99</v>
      </c>
      <c r="D2148" s="475">
        <v>19.37</v>
      </c>
      <c r="E2148" s="476">
        <v>0</v>
      </c>
      <c r="F2148" s="6">
        <v>0</v>
      </c>
      <c r="G2148" s="6">
        <v>3177.56</v>
      </c>
    </row>
    <row r="2149" ht="15.75" customHeight="1" spans="1:7">
      <c r="A2149" s="4" t="s">
        <v>5413</v>
      </c>
      <c r="B2149" s="5" t="s">
        <v>5414</v>
      </c>
      <c r="C2149" s="4" t="s">
        <v>99</v>
      </c>
      <c r="D2149" s="475">
        <v>19.44</v>
      </c>
      <c r="E2149" s="476">
        <v>0</v>
      </c>
      <c r="F2149" s="6">
        <v>0</v>
      </c>
      <c r="G2149" s="6">
        <v>3166.38</v>
      </c>
    </row>
    <row r="2150" ht="15.75" customHeight="1" spans="1:7">
      <c r="A2150" s="4" t="s">
        <v>5415</v>
      </c>
      <c r="B2150" s="5" t="s">
        <v>5416</v>
      </c>
      <c r="C2150" s="4" t="s">
        <v>99</v>
      </c>
      <c r="D2150" s="475">
        <v>17.33</v>
      </c>
      <c r="E2150" s="476">
        <v>0</v>
      </c>
      <c r="F2150" s="6">
        <v>0</v>
      </c>
      <c r="G2150" s="6">
        <v>866.71</v>
      </c>
    </row>
    <row r="2151" ht="15.75" customHeight="1" spans="1:7">
      <c r="A2151" s="4" t="s">
        <v>5417</v>
      </c>
      <c r="B2151" s="5" t="s">
        <v>5418</v>
      </c>
      <c r="C2151" s="4" t="s">
        <v>99</v>
      </c>
      <c r="D2151" s="475">
        <v>17.62</v>
      </c>
      <c r="E2151" s="476">
        <v>0</v>
      </c>
      <c r="F2151" s="6">
        <v>0</v>
      </c>
      <c r="G2151" s="6">
        <v>852.68</v>
      </c>
    </row>
    <row r="2152" ht="15.75" customHeight="1" spans="1:7">
      <c r="A2152" s="4" t="s">
        <v>5419</v>
      </c>
      <c r="B2152" s="5" t="s">
        <v>5420</v>
      </c>
      <c r="C2152" s="4" t="s">
        <v>99</v>
      </c>
      <c r="D2152" s="475">
        <v>17.91</v>
      </c>
      <c r="E2152" s="476">
        <v>0</v>
      </c>
      <c r="F2152" s="6">
        <v>0</v>
      </c>
      <c r="G2152" s="6">
        <v>838.71</v>
      </c>
    </row>
    <row r="2153" ht="15.75" customHeight="1" spans="1:7">
      <c r="A2153" s="4" t="s">
        <v>5421</v>
      </c>
      <c r="B2153" s="5" t="s">
        <v>5422</v>
      </c>
      <c r="C2153" s="4" t="s">
        <v>99</v>
      </c>
      <c r="D2153" s="475">
        <v>18.21</v>
      </c>
      <c r="E2153" s="476">
        <v>0</v>
      </c>
      <c r="F2153" s="6">
        <v>0</v>
      </c>
      <c r="G2153" s="6">
        <v>824.73</v>
      </c>
    </row>
    <row r="2154" ht="15.75" customHeight="1" spans="1:7">
      <c r="A2154" s="4" t="s">
        <v>5423</v>
      </c>
      <c r="B2154" s="5" t="s">
        <v>5424</v>
      </c>
      <c r="C2154" s="4" t="s">
        <v>99</v>
      </c>
      <c r="D2154" s="475">
        <v>18.54</v>
      </c>
      <c r="E2154" s="476">
        <v>0</v>
      </c>
      <c r="F2154" s="6">
        <v>0</v>
      </c>
      <c r="G2154" s="6">
        <v>810.22</v>
      </c>
    </row>
    <row r="2155" ht="15.75" customHeight="1" spans="1:7">
      <c r="A2155" s="4" t="s">
        <v>5425</v>
      </c>
      <c r="B2155" s="5" t="s">
        <v>5426</v>
      </c>
      <c r="C2155" s="4" t="s">
        <v>99</v>
      </c>
      <c r="D2155" s="475">
        <v>18.71</v>
      </c>
      <c r="E2155" s="476">
        <v>0</v>
      </c>
      <c r="F2155" s="6">
        <v>0</v>
      </c>
      <c r="G2155" s="6">
        <v>802.76</v>
      </c>
    </row>
    <row r="2156" ht="15.75" customHeight="1" spans="1:7">
      <c r="A2156" s="4" t="s">
        <v>5427</v>
      </c>
      <c r="B2156" s="5" t="s">
        <v>5428</v>
      </c>
      <c r="C2156" s="4" t="s">
        <v>99</v>
      </c>
      <c r="D2156" s="475">
        <v>23.42</v>
      </c>
      <c r="E2156" s="476">
        <v>0</v>
      </c>
      <c r="F2156" s="6">
        <v>0</v>
      </c>
      <c r="G2156" s="6">
        <v>3385.71</v>
      </c>
    </row>
    <row r="2157" ht="15.75" customHeight="1" spans="1:7">
      <c r="A2157" s="4" t="s">
        <v>5429</v>
      </c>
      <c r="B2157" s="5" t="s">
        <v>5430</v>
      </c>
      <c r="C2157" s="4" t="s">
        <v>99</v>
      </c>
      <c r="D2157" s="475">
        <v>23.53</v>
      </c>
      <c r="E2157" s="476">
        <v>0</v>
      </c>
      <c r="F2157" s="6">
        <v>0</v>
      </c>
      <c r="G2157" s="6">
        <v>3370.29</v>
      </c>
    </row>
    <row r="2158" ht="15.75" customHeight="1" spans="1:7">
      <c r="A2158" s="4" t="s">
        <v>5431</v>
      </c>
      <c r="B2158" s="5" t="s">
        <v>5432</v>
      </c>
      <c r="C2158" s="4" t="s">
        <v>99</v>
      </c>
      <c r="D2158" s="475">
        <v>23.64</v>
      </c>
      <c r="E2158" s="476">
        <v>0</v>
      </c>
      <c r="F2158" s="6">
        <v>0</v>
      </c>
      <c r="G2158" s="6">
        <v>3354.38</v>
      </c>
    </row>
    <row r="2159" ht="15.75" customHeight="1" spans="1:7">
      <c r="A2159" s="4" t="s">
        <v>5433</v>
      </c>
      <c r="B2159" s="5" t="s">
        <v>5434</v>
      </c>
      <c r="C2159" s="4" t="s">
        <v>99</v>
      </c>
      <c r="D2159" s="475">
        <v>23.75</v>
      </c>
      <c r="E2159" s="476">
        <v>0</v>
      </c>
      <c r="F2159" s="6">
        <v>0</v>
      </c>
      <c r="G2159" s="6">
        <v>3338.02</v>
      </c>
    </row>
    <row r="2160" ht="15.75" customHeight="1" spans="1:7">
      <c r="A2160" s="4" t="s">
        <v>5435</v>
      </c>
      <c r="B2160" s="5" t="s">
        <v>5436</v>
      </c>
      <c r="C2160" s="4" t="s">
        <v>99</v>
      </c>
      <c r="D2160" s="475">
        <v>23.88</v>
      </c>
      <c r="E2160" s="476">
        <v>0</v>
      </c>
      <c r="F2160" s="6">
        <v>0</v>
      </c>
      <c r="G2160" s="6">
        <v>3320.76</v>
      </c>
    </row>
    <row r="2161" ht="15.75" customHeight="1" spans="1:7">
      <c r="A2161" s="4" t="s">
        <v>5437</v>
      </c>
      <c r="B2161" s="5" t="s">
        <v>5438</v>
      </c>
      <c r="C2161" s="4" t="s">
        <v>99</v>
      </c>
      <c r="D2161" s="475">
        <v>23.94</v>
      </c>
      <c r="E2161" s="476">
        <v>0</v>
      </c>
      <c r="F2161" s="6">
        <v>0</v>
      </c>
      <c r="G2161" s="6">
        <v>3311.6</v>
      </c>
    </row>
    <row r="2162" ht="15.75" customHeight="1" spans="1:7">
      <c r="A2162" s="4" t="s">
        <v>5439</v>
      </c>
      <c r="B2162" s="5" t="s">
        <v>5440</v>
      </c>
      <c r="C2162" s="4" t="s">
        <v>99</v>
      </c>
      <c r="D2162" s="475">
        <v>15.79</v>
      </c>
      <c r="E2162" s="476">
        <v>0</v>
      </c>
      <c r="F2162" s="6">
        <v>0</v>
      </c>
      <c r="G2162" s="6">
        <v>1192.5</v>
      </c>
    </row>
    <row r="2163" ht="15.75" customHeight="1" spans="1:7">
      <c r="A2163" s="4" t="s">
        <v>5441</v>
      </c>
      <c r="B2163" s="5" t="s">
        <v>5442</v>
      </c>
      <c r="C2163" s="4" t="s">
        <v>99</v>
      </c>
      <c r="D2163" s="475">
        <v>16.01</v>
      </c>
      <c r="E2163" s="476">
        <v>0</v>
      </c>
      <c r="F2163" s="6">
        <v>0</v>
      </c>
      <c r="G2163" s="6">
        <v>1176.03</v>
      </c>
    </row>
    <row r="2164" ht="15.75" customHeight="1" spans="1:7">
      <c r="A2164" s="4" t="s">
        <v>5443</v>
      </c>
      <c r="B2164" s="5" t="s">
        <v>5444</v>
      </c>
      <c r="C2164" s="4" t="s">
        <v>99</v>
      </c>
      <c r="D2164" s="475">
        <v>16.24</v>
      </c>
      <c r="E2164" s="476">
        <v>0</v>
      </c>
      <c r="F2164" s="6">
        <v>0</v>
      </c>
      <c r="G2164" s="6">
        <v>1159.64</v>
      </c>
    </row>
    <row r="2165" ht="15.75" customHeight="1" spans="1:7">
      <c r="A2165" s="4" t="s">
        <v>5445</v>
      </c>
      <c r="B2165" s="5" t="s">
        <v>5446</v>
      </c>
      <c r="C2165" s="4" t="s">
        <v>99</v>
      </c>
      <c r="D2165" s="475">
        <v>16.48</v>
      </c>
      <c r="E2165" s="476">
        <v>0</v>
      </c>
      <c r="F2165" s="6">
        <v>0</v>
      </c>
      <c r="G2165" s="6">
        <v>1142.86</v>
      </c>
    </row>
    <row r="2166" ht="15.75" customHeight="1" spans="1:7">
      <c r="A2166" s="4" t="s">
        <v>5447</v>
      </c>
      <c r="B2166" s="5" t="s">
        <v>5448</v>
      </c>
      <c r="C2166" s="4" t="s">
        <v>99</v>
      </c>
      <c r="D2166" s="475">
        <v>16.73</v>
      </c>
      <c r="E2166" s="476">
        <v>0</v>
      </c>
      <c r="F2166" s="6">
        <v>0</v>
      </c>
      <c r="G2166" s="6">
        <v>1125.65</v>
      </c>
    </row>
    <row r="2167" ht="15.75" customHeight="1" spans="1:7">
      <c r="A2167" s="4" t="s">
        <v>5449</v>
      </c>
      <c r="B2167" s="5" t="s">
        <v>5450</v>
      </c>
      <c r="C2167" s="4" t="s">
        <v>99</v>
      </c>
      <c r="D2167" s="475">
        <v>16.86</v>
      </c>
      <c r="E2167" s="476">
        <v>0</v>
      </c>
      <c r="F2167" s="6">
        <v>0</v>
      </c>
      <c r="G2167" s="6">
        <v>1116.6</v>
      </c>
    </row>
    <row r="2168" ht="15.75" customHeight="1" spans="1:7">
      <c r="A2168" s="4" t="s">
        <v>5451</v>
      </c>
      <c r="B2168" s="5" t="s">
        <v>5452</v>
      </c>
      <c r="C2168" s="4" t="s">
        <v>99</v>
      </c>
      <c r="D2168" s="475">
        <v>14.65</v>
      </c>
      <c r="E2168" s="476">
        <v>0</v>
      </c>
      <c r="F2168" s="6">
        <v>0</v>
      </c>
      <c r="G2168" s="6">
        <v>1539.36</v>
      </c>
    </row>
    <row r="2169" ht="15.75" customHeight="1" spans="1:7">
      <c r="A2169" s="4" t="s">
        <v>5453</v>
      </c>
      <c r="B2169" s="5" t="s">
        <v>5454</v>
      </c>
      <c r="C2169" s="4" t="s">
        <v>99</v>
      </c>
      <c r="D2169" s="475">
        <v>14.83</v>
      </c>
      <c r="E2169" s="476">
        <v>0</v>
      </c>
      <c r="F2169" s="6">
        <v>0</v>
      </c>
      <c r="G2169" s="6">
        <v>1519.71</v>
      </c>
    </row>
    <row r="2170" ht="15.75" customHeight="1" spans="1:7">
      <c r="A2170" s="4" t="s">
        <v>5455</v>
      </c>
      <c r="B2170" s="5" t="s">
        <v>5456</v>
      </c>
      <c r="C2170" s="4" t="s">
        <v>99</v>
      </c>
      <c r="D2170" s="475">
        <v>15.03</v>
      </c>
      <c r="E2170" s="476">
        <v>0</v>
      </c>
      <c r="F2170" s="6">
        <v>0</v>
      </c>
      <c r="G2170" s="6">
        <v>1499.94</v>
      </c>
    </row>
    <row r="2171" ht="15.75" customHeight="1" spans="1:7">
      <c r="A2171" s="4" t="s">
        <v>5457</v>
      </c>
      <c r="B2171" s="5" t="s">
        <v>5458</v>
      </c>
      <c r="C2171" s="4" t="s">
        <v>99</v>
      </c>
      <c r="D2171" s="475">
        <v>15.23</v>
      </c>
      <c r="E2171" s="476">
        <v>0</v>
      </c>
      <c r="F2171" s="6">
        <v>0</v>
      </c>
      <c r="G2171" s="6">
        <v>1479.93</v>
      </c>
    </row>
    <row r="2172" ht="15.75" customHeight="1" spans="1:7">
      <c r="A2172" s="4" t="s">
        <v>5459</v>
      </c>
      <c r="B2172" s="5" t="s">
        <v>5460</v>
      </c>
      <c r="C2172" s="4" t="s">
        <v>99</v>
      </c>
      <c r="D2172" s="475">
        <v>15.45</v>
      </c>
      <c r="E2172" s="476">
        <v>0</v>
      </c>
      <c r="F2172" s="6">
        <v>0</v>
      </c>
      <c r="G2172" s="6">
        <v>1459.14</v>
      </c>
    </row>
    <row r="2173" ht="15.75" customHeight="1" spans="1:7">
      <c r="A2173" s="4" t="s">
        <v>5461</v>
      </c>
      <c r="B2173" s="5" t="s">
        <v>5462</v>
      </c>
      <c r="C2173" s="4" t="s">
        <v>99</v>
      </c>
      <c r="D2173" s="475">
        <v>15.57</v>
      </c>
      <c r="E2173" s="476">
        <v>0</v>
      </c>
      <c r="F2173" s="6">
        <v>0</v>
      </c>
      <c r="G2173" s="6">
        <v>1448.17</v>
      </c>
    </row>
    <row r="2174" ht="15.75" customHeight="1" spans="1:7">
      <c r="A2174" s="4" t="s">
        <v>5463</v>
      </c>
      <c r="B2174" s="5" t="s">
        <v>5464</v>
      </c>
      <c r="C2174" s="4" t="s">
        <v>99</v>
      </c>
      <c r="D2174" s="475">
        <v>15.96</v>
      </c>
      <c r="E2174" s="476">
        <v>0</v>
      </c>
      <c r="F2174" s="6">
        <v>0</v>
      </c>
      <c r="G2174" s="6">
        <v>1641.25</v>
      </c>
    </row>
    <row r="2175" ht="15.75" customHeight="1" spans="1:7">
      <c r="A2175" s="4" t="s">
        <v>5465</v>
      </c>
      <c r="B2175" s="5" t="s">
        <v>5466</v>
      </c>
      <c r="C2175" s="4" t="s">
        <v>99</v>
      </c>
      <c r="D2175" s="475">
        <v>16.13</v>
      </c>
      <c r="E2175" s="476">
        <v>0</v>
      </c>
      <c r="F2175" s="6">
        <v>0</v>
      </c>
      <c r="G2175" s="6">
        <v>1624.36</v>
      </c>
    </row>
    <row r="2176" ht="15.75" customHeight="1" spans="1:7">
      <c r="A2176" s="4" t="s">
        <v>5467</v>
      </c>
      <c r="B2176" s="5" t="s">
        <v>5468</v>
      </c>
      <c r="C2176" s="4" t="s">
        <v>99</v>
      </c>
      <c r="D2176" s="475">
        <v>16.3</v>
      </c>
      <c r="E2176" s="476">
        <v>0</v>
      </c>
      <c r="F2176" s="6">
        <v>0</v>
      </c>
      <c r="G2176" s="6">
        <v>1607.38</v>
      </c>
    </row>
    <row r="2177" ht="15.75" customHeight="1" spans="1:7">
      <c r="A2177" s="4" t="s">
        <v>5469</v>
      </c>
      <c r="B2177" s="5" t="s">
        <v>5470</v>
      </c>
      <c r="C2177" s="4" t="s">
        <v>99</v>
      </c>
      <c r="D2177" s="475">
        <v>16.48</v>
      </c>
      <c r="E2177" s="476">
        <v>0</v>
      </c>
      <c r="F2177" s="6">
        <v>0</v>
      </c>
      <c r="G2177" s="6">
        <v>1589.93</v>
      </c>
    </row>
    <row r="2178" ht="15.75" customHeight="1" spans="1:7">
      <c r="A2178" s="4" t="s">
        <v>5471</v>
      </c>
      <c r="B2178" s="5" t="s">
        <v>5472</v>
      </c>
      <c r="C2178" s="4" t="s">
        <v>99</v>
      </c>
      <c r="D2178" s="475">
        <v>16.67</v>
      </c>
      <c r="E2178" s="476">
        <v>0</v>
      </c>
      <c r="F2178" s="6">
        <v>0</v>
      </c>
      <c r="G2178" s="6">
        <v>1571.77</v>
      </c>
    </row>
    <row r="2179" ht="15.75" customHeight="1" spans="1:7">
      <c r="A2179" s="4" t="s">
        <v>5473</v>
      </c>
      <c r="B2179" s="5" t="s">
        <v>5474</v>
      </c>
      <c r="C2179" s="4" t="s">
        <v>99</v>
      </c>
      <c r="D2179" s="475">
        <v>16.77</v>
      </c>
      <c r="E2179" s="476">
        <v>0</v>
      </c>
      <c r="F2179" s="6">
        <v>0</v>
      </c>
      <c r="G2179" s="6">
        <v>1562.38</v>
      </c>
    </row>
    <row r="2180" ht="15.75" customHeight="1" spans="1:7">
      <c r="A2180" s="4" t="s">
        <v>5475</v>
      </c>
      <c r="B2180" s="5" t="s">
        <v>5476</v>
      </c>
      <c r="C2180" s="4" t="s">
        <v>99</v>
      </c>
      <c r="D2180" s="475">
        <v>36.68</v>
      </c>
      <c r="E2180" s="476">
        <v>0</v>
      </c>
      <c r="F2180" s="6">
        <v>0</v>
      </c>
      <c r="G2180" s="6">
        <v>284.71</v>
      </c>
    </row>
    <row r="2181" ht="15.75" customHeight="1" spans="1:7">
      <c r="A2181" s="4" t="s">
        <v>5477</v>
      </c>
      <c r="B2181" s="5" t="s">
        <v>5478</v>
      </c>
      <c r="C2181" s="4" t="s">
        <v>99</v>
      </c>
      <c r="D2181" s="475">
        <v>37.41</v>
      </c>
      <c r="E2181" s="476">
        <v>0</v>
      </c>
      <c r="F2181" s="6">
        <v>0</v>
      </c>
      <c r="G2181" s="6">
        <v>279.21</v>
      </c>
    </row>
    <row r="2182" ht="15.75" customHeight="1" spans="1:7">
      <c r="A2182" s="4" t="s">
        <v>5479</v>
      </c>
      <c r="B2182" s="5" t="s">
        <v>5480</v>
      </c>
      <c r="C2182" s="4" t="s">
        <v>99</v>
      </c>
      <c r="D2182" s="475">
        <v>38.14</v>
      </c>
      <c r="E2182" s="476">
        <v>0</v>
      </c>
      <c r="F2182" s="6">
        <v>0</v>
      </c>
      <c r="G2182" s="6">
        <v>273.83</v>
      </c>
    </row>
    <row r="2183" ht="15.75" customHeight="1" spans="1:7">
      <c r="A2183" s="4" t="s">
        <v>5481</v>
      </c>
      <c r="B2183" s="5" t="s">
        <v>5482</v>
      </c>
      <c r="C2183" s="4" t="s">
        <v>99</v>
      </c>
      <c r="D2183" s="475">
        <v>38.92</v>
      </c>
      <c r="E2183" s="476">
        <v>0</v>
      </c>
      <c r="F2183" s="6">
        <v>0</v>
      </c>
      <c r="G2183" s="6">
        <v>268.37</v>
      </c>
    </row>
    <row r="2184" ht="15.75" customHeight="1" spans="1:7">
      <c r="A2184" s="4" t="s">
        <v>5483</v>
      </c>
      <c r="B2184" s="5" t="s">
        <v>5484</v>
      </c>
      <c r="C2184" s="4" t="s">
        <v>99</v>
      </c>
      <c r="D2184" s="475">
        <v>39.73</v>
      </c>
      <c r="E2184" s="476">
        <v>0</v>
      </c>
      <c r="F2184" s="6">
        <v>0</v>
      </c>
      <c r="G2184" s="6">
        <v>262.85</v>
      </c>
    </row>
    <row r="2185" ht="15.75" customHeight="1" spans="1:7">
      <c r="A2185" s="4" t="s">
        <v>5485</v>
      </c>
      <c r="B2185" s="5" t="s">
        <v>5486</v>
      </c>
      <c r="C2185" s="4" t="s">
        <v>99</v>
      </c>
      <c r="D2185" s="475">
        <v>40.17</v>
      </c>
      <c r="E2185" s="476">
        <v>0</v>
      </c>
      <c r="F2185" s="6">
        <v>0</v>
      </c>
      <c r="G2185" s="6">
        <v>260.01</v>
      </c>
    </row>
    <row r="2186" ht="30" customHeight="1" spans="1:7">
      <c r="A2186" s="4" t="s">
        <v>5487</v>
      </c>
      <c r="B2186" s="5" t="s">
        <v>5488</v>
      </c>
      <c r="C2186" s="4" t="s">
        <v>99</v>
      </c>
      <c r="D2186" s="475">
        <v>7.27</v>
      </c>
      <c r="E2186" s="476">
        <v>0</v>
      </c>
      <c r="F2186" s="6">
        <v>0</v>
      </c>
      <c r="G2186" s="6">
        <v>580.8</v>
      </c>
    </row>
    <row r="2187" ht="30" customHeight="1" spans="1:7">
      <c r="A2187" s="4" t="s">
        <v>5489</v>
      </c>
      <c r="B2187" s="5" t="s">
        <v>5490</v>
      </c>
      <c r="C2187" s="4" t="s">
        <v>99</v>
      </c>
      <c r="D2187" s="475">
        <v>8</v>
      </c>
      <c r="E2187" s="476">
        <v>0</v>
      </c>
      <c r="F2187" s="6">
        <v>0</v>
      </c>
      <c r="G2187" s="6">
        <v>568.8</v>
      </c>
    </row>
    <row r="2188" ht="30" customHeight="1" spans="1:7">
      <c r="A2188" s="4" t="s">
        <v>5491</v>
      </c>
      <c r="B2188" s="5" t="s">
        <v>5492</v>
      </c>
      <c r="C2188" s="4" t="s">
        <v>99</v>
      </c>
      <c r="D2188" s="475">
        <v>8.36</v>
      </c>
      <c r="E2188" s="476">
        <v>0</v>
      </c>
      <c r="F2188" s="6">
        <v>0</v>
      </c>
      <c r="G2188" s="6">
        <v>556.8</v>
      </c>
    </row>
    <row r="2189" ht="30" customHeight="1" spans="1:7">
      <c r="A2189" s="4" t="s">
        <v>5493</v>
      </c>
      <c r="B2189" s="5" t="s">
        <v>5494</v>
      </c>
      <c r="C2189" s="4" t="s">
        <v>99</v>
      </c>
      <c r="D2189" s="475">
        <v>8.72</v>
      </c>
      <c r="E2189" s="476">
        <v>0</v>
      </c>
      <c r="F2189" s="6">
        <v>0</v>
      </c>
      <c r="G2189" s="6">
        <v>544.8</v>
      </c>
    </row>
    <row r="2190" ht="30" customHeight="1" spans="1:7">
      <c r="A2190" s="4" t="s">
        <v>5495</v>
      </c>
      <c r="B2190" s="5" t="s">
        <v>5496</v>
      </c>
      <c r="C2190" s="4" t="s">
        <v>99</v>
      </c>
      <c r="D2190" s="475">
        <v>9.18</v>
      </c>
      <c r="E2190" s="476">
        <v>0</v>
      </c>
      <c r="F2190" s="6">
        <v>0</v>
      </c>
      <c r="G2190" s="6">
        <v>531</v>
      </c>
    </row>
    <row r="2191" ht="30" customHeight="1" spans="1:7">
      <c r="A2191" s="4" t="s">
        <v>5497</v>
      </c>
      <c r="B2191" s="5" t="s">
        <v>5498</v>
      </c>
      <c r="C2191" s="4" t="s">
        <v>99</v>
      </c>
      <c r="D2191" s="475">
        <v>9.58</v>
      </c>
      <c r="E2191" s="476">
        <v>0</v>
      </c>
      <c r="F2191" s="6">
        <v>0</v>
      </c>
      <c r="G2191" s="6">
        <v>517.2</v>
      </c>
    </row>
    <row r="2192" ht="30" customHeight="1" spans="1:7">
      <c r="A2192" s="4" t="s">
        <v>5499</v>
      </c>
      <c r="B2192" s="5" t="s">
        <v>5500</v>
      </c>
      <c r="C2192" s="4" t="s">
        <v>99</v>
      </c>
      <c r="D2192" s="475">
        <v>10.36</v>
      </c>
      <c r="E2192" s="476">
        <v>0</v>
      </c>
      <c r="F2192" s="6">
        <v>0</v>
      </c>
      <c r="G2192" s="6">
        <v>503.4</v>
      </c>
    </row>
    <row r="2193" ht="30" customHeight="1" spans="1:7">
      <c r="A2193" s="4" t="s">
        <v>5501</v>
      </c>
      <c r="B2193" s="5" t="s">
        <v>5502</v>
      </c>
      <c r="C2193" s="4" t="s">
        <v>99</v>
      </c>
      <c r="D2193" s="475">
        <v>10.86</v>
      </c>
      <c r="E2193" s="476">
        <v>0</v>
      </c>
      <c r="F2193" s="6">
        <v>0</v>
      </c>
      <c r="G2193" s="6">
        <v>489</v>
      </c>
    </row>
    <row r="2194" ht="30" customHeight="1" spans="1:7">
      <c r="A2194" s="4" t="s">
        <v>5503</v>
      </c>
      <c r="B2194" s="5" t="s">
        <v>5504</v>
      </c>
      <c r="C2194" s="4" t="s">
        <v>99</v>
      </c>
      <c r="D2194" s="475">
        <v>11.4</v>
      </c>
      <c r="E2194" s="476">
        <v>0</v>
      </c>
      <c r="F2194" s="6">
        <v>0</v>
      </c>
      <c r="G2194" s="6">
        <v>466.8</v>
      </c>
    </row>
    <row r="2195" ht="30" customHeight="1" spans="1:7">
      <c r="A2195" s="4" t="s">
        <v>5505</v>
      </c>
      <c r="B2195" s="5" t="s">
        <v>5506</v>
      </c>
      <c r="C2195" s="4" t="s">
        <v>99</v>
      </c>
      <c r="D2195" s="475">
        <v>11.98</v>
      </c>
      <c r="E2195" s="476">
        <v>0</v>
      </c>
      <c r="F2195" s="6">
        <v>0</v>
      </c>
      <c r="G2195" s="6">
        <v>449.4</v>
      </c>
    </row>
    <row r="2196" ht="30" customHeight="1" spans="1:7">
      <c r="A2196" s="4" t="s">
        <v>5507</v>
      </c>
      <c r="B2196" s="5" t="s">
        <v>5508</v>
      </c>
      <c r="C2196" s="4" t="s">
        <v>99</v>
      </c>
      <c r="D2196" s="475">
        <v>12.87</v>
      </c>
      <c r="E2196" s="476">
        <v>0</v>
      </c>
      <c r="F2196" s="6">
        <v>0</v>
      </c>
      <c r="G2196" s="6">
        <v>432</v>
      </c>
    </row>
    <row r="2197" ht="30" customHeight="1" spans="1:7">
      <c r="A2197" s="4" t="s">
        <v>5509</v>
      </c>
      <c r="B2197" s="5" t="s">
        <v>5510</v>
      </c>
      <c r="C2197" s="4" t="s">
        <v>99</v>
      </c>
      <c r="D2197" s="475">
        <v>13.5</v>
      </c>
      <c r="E2197" s="476">
        <v>0</v>
      </c>
      <c r="F2197" s="6">
        <v>0</v>
      </c>
      <c r="G2197" s="6">
        <v>414</v>
      </c>
    </row>
    <row r="2198" ht="30" customHeight="1" spans="1:7">
      <c r="A2198" s="4" t="s">
        <v>5511</v>
      </c>
      <c r="B2198" s="5" t="s">
        <v>5512</v>
      </c>
      <c r="C2198" s="4" t="s">
        <v>99</v>
      </c>
      <c r="D2198" s="475">
        <v>13.39</v>
      </c>
      <c r="E2198" s="476">
        <v>0</v>
      </c>
      <c r="F2198" s="6">
        <v>0</v>
      </c>
      <c r="G2198" s="6">
        <v>397.8</v>
      </c>
    </row>
    <row r="2199" ht="30" customHeight="1" spans="1:7">
      <c r="A2199" s="4" t="s">
        <v>5513</v>
      </c>
      <c r="B2199" s="5" t="s">
        <v>5514</v>
      </c>
      <c r="C2199" s="4" t="s">
        <v>99</v>
      </c>
      <c r="D2199" s="475">
        <v>14.7</v>
      </c>
      <c r="E2199" s="476">
        <v>0</v>
      </c>
      <c r="F2199" s="6">
        <v>0</v>
      </c>
      <c r="G2199" s="6">
        <v>381.6</v>
      </c>
    </row>
    <row r="2200" ht="30" customHeight="1" spans="1:7">
      <c r="A2200" s="4" t="s">
        <v>5515</v>
      </c>
      <c r="B2200" s="5" t="s">
        <v>5516</v>
      </c>
      <c r="C2200" s="4" t="s">
        <v>99</v>
      </c>
      <c r="D2200" s="475">
        <v>15.38</v>
      </c>
      <c r="E2200" s="476">
        <v>0</v>
      </c>
      <c r="F2200" s="6">
        <v>0</v>
      </c>
      <c r="G2200" s="6">
        <v>365.4</v>
      </c>
    </row>
    <row r="2201" ht="30" customHeight="1" spans="1:7">
      <c r="A2201" s="4" t="s">
        <v>5517</v>
      </c>
      <c r="B2201" s="5" t="s">
        <v>5518</v>
      </c>
      <c r="C2201" s="4" t="s">
        <v>99</v>
      </c>
      <c r="D2201" s="475">
        <v>16.48</v>
      </c>
      <c r="E2201" s="476">
        <v>0</v>
      </c>
      <c r="F2201" s="6">
        <v>0</v>
      </c>
      <c r="G2201" s="6">
        <v>349.2</v>
      </c>
    </row>
    <row r="2202" ht="30" customHeight="1" spans="1:7">
      <c r="A2202" s="4" t="s">
        <v>5519</v>
      </c>
      <c r="B2202" s="5" t="s">
        <v>5520</v>
      </c>
      <c r="C2202" s="4" t="s">
        <v>99</v>
      </c>
      <c r="D2202" s="475">
        <v>17.23</v>
      </c>
      <c r="E2202" s="476">
        <v>0</v>
      </c>
      <c r="F2202" s="6">
        <v>0</v>
      </c>
      <c r="G2202" s="6">
        <v>333</v>
      </c>
    </row>
    <row r="2203" ht="30" customHeight="1" spans="1:7">
      <c r="A2203" s="4" t="s">
        <v>5521</v>
      </c>
      <c r="B2203" s="5" t="s">
        <v>5522</v>
      </c>
      <c r="C2203" s="4" t="s">
        <v>99</v>
      </c>
      <c r="D2203" s="475">
        <v>18.36</v>
      </c>
      <c r="E2203" s="476">
        <v>0</v>
      </c>
      <c r="F2203" s="6">
        <v>0</v>
      </c>
      <c r="G2203" s="6">
        <v>309</v>
      </c>
    </row>
    <row r="2204" ht="30" customHeight="1" spans="1:7">
      <c r="A2204" s="4" t="s">
        <v>5523</v>
      </c>
      <c r="B2204" s="5" t="s">
        <v>5524</v>
      </c>
      <c r="C2204" s="4" t="s">
        <v>99</v>
      </c>
      <c r="D2204" s="475">
        <v>20.31</v>
      </c>
      <c r="E2204" s="476">
        <v>0</v>
      </c>
      <c r="F2204" s="6">
        <v>0</v>
      </c>
      <c r="G2204" s="6">
        <v>270</v>
      </c>
    </row>
    <row r="2205" ht="30" customHeight="1" spans="1:7">
      <c r="A2205" s="4" t="s">
        <v>5525</v>
      </c>
      <c r="B2205" s="5" t="s">
        <v>5526</v>
      </c>
      <c r="C2205" s="4" t="s">
        <v>99</v>
      </c>
      <c r="D2205" s="475">
        <v>22.74</v>
      </c>
      <c r="E2205" s="476">
        <v>0</v>
      </c>
      <c r="F2205" s="6">
        <v>0</v>
      </c>
      <c r="G2205" s="6">
        <v>236.4</v>
      </c>
    </row>
    <row r="2206" ht="30" customHeight="1" spans="1:7">
      <c r="A2206" s="4" t="s">
        <v>5527</v>
      </c>
      <c r="B2206" s="5" t="s">
        <v>5528</v>
      </c>
      <c r="C2206" s="4" t="s">
        <v>99</v>
      </c>
      <c r="D2206" s="475">
        <v>25.19</v>
      </c>
      <c r="E2206" s="476">
        <v>0</v>
      </c>
      <c r="F2206" s="6">
        <v>0</v>
      </c>
      <c r="G2206" s="6">
        <v>207</v>
      </c>
    </row>
    <row r="2207" ht="30" customHeight="1" spans="1:7">
      <c r="A2207" s="4" t="s">
        <v>5529</v>
      </c>
      <c r="B2207" s="5" t="s">
        <v>5530</v>
      </c>
      <c r="C2207" s="4" t="s">
        <v>99</v>
      </c>
      <c r="D2207" s="475">
        <v>28</v>
      </c>
      <c r="E2207" s="476">
        <v>0</v>
      </c>
      <c r="F2207" s="6">
        <v>0</v>
      </c>
      <c r="G2207" s="6">
        <v>181.2</v>
      </c>
    </row>
    <row r="2208" ht="30" customHeight="1" spans="1:7">
      <c r="A2208" s="4" t="s">
        <v>5531</v>
      </c>
      <c r="B2208" s="5" t="s">
        <v>5532</v>
      </c>
      <c r="C2208" s="4" t="s">
        <v>99</v>
      </c>
      <c r="D2208" s="475">
        <v>30.55</v>
      </c>
      <c r="E2208" s="476">
        <v>0</v>
      </c>
      <c r="F2208" s="6">
        <v>0</v>
      </c>
      <c r="G2208" s="6">
        <v>163.2</v>
      </c>
    </row>
    <row r="2209" ht="30" customHeight="1" spans="1:7">
      <c r="A2209" s="4" t="s">
        <v>5533</v>
      </c>
      <c r="B2209" s="5" t="s">
        <v>5534</v>
      </c>
      <c r="C2209" s="4" t="s">
        <v>99</v>
      </c>
      <c r="D2209" s="475">
        <v>33.32</v>
      </c>
      <c r="E2209" s="476">
        <v>0</v>
      </c>
      <c r="F2209" s="6">
        <v>0</v>
      </c>
      <c r="G2209" s="6">
        <v>147</v>
      </c>
    </row>
    <row r="2210" ht="30" customHeight="1" spans="1:7">
      <c r="A2210" s="4" t="s">
        <v>5535</v>
      </c>
      <c r="B2210" s="5" t="s">
        <v>5536</v>
      </c>
      <c r="C2210" s="4" t="s">
        <v>99</v>
      </c>
      <c r="D2210" s="475">
        <v>36.96</v>
      </c>
      <c r="E2210" s="476">
        <v>0</v>
      </c>
      <c r="F2210" s="6">
        <v>0</v>
      </c>
      <c r="G2210" s="6">
        <v>131.4</v>
      </c>
    </row>
    <row r="2211" ht="30" customHeight="1" spans="1:7">
      <c r="A2211" s="4" t="s">
        <v>5537</v>
      </c>
      <c r="B2211" s="5" t="s">
        <v>5538</v>
      </c>
      <c r="C2211" s="4" t="s">
        <v>99</v>
      </c>
      <c r="D2211" s="475">
        <v>6.18</v>
      </c>
      <c r="E2211" s="476">
        <v>0</v>
      </c>
      <c r="F2211" s="6">
        <v>0</v>
      </c>
      <c r="G2211" s="6">
        <v>615</v>
      </c>
    </row>
    <row r="2212" ht="30" customHeight="1" spans="1:7">
      <c r="A2212" s="4" t="s">
        <v>5539</v>
      </c>
      <c r="B2212" s="5" t="s">
        <v>5540</v>
      </c>
      <c r="C2212" s="4" t="s">
        <v>99</v>
      </c>
      <c r="D2212" s="475">
        <v>40.71</v>
      </c>
      <c r="E2212" s="476">
        <v>0</v>
      </c>
      <c r="F2212" s="6">
        <v>0</v>
      </c>
      <c r="G2212" s="6">
        <v>117</v>
      </c>
    </row>
    <row r="2213" ht="30" customHeight="1" spans="1:7">
      <c r="A2213" s="4" t="s">
        <v>5541</v>
      </c>
      <c r="B2213" s="5" t="s">
        <v>5542</v>
      </c>
      <c r="C2213" s="4" t="s">
        <v>99</v>
      </c>
      <c r="D2213" s="475">
        <v>44.67</v>
      </c>
      <c r="E2213" s="476">
        <v>0</v>
      </c>
      <c r="F2213" s="6">
        <v>0</v>
      </c>
      <c r="G2213" s="6">
        <v>105</v>
      </c>
    </row>
    <row r="2214" ht="30" customHeight="1" spans="1:7">
      <c r="A2214" s="4" t="s">
        <v>5543</v>
      </c>
      <c r="B2214" s="5" t="s">
        <v>5544</v>
      </c>
      <c r="C2214" s="4" t="s">
        <v>99</v>
      </c>
      <c r="D2214" s="475">
        <v>48.45</v>
      </c>
      <c r="E2214" s="476">
        <v>0</v>
      </c>
      <c r="F2214" s="6">
        <v>0</v>
      </c>
      <c r="G2214" s="6">
        <v>96</v>
      </c>
    </row>
    <row r="2215" ht="30" customHeight="1" spans="1:7">
      <c r="A2215" s="4" t="s">
        <v>5545</v>
      </c>
      <c r="B2215" s="5" t="s">
        <v>5546</v>
      </c>
      <c r="C2215" s="4" t="s">
        <v>99</v>
      </c>
      <c r="D2215" s="475">
        <v>53.1</v>
      </c>
      <c r="E2215" s="476">
        <v>0</v>
      </c>
      <c r="F2215" s="6">
        <v>0</v>
      </c>
      <c r="G2215" s="6">
        <v>87</v>
      </c>
    </row>
    <row r="2216" ht="30" customHeight="1" spans="1:7">
      <c r="A2216" s="4" t="s">
        <v>5547</v>
      </c>
      <c r="B2216" s="5" t="s">
        <v>5548</v>
      </c>
      <c r="C2216" s="4" t="s">
        <v>99</v>
      </c>
      <c r="D2216" s="475">
        <v>57.41</v>
      </c>
      <c r="E2216" s="476">
        <v>0</v>
      </c>
      <c r="F2216" s="6">
        <v>0</v>
      </c>
      <c r="G2216" s="6">
        <v>79.8</v>
      </c>
    </row>
    <row r="2217" ht="30" customHeight="1" spans="1:7">
      <c r="A2217" s="4" t="s">
        <v>5549</v>
      </c>
      <c r="B2217" s="5" t="s">
        <v>5550</v>
      </c>
      <c r="C2217" s="4" t="s">
        <v>99</v>
      </c>
      <c r="D2217" s="475">
        <v>62.54</v>
      </c>
      <c r="E2217" s="476">
        <v>0</v>
      </c>
      <c r="F2217" s="6">
        <v>0</v>
      </c>
      <c r="G2217" s="6">
        <v>72.6</v>
      </c>
    </row>
    <row r="2218" ht="30" customHeight="1" spans="1:7">
      <c r="A2218" s="4" t="s">
        <v>5551</v>
      </c>
      <c r="B2218" s="5" t="s">
        <v>5552</v>
      </c>
      <c r="C2218" s="4" t="s">
        <v>99</v>
      </c>
      <c r="D2218" s="475">
        <v>68.24</v>
      </c>
      <c r="E2218" s="476">
        <v>0</v>
      </c>
      <c r="F2218" s="6">
        <v>0</v>
      </c>
      <c r="G2218" s="6">
        <v>66</v>
      </c>
    </row>
    <row r="2219" ht="30" customHeight="1" spans="1:7">
      <c r="A2219" s="4" t="s">
        <v>5553</v>
      </c>
      <c r="B2219" s="5" t="s">
        <v>5554</v>
      </c>
      <c r="C2219" s="4" t="s">
        <v>99</v>
      </c>
      <c r="D2219" s="475">
        <v>74.47</v>
      </c>
      <c r="E2219" s="476">
        <v>0</v>
      </c>
      <c r="F2219" s="6">
        <v>0</v>
      </c>
      <c r="G2219" s="6">
        <v>60</v>
      </c>
    </row>
    <row r="2220" ht="30" customHeight="1" spans="1:7">
      <c r="A2220" s="4" t="s">
        <v>5555</v>
      </c>
      <c r="B2220" s="5" t="s">
        <v>5556</v>
      </c>
      <c r="C2220" s="4" t="s">
        <v>99</v>
      </c>
      <c r="D2220" s="475">
        <v>80.09</v>
      </c>
      <c r="E2220" s="476">
        <v>0</v>
      </c>
      <c r="F2220" s="6">
        <v>0</v>
      </c>
      <c r="G2220" s="6">
        <v>55.8</v>
      </c>
    </row>
    <row r="2221" ht="30" customHeight="1" spans="1:7">
      <c r="A2221" s="4" t="s">
        <v>5557</v>
      </c>
      <c r="B2221" s="5" t="s">
        <v>5558</v>
      </c>
      <c r="C2221" s="4" t="s">
        <v>99</v>
      </c>
      <c r="D2221" s="475">
        <v>6.52</v>
      </c>
      <c r="E2221" s="476">
        <v>0</v>
      </c>
      <c r="F2221" s="6">
        <v>0</v>
      </c>
      <c r="G2221" s="6">
        <v>603.6</v>
      </c>
    </row>
    <row r="2222" ht="30" customHeight="1" spans="1:7">
      <c r="A2222" s="4" t="s">
        <v>5559</v>
      </c>
      <c r="B2222" s="5" t="s">
        <v>5560</v>
      </c>
      <c r="C2222" s="4" t="s">
        <v>99</v>
      </c>
      <c r="D2222" s="475">
        <v>6.93</v>
      </c>
      <c r="E2222" s="476">
        <v>0</v>
      </c>
      <c r="F2222" s="6">
        <v>0</v>
      </c>
      <c r="G2222" s="6">
        <v>592.2</v>
      </c>
    </row>
    <row r="2223" ht="30" customHeight="1" spans="1:7">
      <c r="A2223" s="4" t="s">
        <v>5561</v>
      </c>
      <c r="B2223" s="5" t="s">
        <v>5562</v>
      </c>
      <c r="C2223" s="4" t="s">
        <v>99</v>
      </c>
      <c r="D2223" s="475">
        <v>6.09</v>
      </c>
      <c r="E2223" s="476">
        <v>0</v>
      </c>
      <c r="F2223" s="6">
        <v>0</v>
      </c>
      <c r="G2223" s="6">
        <v>627</v>
      </c>
    </row>
    <row r="2224" ht="30" customHeight="1" spans="1:7">
      <c r="A2224" s="4" t="s">
        <v>5563</v>
      </c>
      <c r="B2224" s="5" t="s">
        <v>5564</v>
      </c>
      <c r="C2224" s="4" t="s">
        <v>99</v>
      </c>
      <c r="D2224" s="475">
        <v>8.75</v>
      </c>
      <c r="E2224" s="476">
        <v>0</v>
      </c>
      <c r="F2224" s="6">
        <v>0</v>
      </c>
      <c r="G2224" s="6">
        <v>118.2</v>
      </c>
    </row>
    <row r="2225" ht="30" customHeight="1" spans="1:7">
      <c r="A2225" s="4" t="s">
        <v>5565</v>
      </c>
      <c r="B2225" s="5" t="s">
        <v>5566</v>
      </c>
      <c r="C2225" s="4" t="s">
        <v>99</v>
      </c>
      <c r="D2225" s="475">
        <v>9.5</v>
      </c>
      <c r="E2225" s="476">
        <v>0</v>
      </c>
      <c r="F2225" s="6">
        <v>0</v>
      </c>
      <c r="G2225" s="6">
        <v>111</v>
      </c>
    </row>
    <row r="2226" ht="30" customHeight="1" spans="1:7">
      <c r="A2226" s="4" t="s">
        <v>5567</v>
      </c>
      <c r="B2226" s="5" t="s">
        <v>5568</v>
      </c>
      <c r="C2226" s="4" t="s">
        <v>99</v>
      </c>
      <c r="D2226" s="475">
        <v>10.15</v>
      </c>
      <c r="E2226" s="476">
        <v>0</v>
      </c>
      <c r="F2226" s="6">
        <v>0</v>
      </c>
      <c r="G2226" s="6">
        <v>105</v>
      </c>
    </row>
    <row r="2227" ht="30" customHeight="1" spans="1:7">
      <c r="A2227" s="4" t="s">
        <v>5569</v>
      </c>
      <c r="B2227" s="5" t="s">
        <v>5570</v>
      </c>
      <c r="C2227" s="4" t="s">
        <v>99</v>
      </c>
      <c r="D2227" s="475">
        <v>10.75</v>
      </c>
      <c r="E2227" s="476">
        <v>0</v>
      </c>
      <c r="F2227" s="6">
        <v>0</v>
      </c>
      <c r="G2227" s="6">
        <v>100.2</v>
      </c>
    </row>
    <row r="2228" ht="30" customHeight="1" spans="1:7">
      <c r="A2228" s="4" t="s">
        <v>5571</v>
      </c>
      <c r="B2228" s="5" t="s">
        <v>5572</v>
      </c>
      <c r="C2228" s="4" t="s">
        <v>99</v>
      </c>
      <c r="D2228" s="475">
        <v>11.33</v>
      </c>
      <c r="E2228" s="476">
        <v>0</v>
      </c>
      <c r="F2228" s="6">
        <v>0</v>
      </c>
      <c r="G2228" s="6">
        <v>96</v>
      </c>
    </row>
    <row r="2229" ht="30" customHeight="1" spans="1:7">
      <c r="A2229" s="4" t="s">
        <v>5573</v>
      </c>
      <c r="B2229" s="5" t="s">
        <v>5574</v>
      </c>
      <c r="C2229" s="4" t="s">
        <v>99</v>
      </c>
      <c r="D2229" s="475">
        <v>11.89</v>
      </c>
      <c r="E2229" s="476">
        <v>0</v>
      </c>
      <c r="F2229" s="6">
        <v>0</v>
      </c>
      <c r="G2229" s="6">
        <v>92.4</v>
      </c>
    </row>
    <row r="2230" ht="30" customHeight="1" spans="1:7">
      <c r="A2230" s="4" t="s">
        <v>5575</v>
      </c>
      <c r="B2230" s="5" t="s">
        <v>5576</v>
      </c>
      <c r="C2230" s="4" t="s">
        <v>99</v>
      </c>
      <c r="D2230" s="475">
        <v>12.58</v>
      </c>
      <c r="E2230" s="476">
        <v>0</v>
      </c>
      <c r="F2230" s="6">
        <v>0</v>
      </c>
      <c r="G2230" s="6">
        <v>88.8</v>
      </c>
    </row>
    <row r="2231" ht="30" customHeight="1" spans="1:7">
      <c r="A2231" s="4" t="s">
        <v>5577</v>
      </c>
      <c r="B2231" s="5" t="s">
        <v>5578</v>
      </c>
      <c r="C2231" s="4" t="s">
        <v>99</v>
      </c>
      <c r="D2231" s="475">
        <v>13.24</v>
      </c>
      <c r="E2231" s="476">
        <v>0</v>
      </c>
      <c r="F2231" s="6">
        <v>0</v>
      </c>
      <c r="G2231" s="6">
        <v>85.2</v>
      </c>
    </row>
    <row r="2232" ht="30" customHeight="1" spans="1:7">
      <c r="A2232" s="4" t="s">
        <v>5579</v>
      </c>
      <c r="B2232" s="5" t="s">
        <v>5580</v>
      </c>
      <c r="C2232" s="4" t="s">
        <v>99</v>
      </c>
      <c r="D2232" s="475">
        <v>13.95</v>
      </c>
      <c r="E2232" s="476">
        <v>0</v>
      </c>
      <c r="F2232" s="6">
        <v>0</v>
      </c>
      <c r="G2232" s="6">
        <v>81.6</v>
      </c>
    </row>
    <row r="2233" ht="30" customHeight="1" spans="1:7">
      <c r="A2233" s="4" t="s">
        <v>5581</v>
      </c>
      <c r="B2233" s="5" t="s">
        <v>5582</v>
      </c>
      <c r="C2233" s="4" t="s">
        <v>99</v>
      </c>
      <c r="D2233" s="475">
        <v>15.13</v>
      </c>
      <c r="E2233" s="476">
        <v>0</v>
      </c>
      <c r="F2233" s="6">
        <v>0</v>
      </c>
      <c r="G2233" s="6">
        <v>75.6</v>
      </c>
    </row>
    <row r="2234" ht="30" customHeight="1" spans="1:7">
      <c r="A2234" s="4" t="s">
        <v>5583</v>
      </c>
      <c r="B2234" s="5" t="s">
        <v>5584</v>
      </c>
      <c r="C2234" s="4" t="s">
        <v>99</v>
      </c>
      <c r="D2234" s="475">
        <v>17.25</v>
      </c>
      <c r="E2234" s="476">
        <v>0</v>
      </c>
      <c r="F2234" s="6">
        <v>0</v>
      </c>
      <c r="G2234" s="6">
        <v>67.2</v>
      </c>
    </row>
    <row r="2235" ht="30" customHeight="1" spans="1:7">
      <c r="A2235" s="4" t="s">
        <v>5585</v>
      </c>
      <c r="B2235" s="5" t="s">
        <v>5586</v>
      </c>
      <c r="C2235" s="4" t="s">
        <v>99</v>
      </c>
      <c r="D2235" s="475">
        <v>20.77</v>
      </c>
      <c r="E2235" s="476">
        <v>0</v>
      </c>
      <c r="F2235" s="6">
        <v>0</v>
      </c>
      <c r="G2235" s="6">
        <v>55.8</v>
      </c>
    </row>
    <row r="2236" ht="30" customHeight="1" spans="1:7">
      <c r="A2236" s="4" t="s">
        <v>5587</v>
      </c>
      <c r="B2236" s="5" t="s">
        <v>5588</v>
      </c>
      <c r="C2236" s="4" t="s">
        <v>99</v>
      </c>
      <c r="D2236" s="475">
        <v>6.97</v>
      </c>
      <c r="E2236" s="476">
        <v>0</v>
      </c>
      <c r="F2236" s="6">
        <v>0</v>
      </c>
      <c r="G2236" s="6">
        <v>142.8</v>
      </c>
    </row>
    <row r="2237" ht="30" customHeight="1" spans="1:7">
      <c r="A2237" s="4" t="s">
        <v>5589</v>
      </c>
      <c r="B2237" s="5" t="s">
        <v>5590</v>
      </c>
      <c r="C2237" s="4" t="s">
        <v>99</v>
      </c>
      <c r="D2237" s="475">
        <v>7.44</v>
      </c>
      <c r="E2237" s="476">
        <v>0</v>
      </c>
      <c r="F2237" s="6">
        <v>0</v>
      </c>
      <c r="G2237" s="6">
        <v>135.6</v>
      </c>
    </row>
    <row r="2238" ht="30" customHeight="1" spans="1:7">
      <c r="A2238" s="4" t="s">
        <v>5591</v>
      </c>
      <c r="B2238" s="5" t="s">
        <v>5592</v>
      </c>
      <c r="C2238" s="4" t="s">
        <v>99</v>
      </c>
      <c r="D2238" s="475">
        <v>8.02</v>
      </c>
      <c r="E2238" s="476">
        <v>0</v>
      </c>
      <c r="F2238" s="6">
        <v>0</v>
      </c>
      <c r="G2238" s="6">
        <v>127.2</v>
      </c>
    </row>
    <row r="2239" ht="15.75" customHeight="1" spans="1:7">
      <c r="A2239" s="4" t="s">
        <v>5593</v>
      </c>
      <c r="B2239" s="5" t="s">
        <v>5594</v>
      </c>
      <c r="C2239" s="4" t="s">
        <v>99</v>
      </c>
      <c r="D2239" s="475">
        <v>6.78</v>
      </c>
      <c r="E2239" s="476">
        <v>0</v>
      </c>
      <c r="F2239" s="6">
        <v>0</v>
      </c>
      <c r="G2239" s="6">
        <v>147</v>
      </c>
    </row>
    <row r="2240" ht="30" customHeight="1" spans="1:7">
      <c r="A2240" s="4" t="s">
        <v>5595</v>
      </c>
      <c r="B2240" s="5" t="s">
        <v>5596</v>
      </c>
      <c r="C2240" s="4" t="s">
        <v>99</v>
      </c>
      <c r="D2240" s="475">
        <v>6.96</v>
      </c>
      <c r="E2240" s="476">
        <v>0</v>
      </c>
      <c r="F2240" s="6">
        <v>0</v>
      </c>
      <c r="G2240" s="6">
        <v>244.2</v>
      </c>
    </row>
    <row r="2241" ht="30" customHeight="1" spans="1:7">
      <c r="A2241" s="4" t="s">
        <v>5597</v>
      </c>
      <c r="B2241" s="5" t="s">
        <v>5598</v>
      </c>
      <c r="C2241" s="4" t="s">
        <v>99</v>
      </c>
      <c r="D2241" s="475">
        <v>7.75</v>
      </c>
      <c r="E2241" s="476">
        <v>0</v>
      </c>
      <c r="F2241" s="6">
        <v>0</v>
      </c>
      <c r="G2241" s="6">
        <v>228</v>
      </c>
    </row>
    <row r="2242" ht="30" customHeight="1" spans="1:7">
      <c r="A2242" s="4" t="s">
        <v>5599</v>
      </c>
      <c r="B2242" s="5" t="s">
        <v>5600</v>
      </c>
      <c r="C2242" s="4" t="s">
        <v>99</v>
      </c>
      <c r="D2242" s="475">
        <v>8.31</v>
      </c>
      <c r="E2242" s="476">
        <v>0</v>
      </c>
      <c r="F2242" s="6">
        <v>0</v>
      </c>
      <c r="G2242" s="6">
        <v>218.4</v>
      </c>
    </row>
    <row r="2243" ht="30" customHeight="1" spans="1:7">
      <c r="A2243" s="4" t="s">
        <v>5601</v>
      </c>
      <c r="B2243" s="5" t="s">
        <v>5602</v>
      </c>
      <c r="C2243" s="4" t="s">
        <v>99</v>
      </c>
      <c r="D2243" s="475">
        <v>8.84</v>
      </c>
      <c r="E2243" s="476">
        <v>0</v>
      </c>
      <c r="F2243" s="6">
        <v>0</v>
      </c>
      <c r="G2243" s="6">
        <v>208.2</v>
      </c>
    </row>
    <row r="2244" ht="30" customHeight="1" spans="1:7">
      <c r="A2244" s="4" t="s">
        <v>5603</v>
      </c>
      <c r="B2244" s="5" t="s">
        <v>5604</v>
      </c>
      <c r="C2244" s="4" t="s">
        <v>99</v>
      </c>
      <c r="D2244" s="475">
        <v>9.49</v>
      </c>
      <c r="E2244" s="476">
        <v>0</v>
      </c>
      <c r="F2244" s="6">
        <v>0</v>
      </c>
      <c r="G2244" s="6">
        <v>197.4</v>
      </c>
    </row>
    <row r="2245" ht="30" customHeight="1" spans="1:7">
      <c r="A2245" s="4" t="s">
        <v>5605</v>
      </c>
      <c r="B2245" s="5" t="s">
        <v>5606</v>
      </c>
      <c r="C2245" s="4" t="s">
        <v>99</v>
      </c>
      <c r="D2245" s="475">
        <v>10.14</v>
      </c>
      <c r="E2245" s="476">
        <v>0</v>
      </c>
      <c r="F2245" s="6">
        <v>0</v>
      </c>
      <c r="G2245" s="6">
        <v>186</v>
      </c>
    </row>
    <row r="2246" ht="30" customHeight="1" spans="1:7">
      <c r="A2246" s="4" t="s">
        <v>5607</v>
      </c>
      <c r="B2246" s="5" t="s">
        <v>5608</v>
      </c>
      <c r="C2246" s="4" t="s">
        <v>99</v>
      </c>
      <c r="D2246" s="475">
        <v>11.08</v>
      </c>
      <c r="E2246" s="476">
        <v>0</v>
      </c>
      <c r="F2246" s="6">
        <v>0</v>
      </c>
      <c r="G2246" s="6">
        <v>174.6</v>
      </c>
    </row>
    <row r="2247" ht="30" customHeight="1" spans="1:7">
      <c r="A2247" s="4" t="s">
        <v>5609</v>
      </c>
      <c r="B2247" s="5" t="s">
        <v>5610</v>
      </c>
      <c r="C2247" s="4" t="s">
        <v>99</v>
      </c>
      <c r="D2247" s="475">
        <v>11.98</v>
      </c>
      <c r="E2247" s="476">
        <v>0</v>
      </c>
      <c r="F2247" s="6">
        <v>0</v>
      </c>
      <c r="G2247" s="6">
        <v>163.2</v>
      </c>
    </row>
    <row r="2248" ht="30" customHeight="1" spans="1:7">
      <c r="A2248" s="4" t="s">
        <v>5611</v>
      </c>
      <c r="B2248" s="5" t="s">
        <v>5612</v>
      </c>
      <c r="C2248" s="4" t="s">
        <v>99</v>
      </c>
      <c r="D2248" s="475">
        <v>12.83</v>
      </c>
      <c r="E2248" s="476">
        <v>0</v>
      </c>
      <c r="F2248" s="6">
        <v>0</v>
      </c>
      <c r="G2248" s="6">
        <v>153</v>
      </c>
    </row>
    <row r="2249" ht="30" customHeight="1" spans="1:7">
      <c r="A2249" s="4" t="s">
        <v>5613</v>
      </c>
      <c r="B2249" s="5" t="s">
        <v>5614</v>
      </c>
      <c r="C2249" s="4" t="s">
        <v>99</v>
      </c>
      <c r="D2249" s="475">
        <v>13.74</v>
      </c>
      <c r="E2249" s="476">
        <v>0</v>
      </c>
      <c r="F2249" s="6">
        <v>0</v>
      </c>
      <c r="G2249" s="6">
        <v>144</v>
      </c>
    </row>
    <row r="2250" ht="30" customHeight="1" spans="1:7">
      <c r="A2250" s="4" t="s">
        <v>5615</v>
      </c>
      <c r="B2250" s="5" t="s">
        <v>5616</v>
      </c>
      <c r="C2250" s="4" t="s">
        <v>99</v>
      </c>
      <c r="D2250" s="475">
        <v>16.85</v>
      </c>
      <c r="E2250" s="476">
        <v>0</v>
      </c>
      <c r="F2250" s="6">
        <v>0</v>
      </c>
      <c r="G2250" s="6">
        <v>115.2</v>
      </c>
    </row>
    <row r="2251" ht="30" customHeight="1" spans="1:7">
      <c r="A2251" s="4" t="s">
        <v>5617</v>
      </c>
      <c r="B2251" s="5" t="s">
        <v>5618</v>
      </c>
      <c r="C2251" s="4" t="s">
        <v>99</v>
      </c>
      <c r="D2251" s="475">
        <v>19.62</v>
      </c>
      <c r="E2251" s="476">
        <v>0</v>
      </c>
      <c r="F2251" s="6">
        <v>0</v>
      </c>
      <c r="G2251" s="6">
        <v>97.2</v>
      </c>
    </row>
    <row r="2252" ht="30" customHeight="1" spans="1:7">
      <c r="A2252" s="4" t="s">
        <v>5619</v>
      </c>
      <c r="B2252" s="5" t="s">
        <v>5620</v>
      </c>
      <c r="C2252" s="4" t="s">
        <v>99</v>
      </c>
      <c r="D2252" s="475">
        <v>23.19</v>
      </c>
      <c r="E2252" s="476">
        <v>0</v>
      </c>
      <c r="F2252" s="6">
        <v>0</v>
      </c>
      <c r="G2252" s="6">
        <v>81</v>
      </c>
    </row>
    <row r="2253" ht="30" customHeight="1" spans="1:7">
      <c r="A2253" s="4" t="s">
        <v>5621</v>
      </c>
      <c r="B2253" s="5" t="s">
        <v>5622</v>
      </c>
      <c r="C2253" s="4" t="s">
        <v>99</v>
      </c>
      <c r="D2253" s="475">
        <v>26.94</v>
      </c>
      <c r="E2253" s="476">
        <v>0</v>
      </c>
      <c r="F2253" s="6">
        <v>0</v>
      </c>
      <c r="G2253" s="6">
        <v>69</v>
      </c>
    </row>
    <row r="2254" ht="30" customHeight="1" spans="1:7">
      <c r="A2254" s="4" t="s">
        <v>5623</v>
      </c>
      <c r="B2254" s="5" t="s">
        <v>5624</v>
      </c>
      <c r="C2254" s="4" t="s">
        <v>99</v>
      </c>
      <c r="D2254" s="475">
        <v>31.37</v>
      </c>
      <c r="E2254" s="476">
        <v>0</v>
      </c>
      <c r="F2254" s="6">
        <v>0</v>
      </c>
      <c r="G2254" s="6">
        <v>58.8</v>
      </c>
    </row>
    <row r="2255" ht="30" customHeight="1" spans="1:7">
      <c r="A2255" s="4" t="s">
        <v>5625</v>
      </c>
      <c r="B2255" s="5" t="s">
        <v>5626</v>
      </c>
      <c r="C2255" s="4" t="s">
        <v>99</v>
      </c>
      <c r="D2255" s="475">
        <v>37.32</v>
      </c>
      <c r="E2255" s="476">
        <v>0</v>
      </c>
      <c r="F2255" s="6">
        <v>0</v>
      </c>
      <c r="G2255" s="6">
        <v>49.2</v>
      </c>
    </row>
    <row r="2256" ht="30" customHeight="1" spans="1:7">
      <c r="A2256" s="4" t="s">
        <v>5627</v>
      </c>
      <c r="B2256" s="5" t="s">
        <v>5628</v>
      </c>
      <c r="C2256" s="4" t="s">
        <v>99</v>
      </c>
      <c r="D2256" s="475">
        <v>43.45</v>
      </c>
      <c r="E2256" s="476">
        <v>0</v>
      </c>
      <c r="F2256" s="6">
        <v>0</v>
      </c>
      <c r="G2256" s="6">
        <v>42</v>
      </c>
    </row>
    <row r="2257" ht="30" customHeight="1" spans="1:7">
      <c r="A2257" s="4" t="s">
        <v>5629</v>
      </c>
      <c r="B2257" s="5" t="s">
        <v>5630</v>
      </c>
      <c r="C2257" s="4" t="s">
        <v>99</v>
      </c>
      <c r="D2257" s="475">
        <v>50.48</v>
      </c>
      <c r="E2257" s="476">
        <v>0</v>
      </c>
      <c r="F2257" s="6">
        <v>0</v>
      </c>
      <c r="G2257" s="6">
        <v>36</v>
      </c>
    </row>
    <row r="2258" ht="30" customHeight="1" spans="1:7">
      <c r="A2258" s="4" t="s">
        <v>5631</v>
      </c>
      <c r="B2258" s="5" t="s">
        <v>5632</v>
      </c>
      <c r="C2258" s="4" t="s">
        <v>99</v>
      </c>
      <c r="D2258" s="475">
        <v>55.27</v>
      </c>
      <c r="E2258" s="476">
        <v>0</v>
      </c>
      <c r="F2258" s="6">
        <v>0</v>
      </c>
      <c r="G2258" s="6">
        <v>33</v>
      </c>
    </row>
    <row r="2259" ht="30" customHeight="1" spans="1:7">
      <c r="A2259" s="4" t="s">
        <v>5633</v>
      </c>
      <c r="B2259" s="5" t="s">
        <v>5634</v>
      </c>
      <c r="C2259" s="4" t="s">
        <v>99</v>
      </c>
      <c r="D2259" s="475">
        <v>61.1</v>
      </c>
      <c r="E2259" s="476">
        <v>0</v>
      </c>
      <c r="F2259" s="6">
        <v>0</v>
      </c>
      <c r="G2259" s="6">
        <v>30</v>
      </c>
    </row>
    <row r="2260" ht="30" customHeight="1" spans="1:7">
      <c r="A2260" s="4" t="s">
        <v>5635</v>
      </c>
      <c r="B2260" s="5" t="s">
        <v>5636</v>
      </c>
      <c r="C2260" s="4" t="s">
        <v>99</v>
      </c>
      <c r="D2260" s="475">
        <v>5.79</v>
      </c>
      <c r="E2260" s="476">
        <v>0</v>
      </c>
      <c r="F2260" s="6">
        <v>0</v>
      </c>
      <c r="G2260" s="6">
        <v>267</v>
      </c>
    </row>
    <row r="2261" ht="30" customHeight="1" spans="1:7">
      <c r="A2261" s="4" t="s">
        <v>5637</v>
      </c>
      <c r="B2261" s="5" t="s">
        <v>5638</v>
      </c>
      <c r="C2261" s="4" t="s">
        <v>99</v>
      </c>
      <c r="D2261" s="475">
        <v>6.11</v>
      </c>
      <c r="E2261" s="476">
        <v>0</v>
      </c>
      <c r="F2261" s="6">
        <v>0</v>
      </c>
      <c r="G2261" s="6">
        <v>262.2</v>
      </c>
    </row>
    <row r="2262" ht="30" customHeight="1" spans="1:7">
      <c r="A2262" s="4" t="s">
        <v>5639</v>
      </c>
      <c r="B2262" s="5" t="s">
        <v>5640</v>
      </c>
      <c r="C2262" s="4" t="s">
        <v>99</v>
      </c>
      <c r="D2262" s="475">
        <v>6.47</v>
      </c>
      <c r="E2262" s="476">
        <v>0</v>
      </c>
      <c r="F2262" s="6">
        <v>0</v>
      </c>
      <c r="G2262" s="6">
        <v>256.2</v>
      </c>
    </row>
    <row r="2263" ht="15.75" customHeight="1" spans="1:7">
      <c r="A2263" s="4" t="s">
        <v>5641</v>
      </c>
      <c r="B2263" s="5" t="s">
        <v>5642</v>
      </c>
      <c r="C2263" s="4" t="s">
        <v>99</v>
      </c>
      <c r="D2263" s="475">
        <v>5.71</v>
      </c>
      <c r="E2263" s="476">
        <v>0</v>
      </c>
      <c r="F2263" s="6">
        <v>0</v>
      </c>
      <c r="G2263" s="6">
        <v>271.2</v>
      </c>
    </row>
    <row r="2264" ht="30" customHeight="1" spans="1:7">
      <c r="A2264" s="4" t="s">
        <v>5643</v>
      </c>
      <c r="B2264" s="5" t="s">
        <v>5644</v>
      </c>
      <c r="C2264" s="4" t="s">
        <v>99</v>
      </c>
      <c r="D2264" s="475">
        <v>7.23</v>
      </c>
      <c r="E2264" s="476">
        <v>0</v>
      </c>
      <c r="F2264" s="6">
        <v>0</v>
      </c>
      <c r="G2264" s="6">
        <v>378</v>
      </c>
    </row>
    <row r="2265" ht="30" customHeight="1" spans="1:7">
      <c r="A2265" s="4" t="s">
        <v>5645</v>
      </c>
      <c r="B2265" s="5" t="s">
        <v>5646</v>
      </c>
      <c r="C2265" s="4" t="s">
        <v>99</v>
      </c>
      <c r="D2265" s="475">
        <v>8</v>
      </c>
      <c r="E2265" s="476">
        <v>0</v>
      </c>
      <c r="F2265" s="6">
        <v>0</v>
      </c>
      <c r="G2265" s="6">
        <v>363</v>
      </c>
    </row>
    <row r="2266" ht="30" customHeight="1" spans="1:7">
      <c r="A2266" s="4" t="s">
        <v>5647</v>
      </c>
      <c r="B2266" s="5" t="s">
        <v>5648</v>
      </c>
      <c r="C2266" s="4" t="s">
        <v>99</v>
      </c>
      <c r="D2266" s="475">
        <v>8.53</v>
      </c>
      <c r="E2266" s="476">
        <v>0</v>
      </c>
      <c r="F2266" s="6">
        <v>0</v>
      </c>
      <c r="G2266" s="6">
        <v>348</v>
      </c>
    </row>
    <row r="2267" ht="30" customHeight="1" spans="1:7">
      <c r="A2267" s="4" t="s">
        <v>5649</v>
      </c>
      <c r="B2267" s="5" t="s">
        <v>5650</v>
      </c>
      <c r="C2267" s="4" t="s">
        <v>99</v>
      </c>
      <c r="D2267" s="475">
        <v>9.03</v>
      </c>
      <c r="E2267" s="476">
        <v>0</v>
      </c>
      <c r="F2267" s="6">
        <v>0</v>
      </c>
      <c r="G2267" s="6">
        <v>336</v>
      </c>
    </row>
    <row r="2268" ht="30" customHeight="1" spans="1:7">
      <c r="A2268" s="4" t="s">
        <v>5651</v>
      </c>
      <c r="B2268" s="5" t="s">
        <v>5652</v>
      </c>
      <c r="C2268" s="4" t="s">
        <v>99</v>
      </c>
      <c r="D2268" s="475">
        <v>9.47</v>
      </c>
      <c r="E2268" s="476">
        <v>0</v>
      </c>
      <c r="F2268" s="6">
        <v>0</v>
      </c>
      <c r="G2268" s="6">
        <v>324</v>
      </c>
    </row>
    <row r="2269" ht="30" customHeight="1" spans="1:7">
      <c r="A2269" s="4" t="s">
        <v>5653</v>
      </c>
      <c r="B2269" s="5" t="s">
        <v>5654</v>
      </c>
      <c r="C2269" s="4" t="s">
        <v>99</v>
      </c>
      <c r="D2269" s="475">
        <v>10</v>
      </c>
      <c r="E2269" s="476">
        <v>0</v>
      </c>
      <c r="F2269" s="6">
        <v>0</v>
      </c>
      <c r="G2269" s="6">
        <v>312</v>
      </c>
    </row>
    <row r="2270" ht="30" customHeight="1" spans="1:7">
      <c r="A2270" s="4" t="s">
        <v>5655</v>
      </c>
      <c r="B2270" s="5" t="s">
        <v>5656</v>
      </c>
      <c r="C2270" s="4" t="s">
        <v>99</v>
      </c>
      <c r="D2270" s="475">
        <v>10.81</v>
      </c>
      <c r="E2270" s="476">
        <v>0</v>
      </c>
      <c r="F2270" s="6">
        <v>0</v>
      </c>
      <c r="G2270" s="6">
        <v>300</v>
      </c>
    </row>
    <row r="2271" ht="30" customHeight="1" spans="1:7">
      <c r="A2271" s="4" t="s">
        <v>5657</v>
      </c>
      <c r="B2271" s="5" t="s">
        <v>5658</v>
      </c>
      <c r="C2271" s="4" t="s">
        <v>99</v>
      </c>
      <c r="D2271" s="475">
        <v>11.31</v>
      </c>
      <c r="E2271" s="476">
        <v>0</v>
      </c>
      <c r="F2271" s="6">
        <v>0</v>
      </c>
      <c r="G2271" s="6">
        <v>291</v>
      </c>
    </row>
    <row r="2272" ht="30" customHeight="1" spans="1:7">
      <c r="A2272" s="4" t="s">
        <v>5659</v>
      </c>
      <c r="B2272" s="5" t="s">
        <v>5660</v>
      </c>
      <c r="C2272" s="4" t="s">
        <v>99</v>
      </c>
      <c r="D2272" s="475">
        <v>11.82</v>
      </c>
      <c r="E2272" s="476">
        <v>0</v>
      </c>
      <c r="F2272" s="6">
        <v>0</v>
      </c>
      <c r="G2272" s="6">
        <v>282</v>
      </c>
    </row>
    <row r="2273" ht="30" customHeight="1" spans="1:7">
      <c r="A2273" s="4" t="s">
        <v>5661</v>
      </c>
      <c r="B2273" s="5" t="s">
        <v>5662</v>
      </c>
      <c r="C2273" s="4" t="s">
        <v>99</v>
      </c>
      <c r="D2273" s="475">
        <v>12.35</v>
      </c>
      <c r="E2273" s="476">
        <v>0</v>
      </c>
      <c r="F2273" s="6">
        <v>0</v>
      </c>
      <c r="G2273" s="6">
        <v>273</v>
      </c>
    </row>
    <row r="2274" ht="30" customHeight="1" spans="1:7">
      <c r="A2274" s="4" t="s">
        <v>5663</v>
      </c>
      <c r="B2274" s="5" t="s">
        <v>5664</v>
      </c>
      <c r="C2274" s="4" t="s">
        <v>99</v>
      </c>
      <c r="D2274" s="475">
        <v>13.37</v>
      </c>
      <c r="E2274" s="476">
        <v>0</v>
      </c>
      <c r="F2274" s="6">
        <v>0</v>
      </c>
      <c r="G2274" s="6">
        <v>259.2</v>
      </c>
    </row>
    <row r="2275" ht="30" customHeight="1" spans="1:7">
      <c r="A2275" s="4" t="s">
        <v>5665</v>
      </c>
      <c r="B2275" s="5" t="s">
        <v>5666</v>
      </c>
      <c r="C2275" s="4" t="s">
        <v>99</v>
      </c>
      <c r="D2275" s="475">
        <v>14.55</v>
      </c>
      <c r="E2275" s="476">
        <v>0</v>
      </c>
      <c r="F2275" s="6">
        <v>0</v>
      </c>
      <c r="G2275" s="6">
        <v>235.2</v>
      </c>
    </row>
    <row r="2276" ht="30" customHeight="1" spans="1:7">
      <c r="A2276" s="4" t="s">
        <v>5667</v>
      </c>
      <c r="B2276" s="5" t="s">
        <v>5668</v>
      </c>
      <c r="C2276" s="4" t="s">
        <v>99</v>
      </c>
      <c r="D2276" s="475">
        <v>16.73</v>
      </c>
      <c r="E2276" s="476">
        <v>0</v>
      </c>
      <c r="F2276" s="6">
        <v>0</v>
      </c>
      <c r="G2276" s="6">
        <v>198</v>
      </c>
    </row>
    <row r="2277" ht="30" customHeight="1" spans="1:7">
      <c r="A2277" s="4" t="s">
        <v>5669</v>
      </c>
      <c r="B2277" s="5" t="s">
        <v>5670</v>
      </c>
      <c r="C2277" s="4" t="s">
        <v>99</v>
      </c>
      <c r="D2277" s="475">
        <v>19.28</v>
      </c>
      <c r="E2277" s="476">
        <v>0</v>
      </c>
      <c r="F2277" s="6">
        <v>0</v>
      </c>
      <c r="G2277" s="6">
        <v>166.8</v>
      </c>
    </row>
    <row r="2278" ht="30" customHeight="1" spans="1:7">
      <c r="A2278" s="4" t="s">
        <v>5671</v>
      </c>
      <c r="B2278" s="5" t="s">
        <v>5672</v>
      </c>
      <c r="C2278" s="4" t="s">
        <v>99</v>
      </c>
      <c r="D2278" s="475">
        <v>21.96</v>
      </c>
      <c r="E2278" s="476">
        <v>0</v>
      </c>
      <c r="F2278" s="6">
        <v>0</v>
      </c>
      <c r="G2278" s="6">
        <v>142.8</v>
      </c>
    </row>
    <row r="2279" ht="30" customHeight="1" spans="1:7">
      <c r="A2279" s="4" t="s">
        <v>5673</v>
      </c>
      <c r="B2279" s="5" t="s">
        <v>5674</v>
      </c>
      <c r="C2279" s="4" t="s">
        <v>99</v>
      </c>
      <c r="D2279" s="475">
        <v>25.46</v>
      </c>
      <c r="E2279" s="476">
        <v>0</v>
      </c>
      <c r="F2279" s="6">
        <v>0</v>
      </c>
      <c r="G2279" s="6">
        <v>121.8</v>
      </c>
    </row>
    <row r="2280" ht="30" customHeight="1" spans="1:7">
      <c r="A2280" s="4" t="s">
        <v>5675</v>
      </c>
      <c r="B2280" s="5" t="s">
        <v>5676</v>
      </c>
      <c r="C2280" s="4" t="s">
        <v>99</v>
      </c>
      <c r="D2280" s="475">
        <v>28.6</v>
      </c>
      <c r="E2280" s="476">
        <v>0</v>
      </c>
      <c r="F2280" s="6">
        <v>0</v>
      </c>
      <c r="G2280" s="6">
        <v>106.8</v>
      </c>
    </row>
    <row r="2281" ht="30" customHeight="1" spans="1:7">
      <c r="A2281" s="4" t="s">
        <v>5677</v>
      </c>
      <c r="B2281" s="5" t="s">
        <v>5678</v>
      </c>
      <c r="C2281" s="4" t="s">
        <v>99</v>
      </c>
      <c r="D2281" s="475">
        <v>32.67</v>
      </c>
      <c r="E2281" s="476">
        <v>0</v>
      </c>
      <c r="F2281" s="6">
        <v>0</v>
      </c>
      <c r="G2281" s="6">
        <v>91.8</v>
      </c>
    </row>
    <row r="2282" ht="30" customHeight="1" spans="1:7">
      <c r="A2282" s="4" t="s">
        <v>5679</v>
      </c>
      <c r="B2282" s="5" t="s">
        <v>5680</v>
      </c>
      <c r="C2282" s="4" t="s">
        <v>99</v>
      </c>
      <c r="D2282" s="475">
        <v>36.85</v>
      </c>
      <c r="E2282" s="476">
        <v>0</v>
      </c>
      <c r="F2282" s="6">
        <v>0</v>
      </c>
      <c r="G2282" s="6">
        <v>80.4</v>
      </c>
    </row>
    <row r="2283" ht="30" customHeight="1" spans="1:7">
      <c r="A2283" s="4" t="s">
        <v>5681</v>
      </c>
      <c r="B2283" s="5" t="s">
        <v>5682</v>
      </c>
      <c r="C2283" s="4" t="s">
        <v>99</v>
      </c>
      <c r="D2283" s="475">
        <v>41.73</v>
      </c>
      <c r="E2283" s="476">
        <v>0</v>
      </c>
      <c r="F2283" s="6">
        <v>0</v>
      </c>
      <c r="G2283" s="6">
        <v>70.8</v>
      </c>
    </row>
    <row r="2284" ht="30" customHeight="1" spans="1:7">
      <c r="A2284" s="4" t="s">
        <v>5683</v>
      </c>
      <c r="B2284" s="5" t="s">
        <v>5684</v>
      </c>
      <c r="C2284" s="4" t="s">
        <v>99</v>
      </c>
      <c r="D2284" s="475">
        <v>47.68</v>
      </c>
      <c r="E2284" s="476">
        <v>0</v>
      </c>
      <c r="F2284" s="6">
        <v>0</v>
      </c>
      <c r="G2284" s="6">
        <v>61.2</v>
      </c>
    </row>
    <row r="2285" ht="30" customHeight="1" spans="1:7">
      <c r="A2285" s="4" t="s">
        <v>5685</v>
      </c>
      <c r="B2285" s="5" t="s">
        <v>5686</v>
      </c>
      <c r="C2285" s="4" t="s">
        <v>99</v>
      </c>
      <c r="D2285" s="475">
        <v>53.06</v>
      </c>
      <c r="E2285" s="476">
        <v>0</v>
      </c>
      <c r="F2285" s="6">
        <v>0</v>
      </c>
      <c r="G2285" s="6">
        <v>54.6</v>
      </c>
    </row>
    <row r="2286" ht="30" customHeight="1" spans="1:7">
      <c r="A2286" s="4" t="s">
        <v>5687</v>
      </c>
      <c r="B2286" s="5" t="s">
        <v>5688</v>
      </c>
      <c r="C2286" s="4" t="s">
        <v>99</v>
      </c>
      <c r="D2286" s="475">
        <v>59.94</v>
      </c>
      <c r="E2286" s="476">
        <v>0</v>
      </c>
      <c r="F2286" s="6">
        <v>0</v>
      </c>
      <c r="G2286" s="6">
        <v>48</v>
      </c>
    </row>
    <row r="2287" ht="30" customHeight="1" spans="1:7">
      <c r="A2287" s="4" t="s">
        <v>5689</v>
      </c>
      <c r="B2287" s="5" t="s">
        <v>5690</v>
      </c>
      <c r="C2287" s="4" t="s">
        <v>99</v>
      </c>
      <c r="D2287" s="475">
        <v>64.73</v>
      </c>
      <c r="E2287" s="476">
        <v>0</v>
      </c>
      <c r="F2287" s="6">
        <v>0</v>
      </c>
      <c r="G2287" s="6">
        <v>44.4</v>
      </c>
    </row>
    <row r="2288" ht="30" customHeight="1" spans="1:7">
      <c r="A2288" s="4" t="s">
        <v>5691</v>
      </c>
      <c r="B2288" s="5" t="s">
        <v>5692</v>
      </c>
      <c r="C2288" s="4" t="s">
        <v>99</v>
      </c>
      <c r="D2288" s="475">
        <v>68.85</v>
      </c>
      <c r="E2288" s="476">
        <v>0</v>
      </c>
      <c r="F2288" s="6">
        <v>0</v>
      </c>
      <c r="G2288" s="6">
        <v>42</v>
      </c>
    </row>
    <row r="2289" ht="30" customHeight="1" spans="1:7">
      <c r="A2289" s="4" t="s">
        <v>5693</v>
      </c>
      <c r="B2289" s="5" t="s">
        <v>5694</v>
      </c>
      <c r="C2289" s="4" t="s">
        <v>99</v>
      </c>
      <c r="D2289" s="475">
        <v>5.57</v>
      </c>
      <c r="E2289" s="476">
        <v>0</v>
      </c>
      <c r="F2289" s="6">
        <v>0</v>
      </c>
      <c r="G2289" s="6">
        <v>450</v>
      </c>
    </row>
    <row r="2290" ht="30" customHeight="1" spans="1:7">
      <c r="A2290" s="4" t="s">
        <v>5695</v>
      </c>
      <c r="B2290" s="5" t="s">
        <v>5696</v>
      </c>
      <c r="C2290" s="4" t="s">
        <v>99</v>
      </c>
      <c r="D2290" s="475">
        <v>6.17</v>
      </c>
      <c r="E2290" s="476">
        <v>0</v>
      </c>
      <c r="F2290" s="6">
        <v>0</v>
      </c>
      <c r="G2290" s="6">
        <v>421.2</v>
      </c>
    </row>
    <row r="2291" ht="30" customHeight="1" spans="1:7">
      <c r="A2291" s="4" t="s">
        <v>5697</v>
      </c>
      <c r="B2291" s="5" t="s">
        <v>5698</v>
      </c>
      <c r="C2291" s="4" t="s">
        <v>99</v>
      </c>
      <c r="D2291" s="475">
        <v>6.77</v>
      </c>
      <c r="E2291" s="476">
        <v>0</v>
      </c>
      <c r="F2291" s="6">
        <v>0</v>
      </c>
      <c r="G2291" s="6">
        <v>396</v>
      </c>
    </row>
    <row r="2292" ht="15.75" customHeight="1" spans="1:7">
      <c r="A2292" s="4" t="s">
        <v>5699</v>
      </c>
      <c r="B2292" s="5" t="s">
        <v>5700</v>
      </c>
      <c r="C2292" s="4" t="s">
        <v>99</v>
      </c>
      <c r="D2292" s="475">
        <v>5.17</v>
      </c>
      <c r="E2292" s="476">
        <v>0</v>
      </c>
      <c r="F2292" s="6">
        <v>0</v>
      </c>
      <c r="G2292" s="6">
        <v>492</v>
      </c>
    </row>
    <row r="2293" ht="15.75" customHeight="1" spans="1:7">
      <c r="A2293" s="4" t="s">
        <v>5701</v>
      </c>
      <c r="B2293" s="5" t="s">
        <v>5702</v>
      </c>
      <c r="C2293" s="4" t="s">
        <v>99</v>
      </c>
      <c r="D2293" s="475">
        <v>27.19</v>
      </c>
      <c r="E2293" s="476">
        <v>0</v>
      </c>
      <c r="F2293" s="6">
        <v>0</v>
      </c>
      <c r="G2293" s="6">
        <v>418.13</v>
      </c>
    </row>
    <row r="2294" ht="15.75" customHeight="1" spans="1:7">
      <c r="A2294" s="4" t="s">
        <v>5703</v>
      </c>
      <c r="B2294" s="5" t="s">
        <v>5704</v>
      </c>
      <c r="C2294" s="4" t="s">
        <v>99</v>
      </c>
      <c r="D2294" s="475">
        <v>27.69</v>
      </c>
      <c r="E2294" s="476">
        <v>0</v>
      </c>
      <c r="F2294" s="6">
        <v>0</v>
      </c>
      <c r="G2294" s="6">
        <v>410.64</v>
      </c>
    </row>
    <row r="2295" ht="15.75" customHeight="1" spans="1:7">
      <c r="A2295" s="4" t="s">
        <v>5705</v>
      </c>
      <c r="B2295" s="5" t="s">
        <v>5706</v>
      </c>
      <c r="C2295" s="4" t="s">
        <v>99</v>
      </c>
      <c r="D2295" s="475">
        <v>28.2</v>
      </c>
      <c r="E2295" s="476">
        <v>0</v>
      </c>
      <c r="F2295" s="6">
        <v>0</v>
      </c>
      <c r="G2295" s="6">
        <v>403.23</v>
      </c>
    </row>
    <row r="2296" ht="15.75" customHeight="1" spans="1:7">
      <c r="A2296" s="4" t="s">
        <v>5707</v>
      </c>
      <c r="B2296" s="5" t="s">
        <v>5708</v>
      </c>
      <c r="C2296" s="4" t="s">
        <v>99</v>
      </c>
      <c r="D2296" s="475">
        <v>28.73</v>
      </c>
      <c r="E2296" s="476">
        <v>0</v>
      </c>
      <c r="F2296" s="6">
        <v>0</v>
      </c>
      <c r="G2296" s="6">
        <v>395.78</v>
      </c>
    </row>
    <row r="2297" ht="15.75" customHeight="1" spans="1:7">
      <c r="A2297" s="4" t="s">
        <v>5709</v>
      </c>
      <c r="B2297" s="5" t="s">
        <v>5710</v>
      </c>
      <c r="C2297" s="4" t="s">
        <v>99</v>
      </c>
      <c r="D2297" s="475">
        <v>29.29</v>
      </c>
      <c r="E2297" s="476">
        <v>0</v>
      </c>
      <c r="F2297" s="6">
        <v>0</v>
      </c>
      <c r="G2297" s="6">
        <v>388.15</v>
      </c>
    </row>
    <row r="2298" ht="15.75" customHeight="1" spans="1:7">
      <c r="A2298" s="4" t="s">
        <v>5711</v>
      </c>
      <c r="B2298" s="5" t="s">
        <v>5712</v>
      </c>
      <c r="C2298" s="4" t="s">
        <v>99</v>
      </c>
      <c r="D2298" s="475">
        <v>29.59</v>
      </c>
      <c r="E2298" s="476">
        <v>0</v>
      </c>
      <c r="F2298" s="6">
        <v>0</v>
      </c>
      <c r="G2298" s="6">
        <v>384.24</v>
      </c>
    </row>
    <row r="2299" ht="15.75" customHeight="1" spans="1:7">
      <c r="A2299" s="4" t="s">
        <v>5713</v>
      </c>
      <c r="B2299" s="5" t="s">
        <v>5714</v>
      </c>
      <c r="C2299" s="4" t="s">
        <v>99</v>
      </c>
      <c r="D2299" s="475">
        <v>15.04</v>
      </c>
      <c r="E2299" s="476">
        <v>0</v>
      </c>
      <c r="F2299" s="6">
        <v>0</v>
      </c>
      <c r="G2299" s="6">
        <v>2916.35</v>
      </c>
    </row>
    <row r="2300" ht="15.75" customHeight="1" spans="1:7">
      <c r="A2300" s="4" t="s">
        <v>5715</v>
      </c>
      <c r="B2300" s="5" t="s">
        <v>5716</v>
      </c>
      <c r="C2300" s="4" t="s">
        <v>99</v>
      </c>
      <c r="D2300" s="475">
        <v>15.16</v>
      </c>
      <c r="E2300" s="476">
        <v>0</v>
      </c>
      <c r="F2300" s="6">
        <v>0</v>
      </c>
      <c r="G2300" s="6">
        <v>2893.29</v>
      </c>
    </row>
    <row r="2301" ht="15.75" customHeight="1" spans="1:7">
      <c r="A2301" s="4" t="s">
        <v>5717</v>
      </c>
      <c r="B2301" s="5" t="s">
        <v>5718</v>
      </c>
      <c r="C2301" s="4" t="s">
        <v>99</v>
      </c>
      <c r="D2301" s="475">
        <v>15.28</v>
      </c>
      <c r="E2301" s="476">
        <v>0</v>
      </c>
      <c r="F2301" s="6">
        <v>0</v>
      </c>
      <c r="G2301" s="6">
        <v>2869.68</v>
      </c>
    </row>
    <row r="2302" ht="15.75" customHeight="1" spans="1:7">
      <c r="A2302" s="4" t="s">
        <v>5719</v>
      </c>
      <c r="B2302" s="5" t="s">
        <v>5720</v>
      </c>
      <c r="C2302" s="4" t="s">
        <v>99</v>
      </c>
      <c r="D2302" s="475">
        <v>15.41</v>
      </c>
      <c r="E2302" s="476">
        <v>0</v>
      </c>
      <c r="F2302" s="6">
        <v>0</v>
      </c>
      <c r="G2302" s="6">
        <v>2845.55</v>
      </c>
    </row>
    <row r="2303" ht="15.75" customHeight="1" spans="1:7">
      <c r="A2303" s="4" t="s">
        <v>5721</v>
      </c>
      <c r="B2303" s="5" t="s">
        <v>5722</v>
      </c>
      <c r="C2303" s="4" t="s">
        <v>99</v>
      </c>
      <c r="D2303" s="475">
        <v>15.55</v>
      </c>
      <c r="E2303" s="476">
        <v>0</v>
      </c>
      <c r="F2303" s="6">
        <v>0</v>
      </c>
      <c r="G2303" s="6">
        <v>2820.29</v>
      </c>
    </row>
    <row r="2304" ht="15.75" customHeight="1" spans="1:7">
      <c r="A2304" s="4" t="s">
        <v>5723</v>
      </c>
      <c r="B2304" s="5" t="s">
        <v>5724</v>
      </c>
      <c r="C2304" s="4" t="s">
        <v>99</v>
      </c>
      <c r="D2304" s="475">
        <v>15.62</v>
      </c>
      <c r="E2304" s="476">
        <v>0</v>
      </c>
      <c r="F2304" s="6">
        <v>0</v>
      </c>
      <c r="G2304" s="6">
        <v>2806.96</v>
      </c>
    </row>
    <row r="2305" ht="15.75" customHeight="1" spans="1:7">
      <c r="A2305" s="4" t="s">
        <v>5725</v>
      </c>
      <c r="B2305" s="5" t="s">
        <v>5726</v>
      </c>
      <c r="C2305" s="4" t="s">
        <v>99</v>
      </c>
      <c r="D2305" s="475">
        <v>19.65</v>
      </c>
      <c r="E2305" s="476">
        <v>0</v>
      </c>
      <c r="F2305" s="6">
        <v>0</v>
      </c>
      <c r="G2305" s="6">
        <v>3131.44</v>
      </c>
    </row>
    <row r="2306" ht="15.75" customHeight="1" spans="1:7">
      <c r="A2306" s="4" t="s">
        <v>5727</v>
      </c>
      <c r="B2306" s="5" t="s">
        <v>5728</v>
      </c>
      <c r="C2306" s="4" t="s">
        <v>99</v>
      </c>
      <c r="D2306" s="475">
        <v>19.76</v>
      </c>
      <c r="E2306" s="476">
        <v>0</v>
      </c>
      <c r="F2306" s="6">
        <v>0</v>
      </c>
      <c r="G2306" s="6">
        <v>3113.67</v>
      </c>
    </row>
    <row r="2307" ht="15.75" customHeight="1" spans="1:7">
      <c r="A2307" s="4" t="s">
        <v>5729</v>
      </c>
      <c r="B2307" s="5" t="s">
        <v>5730</v>
      </c>
      <c r="C2307" s="4" t="s">
        <v>99</v>
      </c>
      <c r="D2307" s="475">
        <v>19.88</v>
      </c>
      <c r="E2307" s="476">
        <v>0</v>
      </c>
      <c r="F2307" s="6">
        <v>0</v>
      </c>
      <c r="G2307" s="6">
        <v>3095.39</v>
      </c>
    </row>
    <row r="2308" ht="15.75" customHeight="1" spans="1:7">
      <c r="A2308" s="4" t="s">
        <v>5731</v>
      </c>
      <c r="B2308" s="5" t="s">
        <v>5732</v>
      </c>
      <c r="C2308" s="4" t="s">
        <v>99</v>
      </c>
      <c r="D2308" s="475">
        <v>20</v>
      </c>
      <c r="E2308" s="476">
        <v>0</v>
      </c>
      <c r="F2308" s="6">
        <v>0</v>
      </c>
      <c r="G2308" s="6">
        <v>3076.64</v>
      </c>
    </row>
    <row r="2309" ht="15.75" customHeight="1" spans="1:7">
      <c r="A2309" s="4" t="s">
        <v>5733</v>
      </c>
      <c r="B2309" s="5" t="s">
        <v>5734</v>
      </c>
      <c r="C2309" s="4" t="s">
        <v>99</v>
      </c>
      <c r="D2309" s="475">
        <v>20.13</v>
      </c>
      <c r="E2309" s="476">
        <v>0</v>
      </c>
      <c r="F2309" s="6">
        <v>0</v>
      </c>
      <c r="G2309" s="6">
        <v>3056.9</v>
      </c>
    </row>
    <row r="2310" ht="15.75" customHeight="1" spans="1:7">
      <c r="A2310" s="4" t="s">
        <v>5735</v>
      </c>
      <c r="B2310" s="5" t="s">
        <v>5736</v>
      </c>
      <c r="C2310" s="4" t="s">
        <v>99</v>
      </c>
      <c r="D2310" s="475">
        <v>20.2</v>
      </c>
      <c r="E2310" s="476">
        <v>0</v>
      </c>
      <c r="F2310" s="6">
        <v>0</v>
      </c>
      <c r="G2310" s="6">
        <v>3046.45</v>
      </c>
    </row>
    <row r="2311" ht="15.75" customHeight="1" spans="1:7">
      <c r="A2311" s="4" t="s">
        <v>5737</v>
      </c>
      <c r="B2311" s="5" t="s">
        <v>5738</v>
      </c>
      <c r="C2311" s="4" t="s">
        <v>99</v>
      </c>
      <c r="D2311" s="475">
        <v>17.92</v>
      </c>
      <c r="E2311" s="476">
        <v>0</v>
      </c>
      <c r="F2311" s="6">
        <v>0</v>
      </c>
      <c r="G2311" s="6">
        <v>838.38</v>
      </c>
    </row>
    <row r="2312" ht="15.75" customHeight="1" spans="1:7">
      <c r="A2312" s="4" t="s">
        <v>5739</v>
      </c>
      <c r="B2312" s="5" t="s">
        <v>5740</v>
      </c>
      <c r="C2312" s="4" t="s">
        <v>99</v>
      </c>
      <c r="D2312" s="475">
        <v>18.21</v>
      </c>
      <c r="E2312" s="476">
        <v>0</v>
      </c>
      <c r="F2312" s="6">
        <v>0</v>
      </c>
      <c r="G2312" s="6">
        <v>825.11</v>
      </c>
    </row>
    <row r="2313" ht="15.75" customHeight="1" spans="1:7">
      <c r="A2313" s="4" t="s">
        <v>5741</v>
      </c>
      <c r="B2313" s="5" t="s">
        <v>5742</v>
      </c>
      <c r="C2313" s="4" t="s">
        <v>99</v>
      </c>
      <c r="D2313" s="475">
        <v>18.5</v>
      </c>
      <c r="E2313" s="476">
        <v>0</v>
      </c>
      <c r="F2313" s="6">
        <v>0</v>
      </c>
      <c r="G2313" s="6">
        <v>811.88</v>
      </c>
    </row>
    <row r="2314" ht="15.75" customHeight="1" spans="1:7">
      <c r="A2314" s="4" t="s">
        <v>5743</v>
      </c>
      <c r="B2314" s="5" t="s">
        <v>5744</v>
      </c>
      <c r="C2314" s="4" t="s">
        <v>99</v>
      </c>
      <c r="D2314" s="475">
        <v>18.81</v>
      </c>
      <c r="E2314" s="476">
        <v>0</v>
      </c>
      <c r="F2314" s="6">
        <v>0</v>
      </c>
      <c r="G2314" s="6">
        <v>798.64</v>
      </c>
    </row>
    <row r="2315" ht="15.75" customHeight="1" spans="1:7">
      <c r="A2315" s="4" t="s">
        <v>5745</v>
      </c>
      <c r="B2315" s="5" t="s">
        <v>5746</v>
      </c>
      <c r="C2315" s="4" t="s">
        <v>99</v>
      </c>
      <c r="D2315" s="475">
        <v>19.14</v>
      </c>
      <c r="E2315" s="476">
        <v>0</v>
      </c>
      <c r="F2315" s="6">
        <v>0</v>
      </c>
      <c r="G2315" s="6">
        <v>784.88</v>
      </c>
    </row>
    <row r="2316" ht="15.75" customHeight="1" spans="1:7">
      <c r="A2316" s="4" t="s">
        <v>5747</v>
      </c>
      <c r="B2316" s="5" t="s">
        <v>5748</v>
      </c>
      <c r="C2316" s="4" t="s">
        <v>99</v>
      </c>
      <c r="D2316" s="475">
        <v>19.31</v>
      </c>
      <c r="E2316" s="476">
        <v>0</v>
      </c>
      <c r="F2316" s="6">
        <v>0</v>
      </c>
      <c r="G2316" s="6">
        <v>777.8</v>
      </c>
    </row>
    <row r="2317" ht="15.75" customHeight="1" spans="1:7">
      <c r="A2317" s="4" t="s">
        <v>5749</v>
      </c>
      <c r="B2317" s="5" t="s">
        <v>5750</v>
      </c>
      <c r="C2317" s="4" t="s">
        <v>99</v>
      </c>
      <c r="D2317" s="475">
        <v>24.39</v>
      </c>
      <c r="E2317" s="476">
        <v>0</v>
      </c>
      <c r="F2317" s="6">
        <v>0</v>
      </c>
      <c r="G2317" s="6">
        <v>3251.33</v>
      </c>
    </row>
    <row r="2318" ht="15.75" customHeight="1" spans="1:7">
      <c r="A2318" s="4" t="s">
        <v>5751</v>
      </c>
      <c r="B2318" s="5" t="s">
        <v>5752</v>
      </c>
      <c r="C2318" s="4" t="s">
        <v>99</v>
      </c>
      <c r="D2318" s="475">
        <v>24.5</v>
      </c>
      <c r="E2318" s="476">
        <v>0</v>
      </c>
      <c r="F2318" s="6">
        <v>0</v>
      </c>
      <c r="G2318" s="6">
        <v>3236.95</v>
      </c>
    </row>
    <row r="2319" ht="15.75" customHeight="1" spans="1:7">
      <c r="A2319" s="4" t="s">
        <v>5753</v>
      </c>
      <c r="B2319" s="5" t="s">
        <v>5754</v>
      </c>
      <c r="C2319" s="4" t="s">
        <v>99</v>
      </c>
      <c r="D2319" s="475">
        <v>24.61</v>
      </c>
      <c r="E2319" s="476">
        <v>0</v>
      </c>
      <c r="F2319" s="6">
        <v>0</v>
      </c>
      <c r="G2319" s="6">
        <v>3222.11</v>
      </c>
    </row>
    <row r="2320" ht="15.75" customHeight="1" spans="1:7">
      <c r="A2320" s="4" t="s">
        <v>5755</v>
      </c>
      <c r="B2320" s="5" t="s">
        <v>5756</v>
      </c>
      <c r="C2320" s="4" t="s">
        <v>99</v>
      </c>
      <c r="D2320" s="475">
        <v>24.73</v>
      </c>
      <c r="E2320" s="476">
        <v>0</v>
      </c>
      <c r="F2320" s="6">
        <v>0</v>
      </c>
      <c r="G2320" s="6">
        <v>3206.85</v>
      </c>
    </row>
    <row r="2321" ht="15.75" customHeight="1" spans="1:7">
      <c r="A2321" s="4" t="s">
        <v>5757</v>
      </c>
      <c r="B2321" s="5" t="s">
        <v>5758</v>
      </c>
      <c r="C2321" s="4" t="s">
        <v>99</v>
      </c>
      <c r="D2321" s="475">
        <v>24.85</v>
      </c>
      <c r="E2321" s="476">
        <v>0</v>
      </c>
      <c r="F2321" s="6">
        <v>0</v>
      </c>
      <c r="G2321" s="6">
        <v>3190.75</v>
      </c>
    </row>
    <row r="2322" ht="15.75" customHeight="1" spans="1:7">
      <c r="A2322" s="4" t="s">
        <v>5759</v>
      </c>
      <c r="B2322" s="5" t="s">
        <v>5760</v>
      </c>
      <c r="C2322" s="4" t="s">
        <v>99</v>
      </c>
      <c r="D2322" s="475">
        <v>24.92</v>
      </c>
      <c r="E2322" s="476">
        <v>0</v>
      </c>
      <c r="F2322" s="6">
        <v>0</v>
      </c>
      <c r="G2322" s="6">
        <v>3182.2</v>
      </c>
    </row>
    <row r="2323" ht="15.75" customHeight="1" spans="1:7">
      <c r="A2323" s="4" t="s">
        <v>5761</v>
      </c>
      <c r="B2323" s="5" t="s">
        <v>5762</v>
      </c>
      <c r="C2323" s="4" t="s">
        <v>99</v>
      </c>
      <c r="D2323" s="475">
        <v>16.35</v>
      </c>
      <c r="E2323" s="476">
        <v>0</v>
      </c>
      <c r="F2323" s="6">
        <v>0</v>
      </c>
      <c r="G2323" s="6">
        <v>1152.1</v>
      </c>
    </row>
    <row r="2324" ht="15.75" customHeight="1" spans="1:7">
      <c r="A2324" s="4" t="s">
        <v>5763</v>
      </c>
      <c r="B2324" s="5" t="s">
        <v>5764</v>
      </c>
      <c r="C2324" s="4" t="s">
        <v>99</v>
      </c>
      <c r="D2324" s="475">
        <v>16.57</v>
      </c>
      <c r="E2324" s="476">
        <v>0</v>
      </c>
      <c r="F2324" s="6">
        <v>0</v>
      </c>
      <c r="G2324" s="6">
        <v>1136.55</v>
      </c>
    </row>
    <row r="2325" ht="15.75" customHeight="1" spans="1:7">
      <c r="A2325" s="4" t="s">
        <v>5765</v>
      </c>
      <c r="B2325" s="5" t="s">
        <v>5766</v>
      </c>
      <c r="C2325" s="4" t="s">
        <v>99</v>
      </c>
      <c r="D2325" s="475">
        <v>16.8</v>
      </c>
      <c r="E2325" s="476">
        <v>0</v>
      </c>
      <c r="F2325" s="6">
        <v>0</v>
      </c>
      <c r="G2325" s="6">
        <v>1121.07</v>
      </c>
    </row>
    <row r="2326" ht="15.75" customHeight="1" spans="1:7">
      <c r="A2326" s="4" t="s">
        <v>5767</v>
      </c>
      <c r="B2326" s="5" t="s">
        <v>5768</v>
      </c>
      <c r="C2326" s="4" t="s">
        <v>99</v>
      </c>
      <c r="D2326" s="475">
        <v>17.04</v>
      </c>
      <c r="E2326" s="476">
        <v>0</v>
      </c>
      <c r="F2326" s="6">
        <v>0</v>
      </c>
      <c r="G2326" s="6">
        <v>1105.22</v>
      </c>
    </row>
    <row r="2327" ht="15.75" customHeight="1" spans="1:7">
      <c r="A2327" s="4" t="s">
        <v>5769</v>
      </c>
      <c r="B2327" s="5" t="s">
        <v>5770</v>
      </c>
      <c r="C2327" s="4" t="s">
        <v>99</v>
      </c>
      <c r="D2327" s="475">
        <v>17.29</v>
      </c>
      <c r="E2327" s="476">
        <v>0</v>
      </c>
      <c r="F2327" s="6">
        <v>0</v>
      </c>
      <c r="G2327" s="6">
        <v>1088.94</v>
      </c>
    </row>
    <row r="2328" ht="15.75" customHeight="1" spans="1:7">
      <c r="A2328" s="4" t="s">
        <v>5771</v>
      </c>
      <c r="B2328" s="5" t="s">
        <v>5772</v>
      </c>
      <c r="C2328" s="4" t="s">
        <v>99</v>
      </c>
      <c r="D2328" s="475">
        <v>17.43</v>
      </c>
      <c r="E2328" s="476">
        <v>0</v>
      </c>
      <c r="F2328" s="6">
        <v>0</v>
      </c>
      <c r="G2328" s="6">
        <v>1080.39</v>
      </c>
    </row>
    <row r="2329" ht="15.75" customHeight="1" spans="1:7">
      <c r="A2329" s="4" t="s">
        <v>5773</v>
      </c>
      <c r="B2329" s="5" t="s">
        <v>5774</v>
      </c>
      <c r="C2329" s="4" t="s">
        <v>99</v>
      </c>
      <c r="D2329" s="475">
        <v>15.17</v>
      </c>
      <c r="E2329" s="476">
        <v>0</v>
      </c>
      <c r="F2329" s="6">
        <v>0</v>
      </c>
      <c r="G2329" s="6">
        <v>1486.48</v>
      </c>
    </row>
    <row r="2330" ht="15.75" customHeight="1" spans="1:7">
      <c r="A2330" s="4" t="s">
        <v>5775</v>
      </c>
      <c r="B2330" s="5" t="s">
        <v>5776</v>
      </c>
      <c r="C2330" s="4" t="s">
        <v>99</v>
      </c>
      <c r="D2330" s="475">
        <v>15.36</v>
      </c>
      <c r="E2330" s="476">
        <v>0</v>
      </c>
      <c r="F2330" s="6">
        <v>0</v>
      </c>
      <c r="G2330" s="6">
        <v>1467.96</v>
      </c>
    </row>
    <row r="2331" ht="15.75" customHeight="1" spans="1:7">
      <c r="A2331" s="4" t="s">
        <v>5777</v>
      </c>
      <c r="B2331" s="5" t="s">
        <v>5778</v>
      </c>
      <c r="C2331" s="4" t="s">
        <v>99</v>
      </c>
      <c r="D2331" s="475">
        <v>15.56</v>
      </c>
      <c r="E2331" s="476">
        <v>0</v>
      </c>
      <c r="F2331" s="6">
        <v>0</v>
      </c>
      <c r="G2331" s="6">
        <v>1449.31</v>
      </c>
    </row>
    <row r="2332" ht="15.75" customHeight="1" spans="1:7">
      <c r="A2332" s="4" t="s">
        <v>5779</v>
      </c>
      <c r="B2332" s="5" t="s">
        <v>5780</v>
      </c>
      <c r="C2332" s="4" t="s">
        <v>99</v>
      </c>
      <c r="D2332" s="475">
        <v>15.76</v>
      </c>
      <c r="E2332" s="476">
        <v>0</v>
      </c>
      <c r="F2332" s="6">
        <v>0</v>
      </c>
      <c r="G2332" s="6">
        <v>1430.42</v>
      </c>
    </row>
    <row r="2333" ht="15.75" customHeight="1" spans="1:7">
      <c r="A2333" s="4" t="s">
        <v>5781</v>
      </c>
      <c r="B2333" s="5" t="s">
        <v>5782</v>
      </c>
      <c r="C2333" s="4" t="s">
        <v>99</v>
      </c>
      <c r="D2333" s="475">
        <v>15.98</v>
      </c>
      <c r="E2333" s="476">
        <v>0</v>
      </c>
      <c r="F2333" s="6">
        <v>0</v>
      </c>
      <c r="G2333" s="6">
        <v>1410.78</v>
      </c>
    </row>
    <row r="2334" ht="15.75" customHeight="1" spans="1:7">
      <c r="A2334" s="4" t="s">
        <v>5783</v>
      </c>
      <c r="B2334" s="5" t="s">
        <v>5784</v>
      </c>
      <c r="C2334" s="4" t="s">
        <v>99</v>
      </c>
      <c r="D2334" s="475">
        <v>16.1</v>
      </c>
      <c r="E2334" s="476">
        <v>0</v>
      </c>
      <c r="F2334" s="6">
        <v>0</v>
      </c>
      <c r="G2334" s="6">
        <v>1400.41</v>
      </c>
    </row>
    <row r="2335" ht="15.75" customHeight="1" spans="1:7">
      <c r="A2335" s="4" t="s">
        <v>5785</v>
      </c>
      <c r="B2335" s="5" t="s">
        <v>5786</v>
      </c>
      <c r="C2335" s="4" t="s">
        <v>99</v>
      </c>
      <c r="D2335" s="475">
        <v>16.55</v>
      </c>
      <c r="E2335" s="476">
        <v>0</v>
      </c>
      <c r="F2335" s="6">
        <v>0</v>
      </c>
      <c r="G2335" s="6">
        <v>1582.41</v>
      </c>
    </row>
    <row r="2336" ht="15.75" customHeight="1" spans="1:7">
      <c r="A2336" s="4" t="s">
        <v>5787</v>
      </c>
      <c r="B2336" s="5" t="s">
        <v>5788</v>
      </c>
      <c r="C2336" s="4" t="s">
        <v>99</v>
      </c>
      <c r="D2336" s="475">
        <v>16.72</v>
      </c>
      <c r="E2336" s="476">
        <v>0</v>
      </c>
      <c r="F2336" s="6">
        <v>0</v>
      </c>
      <c r="G2336" s="6">
        <v>1566.53</v>
      </c>
    </row>
    <row r="2337" ht="15.75" customHeight="1" spans="1:7">
      <c r="A2337" s="4" t="s">
        <v>5789</v>
      </c>
      <c r="B2337" s="5" t="s">
        <v>5790</v>
      </c>
      <c r="C2337" s="4" t="s">
        <v>99</v>
      </c>
      <c r="D2337" s="475">
        <v>16.89</v>
      </c>
      <c r="E2337" s="476">
        <v>0</v>
      </c>
      <c r="F2337" s="6">
        <v>0</v>
      </c>
      <c r="G2337" s="6">
        <v>1550.57</v>
      </c>
    </row>
    <row r="2338" ht="15.75" customHeight="1" spans="1:7">
      <c r="A2338" s="4" t="s">
        <v>5791</v>
      </c>
      <c r="B2338" s="5" t="s">
        <v>5792</v>
      </c>
      <c r="C2338" s="4" t="s">
        <v>99</v>
      </c>
      <c r="D2338" s="475">
        <v>17.07</v>
      </c>
      <c r="E2338" s="476">
        <v>0</v>
      </c>
      <c r="F2338" s="6">
        <v>0</v>
      </c>
      <c r="G2338" s="6">
        <v>1534.15</v>
      </c>
    </row>
    <row r="2339" ht="15.75" customHeight="1" spans="1:7">
      <c r="A2339" s="4" t="s">
        <v>5793</v>
      </c>
      <c r="B2339" s="5" t="s">
        <v>5794</v>
      </c>
      <c r="C2339" s="4" t="s">
        <v>99</v>
      </c>
      <c r="D2339" s="475">
        <v>17.27</v>
      </c>
      <c r="E2339" s="476">
        <v>0</v>
      </c>
      <c r="F2339" s="6">
        <v>0</v>
      </c>
      <c r="G2339" s="6">
        <v>1517.06</v>
      </c>
    </row>
    <row r="2340" ht="15.75" customHeight="1" spans="1:7">
      <c r="A2340" s="4" t="s">
        <v>5795</v>
      </c>
      <c r="B2340" s="5" t="s">
        <v>5796</v>
      </c>
      <c r="C2340" s="4" t="s">
        <v>99</v>
      </c>
      <c r="D2340" s="475">
        <v>17.37</v>
      </c>
      <c r="E2340" s="476">
        <v>0</v>
      </c>
      <c r="F2340" s="6">
        <v>0</v>
      </c>
      <c r="G2340" s="6">
        <v>1508.21</v>
      </c>
    </row>
    <row r="2341" ht="15.75" customHeight="1" spans="1:7">
      <c r="A2341" s="4" t="s">
        <v>5797</v>
      </c>
      <c r="B2341" s="5" t="s">
        <v>5798</v>
      </c>
      <c r="C2341" s="4" t="s">
        <v>99</v>
      </c>
      <c r="D2341" s="475">
        <v>37.93</v>
      </c>
      <c r="E2341" s="476">
        <v>0</v>
      </c>
      <c r="F2341" s="6">
        <v>0</v>
      </c>
      <c r="G2341" s="6">
        <v>275.35</v>
      </c>
    </row>
    <row r="2342" ht="15.75" customHeight="1" spans="1:7">
      <c r="A2342" s="4" t="s">
        <v>5799</v>
      </c>
      <c r="B2342" s="5" t="s">
        <v>5800</v>
      </c>
      <c r="C2342" s="4" t="s">
        <v>99</v>
      </c>
      <c r="D2342" s="475">
        <v>38.66</v>
      </c>
      <c r="E2342" s="476">
        <v>0</v>
      </c>
      <c r="F2342" s="6">
        <v>0</v>
      </c>
      <c r="G2342" s="6">
        <v>270.15</v>
      </c>
    </row>
    <row r="2343" ht="15.75" customHeight="1" spans="1:7">
      <c r="A2343" s="4" t="s">
        <v>5801</v>
      </c>
      <c r="B2343" s="5" t="s">
        <v>5802</v>
      </c>
      <c r="C2343" s="4" t="s">
        <v>99</v>
      </c>
      <c r="D2343" s="475">
        <v>39.4</v>
      </c>
      <c r="E2343" s="476">
        <v>0</v>
      </c>
      <c r="F2343" s="6">
        <v>0</v>
      </c>
      <c r="G2343" s="6">
        <v>265.06</v>
      </c>
    </row>
    <row r="2344" ht="15.75" customHeight="1" spans="1:7">
      <c r="A2344" s="4" t="s">
        <v>5803</v>
      </c>
      <c r="B2344" s="5" t="s">
        <v>5804</v>
      </c>
      <c r="C2344" s="4" t="s">
        <v>99</v>
      </c>
      <c r="D2344" s="475">
        <v>40.19</v>
      </c>
      <c r="E2344" s="476">
        <v>0</v>
      </c>
      <c r="F2344" s="6">
        <v>0</v>
      </c>
      <c r="G2344" s="6">
        <v>259.89</v>
      </c>
    </row>
    <row r="2345" ht="15.75" customHeight="1" spans="1:7">
      <c r="A2345" s="4" t="s">
        <v>5805</v>
      </c>
      <c r="B2345" s="5" t="s">
        <v>5806</v>
      </c>
      <c r="C2345" s="4" t="s">
        <v>99</v>
      </c>
      <c r="D2345" s="475">
        <v>41.01</v>
      </c>
      <c r="E2345" s="476">
        <v>0</v>
      </c>
      <c r="F2345" s="6">
        <v>0</v>
      </c>
      <c r="G2345" s="6">
        <v>254.65</v>
      </c>
    </row>
    <row r="2346" ht="15.75" customHeight="1" spans="1:7">
      <c r="A2346" s="4" t="s">
        <v>5807</v>
      </c>
      <c r="B2346" s="5" t="s">
        <v>5808</v>
      </c>
      <c r="C2346" s="4" t="s">
        <v>99</v>
      </c>
      <c r="D2346" s="475">
        <v>41.45</v>
      </c>
      <c r="E2346" s="476">
        <v>0</v>
      </c>
      <c r="F2346" s="6">
        <v>0</v>
      </c>
      <c r="G2346" s="6">
        <v>251.96</v>
      </c>
    </row>
    <row r="2347" ht="30" customHeight="1" spans="1:7">
      <c r="A2347" s="4" t="s">
        <v>5809</v>
      </c>
      <c r="B2347" s="5" t="s">
        <v>5810</v>
      </c>
      <c r="C2347" s="4" t="s">
        <v>99</v>
      </c>
      <c r="D2347" s="475">
        <v>25.69</v>
      </c>
      <c r="E2347" s="476">
        <v>0</v>
      </c>
      <c r="F2347" s="6">
        <v>0</v>
      </c>
      <c r="G2347" s="6">
        <v>150</v>
      </c>
    </row>
    <row r="2348" ht="30" customHeight="1" spans="1:7">
      <c r="A2348" s="4" t="s">
        <v>5811</v>
      </c>
      <c r="B2348" s="5" t="s">
        <v>5812</v>
      </c>
      <c r="C2348" s="4" t="s">
        <v>99</v>
      </c>
      <c r="D2348" s="475">
        <v>32.51</v>
      </c>
      <c r="E2348" s="476">
        <v>0</v>
      </c>
      <c r="F2348" s="6">
        <v>0</v>
      </c>
      <c r="G2348" s="6">
        <v>117</v>
      </c>
    </row>
    <row r="2349" ht="30" customHeight="1" spans="1:7">
      <c r="A2349" s="4" t="s">
        <v>5813</v>
      </c>
      <c r="B2349" s="5" t="s">
        <v>5814</v>
      </c>
      <c r="C2349" s="4" t="s">
        <v>99</v>
      </c>
      <c r="D2349" s="475">
        <v>40.81</v>
      </c>
      <c r="E2349" s="476">
        <v>0</v>
      </c>
      <c r="F2349" s="6">
        <v>0</v>
      </c>
      <c r="G2349" s="6">
        <v>93</v>
      </c>
    </row>
    <row r="2350" ht="30" customHeight="1" spans="1:7">
      <c r="A2350" s="4" t="s">
        <v>5815</v>
      </c>
      <c r="B2350" s="5" t="s">
        <v>5816</v>
      </c>
      <c r="C2350" s="4" t="s">
        <v>99</v>
      </c>
      <c r="D2350" s="475">
        <v>50.07</v>
      </c>
      <c r="E2350" s="476">
        <v>0</v>
      </c>
      <c r="F2350" s="6">
        <v>0</v>
      </c>
      <c r="G2350" s="6">
        <v>75</v>
      </c>
    </row>
    <row r="2351" ht="30" customHeight="1" spans="1:7">
      <c r="A2351" s="4" t="s">
        <v>5817</v>
      </c>
      <c r="B2351" s="5" t="s">
        <v>5818</v>
      </c>
      <c r="C2351" s="4" t="s">
        <v>99</v>
      </c>
      <c r="D2351" s="475">
        <v>60.33</v>
      </c>
      <c r="E2351" s="476">
        <v>0</v>
      </c>
      <c r="F2351" s="6">
        <v>0</v>
      </c>
      <c r="G2351" s="6">
        <v>61.8</v>
      </c>
    </row>
    <row r="2352" ht="30" customHeight="1" spans="1:7">
      <c r="A2352" s="4" t="s">
        <v>5819</v>
      </c>
      <c r="B2352" s="5" t="s">
        <v>5820</v>
      </c>
      <c r="C2352" s="4" t="s">
        <v>99</v>
      </c>
      <c r="D2352" s="475">
        <v>70.61</v>
      </c>
      <c r="E2352" s="476">
        <v>0</v>
      </c>
      <c r="F2352" s="6">
        <v>0</v>
      </c>
      <c r="G2352" s="6">
        <v>52.8</v>
      </c>
    </row>
    <row r="2353" ht="30" customHeight="1" spans="1:7">
      <c r="A2353" s="4" t="s">
        <v>5821</v>
      </c>
      <c r="B2353" s="5" t="s">
        <v>5822</v>
      </c>
      <c r="C2353" s="4" t="s">
        <v>99</v>
      </c>
      <c r="D2353" s="475">
        <v>12.03</v>
      </c>
      <c r="E2353" s="476">
        <v>0</v>
      </c>
      <c r="F2353" s="6">
        <v>0</v>
      </c>
      <c r="G2353" s="6">
        <v>319.8</v>
      </c>
    </row>
    <row r="2354" ht="30" customHeight="1" spans="1:7">
      <c r="A2354" s="4" t="s">
        <v>5823</v>
      </c>
      <c r="B2354" s="5" t="s">
        <v>5824</v>
      </c>
      <c r="C2354" s="4" t="s">
        <v>99</v>
      </c>
      <c r="D2354" s="475">
        <v>13.9</v>
      </c>
      <c r="E2354" s="476">
        <v>0</v>
      </c>
      <c r="F2354" s="6">
        <v>0</v>
      </c>
      <c r="G2354" s="6">
        <v>285</v>
      </c>
    </row>
    <row r="2355" ht="30" customHeight="1" spans="1:7">
      <c r="A2355" s="4" t="s">
        <v>5825</v>
      </c>
      <c r="B2355" s="5" t="s">
        <v>5826</v>
      </c>
      <c r="C2355" s="4" t="s">
        <v>99</v>
      </c>
      <c r="D2355" s="475">
        <v>17.27</v>
      </c>
      <c r="E2355" s="476">
        <v>0</v>
      </c>
      <c r="F2355" s="6">
        <v>0</v>
      </c>
      <c r="G2355" s="6">
        <v>234</v>
      </c>
    </row>
    <row r="2356" ht="15.75" customHeight="1" spans="1:7">
      <c r="A2356" s="4" t="s">
        <v>5827</v>
      </c>
      <c r="B2356" s="5" t="s">
        <v>5828</v>
      </c>
      <c r="C2356" s="4" t="s">
        <v>99</v>
      </c>
      <c r="D2356" s="475">
        <v>11.09</v>
      </c>
      <c r="E2356" s="476">
        <v>0</v>
      </c>
      <c r="F2356" s="6">
        <v>0</v>
      </c>
      <c r="G2356" s="6">
        <v>354</v>
      </c>
    </row>
    <row r="2357" ht="30" customHeight="1" spans="1:7">
      <c r="A2357" s="4" t="s">
        <v>5829</v>
      </c>
      <c r="B2357" s="5" t="s">
        <v>5830</v>
      </c>
      <c r="C2357" s="4" t="s">
        <v>99</v>
      </c>
      <c r="D2357" s="475">
        <v>28.87</v>
      </c>
      <c r="E2357" s="476">
        <v>0</v>
      </c>
      <c r="F2357" s="6">
        <v>0</v>
      </c>
      <c r="G2357" s="6">
        <v>35.4</v>
      </c>
    </row>
    <row r="2358" ht="30" customHeight="1" spans="1:7">
      <c r="A2358" s="4" t="s">
        <v>5831</v>
      </c>
      <c r="B2358" s="5" t="s">
        <v>5832</v>
      </c>
      <c r="C2358" s="4" t="s">
        <v>99</v>
      </c>
      <c r="D2358" s="475">
        <v>38.97</v>
      </c>
      <c r="E2358" s="476">
        <v>0</v>
      </c>
      <c r="F2358" s="6">
        <v>0</v>
      </c>
      <c r="G2358" s="6">
        <v>26.4</v>
      </c>
    </row>
    <row r="2359" ht="15.75" customHeight="1" spans="1:7">
      <c r="A2359" s="4" t="s">
        <v>5833</v>
      </c>
      <c r="B2359" s="5" t="s">
        <v>5834</v>
      </c>
      <c r="C2359" s="4" t="s">
        <v>99</v>
      </c>
      <c r="D2359" s="475">
        <v>9.45</v>
      </c>
      <c r="E2359" s="476">
        <v>0</v>
      </c>
      <c r="F2359" s="6">
        <v>0</v>
      </c>
      <c r="G2359" s="6">
        <v>106.2</v>
      </c>
    </row>
    <row r="2360" ht="15.75" customHeight="1" spans="1:7">
      <c r="A2360" s="4" t="s">
        <v>5835</v>
      </c>
      <c r="B2360" s="5" t="s">
        <v>5836</v>
      </c>
      <c r="C2360" s="4" t="s">
        <v>99</v>
      </c>
      <c r="D2360" s="475">
        <v>13.75</v>
      </c>
      <c r="E2360" s="476">
        <v>0</v>
      </c>
      <c r="F2360" s="6">
        <v>0</v>
      </c>
      <c r="G2360" s="6">
        <v>73.2</v>
      </c>
    </row>
    <row r="2361" ht="15.75" customHeight="1" spans="1:7">
      <c r="A2361" s="4" t="s">
        <v>5837</v>
      </c>
      <c r="B2361" s="5" t="s">
        <v>5838</v>
      </c>
      <c r="C2361" s="4" t="s">
        <v>99</v>
      </c>
      <c r="D2361" s="475">
        <v>20.91</v>
      </c>
      <c r="E2361" s="476">
        <v>0</v>
      </c>
      <c r="F2361" s="6">
        <v>0</v>
      </c>
      <c r="G2361" s="6">
        <v>48.6</v>
      </c>
    </row>
    <row r="2362" ht="15.75" customHeight="1" spans="1:7">
      <c r="A2362" s="4" t="s">
        <v>5839</v>
      </c>
      <c r="B2362" s="5" t="s">
        <v>5840</v>
      </c>
      <c r="C2362" s="4" t="s">
        <v>99</v>
      </c>
      <c r="D2362" s="475">
        <v>8.71</v>
      </c>
      <c r="E2362" s="476">
        <v>0</v>
      </c>
      <c r="F2362" s="6">
        <v>0</v>
      </c>
      <c r="G2362" s="6">
        <v>115.2</v>
      </c>
    </row>
    <row r="2363" ht="15.75" customHeight="1" spans="1:7">
      <c r="A2363" s="4" t="s">
        <v>5841</v>
      </c>
      <c r="B2363" s="5" t="s">
        <v>5842</v>
      </c>
      <c r="C2363" s="4" t="s">
        <v>99</v>
      </c>
      <c r="D2363" s="475">
        <v>9.11</v>
      </c>
      <c r="E2363" s="476">
        <v>0</v>
      </c>
      <c r="F2363" s="6">
        <v>0</v>
      </c>
      <c r="G2363" s="6">
        <v>166.8</v>
      </c>
    </row>
    <row r="2364" ht="30" customHeight="1" spans="1:7">
      <c r="A2364" s="4" t="s">
        <v>5843</v>
      </c>
      <c r="B2364" s="5" t="s">
        <v>5844</v>
      </c>
      <c r="C2364" s="4" t="s">
        <v>99</v>
      </c>
      <c r="D2364" s="475">
        <v>44.16</v>
      </c>
      <c r="E2364" s="476">
        <v>0</v>
      </c>
      <c r="F2364" s="6">
        <v>0</v>
      </c>
      <c r="G2364" s="6">
        <v>34.2</v>
      </c>
    </row>
    <row r="2365" ht="30" customHeight="1" spans="1:7">
      <c r="A2365" s="4" t="s">
        <v>5845</v>
      </c>
      <c r="B2365" s="5" t="s">
        <v>5846</v>
      </c>
      <c r="C2365" s="4" t="s">
        <v>99</v>
      </c>
      <c r="D2365" s="475">
        <v>53.84</v>
      </c>
      <c r="E2365" s="476">
        <v>0</v>
      </c>
      <c r="F2365" s="6">
        <v>0</v>
      </c>
      <c r="G2365" s="6">
        <v>28.2</v>
      </c>
    </row>
    <row r="2366" ht="15.75" customHeight="1" spans="1:7">
      <c r="A2366" s="4" t="s">
        <v>5847</v>
      </c>
      <c r="B2366" s="5" t="s">
        <v>5848</v>
      </c>
      <c r="C2366" s="4" t="s">
        <v>99</v>
      </c>
      <c r="D2366" s="475">
        <v>12.84</v>
      </c>
      <c r="E2366" s="476">
        <v>0</v>
      </c>
      <c r="F2366" s="6">
        <v>0</v>
      </c>
      <c r="G2366" s="6">
        <v>120</v>
      </c>
    </row>
    <row r="2367" ht="15.75" customHeight="1" spans="1:7">
      <c r="A2367" s="4" t="s">
        <v>5849</v>
      </c>
      <c r="B2367" s="5" t="s">
        <v>5850</v>
      </c>
      <c r="C2367" s="4" t="s">
        <v>99</v>
      </c>
      <c r="D2367" s="475">
        <v>21.1</v>
      </c>
      <c r="E2367" s="476">
        <v>0</v>
      </c>
      <c r="F2367" s="6">
        <v>0</v>
      </c>
      <c r="G2367" s="6">
        <v>72</v>
      </c>
    </row>
    <row r="2368" ht="15.75" customHeight="1" spans="1:7">
      <c r="A2368" s="4" t="s">
        <v>5851</v>
      </c>
      <c r="B2368" s="5" t="s">
        <v>5852</v>
      </c>
      <c r="C2368" s="4" t="s">
        <v>99</v>
      </c>
      <c r="D2368" s="475">
        <v>31.58</v>
      </c>
      <c r="E2368" s="476">
        <v>0</v>
      </c>
      <c r="F2368" s="6">
        <v>0</v>
      </c>
      <c r="G2368" s="6">
        <v>48</v>
      </c>
    </row>
    <row r="2369" ht="30" customHeight="1" spans="1:7">
      <c r="A2369" s="4" t="s">
        <v>5853</v>
      </c>
      <c r="B2369" s="5" t="s">
        <v>5854</v>
      </c>
      <c r="C2369" s="4" t="s">
        <v>99</v>
      </c>
      <c r="D2369" s="475">
        <v>34.57</v>
      </c>
      <c r="E2369" s="476">
        <v>0</v>
      </c>
      <c r="F2369" s="6">
        <v>0</v>
      </c>
      <c r="G2369" s="6">
        <v>70.2</v>
      </c>
    </row>
    <row r="2370" ht="30" customHeight="1" spans="1:7">
      <c r="A2370" s="4" t="s">
        <v>5855</v>
      </c>
      <c r="B2370" s="5" t="s">
        <v>5856</v>
      </c>
      <c r="C2370" s="4" t="s">
        <v>99</v>
      </c>
      <c r="D2370" s="475">
        <v>44.64</v>
      </c>
      <c r="E2370" s="476">
        <v>0</v>
      </c>
      <c r="F2370" s="6">
        <v>0</v>
      </c>
      <c r="G2370" s="6">
        <v>54</v>
      </c>
    </row>
    <row r="2371" ht="30" customHeight="1" spans="1:7">
      <c r="A2371" s="4" t="s">
        <v>5857</v>
      </c>
      <c r="B2371" s="5" t="s">
        <v>5858</v>
      </c>
      <c r="C2371" s="4" t="s">
        <v>99</v>
      </c>
      <c r="D2371" s="475">
        <v>57.38</v>
      </c>
      <c r="E2371" s="476">
        <v>0</v>
      </c>
      <c r="F2371" s="6">
        <v>0</v>
      </c>
      <c r="G2371" s="6">
        <v>42</v>
      </c>
    </row>
    <row r="2372" ht="30" customHeight="1" spans="1:7">
      <c r="A2372" s="4" t="s">
        <v>5859</v>
      </c>
      <c r="B2372" s="5" t="s">
        <v>5860</v>
      </c>
      <c r="C2372" s="4" t="s">
        <v>99</v>
      </c>
      <c r="D2372" s="475">
        <v>62.32</v>
      </c>
      <c r="E2372" s="476">
        <v>0</v>
      </c>
      <c r="F2372" s="6">
        <v>0</v>
      </c>
      <c r="G2372" s="6">
        <v>39</v>
      </c>
    </row>
    <row r="2373" ht="15.75" customHeight="1" spans="1:7">
      <c r="A2373" s="4" t="s">
        <v>5861</v>
      </c>
      <c r="B2373" s="5" t="s">
        <v>5862</v>
      </c>
      <c r="C2373" s="4" t="s">
        <v>99</v>
      </c>
      <c r="D2373" s="475">
        <v>15.85</v>
      </c>
      <c r="E2373" s="476">
        <v>0</v>
      </c>
      <c r="F2373" s="6">
        <v>0</v>
      </c>
      <c r="G2373" s="6">
        <v>151.2</v>
      </c>
    </row>
    <row r="2374" ht="15.75" customHeight="1" spans="1:7">
      <c r="A2374" s="4" t="s">
        <v>5863</v>
      </c>
      <c r="B2374" s="5" t="s">
        <v>5864</v>
      </c>
      <c r="C2374" s="4" t="s">
        <v>99</v>
      </c>
      <c r="D2374" s="475">
        <v>20.34</v>
      </c>
      <c r="E2374" s="476">
        <v>0</v>
      </c>
      <c r="F2374" s="6">
        <v>0</v>
      </c>
      <c r="G2374" s="6">
        <v>118.8</v>
      </c>
    </row>
    <row r="2375" ht="30" customHeight="1" spans="1:7">
      <c r="A2375" s="4" t="s">
        <v>5865</v>
      </c>
      <c r="B2375" s="5" t="s">
        <v>5866</v>
      </c>
      <c r="C2375" s="4" t="s">
        <v>99</v>
      </c>
      <c r="D2375" s="475">
        <v>25.98</v>
      </c>
      <c r="E2375" s="476">
        <v>0</v>
      </c>
      <c r="F2375" s="6">
        <v>0</v>
      </c>
      <c r="G2375" s="6">
        <v>94.2</v>
      </c>
    </row>
    <row r="2376" ht="15.75" customHeight="1" spans="1:7">
      <c r="A2376" s="4" t="s">
        <v>5867</v>
      </c>
      <c r="B2376" s="5" t="s">
        <v>5868</v>
      </c>
      <c r="C2376" s="4" t="s">
        <v>99</v>
      </c>
      <c r="D2376" s="475">
        <v>11.23</v>
      </c>
      <c r="E2376" s="476">
        <v>0</v>
      </c>
      <c r="F2376" s="6">
        <v>0</v>
      </c>
      <c r="G2376" s="6">
        <v>228</v>
      </c>
    </row>
    <row r="2377" ht="15.75" customHeight="1" spans="1:7">
      <c r="A2377" s="4" t="s">
        <v>5869</v>
      </c>
      <c r="B2377" s="5" t="s">
        <v>5870</v>
      </c>
      <c r="C2377" s="4" t="s">
        <v>99</v>
      </c>
      <c r="D2377" s="475">
        <v>25.4</v>
      </c>
      <c r="E2377" s="476">
        <v>0</v>
      </c>
      <c r="F2377" s="6">
        <v>0</v>
      </c>
      <c r="G2377" s="6">
        <v>447.58</v>
      </c>
    </row>
    <row r="2378" ht="15.75" customHeight="1" spans="1:7">
      <c r="A2378" s="4" t="s">
        <v>5871</v>
      </c>
      <c r="B2378" s="5" t="s">
        <v>5872</v>
      </c>
      <c r="C2378" s="4" t="s">
        <v>99</v>
      </c>
      <c r="D2378" s="475">
        <v>25.91</v>
      </c>
      <c r="E2378" s="476">
        <v>0</v>
      </c>
      <c r="F2378" s="6">
        <v>0</v>
      </c>
      <c r="G2378" s="6">
        <v>438.8</v>
      </c>
    </row>
    <row r="2379" ht="15.75" customHeight="1" spans="1:7">
      <c r="A2379" s="4" t="s">
        <v>5873</v>
      </c>
      <c r="B2379" s="5" t="s">
        <v>5874</v>
      </c>
      <c r="C2379" s="4" t="s">
        <v>99</v>
      </c>
      <c r="D2379" s="475">
        <v>26.43</v>
      </c>
      <c r="E2379" s="476">
        <v>0</v>
      </c>
      <c r="F2379" s="6">
        <v>0</v>
      </c>
      <c r="G2379" s="6">
        <v>430.16</v>
      </c>
    </row>
    <row r="2380" ht="15.75" customHeight="1" spans="1:7">
      <c r="A2380" s="4" t="s">
        <v>5875</v>
      </c>
      <c r="B2380" s="5" t="s">
        <v>5876</v>
      </c>
      <c r="C2380" s="4" t="s">
        <v>99</v>
      </c>
      <c r="D2380" s="475">
        <v>26.98</v>
      </c>
      <c r="E2380" s="476">
        <v>0</v>
      </c>
      <c r="F2380" s="6">
        <v>0</v>
      </c>
      <c r="G2380" s="6">
        <v>421.5</v>
      </c>
    </row>
    <row r="2381" ht="15.75" customHeight="1" spans="1:7">
      <c r="A2381" s="4" t="s">
        <v>5877</v>
      </c>
      <c r="B2381" s="5" t="s">
        <v>5878</v>
      </c>
      <c r="C2381" s="4" t="s">
        <v>99</v>
      </c>
      <c r="D2381" s="475">
        <v>27.55</v>
      </c>
      <c r="E2381" s="476">
        <v>0</v>
      </c>
      <c r="F2381" s="6">
        <v>0</v>
      </c>
      <c r="G2381" s="6">
        <v>412.65</v>
      </c>
    </row>
    <row r="2382" ht="15.75" customHeight="1" spans="1:7">
      <c r="A2382" s="4" t="s">
        <v>5879</v>
      </c>
      <c r="B2382" s="5" t="s">
        <v>5880</v>
      </c>
      <c r="C2382" s="4" t="s">
        <v>99</v>
      </c>
      <c r="D2382" s="475">
        <v>27.86</v>
      </c>
      <c r="E2382" s="476">
        <v>0</v>
      </c>
      <c r="F2382" s="6">
        <v>0</v>
      </c>
      <c r="G2382" s="6">
        <v>408.12</v>
      </c>
    </row>
    <row r="2383" ht="15.75" customHeight="1" spans="1:7">
      <c r="A2383" s="4" t="s">
        <v>5881</v>
      </c>
      <c r="B2383" s="5" t="s">
        <v>5882</v>
      </c>
      <c r="C2383" s="4" t="s">
        <v>99</v>
      </c>
      <c r="D2383" s="475">
        <v>13.76</v>
      </c>
      <c r="E2383" s="476">
        <v>0</v>
      </c>
      <c r="F2383" s="6">
        <v>0</v>
      </c>
      <c r="G2383" s="6">
        <v>3186.66</v>
      </c>
    </row>
    <row r="2384" ht="15.75" customHeight="1" spans="1:7">
      <c r="A2384" s="4" t="s">
        <v>5883</v>
      </c>
      <c r="B2384" s="5" t="s">
        <v>5884</v>
      </c>
      <c r="C2384" s="4" t="s">
        <v>99</v>
      </c>
      <c r="D2384" s="475">
        <v>13.88</v>
      </c>
      <c r="E2384" s="476">
        <v>0</v>
      </c>
      <c r="F2384" s="6">
        <v>0</v>
      </c>
      <c r="G2384" s="6">
        <v>3158.49</v>
      </c>
    </row>
    <row r="2385" ht="15.75" customHeight="1" spans="1:7">
      <c r="A2385" s="4" t="s">
        <v>5885</v>
      </c>
      <c r="B2385" s="5" t="s">
        <v>5886</v>
      </c>
      <c r="C2385" s="4" t="s">
        <v>99</v>
      </c>
      <c r="D2385" s="475">
        <v>14.01</v>
      </c>
      <c r="E2385" s="476">
        <v>0</v>
      </c>
      <c r="F2385" s="6">
        <v>0</v>
      </c>
      <c r="G2385" s="6">
        <v>3129.71</v>
      </c>
    </row>
    <row r="2386" ht="15.75" customHeight="1" spans="1:7">
      <c r="A2386" s="4" t="s">
        <v>5887</v>
      </c>
      <c r="B2386" s="5" t="s">
        <v>5888</v>
      </c>
      <c r="C2386" s="4" t="s">
        <v>99</v>
      </c>
      <c r="D2386" s="475">
        <v>14.14</v>
      </c>
      <c r="E2386" s="476">
        <v>0</v>
      </c>
      <c r="F2386" s="6">
        <v>0</v>
      </c>
      <c r="G2386" s="6">
        <v>3100.36</v>
      </c>
    </row>
    <row r="2387" ht="15.75" customHeight="1" spans="1:7">
      <c r="A2387" s="4" t="s">
        <v>5889</v>
      </c>
      <c r="B2387" s="5" t="s">
        <v>5890</v>
      </c>
      <c r="C2387" s="4" t="s">
        <v>99</v>
      </c>
      <c r="D2387" s="475">
        <v>14.29</v>
      </c>
      <c r="E2387" s="476">
        <v>0</v>
      </c>
      <c r="F2387" s="6">
        <v>0</v>
      </c>
      <c r="G2387" s="6">
        <v>3069.68</v>
      </c>
    </row>
    <row r="2388" ht="15.75" customHeight="1" spans="1:7">
      <c r="A2388" s="4" t="s">
        <v>5891</v>
      </c>
      <c r="B2388" s="5" t="s">
        <v>5892</v>
      </c>
      <c r="C2388" s="4" t="s">
        <v>99</v>
      </c>
      <c r="D2388" s="475">
        <v>14.36</v>
      </c>
      <c r="E2388" s="476">
        <v>0</v>
      </c>
      <c r="F2388" s="6">
        <v>0</v>
      </c>
      <c r="G2388" s="6">
        <v>3053.52</v>
      </c>
    </row>
    <row r="2389" ht="15.75" customHeight="1" spans="1:7">
      <c r="A2389" s="4" t="s">
        <v>5893</v>
      </c>
      <c r="B2389" s="5" t="s">
        <v>5894</v>
      </c>
      <c r="C2389" s="4" t="s">
        <v>99</v>
      </c>
      <c r="D2389" s="475">
        <v>17.83</v>
      </c>
      <c r="E2389" s="476">
        <v>0</v>
      </c>
      <c r="F2389" s="6">
        <v>0</v>
      </c>
      <c r="G2389" s="6">
        <v>3451.82</v>
      </c>
    </row>
    <row r="2390" ht="15.75" customHeight="1" spans="1:7">
      <c r="A2390" s="4" t="s">
        <v>5895</v>
      </c>
      <c r="B2390" s="5" t="s">
        <v>5896</v>
      </c>
      <c r="C2390" s="4" t="s">
        <v>99</v>
      </c>
      <c r="D2390" s="475">
        <v>17.94</v>
      </c>
      <c r="E2390" s="476">
        <v>0</v>
      </c>
      <c r="F2390" s="6">
        <v>0</v>
      </c>
      <c r="G2390" s="6">
        <v>3429.73</v>
      </c>
    </row>
    <row r="2391" ht="15.75" customHeight="1" spans="1:7">
      <c r="A2391" s="4" t="s">
        <v>5897</v>
      </c>
      <c r="B2391" s="5" t="s">
        <v>5898</v>
      </c>
      <c r="C2391" s="4" t="s">
        <v>99</v>
      </c>
      <c r="D2391" s="475">
        <v>18.06</v>
      </c>
      <c r="E2391" s="476">
        <v>0</v>
      </c>
      <c r="F2391" s="6">
        <v>0</v>
      </c>
      <c r="G2391" s="6">
        <v>3407.05</v>
      </c>
    </row>
    <row r="2392" ht="15.75" customHeight="1" spans="1:7">
      <c r="A2392" s="4" t="s">
        <v>5899</v>
      </c>
      <c r="B2392" s="5" t="s">
        <v>5900</v>
      </c>
      <c r="C2392" s="4" t="s">
        <v>99</v>
      </c>
      <c r="D2392" s="475">
        <v>18.19</v>
      </c>
      <c r="E2392" s="476">
        <v>0</v>
      </c>
      <c r="F2392" s="6">
        <v>0</v>
      </c>
      <c r="G2392" s="6">
        <v>3383.8</v>
      </c>
    </row>
    <row r="2393" ht="15.75" customHeight="1" spans="1:7">
      <c r="A2393" s="4" t="s">
        <v>5901</v>
      </c>
      <c r="B2393" s="5" t="s">
        <v>5902</v>
      </c>
      <c r="C2393" s="4" t="s">
        <v>99</v>
      </c>
      <c r="D2393" s="475">
        <v>18.32</v>
      </c>
      <c r="E2393" s="476">
        <v>0</v>
      </c>
      <c r="F2393" s="6">
        <v>0</v>
      </c>
      <c r="G2393" s="6">
        <v>3359.37</v>
      </c>
    </row>
    <row r="2394" ht="15.75" customHeight="1" spans="1:7">
      <c r="A2394" s="4" t="s">
        <v>5903</v>
      </c>
      <c r="B2394" s="5" t="s">
        <v>5904</v>
      </c>
      <c r="C2394" s="4" t="s">
        <v>99</v>
      </c>
      <c r="D2394" s="475">
        <v>18.39</v>
      </c>
      <c r="E2394" s="476">
        <v>0</v>
      </c>
      <c r="F2394" s="6">
        <v>0</v>
      </c>
      <c r="G2394" s="6">
        <v>3346.45</v>
      </c>
    </row>
    <row r="2395" ht="15.75" customHeight="1" spans="1:7">
      <c r="A2395" s="4" t="s">
        <v>5905</v>
      </c>
      <c r="B2395" s="5" t="s">
        <v>5906</v>
      </c>
      <c r="C2395" s="4" t="s">
        <v>99</v>
      </c>
      <c r="D2395" s="475">
        <v>16.7</v>
      </c>
      <c r="E2395" s="476">
        <v>0</v>
      </c>
      <c r="F2395" s="6">
        <v>0</v>
      </c>
      <c r="G2395" s="6">
        <v>899.48</v>
      </c>
    </row>
    <row r="2396" ht="15.75" customHeight="1" spans="1:7">
      <c r="A2396" s="4" t="s">
        <v>5907</v>
      </c>
      <c r="B2396" s="5" t="s">
        <v>5908</v>
      </c>
      <c r="C2396" s="4" t="s">
        <v>99</v>
      </c>
      <c r="D2396" s="475">
        <v>17</v>
      </c>
      <c r="E2396" s="476">
        <v>0</v>
      </c>
      <c r="F2396" s="6">
        <v>0</v>
      </c>
      <c r="G2396" s="6">
        <v>883.86</v>
      </c>
    </row>
    <row r="2397" ht="15.75" customHeight="1" spans="1:7">
      <c r="A2397" s="4" t="s">
        <v>5909</v>
      </c>
      <c r="B2397" s="5" t="s">
        <v>5910</v>
      </c>
      <c r="C2397" s="4" t="s">
        <v>99</v>
      </c>
      <c r="D2397" s="475">
        <v>17.3</v>
      </c>
      <c r="E2397" s="476">
        <v>0</v>
      </c>
      <c r="F2397" s="6">
        <v>0</v>
      </c>
      <c r="G2397" s="6">
        <v>868.34</v>
      </c>
    </row>
    <row r="2398" ht="15.75" customHeight="1" spans="1:7">
      <c r="A2398" s="4" t="s">
        <v>5911</v>
      </c>
      <c r="B2398" s="5" t="s">
        <v>5912</v>
      </c>
      <c r="C2398" s="4" t="s">
        <v>99</v>
      </c>
      <c r="D2398" s="475">
        <v>17.61</v>
      </c>
      <c r="E2398" s="476">
        <v>0</v>
      </c>
      <c r="F2398" s="6">
        <v>0</v>
      </c>
      <c r="G2398" s="6">
        <v>852.85</v>
      </c>
    </row>
    <row r="2399" ht="15.75" customHeight="1" spans="1:7">
      <c r="A2399" s="4" t="s">
        <v>5913</v>
      </c>
      <c r="B2399" s="5" t="s">
        <v>5914</v>
      </c>
      <c r="C2399" s="4" t="s">
        <v>99</v>
      </c>
      <c r="D2399" s="475">
        <v>17.95</v>
      </c>
      <c r="E2399" s="476">
        <v>0</v>
      </c>
      <c r="F2399" s="6">
        <v>0</v>
      </c>
      <c r="G2399" s="6">
        <v>836.81</v>
      </c>
    </row>
    <row r="2400" ht="15.75" customHeight="1" spans="1:7">
      <c r="A2400" s="4" t="s">
        <v>5915</v>
      </c>
      <c r="B2400" s="5" t="s">
        <v>5916</v>
      </c>
      <c r="C2400" s="4" t="s">
        <v>99</v>
      </c>
      <c r="D2400" s="475">
        <v>18.13</v>
      </c>
      <c r="E2400" s="476">
        <v>0</v>
      </c>
      <c r="F2400" s="6">
        <v>0</v>
      </c>
      <c r="G2400" s="6">
        <v>828.58</v>
      </c>
    </row>
    <row r="2401" ht="15.75" customHeight="1" spans="1:7">
      <c r="A2401" s="4" t="s">
        <v>5917</v>
      </c>
      <c r="B2401" s="5" t="s">
        <v>5918</v>
      </c>
      <c r="C2401" s="4" t="s">
        <v>99</v>
      </c>
      <c r="D2401" s="475">
        <v>22.01</v>
      </c>
      <c r="E2401" s="476">
        <v>0</v>
      </c>
      <c r="F2401" s="6">
        <v>0</v>
      </c>
      <c r="G2401" s="6">
        <v>3601.85</v>
      </c>
    </row>
    <row r="2402" ht="15.75" customHeight="1" spans="1:7">
      <c r="A2402" s="4" t="s">
        <v>5919</v>
      </c>
      <c r="B2402" s="5" t="s">
        <v>5920</v>
      </c>
      <c r="C2402" s="4" t="s">
        <v>99</v>
      </c>
      <c r="D2402" s="475">
        <v>22.13</v>
      </c>
      <c r="E2402" s="476">
        <v>0</v>
      </c>
      <c r="F2402" s="6">
        <v>0</v>
      </c>
      <c r="G2402" s="6">
        <v>3583.79</v>
      </c>
    </row>
    <row r="2403" ht="15.75" customHeight="1" spans="1:7">
      <c r="A2403" s="4" t="s">
        <v>5921</v>
      </c>
      <c r="B2403" s="5" t="s">
        <v>5922</v>
      </c>
      <c r="C2403" s="4" t="s">
        <v>99</v>
      </c>
      <c r="D2403" s="475">
        <v>22.24</v>
      </c>
      <c r="E2403" s="476">
        <v>0</v>
      </c>
      <c r="F2403" s="6">
        <v>0</v>
      </c>
      <c r="G2403" s="6">
        <v>3565.18</v>
      </c>
    </row>
    <row r="2404" ht="15.75" customHeight="1" spans="1:7">
      <c r="A2404" s="4" t="s">
        <v>5923</v>
      </c>
      <c r="B2404" s="5" t="s">
        <v>5924</v>
      </c>
      <c r="C2404" s="4" t="s">
        <v>99</v>
      </c>
      <c r="D2404" s="475">
        <v>22.36</v>
      </c>
      <c r="E2404" s="476">
        <v>0</v>
      </c>
      <c r="F2404" s="6">
        <v>0</v>
      </c>
      <c r="G2404" s="6">
        <v>3546.06</v>
      </c>
    </row>
    <row r="2405" ht="15.75" customHeight="1" spans="1:7">
      <c r="A2405" s="4" t="s">
        <v>5925</v>
      </c>
      <c r="B2405" s="5" t="s">
        <v>5926</v>
      </c>
      <c r="C2405" s="4" t="s">
        <v>99</v>
      </c>
      <c r="D2405" s="475">
        <v>22.49</v>
      </c>
      <c r="E2405" s="476">
        <v>0</v>
      </c>
      <c r="F2405" s="6">
        <v>0</v>
      </c>
      <c r="G2405" s="6">
        <v>3525.91</v>
      </c>
    </row>
    <row r="2406" ht="15.75" customHeight="1" spans="1:7">
      <c r="A2406" s="4" t="s">
        <v>5927</v>
      </c>
      <c r="B2406" s="5" t="s">
        <v>5928</v>
      </c>
      <c r="C2406" s="4" t="s">
        <v>99</v>
      </c>
      <c r="D2406" s="475">
        <v>22.56</v>
      </c>
      <c r="E2406" s="476">
        <v>0</v>
      </c>
      <c r="F2406" s="6">
        <v>0</v>
      </c>
      <c r="G2406" s="6">
        <v>3515.23</v>
      </c>
    </row>
    <row r="2407" ht="15.75" customHeight="1" spans="1:7">
      <c r="A2407" s="4" t="s">
        <v>5929</v>
      </c>
      <c r="B2407" s="5" t="s">
        <v>5930</v>
      </c>
      <c r="C2407" s="4" t="s">
        <v>99</v>
      </c>
      <c r="D2407" s="475">
        <v>15.16</v>
      </c>
      <c r="E2407" s="476">
        <v>0</v>
      </c>
      <c r="F2407" s="6">
        <v>0</v>
      </c>
      <c r="G2407" s="6">
        <v>1242.57</v>
      </c>
    </row>
    <row r="2408" ht="15.75" customHeight="1" spans="1:7">
      <c r="A2408" s="4" t="s">
        <v>5931</v>
      </c>
      <c r="B2408" s="5" t="s">
        <v>5932</v>
      </c>
      <c r="C2408" s="4" t="s">
        <v>99</v>
      </c>
      <c r="D2408" s="475">
        <v>15.38</v>
      </c>
      <c r="E2408" s="476">
        <v>0</v>
      </c>
      <c r="F2408" s="6">
        <v>0</v>
      </c>
      <c r="G2408" s="6">
        <v>1224.08</v>
      </c>
    </row>
    <row r="2409" ht="15.75" customHeight="1" spans="1:7">
      <c r="A2409" s="4" t="s">
        <v>5933</v>
      </c>
      <c r="B2409" s="5" t="s">
        <v>5934</v>
      </c>
      <c r="C2409" s="4" t="s">
        <v>99</v>
      </c>
      <c r="D2409" s="475">
        <v>15.62</v>
      </c>
      <c r="E2409" s="476">
        <v>0</v>
      </c>
      <c r="F2409" s="6">
        <v>0</v>
      </c>
      <c r="G2409" s="6">
        <v>1205.73</v>
      </c>
    </row>
    <row r="2410" ht="15.75" customHeight="1" spans="1:7">
      <c r="A2410" s="4" t="s">
        <v>5935</v>
      </c>
      <c r="B2410" s="5" t="s">
        <v>5936</v>
      </c>
      <c r="C2410" s="4" t="s">
        <v>99</v>
      </c>
      <c r="D2410" s="475">
        <v>15.86</v>
      </c>
      <c r="E2410" s="476">
        <v>0</v>
      </c>
      <c r="F2410" s="6">
        <v>0</v>
      </c>
      <c r="G2410" s="6">
        <v>1186.98</v>
      </c>
    </row>
    <row r="2411" ht="15.75" customHeight="1" spans="1:7">
      <c r="A2411" s="4" t="s">
        <v>5937</v>
      </c>
      <c r="B2411" s="5" t="s">
        <v>5938</v>
      </c>
      <c r="C2411" s="4" t="s">
        <v>99</v>
      </c>
      <c r="D2411" s="475">
        <v>16.13</v>
      </c>
      <c r="E2411" s="476">
        <v>0</v>
      </c>
      <c r="F2411" s="6">
        <v>0</v>
      </c>
      <c r="G2411" s="6">
        <v>1167.78</v>
      </c>
    </row>
    <row r="2412" ht="15.75" customHeight="1" spans="1:7">
      <c r="A2412" s="4" t="s">
        <v>5939</v>
      </c>
      <c r="B2412" s="5" t="s">
        <v>5940</v>
      </c>
      <c r="C2412" s="4" t="s">
        <v>99</v>
      </c>
      <c r="D2412" s="475">
        <v>16.27</v>
      </c>
      <c r="E2412" s="476">
        <v>0</v>
      </c>
      <c r="F2412" s="6">
        <v>0</v>
      </c>
      <c r="G2412" s="6">
        <v>1157.71</v>
      </c>
    </row>
    <row r="2413" ht="15.75" customHeight="1" spans="1:7">
      <c r="A2413" s="4" t="s">
        <v>5941</v>
      </c>
      <c r="B2413" s="5" t="s">
        <v>5942</v>
      </c>
      <c r="C2413" s="4" t="s">
        <v>99</v>
      </c>
      <c r="D2413" s="475">
        <v>14.03</v>
      </c>
      <c r="E2413" s="476">
        <v>0</v>
      </c>
      <c r="F2413" s="6">
        <v>0</v>
      </c>
      <c r="G2413" s="6">
        <v>1606.36</v>
      </c>
    </row>
    <row r="2414" ht="15.75" customHeight="1" spans="1:7">
      <c r="A2414" s="4" t="s">
        <v>5943</v>
      </c>
      <c r="B2414" s="5" t="s">
        <v>5944</v>
      </c>
      <c r="C2414" s="4" t="s">
        <v>99</v>
      </c>
      <c r="D2414" s="475">
        <v>14.23</v>
      </c>
      <c r="E2414" s="476">
        <v>0</v>
      </c>
      <c r="F2414" s="6">
        <v>0</v>
      </c>
      <c r="G2414" s="6">
        <v>1584.23</v>
      </c>
    </row>
    <row r="2415" ht="15.75" customHeight="1" spans="1:7">
      <c r="A2415" s="4" t="s">
        <v>5945</v>
      </c>
      <c r="B2415" s="5" t="s">
        <v>5946</v>
      </c>
      <c r="C2415" s="4" t="s">
        <v>99</v>
      </c>
      <c r="D2415" s="475">
        <v>14.43</v>
      </c>
      <c r="E2415" s="476">
        <v>0</v>
      </c>
      <c r="F2415" s="6">
        <v>0</v>
      </c>
      <c r="G2415" s="6">
        <v>1562.02</v>
      </c>
    </row>
    <row r="2416" ht="15.75" customHeight="1" spans="1:7">
      <c r="A2416" s="4" t="s">
        <v>5947</v>
      </c>
      <c r="B2416" s="5" t="s">
        <v>5948</v>
      </c>
      <c r="C2416" s="4" t="s">
        <v>99</v>
      </c>
      <c r="D2416" s="475">
        <v>14.64</v>
      </c>
      <c r="E2416" s="476">
        <v>0</v>
      </c>
      <c r="F2416" s="6">
        <v>0</v>
      </c>
      <c r="G2416" s="6">
        <v>1539.58</v>
      </c>
    </row>
    <row r="2417" ht="15.75" customHeight="1" spans="1:7">
      <c r="A2417" s="4" t="s">
        <v>5949</v>
      </c>
      <c r="B2417" s="5" t="s">
        <v>5950</v>
      </c>
      <c r="C2417" s="4" t="s">
        <v>99</v>
      </c>
      <c r="D2417" s="475">
        <v>14.87</v>
      </c>
      <c r="E2417" s="476">
        <v>0</v>
      </c>
      <c r="F2417" s="6">
        <v>0</v>
      </c>
      <c r="G2417" s="6">
        <v>1516.32</v>
      </c>
    </row>
    <row r="2418" ht="15.75" customHeight="1" spans="1:7">
      <c r="A2418" s="4" t="s">
        <v>5951</v>
      </c>
      <c r="B2418" s="5" t="s">
        <v>5952</v>
      </c>
      <c r="C2418" s="4" t="s">
        <v>99</v>
      </c>
      <c r="D2418" s="475">
        <v>14.99</v>
      </c>
      <c r="E2418" s="476">
        <v>0</v>
      </c>
      <c r="F2418" s="6">
        <v>0</v>
      </c>
      <c r="G2418" s="6">
        <v>1504.07</v>
      </c>
    </row>
    <row r="2419" ht="15.75" customHeight="1" spans="1:7">
      <c r="A2419" s="4" t="s">
        <v>5953</v>
      </c>
      <c r="B2419" s="5" t="s">
        <v>5954</v>
      </c>
      <c r="C2419" s="4" t="s">
        <v>99</v>
      </c>
      <c r="D2419" s="475">
        <v>15.21</v>
      </c>
      <c r="E2419" s="476">
        <v>0</v>
      </c>
      <c r="F2419" s="6">
        <v>0</v>
      </c>
      <c r="G2419" s="6">
        <v>1721.93</v>
      </c>
    </row>
    <row r="2420" ht="15.75" customHeight="1" spans="1:7">
      <c r="A2420" s="4" t="s">
        <v>5955</v>
      </c>
      <c r="B2420" s="5" t="s">
        <v>5956</v>
      </c>
      <c r="C2420" s="4" t="s">
        <v>99</v>
      </c>
      <c r="D2420" s="475">
        <v>15.38</v>
      </c>
      <c r="E2420" s="476">
        <v>0</v>
      </c>
      <c r="F2420" s="6">
        <v>0</v>
      </c>
      <c r="G2420" s="6">
        <v>1702.7</v>
      </c>
    </row>
    <row r="2421" ht="15.75" customHeight="1" spans="1:7">
      <c r="A2421" s="4" t="s">
        <v>5957</v>
      </c>
      <c r="B2421" s="5" t="s">
        <v>5958</v>
      </c>
      <c r="C2421" s="4" t="s">
        <v>99</v>
      </c>
      <c r="D2421" s="475">
        <v>15.56</v>
      </c>
      <c r="E2421" s="476">
        <v>0</v>
      </c>
      <c r="F2421" s="6">
        <v>0</v>
      </c>
      <c r="G2421" s="6">
        <v>1683.42</v>
      </c>
    </row>
    <row r="2422" ht="15.75" customHeight="1" spans="1:7">
      <c r="A2422" s="4" t="s">
        <v>5959</v>
      </c>
      <c r="B2422" s="5" t="s">
        <v>5960</v>
      </c>
      <c r="C2422" s="4" t="s">
        <v>99</v>
      </c>
      <c r="D2422" s="475">
        <v>15.75</v>
      </c>
      <c r="E2422" s="476">
        <v>0</v>
      </c>
      <c r="F2422" s="6">
        <v>0</v>
      </c>
      <c r="G2422" s="6">
        <v>1663.62</v>
      </c>
    </row>
    <row r="2423" ht="15.75" customHeight="1" spans="1:7">
      <c r="A2423" s="4" t="s">
        <v>5961</v>
      </c>
      <c r="B2423" s="5" t="s">
        <v>5962</v>
      </c>
      <c r="C2423" s="4" t="s">
        <v>99</v>
      </c>
      <c r="D2423" s="475">
        <v>15.94</v>
      </c>
      <c r="E2423" s="476">
        <v>0</v>
      </c>
      <c r="F2423" s="6">
        <v>0</v>
      </c>
      <c r="G2423" s="6">
        <v>1643.07</v>
      </c>
    </row>
    <row r="2424" ht="15.75" customHeight="1" spans="1:7">
      <c r="A2424" s="4" t="s">
        <v>5963</v>
      </c>
      <c r="B2424" s="5" t="s">
        <v>5964</v>
      </c>
      <c r="C2424" s="4" t="s">
        <v>99</v>
      </c>
      <c r="D2424" s="475">
        <v>16.05</v>
      </c>
      <c r="E2424" s="476">
        <v>0</v>
      </c>
      <c r="F2424" s="6">
        <v>0</v>
      </c>
      <c r="G2424" s="6">
        <v>1632.45</v>
      </c>
    </row>
    <row r="2425" ht="15.75" customHeight="1" spans="1:7">
      <c r="A2425" s="4" t="s">
        <v>5965</v>
      </c>
      <c r="B2425" s="5" t="s">
        <v>5966</v>
      </c>
      <c r="C2425" s="4" t="s">
        <v>99</v>
      </c>
      <c r="D2425" s="475">
        <v>35.33</v>
      </c>
      <c r="E2425" s="476">
        <v>0</v>
      </c>
      <c r="F2425" s="6">
        <v>0</v>
      </c>
      <c r="G2425" s="6">
        <v>295.62</v>
      </c>
    </row>
    <row r="2426" ht="15.75" customHeight="1" spans="1:7">
      <c r="A2426" s="4" t="s">
        <v>5967</v>
      </c>
      <c r="B2426" s="5" t="s">
        <v>5968</v>
      </c>
      <c r="C2426" s="4" t="s">
        <v>99</v>
      </c>
      <c r="D2426" s="475">
        <v>36.08</v>
      </c>
      <c r="E2426" s="476">
        <v>0</v>
      </c>
      <c r="F2426" s="6">
        <v>0</v>
      </c>
      <c r="G2426" s="6">
        <v>289.49</v>
      </c>
    </row>
    <row r="2427" ht="15.75" customHeight="1" spans="1:7">
      <c r="A2427" s="4" t="s">
        <v>5969</v>
      </c>
      <c r="B2427" s="5" t="s">
        <v>5970</v>
      </c>
      <c r="C2427" s="4" t="s">
        <v>99</v>
      </c>
      <c r="D2427" s="475">
        <v>36.84</v>
      </c>
      <c r="E2427" s="476">
        <v>0</v>
      </c>
      <c r="F2427" s="6">
        <v>0</v>
      </c>
      <c r="G2427" s="6">
        <v>283.52</v>
      </c>
    </row>
    <row r="2428" ht="15.75" customHeight="1" spans="1:7">
      <c r="A2428" s="4" t="s">
        <v>5971</v>
      </c>
      <c r="B2428" s="5" t="s">
        <v>5972</v>
      </c>
      <c r="C2428" s="4" t="s">
        <v>99</v>
      </c>
      <c r="D2428" s="475">
        <v>37.64</v>
      </c>
      <c r="E2428" s="476">
        <v>0</v>
      </c>
      <c r="F2428" s="6">
        <v>0</v>
      </c>
      <c r="G2428" s="6">
        <v>277.47</v>
      </c>
    </row>
    <row r="2429" ht="15.75" customHeight="1" spans="1:7">
      <c r="A2429" s="4" t="s">
        <v>5973</v>
      </c>
      <c r="B2429" s="5" t="s">
        <v>5974</v>
      </c>
      <c r="C2429" s="4" t="s">
        <v>99</v>
      </c>
      <c r="D2429" s="475">
        <v>38.49</v>
      </c>
      <c r="E2429" s="476">
        <v>0</v>
      </c>
      <c r="F2429" s="6">
        <v>0</v>
      </c>
      <c r="G2429" s="6">
        <v>271.37</v>
      </c>
    </row>
    <row r="2430" ht="15.75" customHeight="1" spans="1:7">
      <c r="A2430" s="4" t="s">
        <v>5975</v>
      </c>
      <c r="B2430" s="5" t="s">
        <v>5976</v>
      </c>
      <c r="C2430" s="4" t="s">
        <v>99</v>
      </c>
      <c r="D2430" s="475">
        <v>38.94</v>
      </c>
      <c r="E2430" s="476">
        <v>0</v>
      </c>
      <c r="F2430" s="6">
        <v>0</v>
      </c>
      <c r="G2430" s="6">
        <v>268.24</v>
      </c>
    </row>
    <row r="2431" ht="30" customHeight="1" spans="1:7">
      <c r="A2431" s="4" t="s">
        <v>5977</v>
      </c>
      <c r="B2431" s="5" t="s">
        <v>5978</v>
      </c>
      <c r="C2431" s="4" t="s">
        <v>99</v>
      </c>
      <c r="D2431" s="475">
        <v>10.94</v>
      </c>
      <c r="E2431" s="476">
        <v>0</v>
      </c>
      <c r="F2431" s="6">
        <v>0</v>
      </c>
      <c r="G2431" s="6">
        <v>405</v>
      </c>
    </row>
    <row r="2432" ht="30" customHeight="1" spans="1:7">
      <c r="A2432" s="4" t="s">
        <v>5979</v>
      </c>
      <c r="B2432" s="5" t="s">
        <v>5980</v>
      </c>
      <c r="C2432" s="4" t="s">
        <v>99</v>
      </c>
      <c r="D2432" s="475">
        <v>11.73</v>
      </c>
      <c r="E2432" s="476">
        <v>0</v>
      </c>
      <c r="F2432" s="6">
        <v>0</v>
      </c>
      <c r="G2432" s="6">
        <v>388.8</v>
      </c>
    </row>
    <row r="2433" ht="30" customHeight="1" spans="1:7">
      <c r="A2433" s="4" t="s">
        <v>5981</v>
      </c>
      <c r="B2433" s="5" t="s">
        <v>5982</v>
      </c>
      <c r="C2433" s="4" t="s">
        <v>99</v>
      </c>
      <c r="D2433" s="475">
        <v>12.52</v>
      </c>
      <c r="E2433" s="476">
        <v>0</v>
      </c>
      <c r="F2433" s="6">
        <v>0</v>
      </c>
      <c r="G2433" s="6">
        <v>371.4</v>
      </c>
    </row>
    <row r="2434" ht="30" customHeight="1" spans="1:7">
      <c r="A2434" s="4" t="s">
        <v>5983</v>
      </c>
      <c r="B2434" s="5" t="s">
        <v>5984</v>
      </c>
      <c r="C2434" s="4" t="s">
        <v>99</v>
      </c>
      <c r="D2434" s="475">
        <v>13.86</v>
      </c>
      <c r="E2434" s="476">
        <v>0</v>
      </c>
      <c r="F2434" s="6">
        <v>0</v>
      </c>
      <c r="G2434" s="6">
        <v>347.4</v>
      </c>
    </row>
    <row r="2435" ht="30" customHeight="1" spans="1:7">
      <c r="A2435" s="4" t="s">
        <v>5985</v>
      </c>
      <c r="B2435" s="5" t="s">
        <v>5986</v>
      </c>
      <c r="C2435" s="4" t="s">
        <v>99</v>
      </c>
      <c r="D2435" s="475">
        <v>15.86</v>
      </c>
      <c r="E2435" s="476">
        <v>0</v>
      </c>
      <c r="F2435" s="6">
        <v>0</v>
      </c>
      <c r="G2435" s="6">
        <v>299.4</v>
      </c>
    </row>
    <row r="2436" ht="30" customHeight="1" spans="1:7">
      <c r="A2436" s="4" t="s">
        <v>5987</v>
      </c>
      <c r="B2436" s="5" t="s">
        <v>5988</v>
      </c>
      <c r="C2436" s="4" t="s">
        <v>99</v>
      </c>
      <c r="D2436" s="475">
        <v>18.93</v>
      </c>
      <c r="E2436" s="476">
        <v>0</v>
      </c>
      <c r="F2436" s="6">
        <v>0</v>
      </c>
      <c r="G2436" s="6">
        <v>241.8</v>
      </c>
    </row>
    <row r="2437" ht="30" customHeight="1" spans="1:7">
      <c r="A2437" s="4" t="s">
        <v>5989</v>
      </c>
      <c r="B2437" s="5" t="s">
        <v>5990</v>
      </c>
      <c r="C2437" s="4" t="s">
        <v>99</v>
      </c>
      <c r="D2437" s="475">
        <v>22.37</v>
      </c>
      <c r="E2437" s="476">
        <v>0</v>
      </c>
      <c r="F2437" s="6">
        <v>0</v>
      </c>
      <c r="G2437" s="6">
        <v>199.8</v>
      </c>
    </row>
    <row r="2438" ht="30" customHeight="1" spans="1:7">
      <c r="A2438" s="4" t="s">
        <v>5991</v>
      </c>
      <c r="B2438" s="5" t="s">
        <v>5992</v>
      </c>
      <c r="C2438" s="4" t="s">
        <v>99</v>
      </c>
      <c r="D2438" s="475">
        <v>26.4</v>
      </c>
      <c r="E2438" s="476">
        <v>0</v>
      </c>
      <c r="F2438" s="6">
        <v>0</v>
      </c>
      <c r="G2438" s="6">
        <v>166.8</v>
      </c>
    </row>
    <row r="2439" ht="30" customHeight="1" spans="1:7">
      <c r="A2439" s="4" t="s">
        <v>5993</v>
      </c>
      <c r="B2439" s="5" t="s">
        <v>5994</v>
      </c>
      <c r="C2439" s="4" t="s">
        <v>99</v>
      </c>
      <c r="D2439" s="475">
        <v>30.95</v>
      </c>
      <c r="E2439" s="476">
        <v>0</v>
      </c>
      <c r="F2439" s="6">
        <v>0</v>
      </c>
      <c r="G2439" s="6">
        <v>139.2</v>
      </c>
    </row>
    <row r="2440" ht="30" customHeight="1" spans="1:7">
      <c r="A2440" s="4" t="s">
        <v>5995</v>
      </c>
      <c r="B2440" s="5" t="s">
        <v>5996</v>
      </c>
      <c r="C2440" s="4" t="s">
        <v>99</v>
      </c>
      <c r="D2440" s="475">
        <v>35.97</v>
      </c>
      <c r="E2440" s="476">
        <v>0</v>
      </c>
      <c r="F2440" s="6">
        <v>0</v>
      </c>
      <c r="G2440" s="6">
        <v>117.6</v>
      </c>
    </row>
    <row r="2441" ht="30" customHeight="1" spans="1:7">
      <c r="A2441" s="4" t="s">
        <v>5997</v>
      </c>
      <c r="B2441" s="5" t="s">
        <v>5998</v>
      </c>
      <c r="C2441" s="4" t="s">
        <v>99</v>
      </c>
      <c r="D2441" s="475">
        <v>41.58</v>
      </c>
      <c r="E2441" s="476">
        <v>0</v>
      </c>
      <c r="F2441" s="6">
        <v>0</v>
      </c>
      <c r="G2441" s="6">
        <v>100.8</v>
      </c>
    </row>
    <row r="2442" ht="30" customHeight="1" spans="1:7">
      <c r="A2442" s="4" t="s">
        <v>5999</v>
      </c>
      <c r="B2442" s="5" t="s">
        <v>6000</v>
      </c>
      <c r="C2442" s="4" t="s">
        <v>99</v>
      </c>
      <c r="D2442" s="475">
        <v>48.44</v>
      </c>
      <c r="E2442" s="476">
        <v>0</v>
      </c>
      <c r="F2442" s="6">
        <v>0</v>
      </c>
      <c r="G2442" s="6">
        <v>85.2</v>
      </c>
    </row>
    <row r="2443" ht="30" customHeight="1" spans="1:7">
      <c r="A2443" s="4" t="s">
        <v>6001</v>
      </c>
      <c r="B2443" s="5" t="s">
        <v>6002</v>
      </c>
      <c r="C2443" s="4" t="s">
        <v>99</v>
      </c>
      <c r="D2443" s="475">
        <v>54.48</v>
      </c>
      <c r="E2443" s="476">
        <v>0</v>
      </c>
      <c r="F2443" s="6">
        <v>0</v>
      </c>
      <c r="G2443" s="6">
        <v>75</v>
      </c>
    </row>
    <row r="2444" ht="30" customHeight="1" spans="1:7">
      <c r="A2444" s="4" t="s">
        <v>6003</v>
      </c>
      <c r="B2444" s="5" t="s">
        <v>6004</v>
      </c>
      <c r="C2444" s="4" t="s">
        <v>99</v>
      </c>
      <c r="D2444" s="475">
        <v>62.36</v>
      </c>
      <c r="E2444" s="476">
        <v>0</v>
      </c>
      <c r="F2444" s="6">
        <v>0</v>
      </c>
      <c r="G2444" s="6">
        <v>64.8</v>
      </c>
    </row>
    <row r="2445" ht="30" customHeight="1" spans="1:7">
      <c r="A2445" s="4" t="s">
        <v>6005</v>
      </c>
      <c r="B2445" s="5" t="s">
        <v>6006</v>
      </c>
      <c r="C2445" s="4" t="s">
        <v>99</v>
      </c>
      <c r="D2445" s="475">
        <v>67.6</v>
      </c>
      <c r="E2445" s="476">
        <v>0</v>
      </c>
      <c r="F2445" s="6">
        <v>0</v>
      </c>
      <c r="G2445" s="6">
        <v>60</v>
      </c>
    </row>
    <row r="2446" ht="30" customHeight="1" spans="1:7">
      <c r="A2446" s="4" t="s">
        <v>6007</v>
      </c>
      <c r="B2446" s="5" t="s">
        <v>6008</v>
      </c>
      <c r="C2446" s="4" t="s">
        <v>99</v>
      </c>
      <c r="D2446" s="475">
        <v>8.3</v>
      </c>
      <c r="E2446" s="476">
        <v>0</v>
      </c>
      <c r="F2446" s="6">
        <v>0</v>
      </c>
      <c r="G2446" s="6">
        <v>465</v>
      </c>
    </row>
    <row r="2447" ht="30" customHeight="1" spans="1:7">
      <c r="A2447" s="4" t="s">
        <v>6009</v>
      </c>
      <c r="B2447" s="5" t="s">
        <v>6010</v>
      </c>
      <c r="C2447" s="4" t="s">
        <v>99</v>
      </c>
      <c r="D2447" s="475">
        <v>9.13</v>
      </c>
      <c r="E2447" s="476">
        <v>0</v>
      </c>
      <c r="F2447" s="6">
        <v>0</v>
      </c>
      <c r="G2447" s="6">
        <v>441</v>
      </c>
    </row>
    <row r="2448" ht="30" customHeight="1" spans="1:7">
      <c r="A2448" s="4" t="s">
        <v>6011</v>
      </c>
      <c r="B2448" s="5" t="s">
        <v>6012</v>
      </c>
      <c r="C2448" s="4" t="s">
        <v>99</v>
      </c>
      <c r="D2448" s="475">
        <v>9.85</v>
      </c>
      <c r="E2448" s="476">
        <v>0</v>
      </c>
      <c r="F2448" s="6">
        <v>0</v>
      </c>
      <c r="G2448" s="6">
        <v>423</v>
      </c>
    </row>
    <row r="2449" ht="30" customHeight="1" spans="1:7">
      <c r="A2449" s="4" t="s">
        <v>6013</v>
      </c>
      <c r="B2449" s="5" t="s">
        <v>6014</v>
      </c>
      <c r="C2449" s="4" t="s">
        <v>99</v>
      </c>
      <c r="D2449" s="475">
        <v>7.97</v>
      </c>
      <c r="E2449" s="476">
        <v>0</v>
      </c>
      <c r="F2449" s="6">
        <v>0</v>
      </c>
      <c r="G2449" s="6">
        <v>489</v>
      </c>
    </row>
    <row r="2450" ht="30" customHeight="1" spans="1:7">
      <c r="A2450" s="4" t="s">
        <v>6015</v>
      </c>
      <c r="B2450" s="5" t="s">
        <v>6016</v>
      </c>
      <c r="C2450" s="4" t="s">
        <v>99</v>
      </c>
      <c r="D2450" s="475">
        <v>13.21</v>
      </c>
      <c r="E2450" s="476">
        <v>0</v>
      </c>
      <c r="F2450" s="6">
        <v>0</v>
      </c>
      <c r="G2450" s="6">
        <v>78.6</v>
      </c>
    </row>
    <row r="2451" ht="30" customHeight="1" spans="1:7">
      <c r="A2451" s="4" t="s">
        <v>6017</v>
      </c>
      <c r="B2451" s="5" t="s">
        <v>6018</v>
      </c>
      <c r="C2451" s="4" t="s">
        <v>99</v>
      </c>
      <c r="D2451" s="475">
        <v>16.42</v>
      </c>
      <c r="E2451" s="476">
        <v>0</v>
      </c>
      <c r="F2451" s="6">
        <v>0</v>
      </c>
      <c r="G2451" s="6">
        <v>63.6</v>
      </c>
    </row>
    <row r="2452" ht="30" customHeight="1" spans="1:7">
      <c r="A2452" s="4" t="s">
        <v>6019</v>
      </c>
      <c r="B2452" s="5" t="s">
        <v>6020</v>
      </c>
      <c r="C2452" s="4" t="s">
        <v>99</v>
      </c>
      <c r="D2452" s="475">
        <v>21.33</v>
      </c>
      <c r="E2452" s="476">
        <v>0</v>
      </c>
      <c r="F2452" s="6">
        <v>0</v>
      </c>
      <c r="G2452" s="6">
        <v>49.2</v>
      </c>
    </row>
    <row r="2453" ht="30" customHeight="1" spans="1:7">
      <c r="A2453" s="4" t="s">
        <v>6021</v>
      </c>
      <c r="B2453" s="5" t="s">
        <v>6022</v>
      </c>
      <c r="C2453" s="4" t="s">
        <v>99</v>
      </c>
      <c r="D2453" s="475">
        <v>8.09</v>
      </c>
      <c r="E2453" s="476">
        <v>0</v>
      </c>
      <c r="F2453" s="6">
        <v>0</v>
      </c>
      <c r="G2453" s="6">
        <v>123.6</v>
      </c>
    </row>
    <row r="2454" ht="30" customHeight="1" spans="1:7">
      <c r="A2454" s="4" t="s">
        <v>6023</v>
      </c>
      <c r="B2454" s="5" t="s">
        <v>6024</v>
      </c>
      <c r="C2454" s="4" t="s">
        <v>99</v>
      </c>
      <c r="D2454" s="475">
        <v>9</v>
      </c>
      <c r="E2454" s="476">
        <v>0</v>
      </c>
      <c r="F2454" s="6">
        <v>0</v>
      </c>
      <c r="G2454" s="6">
        <v>112.2</v>
      </c>
    </row>
    <row r="2455" ht="30" customHeight="1" spans="1:7">
      <c r="A2455" s="4" t="s">
        <v>6025</v>
      </c>
      <c r="B2455" s="5" t="s">
        <v>6026</v>
      </c>
      <c r="C2455" s="4" t="s">
        <v>99</v>
      </c>
      <c r="D2455" s="475">
        <v>10.66</v>
      </c>
      <c r="E2455" s="476">
        <v>0</v>
      </c>
      <c r="F2455" s="6">
        <v>0</v>
      </c>
      <c r="G2455" s="6">
        <v>96</v>
      </c>
    </row>
    <row r="2456" ht="30" customHeight="1" spans="1:7">
      <c r="A2456" s="4" t="s">
        <v>6027</v>
      </c>
      <c r="B2456" s="5" t="s">
        <v>6028</v>
      </c>
      <c r="C2456" s="4" t="s">
        <v>99</v>
      </c>
      <c r="D2456" s="475">
        <v>7.83</v>
      </c>
      <c r="E2456" s="476">
        <v>0</v>
      </c>
      <c r="F2456" s="6">
        <v>0</v>
      </c>
      <c r="G2456" s="6">
        <v>127.2</v>
      </c>
    </row>
    <row r="2457" ht="30" customHeight="1" spans="1:7">
      <c r="A2457" s="4" t="s">
        <v>6029</v>
      </c>
      <c r="B2457" s="5" t="s">
        <v>6030</v>
      </c>
      <c r="C2457" s="4" t="s">
        <v>99</v>
      </c>
      <c r="D2457" s="475">
        <v>11.67</v>
      </c>
      <c r="E2457" s="476">
        <v>0</v>
      </c>
      <c r="F2457" s="6">
        <v>0</v>
      </c>
      <c r="G2457" s="6">
        <v>147</v>
      </c>
    </row>
    <row r="2458" ht="30" customHeight="1" spans="1:7">
      <c r="A2458" s="4" t="s">
        <v>6031</v>
      </c>
      <c r="B2458" s="5" t="s">
        <v>6032</v>
      </c>
      <c r="C2458" s="4" t="s">
        <v>99</v>
      </c>
      <c r="D2458" s="475">
        <v>15.53</v>
      </c>
      <c r="E2458" s="476">
        <v>0</v>
      </c>
      <c r="F2458" s="6">
        <v>0</v>
      </c>
      <c r="G2458" s="6">
        <v>108</v>
      </c>
    </row>
    <row r="2459" ht="30" customHeight="1" spans="1:7">
      <c r="A2459" s="4" t="s">
        <v>6033</v>
      </c>
      <c r="B2459" s="5" t="s">
        <v>6034</v>
      </c>
      <c r="C2459" s="4" t="s">
        <v>99</v>
      </c>
      <c r="D2459" s="475">
        <v>20.09</v>
      </c>
      <c r="E2459" s="476">
        <v>0</v>
      </c>
      <c r="F2459" s="6">
        <v>0</v>
      </c>
      <c r="G2459" s="6">
        <v>82.2</v>
      </c>
    </row>
    <row r="2460" ht="30" customHeight="1" spans="1:7">
      <c r="A2460" s="4" t="s">
        <v>6035</v>
      </c>
      <c r="B2460" s="5" t="s">
        <v>6036</v>
      </c>
      <c r="C2460" s="4" t="s">
        <v>99</v>
      </c>
      <c r="D2460" s="475">
        <v>26.13</v>
      </c>
      <c r="E2460" s="476">
        <v>0</v>
      </c>
      <c r="F2460" s="6">
        <v>0</v>
      </c>
      <c r="G2460" s="6">
        <v>63</v>
      </c>
    </row>
    <row r="2461" ht="30" customHeight="1" spans="1:7">
      <c r="A2461" s="4" t="s">
        <v>6037</v>
      </c>
      <c r="B2461" s="5" t="s">
        <v>6038</v>
      </c>
      <c r="C2461" s="4" t="s">
        <v>99</v>
      </c>
      <c r="D2461" s="475">
        <v>33.85</v>
      </c>
      <c r="E2461" s="476">
        <v>0</v>
      </c>
      <c r="F2461" s="6">
        <v>0</v>
      </c>
      <c r="G2461" s="6">
        <v>48</v>
      </c>
    </row>
    <row r="2462" ht="30" customHeight="1" spans="1:7">
      <c r="A2462" s="4" t="s">
        <v>6039</v>
      </c>
      <c r="B2462" s="5" t="s">
        <v>6040</v>
      </c>
      <c r="C2462" s="4" t="s">
        <v>99</v>
      </c>
      <c r="D2462" s="475">
        <v>41.59</v>
      </c>
      <c r="E2462" s="476">
        <v>0</v>
      </c>
      <c r="F2462" s="6">
        <v>0</v>
      </c>
      <c r="G2462" s="6">
        <v>39</v>
      </c>
    </row>
    <row r="2463" ht="30" customHeight="1" spans="1:7">
      <c r="A2463" s="4" t="s">
        <v>6041</v>
      </c>
      <c r="B2463" s="5" t="s">
        <v>6042</v>
      </c>
      <c r="C2463" s="4" t="s">
        <v>99</v>
      </c>
      <c r="D2463" s="475">
        <v>47.57</v>
      </c>
      <c r="E2463" s="476">
        <v>0</v>
      </c>
      <c r="F2463" s="6">
        <v>0</v>
      </c>
      <c r="G2463" s="6">
        <v>34.2</v>
      </c>
    </row>
    <row r="2464" ht="30" customHeight="1" spans="1:7">
      <c r="A2464" s="4" t="s">
        <v>6043</v>
      </c>
      <c r="B2464" s="5" t="s">
        <v>6044</v>
      </c>
      <c r="C2464" s="4" t="s">
        <v>99</v>
      </c>
      <c r="D2464" s="475">
        <v>7.17</v>
      </c>
      <c r="E2464" s="476">
        <v>0</v>
      </c>
      <c r="F2464" s="6">
        <v>0</v>
      </c>
      <c r="G2464" s="6">
        <v>223.2</v>
      </c>
    </row>
    <row r="2465" ht="30" customHeight="1" spans="1:7">
      <c r="A2465" s="4" t="s">
        <v>6045</v>
      </c>
      <c r="B2465" s="5" t="s">
        <v>6046</v>
      </c>
      <c r="C2465" s="4" t="s">
        <v>99</v>
      </c>
      <c r="D2465" s="475">
        <v>7.7</v>
      </c>
      <c r="E2465" s="476">
        <v>0</v>
      </c>
      <c r="F2465" s="6">
        <v>0</v>
      </c>
      <c r="G2465" s="6">
        <v>216</v>
      </c>
    </row>
    <row r="2466" ht="30" customHeight="1" spans="1:7">
      <c r="A2466" s="4" t="s">
        <v>6047</v>
      </c>
      <c r="B2466" s="5" t="s">
        <v>6048</v>
      </c>
      <c r="C2466" s="4" t="s">
        <v>99</v>
      </c>
      <c r="D2466" s="475">
        <v>8.73</v>
      </c>
      <c r="E2466" s="476">
        <v>0</v>
      </c>
      <c r="F2466" s="6">
        <v>0</v>
      </c>
      <c r="G2466" s="6">
        <v>195</v>
      </c>
    </row>
    <row r="2467" ht="30" customHeight="1" spans="1:7">
      <c r="A2467" s="4" t="s">
        <v>6049</v>
      </c>
      <c r="B2467" s="5" t="s">
        <v>6050</v>
      </c>
      <c r="C2467" s="4" t="s">
        <v>99</v>
      </c>
      <c r="D2467" s="475">
        <v>7.01</v>
      </c>
      <c r="E2467" s="476">
        <v>0</v>
      </c>
      <c r="F2467" s="6">
        <v>0</v>
      </c>
      <c r="G2467" s="6">
        <v>229.2</v>
      </c>
    </row>
    <row r="2468" ht="30" customHeight="1" spans="1:7">
      <c r="A2468" s="4" t="s">
        <v>6051</v>
      </c>
      <c r="B2468" s="5" t="s">
        <v>6052</v>
      </c>
      <c r="C2468" s="4" t="s">
        <v>99</v>
      </c>
      <c r="D2468" s="475">
        <v>12.46</v>
      </c>
      <c r="E2468" s="476">
        <v>0</v>
      </c>
      <c r="F2468" s="6">
        <v>0</v>
      </c>
      <c r="G2468" s="6">
        <v>220.8</v>
      </c>
    </row>
    <row r="2469" ht="30" customHeight="1" spans="1:7">
      <c r="A2469" s="4" t="s">
        <v>6053</v>
      </c>
      <c r="B2469" s="5" t="s">
        <v>6054</v>
      </c>
      <c r="C2469" s="4" t="s">
        <v>99</v>
      </c>
      <c r="D2469" s="475">
        <v>14.43</v>
      </c>
      <c r="E2469" s="476">
        <v>0</v>
      </c>
      <c r="F2469" s="6">
        <v>0</v>
      </c>
      <c r="G2469" s="6">
        <v>190.8</v>
      </c>
    </row>
    <row r="2470" ht="30" customHeight="1" spans="1:7">
      <c r="A2470" s="4" t="s">
        <v>6055</v>
      </c>
      <c r="B2470" s="5" t="s">
        <v>6056</v>
      </c>
      <c r="C2470" s="4" t="s">
        <v>99</v>
      </c>
      <c r="D2470" s="475">
        <v>16.65</v>
      </c>
      <c r="E2470" s="476">
        <v>0</v>
      </c>
      <c r="F2470" s="6">
        <v>0</v>
      </c>
      <c r="G2470" s="6">
        <v>165</v>
      </c>
    </row>
    <row r="2471" ht="30" customHeight="1" spans="1:7">
      <c r="A2471" s="4" t="s">
        <v>6057</v>
      </c>
      <c r="B2471" s="5" t="s">
        <v>6058</v>
      </c>
      <c r="C2471" s="4" t="s">
        <v>99</v>
      </c>
      <c r="D2471" s="475">
        <v>19.8</v>
      </c>
      <c r="E2471" s="476">
        <v>0</v>
      </c>
      <c r="F2471" s="6">
        <v>0</v>
      </c>
      <c r="G2471" s="6">
        <v>139.2</v>
      </c>
    </row>
    <row r="2472" ht="30" customHeight="1" spans="1:7">
      <c r="A2472" s="4" t="s">
        <v>6059</v>
      </c>
      <c r="B2472" s="5" t="s">
        <v>6060</v>
      </c>
      <c r="C2472" s="4" t="s">
        <v>99</v>
      </c>
      <c r="D2472" s="475">
        <v>24.7</v>
      </c>
      <c r="E2472" s="476">
        <v>0</v>
      </c>
      <c r="F2472" s="6">
        <v>0</v>
      </c>
      <c r="G2472" s="6">
        <v>109.2</v>
      </c>
    </row>
    <row r="2473" ht="30" customHeight="1" spans="1:7">
      <c r="A2473" s="4" t="s">
        <v>6061</v>
      </c>
      <c r="B2473" s="5" t="s">
        <v>6062</v>
      </c>
      <c r="C2473" s="4" t="s">
        <v>99</v>
      </c>
      <c r="D2473" s="475">
        <v>30.28</v>
      </c>
      <c r="E2473" s="476">
        <v>0</v>
      </c>
      <c r="F2473" s="6">
        <v>0</v>
      </c>
      <c r="G2473" s="6">
        <v>87.6</v>
      </c>
    </row>
    <row r="2474" ht="30" customHeight="1" spans="1:7">
      <c r="A2474" s="4" t="s">
        <v>6063</v>
      </c>
      <c r="B2474" s="5" t="s">
        <v>6064</v>
      </c>
      <c r="C2474" s="4" t="s">
        <v>99</v>
      </c>
      <c r="D2474" s="475">
        <v>36.44</v>
      </c>
      <c r="E2474" s="476">
        <v>0</v>
      </c>
      <c r="F2474" s="6">
        <v>0</v>
      </c>
      <c r="G2474" s="6">
        <v>72</v>
      </c>
    </row>
    <row r="2475" ht="30" customHeight="1" spans="1:7">
      <c r="A2475" s="4" t="s">
        <v>6065</v>
      </c>
      <c r="B2475" s="5" t="s">
        <v>6066</v>
      </c>
      <c r="C2475" s="4" t="s">
        <v>99</v>
      </c>
      <c r="D2475" s="475">
        <v>43.56</v>
      </c>
      <c r="E2475" s="476">
        <v>0</v>
      </c>
      <c r="F2475" s="6">
        <v>0</v>
      </c>
      <c r="G2475" s="6">
        <v>60</v>
      </c>
    </row>
    <row r="2476" ht="30" customHeight="1" spans="1:7">
      <c r="A2476" s="4" t="s">
        <v>6067</v>
      </c>
      <c r="B2476" s="5" t="s">
        <v>6068</v>
      </c>
      <c r="C2476" s="4" t="s">
        <v>99</v>
      </c>
      <c r="D2476" s="475">
        <v>52.07</v>
      </c>
      <c r="E2476" s="476">
        <v>0</v>
      </c>
      <c r="F2476" s="6">
        <v>0</v>
      </c>
      <c r="G2476" s="6">
        <v>49.8</v>
      </c>
    </row>
    <row r="2477" ht="30" customHeight="1" spans="1:7">
      <c r="A2477" s="4" t="s">
        <v>6069</v>
      </c>
      <c r="B2477" s="5" t="s">
        <v>6070</v>
      </c>
      <c r="C2477" s="4" t="s">
        <v>99</v>
      </c>
      <c r="D2477" s="475">
        <v>55.7</v>
      </c>
      <c r="E2477" s="476">
        <v>0</v>
      </c>
      <c r="F2477" s="6">
        <v>0</v>
      </c>
      <c r="G2477" s="6">
        <v>46.8</v>
      </c>
    </row>
    <row r="2478" ht="30" customHeight="1" spans="1:7">
      <c r="A2478" s="4" t="s">
        <v>6071</v>
      </c>
      <c r="B2478" s="5" t="s">
        <v>6072</v>
      </c>
      <c r="C2478" s="4" t="s">
        <v>99</v>
      </c>
      <c r="D2478" s="475">
        <v>7.33</v>
      </c>
      <c r="E2478" s="476">
        <v>0</v>
      </c>
      <c r="F2478" s="6">
        <v>0</v>
      </c>
      <c r="G2478" s="6">
        <v>352.8</v>
      </c>
    </row>
    <row r="2479" ht="30" customHeight="1" spans="1:7">
      <c r="A2479" s="4" t="s">
        <v>6073</v>
      </c>
      <c r="B2479" s="5" t="s">
        <v>6074</v>
      </c>
      <c r="C2479" s="4" t="s">
        <v>99</v>
      </c>
      <c r="D2479" s="475">
        <v>8.65</v>
      </c>
      <c r="E2479" s="476">
        <v>0</v>
      </c>
      <c r="F2479" s="6">
        <v>0</v>
      </c>
      <c r="G2479" s="6">
        <v>306</v>
      </c>
    </row>
    <row r="2480" ht="30" customHeight="1" spans="1:7">
      <c r="A2480" s="4" t="s">
        <v>6075</v>
      </c>
      <c r="B2480" s="5" t="s">
        <v>6076</v>
      </c>
      <c r="C2480" s="4" t="s">
        <v>99</v>
      </c>
      <c r="D2480" s="475">
        <v>10.26</v>
      </c>
      <c r="E2480" s="476">
        <v>0</v>
      </c>
      <c r="F2480" s="6">
        <v>0</v>
      </c>
      <c r="G2480" s="6">
        <v>261</v>
      </c>
    </row>
    <row r="2481" ht="30" customHeight="1" spans="1:7">
      <c r="A2481" s="4" t="s">
        <v>6077</v>
      </c>
      <c r="B2481" s="5" t="s">
        <v>6078</v>
      </c>
      <c r="C2481" s="4" t="s">
        <v>99</v>
      </c>
      <c r="D2481" s="475">
        <v>6.49</v>
      </c>
      <c r="E2481" s="476">
        <v>0</v>
      </c>
      <c r="F2481" s="6">
        <v>0</v>
      </c>
      <c r="G2481" s="6">
        <v>412.2</v>
      </c>
    </row>
    <row r="2482" ht="15.75" customHeight="1" spans="1:7">
      <c r="A2482" s="4" t="s">
        <v>6079</v>
      </c>
      <c r="B2482" s="5" t="s">
        <v>6080</v>
      </c>
      <c r="C2482" s="4" t="s">
        <v>99</v>
      </c>
      <c r="D2482" s="475">
        <v>25.69</v>
      </c>
      <c r="E2482" s="476">
        <v>0</v>
      </c>
      <c r="F2482" s="6">
        <v>0</v>
      </c>
      <c r="G2482" s="6">
        <v>442.6</v>
      </c>
    </row>
    <row r="2483" ht="15.75" customHeight="1" spans="1:7">
      <c r="A2483" s="4" t="s">
        <v>6081</v>
      </c>
      <c r="B2483" s="5" t="s">
        <v>6082</v>
      </c>
      <c r="C2483" s="4" t="s">
        <v>99</v>
      </c>
      <c r="D2483" s="475">
        <v>26.19</v>
      </c>
      <c r="E2483" s="476">
        <v>0</v>
      </c>
      <c r="F2483" s="6">
        <v>0</v>
      </c>
      <c r="G2483" s="6">
        <v>434.17</v>
      </c>
    </row>
    <row r="2484" ht="15.75" customHeight="1" spans="1:7">
      <c r="A2484" s="4" t="s">
        <v>6083</v>
      </c>
      <c r="B2484" s="5" t="s">
        <v>6084</v>
      </c>
      <c r="C2484" s="4" t="s">
        <v>99</v>
      </c>
      <c r="D2484" s="475">
        <v>26.7</v>
      </c>
      <c r="E2484" s="476">
        <v>0</v>
      </c>
      <c r="F2484" s="6">
        <v>0</v>
      </c>
      <c r="G2484" s="6">
        <v>425.86</v>
      </c>
    </row>
    <row r="2485" ht="15.75" customHeight="1" spans="1:7">
      <c r="A2485" s="4" t="s">
        <v>6085</v>
      </c>
      <c r="B2485" s="5" t="s">
        <v>6086</v>
      </c>
      <c r="C2485" s="4" t="s">
        <v>99</v>
      </c>
      <c r="D2485" s="475">
        <v>27.23</v>
      </c>
      <c r="E2485" s="476">
        <v>0</v>
      </c>
      <c r="F2485" s="6">
        <v>0</v>
      </c>
      <c r="G2485" s="6">
        <v>417.52</v>
      </c>
    </row>
    <row r="2486" ht="15.75" customHeight="1" spans="1:7">
      <c r="A2486" s="4" t="s">
        <v>6087</v>
      </c>
      <c r="B2486" s="5" t="s">
        <v>6088</v>
      </c>
      <c r="C2486" s="4" t="s">
        <v>99</v>
      </c>
      <c r="D2486" s="475">
        <v>27.8</v>
      </c>
      <c r="E2486" s="476">
        <v>0</v>
      </c>
      <c r="F2486" s="6">
        <v>0</v>
      </c>
      <c r="G2486" s="6">
        <v>408.99</v>
      </c>
    </row>
    <row r="2487" ht="15.75" customHeight="1" spans="1:7">
      <c r="A2487" s="4" t="s">
        <v>6089</v>
      </c>
      <c r="B2487" s="5" t="s">
        <v>6090</v>
      </c>
      <c r="C2487" s="4" t="s">
        <v>99</v>
      </c>
      <c r="D2487" s="475">
        <v>28.1</v>
      </c>
      <c r="E2487" s="476">
        <v>0</v>
      </c>
      <c r="F2487" s="6">
        <v>0</v>
      </c>
      <c r="G2487" s="6">
        <v>404.63</v>
      </c>
    </row>
    <row r="2488" ht="15.75" customHeight="1" spans="1:7">
      <c r="A2488" s="4" t="s">
        <v>6091</v>
      </c>
      <c r="B2488" s="5" t="s">
        <v>6092</v>
      </c>
      <c r="C2488" s="4" t="s">
        <v>99</v>
      </c>
      <c r="D2488" s="475">
        <v>14.01</v>
      </c>
      <c r="E2488" s="476">
        <v>0</v>
      </c>
      <c r="F2488" s="6">
        <v>0</v>
      </c>
      <c r="G2488" s="6">
        <v>3129.23</v>
      </c>
    </row>
    <row r="2489" ht="15.75" customHeight="1" spans="1:7">
      <c r="A2489" s="4" t="s">
        <v>6093</v>
      </c>
      <c r="B2489" s="5" t="s">
        <v>6094</v>
      </c>
      <c r="C2489" s="4" t="s">
        <v>99</v>
      </c>
      <c r="D2489" s="475">
        <v>14.13</v>
      </c>
      <c r="E2489" s="476">
        <v>0</v>
      </c>
      <c r="F2489" s="6">
        <v>0</v>
      </c>
      <c r="G2489" s="6">
        <v>3102.56</v>
      </c>
    </row>
    <row r="2490" ht="15.75" customHeight="1" spans="1:7">
      <c r="A2490" s="4" t="s">
        <v>6095</v>
      </c>
      <c r="B2490" s="5" t="s">
        <v>6096</v>
      </c>
      <c r="C2490" s="4" t="s">
        <v>99</v>
      </c>
      <c r="D2490" s="475">
        <v>14.26</v>
      </c>
      <c r="E2490" s="476">
        <v>0</v>
      </c>
      <c r="F2490" s="6">
        <v>0</v>
      </c>
      <c r="G2490" s="6">
        <v>3075.28</v>
      </c>
    </row>
    <row r="2491" ht="15.75" customHeight="1" spans="1:7">
      <c r="A2491" s="4" t="s">
        <v>6097</v>
      </c>
      <c r="B2491" s="5" t="s">
        <v>6098</v>
      </c>
      <c r="C2491" s="4" t="s">
        <v>99</v>
      </c>
      <c r="D2491" s="475">
        <v>14.39</v>
      </c>
      <c r="E2491" s="476">
        <v>0</v>
      </c>
      <c r="F2491" s="6">
        <v>0</v>
      </c>
      <c r="G2491" s="6">
        <v>3047.46</v>
      </c>
    </row>
    <row r="2492" ht="15.75" customHeight="1" spans="1:7">
      <c r="A2492" s="4" t="s">
        <v>6099</v>
      </c>
      <c r="B2492" s="5" t="s">
        <v>6100</v>
      </c>
      <c r="C2492" s="4" t="s">
        <v>99</v>
      </c>
      <c r="D2492" s="475">
        <v>14.53</v>
      </c>
      <c r="E2492" s="476">
        <v>0</v>
      </c>
      <c r="F2492" s="6">
        <v>0</v>
      </c>
      <c r="G2492" s="6">
        <v>3018.36</v>
      </c>
    </row>
    <row r="2493" ht="15.75" customHeight="1" spans="1:7">
      <c r="A2493" s="4" t="s">
        <v>6101</v>
      </c>
      <c r="B2493" s="5" t="s">
        <v>6102</v>
      </c>
      <c r="C2493" s="4" t="s">
        <v>99</v>
      </c>
      <c r="D2493" s="475">
        <v>14.6</v>
      </c>
      <c r="E2493" s="476">
        <v>0</v>
      </c>
      <c r="F2493" s="6">
        <v>0</v>
      </c>
      <c r="G2493" s="6">
        <v>3003.02</v>
      </c>
    </row>
    <row r="2494" ht="15.75" customHeight="1" spans="1:7">
      <c r="A2494" s="4" t="s">
        <v>6103</v>
      </c>
      <c r="B2494" s="5" t="s">
        <v>6104</v>
      </c>
      <c r="C2494" s="4" t="s">
        <v>99</v>
      </c>
      <c r="D2494" s="475">
        <v>18.21</v>
      </c>
      <c r="E2494" s="476">
        <v>0</v>
      </c>
      <c r="F2494" s="6">
        <v>0</v>
      </c>
      <c r="G2494" s="6">
        <v>3379.45</v>
      </c>
    </row>
    <row r="2495" ht="15.75" customHeight="1" spans="1:7">
      <c r="A2495" s="4" t="s">
        <v>6105</v>
      </c>
      <c r="B2495" s="5" t="s">
        <v>6106</v>
      </c>
      <c r="C2495" s="4" t="s">
        <v>99</v>
      </c>
      <c r="D2495" s="475">
        <v>18.32</v>
      </c>
      <c r="E2495" s="476">
        <v>0</v>
      </c>
      <c r="F2495" s="6">
        <v>0</v>
      </c>
      <c r="G2495" s="6">
        <v>3358.66</v>
      </c>
    </row>
    <row r="2496" ht="15.75" customHeight="1" spans="1:7">
      <c r="A2496" s="4" t="s">
        <v>6107</v>
      </c>
      <c r="B2496" s="5" t="s">
        <v>6108</v>
      </c>
      <c r="C2496" s="4" t="s">
        <v>99</v>
      </c>
      <c r="D2496" s="475">
        <v>18.44</v>
      </c>
      <c r="E2496" s="476">
        <v>0</v>
      </c>
      <c r="F2496" s="6">
        <v>0</v>
      </c>
      <c r="G2496" s="6">
        <v>3337.3</v>
      </c>
    </row>
    <row r="2497" ht="15.75" customHeight="1" spans="1:7">
      <c r="A2497" s="4" t="s">
        <v>6109</v>
      </c>
      <c r="B2497" s="5" t="s">
        <v>6110</v>
      </c>
      <c r="C2497" s="4" t="s">
        <v>99</v>
      </c>
      <c r="D2497" s="475">
        <v>18.56</v>
      </c>
      <c r="E2497" s="476">
        <v>0</v>
      </c>
      <c r="F2497" s="6">
        <v>0</v>
      </c>
      <c r="G2497" s="6">
        <v>3315.4</v>
      </c>
    </row>
    <row r="2498" ht="15.75" customHeight="1" spans="1:7">
      <c r="A2498" s="4" t="s">
        <v>6111</v>
      </c>
      <c r="B2498" s="5" t="s">
        <v>6112</v>
      </c>
      <c r="C2498" s="4" t="s">
        <v>99</v>
      </c>
      <c r="D2498" s="475">
        <v>18.69</v>
      </c>
      <c r="E2498" s="476">
        <v>0</v>
      </c>
      <c r="F2498" s="6">
        <v>0</v>
      </c>
      <c r="G2498" s="6">
        <v>3292.38</v>
      </c>
    </row>
    <row r="2499" ht="15.75" customHeight="1" spans="1:7">
      <c r="A2499" s="4" t="s">
        <v>6113</v>
      </c>
      <c r="B2499" s="5" t="s">
        <v>6114</v>
      </c>
      <c r="C2499" s="4" t="s">
        <v>99</v>
      </c>
      <c r="D2499" s="475">
        <v>18.76</v>
      </c>
      <c r="E2499" s="476">
        <v>0</v>
      </c>
      <c r="F2499" s="6">
        <v>0</v>
      </c>
      <c r="G2499" s="6">
        <v>3280.19</v>
      </c>
    </row>
    <row r="2500" ht="15.75" customHeight="1" spans="1:7">
      <c r="A2500" s="4" t="s">
        <v>6115</v>
      </c>
      <c r="B2500" s="5" t="s">
        <v>6116</v>
      </c>
      <c r="C2500" s="4" t="s">
        <v>99</v>
      </c>
      <c r="D2500" s="475">
        <v>16.9</v>
      </c>
      <c r="E2500" s="476">
        <v>0</v>
      </c>
      <c r="F2500" s="6">
        <v>0</v>
      </c>
      <c r="G2500" s="6">
        <v>888.69</v>
      </c>
    </row>
    <row r="2501" ht="15.75" customHeight="1" spans="1:7">
      <c r="A2501" s="4" t="s">
        <v>6117</v>
      </c>
      <c r="B2501" s="5" t="s">
        <v>6118</v>
      </c>
      <c r="C2501" s="4" t="s">
        <v>99</v>
      </c>
      <c r="D2501" s="475">
        <v>17.19</v>
      </c>
      <c r="E2501" s="476">
        <v>0</v>
      </c>
      <c r="F2501" s="6">
        <v>0</v>
      </c>
      <c r="G2501" s="6">
        <v>873.71</v>
      </c>
    </row>
    <row r="2502" ht="15.75" customHeight="1" spans="1:7">
      <c r="A2502" s="4" t="s">
        <v>6119</v>
      </c>
      <c r="B2502" s="5" t="s">
        <v>6120</v>
      </c>
      <c r="C2502" s="4" t="s">
        <v>99</v>
      </c>
      <c r="D2502" s="475">
        <v>17.49</v>
      </c>
      <c r="E2502" s="476">
        <v>0</v>
      </c>
      <c r="F2502" s="6">
        <v>0</v>
      </c>
      <c r="G2502" s="6">
        <v>858.82</v>
      </c>
    </row>
    <row r="2503" ht="15.75" customHeight="1" spans="1:7">
      <c r="A2503" s="4" t="s">
        <v>6121</v>
      </c>
      <c r="B2503" s="5" t="s">
        <v>6122</v>
      </c>
      <c r="C2503" s="4" t="s">
        <v>99</v>
      </c>
      <c r="D2503" s="475">
        <v>17.8</v>
      </c>
      <c r="E2503" s="476">
        <v>0</v>
      </c>
      <c r="F2503" s="6">
        <v>0</v>
      </c>
      <c r="G2503" s="6">
        <v>843.94</v>
      </c>
    </row>
    <row r="2504" ht="15.75" customHeight="1" spans="1:7">
      <c r="A2504" s="4" t="s">
        <v>6123</v>
      </c>
      <c r="B2504" s="5" t="s">
        <v>6124</v>
      </c>
      <c r="C2504" s="4" t="s">
        <v>99</v>
      </c>
      <c r="D2504" s="475">
        <v>18.13</v>
      </c>
      <c r="E2504" s="476">
        <v>0</v>
      </c>
      <c r="F2504" s="6">
        <v>0</v>
      </c>
      <c r="G2504" s="6">
        <v>828.51</v>
      </c>
    </row>
    <row r="2505" ht="15.75" customHeight="1" spans="1:7">
      <c r="A2505" s="4" t="s">
        <v>6125</v>
      </c>
      <c r="B2505" s="5" t="s">
        <v>6126</v>
      </c>
      <c r="C2505" s="4" t="s">
        <v>99</v>
      </c>
      <c r="D2505" s="475">
        <v>18.31</v>
      </c>
      <c r="E2505" s="476">
        <v>0</v>
      </c>
      <c r="F2505" s="6">
        <v>0</v>
      </c>
      <c r="G2505" s="6">
        <v>820.59</v>
      </c>
    </row>
    <row r="2506" ht="15.75" customHeight="1" spans="1:7">
      <c r="A2506" s="4" t="s">
        <v>6127</v>
      </c>
      <c r="B2506" s="5" t="s">
        <v>6128</v>
      </c>
      <c r="C2506" s="4" t="s">
        <v>99</v>
      </c>
      <c r="D2506" s="475">
        <v>22.53</v>
      </c>
      <c r="E2506" s="476">
        <v>0</v>
      </c>
      <c r="F2506" s="6">
        <v>0</v>
      </c>
      <c r="G2506" s="6">
        <v>3520.19</v>
      </c>
    </row>
    <row r="2507" ht="15.75" customHeight="1" spans="1:7">
      <c r="A2507" s="4" t="s">
        <v>6129</v>
      </c>
      <c r="B2507" s="5" t="s">
        <v>6130</v>
      </c>
      <c r="C2507" s="4" t="s">
        <v>99</v>
      </c>
      <c r="D2507" s="475">
        <v>22.63</v>
      </c>
      <c r="E2507" s="476">
        <v>0</v>
      </c>
      <c r="F2507" s="6">
        <v>0</v>
      </c>
      <c r="G2507" s="6">
        <v>3503.25</v>
      </c>
    </row>
    <row r="2508" ht="15.75" customHeight="1" spans="1:7">
      <c r="A2508" s="4" t="s">
        <v>6131</v>
      </c>
      <c r="B2508" s="5" t="s">
        <v>6132</v>
      </c>
      <c r="C2508" s="4" t="s">
        <v>99</v>
      </c>
      <c r="D2508" s="475">
        <v>22.75</v>
      </c>
      <c r="E2508" s="476">
        <v>0</v>
      </c>
      <c r="F2508" s="6">
        <v>0</v>
      </c>
      <c r="G2508" s="6">
        <v>3485.8</v>
      </c>
    </row>
    <row r="2509" ht="15.75" customHeight="1" spans="1:7">
      <c r="A2509" s="4" t="s">
        <v>6133</v>
      </c>
      <c r="B2509" s="5" t="s">
        <v>6134</v>
      </c>
      <c r="C2509" s="4" t="s">
        <v>99</v>
      </c>
      <c r="D2509" s="475">
        <v>22.87</v>
      </c>
      <c r="E2509" s="476">
        <v>0</v>
      </c>
      <c r="F2509" s="6">
        <v>0</v>
      </c>
      <c r="G2509" s="6">
        <v>3467.85</v>
      </c>
    </row>
    <row r="2510" ht="15.75" customHeight="1" spans="1:7">
      <c r="A2510" s="4" t="s">
        <v>6135</v>
      </c>
      <c r="B2510" s="5" t="s">
        <v>6136</v>
      </c>
      <c r="C2510" s="4" t="s">
        <v>99</v>
      </c>
      <c r="D2510" s="475">
        <v>22.99</v>
      </c>
      <c r="E2510" s="476">
        <v>0</v>
      </c>
      <c r="F2510" s="6">
        <v>0</v>
      </c>
      <c r="G2510" s="6">
        <v>3448.93</v>
      </c>
    </row>
    <row r="2511" ht="15.75" customHeight="1" spans="1:7">
      <c r="A2511" s="4" t="s">
        <v>6137</v>
      </c>
      <c r="B2511" s="5" t="s">
        <v>6138</v>
      </c>
      <c r="C2511" s="4" t="s">
        <v>99</v>
      </c>
      <c r="D2511" s="475">
        <v>23.06</v>
      </c>
      <c r="E2511" s="476">
        <v>0</v>
      </c>
      <c r="F2511" s="6">
        <v>0</v>
      </c>
      <c r="G2511" s="6">
        <v>3438.9</v>
      </c>
    </row>
    <row r="2512" ht="15.75" customHeight="1" spans="1:7">
      <c r="A2512" s="4" t="s">
        <v>6139</v>
      </c>
      <c r="B2512" s="5" t="s">
        <v>6140</v>
      </c>
      <c r="C2512" s="4" t="s">
        <v>99</v>
      </c>
      <c r="D2512" s="475">
        <v>15.37</v>
      </c>
      <c r="E2512" s="476">
        <v>0</v>
      </c>
      <c r="F2512" s="6">
        <v>0</v>
      </c>
      <c r="G2512" s="6">
        <v>1225.58</v>
      </c>
    </row>
    <row r="2513" ht="15.75" customHeight="1" spans="1:7">
      <c r="A2513" s="4" t="s">
        <v>6141</v>
      </c>
      <c r="B2513" s="5" t="s">
        <v>6142</v>
      </c>
      <c r="C2513" s="4" t="s">
        <v>99</v>
      </c>
      <c r="D2513" s="475">
        <v>15.59</v>
      </c>
      <c r="E2513" s="476">
        <v>0</v>
      </c>
      <c r="F2513" s="6">
        <v>0</v>
      </c>
      <c r="G2513" s="6">
        <v>1207.92</v>
      </c>
    </row>
    <row r="2514" ht="15.75" customHeight="1" spans="1:7">
      <c r="A2514" s="4" t="s">
        <v>6143</v>
      </c>
      <c r="B2514" s="5" t="s">
        <v>6144</v>
      </c>
      <c r="C2514" s="4" t="s">
        <v>99</v>
      </c>
      <c r="D2514" s="475">
        <v>15.82</v>
      </c>
      <c r="E2514" s="476">
        <v>0</v>
      </c>
      <c r="F2514" s="6">
        <v>0</v>
      </c>
      <c r="G2514" s="6">
        <v>1190.36</v>
      </c>
    </row>
    <row r="2515" ht="15.75" customHeight="1" spans="1:7">
      <c r="A2515" s="4" t="s">
        <v>6145</v>
      </c>
      <c r="B2515" s="5" t="s">
        <v>6146</v>
      </c>
      <c r="C2515" s="4" t="s">
        <v>99</v>
      </c>
      <c r="D2515" s="475">
        <v>16.06</v>
      </c>
      <c r="E2515" s="476">
        <v>0</v>
      </c>
      <c r="F2515" s="6">
        <v>0</v>
      </c>
      <c r="G2515" s="6">
        <v>1172.42</v>
      </c>
    </row>
    <row r="2516" ht="15.75" customHeight="1" spans="1:7">
      <c r="A2516" s="4" t="s">
        <v>6147</v>
      </c>
      <c r="B2516" s="5" t="s">
        <v>6148</v>
      </c>
      <c r="C2516" s="4" t="s">
        <v>99</v>
      </c>
      <c r="D2516" s="475">
        <v>16.32</v>
      </c>
      <c r="E2516" s="476">
        <v>0</v>
      </c>
      <c r="F2516" s="6">
        <v>0</v>
      </c>
      <c r="G2516" s="6">
        <v>1154.02</v>
      </c>
    </row>
    <row r="2517" ht="15.75" customHeight="1" spans="1:7">
      <c r="A2517" s="4" t="s">
        <v>6149</v>
      </c>
      <c r="B2517" s="5" t="s">
        <v>6150</v>
      </c>
      <c r="C2517" s="4" t="s">
        <v>99</v>
      </c>
      <c r="D2517" s="475">
        <v>16.46</v>
      </c>
      <c r="E2517" s="476">
        <v>0</v>
      </c>
      <c r="F2517" s="6">
        <v>0</v>
      </c>
      <c r="G2517" s="6">
        <v>1144.37</v>
      </c>
    </row>
    <row r="2518" ht="15.75" customHeight="1" spans="1:7">
      <c r="A2518" s="4" t="s">
        <v>6151</v>
      </c>
      <c r="B2518" s="5" t="s">
        <v>6152</v>
      </c>
      <c r="C2518" s="4" t="s">
        <v>99</v>
      </c>
      <c r="D2518" s="475">
        <v>14.24</v>
      </c>
      <c r="E2518" s="476">
        <v>0</v>
      </c>
      <c r="F2518" s="6">
        <v>0</v>
      </c>
      <c r="G2518" s="6">
        <v>1583.31</v>
      </c>
    </row>
    <row r="2519" ht="15.75" customHeight="1" spans="1:7">
      <c r="A2519" s="4" t="s">
        <v>6153</v>
      </c>
      <c r="B2519" s="5" t="s">
        <v>6154</v>
      </c>
      <c r="C2519" s="4" t="s">
        <v>99</v>
      </c>
      <c r="D2519" s="475">
        <v>14.43</v>
      </c>
      <c r="E2519" s="476">
        <v>0</v>
      </c>
      <c r="F2519" s="6">
        <v>0</v>
      </c>
      <c r="G2519" s="6">
        <v>1562.21</v>
      </c>
    </row>
    <row r="2520" ht="15.75" customHeight="1" spans="1:7">
      <c r="A2520" s="4" t="s">
        <v>6155</v>
      </c>
      <c r="B2520" s="5" t="s">
        <v>6156</v>
      </c>
      <c r="C2520" s="4" t="s">
        <v>99</v>
      </c>
      <c r="D2520" s="475">
        <v>14.63</v>
      </c>
      <c r="E2520" s="476">
        <v>0</v>
      </c>
      <c r="F2520" s="6">
        <v>0</v>
      </c>
      <c r="G2520" s="6">
        <v>1541</v>
      </c>
    </row>
    <row r="2521" ht="15.75" customHeight="1" spans="1:7">
      <c r="A2521" s="4" t="s">
        <v>6157</v>
      </c>
      <c r="B2521" s="5" t="s">
        <v>6158</v>
      </c>
      <c r="C2521" s="4" t="s">
        <v>99</v>
      </c>
      <c r="D2521" s="475">
        <v>14.84</v>
      </c>
      <c r="E2521" s="476">
        <v>0</v>
      </c>
      <c r="F2521" s="6">
        <v>0</v>
      </c>
      <c r="G2521" s="6">
        <v>1519.55</v>
      </c>
    </row>
    <row r="2522" ht="15.75" customHeight="1" spans="1:7">
      <c r="A2522" s="4" t="s">
        <v>6159</v>
      </c>
      <c r="B2522" s="5" t="s">
        <v>6160</v>
      </c>
      <c r="C2522" s="4" t="s">
        <v>99</v>
      </c>
      <c r="D2522" s="475">
        <v>15.06</v>
      </c>
      <c r="E2522" s="476">
        <v>0</v>
      </c>
      <c r="F2522" s="6">
        <v>0</v>
      </c>
      <c r="G2522" s="6">
        <v>1497.3</v>
      </c>
    </row>
    <row r="2523" ht="15.75" customHeight="1" spans="1:7">
      <c r="A2523" s="4" t="s">
        <v>6161</v>
      </c>
      <c r="B2523" s="5" t="s">
        <v>6162</v>
      </c>
      <c r="C2523" s="4" t="s">
        <v>99</v>
      </c>
      <c r="D2523" s="475">
        <v>15.18</v>
      </c>
      <c r="E2523" s="476">
        <v>0</v>
      </c>
      <c r="F2523" s="6">
        <v>0</v>
      </c>
      <c r="G2523" s="6">
        <v>1485.57</v>
      </c>
    </row>
    <row r="2524" ht="15.75" customHeight="1" spans="1:7">
      <c r="A2524" s="4" t="s">
        <v>6163</v>
      </c>
      <c r="B2524" s="5" t="s">
        <v>6164</v>
      </c>
      <c r="C2524" s="4" t="s">
        <v>99</v>
      </c>
      <c r="D2524" s="475">
        <v>15.47</v>
      </c>
      <c r="E2524" s="476">
        <v>0</v>
      </c>
      <c r="F2524" s="6">
        <v>0</v>
      </c>
      <c r="G2524" s="6">
        <v>1693.27</v>
      </c>
    </row>
    <row r="2525" ht="15.75" customHeight="1" spans="1:7">
      <c r="A2525" s="4" t="s">
        <v>6165</v>
      </c>
      <c r="B2525" s="5" t="s">
        <v>6166</v>
      </c>
      <c r="C2525" s="4" t="s">
        <v>99</v>
      </c>
      <c r="D2525" s="475">
        <v>15.64</v>
      </c>
      <c r="E2525" s="476">
        <v>0</v>
      </c>
      <c r="F2525" s="6">
        <v>0</v>
      </c>
      <c r="G2525" s="6">
        <v>1675.01</v>
      </c>
    </row>
    <row r="2526" ht="15.75" customHeight="1" spans="1:7">
      <c r="A2526" s="4" t="s">
        <v>6167</v>
      </c>
      <c r="B2526" s="5" t="s">
        <v>6168</v>
      </c>
      <c r="C2526" s="4" t="s">
        <v>99</v>
      </c>
      <c r="D2526" s="475">
        <v>15.81</v>
      </c>
      <c r="E2526" s="476">
        <v>0</v>
      </c>
      <c r="F2526" s="6">
        <v>0</v>
      </c>
      <c r="G2526" s="6">
        <v>1656.68</v>
      </c>
    </row>
    <row r="2527" ht="15.75" customHeight="1" spans="1:7">
      <c r="A2527" s="4" t="s">
        <v>6169</v>
      </c>
      <c r="B2527" s="5" t="s">
        <v>6170</v>
      </c>
      <c r="C2527" s="4" t="s">
        <v>99</v>
      </c>
      <c r="D2527" s="475">
        <v>15.99</v>
      </c>
      <c r="E2527" s="476">
        <v>0</v>
      </c>
      <c r="F2527" s="6">
        <v>0</v>
      </c>
      <c r="G2527" s="6">
        <v>1637.86</v>
      </c>
    </row>
    <row r="2528" ht="15.75" customHeight="1" spans="1:7">
      <c r="A2528" s="4" t="s">
        <v>6171</v>
      </c>
      <c r="B2528" s="5" t="s">
        <v>6172</v>
      </c>
      <c r="C2528" s="4" t="s">
        <v>99</v>
      </c>
      <c r="D2528" s="475">
        <v>16.19</v>
      </c>
      <c r="E2528" s="476">
        <v>0</v>
      </c>
      <c r="F2528" s="6">
        <v>0</v>
      </c>
      <c r="G2528" s="6">
        <v>1618.29</v>
      </c>
    </row>
    <row r="2529" ht="15.75" customHeight="1" spans="1:7">
      <c r="A2529" s="4" t="s">
        <v>6173</v>
      </c>
      <c r="B2529" s="5" t="s">
        <v>6174</v>
      </c>
      <c r="C2529" s="4" t="s">
        <v>99</v>
      </c>
      <c r="D2529" s="475">
        <v>16.29</v>
      </c>
      <c r="E2529" s="476">
        <v>0</v>
      </c>
      <c r="F2529" s="6">
        <v>0</v>
      </c>
      <c r="G2529" s="6">
        <v>1608.18</v>
      </c>
    </row>
    <row r="2530" ht="15.75" customHeight="1" spans="1:7">
      <c r="A2530" s="4" t="s">
        <v>6175</v>
      </c>
      <c r="B2530" s="5" t="s">
        <v>6176</v>
      </c>
      <c r="C2530" s="4" t="s">
        <v>99</v>
      </c>
      <c r="D2530" s="475">
        <v>35.76</v>
      </c>
      <c r="E2530" s="476">
        <v>0</v>
      </c>
      <c r="F2530" s="6">
        <v>0</v>
      </c>
      <c r="G2530" s="6">
        <v>292.03</v>
      </c>
    </row>
    <row r="2531" ht="15.75" customHeight="1" spans="1:7">
      <c r="A2531" s="4" t="s">
        <v>6177</v>
      </c>
      <c r="B2531" s="5" t="s">
        <v>6178</v>
      </c>
      <c r="C2531" s="4" t="s">
        <v>99</v>
      </c>
      <c r="D2531" s="475">
        <v>36.5</v>
      </c>
      <c r="E2531" s="476">
        <v>0</v>
      </c>
      <c r="F2531" s="6">
        <v>0</v>
      </c>
      <c r="G2531" s="6">
        <v>286.15</v>
      </c>
    </row>
    <row r="2532" ht="15.75" customHeight="1" spans="1:7">
      <c r="A2532" s="4" t="s">
        <v>6179</v>
      </c>
      <c r="B2532" s="5" t="s">
        <v>6180</v>
      </c>
      <c r="C2532" s="4" t="s">
        <v>99</v>
      </c>
      <c r="D2532" s="475">
        <v>37.25</v>
      </c>
      <c r="E2532" s="476">
        <v>0</v>
      </c>
      <c r="F2532" s="6">
        <v>0</v>
      </c>
      <c r="G2532" s="6">
        <v>280.42</v>
      </c>
    </row>
    <row r="2533" ht="15.75" customHeight="1" spans="1:7">
      <c r="A2533" s="4" t="s">
        <v>6181</v>
      </c>
      <c r="B2533" s="5" t="s">
        <v>6182</v>
      </c>
      <c r="C2533" s="4" t="s">
        <v>99</v>
      </c>
      <c r="D2533" s="475">
        <v>38.03</v>
      </c>
      <c r="E2533" s="476">
        <v>0</v>
      </c>
      <c r="F2533" s="6">
        <v>0</v>
      </c>
      <c r="G2533" s="6">
        <v>274.61</v>
      </c>
    </row>
    <row r="2534" ht="15.75" customHeight="1" spans="1:7">
      <c r="A2534" s="4" t="s">
        <v>6183</v>
      </c>
      <c r="B2534" s="5" t="s">
        <v>6184</v>
      </c>
      <c r="C2534" s="4" t="s">
        <v>99</v>
      </c>
      <c r="D2534" s="475">
        <v>38.86</v>
      </c>
      <c r="E2534" s="476">
        <v>0</v>
      </c>
      <c r="F2534" s="6">
        <v>0</v>
      </c>
      <c r="G2534" s="6">
        <v>268.74</v>
      </c>
    </row>
    <row r="2535" ht="15.75" customHeight="1" spans="1:7">
      <c r="A2535" s="4" t="s">
        <v>6185</v>
      </c>
      <c r="B2535" s="5" t="s">
        <v>6186</v>
      </c>
      <c r="C2535" s="4" t="s">
        <v>99</v>
      </c>
      <c r="D2535" s="475">
        <v>39.3</v>
      </c>
      <c r="E2535" s="476">
        <v>0</v>
      </c>
      <c r="F2535" s="6">
        <v>0</v>
      </c>
      <c r="G2535" s="6">
        <v>265.73</v>
      </c>
    </row>
    <row r="2536" ht="30" customHeight="1" spans="1:7">
      <c r="A2536" s="4" t="s">
        <v>6187</v>
      </c>
      <c r="B2536" s="5" t="s">
        <v>6188</v>
      </c>
      <c r="C2536" s="4" t="s">
        <v>99</v>
      </c>
      <c r="D2536" s="475">
        <v>18.66</v>
      </c>
      <c r="E2536" s="476">
        <v>0</v>
      </c>
      <c r="F2536" s="6">
        <v>0</v>
      </c>
      <c r="G2536" s="6">
        <v>115.92</v>
      </c>
    </row>
    <row r="2537" ht="30" customHeight="1" spans="1:7">
      <c r="A2537" s="4" t="s">
        <v>6189</v>
      </c>
      <c r="B2537" s="5" t="s">
        <v>6190</v>
      </c>
      <c r="C2537" s="4" t="s">
        <v>99</v>
      </c>
      <c r="D2537" s="475">
        <v>20.45</v>
      </c>
      <c r="E2537" s="476">
        <v>0</v>
      </c>
      <c r="F2537" s="6">
        <v>0</v>
      </c>
      <c r="G2537" s="6">
        <v>115.92</v>
      </c>
    </row>
    <row r="2538" ht="30" customHeight="1" spans="1:7">
      <c r="A2538" s="4" t="s">
        <v>6191</v>
      </c>
      <c r="B2538" s="5" t="s">
        <v>6192</v>
      </c>
      <c r="C2538" s="4" t="s">
        <v>99</v>
      </c>
      <c r="D2538" s="475">
        <v>20.77</v>
      </c>
      <c r="E2538" s="476">
        <v>0</v>
      </c>
      <c r="F2538" s="6">
        <v>0</v>
      </c>
      <c r="G2538" s="6">
        <v>115.92</v>
      </c>
    </row>
    <row r="2539" ht="30" customHeight="1" spans="1:7">
      <c r="A2539" s="4" t="s">
        <v>6193</v>
      </c>
      <c r="B2539" s="5" t="s">
        <v>6194</v>
      </c>
      <c r="C2539" s="4" t="s">
        <v>99</v>
      </c>
      <c r="D2539" s="475">
        <v>21.1</v>
      </c>
      <c r="E2539" s="476">
        <v>0</v>
      </c>
      <c r="F2539" s="6">
        <v>0</v>
      </c>
      <c r="G2539" s="6">
        <v>115.92</v>
      </c>
    </row>
    <row r="2540" ht="30" customHeight="1" spans="1:7">
      <c r="A2540" s="4" t="s">
        <v>6195</v>
      </c>
      <c r="B2540" s="5" t="s">
        <v>6196</v>
      </c>
      <c r="C2540" s="4" t="s">
        <v>99</v>
      </c>
      <c r="D2540" s="475">
        <v>23.13</v>
      </c>
      <c r="E2540" s="476">
        <v>0</v>
      </c>
      <c r="F2540" s="6">
        <v>0</v>
      </c>
      <c r="G2540" s="6">
        <v>115.92</v>
      </c>
    </row>
    <row r="2541" ht="30" customHeight="1" spans="1:7">
      <c r="A2541" s="4" t="s">
        <v>6197</v>
      </c>
      <c r="B2541" s="5" t="s">
        <v>6198</v>
      </c>
      <c r="C2541" s="4" t="s">
        <v>99</v>
      </c>
      <c r="D2541" s="475">
        <v>23.56</v>
      </c>
      <c r="E2541" s="476">
        <v>0</v>
      </c>
      <c r="F2541" s="6">
        <v>0</v>
      </c>
      <c r="G2541" s="6">
        <v>115.92</v>
      </c>
    </row>
    <row r="2542" ht="30" customHeight="1" spans="1:7">
      <c r="A2542" s="4" t="s">
        <v>6199</v>
      </c>
      <c r="B2542" s="5" t="s">
        <v>6200</v>
      </c>
      <c r="C2542" s="4" t="s">
        <v>99</v>
      </c>
      <c r="D2542" s="475">
        <v>24</v>
      </c>
      <c r="E2542" s="476">
        <v>0</v>
      </c>
      <c r="F2542" s="6">
        <v>0</v>
      </c>
      <c r="G2542" s="6">
        <v>115.92</v>
      </c>
    </row>
    <row r="2543" ht="30" customHeight="1" spans="1:7">
      <c r="A2543" s="4" t="s">
        <v>6201</v>
      </c>
      <c r="B2543" s="5" t="s">
        <v>6202</v>
      </c>
      <c r="C2543" s="4" t="s">
        <v>99</v>
      </c>
      <c r="D2543" s="475">
        <v>19.23</v>
      </c>
      <c r="E2543" s="476">
        <v>0</v>
      </c>
      <c r="F2543" s="6">
        <v>0</v>
      </c>
      <c r="G2543" s="6">
        <v>115.92</v>
      </c>
    </row>
    <row r="2544" ht="30" customHeight="1" spans="1:7">
      <c r="A2544" s="4" t="s">
        <v>6203</v>
      </c>
      <c r="B2544" s="5" t="s">
        <v>6204</v>
      </c>
      <c r="C2544" s="4" t="s">
        <v>99</v>
      </c>
      <c r="D2544" s="475">
        <v>19.72</v>
      </c>
      <c r="E2544" s="476">
        <v>0</v>
      </c>
      <c r="F2544" s="6">
        <v>0</v>
      </c>
      <c r="G2544" s="6">
        <v>115.92</v>
      </c>
    </row>
    <row r="2545" ht="30" customHeight="1" spans="1:7">
      <c r="A2545" s="4" t="s">
        <v>6205</v>
      </c>
      <c r="B2545" s="5" t="s">
        <v>6206</v>
      </c>
      <c r="C2545" s="4" t="s">
        <v>99</v>
      </c>
      <c r="D2545" s="475">
        <v>20.04</v>
      </c>
      <c r="E2545" s="476">
        <v>0</v>
      </c>
      <c r="F2545" s="6">
        <v>0</v>
      </c>
      <c r="G2545" s="6">
        <v>115.92</v>
      </c>
    </row>
    <row r="2546" ht="30" customHeight="1" spans="1:7">
      <c r="A2546" s="4" t="s">
        <v>6207</v>
      </c>
      <c r="B2546" s="5" t="s">
        <v>6208</v>
      </c>
      <c r="C2546" s="4" t="s">
        <v>99</v>
      </c>
      <c r="D2546" s="475">
        <v>24.21</v>
      </c>
      <c r="E2546" s="476">
        <v>0</v>
      </c>
      <c r="F2546" s="6">
        <v>0</v>
      </c>
      <c r="G2546" s="6">
        <v>115.92</v>
      </c>
    </row>
    <row r="2547" ht="30" customHeight="1" spans="1:7">
      <c r="A2547" s="4" t="s">
        <v>6209</v>
      </c>
      <c r="B2547" s="5" t="s">
        <v>6210</v>
      </c>
      <c r="C2547" s="4" t="s">
        <v>99</v>
      </c>
      <c r="D2547" s="475">
        <v>21.47</v>
      </c>
      <c r="E2547" s="476">
        <v>0</v>
      </c>
      <c r="F2547" s="6">
        <v>0</v>
      </c>
      <c r="G2547" s="6">
        <v>58.56</v>
      </c>
    </row>
    <row r="2548" ht="30" customHeight="1" spans="1:7">
      <c r="A2548" s="4" t="s">
        <v>6211</v>
      </c>
      <c r="B2548" s="5" t="s">
        <v>6212</v>
      </c>
      <c r="C2548" s="4" t="s">
        <v>99</v>
      </c>
      <c r="D2548" s="475">
        <v>21.78</v>
      </c>
      <c r="E2548" s="476">
        <v>0</v>
      </c>
      <c r="F2548" s="6">
        <v>0</v>
      </c>
      <c r="G2548" s="6">
        <v>58.56</v>
      </c>
    </row>
    <row r="2549" ht="30" customHeight="1" spans="1:7">
      <c r="A2549" s="4" t="s">
        <v>6213</v>
      </c>
      <c r="B2549" s="5" t="s">
        <v>6214</v>
      </c>
      <c r="C2549" s="4" t="s">
        <v>99</v>
      </c>
      <c r="D2549" s="475">
        <v>22.02</v>
      </c>
      <c r="E2549" s="476">
        <v>0</v>
      </c>
      <c r="F2549" s="6">
        <v>0</v>
      </c>
      <c r="G2549" s="6">
        <v>58.56</v>
      </c>
    </row>
    <row r="2550" ht="30" customHeight="1" spans="1:7">
      <c r="A2550" s="4" t="s">
        <v>6215</v>
      </c>
      <c r="B2550" s="5" t="s">
        <v>6216</v>
      </c>
      <c r="C2550" s="4" t="s">
        <v>99</v>
      </c>
      <c r="D2550" s="475">
        <v>22.33</v>
      </c>
      <c r="E2550" s="476">
        <v>0</v>
      </c>
      <c r="F2550" s="6">
        <v>0</v>
      </c>
      <c r="G2550" s="6">
        <v>58.56</v>
      </c>
    </row>
    <row r="2551" ht="30" customHeight="1" spans="1:7">
      <c r="A2551" s="4" t="s">
        <v>6217</v>
      </c>
      <c r="B2551" s="5" t="s">
        <v>6218</v>
      </c>
      <c r="C2551" s="4" t="s">
        <v>99</v>
      </c>
      <c r="D2551" s="475">
        <v>22.64</v>
      </c>
      <c r="E2551" s="476">
        <v>0</v>
      </c>
      <c r="F2551" s="6">
        <v>0</v>
      </c>
      <c r="G2551" s="6">
        <v>58.56</v>
      </c>
    </row>
    <row r="2552" ht="30" customHeight="1" spans="1:7">
      <c r="A2552" s="4" t="s">
        <v>6219</v>
      </c>
      <c r="B2552" s="5" t="s">
        <v>6220</v>
      </c>
      <c r="C2552" s="4" t="s">
        <v>99</v>
      </c>
      <c r="D2552" s="475">
        <v>23.11</v>
      </c>
      <c r="E2552" s="476">
        <v>0</v>
      </c>
      <c r="F2552" s="6">
        <v>0</v>
      </c>
      <c r="G2552" s="6">
        <v>58.56</v>
      </c>
    </row>
    <row r="2553" ht="30" customHeight="1" spans="1:7">
      <c r="A2553" s="4" t="s">
        <v>6221</v>
      </c>
      <c r="B2553" s="5" t="s">
        <v>6222</v>
      </c>
      <c r="C2553" s="4" t="s">
        <v>99</v>
      </c>
      <c r="D2553" s="475">
        <v>25.62</v>
      </c>
      <c r="E2553" s="476">
        <v>0</v>
      </c>
      <c r="F2553" s="6">
        <v>0</v>
      </c>
      <c r="G2553" s="6">
        <v>58.56</v>
      </c>
    </row>
    <row r="2554" ht="30" customHeight="1" spans="1:7">
      <c r="A2554" s="4" t="s">
        <v>6223</v>
      </c>
      <c r="B2554" s="5" t="s">
        <v>6224</v>
      </c>
      <c r="C2554" s="4" t="s">
        <v>99</v>
      </c>
      <c r="D2554" s="475">
        <v>20.14</v>
      </c>
      <c r="E2554" s="476">
        <v>0</v>
      </c>
      <c r="F2554" s="6">
        <v>0</v>
      </c>
      <c r="G2554" s="6">
        <v>58.56</v>
      </c>
    </row>
    <row r="2555" ht="30" customHeight="1" spans="1:7">
      <c r="A2555" s="4" t="s">
        <v>6225</v>
      </c>
      <c r="B2555" s="5" t="s">
        <v>6226</v>
      </c>
      <c r="C2555" s="4" t="s">
        <v>99</v>
      </c>
      <c r="D2555" s="475">
        <v>20.53</v>
      </c>
      <c r="E2555" s="476">
        <v>0</v>
      </c>
      <c r="F2555" s="6">
        <v>0</v>
      </c>
      <c r="G2555" s="6">
        <v>58.56</v>
      </c>
    </row>
    <row r="2556" ht="30" customHeight="1" spans="1:7">
      <c r="A2556" s="4" t="s">
        <v>6227</v>
      </c>
      <c r="B2556" s="5" t="s">
        <v>6228</v>
      </c>
      <c r="C2556" s="4" t="s">
        <v>99</v>
      </c>
      <c r="D2556" s="475">
        <v>18.03</v>
      </c>
      <c r="E2556" s="476">
        <v>0</v>
      </c>
      <c r="F2556" s="6">
        <v>0</v>
      </c>
      <c r="G2556" s="6">
        <v>58.56</v>
      </c>
    </row>
    <row r="2557" ht="30" customHeight="1" spans="1:7">
      <c r="A2557" s="4" t="s">
        <v>6229</v>
      </c>
      <c r="B2557" s="5" t="s">
        <v>6230</v>
      </c>
      <c r="C2557" s="4" t="s">
        <v>99</v>
      </c>
      <c r="D2557" s="475">
        <v>20.92</v>
      </c>
      <c r="E2557" s="476">
        <v>0</v>
      </c>
      <c r="F2557" s="6">
        <v>0</v>
      </c>
      <c r="G2557" s="6">
        <v>58.56</v>
      </c>
    </row>
    <row r="2558" ht="30" customHeight="1" spans="1:7">
      <c r="A2558" s="4" t="s">
        <v>6231</v>
      </c>
      <c r="B2558" s="5" t="s">
        <v>6232</v>
      </c>
      <c r="C2558" s="4" t="s">
        <v>99</v>
      </c>
      <c r="D2558" s="475">
        <v>21.16</v>
      </c>
      <c r="E2558" s="476">
        <v>0</v>
      </c>
      <c r="F2558" s="6">
        <v>0</v>
      </c>
      <c r="G2558" s="6">
        <v>58.56</v>
      </c>
    </row>
    <row r="2559" ht="30" customHeight="1" spans="1:7">
      <c r="A2559" s="4" t="s">
        <v>6233</v>
      </c>
      <c r="B2559" s="5" t="s">
        <v>6234</v>
      </c>
      <c r="C2559" s="4" t="s">
        <v>99</v>
      </c>
      <c r="D2559" s="475">
        <v>25.97</v>
      </c>
      <c r="E2559" s="476">
        <v>0</v>
      </c>
      <c r="F2559" s="6">
        <v>0</v>
      </c>
      <c r="G2559" s="6">
        <v>58.56</v>
      </c>
    </row>
    <row r="2560" ht="30" customHeight="1" spans="1:7">
      <c r="A2560" s="4" t="s">
        <v>6235</v>
      </c>
      <c r="B2560" s="5" t="s">
        <v>6236</v>
      </c>
      <c r="C2560" s="4" t="s">
        <v>99</v>
      </c>
      <c r="D2560" s="475">
        <v>20.61</v>
      </c>
      <c r="E2560" s="476">
        <v>0</v>
      </c>
      <c r="F2560" s="6">
        <v>0</v>
      </c>
      <c r="G2560" s="6">
        <v>58.56</v>
      </c>
    </row>
    <row r="2561" ht="30" customHeight="1" spans="1:7">
      <c r="A2561" s="4" t="s">
        <v>6237</v>
      </c>
      <c r="B2561" s="5" t="s">
        <v>6238</v>
      </c>
      <c r="C2561" s="4" t="s">
        <v>99</v>
      </c>
      <c r="D2561" s="475">
        <v>20.77</v>
      </c>
      <c r="E2561" s="476">
        <v>0</v>
      </c>
      <c r="F2561" s="6">
        <v>0</v>
      </c>
      <c r="G2561" s="6">
        <v>58.56</v>
      </c>
    </row>
    <row r="2562" ht="30" customHeight="1" spans="1:7">
      <c r="A2562" s="4" t="s">
        <v>6239</v>
      </c>
      <c r="B2562" s="5" t="s">
        <v>6240</v>
      </c>
      <c r="C2562" s="4" t="s">
        <v>99</v>
      </c>
      <c r="D2562" s="475">
        <v>20.92</v>
      </c>
      <c r="E2562" s="476">
        <v>0</v>
      </c>
      <c r="F2562" s="6">
        <v>0</v>
      </c>
      <c r="G2562" s="6">
        <v>58.56</v>
      </c>
    </row>
    <row r="2563" ht="30" customHeight="1" spans="1:7">
      <c r="A2563" s="4" t="s">
        <v>6241</v>
      </c>
      <c r="B2563" s="5" t="s">
        <v>6242</v>
      </c>
      <c r="C2563" s="4" t="s">
        <v>99</v>
      </c>
      <c r="D2563" s="475">
        <v>21.08</v>
      </c>
      <c r="E2563" s="476">
        <v>0</v>
      </c>
      <c r="F2563" s="6">
        <v>0</v>
      </c>
      <c r="G2563" s="6">
        <v>58.56</v>
      </c>
    </row>
    <row r="2564" ht="30" customHeight="1" spans="1:7">
      <c r="A2564" s="4" t="s">
        <v>6243</v>
      </c>
      <c r="B2564" s="5" t="s">
        <v>6244</v>
      </c>
      <c r="C2564" s="4" t="s">
        <v>99</v>
      </c>
      <c r="D2564" s="475">
        <v>21.31</v>
      </c>
      <c r="E2564" s="476">
        <v>0</v>
      </c>
      <c r="F2564" s="6">
        <v>0</v>
      </c>
      <c r="G2564" s="6">
        <v>58.56</v>
      </c>
    </row>
    <row r="2565" ht="30" customHeight="1" spans="1:7">
      <c r="A2565" s="4" t="s">
        <v>6245</v>
      </c>
      <c r="B2565" s="5" t="s">
        <v>6246</v>
      </c>
      <c r="C2565" s="4" t="s">
        <v>99</v>
      </c>
      <c r="D2565" s="475">
        <v>21.63</v>
      </c>
      <c r="E2565" s="476">
        <v>0</v>
      </c>
      <c r="F2565" s="6">
        <v>0</v>
      </c>
      <c r="G2565" s="6">
        <v>58.56</v>
      </c>
    </row>
    <row r="2566" ht="30" customHeight="1" spans="1:7">
      <c r="A2566" s="4" t="s">
        <v>6247</v>
      </c>
      <c r="B2566" s="5" t="s">
        <v>6248</v>
      </c>
      <c r="C2566" s="4" t="s">
        <v>99</v>
      </c>
      <c r="D2566" s="475">
        <v>22.1</v>
      </c>
      <c r="E2566" s="476">
        <v>0</v>
      </c>
      <c r="F2566" s="6">
        <v>0</v>
      </c>
      <c r="G2566" s="6">
        <v>58.56</v>
      </c>
    </row>
    <row r="2567" ht="30" customHeight="1" spans="1:7">
      <c r="A2567" s="4" t="s">
        <v>6249</v>
      </c>
      <c r="B2567" s="5" t="s">
        <v>6250</v>
      </c>
      <c r="C2567" s="4" t="s">
        <v>99</v>
      </c>
      <c r="D2567" s="475">
        <v>18.03</v>
      </c>
      <c r="E2567" s="476">
        <v>0</v>
      </c>
      <c r="F2567" s="6">
        <v>0</v>
      </c>
      <c r="G2567" s="6">
        <v>58.56</v>
      </c>
    </row>
    <row r="2568" ht="30" customHeight="1" spans="1:7">
      <c r="A2568" s="4" t="s">
        <v>6251</v>
      </c>
      <c r="B2568" s="5" t="s">
        <v>6252</v>
      </c>
      <c r="C2568" s="4" t="s">
        <v>99</v>
      </c>
      <c r="D2568" s="475">
        <v>19.98</v>
      </c>
      <c r="E2568" s="476">
        <v>0</v>
      </c>
      <c r="F2568" s="6">
        <v>0</v>
      </c>
      <c r="G2568" s="6">
        <v>58.56</v>
      </c>
    </row>
    <row r="2569" ht="30" customHeight="1" spans="1:7">
      <c r="A2569" s="4" t="s">
        <v>6253</v>
      </c>
      <c r="B2569" s="5" t="s">
        <v>6254</v>
      </c>
      <c r="C2569" s="4" t="s">
        <v>99</v>
      </c>
      <c r="D2569" s="475">
        <v>17.75</v>
      </c>
      <c r="E2569" s="476">
        <v>0</v>
      </c>
      <c r="F2569" s="6">
        <v>0</v>
      </c>
      <c r="G2569" s="6">
        <v>58.56</v>
      </c>
    </row>
    <row r="2570" ht="30" customHeight="1" spans="1:7">
      <c r="A2570" s="4" t="s">
        <v>6255</v>
      </c>
      <c r="B2570" s="5" t="s">
        <v>6256</v>
      </c>
      <c r="C2570" s="4" t="s">
        <v>99</v>
      </c>
      <c r="D2570" s="475">
        <v>20.22</v>
      </c>
      <c r="E2570" s="476">
        <v>0</v>
      </c>
      <c r="F2570" s="6">
        <v>0</v>
      </c>
      <c r="G2570" s="6">
        <v>58.56</v>
      </c>
    </row>
    <row r="2571" ht="30" customHeight="1" spans="1:7">
      <c r="A2571" s="4" t="s">
        <v>6257</v>
      </c>
      <c r="B2571" s="5" t="s">
        <v>6258</v>
      </c>
      <c r="C2571" s="4" t="s">
        <v>99</v>
      </c>
      <c r="D2571" s="475">
        <v>20.38</v>
      </c>
      <c r="E2571" s="476">
        <v>0</v>
      </c>
      <c r="F2571" s="6">
        <v>0</v>
      </c>
      <c r="G2571" s="6">
        <v>58.56</v>
      </c>
    </row>
    <row r="2572" ht="30" customHeight="1" spans="1:7">
      <c r="A2572" s="4" t="s">
        <v>6259</v>
      </c>
      <c r="B2572" s="5" t="s">
        <v>6260</v>
      </c>
      <c r="C2572" s="4" t="s">
        <v>99</v>
      </c>
      <c r="D2572" s="475">
        <v>22.41</v>
      </c>
      <c r="E2572" s="476">
        <v>0</v>
      </c>
      <c r="F2572" s="6">
        <v>0</v>
      </c>
      <c r="G2572" s="6">
        <v>58.56</v>
      </c>
    </row>
    <row r="2573" ht="30" customHeight="1" spans="1:7">
      <c r="A2573" s="4" t="s">
        <v>6261</v>
      </c>
      <c r="B2573" s="5" t="s">
        <v>6262</v>
      </c>
      <c r="C2573" s="4" t="s">
        <v>99</v>
      </c>
      <c r="D2573" s="475">
        <v>20.53</v>
      </c>
      <c r="E2573" s="476">
        <v>0</v>
      </c>
      <c r="F2573" s="6">
        <v>0</v>
      </c>
      <c r="G2573" s="6">
        <v>58.56</v>
      </c>
    </row>
    <row r="2574" ht="30" customHeight="1" spans="1:7">
      <c r="A2574" s="4" t="s">
        <v>6263</v>
      </c>
      <c r="B2574" s="5" t="s">
        <v>6264</v>
      </c>
      <c r="C2574" s="4" t="s">
        <v>99</v>
      </c>
      <c r="D2574" s="475">
        <v>20.77</v>
      </c>
      <c r="E2574" s="476">
        <v>0</v>
      </c>
      <c r="F2574" s="6">
        <v>0</v>
      </c>
      <c r="G2574" s="6">
        <v>58.56</v>
      </c>
    </row>
    <row r="2575" ht="30" customHeight="1" spans="1:7">
      <c r="A2575" s="4" t="s">
        <v>6265</v>
      </c>
      <c r="B2575" s="5" t="s">
        <v>6266</v>
      </c>
      <c r="C2575" s="4" t="s">
        <v>99</v>
      </c>
      <c r="D2575" s="475">
        <v>20.92</v>
      </c>
      <c r="E2575" s="476">
        <v>0</v>
      </c>
      <c r="F2575" s="6">
        <v>0</v>
      </c>
      <c r="G2575" s="6">
        <v>58.56</v>
      </c>
    </row>
    <row r="2576" ht="30" customHeight="1" spans="1:7">
      <c r="A2576" s="4" t="s">
        <v>6267</v>
      </c>
      <c r="B2576" s="5" t="s">
        <v>6268</v>
      </c>
      <c r="C2576" s="4" t="s">
        <v>99</v>
      </c>
      <c r="D2576" s="475">
        <v>21.08</v>
      </c>
      <c r="E2576" s="476">
        <v>0</v>
      </c>
      <c r="F2576" s="6">
        <v>0</v>
      </c>
      <c r="G2576" s="6">
        <v>58.56</v>
      </c>
    </row>
    <row r="2577" ht="30" customHeight="1" spans="1:7">
      <c r="A2577" s="4" t="s">
        <v>6269</v>
      </c>
      <c r="B2577" s="5" t="s">
        <v>6270</v>
      </c>
      <c r="C2577" s="4" t="s">
        <v>99</v>
      </c>
      <c r="D2577" s="475">
        <v>21.24</v>
      </c>
      <c r="E2577" s="476">
        <v>0</v>
      </c>
      <c r="F2577" s="6">
        <v>0</v>
      </c>
      <c r="G2577" s="6">
        <v>58.56</v>
      </c>
    </row>
    <row r="2578" ht="30" customHeight="1" spans="1:7">
      <c r="A2578" s="4" t="s">
        <v>6271</v>
      </c>
      <c r="B2578" s="5" t="s">
        <v>6272</v>
      </c>
      <c r="C2578" s="4" t="s">
        <v>99</v>
      </c>
      <c r="D2578" s="475">
        <v>21.55</v>
      </c>
      <c r="E2578" s="476">
        <v>0</v>
      </c>
      <c r="F2578" s="6">
        <v>0</v>
      </c>
      <c r="G2578" s="6">
        <v>58.56</v>
      </c>
    </row>
    <row r="2579" ht="30" customHeight="1" spans="1:7">
      <c r="A2579" s="4" t="s">
        <v>6273</v>
      </c>
      <c r="B2579" s="5" t="s">
        <v>6274</v>
      </c>
      <c r="C2579" s="4" t="s">
        <v>99</v>
      </c>
      <c r="D2579" s="475">
        <v>22.02</v>
      </c>
      <c r="E2579" s="476">
        <v>0</v>
      </c>
      <c r="F2579" s="6">
        <v>0</v>
      </c>
      <c r="G2579" s="6">
        <v>58.56</v>
      </c>
    </row>
    <row r="2580" ht="30" customHeight="1" spans="1:7">
      <c r="A2580" s="4" t="s">
        <v>6275</v>
      </c>
      <c r="B2580" s="5" t="s">
        <v>6276</v>
      </c>
      <c r="C2580" s="4" t="s">
        <v>99</v>
      </c>
      <c r="D2580" s="475">
        <v>19.83</v>
      </c>
      <c r="E2580" s="476">
        <v>0</v>
      </c>
      <c r="F2580" s="6">
        <v>0</v>
      </c>
      <c r="G2580" s="6">
        <v>58.56</v>
      </c>
    </row>
    <row r="2581" ht="30" customHeight="1" spans="1:7">
      <c r="A2581" s="4" t="s">
        <v>6277</v>
      </c>
      <c r="B2581" s="5" t="s">
        <v>6278</v>
      </c>
      <c r="C2581" s="4" t="s">
        <v>99</v>
      </c>
      <c r="D2581" s="475">
        <v>19.98</v>
      </c>
      <c r="E2581" s="476">
        <v>0</v>
      </c>
      <c r="F2581" s="6">
        <v>0</v>
      </c>
      <c r="G2581" s="6">
        <v>58.56</v>
      </c>
    </row>
    <row r="2582" ht="30" customHeight="1" spans="1:7">
      <c r="A2582" s="4" t="s">
        <v>6279</v>
      </c>
      <c r="B2582" s="5" t="s">
        <v>6280</v>
      </c>
      <c r="C2582" s="4" t="s">
        <v>99</v>
      </c>
      <c r="D2582" s="475">
        <v>17.83</v>
      </c>
      <c r="E2582" s="476">
        <v>0</v>
      </c>
      <c r="F2582" s="6">
        <v>0</v>
      </c>
      <c r="G2582" s="6">
        <v>58.56</v>
      </c>
    </row>
    <row r="2583" ht="30" customHeight="1" spans="1:7">
      <c r="A2583" s="4" t="s">
        <v>6281</v>
      </c>
      <c r="B2583" s="5" t="s">
        <v>6282</v>
      </c>
      <c r="C2583" s="4" t="s">
        <v>99</v>
      </c>
      <c r="D2583" s="475">
        <v>20.22</v>
      </c>
      <c r="E2583" s="476">
        <v>0</v>
      </c>
      <c r="F2583" s="6">
        <v>0</v>
      </c>
      <c r="G2583" s="6">
        <v>58.56</v>
      </c>
    </row>
    <row r="2584" ht="30" customHeight="1" spans="1:7">
      <c r="A2584" s="4" t="s">
        <v>6283</v>
      </c>
      <c r="B2584" s="5" t="s">
        <v>6284</v>
      </c>
      <c r="C2584" s="4" t="s">
        <v>99</v>
      </c>
      <c r="D2584" s="475">
        <v>20.38</v>
      </c>
      <c r="E2584" s="476">
        <v>0</v>
      </c>
      <c r="F2584" s="6">
        <v>0</v>
      </c>
      <c r="G2584" s="6">
        <v>58.56</v>
      </c>
    </row>
    <row r="2585" ht="30" customHeight="1" spans="1:7">
      <c r="A2585" s="4" t="s">
        <v>6285</v>
      </c>
      <c r="B2585" s="5" t="s">
        <v>6286</v>
      </c>
      <c r="C2585" s="4" t="s">
        <v>99</v>
      </c>
      <c r="D2585" s="475">
        <v>22.25</v>
      </c>
      <c r="E2585" s="476">
        <v>0</v>
      </c>
      <c r="F2585" s="6">
        <v>0</v>
      </c>
      <c r="G2585" s="6">
        <v>58.56</v>
      </c>
    </row>
    <row r="2586" ht="15.75" customHeight="1" spans="1:7">
      <c r="A2586" s="4" t="s">
        <v>6287</v>
      </c>
      <c r="B2586" s="5" t="s">
        <v>6288</v>
      </c>
      <c r="C2586" s="4" t="s">
        <v>99</v>
      </c>
      <c r="D2586" s="475">
        <v>9.83</v>
      </c>
      <c r="E2586" s="476">
        <v>0</v>
      </c>
      <c r="F2586" s="6">
        <v>0</v>
      </c>
      <c r="G2586" s="6">
        <v>58.56</v>
      </c>
    </row>
    <row r="2587" ht="30" customHeight="1" spans="1:7">
      <c r="A2587" s="4" t="s">
        <v>6289</v>
      </c>
      <c r="B2587" s="5" t="s">
        <v>6290</v>
      </c>
      <c r="C2587" s="4" t="s">
        <v>99</v>
      </c>
      <c r="D2587" s="475">
        <v>11.44</v>
      </c>
      <c r="E2587" s="476">
        <v>0</v>
      </c>
      <c r="F2587" s="6">
        <v>0</v>
      </c>
      <c r="G2587" s="6">
        <v>111.87</v>
      </c>
    </row>
    <row r="2588" ht="30" customHeight="1" spans="1:7">
      <c r="A2588" s="4" t="s">
        <v>6291</v>
      </c>
      <c r="B2588" s="5" t="s">
        <v>6292</v>
      </c>
      <c r="C2588" s="4" t="s">
        <v>99</v>
      </c>
      <c r="D2588" s="475">
        <v>11.74</v>
      </c>
      <c r="E2588" s="476">
        <v>0</v>
      </c>
      <c r="F2588" s="6">
        <v>0</v>
      </c>
      <c r="G2588" s="6">
        <v>111.87</v>
      </c>
    </row>
    <row r="2589" ht="30" customHeight="1" spans="1:7">
      <c r="A2589" s="4" t="s">
        <v>6293</v>
      </c>
      <c r="B2589" s="5" t="s">
        <v>6294</v>
      </c>
      <c r="C2589" s="4" t="s">
        <v>99</v>
      </c>
      <c r="D2589" s="475">
        <v>12.87</v>
      </c>
      <c r="E2589" s="476">
        <v>0</v>
      </c>
      <c r="F2589" s="6">
        <v>0</v>
      </c>
      <c r="G2589" s="6">
        <v>111.87</v>
      </c>
    </row>
    <row r="2590" ht="30" customHeight="1" spans="1:7">
      <c r="A2590" s="4" t="s">
        <v>6295</v>
      </c>
      <c r="B2590" s="5" t="s">
        <v>6296</v>
      </c>
      <c r="C2590" s="4" t="s">
        <v>99</v>
      </c>
      <c r="D2590" s="475">
        <v>13.2</v>
      </c>
      <c r="E2590" s="476">
        <v>0</v>
      </c>
      <c r="F2590" s="6">
        <v>0</v>
      </c>
      <c r="G2590" s="6">
        <v>111.87</v>
      </c>
    </row>
    <row r="2591" ht="30" customHeight="1" spans="1:7">
      <c r="A2591" s="4" t="s">
        <v>6297</v>
      </c>
      <c r="B2591" s="5" t="s">
        <v>6298</v>
      </c>
      <c r="C2591" s="4" t="s">
        <v>99</v>
      </c>
      <c r="D2591" s="475">
        <v>13.44</v>
      </c>
      <c r="E2591" s="476">
        <v>0</v>
      </c>
      <c r="F2591" s="6">
        <v>0</v>
      </c>
      <c r="G2591" s="6">
        <v>111.87</v>
      </c>
    </row>
    <row r="2592" ht="30" customHeight="1" spans="1:7">
      <c r="A2592" s="4" t="s">
        <v>6299</v>
      </c>
      <c r="B2592" s="5" t="s">
        <v>6300</v>
      </c>
      <c r="C2592" s="4" t="s">
        <v>99</v>
      </c>
      <c r="D2592" s="475">
        <v>13.93</v>
      </c>
      <c r="E2592" s="476">
        <v>0</v>
      </c>
      <c r="F2592" s="6">
        <v>0</v>
      </c>
      <c r="G2592" s="6">
        <v>111.87</v>
      </c>
    </row>
    <row r="2593" ht="30" customHeight="1" spans="1:7">
      <c r="A2593" s="4" t="s">
        <v>6301</v>
      </c>
      <c r="B2593" s="5" t="s">
        <v>6302</v>
      </c>
      <c r="C2593" s="4" t="s">
        <v>99</v>
      </c>
      <c r="D2593" s="475">
        <v>15.66</v>
      </c>
      <c r="E2593" s="476">
        <v>0</v>
      </c>
      <c r="F2593" s="6">
        <v>0</v>
      </c>
      <c r="G2593" s="6">
        <v>111.87</v>
      </c>
    </row>
    <row r="2594" ht="30" customHeight="1" spans="1:7">
      <c r="A2594" s="4" t="s">
        <v>6303</v>
      </c>
      <c r="B2594" s="5" t="s">
        <v>6304</v>
      </c>
      <c r="C2594" s="4" t="s">
        <v>99</v>
      </c>
      <c r="D2594" s="475">
        <v>10.15</v>
      </c>
      <c r="E2594" s="476">
        <v>0</v>
      </c>
      <c r="F2594" s="6">
        <v>0</v>
      </c>
      <c r="G2594" s="6">
        <v>111.87</v>
      </c>
    </row>
    <row r="2595" ht="30" customHeight="1" spans="1:7">
      <c r="A2595" s="4" t="s">
        <v>6305</v>
      </c>
      <c r="B2595" s="5" t="s">
        <v>6306</v>
      </c>
      <c r="C2595" s="4" t="s">
        <v>99</v>
      </c>
      <c r="D2595" s="475">
        <v>16.06</v>
      </c>
      <c r="E2595" s="476">
        <v>0</v>
      </c>
      <c r="F2595" s="6">
        <v>0</v>
      </c>
      <c r="G2595" s="6">
        <v>111.87</v>
      </c>
    </row>
    <row r="2596" ht="30" customHeight="1" spans="1:7">
      <c r="A2596" s="4" t="s">
        <v>6307</v>
      </c>
      <c r="B2596" s="5" t="s">
        <v>6308</v>
      </c>
      <c r="C2596" s="4" t="s">
        <v>99</v>
      </c>
      <c r="D2596" s="475">
        <v>10.51</v>
      </c>
      <c r="E2596" s="476">
        <v>0</v>
      </c>
      <c r="F2596" s="6">
        <v>0</v>
      </c>
      <c r="G2596" s="6">
        <v>111.87</v>
      </c>
    </row>
    <row r="2597" ht="30" customHeight="1" spans="1:7">
      <c r="A2597" s="4" t="s">
        <v>6309</v>
      </c>
      <c r="B2597" s="5" t="s">
        <v>6310</v>
      </c>
      <c r="C2597" s="4" t="s">
        <v>99</v>
      </c>
      <c r="D2597" s="475">
        <v>8.77</v>
      </c>
      <c r="E2597" s="476">
        <v>0</v>
      </c>
      <c r="F2597" s="6">
        <v>0</v>
      </c>
      <c r="G2597" s="6">
        <v>111.87</v>
      </c>
    </row>
    <row r="2598" ht="30" customHeight="1" spans="1:7">
      <c r="A2598" s="4" t="s">
        <v>6311</v>
      </c>
      <c r="B2598" s="5" t="s">
        <v>6312</v>
      </c>
      <c r="C2598" s="4" t="s">
        <v>99</v>
      </c>
      <c r="D2598" s="475">
        <v>10.82</v>
      </c>
      <c r="E2598" s="476">
        <v>0</v>
      </c>
      <c r="F2598" s="6">
        <v>0</v>
      </c>
      <c r="G2598" s="6">
        <v>111.87</v>
      </c>
    </row>
    <row r="2599" ht="30" customHeight="1" spans="1:7">
      <c r="A2599" s="4" t="s">
        <v>6313</v>
      </c>
      <c r="B2599" s="5" t="s">
        <v>6314</v>
      </c>
      <c r="C2599" s="4" t="s">
        <v>99</v>
      </c>
      <c r="D2599" s="475">
        <v>11.13</v>
      </c>
      <c r="E2599" s="476">
        <v>0</v>
      </c>
      <c r="F2599" s="6">
        <v>0</v>
      </c>
      <c r="G2599" s="6">
        <v>111.87</v>
      </c>
    </row>
    <row r="2600" ht="30" customHeight="1" spans="1:7">
      <c r="A2600" s="4" t="s">
        <v>6315</v>
      </c>
      <c r="B2600" s="5" t="s">
        <v>6316</v>
      </c>
      <c r="C2600" s="4" t="s">
        <v>99</v>
      </c>
      <c r="D2600" s="475">
        <v>10.51</v>
      </c>
      <c r="E2600" s="476">
        <v>0</v>
      </c>
      <c r="F2600" s="6">
        <v>0</v>
      </c>
      <c r="G2600" s="6">
        <v>111.87</v>
      </c>
    </row>
    <row r="2601" ht="30" customHeight="1" spans="1:7">
      <c r="A2601" s="4" t="s">
        <v>6317</v>
      </c>
      <c r="B2601" s="5" t="s">
        <v>6318</v>
      </c>
      <c r="C2601" s="4" t="s">
        <v>99</v>
      </c>
      <c r="D2601" s="475">
        <v>10.7</v>
      </c>
      <c r="E2601" s="476">
        <v>0</v>
      </c>
      <c r="F2601" s="6">
        <v>0</v>
      </c>
      <c r="G2601" s="6">
        <v>111.87</v>
      </c>
    </row>
    <row r="2602" ht="30" customHeight="1" spans="1:7">
      <c r="A2602" s="4" t="s">
        <v>6319</v>
      </c>
      <c r="B2602" s="5" t="s">
        <v>6320</v>
      </c>
      <c r="C2602" s="4" t="s">
        <v>99</v>
      </c>
      <c r="D2602" s="475">
        <v>10.88</v>
      </c>
      <c r="E2602" s="476">
        <v>0</v>
      </c>
      <c r="F2602" s="6">
        <v>0</v>
      </c>
      <c r="G2602" s="6">
        <v>111.87</v>
      </c>
    </row>
    <row r="2603" ht="30" customHeight="1" spans="1:7">
      <c r="A2603" s="4" t="s">
        <v>6321</v>
      </c>
      <c r="B2603" s="5" t="s">
        <v>6322</v>
      </c>
      <c r="C2603" s="4" t="s">
        <v>99</v>
      </c>
      <c r="D2603" s="475">
        <v>11.07</v>
      </c>
      <c r="E2603" s="476">
        <v>0</v>
      </c>
      <c r="F2603" s="6">
        <v>0</v>
      </c>
      <c r="G2603" s="6">
        <v>111.87</v>
      </c>
    </row>
    <row r="2604" ht="30" customHeight="1" spans="1:7">
      <c r="A2604" s="4" t="s">
        <v>6323</v>
      </c>
      <c r="B2604" s="5" t="s">
        <v>6324</v>
      </c>
      <c r="C2604" s="4" t="s">
        <v>99</v>
      </c>
      <c r="D2604" s="475">
        <v>11.25</v>
      </c>
      <c r="E2604" s="476">
        <v>0</v>
      </c>
      <c r="F2604" s="6">
        <v>0</v>
      </c>
      <c r="G2604" s="6">
        <v>111.87</v>
      </c>
    </row>
    <row r="2605" ht="30" customHeight="1" spans="1:7">
      <c r="A2605" s="4" t="s">
        <v>6325</v>
      </c>
      <c r="B2605" s="5" t="s">
        <v>6326</v>
      </c>
      <c r="C2605" s="4" t="s">
        <v>99</v>
      </c>
      <c r="D2605" s="475">
        <v>11.56</v>
      </c>
      <c r="E2605" s="476">
        <v>0</v>
      </c>
      <c r="F2605" s="6">
        <v>0</v>
      </c>
      <c r="G2605" s="6">
        <v>111.87</v>
      </c>
    </row>
    <row r="2606" ht="30" customHeight="1" spans="1:7">
      <c r="A2606" s="4" t="s">
        <v>6327</v>
      </c>
      <c r="B2606" s="5" t="s">
        <v>6328</v>
      </c>
      <c r="C2606" s="4" t="s">
        <v>99</v>
      </c>
      <c r="D2606" s="475">
        <v>12.95</v>
      </c>
      <c r="E2606" s="476">
        <v>0</v>
      </c>
      <c r="F2606" s="6">
        <v>0</v>
      </c>
      <c r="G2606" s="6">
        <v>111.87</v>
      </c>
    </row>
    <row r="2607" ht="30" customHeight="1" spans="1:7">
      <c r="A2607" s="4" t="s">
        <v>6329</v>
      </c>
      <c r="B2607" s="5" t="s">
        <v>6330</v>
      </c>
      <c r="C2607" s="4" t="s">
        <v>99</v>
      </c>
      <c r="D2607" s="475">
        <v>8.77</v>
      </c>
      <c r="E2607" s="476">
        <v>0</v>
      </c>
      <c r="F2607" s="6">
        <v>0</v>
      </c>
      <c r="G2607" s="6">
        <v>111.87</v>
      </c>
    </row>
    <row r="2608" ht="30" customHeight="1" spans="1:7">
      <c r="A2608" s="4" t="s">
        <v>6331</v>
      </c>
      <c r="B2608" s="5" t="s">
        <v>6332</v>
      </c>
      <c r="C2608" s="4" t="s">
        <v>99</v>
      </c>
      <c r="D2608" s="475">
        <v>13.28</v>
      </c>
      <c r="E2608" s="476">
        <v>0</v>
      </c>
      <c r="F2608" s="6">
        <v>0</v>
      </c>
      <c r="G2608" s="6">
        <v>111.87</v>
      </c>
    </row>
    <row r="2609" ht="30" customHeight="1" spans="1:7">
      <c r="A2609" s="4" t="s">
        <v>6333</v>
      </c>
      <c r="B2609" s="5" t="s">
        <v>6334</v>
      </c>
      <c r="C2609" s="4" t="s">
        <v>99</v>
      </c>
      <c r="D2609" s="475">
        <v>9.9</v>
      </c>
      <c r="E2609" s="476">
        <v>0</v>
      </c>
      <c r="F2609" s="6">
        <v>0</v>
      </c>
      <c r="G2609" s="6">
        <v>111.87</v>
      </c>
    </row>
    <row r="2610" ht="30" customHeight="1" spans="1:7">
      <c r="A2610" s="4" t="s">
        <v>6335</v>
      </c>
      <c r="B2610" s="5" t="s">
        <v>6336</v>
      </c>
      <c r="C2610" s="4" t="s">
        <v>99</v>
      </c>
      <c r="D2610" s="475">
        <v>8.49</v>
      </c>
      <c r="E2610" s="476">
        <v>0</v>
      </c>
      <c r="F2610" s="6">
        <v>0</v>
      </c>
      <c r="G2610" s="6">
        <v>111.87</v>
      </c>
    </row>
    <row r="2611" ht="30" customHeight="1" spans="1:7">
      <c r="A2611" s="4" t="s">
        <v>6337</v>
      </c>
      <c r="B2611" s="5" t="s">
        <v>6338</v>
      </c>
      <c r="C2611" s="4" t="s">
        <v>99</v>
      </c>
      <c r="D2611" s="475">
        <v>10.15</v>
      </c>
      <c r="E2611" s="476">
        <v>0</v>
      </c>
      <c r="F2611" s="6">
        <v>0</v>
      </c>
      <c r="G2611" s="6">
        <v>111.87</v>
      </c>
    </row>
    <row r="2612" ht="30" customHeight="1" spans="1:7">
      <c r="A2612" s="4" t="s">
        <v>6339</v>
      </c>
      <c r="B2612" s="5" t="s">
        <v>6340</v>
      </c>
      <c r="C2612" s="4" t="s">
        <v>99</v>
      </c>
      <c r="D2612" s="475">
        <v>10.33</v>
      </c>
      <c r="E2612" s="476">
        <v>0</v>
      </c>
      <c r="F2612" s="6">
        <v>0</v>
      </c>
      <c r="G2612" s="6">
        <v>111.87</v>
      </c>
    </row>
    <row r="2613" ht="30" customHeight="1" spans="1:7">
      <c r="A2613" s="4" t="s">
        <v>6341</v>
      </c>
      <c r="B2613" s="5" t="s">
        <v>6342</v>
      </c>
      <c r="C2613" s="4" t="s">
        <v>99</v>
      </c>
      <c r="D2613" s="475">
        <v>10.51</v>
      </c>
      <c r="E2613" s="476">
        <v>0</v>
      </c>
      <c r="F2613" s="6">
        <v>0</v>
      </c>
      <c r="G2613" s="6">
        <v>111.87</v>
      </c>
    </row>
    <row r="2614" ht="30" customHeight="1" spans="1:7">
      <c r="A2614" s="4" t="s">
        <v>6343</v>
      </c>
      <c r="B2614" s="5" t="s">
        <v>6344</v>
      </c>
      <c r="C2614" s="4" t="s">
        <v>99</v>
      </c>
      <c r="D2614" s="475">
        <v>10.7</v>
      </c>
      <c r="E2614" s="476">
        <v>0</v>
      </c>
      <c r="F2614" s="6">
        <v>0</v>
      </c>
      <c r="G2614" s="6">
        <v>111.87</v>
      </c>
    </row>
    <row r="2615" ht="30" customHeight="1" spans="1:7">
      <c r="A2615" s="4" t="s">
        <v>6345</v>
      </c>
      <c r="B2615" s="5" t="s">
        <v>6346</v>
      </c>
      <c r="C2615" s="4" t="s">
        <v>99</v>
      </c>
      <c r="D2615" s="475">
        <v>10.88</v>
      </c>
      <c r="E2615" s="476">
        <v>0</v>
      </c>
      <c r="F2615" s="6">
        <v>0</v>
      </c>
      <c r="G2615" s="6">
        <v>111.87</v>
      </c>
    </row>
    <row r="2616" ht="30" customHeight="1" spans="1:7">
      <c r="A2616" s="4" t="s">
        <v>6347</v>
      </c>
      <c r="B2616" s="5" t="s">
        <v>6348</v>
      </c>
      <c r="C2616" s="4" t="s">
        <v>99</v>
      </c>
      <c r="D2616" s="475">
        <v>11.01</v>
      </c>
      <c r="E2616" s="476">
        <v>0</v>
      </c>
      <c r="F2616" s="6">
        <v>0</v>
      </c>
      <c r="G2616" s="6">
        <v>111.87</v>
      </c>
    </row>
    <row r="2617" ht="30" customHeight="1" spans="1:7">
      <c r="A2617" s="4" t="s">
        <v>6349</v>
      </c>
      <c r="B2617" s="5" t="s">
        <v>6350</v>
      </c>
      <c r="C2617" s="4" t="s">
        <v>99</v>
      </c>
      <c r="D2617" s="475">
        <v>11.19</v>
      </c>
      <c r="E2617" s="476">
        <v>0</v>
      </c>
      <c r="F2617" s="6">
        <v>0</v>
      </c>
      <c r="G2617" s="6">
        <v>111.87</v>
      </c>
    </row>
    <row r="2618" ht="30" customHeight="1" spans="1:7">
      <c r="A2618" s="4" t="s">
        <v>6351</v>
      </c>
      <c r="B2618" s="5" t="s">
        <v>6352</v>
      </c>
      <c r="C2618" s="4" t="s">
        <v>99</v>
      </c>
      <c r="D2618" s="475">
        <v>11.5</v>
      </c>
      <c r="E2618" s="476">
        <v>0</v>
      </c>
      <c r="F2618" s="6">
        <v>0</v>
      </c>
      <c r="G2618" s="6">
        <v>111.87</v>
      </c>
    </row>
    <row r="2619" ht="30" customHeight="1" spans="1:7">
      <c r="A2619" s="4" t="s">
        <v>6353</v>
      </c>
      <c r="B2619" s="5" t="s">
        <v>6354</v>
      </c>
      <c r="C2619" s="4" t="s">
        <v>99</v>
      </c>
      <c r="D2619" s="475">
        <v>12.79</v>
      </c>
      <c r="E2619" s="476">
        <v>0</v>
      </c>
      <c r="F2619" s="6">
        <v>0</v>
      </c>
      <c r="G2619" s="6">
        <v>111.87</v>
      </c>
    </row>
    <row r="2620" ht="30" customHeight="1" spans="1:7">
      <c r="A2620" s="4" t="s">
        <v>6355</v>
      </c>
      <c r="B2620" s="5" t="s">
        <v>6356</v>
      </c>
      <c r="C2620" s="4" t="s">
        <v>99</v>
      </c>
      <c r="D2620" s="475">
        <v>9.72</v>
      </c>
      <c r="E2620" s="476">
        <v>0</v>
      </c>
      <c r="F2620" s="6">
        <v>0</v>
      </c>
      <c r="G2620" s="6">
        <v>111.87</v>
      </c>
    </row>
    <row r="2621" ht="30" customHeight="1" spans="1:7">
      <c r="A2621" s="4" t="s">
        <v>6357</v>
      </c>
      <c r="B2621" s="5" t="s">
        <v>6358</v>
      </c>
      <c r="C2621" s="4" t="s">
        <v>99</v>
      </c>
      <c r="D2621" s="475">
        <v>13.12</v>
      </c>
      <c r="E2621" s="476">
        <v>0</v>
      </c>
      <c r="F2621" s="6">
        <v>0</v>
      </c>
      <c r="G2621" s="6">
        <v>111.87</v>
      </c>
    </row>
    <row r="2622" ht="30" customHeight="1" spans="1:7">
      <c r="A2622" s="4" t="s">
        <v>6359</v>
      </c>
      <c r="B2622" s="5" t="s">
        <v>6360</v>
      </c>
      <c r="C2622" s="4" t="s">
        <v>99</v>
      </c>
      <c r="D2622" s="475">
        <v>9.96</v>
      </c>
      <c r="E2622" s="476">
        <v>0</v>
      </c>
      <c r="F2622" s="6">
        <v>0</v>
      </c>
      <c r="G2622" s="6">
        <v>111.87</v>
      </c>
    </row>
    <row r="2623" ht="30" customHeight="1" spans="1:7">
      <c r="A2623" s="4" t="s">
        <v>6361</v>
      </c>
      <c r="B2623" s="5" t="s">
        <v>6362</v>
      </c>
      <c r="C2623" s="4" t="s">
        <v>99</v>
      </c>
      <c r="D2623" s="475">
        <v>8.61</v>
      </c>
      <c r="E2623" s="476">
        <v>0</v>
      </c>
      <c r="F2623" s="6">
        <v>0</v>
      </c>
      <c r="G2623" s="6">
        <v>111.87</v>
      </c>
    </row>
    <row r="2624" ht="30" customHeight="1" spans="1:7">
      <c r="A2624" s="4" t="s">
        <v>6363</v>
      </c>
      <c r="B2624" s="5" t="s">
        <v>6364</v>
      </c>
      <c r="C2624" s="4" t="s">
        <v>99</v>
      </c>
      <c r="D2624" s="475">
        <v>10.15</v>
      </c>
      <c r="E2624" s="476">
        <v>0</v>
      </c>
      <c r="F2624" s="6">
        <v>0</v>
      </c>
      <c r="G2624" s="6">
        <v>111.87</v>
      </c>
    </row>
    <row r="2625" ht="30" customHeight="1" spans="1:7">
      <c r="A2625" s="4" t="s">
        <v>6365</v>
      </c>
      <c r="B2625" s="5" t="s">
        <v>6366</v>
      </c>
      <c r="C2625" s="4" t="s">
        <v>99</v>
      </c>
      <c r="D2625" s="475">
        <v>10.33</v>
      </c>
      <c r="E2625" s="476">
        <v>0</v>
      </c>
      <c r="F2625" s="6">
        <v>0</v>
      </c>
      <c r="G2625" s="6">
        <v>111.87</v>
      </c>
    </row>
    <row r="2626" ht="15.75" customHeight="1" spans="1:7">
      <c r="A2626" s="4" t="s">
        <v>6367</v>
      </c>
      <c r="B2626" s="5" t="s">
        <v>6368</v>
      </c>
      <c r="C2626" s="4" t="s">
        <v>99</v>
      </c>
      <c r="D2626" s="475">
        <v>2.96</v>
      </c>
      <c r="E2626" s="476">
        <v>0</v>
      </c>
      <c r="F2626" s="6">
        <v>0</v>
      </c>
      <c r="G2626" s="6">
        <v>111.87</v>
      </c>
    </row>
    <row r="2627" ht="30" customHeight="1" spans="1:7">
      <c r="A2627" s="4" t="s">
        <v>6369</v>
      </c>
      <c r="B2627" s="5" t="s">
        <v>6370</v>
      </c>
      <c r="C2627" s="4" t="s">
        <v>99</v>
      </c>
      <c r="D2627" s="475">
        <v>15.61</v>
      </c>
      <c r="E2627" s="476">
        <v>0</v>
      </c>
      <c r="F2627" s="6">
        <v>0</v>
      </c>
      <c r="G2627" s="6">
        <v>84.24</v>
      </c>
    </row>
    <row r="2628" ht="30" customHeight="1" spans="1:7">
      <c r="A2628" s="4" t="s">
        <v>6371</v>
      </c>
      <c r="B2628" s="5" t="s">
        <v>6372</v>
      </c>
      <c r="C2628" s="4" t="s">
        <v>99</v>
      </c>
      <c r="D2628" s="475">
        <v>19.56</v>
      </c>
      <c r="E2628" s="476">
        <v>0</v>
      </c>
      <c r="F2628" s="6">
        <v>0</v>
      </c>
      <c r="G2628" s="6">
        <v>84.24</v>
      </c>
    </row>
    <row r="2629" ht="30" customHeight="1" spans="1:7">
      <c r="A2629" s="4" t="s">
        <v>6373</v>
      </c>
      <c r="B2629" s="5" t="s">
        <v>6374</v>
      </c>
      <c r="C2629" s="4" t="s">
        <v>99</v>
      </c>
      <c r="D2629" s="475">
        <v>20.01</v>
      </c>
      <c r="E2629" s="476">
        <v>0</v>
      </c>
      <c r="F2629" s="6">
        <v>0</v>
      </c>
      <c r="G2629" s="6">
        <v>84.24</v>
      </c>
    </row>
    <row r="2630" ht="30" customHeight="1" spans="1:7">
      <c r="A2630" s="4" t="s">
        <v>6375</v>
      </c>
      <c r="B2630" s="5" t="s">
        <v>6376</v>
      </c>
      <c r="C2630" s="4" t="s">
        <v>99</v>
      </c>
      <c r="D2630" s="475">
        <v>20.34</v>
      </c>
      <c r="E2630" s="476">
        <v>0</v>
      </c>
      <c r="F2630" s="6">
        <v>0</v>
      </c>
      <c r="G2630" s="6">
        <v>84.24</v>
      </c>
    </row>
    <row r="2631" ht="30" customHeight="1" spans="1:7">
      <c r="A2631" s="4" t="s">
        <v>6377</v>
      </c>
      <c r="B2631" s="5" t="s">
        <v>6378</v>
      </c>
      <c r="C2631" s="4" t="s">
        <v>99</v>
      </c>
      <c r="D2631" s="475">
        <v>20.68</v>
      </c>
      <c r="E2631" s="476">
        <v>0</v>
      </c>
      <c r="F2631" s="6">
        <v>0</v>
      </c>
      <c r="G2631" s="6">
        <v>84.24</v>
      </c>
    </row>
    <row r="2632" ht="30" customHeight="1" spans="1:7">
      <c r="A2632" s="4" t="s">
        <v>6379</v>
      </c>
      <c r="B2632" s="5" t="s">
        <v>6380</v>
      </c>
      <c r="C2632" s="4" t="s">
        <v>99</v>
      </c>
      <c r="D2632" s="475">
        <v>21.13</v>
      </c>
      <c r="E2632" s="476">
        <v>0</v>
      </c>
      <c r="F2632" s="6">
        <v>0</v>
      </c>
      <c r="G2632" s="6">
        <v>84.24</v>
      </c>
    </row>
    <row r="2633" ht="30" customHeight="1" spans="1:7">
      <c r="A2633" s="4" t="s">
        <v>6381</v>
      </c>
      <c r="B2633" s="5" t="s">
        <v>6382</v>
      </c>
      <c r="C2633" s="4" t="s">
        <v>99</v>
      </c>
      <c r="D2633" s="475">
        <v>21.47</v>
      </c>
      <c r="E2633" s="476">
        <v>0</v>
      </c>
      <c r="F2633" s="6">
        <v>0</v>
      </c>
      <c r="G2633" s="6">
        <v>84.24</v>
      </c>
    </row>
    <row r="2634" ht="30" customHeight="1" spans="1:7">
      <c r="A2634" s="4" t="s">
        <v>6383</v>
      </c>
      <c r="B2634" s="5" t="s">
        <v>6384</v>
      </c>
      <c r="C2634" s="4" t="s">
        <v>99</v>
      </c>
      <c r="D2634" s="475">
        <v>16.14</v>
      </c>
      <c r="E2634" s="476">
        <v>0</v>
      </c>
      <c r="F2634" s="6">
        <v>0</v>
      </c>
      <c r="G2634" s="6">
        <v>84.24</v>
      </c>
    </row>
    <row r="2635" ht="30" customHeight="1" spans="1:7">
      <c r="A2635" s="4" t="s">
        <v>6385</v>
      </c>
      <c r="B2635" s="5" t="s">
        <v>6386</v>
      </c>
      <c r="C2635" s="4" t="s">
        <v>99</v>
      </c>
      <c r="D2635" s="475">
        <v>16.58</v>
      </c>
      <c r="E2635" s="476">
        <v>0</v>
      </c>
      <c r="F2635" s="6">
        <v>0</v>
      </c>
      <c r="G2635" s="6">
        <v>84.24</v>
      </c>
    </row>
    <row r="2636" ht="30" customHeight="1" spans="1:7">
      <c r="A2636" s="4" t="s">
        <v>6387</v>
      </c>
      <c r="B2636" s="5" t="s">
        <v>6388</v>
      </c>
      <c r="C2636" s="4" t="s">
        <v>99</v>
      </c>
      <c r="D2636" s="475">
        <v>19.22</v>
      </c>
      <c r="E2636" s="476">
        <v>0</v>
      </c>
      <c r="F2636" s="6">
        <v>0</v>
      </c>
      <c r="G2636" s="6">
        <v>84.24</v>
      </c>
    </row>
    <row r="2637" ht="30" customHeight="1" spans="1:7">
      <c r="A2637" s="4" t="s">
        <v>6389</v>
      </c>
      <c r="B2637" s="5" t="s">
        <v>6390</v>
      </c>
      <c r="C2637" s="4" t="s">
        <v>99</v>
      </c>
      <c r="D2637" s="475">
        <v>21.69</v>
      </c>
      <c r="E2637" s="476">
        <v>0</v>
      </c>
      <c r="F2637" s="6">
        <v>0</v>
      </c>
      <c r="G2637" s="6">
        <v>84.24</v>
      </c>
    </row>
    <row r="2638" ht="15.75" customHeight="1" spans="1:7">
      <c r="A2638" s="4" t="s">
        <v>6391</v>
      </c>
      <c r="B2638" s="5" t="s">
        <v>6392</v>
      </c>
      <c r="C2638" s="4" t="s">
        <v>99</v>
      </c>
      <c r="D2638" s="475">
        <v>42.75</v>
      </c>
      <c r="E2638" s="476">
        <v>0</v>
      </c>
      <c r="F2638" s="6">
        <v>0</v>
      </c>
      <c r="G2638" s="6">
        <v>265.97</v>
      </c>
    </row>
    <row r="2639" ht="15.75" customHeight="1" spans="1:7">
      <c r="A2639" s="4" t="s">
        <v>6393</v>
      </c>
      <c r="B2639" s="5" t="s">
        <v>6394</v>
      </c>
      <c r="C2639" s="4" t="s">
        <v>99</v>
      </c>
      <c r="D2639" s="475">
        <v>44.19</v>
      </c>
      <c r="E2639" s="476">
        <v>0</v>
      </c>
      <c r="F2639" s="6">
        <v>0</v>
      </c>
      <c r="G2639" s="6">
        <v>257.28</v>
      </c>
    </row>
    <row r="2640" ht="15.75" customHeight="1" spans="1:7">
      <c r="A2640" s="4" t="s">
        <v>6395</v>
      </c>
      <c r="B2640" s="5" t="s">
        <v>6396</v>
      </c>
      <c r="C2640" s="4" t="s">
        <v>99</v>
      </c>
      <c r="D2640" s="475">
        <v>45.67</v>
      </c>
      <c r="E2640" s="476">
        <v>0</v>
      </c>
      <c r="F2640" s="6">
        <v>0</v>
      </c>
      <c r="G2640" s="6">
        <v>248.95</v>
      </c>
    </row>
    <row r="2641" ht="15.75" customHeight="1" spans="1:7">
      <c r="A2641" s="4" t="s">
        <v>6397</v>
      </c>
      <c r="B2641" s="5" t="s">
        <v>6398</v>
      </c>
      <c r="C2641" s="4" t="s">
        <v>99</v>
      </c>
      <c r="D2641" s="475">
        <v>47.22</v>
      </c>
      <c r="E2641" s="476">
        <v>0</v>
      </c>
      <c r="F2641" s="6">
        <v>0</v>
      </c>
      <c r="G2641" s="6">
        <v>240.81</v>
      </c>
    </row>
    <row r="2642" ht="15.75" customHeight="1" spans="1:7">
      <c r="A2642" s="4" t="s">
        <v>6399</v>
      </c>
      <c r="B2642" s="5" t="s">
        <v>6400</v>
      </c>
      <c r="C2642" s="4" t="s">
        <v>99</v>
      </c>
      <c r="D2642" s="475">
        <v>48.86</v>
      </c>
      <c r="E2642" s="476">
        <v>0</v>
      </c>
      <c r="F2642" s="6">
        <v>0</v>
      </c>
      <c r="G2642" s="6">
        <v>232.71</v>
      </c>
    </row>
    <row r="2643" ht="15.75" customHeight="1" spans="1:7">
      <c r="A2643" s="4" t="s">
        <v>6401</v>
      </c>
      <c r="B2643" s="5" t="s">
        <v>6402</v>
      </c>
      <c r="C2643" s="4" t="s">
        <v>99</v>
      </c>
      <c r="D2643" s="475">
        <v>49.73</v>
      </c>
      <c r="E2643" s="476">
        <v>0</v>
      </c>
      <c r="F2643" s="6">
        <v>0</v>
      </c>
      <c r="G2643" s="6">
        <v>228.65</v>
      </c>
    </row>
    <row r="2644" ht="15.75" customHeight="1" spans="1:7">
      <c r="A2644" s="4" t="s">
        <v>6403</v>
      </c>
      <c r="B2644" s="5" t="s">
        <v>6404</v>
      </c>
      <c r="C2644" s="4" t="s">
        <v>99</v>
      </c>
      <c r="D2644" s="475">
        <v>19.39</v>
      </c>
      <c r="E2644" s="476">
        <v>0</v>
      </c>
      <c r="F2644" s="6">
        <v>0</v>
      </c>
      <c r="G2644" s="6">
        <v>2261.17</v>
      </c>
    </row>
    <row r="2645" ht="15.75" customHeight="1" spans="1:7">
      <c r="A2645" s="4" t="s">
        <v>6405</v>
      </c>
      <c r="B2645" s="5" t="s">
        <v>6406</v>
      </c>
      <c r="C2645" s="4" t="s">
        <v>99</v>
      </c>
      <c r="D2645" s="475">
        <v>19.74</v>
      </c>
      <c r="E2645" s="476">
        <v>0</v>
      </c>
      <c r="F2645" s="6">
        <v>0</v>
      </c>
      <c r="G2645" s="6">
        <v>2221.23</v>
      </c>
    </row>
    <row r="2646" ht="15.75" customHeight="1" spans="1:7">
      <c r="A2646" s="4" t="s">
        <v>6407</v>
      </c>
      <c r="B2646" s="5" t="s">
        <v>6408</v>
      </c>
      <c r="C2646" s="4" t="s">
        <v>99</v>
      </c>
      <c r="D2646" s="475">
        <v>20.11</v>
      </c>
      <c r="E2646" s="476">
        <v>0</v>
      </c>
      <c r="F2646" s="6">
        <v>0</v>
      </c>
      <c r="G2646" s="6">
        <v>2181.15</v>
      </c>
    </row>
    <row r="2647" ht="15.75" customHeight="1" spans="1:7">
      <c r="A2647" s="4" t="s">
        <v>6409</v>
      </c>
      <c r="B2647" s="5" t="s">
        <v>6410</v>
      </c>
      <c r="C2647" s="4" t="s">
        <v>99</v>
      </c>
      <c r="D2647" s="475">
        <v>20.48</v>
      </c>
      <c r="E2647" s="476">
        <v>0</v>
      </c>
      <c r="F2647" s="6">
        <v>0</v>
      </c>
      <c r="G2647" s="6">
        <v>2141.01</v>
      </c>
    </row>
    <row r="2648" ht="15.75" customHeight="1" spans="1:7">
      <c r="A2648" s="4" t="s">
        <v>6411</v>
      </c>
      <c r="B2648" s="5" t="s">
        <v>6412</v>
      </c>
      <c r="C2648" s="4" t="s">
        <v>99</v>
      </c>
      <c r="D2648" s="475">
        <v>20.88</v>
      </c>
      <c r="E2648" s="476">
        <v>0</v>
      </c>
      <c r="F2648" s="6">
        <v>0</v>
      </c>
      <c r="G2648" s="6">
        <v>2099.85</v>
      </c>
    </row>
    <row r="2649" ht="15.75" customHeight="1" spans="1:7">
      <c r="A2649" s="4" t="s">
        <v>6413</v>
      </c>
      <c r="B2649" s="5" t="s">
        <v>6414</v>
      </c>
      <c r="C2649" s="4" t="s">
        <v>99</v>
      </c>
      <c r="D2649" s="475">
        <v>21.1</v>
      </c>
      <c r="E2649" s="476">
        <v>0</v>
      </c>
      <c r="F2649" s="6">
        <v>0</v>
      </c>
      <c r="G2649" s="6">
        <v>2078.46</v>
      </c>
    </row>
    <row r="2650" ht="15.75" customHeight="1" spans="1:7">
      <c r="A2650" s="4" t="s">
        <v>6415</v>
      </c>
      <c r="B2650" s="5" t="s">
        <v>6416</v>
      </c>
      <c r="C2650" s="4" t="s">
        <v>99</v>
      </c>
      <c r="D2650" s="475">
        <v>23</v>
      </c>
      <c r="E2650" s="476">
        <v>0</v>
      </c>
      <c r="F2650" s="6">
        <v>0</v>
      </c>
      <c r="G2650" s="6">
        <v>2675.5</v>
      </c>
    </row>
    <row r="2651" ht="15.75" customHeight="1" spans="1:7">
      <c r="A2651" s="4" t="s">
        <v>6417</v>
      </c>
      <c r="B2651" s="5" t="s">
        <v>6418</v>
      </c>
      <c r="C2651" s="4" t="s">
        <v>99</v>
      </c>
      <c r="D2651" s="475">
        <v>23.33</v>
      </c>
      <c r="E2651" s="476">
        <v>0</v>
      </c>
      <c r="F2651" s="6">
        <v>0</v>
      </c>
      <c r="G2651" s="6">
        <v>2638.08</v>
      </c>
    </row>
    <row r="2652" ht="15.75" customHeight="1" spans="1:7">
      <c r="A2652" s="4" t="s">
        <v>6419</v>
      </c>
      <c r="B2652" s="5" t="s">
        <v>6420</v>
      </c>
      <c r="C2652" s="4" t="s">
        <v>99</v>
      </c>
      <c r="D2652" s="475">
        <v>23.67</v>
      </c>
      <c r="E2652" s="476">
        <v>0</v>
      </c>
      <c r="F2652" s="6">
        <v>0</v>
      </c>
      <c r="G2652" s="6">
        <v>2600.25</v>
      </c>
    </row>
    <row r="2653" ht="15.75" customHeight="1" spans="1:7">
      <c r="A2653" s="4" t="s">
        <v>6421</v>
      </c>
      <c r="B2653" s="5" t="s">
        <v>6422</v>
      </c>
      <c r="C2653" s="4" t="s">
        <v>99</v>
      </c>
      <c r="D2653" s="475">
        <v>24.02</v>
      </c>
      <c r="E2653" s="476">
        <v>0</v>
      </c>
      <c r="F2653" s="6">
        <v>0</v>
      </c>
      <c r="G2653" s="6">
        <v>2562.08</v>
      </c>
    </row>
    <row r="2654" ht="15.75" customHeight="1" spans="1:7">
      <c r="A2654" s="4" t="s">
        <v>6423</v>
      </c>
      <c r="B2654" s="5" t="s">
        <v>6424</v>
      </c>
      <c r="C2654" s="4" t="s">
        <v>99</v>
      </c>
      <c r="D2654" s="475">
        <v>24.4</v>
      </c>
      <c r="E2654" s="476">
        <v>0</v>
      </c>
      <c r="F2654" s="6">
        <v>0</v>
      </c>
      <c r="G2654" s="6">
        <v>2522.63</v>
      </c>
    </row>
    <row r="2655" ht="15.75" customHeight="1" spans="1:7">
      <c r="A2655" s="4" t="s">
        <v>6425</v>
      </c>
      <c r="B2655" s="5" t="s">
        <v>6426</v>
      </c>
      <c r="C2655" s="4" t="s">
        <v>99</v>
      </c>
      <c r="D2655" s="475">
        <v>24.6</v>
      </c>
      <c r="E2655" s="476">
        <v>0</v>
      </c>
      <c r="F2655" s="6">
        <v>0</v>
      </c>
      <c r="G2655" s="6">
        <v>2502.01</v>
      </c>
    </row>
    <row r="2656" ht="15.75" customHeight="1" spans="1:7">
      <c r="A2656" s="4" t="s">
        <v>6427</v>
      </c>
      <c r="B2656" s="5" t="s">
        <v>6428</v>
      </c>
      <c r="C2656" s="4" t="s">
        <v>99</v>
      </c>
      <c r="D2656" s="475">
        <v>27.61</v>
      </c>
      <c r="E2656" s="476">
        <v>0</v>
      </c>
      <c r="F2656" s="6">
        <v>0</v>
      </c>
      <c r="G2656" s="6">
        <v>544.02</v>
      </c>
    </row>
    <row r="2657" ht="15.75" customHeight="1" spans="1:7">
      <c r="A2657" s="4" t="s">
        <v>6429</v>
      </c>
      <c r="B2657" s="5" t="s">
        <v>6430</v>
      </c>
      <c r="C2657" s="4" t="s">
        <v>99</v>
      </c>
      <c r="D2657" s="475">
        <v>28.45</v>
      </c>
      <c r="E2657" s="476">
        <v>0</v>
      </c>
      <c r="F2657" s="6">
        <v>0</v>
      </c>
      <c r="G2657" s="6">
        <v>527.99</v>
      </c>
    </row>
    <row r="2658" ht="15.75" customHeight="1" spans="1:7">
      <c r="A2658" s="4" t="s">
        <v>6431</v>
      </c>
      <c r="B2658" s="5" t="s">
        <v>6432</v>
      </c>
      <c r="C2658" s="4" t="s">
        <v>99</v>
      </c>
      <c r="D2658" s="475">
        <v>29.31</v>
      </c>
      <c r="E2658" s="476">
        <v>0</v>
      </c>
      <c r="F2658" s="6">
        <v>0</v>
      </c>
      <c r="G2658" s="6">
        <v>512.45</v>
      </c>
    </row>
    <row r="2659" ht="15.75" customHeight="1" spans="1:7">
      <c r="A2659" s="4" t="s">
        <v>6433</v>
      </c>
      <c r="B2659" s="5" t="s">
        <v>6434</v>
      </c>
      <c r="C2659" s="4" t="s">
        <v>99</v>
      </c>
      <c r="D2659" s="475">
        <v>30.21</v>
      </c>
      <c r="E2659" s="476">
        <v>0</v>
      </c>
      <c r="F2659" s="6">
        <v>0</v>
      </c>
      <c r="G2659" s="6">
        <v>497.3</v>
      </c>
    </row>
    <row r="2660" ht="15.75" customHeight="1" spans="1:7">
      <c r="A2660" s="4" t="s">
        <v>6435</v>
      </c>
      <c r="B2660" s="5" t="s">
        <v>6436</v>
      </c>
      <c r="C2660" s="4" t="s">
        <v>99</v>
      </c>
      <c r="D2660" s="475">
        <v>31.16</v>
      </c>
      <c r="E2660" s="476">
        <v>0</v>
      </c>
      <c r="F2660" s="6">
        <v>0</v>
      </c>
      <c r="G2660" s="6">
        <v>482</v>
      </c>
    </row>
    <row r="2661" ht="15.75" customHeight="1" spans="1:7">
      <c r="A2661" s="4" t="s">
        <v>6437</v>
      </c>
      <c r="B2661" s="5" t="s">
        <v>6438</v>
      </c>
      <c r="C2661" s="4" t="s">
        <v>99</v>
      </c>
      <c r="D2661" s="475">
        <v>31.67</v>
      </c>
      <c r="E2661" s="476">
        <v>0</v>
      </c>
      <c r="F2661" s="6">
        <v>0</v>
      </c>
      <c r="G2661" s="6">
        <v>474.29</v>
      </c>
    </row>
    <row r="2662" ht="15.75" customHeight="1" spans="1:7">
      <c r="A2662" s="4" t="s">
        <v>6439</v>
      </c>
      <c r="B2662" s="5" t="s">
        <v>6440</v>
      </c>
      <c r="C2662" s="4" t="s">
        <v>99</v>
      </c>
      <c r="D2662" s="475">
        <v>26.92</v>
      </c>
      <c r="E2662" s="476">
        <v>0</v>
      </c>
      <c r="F2662" s="6">
        <v>0</v>
      </c>
      <c r="G2662" s="6">
        <v>2945.35</v>
      </c>
    </row>
    <row r="2663" ht="15.75" customHeight="1" spans="1:7">
      <c r="A2663" s="4" t="s">
        <v>6441</v>
      </c>
      <c r="B2663" s="5" t="s">
        <v>6442</v>
      </c>
      <c r="C2663" s="4" t="s">
        <v>99</v>
      </c>
      <c r="D2663" s="475">
        <v>27.24</v>
      </c>
      <c r="E2663" s="476">
        <v>0</v>
      </c>
      <c r="F2663" s="6">
        <v>0</v>
      </c>
      <c r="G2663" s="6">
        <v>2911.26</v>
      </c>
    </row>
    <row r="2664" ht="15.75" customHeight="1" spans="1:7">
      <c r="A2664" s="4" t="s">
        <v>6443</v>
      </c>
      <c r="B2664" s="5" t="s">
        <v>6444</v>
      </c>
      <c r="C2664" s="4" t="s">
        <v>99</v>
      </c>
      <c r="D2664" s="475">
        <v>27.57</v>
      </c>
      <c r="E2664" s="476">
        <v>0</v>
      </c>
      <c r="F2664" s="6">
        <v>0</v>
      </c>
      <c r="G2664" s="6">
        <v>2876.62</v>
      </c>
    </row>
    <row r="2665" ht="15.75" customHeight="1" spans="1:7">
      <c r="A2665" s="4" t="s">
        <v>6445</v>
      </c>
      <c r="B2665" s="5" t="s">
        <v>6446</v>
      </c>
      <c r="C2665" s="4" t="s">
        <v>99</v>
      </c>
      <c r="D2665" s="475">
        <v>27.91</v>
      </c>
      <c r="E2665" s="476">
        <v>0</v>
      </c>
      <c r="F2665" s="6">
        <v>0</v>
      </c>
      <c r="G2665" s="6">
        <v>2841.49</v>
      </c>
    </row>
    <row r="2666" ht="15.75" customHeight="1" spans="1:7">
      <c r="A2666" s="4" t="s">
        <v>6447</v>
      </c>
      <c r="B2666" s="5" t="s">
        <v>6448</v>
      </c>
      <c r="C2666" s="4" t="s">
        <v>99</v>
      </c>
      <c r="D2666" s="475">
        <v>28.27</v>
      </c>
      <c r="E2666" s="476">
        <v>0</v>
      </c>
      <c r="F2666" s="6">
        <v>0</v>
      </c>
      <c r="G2666" s="6">
        <v>2805</v>
      </c>
    </row>
    <row r="2667" ht="15.75" customHeight="1" spans="1:7">
      <c r="A2667" s="4" t="s">
        <v>6449</v>
      </c>
      <c r="B2667" s="5" t="s">
        <v>6450</v>
      </c>
      <c r="C2667" s="4" t="s">
        <v>99</v>
      </c>
      <c r="D2667" s="475">
        <v>28.46</v>
      </c>
      <c r="E2667" s="476">
        <v>0</v>
      </c>
      <c r="F2667" s="6">
        <v>0</v>
      </c>
      <c r="G2667" s="6">
        <v>2785.86</v>
      </c>
    </row>
    <row r="2668" ht="15.75" customHeight="1" spans="1:7">
      <c r="A2668" s="4" t="s">
        <v>6451</v>
      </c>
      <c r="B2668" s="5" t="s">
        <v>6452</v>
      </c>
      <c r="C2668" s="4" t="s">
        <v>99</v>
      </c>
      <c r="D2668" s="475">
        <v>24.02</v>
      </c>
      <c r="E2668" s="476">
        <v>0</v>
      </c>
      <c r="F2668" s="6">
        <v>0</v>
      </c>
      <c r="G2668" s="6">
        <v>784.01</v>
      </c>
    </row>
    <row r="2669" ht="15.75" customHeight="1" spans="1:7">
      <c r="A2669" s="4" t="s">
        <v>6453</v>
      </c>
      <c r="B2669" s="5" t="s">
        <v>6454</v>
      </c>
      <c r="C2669" s="4" t="s">
        <v>99</v>
      </c>
      <c r="D2669" s="475">
        <v>24.67</v>
      </c>
      <c r="E2669" s="476">
        <v>0</v>
      </c>
      <c r="F2669" s="6">
        <v>0</v>
      </c>
      <c r="G2669" s="6">
        <v>763.34</v>
      </c>
    </row>
    <row r="2670" ht="15.75" customHeight="1" spans="1:7">
      <c r="A2670" s="4" t="s">
        <v>6455</v>
      </c>
      <c r="B2670" s="5" t="s">
        <v>6456</v>
      </c>
      <c r="C2670" s="4" t="s">
        <v>99</v>
      </c>
      <c r="D2670" s="475">
        <v>25.34</v>
      </c>
      <c r="E2670" s="476">
        <v>0</v>
      </c>
      <c r="F2670" s="6">
        <v>0</v>
      </c>
      <c r="G2670" s="6">
        <v>743.28</v>
      </c>
    </row>
    <row r="2671" ht="15.75" customHeight="1" spans="1:7">
      <c r="A2671" s="4" t="s">
        <v>6457</v>
      </c>
      <c r="B2671" s="5" t="s">
        <v>6458</v>
      </c>
      <c r="C2671" s="4" t="s">
        <v>99</v>
      </c>
      <c r="D2671" s="475">
        <v>26.04</v>
      </c>
      <c r="E2671" s="476">
        <v>0</v>
      </c>
      <c r="F2671" s="6">
        <v>0</v>
      </c>
      <c r="G2671" s="6">
        <v>723.28</v>
      </c>
    </row>
    <row r="2672" ht="15.75" customHeight="1" spans="1:7">
      <c r="A2672" s="4" t="s">
        <v>6459</v>
      </c>
      <c r="B2672" s="5" t="s">
        <v>6460</v>
      </c>
      <c r="C2672" s="4" t="s">
        <v>99</v>
      </c>
      <c r="D2672" s="475">
        <v>26.78</v>
      </c>
      <c r="E2672" s="476">
        <v>0</v>
      </c>
      <c r="F2672" s="6">
        <v>0</v>
      </c>
      <c r="G2672" s="6">
        <v>703.26</v>
      </c>
    </row>
    <row r="2673" ht="15.75" customHeight="1" spans="1:7">
      <c r="A2673" s="4" t="s">
        <v>6461</v>
      </c>
      <c r="B2673" s="5" t="s">
        <v>6462</v>
      </c>
      <c r="C2673" s="4" t="s">
        <v>99</v>
      </c>
      <c r="D2673" s="475">
        <v>27.18</v>
      </c>
      <c r="E2673" s="476">
        <v>0</v>
      </c>
      <c r="F2673" s="6">
        <v>0</v>
      </c>
      <c r="G2673" s="6">
        <v>692.95</v>
      </c>
    </row>
    <row r="2674" ht="15.75" customHeight="1" spans="1:7">
      <c r="A2674" s="4" t="s">
        <v>6463</v>
      </c>
      <c r="B2674" s="5" t="s">
        <v>6464</v>
      </c>
      <c r="C2674" s="4" t="s">
        <v>99</v>
      </c>
      <c r="D2674" s="475">
        <v>21.86</v>
      </c>
      <c r="E2674" s="476">
        <v>0</v>
      </c>
      <c r="F2674" s="6">
        <v>0</v>
      </c>
      <c r="G2674" s="6">
        <v>1031.06</v>
      </c>
    </row>
    <row r="2675" ht="15.75" customHeight="1" spans="1:7">
      <c r="A2675" s="4" t="s">
        <v>6465</v>
      </c>
      <c r="B2675" s="5" t="s">
        <v>6466</v>
      </c>
      <c r="C2675" s="4" t="s">
        <v>99</v>
      </c>
      <c r="D2675" s="475">
        <v>22.42</v>
      </c>
      <c r="E2675" s="476">
        <v>0</v>
      </c>
      <c r="F2675" s="6">
        <v>0</v>
      </c>
      <c r="G2675" s="6">
        <v>1005.45</v>
      </c>
    </row>
    <row r="2676" ht="15.75" customHeight="1" spans="1:7">
      <c r="A2676" s="4" t="s">
        <v>6467</v>
      </c>
      <c r="B2676" s="5" t="s">
        <v>6468</v>
      </c>
      <c r="C2676" s="4" t="s">
        <v>99</v>
      </c>
      <c r="D2676" s="475">
        <v>23</v>
      </c>
      <c r="E2676" s="476">
        <v>0</v>
      </c>
      <c r="F2676" s="6">
        <v>0</v>
      </c>
      <c r="G2676" s="6">
        <v>980.31</v>
      </c>
    </row>
    <row r="2677" ht="15.75" customHeight="1" spans="1:7">
      <c r="A2677" s="4" t="s">
        <v>6469</v>
      </c>
      <c r="B2677" s="5" t="s">
        <v>6470</v>
      </c>
      <c r="C2677" s="4" t="s">
        <v>99</v>
      </c>
      <c r="D2677" s="475">
        <v>23.59</v>
      </c>
      <c r="E2677" s="476">
        <v>0</v>
      </c>
      <c r="F2677" s="6">
        <v>0</v>
      </c>
      <c r="G2677" s="6">
        <v>955.49</v>
      </c>
    </row>
    <row r="2678" ht="15.75" customHeight="1" spans="1:7">
      <c r="A2678" s="4" t="s">
        <v>6471</v>
      </c>
      <c r="B2678" s="5" t="s">
        <v>6472</v>
      </c>
      <c r="C2678" s="4" t="s">
        <v>99</v>
      </c>
      <c r="D2678" s="475">
        <v>24.23</v>
      </c>
      <c r="E2678" s="476">
        <v>0</v>
      </c>
      <c r="F2678" s="6">
        <v>0</v>
      </c>
      <c r="G2678" s="6">
        <v>930.32</v>
      </c>
    </row>
    <row r="2679" ht="15.75" customHeight="1" spans="1:7">
      <c r="A2679" s="4" t="s">
        <v>6473</v>
      </c>
      <c r="B2679" s="5" t="s">
        <v>6474</v>
      </c>
      <c r="C2679" s="4" t="s">
        <v>99</v>
      </c>
      <c r="D2679" s="475">
        <v>24.58</v>
      </c>
      <c r="E2679" s="476">
        <v>0</v>
      </c>
      <c r="F2679" s="6">
        <v>0</v>
      </c>
      <c r="G2679" s="6">
        <v>917.3</v>
      </c>
    </row>
    <row r="2680" ht="15.75" customHeight="1" spans="1:7">
      <c r="A2680" s="4" t="s">
        <v>6475</v>
      </c>
      <c r="B2680" s="5" t="s">
        <v>6476</v>
      </c>
      <c r="C2680" s="4" t="s">
        <v>99</v>
      </c>
      <c r="D2680" s="475">
        <v>22.3</v>
      </c>
      <c r="E2680" s="476">
        <v>0</v>
      </c>
      <c r="F2680" s="6">
        <v>0</v>
      </c>
      <c r="G2680" s="6">
        <v>1174.75</v>
      </c>
    </row>
    <row r="2681" ht="15.75" customHeight="1" spans="1:7">
      <c r="A2681" s="4" t="s">
        <v>6477</v>
      </c>
      <c r="B2681" s="5" t="s">
        <v>6478</v>
      </c>
      <c r="C2681" s="4" t="s">
        <v>99</v>
      </c>
      <c r="D2681" s="475">
        <v>22.79</v>
      </c>
      <c r="E2681" s="476">
        <v>0</v>
      </c>
      <c r="F2681" s="6">
        <v>0</v>
      </c>
      <c r="G2681" s="6">
        <v>1149.58</v>
      </c>
    </row>
    <row r="2682" ht="15.75" customHeight="1" spans="1:7">
      <c r="A2682" s="4" t="s">
        <v>6479</v>
      </c>
      <c r="B2682" s="5" t="s">
        <v>6480</v>
      </c>
      <c r="C2682" s="4" t="s">
        <v>99</v>
      </c>
      <c r="D2682" s="475">
        <v>23.29</v>
      </c>
      <c r="E2682" s="476">
        <v>0</v>
      </c>
      <c r="F2682" s="6">
        <v>0</v>
      </c>
      <c r="G2682" s="6">
        <v>1124.86</v>
      </c>
    </row>
    <row r="2683" ht="15.75" customHeight="1" spans="1:7">
      <c r="A2683" s="4" t="s">
        <v>6481</v>
      </c>
      <c r="B2683" s="5" t="s">
        <v>6482</v>
      </c>
      <c r="C2683" s="4" t="s">
        <v>99</v>
      </c>
      <c r="D2683" s="475">
        <v>23.81</v>
      </c>
      <c r="E2683" s="476">
        <v>0</v>
      </c>
      <c r="F2683" s="6">
        <v>0</v>
      </c>
      <c r="G2683" s="6">
        <v>1100.02</v>
      </c>
    </row>
    <row r="2684" ht="15.75" customHeight="1" spans="1:7">
      <c r="A2684" s="4" t="s">
        <v>6483</v>
      </c>
      <c r="B2684" s="5" t="s">
        <v>6484</v>
      </c>
      <c r="C2684" s="4" t="s">
        <v>99</v>
      </c>
      <c r="D2684" s="475">
        <v>24.37</v>
      </c>
      <c r="E2684" s="476">
        <v>0</v>
      </c>
      <c r="F2684" s="6">
        <v>0</v>
      </c>
      <c r="G2684" s="6">
        <v>1074.76</v>
      </c>
    </row>
    <row r="2685" ht="15.75" customHeight="1" spans="1:7">
      <c r="A2685" s="4" t="s">
        <v>6485</v>
      </c>
      <c r="B2685" s="5" t="s">
        <v>6486</v>
      </c>
      <c r="C2685" s="4" t="s">
        <v>99</v>
      </c>
      <c r="D2685" s="475">
        <v>24.67</v>
      </c>
      <c r="E2685" s="476">
        <v>0</v>
      </c>
      <c r="F2685" s="6">
        <v>0</v>
      </c>
      <c r="G2685" s="6">
        <v>1061.92</v>
      </c>
    </row>
    <row r="2686" ht="15.75" customHeight="1" spans="1:7">
      <c r="A2686" s="4" t="s">
        <v>6487</v>
      </c>
      <c r="B2686" s="5" t="s">
        <v>6488</v>
      </c>
      <c r="C2686" s="4" t="s">
        <v>99</v>
      </c>
      <c r="D2686" s="475">
        <v>58.14</v>
      </c>
      <c r="E2686" s="476">
        <v>0</v>
      </c>
      <c r="F2686" s="6">
        <v>0</v>
      </c>
      <c r="G2686" s="6">
        <v>179.64</v>
      </c>
    </row>
    <row r="2687" ht="15.75" customHeight="1" spans="1:7">
      <c r="A2687" s="4" t="s">
        <v>6489</v>
      </c>
      <c r="B2687" s="5" t="s">
        <v>6490</v>
      </c>
      <c r="C2687" s="4" t="s">
        <v>99</v>
      </c>
      <c r="D2687" s="475">
        <v>60.27</v>
      </c>
      <c r="E2687" s="476">
        <v>0</v>
      </c>
      <c r="F2687" s="6">
        <v>0</v>
      </c>
      <c r="G2687" s="6">
        <v>173.3</v>
      </c>
    </row>
    <row r="2688" ht="15.75" customHeight="1" spans="1:7">
      <c r="A2688" s="4" t="s">
        <v>6491</v>
      </c>
      <c r="B2688" s="5" t="s">
        <v>6492</v>
      </c>
      <c r="C2688" s="4" t="s">
        <v>99</v>
      </c>
      <c r="D2688" s="475">
        <v>62.42</v>
      </c>
      <c r="E2688" s="476">
        <v>0</v>
      </c>
      <c r="F2688" s="6">
        <v>0</v>
      </c>
      <c r="G2688" s="6">
        <v>167.31</v>
      </c>
    </row>
    <row r="2689" ht="15.75" customHeight="1" spans="1:7">
      <c r="A2689" s="4" t="s">
        <v>6493</v>
      </c>
      <c r="B2689" s="5" t="s">
        <v>6494</v>
      </c>
      <c r="C2689" s="4" t="s">
        <v>99</v>
      </c>
      <c r="D2689" s="475">
        <v>64.71</v>
      </c>
      <c r="E2689" s="476">
        <v>0</v>
      </c>
      <c r="F2689" s="6">
        <v>0</v>
      </c>
      <c r="G2689" s="6">
        <v>161.41</v>
      </c>
    </row>
    <row r="2690" ht="15.75" customHeight="1" spans="1:7">
      <c r="A2690" s="4" t="s">
        <v>6495</v>
      </c>
      <c r="B2690" s="5" t="s">
        <v>6496</v>
      </c>
      <c r="C2690" s="4" t="s">
        <v>99</v>
      </c>
      <c r="D2690" s="475">
        <v>67.11</v>
      </c>
      <c r="E2690" s="476">
        <v>0</v>
      </c>
      <c r="F2690" s="6">
        <v>0</v>
      </c>
      <c r="G2690" s="6">
        <v>155.63</v>
      </c>
    </row>
    <row r="2691" ht="15.75" customHeight="1" spans="1:7">
      <c r="A2691" s="4" t="s">
        <v>6497</v>
      </c>
      <c r="B2691" s="5" t="s">
        <v>6498</v>
      </c>
      <c r="C2691" s="4" t="s">
        <v>99</v>
      </c>
      <c r="D2691" s="475">
        <v>68.39</v>
      </c>
      <c r="E2691" s="476">
        <v>0</v>
      </c>
      <c r="F2691" s="6">
        <v>0</v>
      </c>
      <c r="G2691" s="6">
        <v>152.72</v>
      </c>
    </row>
    <row r="2692" ht="15.75" customHeight="1" spans="1:7">
      <c r="A2692" s="4" t="s">
        <v>6499</v>
      </c>
      <c r="B2692" s="5" t="s">
        <v>6500</v>
      </c>
      <c r="C2692" s="4" t="s">
        <v>7</v>
      </c>
      <c r="D2692" s="475">
        <v>150</v>
      </c>
      <c r="E2692" s="476">
        <v>0.03632</v>
      </c>
      <c r="F2692" s="6">
        <v>1.9329</v>
      </c>
      <c r="G2692" s="6">
        <v>1</v>
      </c>
    </row>
    <row r="2693" ht="15.75" customHeight="1" spans="1:7">
      <c r="A2693" s="4" t="s">
        <v>6501</v>
      </c>
      <c r="B2693" s="5" t="s">
        <v>6502</v>
      </c>
      <c r="C2693" s="4" t="s">
        <v>7</v>
      </c>
      <c r="D2693" s="475">
        <v>148.26</v>
      </c>
      <c r="E2693" s="476">
        <v>0.03632</v>
      </c>
      <c r="F2693" s="6">
        <v>1.9329</v>
      </c>
      <c r="G2693" s="6">
        <v>1</v>
      </c>
    </row>
    <row r="2694" ht="15.75" customHeight="1" spans="1:7">
      <c r="A2694" s="4" t="s">
        <v>6503</v>
      </c>
      <c r="B2694" s="5" t="s">
        <v>6504</v>
      </c>
      <c r="C2694" s="4" t="s">
        <v>7</v>
      </c>
      <c r="D2694" s="475">
        <v>7.67</v>
      </c>
      <c r="E2694" s="476">
        <v>0.04367</v>
      </c>
      <c r="F2694" s="6">
        <v>0.0172</v>
      </c>
      <c r="G2694" s="6">
        <v>180</v>
      </c>
    </row>
    <row r="2695" ht="15.75" customHeight="1" spans="1:7">
      <c r="A2695" s="4" t="s">
        <v>6505</v>
      </c>
      <c r="B2695" s="5" t="s">
        <v>6506</v>
      </c>
      <c r="C2695" s="4" t="s">
        <v>7</v>
      </c>
      <c r="D2695" s="475">
        <v>17.01</v>
      </c>
      <c r="E2695" s="476">
        <v>0.04367</v>
      </c>
      <c r="F2695" s="6">
        <v>0.0172</v>
      </c>
      <c r="G2695" s="6">
        <v>180</v>
      </c>
    </row>
    <row r="2696" ht="15.75" customHeight="1" spans="1:7">
      <c r="A2696" s="4" t="s">
        <v>6507</v>
      </c>
      <c r="B2696" s="5" t="s">
        <v>6508</v>
      </c>
      <c r="C2696" s="4" t="s">
        <v>82</v>
      </c>
      <c r="D2696" s="475">
        <v>2572.21</v>
      </c>
      <c r="E2696" s="476">
        <v>0.04722</v>
      </c>
      <c r="F2696" s="6">
        <v>0.7255</v>
      </c>
      <c r="G2696" s="6">
        <v>1</v>
      </c>
    </row>
    <row r="2697" ht="15.75" customHeight="1" spans="1:7">
      <c r="A2697" s="4" t="s">
        <v>6509</v>
      </c>
      <c r="B2697" s="5" t="s">
        <v>6510</v>
      </c>
      <c r="C2697" s="4" t="s">
        <v>82</v>
      </c>
      <c r="D2697" s="475">
        <v>2480.21</v>
      </c>
      <c r="E2697" s="476">
        <v>0.04722</v>
      </c>
      <c r="F2697" s="6">
        <v>0.7255</v>
      </c>
      <c r="G2697" s="6">
        <v>1</v>
      </c>
    </row>
    <row r="2698" ht="15.75" customHeight="1" spans="1:7">
      <c r="A2698" s="4" t="s">
        <v>6511</v>
      </c>
      <c r="B2698" s="5" t="s">
        <v>6512</v>
      </c>
      <c r="C2698" s="4" t="s">
        <v>82</v>
      </c>
      <c r="D2698" s="475">
        <v>3058.32</v>
      </c>
      <c r="E2698" s="476">
        <v>0.04722</v>
      </c>
      <c r="F2698" s="6">
        <v>0.7255</v>
      </c>
      <c r="G2698" s="6">
        <v>1</v>
      </c>
    </row>
    <row r="2699" ht="15.75" customHeight="1" spans="1:7">
      <c r="A2699" s="4" t="s">
        <v>6513</v>
      </c>
      <c r="B2699" s="5" t="s">
        <v>6514</v>
      </c>
      <c r="C2699" s="4" t="s">
        <v>82</v>
      </c>
      <c r="D2699" s="475">
        <v>2955.42</v>
      </c>
      <c r="E2699" s="476">
        <v>0.04722</v>
      </c>
      <c r="F2699" s="6">
        <v>0.7255</v>
      </c>
      <c r="G2699" s="6">
        <v>1</v>
      </c>
    </row>
    <row r="2700" ht="15.75" customHeight="1" spans="1:7">
      <c r="A2700" s="4" t="s">
        <v>6515</v>
      </c>
      <c r="B2700" s="5" t="s">
        <v>6516</v>
      </c>
      <c r="C2700" s="4" t="s">
        <v>82</v>
      </c>
      <c r="D2700" s="475">
        <v>1995.61</v>
      </c>
      <c r="E2700" s="476">
        <v>0.04722</v>
      </c>
      <c r="F2700" s="6">
        <v>0.2229</v>
      </c>
      <c r="G2700" s="6">
        <v>1</v>
      </c>
    </row>
    <row r="2701" ht="15.75" customHeight="1" spans="1:7">
      <c r="A2701" s="4" t="s">
        <v>6517</v>
      </c>
      <c r="B2701" s="5" t="s">
        <v>6518</v>
      </c>
      <c r="C2701" s="4" t="s">
        <v>82</v>
      </c>
      <c r="D2701" s="475">
        <v>1903.61</v>
      </c>
      <c r="E2701" s="476">
        <v>0.04722</v>
      </c>
      <c r="F2701" s="6">
        <v>0.2229</v>
      </c>
      <c r="G2701" s="6">
        <v>1</v>
      </c>
    </row>
    <row r="2702" ht="15.75" customHeight="1" spans="1:7">
      <c r="A2702" s="4" t="s">
        <v>6519</v>
      </c>
      <c r="B2702" s="5" t="s">
        <v>6520</v>
      </c>
      <c r="C2702" s="4" t="s">
        <v>82</v>
      </c>
      <c r="D2702" s="475">
        <v>2481.72</v>
      </c>
      <c r="E2702" s="476">
        <v>0.04722</v>
      </c>
      <c r="F2702" s="6">
        <v>0.2229</v>
      </c>
      <c r="G2702" s="6">
        <v>1</v>
      </c>
    </row>
    <row r="2703" ht="15.75" customHeight="1" spans="1:7">
      <c r="A2703" s="4" t="s">
        <v>6521</v>
      </c>
      <c r="B2703" s="5" t="s">
        <v>6522</v>
      </c>
      <c r="C2703" s="4" t="s">
        <v>82</v>
      </c>
      <c r="D2703" s="475">
        <v>2378.82</v>
      </c>
      <c r="E2703" s="476">
        <v>0.04722</v>
      </c>
      <c r="F2703" s="6">
        <v>0.2229</v>
      </c>
      <c r="G2703" s="6">
        <v>1</v>
      </c>
    </row>
    <row r="2704" ht="15.75" customHeight="1" spans="1:7">
      <c r="A2704" s="4" t="s">
        <v>6523</v>
      </c>
      <c r="B2704" s="5" t="s">
        <v>6524</v>
      </c>
      <c r="C2704" s="4" t="s">
        <v>82</v>
      </c>
      <c r="D2704" s="475">
        <v>2973.25</v>
      </c>
      <c r="E2704" s="476">
        <v>0.04722</v>
      </c>
      <c r="F2704" s="6">
        <v>0.2229</v>
      </c>
      <c r="G2704" s="6">
        <v>1</v>
      </c>
    </row>
    <row r="2705" ht="15.75" customHeight="1" spans="1:7">
      <c r="A2705" s="4" t="s">
        <v>6525</v>
      </c>
      <c r="B2705" s="5" t="s">
        <v>6526</v>
      </c>
      <c r="C2705" s="4" t="s">
        <v>82</v>
      </c>
      <c r="D2705" s="475">
        <v>2858.33</v>
      </c>
      <c r="E2705" s="476">
        <v>0.04722</v>
      </c>
      <c r="F2705" s="6">
        <v>0.2229</v>
      </c>
      <c r="G2705" s="6">
        <v>1</v>
      </c>
    </row>
    <row r="2706" ht="15.75" customHeight="1" spans="1:7">
      <c r="A2706" s="4" t="s">
        <v>6527</v>
      </c>
      <c r="B2706" s="5" t="s">
        <v>6528</v>
      </c>
      <c r="C2706" s="4" t="s">
        <v>82</v>
      </c>
      <c r="D2706" s="475">
        <v>3459.37</v>
      </c>
      <c r="E2706" s="476">
        <v>0.04722</v>
      </c>
      <c r="F2706" s="6">
        <v>0.2229</v>
      </c>
      <c r="G2706" s="6">
        <v>1</v>
      </c>
    </row>
    <row r="2707" ht="15.75" customHeight="1" spans="1:7">
      <c r="A2707" s="4" t="s">
        <v>6529</v>
      </c>
      <c r="B2707" s="5" t="s">
        <v>6530</v>
      </c>
      <c r="C2707" s="4" t="s">
        <v>82</v>
      </c>
      <c r="D2707" s="475">
        <v>3333.54</v>
      </c>
      <c r="E2707" s="476">
        <v>0.04722</v>
      </c>
      <c r="F2707" s="6">
        <v>0.2229</v>
      </c>
      <c r="G2707" s="6">
        <v>1</v>
      </c>
    </row>
    <row r="2708" ht="15.75" customHeight="1" spans="1:7">
      <c r="A2708" s="4" t="s">
        <v>6531</v>
      </c>
      <c r="B2708" s="5" t="s">
        <v>6532</v>
      </c>
      <c r="C2708" s="4" t="s">
        <v>82</v>
      </c>
      <c r="D2708" s="475">
        <v>1110.03</v>
      </c>
      <c r="E2708" s="476">
        <v>0.04722</v>
      </c>
      <c r="F2708" s="6">
        <v>0.2229</v>
      </c>
      <c r="G2708" s="6">
        <v>1</v>
      </c>
    </row>
    <row r="2709" ht="15.75" customHeight="1" spans="1:7">
      <c r="A2709" s="4" t="s">
        <v>6533</v>
      </c>
      <c r="B2709" s="5" t="s">
        <v>6534</v>
      </c>
      <c r="C2709" s="4" t="s">
        <v>82</v>
      </c>
      <c r="D2709" s="475">
        <v>1059.37</v>
      </c>
      <c r="E2709" s="476">
        <v>0.04722</v>
      </c>
      <c r="F2709" s="6">
        <v>0.2229</v>
      </c>
      <c r="G2709" s="6">
        <v>1</v>
      </c>
    </row>
    <row r="2710" ht="15.75" customHeight="1" spans="1:7">
      <c r="A2710" s="4" t="s">
        <v>6535</v>
      </c>
      <c r="B2710" s="5" t="s">
        <v>6536</v>
      </c>
      <c r="C2710" s="4" t="s">
        <v>82</v>
      </c>
      <c r="D2710" s="475">
        <v>1406.8</v>
      </c>
      <c r="E2710" s="476">
        <v>0.04722</v>
      </c>
      <c r="F2710" s="6">
        <v>0.2229</v>
      </c>
      <c r="G2710" s="6">
        <v>1</v>
      </c>
    </row>
    <row r="2711" ht="15.75" customHeight="1" spans="1:7">
      <c r="A2711" s="4" t="s">
        <v>6537</v>
      </c>
      <c r="B2711" s="5" t="s">
        <v>6538</v>
      </c>
      <c r="C2711" s="4" t="s">
        <v>82</v>
      </c>
      <c r="D2711" s="475">
        <v>1349.54</v>
      </c>
      <c r="E2711" s="476">
        <v>0.04722</v>
      </c>
      <c r="F2711" s="6">
        <v>0.2229</v>
      </c>
      <c r="G2711" s="6">
        <v>1</v>
      </c>
    </row>
    <row r="2712" ht="15.75" customHeight="1" spans="1:7">
      <c r="A2712" s="4" t="s">
        <v>6539</v>
      </c>
      <c r="B2712" s="5" t="s">
        <v>6540</v>
      </c>
      <c r="C2712" s="4" t="s">
        <v>82</v>
      </c>
      <c r="D2712" s="475">
        <v>1043.87</v>
      </c>
      <c r="E2712" s="476">
        <v>0.04722</v>
      </c>
      <c r="F2712" s="6">
        <v>0.1115</v>
      </c>
      <c r="G2712" s="6">
        <v>1</v>
      </c>
    </row>
    <row r="2713" ht="15.75" customHeight="1" spans="1:7">
      <c r="A2713" s="4" t="s">
        <v>6541</v>
      </c>
      <c r="B2713" s="5" t="s">
        <v>6542</v>
      </c>
      <c r="C2713" s="4" t="s">
        <v>82</v>
      </c>
      <c r="D2713" s="475">
        <v>993.22</v>
      </c>
      <c r="E2713" s="476">
        <v>0.04722</v>
      </c>
      <c r="F2713" s="6">
        <v>0.1115</v>
      </c>
      <c r="G2713" s="6">
        <v>1</v>
      </c>
    </row>
    <row r="2714" ht="15.75" customHeight="1" spans="1:7">
      <c r="A2714" s="4" t="s">
        <v>6543</v>
      </c>
      <c r="B2714" s="5" t="s">
        <v>6544</v>
      </c>
      <c r="C2714" s="4" t="s">
        <v>82</v>
      </c>
      <c r="D2714" s="475">
        <v>1340.64</v>
      </c>
      <c r="E2714" s="476">
        <v>0.04722</v>
      </c>
      <c r="F2714" s="6">
        <v>0.1115</v>
      </c>
      <c r="G2714" s="6">
        <v>1</v>
      </c>
    </row>
    <row r="2715" ht="15.75" customHeight="1" spans="1:7">
      <c r="A2715" s="4" t="s">
        <v>6545</v>
      </c>
      <c r="B2715" s="5" t="s">
        <v>6546</v>
      </c>
      <c r="C2715" s="4" t="s">
        <v>82</v>
      </c>
      <c r="D2715" s="475">
        <v>1283.38</v>
      </c>
      <c r="E2715" s="476">
        <v>0.04722</v>
      </c>
      <c r="F2715" s="6">
        <v>0.1115</v>
      </c>
      <c r="G2715" s="6">
        <v>1</v>
      </c>
    </row>
    <row r="2716" ht="15.75" customHeight="1" spans="1:7">
      <c r="A2716" s="4" t="s">
        <v>6547</v>
      </c>
      <c r="B2716" s="5" t="s">
        <v>6548</v>
      </c>
      <c r="C2716" s="4" t="s">
        <v>82</v>
      </c>
      <c r="D2716" s="475">
        <v>1637.41</v>
      </c>
      <c r="E2716" s="476">
        <v>0.04722</v>
      </c>
      <c r="F2716" s="6">
        <v>0.1115</v>
      </c>
      <c r="G2716" s="6">
        <v>1</v>
      </c>
    </row>
    <row r="2717" ht="15.75" customHeight="1" spans="1:7">
      <c r="A2717" s="4" t="s">
        <v>6549</v>
      </c>
      <c r="B2717" s="5" t="s">
        <v>6550</v>
      </c>
      <c r="C2717" s="4" t="s">
        <v>82</v>
      </c>
      <c r="D2717" s="475">
        <v>1573.55</v>
      </c>
      <c r="E2717" s="476">
        <v>0.04722</v>
      </c>
      <c r="F2717" s="6">
        <v>0.1115</v>
      </c>
      <c r="G2717" s="6">
        <v>1</v>
      </c>
    </row>
    <row r="2718" ht="15.75" customHeight="1" spans="1:7">
      <c r="A2718" s="4" t="s">
        <v>6551</v>
      </c>
      <c r="B2718" s="5" t="s">
        <v>6552</v>
      </c>
      <c r="C2718" s="4" t="s">
        <v>82</v>
      </c>
      <c r="D2718" s="475">
        <v>1934.17</v>
      </c>
      <c r="E2718" s="476">
        <v>0.04722</v>
      </c>
      <c r="F2718" s="6">
        <v>0.1115</v>
      </c>
      <c r="G2718" s="6">
        <v>1</v>
      </c>
    </row>
    <row r="2719" ht="15.75" customHeight="1" spans="1:7">
      <c r="A2719" s="4" t="s">
        <v>6553</v>
      </c>
      <c r="B2719" s="5" t="s">
        <v>6554</v>
      </c>
      <c r="C2719" s="4" t="s">
        <v>82</v>
      </c>
      <c r="D2719" s="475">
        <v>1863.71</v>
      </c>
      <c r="E2719" s="476">
        <v>0.04722</v>
      </c>
      <c r="F2719" s="6">
        <v>0.1115</v>
      </c>
      <c r="G2719" s="6">
        <v>1</v>
      </c>
    </row>
    <row r="2720" ht="15.75" customHeight="1" spans="1:7">
      <c r="A2720" s="4" t="s">
        <v>6555</v>
      </c>
      <c r="B2720" s="5" t="s">
        <v>6556</v>
      </c>
      <c r="C2720" s="4" t="s">
        <v>82</v>
      </c>
      <c r="D2720" s="475">
        <v>206.01</v>
      </c>
      <c r="E2720" s="476">
        <v>0</v>
      </c>
      <c r="F2720" s="6">
        <v>0</v>
      </c>
      <c r="G2720" s="6">
        <v>1</v>
      </c>
    </row>
    <row r="2721" ht="15.75" customHeight="1" spans="1:7">
      <c r="A2721" s="4" t="s">
        <v>6557</v>
      </c>
      <c r="B2721" s="5" t="s">
        <v>6558</v>
      </c>
      <c r="C2721" s="4" t="s">
        <v>82</v>
      </c>
      <c r="D2721" s="475">
        <v>187.16</v>
      </c>
      <c r="E2721" s="476">
        <v>0</v>
      </c>
      <c r="F2721" s="6">
        <v>0</v>
      </c>
      <c r="G2721" s="6">
        <v>1</v>
      </c>
    </row>
    <row r="2722" ht="15.75" customHeight="1" spans="1:7">
      <c r="A2722" s="4" t="s">
        <v>6559</v>
      </c>
      <c r="B2722" s="5" t="s">
        <v>6560</v>
      </c>
      <c r="C2722" s="4" t="s">
        <v>82</v>
      </c>
      <c r="D2722" s="475">
        <v>206.01</v>
      </c>
      <c r="E2722" s="476">
        <v>0</v>
      </c>
      <c r="F2722" s="6">
        <v>0</v>
      </c>
      <c r="G2722" s="6">
        <v>1</v>
      </c>
    </row>
    <row r="2723" ht="15.75" customHeight="1" spans="1:7">
      <c r="A2723" s="4" t="s">
        <v>6561</v>
      </c>
      <c r="B2723" s="5" t="s">
        <v>6562</v>
      </c>
      <c r="C2723" s="4" t="s">
        <v>82</v>
      </c>
      <c r="D2723" s="475">
        <v>187.16</v>
      </c>
      <c r="E2723" s="476">
        <v>0</v>
      </c>
      <c r="F2723" s="6">
        <v>0</v>
      </c>
      <c r="G2723" s="6">
        <v>1</v>
      </c>
    </row>
    <row r="2724" ht="15.75" customHeight="1" spans="1:7">
      <c r="A2724" s="4" t="s">
        <v>6563</v>
      </c>
      <c r="B2724" s="5" t="s">
        <v>6564</v>
      </c>
      <c r="C2724" s="4" t="s">
        <v>82</v>
      </c>
      <c r="D2724" s="475">
        <v>258.79</v>
      </c>
      <c r="E2724" s="476">
        <v>0</v>
      </c>
      <c r="F2724" s="6">
        <v>0</v>
      </c>
      <c r="G2724" s="6">
        <v>1</v>
      </c>
    </row>
    <row r="2725" ht="15.75" customHeight="1" spans="1:7">
      <c r="A2725" s="4" t="s">
        <v>6565</v>
      </c>
      <c r="B2725" s="5" t="s">
        <v>6566</v>
      </c>
      <c r="C2725" s="4" t="s">
        <v>82</v>
      </c>
      <c r="D2725" s="475">
        <v>234.15</v>
      </c>
      <c r="E2725" s="476">
        <v>0</v>
      </c>
      <c r="F2725" s="6">
        <v>0</v>
      </c>
      <c r="G2725" s="6">
        <v>1</v>
      </c>
    </row>
    <row r="2726" ht="15.75" customHeight="1" spans="1:7">
      <c r="A2726" s="4" t="s">
        <v>6567</v>
      </c>
      <c r="B2726" s="5" t="s">
        <v>6568</v>
      </c>
      <c r="C2726" s="4" t="s">
        <v>82</v>
      </c>
      <c r="D2726" s="475">
        <v>258.79</v>
      </c>
      <c r="E2726" s="476">
        <v>0</v>
      </c>
      <c r="F2726" s="6">
        <v>0</v>
      </c>
      <c r="G2726" s="6">
        <v>1</v>
      </c>
    </row>
    <row r="2727" ht="15.75" customHeight="1" spans="1:7">
      <c r="A2727" s="4" t="s">
        <v>6569</v>
      </c>
      <c r="B2727" s="5" t="s">
        <v>6570</v>
      </c>
      <c r="C2727" s="4" t="s">
        <v>82</v>
      </c>
      <c r="D2727" s="475">
        <v>234.15</v>
      </c>
      <c r="E2727" s="476">
        <v>0</v>
      </c>
      <c r="F2727" s="6">
        <v>0</v>
      </c>
      <c r="G2727" s="6">
        <v>1</v>
      </c>
    </row>
    <row r="2728" ht="15.75" customHeight="1" spans="1:7">
      <c r="A2728" s="4" t="s">
        <v>6571</v>
      </c>
      <c r="B2728" s="5" t="s">
        <v>6572</v>
      </c>
      <c r="C2728" s="4" t="s">
        <v>82</v>
      </c>
      <c r="D2728" s="475">
        <v>22.66</v>
      </c>
      <c r="E2728" s="476">
        <v>0</v>
      </c>
      <c r="F2728" s="6">
        <v>0</v>
      </c>
      <c r="G2728" s="6">
        <v>1</v>
      </c>
    </row>
    <row r="2729" ht="15.75" customHeight="1" spans="1:7">
      <c r="A2729" s="4" t="s">
        <v>6573</v>
      </c>
      <c r="B2729" s="5" t="s">
        <v>6574</v>
      </c>
      <c r="C2729" s="4" t="s">
        <v>82</v>
      </c>
      <c r="D2729" s="475">
        <v>20</v>
      </c>
      <c r="E2729" s="476">
        <v>0</v>
      </c>
      <c r="F2729" s="6">
        <v>0</v>
      </c>
      <c r="G2729" s="6">
        <v>1</v>
      </c>
    </row>
    <row r="2730" ht="15.75" customHeight="1" spans="1:7">
      <c r="A2730" s="4" t="s">
        <v>6575</v>
      </c>
      <c r="B2730" s="5" t="s">
        <v>6576</v>
      </c>
      <c r="C2730" s="4" t="s">
        <v>82</v>
      </c>
      <c r="D2730" s="475">
        <v>23.68</v>
      </c>
      <c r="E2730" s="476">
        <v>0</v>
      </c>
      <c r="F2730" s="6">
        <v>0</v>
      </c>
      <c r="G2730" s="6">
        <v>1</v>
      </c>
    </row>
    <row r="2731" ht="15.75" customHeight="1" spans="1:7">
      <c r="A2731" s="4" t="s">
        <v>6577</v>
      </c>
      <c r="B2731" s="5" t="s">
        <v>6578</v>
      </c>
      <c r="C2731" s="4" t="s">
        <v>82</v>
      </c>
      <c r="D2731" s="475">
        <v>21.03</v>
      </c>
      <c r="E2731" s="476">
        <v>0</v>
      </c>
      <c r="F2731" s="6">
        <v>0</v>
      </c>
      <c r="G2731" s="6">
        <v>1</v>
      </c>
    </row>
    <row r="2732" ht="15.75" customHeight="1" spans="1:7">
      <c r="A2732" s="4" t="s">
        <v>6579</v>
      </c>
      <c r="B2732" s="5" t="s">
        <v>6580</v>
      </c>
      <c r="C2732" s="4" t="s">
        <v>82</v>
      </c>
      <c r="D2732" s="475">
        <v>146.78</v>
      </c>
      <c r="E2732" s="476">
        <v>0</v>
      </c>
      <c r="F2732" s="6">
        <v>0</v>
      </c>
      <c r="G2732" s="6">
        <v>1</v>
      </c>
    </row>
    <row r="2733" ht="15.75" customHeight="1" spans="1:7">
      <c r="A2733" s="4" t="s">
        <v>6581</v>
      </c>
      <c r="B2733" s="5" t="s">
        <v>6582</v>
      </c>
      <c r="C2733" s="4" t="s">
        <v>82</v>
      </c>
      <c r="D2733" s="475">
        <v>135.18</v>
      </c>
      <c r="E2733" s="476">
        <v>0</v>
      </c>
      <c r="F2733" s="6">
        <v>0</v>
      </c>
      <c r="G2733" s="6">
        <v>1</v>
      </c>
    </row>
    <row r="2734" ht="15.75" customHeight="1" spans="1:7">
      <c r="A2734" s="4" t="s">
        <v>6583</v>
      </c>
      <c r="B2734" s="5" t="s">
        <v>6584</v>
      </c>
      <c r="C2734" s="4" t="s">
        <v>82</v>
      </c>
      <c r="D2734" s="475">
        <v>4813.97</v>
      </c>
      <c r="E2734" s="476">
        <v>0</v>
      </c>
      <c r="F2734" s="6">
        <v>0</v>
      </c>
      <c r="G2734" s="6">
        <v>1</v>
      </c>
    </row>
    <row r="2735" ht="15.75" customHeight="1" spans="1:7">
      <c r="A2735" s="4" t="s">
        <v>6585</v>
      </c>
      <c r="B2735" s="5" t="s">
        <v>6586</v>
      </c>
      <c r="C2735" s="4" t="s">
        <v>82</v>
      </c>
      <c r="D2735" s="475">
        <v>4496.89</v>
      </c>
      <c r="E2735" s="476">
        <v>0</v>
      </c>
      <c r="F2735" s="6">
        <v>0</v>
      </c>
      <c r="G2735" s="6">
        <v>1</v>
      </c>
    </row>
    <row r="2736" ht="15.75" customHeight="1" spans="1:7">
      <c r="A2736" s="4" t="s">
        <v>6587</v>
      </c>
      <c r="B2736" s="5" t="s">
        <v>6588</v>
      </c>
      <c r="C2736" s="4" t="s">
        <v>82</v>
      </c>
      <c r="D2736" s="475">
        <v>5040.19</v>
      </c>
      <c r="E2736" s="476">
        <v>0</v>
      </c>
      <c r="F2736" s="6">
        <v>0</v>
      </c>
      <c r="G2736" s="6">
        <v>1</v>
      </c>
    </row>
    <row r="2737" ht="15.75" customHeight="1" spans="1:7">
      <c r="A2737" s="4" t="s">
        <v>6589</v>
      </c>
      <c r="B2737" s="5" t="s">
        <v>6590</v>
      </c>
      <c r="C2737" s="4" t="s">
        <v>82</v>
      </c>
      <c r="D2737" s="475">
        <v>4731.97</v>
      </c>
      <c r="E2737" s="476">
        <v>0</v>
      </c>
      <c r="F2737" s="6">
        <v>0</v>
      </c>
      <c r="G2737" s="6">
        <v>1</v>
      </c>
    </row>
    <row r="2738" ht="15.75" customHeight="1" spans="1:7">
      <c r="A2738" s="4" t="s">
        <v>6591</v>
      </c>
      <c r="B2738" s="5" t="s">
        <v>6592</v>
      </c>
      <c r="C2738" s="4" t="s">
        <v>82</v>
      </c>
      <c r="D2738" s="475">
        <v>4783.01</v>
      </c>
      <c r="E2738" s="476">
        <v>0</v>
      </c>
      <c r="F2738" s="6">
        <v>0</v>
      </c>
      <c r="G2738" s="6">
        <v>1</v>
      </c>
    </row>
    <row r="2739" ht="15.75" customHeight="1" spans="1:7">
      <c r="A2739" s="4" t="s">
        <v>6593</v>
      </c>
      <c r="B2739" s="5" t="s">
        <v>6594</v>
      </c>
      <c r="C2739" s="4" t="s">
        <v>82</v>
      </c>
      <c r="D2739" s="475">
        <v>4471.25</v>
      </c>
      <c r="E2739" s="476">
        <v>0</v>
      </c>
      <c r="F2739" s="6">
        <v>0</v>
      </c>
      <c r="G2739" s="6">
        <v>1</v>
      </c>
    </row>
    <row r="2740" ht="15.75" customHeight="1" spans="1:7">
      <c r="A2740" s="4" t="s">
        <v>6595</v>
      </c>
      <c r="B2740" s="5" t="s">
        <v>6596</v>
      </c>
      <c r="C2740" s="4" t="s">
        <v>82</v>
      </c>
      <c r="D2740" s="475">
        <v>5009.23</v>
      </c>
      <c r="E2740" s="476">
        <v>0</v>
      </c>
      <c r="F2740" s="6">
        <v>0</v>
      </c>
      <c r="G2740" s="6">
        <v>1</v>
      </c>
    </row>
    <row r="2741" ht="15.75" customHeight="1" spans="1:7">
      <c r="A2741" s="4" t="s">
        <v>6597</v>
      </c>
      <c r="B2741" s="5" t="s">
        <v>6598</v>
      </c>
      <c r="C2741" s="4" t="s">
        <v>82</v>
      </c>
      <c r="D2741" s="475">
        <v>4706.33</v>
      </c>
      <c r="E2741" s="476">
        <v>0</v>
      </c>
      <c r="F2741" s="6">
        <v>0</v>
      </c>
      <c r="G2741" s="6">
        <v>1</v>
      </c>
    </row>
    <row r="2742" ht="15.75" customHeight="1" spans="1:7">
      <c r="A2742" s="4" t="s">
        <v>6599</v>
      </c>
      <c r="B2742" s="5" t="s">
        <v>6600</v>
      </c>
      <c r="C2742" s="4" t="s">
        <v>82</v>
      </c>
      <c r="D2742" s="475">
        <v>5836.96</v>
      </c>
      <c r="E2742" s="476">
        <v>0</v>
      </c>
      <c r="F2742" s="6">
        <v>0</v>
      </c>
      <c r="G2742" s="6">
        <v>1</v>
      </c>
    </row>
    <row r="2743" ht="15.75" customHeight="1" spans="1:7">
      <c r="A2743" s="4" t="s">
        <v>6601</v>
      </c>
      <c r="B2743" s="5" t="s">
        <v>6602</v>
      </c>
      <c r="C2743" s="4" t="s">
        <v>82</v>
      </c>
      <c r="D2743" s="475">
        <v>5453.53</v>
      </c>
      <c r="E2743" s="476">
        <v>0</v>
      </c>
      <c r="F2743" s="6">
        <v>0</v>
      </c>
      <c r="G2743" s="6">
        <v>1</v>
      </c>
    </row>
    <row r="2744" ht="15.75" customHeight="1" spans="1:7">
      <c r="A2744" s="4" t="s">
        <v>6603</v>
      </c>
      <c r="B2744" s="5" t="s">
        <v>6604</v>
      </c>
      <c r="C2744" s="4" t="s">
        <v>82</v>
      </c>
      <c r="D2744" s="475">
        <v>6063.18</v>
      </c>
      <c r="E2744" s="476">
        <v>0</v>
      </c>
      <c r="F2744" s="6">
        <v>0</v>
      </c>
      <c r="G2744" s="6">
        <v>1</v>
      </c>
    </row>
    <row r="2745" ht="15.75" customHeight="1" spans="1:7">
      <c r="A2745" s="4" t="s">
        <v>6605</v>
      </c>
      <c r="B2745" s="5" t="s">
        <v>6606</v>
      </c>
      <c r="C2745" s="4" t="s">
        <v>82</v>
      </c>
      <c r="D2745" s="475">
        <v>5688.61</v>
      </c>
      <c r="E2745" s="476">
        <v>0</v>
      </c>
      <c r="F2745" s="6">
        <v>0</v>
      </c>
      <c r="G2745" s="6">
        <v>1</v>
      </c>
    </row>
    <row r="2746" ht="15.75" customHeight="1" spans="1:7">
      <c r="A2746" s="4" t="s">
        <v>6607</v>
      </c>
      <c r="B2746" s="5" t="s">
        <v>6608</v>
      </c>
      <c r="C2746" s="4" t="s">
        <v>82</v>
      </c>
      <c r="D2746" s="475">
        <v>6634.11</v>
      </c>
      <c r="E2746" s="476">
        <v>0</v>
      </c>
      <c r="F2746" s="6">
        <v>0</v>
      </c>
      <c r="G2746" s="6">
        <v>1</v>
      </c>
    </row>
    <row r="2747" ht="15.75" customHeight="1" spans="1:7">
      <c r="A2747" s="4" t="s">
        <v>6609</v>
      </c>
      <c r="B2747" s="5" t="s">
        <v>6610</v>
      </c>
      <c r="C2747" s="4" t="s">
        <v>82</v>
      </c>
      <c r="D2747" s="475">
        <v>6195.27</v>
      </c>
      <c r="E2747" s="476">
        <v>0</v>
      </c>
      <c r="F2747" s="6">
        <v>0</v>
      </c>
      <c r="G2747" s="6">
        <v>1</v>
      </c>
    </row>
    <row r="2748" ht="15.75" customHeight="1" spans="1:7">
      <c r="A2748" s="4" t="s">
        <v>6611</v>
      </c>
      <c r="B2748" s="5" t="s">
        <v>6612</v>
      </c>
      <c r="C2748" s="4" t="s">
        <v>82</v>
      </c>
      <c r="D2748" s="475">
        <v>6898.81</v>
      </c>
      <c r="E2748" s="476">
        <v>0</v>
      </c>
      <c r="F2748" s="6">
        <v>0</v>
      </c>
      <c r="G2748" s="6">
        <v>1</v>
      </c>
    </row>
    <row r="2749" ht="15.75" customHeight="1" spans="1:7">
      <c r="A2749" s="4" t="s">
        <v>6613</v>
      </c>
      <c r="B2749" s="5" t="s">
        <v>6614</v>
      </c>
      <c r="C2749" s="4" t="s">
        <v>82</v>
      </c>
      <c r="D2749" s="475">
        <v>6470.97</v>
      </c>
      <c r="E2749" s="476">
        <v>0</v>
      </c>
      <c r="F2749" s="6">
        <v>0</v>
      </c>
      <c r="G2749" s="6">
        <v>1</v>
      </c>
    </row>
    <row r="2750" ht="15.75" customHeight="1" spans="1:7">
      <c r="A2750" s="4" t="s">
        <v>6615</v>
      </c>
      <c r="B2750" s="5" t="s">
        <v>6616</v>
      </c>
      <c r="C2750" s="4" t="s">
        <v>82</v>
      </c>
      <c r="D2750" s="475">
        <v>5907.73</v>
      </c>
      <c r="E2750" s="476">
        <v>0</v>
      </c>
      <c r="F2750" s="6">
        <v>0</v>
      </c>
      <c r="G2750" s="6">
        <v>1</v>
      </c>
    </row>
    <row r="2751" ht="15.75" customHeight="1" spans="1:7">
      <c r="A2751" s="4" t="s">
        <v>6617</v>
      </c>
      <c r="B2751" s="5" t="s">
        <v>6618</v>
      </c>
      <c r="C2751" s="4" t="s">
        <v>82</v>
      </c>
      <c r="D2751" s="475">
        <v>5512.15</v>
      </c>
      <c r="E2751" s="476">
        <v>0</v>
      </c>
      <c r="F2751" s="6">
        <v>0</v>
      </c>
      <c r="G2751" s="6">
        <v>1</v>
      </c>
    </row>
    <row r="2752" ht="15.75" customHeight="1" spans="1:7">
      <c r="A2752" s="4" t="s">
        <v>6619</v>
      </c>
      <c r="B2752" s="5" t="s">
        <v>6620</v>
      </c>
      <c r="C2752" s="4" t="s">
        <v>82</v>
      </c>
      <c r="D2752" s="475">
        <v>6133.95</v>
      </c>
      <c r="E2752" s="476">
        <v>0</v>
      </c>
      <c r="F2752" s="6">
        <v>0</v>
      </c>
      <c r="G2752" s="6">
        <v>1</v>
      </c>
    </row>
    <row r="2753" ht="15.75" customHeight="1" spans="1:7">
      <c r="A2753" s="4" t="s">
        <v>6621</v>
      </c>
      <c r="B2753" s="5" t="s">
        <v>6622</v>
      </c>
      <c r="C2753" s="4" t="s">
        <v>82</v>
      </c>
      <c r="D2753" s="475">
        <v>5747.22</v>
      </c>
      <c r="E2753" s="476">
        <v>0</v>
      </c>
      <c r="F2753" s="6">
        <v>0</v>
      </c>
      <c r="G2753" s="6">
        <v>1</v>
      </c>
    </row>
    <row r="2754" ht="15.75" customHeight="1" spans="1:7">
      <c r="A2754" s="4" t="s">
        <v>6623</v>
      </c>
      <c r="B2754" s="5" t="s">
        <v>6624</v>
      </c>
      <c r="C2754" s="4" t="s">
        <v>82</v>
      </c>
      <c r="D2754" s="475">
        <v>5876.77</v>
      </c>
      <c r="E2754" s="476">
        <v>0</v>
      </c>
      <c r="F2754" s="6">
        <v>0</v>
      </c>
      <c r="G2754" s="6">
        <v>1</v>
      </c>
    </row>
    <row r="2755" ht="15.75" customHeight="1" spans="1:7">
      <c r="A2755" s="4" t="s">
        <v>6625</v>
      </c>
      <c r="B2755" s="5" t="s">
        <v>6626</v>
      </c>
      <c r="C2755" s="4" t="s">
        <v>82</v>
      </c>
      <c r="D2755" s="475">
        <v>5486.5</v>
      </c>
      <c r="E2755" s="476">
        <v>0</v>
      </c>
      <c r="F2755" s="6">
        <v>0</v>
      </c>
      <c r="G2755" s="6">
        <v>1</v>
      </c>
    </row>
    <row r="2756" ht="15.75" customHeight="1" spans="1:7">
      <c r="A2756" s="4" t="s">
        <v>6627</v>
      </c>
      <c r="B2756" s="5" t="s">
        <v>6628</v>
      </c>
      <c r="C2756" s="4" t="s">
        <v>82</v>
      </c>
      <c r="D2756" s="475">
        <v>6102.99</v>
      </c>
      <c r="E2756" s="476">
        <v>0</v>
      </c>
      <c r="F2756" s="6">
        <v>0</v>
      </c>
      <c r="G2756" s="6">
        <v>1</v>
      </c>
    </row>
    <row r="2757" ht="15.75" customHeight="1" spans="1:7">
      <c r="A2757" s="4" t="s">
        <v>6629</v>
      </c>
      <c r="B2757" s="5" t="s">
        <v>6630</v>
      </c>
      <c r="C2757" s="4" t="s">
        <v>82</v>
      </c>
      <c r="D2757" s="475">
        <v>5721.58</v>
      </c>
      <c r="E2757" s="476">
        <v>0</v>
      </c>
      <c r="F2757" s="6">
        <v>0</v>
      </c>
      <c r="G2757" s="6">
        <v>1</v>
      </c>
    </row>
    <row r="2758" ht="15.75" customHeight="1" spans="1:7">
      <c r="A2758" s="4" t="s">
        <v>6631</v>
      </c>
      <c r="B2758" s="5" t="s">
        <v>6632</v>
      </c>
      <c r="C2758" s="4" t="s">
        <v>82</v>
      </c>
      <c r="D2758" s="475">
        <v>6887.48</v>
      </c>
      <c r="E2758" s="476">
        <v>0</v>
      </c>
      <c r="F2758" s="6">
        <v>0</v>
      </c>
      <c r="G2758" s="6">
        <v>1</v>
      </c>
    </row>
    <row r="2759" ht="15.75" customHeight="1" spans="1:7">
      <c r="A2759" s="4" t="s">
        <v>6633</v>
      </c>
      <c r="B2759" s="5" t="s">
        <v>6634</v>
      </c>
      <c r="C2759" s="4" t="s">
        <v>82</v>
      </c>
      <c r="D2759" s="475">
        <v>6440.01</v>
      </c>
      <c r="E2759" s="476">
        <v>0</v>
      </c>
      <c r="F2759" s="6">
        <v>0</v>
      </c>
      <c r="G2759" s="6">
        <v>1</v>
      </c>
    </row>
    <row r="2760" ht="15.75" customHeight="1" spans="1:7">
      <c r="A2760" s="4" t="s">
        <v>6635</v>
      </c>
      <c r="B2760" s="5" t="s">
        <v>6636</v>
      </c>
      <c r="C2760" s="4" t="s">
        <v>82</v>
      </c>
      <c r="D2760" s="475">
        <v>7113.7</v>
      </c>
      <c r="E2760" s="476">
        <v>0</v>
      </c>
      <c r="F2760" s="6">
        <v>0</v>
      </c>
      <c r="G2760" s="6">
        <v>1</v>
      </c>
    </row>
    <row r="2761" ht="15.75" customHeight="1" spans="1:7">
      <c r="A2761" s="4" t="s">
        <v>6637</v>
      </c>
      <c r="B2761" s="5" t="s">
        <v>6638</v>
      </c>
      <c r="C2761" s="4" t="s">
        <v>82</v>
      </c>
      <c r="D2761" s="475">
        <v>6675.09</v>
      </c>
      <c r="E2761" s="476">
        <v>0</v>
      </c>
      <c r="F2761" s="6">
        <v>0</v>
      </c>
      <c r="G2761" s="6">
        <v>1</v>
      </c>
    </row>
    <row r="2762" ht="15.75" customHeight="1" spans="1:7">
      <c r="A2762" s="4" t="s">
        <v>6639</v>
      </c>
      <c r="B2762" s="5" t="s">
        <v>6640</v>
      </c>
      <c r="C2762" s="4" t="s">
        <v>82</v>
      </c>
      <c r="D2762" s="475">
        <v>7813.38</v>
      </c>
      <c r="E2762" s="476">
        <v>0</v>
      </c>
      <c r="F2762" s="6">
        <v>0</v>
      </c>
      <c r="G2762" s="6">
        <v>1</v>
      </c>
    </row>
    <row r="2763" ht="15.75" customHeight="1" spans="1:7">
      <c r="A2763" s="4" t="s">
        <v>6641</v>
      </c>
      <c r="B2763" s="5" t="s">
        <v>6642</v>
      </c>
      <c r="C2763" s="4" t="s">
        <v>82</v>
      </c>
      <c r="D2763" s="475">
        <v>7302.05</v>
      </c>
      <c r="E2763" s="476">
        <v>0</v>
      </c>
      <c r="F2763" s="6">
        <v>0</v>
      </c>
      <c r="G2763" s="6">
        <v>1</v>
      </c>
    </row>
    <row r="2764" ht="15.75" customHeight="1" spans="1:7">
      <c r="A2764" s="4" t="s">
        <v>6643</v>
      </c>
      <c r="B2764" s="5" t="s">
        <v>6644</v>
      </c>
      <c r="C2764" s="4" t="s">
        <v>82</v>
      </c>
      <c r="D2764" s="475">
        <v>8078.08</v>
      </c>
      <c r="E2764" s="476">
        <v>0</v>
      </c>
      <c r="F2764" s="6">
        <v>0</v>
      </c>
      <c r="G2764" s="6">
        <v>1</v>
      </c>
    </row>
    <row r="2765" ht="15.75" customHeight="1" spans="1:7">
      <c r="A2765" s="4" t="s">
        <v>6645</v>
      </c>
      <c r="B2765" s="5" t="s">
        <v>6646</v>
      </c>
      <c r="C2765" s="4" t="s">
        <v>82</v>
      </c>
      <c r="D2765" s="475">
        <v>7577.76</v>
      </c>
      <c r="E2765" s="476">
        <v>0</v>
      </c>
      <c r="F2765" s="6">
        <v>0</v>
      </c>
      <c r="G2765" s="6">
        <v>1</v>
      </c>
    </row>
    <row r="2766" ht="15.75" customHeight="1" spans="1:7">
      <c r="A2766" s="4" t="s">
        <v>6647</v>
      </c>
      <c r="B2766" s="5" t="s">
        <v>6648</v>
      </c>
      <c r="C2766" s="4" t="s">
        <v>82</v>
      </c>
      <c r="D2766" s="475">
        <v>6958.25</v>
      </c>
      <c r="E2766" s="476">
        <v>0</v>
      </c>
      <c r="F2766" s="6">
        <v>0</v>
      </c>
      <c r="G2766" s="6">
        <v>1</v>
      </c>
    </row>
    <row r="2767" ht="15.75" customHeight="1" spans="1:7">
      <c r="A2767" s="4" t="s">
        <v>6649</v>
      </c>
      <c r="B2767" s="5" t="s">
        <v>6650</v>
      </c>
      <c r="C2767" s="4" t="s">
        <v>82</v>
      </c>
      <c r="D2767" s="475">
        <v>6498.63</v>
      </c>
      <c r="E2767" s="476">
        <v>0</v>
      </c>
      <c r="F2767" s="6">
        <v>0</v>
      </c>
      <c r="G2767" s="6">
        <v>1</v>
      </c>
    </row>
    <row r="2768" ht="15.75" customHeight="1" spans="1:7">
      <c r="A2768" s="4" t="s">
        <v>6651</v>
      </c>
      <c r="B2768" s="5" t="s">
        <v>6652</v>
      </c>
      <c r="C2768" s="4" t="s">
        <v>82</v>
      </c>
      <c r="D2768" s="475">
        <v>7184.47</v>
      </c>
      <c r="E2768" s="476">
        <v>0</v>
      </c>
      <c r="F2768" s="6">
        <v>0</v>
      </c>
      <c r="G2768" s="6">
        <v>1</v>
      </c>
    </row>
    <row r="2769" ht="15.75" customHeight="1" spans="1:7">
      <c r="A2769" s="4" t="s">
        <v>6653</v>
      </c>
      <c r="B2769" s="5" t="s">
        <v>6654</v>
      </c>
      <c r="C2769" s="4" t="s">
        <v>82</v>
      </c>
      <c r="D2769" s="475">
        <v>6733.71</v>
      </c>
      <c r="E2769" s="476">
        <v>0</v>
      </c>
      <c r="F2769" s="6">
        <v>0</v>
      </c>
      <c r="G2769" s="6">
        <v>1</v>
      </c>
    </row>
    <row r="2770" ht="15.75" customHeight="1" spans="1:7">
      <c r="A2770" s="4" t="s">
        <v>6655</v>
      </c>
      <c r="B2770" s="5" t="s">
        <v>6656</v>
      </c>
      <c r="C2770" s="4" t="s">
        <v>82</v>
      </c>
      <c r="D2770" s="475">
        <v>6927.29</v>
      </c>
      <c r="E2770" s="476">
        <v>0</v>
      </c>
      <c r="F2770" s="6">
        <v>0</v>
      </c>
      <c r="G2770" s="6">
        <v>1</v>
      </c>
    </row>
    <row r="2771" ht="15.75" customHeight="1" spans="1:7">
      <c r="A2771" s="4" t="s">
        <v>6657</v>
      </c>
      <c r="B2771" s="5" t="s">
        <v>6658</v>
      </c>
      <c r="C2771" s="4" t="s">
        <v>82</v>
      </c>
      <c r="D2771" s="475">
        <v>6472.99</v>
      </c>
      <c r="E2771" s="476">
        <v>0</v>
      </c>
      <c r="F2771" s="6">
        <v>0</v>
      </c>
      <c r="G2771" s="6">
        <v>1</v>
      </c>
    </row>
    <row r="2772" ht="15.75" customHeight="1" spans="1:7">
      <c r="A2772" s="4" t="s">
        <v>6659</v>
      </c>
      <c r="B2772" s="5" t="s">
        <v>6660</v>
      </c>
      <c r="C2772" s="4" t="s">
        <v>82</v>
      </c>
      <c r="D2772" s="475">
        <v>7153.51</v>
      </c>
      <c r="E2772" s="476">
        <v>0</v>
      </c>
      <c r="F2772" s="6">
        <v>0</v>
      </c>
      <c r="G2772" s="6">
        <v>1</v>
      </c>
    </row>
    <row r="2773" ht="15.75" customHeight="1" spans="1:7">
      <c r="A2773" s="4" t="s">
        <v>6661</v>
      </c>
      <c r="B2773" s="5" t="s">
        <v>6662</v>
      </c>
      <c r="C2773" s="4" t="s">
        <v>82</v>
      </c>
      <c r="D2773" s="475">
        <v>6708.06</v>
      </c>
      <c r="E2773" s="476">
        <v>0</v>
      </c>
      <c r="F2773" s="6">
        <v>0</v>
      </c>
      <c r="G2773" s="6">
        <v>1</v>
      </c>
    </row>
    <row r="2774" ht="15.75" customHeight="1" spans="1:7">
      <c r="A2774" s="4" t="s">
        <v>6663</v>
      </c>
      <c r="B2774" s="5" t="s">
        <v>6664</v>
      </c>
      <c r="C2774" s="4" t="s">
        <v>82</v>
      </c>
      <c r="D2774" s="475">
        <v>7869.31</v>
      </c>
      <c r="E2774" s="476">
        <v>0</v>
      </c>
      <c r="F2774" s="6">
        <v>0</v>
      </c>
      <c r="G2774" s="6">
        <v>1</v>
      </c>
    </row>
    <row r="2775" ht="15.75" customHeight="1" spans="1:7">
      <c r="A2775" s="4" t="s">
        <v>6665</v>
      </c>
      <c r="B2775" s="5" t="s">
        <v>6666</v>
      </c>
      <c r="C2775" s="4" t="s">
        <v>82</v>
      </c>
      <c r="D2775" s="475">
        <v>7357.81</v>
      </c>
      <c r="E2775" s="476">
        <v>0</v>
      </c>
      <c r="F2775" s="6">
        <v>0</v>
      </c>
      <c r="G2775" s="6">
        <v>1</v>
      </c>
    </row>
    <row r="2776" ht="15.75" customHeight="1" spans="1:7">
      <c r="A2776" s="4" t="s">
        <v>6667</v>
      </c>
      <c r="B2776" s="5" t="s">
        <v>6668</v>
      </c>
      <c r="C2776" s="4" t="s">
        <v>82</v>
      </c>
      <c r="D2776" s="475">
        <v>8095.53</v>
      </c>
      <c r="E2776" s="476">
        <v>0</v>
      </c>
      <c r="F2776" s="6">
        <v>0</v>
      </c>
      <c r="G2776" s="6">
        <v>1</v>
      </c>
    </row>
    <row r="2777" ht="15.75" customHeight="1" spans="1:7">
      <c r="A2777" s="4" t="s">
        <v>6669</v>
      </c>
      <c r="B2777" s="5" t="s">
        <v>6670</v>
      </c>
      <c r="C2777" s="4" t="s">
        <v>82</v>
      </c>
      <c r="D2777" s="475">
        <v>7592.89</v>
      </c>
      <c r="E2777" s="476">
        <v>0</v>
      </c>
      <c r="F2777" s="6">
        <v>0</v>
      </c>
      <c r="G2777" s="6">
        <v>1</v>
      </c>
    </row>
    <row r="2778" ht="15.75" customHeight="1" spans="1:7">
      <c r="A2778" s="4" t="s">
        <v>6671</v>
      </c>
      <c r="B2778" s="5" t="s">
        <v>6672</v>
      </c>
      <c r="C2778" s="4" t="s">
        <v>82</v>
      </c>
      <c r="D2778" s="475">
        <v>8919.13</v>
      </c>
      <c r="E2778" s="476">
        <v>0</v>
      </c>
      <c r="F2778" s="6">
        <v>0</v>
      </c>
      <c r="G2778" s="6">
        <v>1</v>
      </c>
    </row>
    <row r="2779" ht="15.75" customHeight="1" spans="1:7">
      <c r="A2779" s="4" t="s">
        <v>6673</v>
      </c>
      <c r="B2779" s="5" t="s">
        <v>6674</v>
      </c>
      <c r="C2779" s="4" t="s">
        <v>82</v>
      </c>
      <c r="D2779" s="475">
        <v>8335.31</v>
      </c>
      <c r="E2779" s="476">
        <v>0</v>
      </c>
      <c r="F2779" s="6">
        <v>0</v>
      </c>
      <c r="G2779" s="6">
        <v>1</v>
      </c>
    </row>
    <row r="2780" ht="15.75" customHeight="1" spans="1:7">
      <c r="A2780" s="4" t="s">
        <v>6675</v>
      </c>
      <c r="B2780" s="5" t="s">
        <v>6676</v>
      </c>
      <c r="C2780" s="4" t="s">
        <v>82</v>
      </c>
      <c r="D2780" s="475">
        <v>9183.83</v>
      </c>
      <c r="E2780" s="476">
        <v>0</v>
      </c>
      <c r="F2780" s="6">
        <v>0</v>
      </c>
      <c r="G2780" s="6">
        <v>1</v>
      </c>
    </row>
    <row r="2781" ht="15.75" customHeight="1" spans="1:7">
      <c r="A2781" s="4" t="s">
        <v>6677</v>
      </c>
      <c r="B2781" s="5" t="s">
        <v>6678</v>
      </c>
      <c r="C2781" s="4" t="s">
        <v>82</v>
      </c>
      <c r="D2781" s="475">
        <v>8611.01</v>
      </c>
      <c r="E2781" s="476">
        <v>0</v>
      </c>
      <c r="F2781" s="6">
        <v>0</v>
      </c>
      <c r="G2781" s="6">
        <v>1</v>
      </c>
    </row>
    <row r="2782" ht="15.75" customHeight="1" spans="1:7">
      <c r="A2782" s="4" t="s">
        <v>6679</v>
      </c>
      <c r="B2782" s="5" t="s">
        <v>6680</v>
      </c>
      <c r="C2782" s="4" t="s">
        <v>82</v>
      </c>
      <c r="D2782" s="475">
        <v>7940.08</v>
      </c>
      <c r="E2782" s="476">
        <v>0</v>
      </c>
      <c r="F2782" s="6">
        <v>0</v>
      </c>
      <c r="G2782" s="6">
        <v>1</v>
      </c>
    </row>
    <row r="2783" ht="15.75" customHeight="1" spans="1:7">
      <c r="A2783" s="4" t="s">
        <v>6681</v>
      </c>
      <c r="B2783" s="5" t="s">
        <v>6682</v>
      </c>
      <c r="C2783" s="4" t="s">
        <v>82</v>
      </c>
      <c r="D2783" s="475">
        <v>7416.43</v>
      </c>
      <c r="E2783" s="476">
        <v>0</v>
      </c>
      <c r="F2783" s="6">
        <v>0</v>
      </c>
      <c r="G2783" s="6">
        <v>1</v>
      </c>
    </row>
    <row r="2784" ht="15.75" customHeight="1" spans="1:7">
      <c r="A2784" s="4" t="s">
        <v>6683</v>
      </c>
      <c r="B2784" s="5" t="s">
        <v>6684</v>
      </c>
      <c r="C2784" s="4" t="s">
        <v>82</v>
      </c>
      <c r="D2784" s="475">
        <v>8166.31</v>
      </c>
      <c r="E2784" s="476">
        <v>0</v>
      </c>
      <c r="F2784" s="6">
        <v>0</v>
      </c>
      <c r="G2784" s="6">
        <v>1</v>
      </c>
    </row>
    <row r="2785" ht="15.75" customHeight="1" spans="1:7">
      <c r="A2785" s="4" t="s">
        <v>6685</v>
      </c>
      <c r="B2785" s="5" t="s">
        <v>6686</v>
      </c>
      <c r="C2785" s="4" t="s">
        <v>82</v>
      </c>
      <c r="D2785" s="475">
        <v>7651.51</v>
      </c>
      <c r="E2785" s="476">
        <v>0</v>
      </c>
      <c r="F2785" s="6">
        <v>0</v>
      </c>
      <c r="G2785" s="6">
        <v>1</v>
      </c>
    </row>
    <row r="2786" ht="15.75" customHeight="1" spans="1:7">
      <c r="A2786" s="4" t="s">
        <v>6687</v>
      </c>
      <c r="B2786" s="5" t="s">
        <v>6688</v>
      </c>
      <c r="C2786" s="4" t="s">
        <v>82</v>
      </c>
      <c r="D2786" s="475">
        <v>7909.12</v>
      </c>
      <c r="E2786" s="476">
        <v>0</v>
      </c>
      <c r="F2786" s="6">
        <v>0</v>
      </c>
      <c r="G2786" s="6">
        <v>1</v>
      </c>
    </row>
    <row r="2787" ht="15.75" customHeight="1" spans="1:7">
      <c r="A2787" s="4" t="s">
        <v>6689</v>
      </c>
      <c r="B2787" s="5" t="s">
        <v>6690</v>
      </c>
      <c r="C2787" s="4" t="s">
        <v>82</v>
      </c>
      <c r="D2787" s="475">
        <v>7390.79</v>
      </c>
      <c r="E2787" s="476">
        <v>0</v>
      </c>
      <c r="F2787" s="6">
        <v>0</v>
      </c>
      <c r="G2787" s="6">
        <v>1</v>
      </c>
    </row>
    <row r="2788" ht="15.75" customHeight="1" spans="1:7">
      <c r="A2788" s="4" t="s">
        <v>6691</v>
      </c>
      <c r="B2788" s="5" t="s">
        <v>6692</v>
      </c>
      <c r="C2788" s="4" t="s">
        <v>82</v>
      </c>
      <c r="D2788" s="475">
        <v>8135.34</v>
      </c>
      <c r="E2788" s="476">
        <v>0</v>
      </c>
      <c r="F2788" s="6">
        <v>0</v>
      </c>
      <c r="G2788" s="6">
        <v>1</v>
      </c>
    </row>
    <row r="2789" ht="15.75" customHeight="1" spans="1:7">
      <c r="A2789" s="4" t="s">
        <v>6693</v>
      </c>
      <c r="B2789" s="5" t="s">
        <v>6694</v>
      </c>
      <c r="C2789" s="4" t="s">
        <v>82</v>
      </c>
      <c r="D2789" s="475">
        <v>7625.87</v>
      </c>
      <c r="E2789" s="476">
        <v>0</v>
      </c>
      <c r="F2789" s="6">
        <v>0</v>
      </c>
      <c r="G2789" s="6">
        <v>1</v>
      </c>
    </row>
    <row r="2790" ht="15.75" customHeight="1" spans="1:7">
      <c r="A2790" s="4" t="s">
        <v>6695</v>
      </c>
      <c r="B2790" s="5" t="s">
        <v>6696</v>
      </c>
      <c r="C2790" s="4" t="s">
        <v>82</v>
      </c>
      <c r="D2790" s="475">
        <v>8919.83</v>
      </c>
      <c r="E2790" s="476">
        <v>0</v>
      </c>
      <c r="F2790" s="6">
        <v>0</v>
      </c>
      <c r="G2790" s="6">
        <v>1</v>
      </c>
    </row>
    <row r="2791" ht="15.75" customHeight="1" spans="1:7">
      <c r="A2791" s="4" t="s">
        <v>6697</v>
      </c>
      <c r="B2791" s="5" t="s">
        <v>6698</v>
      </c>
      <c r="C2791" s="4" t="s">
        <v>82</v>
      </c>
      <c r="D2791" s="475">
        <v>8344.3</v>
      </c>
      <c r="E2791" s="476">
        <v>0</v>
      </c>
      <c r="F2791" s="6">
        <v>0</v>
      </c>
      <c r="G2791" s="6">
        <v>1</v>
      </c>
    </row>
    <row r="2792" ht="15.75" customHeight="1" spans="1:7">
      <c r="A2792" s="4" t="s">
        <v>6699</v>
      </c>
      <c r="B2792" s="5" t="s">
        <v>6700</v>
      </c>
      <c r="C2792" s="4" t="s">
        <v>82</v>
      </c>
      <c r="D2792" s="475">
        <v>9146.05</v>
      </c>
      <c r="E2792" s="476">
        <v>0</v>
      </c>
      <c r="F2792" s="6">
        <v>0</v>
      </c>
      <c r="G2792" s="6">
        <v>1</v>
      </c>
    </row>
    <row r="2793" ht="15.75" customHeight="1" spans="1:7">
      <c r="A2793" s="4" t="s">
        <v>6701</v>
      </c>
      <c r="B2793" s="5" t="s">
        <v>6702</v>
      </c>
      <c r="C2793" s="4" t="s">
        <v>82</v>
      </c>
      <c r="D2793" s="475">
        <v>8579.38</v>
      </c>
      <c r="E2793" s="476">
        <v>0</v>
      </c>
      <c r="F2793" s="6">
        <v>0</v>
      </c>
      <c r="G2793" s="6">
        <v>1</v>
      </c>
    </row>
    <row r="2794" ht="15.75" customHeight="1" spans="1:7">
      <c r="A2794" s="4" t="s">
        <v>6703</v>
      </c>
      <c r="B2794" s="5" t="s">
        <v>6704</v>
      </c>
      <c r="C2794" s="4" t="s">
        <v>82</v>
      </c>
      <c r="D2794" s="475">
        <v>10098.41</v>
      </c>
      <c r="E2794" s="476">
        <v>0</v>
      </c>
      <c r="F2794" s="6">
        <v>0</v>
      </c>
      <c r="G2794" s="6">
        <v>1</v>
      </c>
    </row>
    <row r="2795" ht="15.75" customHeight="1" spans="1:7">
      <c r="A2795" s="4" t="s">
        <v>6705</v>
      </c>
      <c r="B2795" s="5" t="s">
        <v>6706</v>
      </c>
      <c r="C2795" s="4" t="s">
        <v>82</v>
      </c>
      <c r="D2795" s="475">
        <v>9442.09</v>
      </c>
      <c r="E2795" s="476">
        <v>0</v>
      </c>
      <c r="F2795" s="6">
        <v>0</v>
      </c>
      <c r="G2795" s="6">
        <v>1</v>
      </c>
    </row>
    <row r="2796" ht="15.75" customHeight="1" spans="1:7">
      <c r="A2796" s="4" t="s">
        <v>6707</v>
      </c>
      <c r="B2796" s="5" t="s">
        <v>6708</v>
      </c>
      <c r="C2796" s="4" t="s">
        <v>82</v>
      </c>
      <c r="D2796" s="475">
        <v>10363.11</v>
      </c>
      <c r="E2796" s="476">
        <v>0</v>
      </c>
      <c r="F2796" s="6">
        <v>0</v>
      </c>
      <c r="G2796" s="6">
        <v>1</v>
      </c>
    </row>
    <row r="2797" ht="15.75" customHeight="1" spans="1:7">
      <c r="A2797" s="4" t="s">
        <v>6709</v>
      </c>
      <c r="B2797" s="5" t="s">
        <v>6710</v>
      </c>
      <c r="C2797" s="4" t="s">
        <v>82</v>
      </c>
      <c r="D2797" s="475">
        <v>9717.8</v>
      </c>
      <c r="E2797" s="476">
        <v>0</v>
      </c>
      <c r="F2797" s="6">
        <v>0</v>
      </c>
      <c r="G2797" s="6">
        <v>1</v>
      </c>
    </row>
    <row r="2798" ht="15.75" customHeight="1" spans="1:7">
      <c r="A2798" s="4" t="s">
        <v>6711</v>
      </c>
      <c r="B2798" s="5" t="s">
        <v>6712</v>
      </c>
      <c r="C2798" s="4" t="s">
        <v>82</v>
      </c>
      <c r="D2798" s="475">
        <v>8990.6</v>
      </c>
      <c r="E2798" s="476">
        <v>0</v>
      </c>
      <c r="F2798" s="6">
        <v>0</v>
      </c>
      <c r="G2798" s="6">
        <v>1</v>
      </c>
    </row>
    <row r="2799" ht="15.75" customHeight="1" spans="1:7">
      <c r="A2799" s="4" t="s">
        <v>6713</v>
      </c>
      <c r="B2799" s="5" t="s">
        <v>6714</v>
      </c>
      <c r="C2799" s="4" t="s">
        <v>82</v>
      </c>
      <c r="D2799" s="475">
        <v>8402.92</v>
      </c>
      <c r="E2799" s="476">
        <v>0</v>
      </c>
      <c r="F2799" s="6">
        <v>0</v>
      </c>
      <c r="G2799" s="6">
        <v>1</v>
      </c>
    </row>
    <row r="2800" ht="15.75" customHeight="1" spans="1:7">
      <c r="A2800" s="4" t="s">
        <v>6715</v>
      </c>
      <c r="B2800" s="5" t="s">
        <v>6716</v>
      </c>
      <c r="C2800" s="4" t="s">
        <v>82</v>
      </c>
      <c r="D2800" s="475">
        <v>9216.83</v>
      </c>
      <c r="E2800" s="476">
        <v>0</v>
      </c>
      <c r="F2800" s="6">
        <v>0</v>
      </c>
      <c r="G2800" s="6">
        <v>1</v>
      </c>
    </row>
    <row r="2801" ht="15.75" customHeight="1" spans="1:7">
      <c r="A2801" s="4" t="s">
        <v>6717</v>
      </c>
      <c r="B2801" s="5" t="s">
        <v>6718</v>
      </c>
      <c r="C2801" s="4" t="s">
        <v>82</v>
      </c>
      <c r="D2801" s="475">
        <v>8638</v>
      </c>
      <c r="E2801" s="476">
        <v>0</v>
      </c>
      <c r="F2801" s="6">
        <v>0</v>
      </c>
      <c r="G2801" s="6">
        <v>1</v>
      </c>
    </row>
    <row r="2802" ht="15.75" customHeight="1" spans="1:7">
      <c r="A2802" s="4" t="s">
        <v>6719</v>
      </c>
      <c r="B2802" s="5" t="s">
        <v>6720</v>
      </c>
      <c r="C2802" s="4" t="s">
        <v>82</v>
      </c>
      <c r="D2802" s="475">
        <v>8959.64</v>
      </c>
      <c r="E2802" s="476">
        <v>0</v>
      </c>
      <c r="F2802" s="6">
        <v>0</v>
      </c>
      <c r="G2802" s="6">
        <v>1</v>
      </c>
    </row>
    <row r="2803" ht="15.75" customHeight="1" spans="1:7">
      <c r="A2803" s="4" t="s">
        <v>6721</v>
      </c>
      <c r="B2803" s="5" t="s">
        <v>6722</v>
      </c>
      <c r="C2803" s="4" t="s">
        <v>82</v>
      </c>
      <c r="D2803" s="475">
        <v>8377.27</v>
      </c>
      <c r="E2803" s="476">
        <v>0</v>
      </c>
      <c r="F2803" s="6">
        <v>0</v>
      </c>
      <c r="G2803" s="6">
        <v>1</v>
      </c>
    </row>
    <row r="2804" ht="15.75" customHeight="1" spans="1:7">
      <c r="A2804" s="4" t="s">
        <v>6723</v>
      </c>
      <c r="B2804" s="5" t="s">
        <v>6724</v>
      </c>
      <c r="C2804" s="4" t="s">
        <v>82</v>
      </c>
      <c r="D2804" s="475">
        <v>9185.86</v>
      </c>
      <c r="E2804" s="476">
        <v>0</v>
      </c>
      <c r="F2804" s="6">
        <v>0</v>
      </c>
      <c r="G2804" s="6">
        <v>1</v>
      </c>
    </row>
    <row r="2805" ht="15.75" customHeight="1" spans="1:7">
      <c r="A2805" s="4" t="s">
        <v>6725</v>
      </c>
      <c r="B2805" s="5" t="s">
        <v>6726</v>
      </c>
      <c r="C2805" s="4" t="s">
        <v>82</v>
      </c>
      <c r="D2805" s="475">
        <v>8612.35</v>
      </c>
      <c r="E2805" s="476">
        <v>0</v>
      </c>
      <c r="F2805" s="6">
        <v>0</v>
      </c>
      <c r="G2805" s="6">
        <v>1</v>
      </c>
    </row>
    <row r="2806" ht="15.75" customHeight="1" spans="1:7">
      <c r="A2806" s="4" t="s">
        <v>6727</v>
      </c>
      <c r="B2806" s="5" t="s">
        <v>6728</v>
      </c>
      <c r="C2806" s="4" t="s">
        <v>82</v>
      </c>
      <c r="D2806" s="475">
        <v>3703.48</v>
      </c>
      <c r="E2806" s="476">
        <v>0</v>
      </c>
      <c r="F2806" s="6">
        <v>0</v>
      </c>
      <c r="G2806" s="6">
        <v>1</v>
      </c>
    </row>
    <row r="2807" ht="15.75" customHeight="1" spans="1:7">
      <c r="A2807" s="4" t="s">
        <v>6729</v>
      </c>
      <c r="B2807" s="5" t="s">
        <v>6730</v>
      </c>
      <c r="C2807" s="4" t="s">
        <v>82</v>
      </c>
      <c r="D2807" s="475">
        <v>3430.43</v>
      </c>
      <c r="E2807" s="476">
        <v>0</v>
      </c>
      <c r="F2807" s="6">
        <v>0</v>
      </c>
      <c r="G2807" s="6">
        <v>1</v>
      </c>
    </row>
    <row r="2808" ht="15.75" customHeight="1" spans="1:7">
      <c r="A2808" s="4" t="s">
        <v>6731</v>
      </c>
      <c r="B2808" s="5" t="s">
        <v>6732</v>
      </c>
      <c r="C2808" s="4" t="s">
        <v>82</v>
      </c>
      <c r="D2808" s="475">
        <v>3655.97</v>
      </c>
      <c r="E2808" s="476">
        <v>0</v>
      </c>
      <c r="F2808" s="6">
        <v>0</v>
      </c>
      <c r="G2808" s="6">
        <v>1</v>
      </c>
    </row>
    <row r="2809" ht="15.75" customHeight="1" spans="1:7">
      <c r="A2809" s="4" t="s">
        <v>6733</v>
      </c>
      <c r="B2809" s="5" t="s">
        <v>6734</v>
      </c>
      <c r="C2809" s="4" t="s">
        <v>82</v>
      </c>
      <c r="D2809" s="475">
        <v>3395</v>
      </c>
      <c r="E2809" s="476">
        <v>0</v>
      </c>
      <c r="F2809" s="6">
        <v>0</v>
      </c>
      <c r="G2809" s="6">
        <v>1</v>
      </c>
    </row>
    <row r="2810" ht="15.75" customHeight="1" spans="1:7">
      <c r="A2810" s="4" t="s">
        <v>6735</v>
      </c>
      <c r="B2810" s="5" t="s">
        <v>6736</v>
      </c>
      <c r="C2810" s="4" t="s">
        <v>82</v>
      </c>
      <c r="D2810" s="475">
        <v>3613.21</v>
      </c>
      <c r="E2810" s="476">
        <v>0</v>
      </c>
      <c r="F2810" s="6">
        <v>0</v>
      </c>
      <c r="G2810" s="6">
        <v>1</v>
      </c>
    </row>
    <row r="2811" ht="15.75" customHeight="1" spans="1:7">
      <c r="A2811" s="4" t="s">
        <v>6737</v>
      </c>
      <c r="B2811" s="5" t="s">
        <v>6738</v>
      </c>
      <c r="C2811" s="4" t="s">
        <v>82</v>
      </c>
      <c r="D2811" s="475">
        <v>3363.11</v>
      </c>
      <c r="E2811" s="476">
        <v>0</v>
      </c>
      <c r="F2811" s="6">
        <v>0</v>
      </c>
      <c r="G2811" s="6">
        <v>1</v>
      </c>
    </row>
    <row r="2812" ht="15.75" customHeight="1" spans="1:7">
      <c r="A2812" s="4" t="s">
        <v>6739</v>
      </c>
      <c r="B2812" s="5" t="s">
        <v>6740</v>
      </c>
      <c r="C2812" s="4" t="s">
        <v>82</v>
      </c>
      <c r="D2812" s="475">
        <v>3560.95</v>
      </c>
      <c r="E2812" s="476">
        <v>0</v>
      </c>
      <c r="F2812" s="6">
        <v>0</v>
      </c>
      <c r="G2812" s="6">
        <v>1</v>
      </c>
    </row>
    <row r="2813" ht="15.75" customHeight="1" spans="1:7">
      <c r="A2813" s="4" t="s">
        <v>6741</v>
      </c>
      <c r="B2813" s="5" t="s">
        <v>6742</v>
      </c>
      <c r="C2813" s="4" t="s">
        <v>82</v>
      </c>
      <c r="D2813" s="475">
        <v>3324.14</v>
      </c>
      <c r="E2813" s="476">
        <v>0</v>
      </c>
      <c r="F2813" s="6">
        <v>0</v>
      </c>
      <c r="G2813" s="6">
        <v>1</v>
      </c>
    </row>
    <row r="2814" ht="15.75" customHeight="1" spans="1:7">
      <c r="A2814" s="4" t="s">
        <v>6743</v>
      </c>
      <c r="B2814" s="5" t="s">
        <v>6744</v>
      </c>
      <c r="C2814" s="4" t="s">
        <v>82</v>
      </c>
      <c r="D2814" s="475">
        <v>4879.32</v>
      </c>
      <c r="E2814" s="476">
        <v>0</v>
      </c>
      <c r="F2814" s="6">
        <v>0</v>
      </c>
      <c r="G2814" s="6">
        <v>1</v>
      </c>
    </row>
    <row r="2815" ht="15.75" customHeight="1" spans="1:7">
      <c r="A2815" s="4" t="s">
        <v>6745</v>
      </c>
      <c r="B2815" s="5" t="s">
        <v>6746</v>
      </c>
      <c r="C2815" s="4" t="s">
        <v>82</v>
      </c>
      <c r="D2815" s="475">
        <v>4539.82</v>
      </c>
      <c r="E2815" s="476">
        <v>0</v>
      </c>
      <c r="F2815" s="6">
        <v>0</v>
      </c>
      <c r="G2815" s="6">
        <v>1</v>
      </c>
    </row>
    <row r="2816" ht="15.75" customHeight="1" spans="1:7">
      <c r="A2816" s="4" t="s">
        <v>6747</v>
      </c>
      <c r="B2816" s="5" t="s">
        <v>6748</v>
      </c>
      <c r="C2816" s="4" t="s">
        <v>82</v>
      </c>
      <c r="D2816" s="475">
        <v>4831.81</v>
      </c>
      <c r="E2816" s="476">
        <v>0</v>
      </c>
      <c r="F2816" s="6">
        <v>0</v>
      </c>
      <c r="G2816" s="6">
        <v>1</v>
      </c>
    </row>
    <row r="2817" ht="15.75" customHeight="1" spans="1:7">
      <c r="A2817" s="4" t="s">
        <v>6749</v>
      </c>
      <c r="B2817" s="5" t="s">
        <v>6750</v>
      </c>
      <c r="C2817" s="4" t="s">
        <v>82</v>
      </c>
      <c r="D2817" s="475">
        <v>4504.39</v>
      </c>
      <c r="E2817" s="476">
        <v>0</v>
      </c>
      <c r="F2817" s="6">
        <v>0</v>
      </c>
      <c r="G2817" s="6">
        <v>1</v>
      </c>
    </row>
    <row r="2818" ht="15.75" customHeight="1" spans="1:7">
      <c r="A2818" s="4" t="s">
        <v>6751</v>
      </c>
      <c r="B2818" s="5" t="s">
        <v>6752</v>
      </c>
      <c r="C2818" s="4" t="s">
        <v>82</v>
      </c>
      <c r="D2818" s="475">
        <v>4789.05</v>
      </c>
      <c r="E2818" s="476">
        <v>0</v>
      </c>
      <c r="F2818" s="6">
        <v>0</v>
      </c>
      <c r="G2818" s="6">
        <v>1</v>
      </c>
    </row>
    <row r="2819" ht="15.75" customHeight="1" spans="1:7">
      <c r="A2819" s="4" t="s">
        <v>6753</v>
      </c>
      <c r="B2819" s="5" t="s">
        <v>6754</v>
      </c>
      <c r="C2819" s="4" t="s">
        <v>82</v>
      </c>
      <c r="D2819" s="475">
        <v>4472.5</v>
      </c>
      <c r="E2819" s="476">
        <v>0</v>
      </c>
      <c r="F2819" s="6">
        <v>0</v>
      </c>
      <c r="G2819" s="6">
        <v>1</v>
      </c>
    </row>
    <row r="2820" ht="15.75" customHeight="1" spans="1:7">
      <c r="A2820" s="4" t="s">
        <v>6755</v>
      </c>
      <c r="B2820" s="5" t="s">
        <v>6756</v>
      </c>
      <c r="C2820" s="4" t="s">
        <v>82</v>
      </c>
      <c r="D2820" s="475">
        <v>4926.83</v>
      </c>
      <c r="E2820" s="476">
        <v>0</v>
      </c>
      <c r="F2820" s="6">
        <v>0</v>
      </c>
      <c r="G2820" s="6">
        <v>1</v>
      </c>
    </row>
    <row r="2821" ht="15.75" customHeight="1" spans="1:7">
      <c r="A2821" s="4" t="s">
        <v>6757</v>
      </c>
      <c r="B2821" s="5" t="s">
        <v>6758</v>
      </c>
      <c r="C2821" s="4" t="s">
        <v>82</v>
      </c>
      <c r="D2821" s="475">
        <v>4575.25</v>
      </c>
      <c r="E2821" s="476">
        <v>0</v>
      </c>
      <c r="F2821" s="6">
        <v>0</v>
      </c>
      <c r="G2821" s="6">
        <v>1</v>
      </c>
    </row>
    <row r="2822" ht="15.75" customHeight="1" spans="1:7">
      <c r="A2822" s="4" t="s">
        <v>6759</v>
      </c>
      <c r="B2822" s="5" t="s">
        <v>6760</v>
      </c>
      <c r="C2822" s="4" t="s">
        <v>82</v>
      </c>
      <c r="D2822" s="475">
        <v>5870.37</v>
      </c>
      <c r="E2822" s="476">
        <v>0</v>
      </c>
      <c r="F2822" s="6">
        <v>0</v>
      </c>
      <c r="G2822" s="6">
        <v>1</v>
      </c>
    </row>
    <row r="2823" ht="15.75" customHeight="1" spans="1:7">
      <c r="A2823" s="4" t="s">
        <v>6761</v>
      </c>
      <c r="B2823" s="5" t="s">
        <v>6762</v>
      </c>
      <c r="C2823" s="4" t="s">
        <v>82</v>
      </c>
      <c r="D2823" s="475">
        <v>5464.41</v>
      </c>
      <c r="E2823" s="476">
        <v>0</v>
      </c>
      <c r="F2823" s="6">
        <v>0</v>
      </c>
      <c r="G2823" s="6">
        <v>1</v>
      </c>
    </row>
    <row r="2824" ht="15.75" customHeight="1" spans="1:7">
      <c r="A2824" s="4" t="s">
        <v>6763</v>
      </c>
      <c r="B2824" s="5" t="s">
        <v>6764</v>
      </c>
      <c r="C2824" s="4" t="s">
        <v>82</v>
      </c>
      <c r="D2824" s="475">
        <v>5822.85</v>
      </c>
      <c r="E2824" s="476">
        <v>0</v>
      </c>
      <c r="F2824" s="6">
        <v>0</v>
      </c>
      <c r="G2824" s="6">
        <v>1</v>
      </c>
    </row>
    <row r="2825" ht="15.75" customHeight="1" spans="1:7">
      <c r="A2825" s="4" t="s">
        <v>6765</v>
      </c>
      <c r="B2825" s="5" t="s">
        <v>6766</v>
      </c>
      <c r="C2825" s="4" t="s">
        <v>82</v>
      </c>
      <c r="D2825" s="475">
        <v>5428.98</v>
      </c>
      <c r="E2825" s="476">
        <v>0</v>
      </c>
      <c r="F2825" s="6">
        <v>0</v>
      </c>
      <c r="G2825" s="6">
        <v>1</v>
      </c>
    </row>
    <row r="2826" ht="15.75" customHeight="1" spans="1:7">
      <c r="A2826" s="4" t="s">
        <v>6767</v>
      </c>
      <c r="B2826" s="5" t="s">
        <v>6768</v>
      </c>
      <c r="C2826" s="4" t="s">
        <v>82</v>
      </c>
      <c r="D2826" s="475">
        <v>5780.09</v>
      </c>
      <c r="E2826" s="476">
        <v>0</v>
      </c>
      <c r="F2826" s="6">
        <v>0</v>
      </c>
      <c r="G2826" s="6">
        <v>1</v>
      </c>
    </row>
    <row r="2827" ht="15.75" customHeight="1" spans="1:7">
      <c r="A2827" s="4" t="s">
        <v>6769</v>
      </c>
      <c r="B2827" s="5" t="s">
        <v>6770</v>
      </c>
      <c r="C2827" s="4" t="s">
        <v>82</v>
      </c>
      <c r="D2827" s="475">
        <v>5397.1</v>
      </c>
      <c r="E2827" s="476">
        <v>0</v>
      </c>
      <c r="F2827" s="6">
        <v>0</v>
      </c>
      <c r="G2827" s="6">
        <v>1</v>
      </c>
    </row>
    <row r="2828" ht="15.75" customHeight="1" spans="1:7">
      <c r="A2828" s="4" t="s">
        <v>6771</v>
      </c>
      <c r="B2828" s="5" t="s">
        <v>6772</v>
      </c>
      <c r="C2828" s="4" t="s">
        <v>82</v>
      </c>
      <c r="D2828" s="475">
        <v>5727.83</v>
      </c>
      <c r="E2828" s="476">
        <v>0</v>
      </c>
      <c r="F2828" s="6">
        <v>0</v>
      </c>
      <c r="G2828" s="6">
        <v>1</v>
      </c>
    </row>
    <row r="2829" ht="15.75" customHeight="1" spans="1:7">
      <c r="A2829" s="4" t="s">
        <v>6773</v>
      </c>
      <c r="B2829" s="5" t="s">
        <v>6774</v>
      </c>
      <c r="C2829" s="4" t="s">
        <v>82</v>
      </c>
      <c r="D2829" s="475">
        <v>5358.12</v>
      </c>
      <c r="E2829" s="476">
        <v>0</v>
      </c>
      <c r="F2829" s="6">
        <v>0</v>
      </c>
      <c r="G2829" s="6">
        <v>1</v>
      </c>
    </row>
    <row r="2830" ht="15.75" customHeight="1" spans="1:7">
      <c r="A2830" s="4" t="s">
        <v>6775</v>
      </c>
      <c r="B2830" s="5" t="s">
        <v>6776</v>
      </c>
      <c r="C2830" s="4" t="s">
        <v>82</v>
      </c>
      <c r="D2830" s="475">
        <v>7107.83</v>
      </c>
      <c r="E2830" s="476">
        <v>0</v>
      </c>
      <c r="F2830" s="6">
        <v>0</v>
      </c>
      <c r="G2830" s="6">
        <v>1</v>
      </c>
    </row>
    <row r="2831" ht="15.75" customHeight="1" spans="1:7">
      <c r="A2831" s="4" t="s">
        <v>6777</v>
      </c>
      <c r="B2831" s="5" t="s">
        <v>6778</v>
      </c>
      <c r="C2831" s="4" t="s">
        <v>82</v>
      </c>
      <c r="D2831" s="475">
        <v>6635.42</v>
      </c>
      <c r="E2831" s="476">
        <v>0</v>
      </c>
      <c r="F2831" s="6">
        <v>0</v>
      </c>
      <c r="G2831" s="6">
        <v>1</v>
      </c>
    </row>
    <row r="2832" ht="15.75" customHeight="1" spans="1:7">
      <c r="A2832" s="4" t="s">
        <v>6779</v>
      </c>
      <c r="B2832" s="5" t="s">
        <v>6780</v>
      </c>
      <c r="C2832" s="4" t="s">
        <v>82</v>
      </c>
      <c r="D2832" s="475">
        <v>7060.32</v>
      </c>
      <c r="E2832" s="476">
        <v>0</v>
      </c>
      <c r="F2832" s="6">
        <v>0</v>
      </c>
      <c r="G2832" s="6">
        <v>1</v>
      </c>
    </row>
    <row r="2833" ht="15.75" customHeight="1" spans="1:7">
      <c r="A2833" s="4" t="s">
        <v>6781</v>
      </c>
      <c r="B2833" s="5" t="s">
        <v>6782</v>
      </c>
      <c r="C2833" s="4" t="s">
        <v>82</v>
      </c>
      <c r="D2833" s="475">
        <v>6599.99</v>
      </c>
      <c r="E2833" s="476">
        <v>0</v>
      </c>
      <c r="F2833" s="6">
        <v>0</v>
      </c>
      <c r="G2833" s="6">
        <v>1</v>
      </c>
    </row>
    <row r="2834" ht="15.75" customHeight="1" spans="1:7">
      <c r="A2834" s="4" t="s">
        <v>6783</v>
      </c>
      <c r="B2834" s="5" t="s">
        <v>6784</v>
      </c>
      <c r="C2834" s="4" t="s">
        <v>82</v>
      </c>
      <c r="D2834" s="475">
        <v>7017.56</v>
      </c>
      <c r="E2834" s="476">
        <v>0</v>
      </c>
      <c r="F2834" s="6">
        <v>0</v>
      </c>
      <c r="G2834" s="6">
        <v>1</v>
      </c>
    </row>
    <row r="2835" ht="15.75" customHeight="1" spans="1:7">
      <c r="A2835" s="4" t="s">
        <v>6785</v>
      </c>
      <c r="B2835" s="5" t="s">
        <v>6786</v>
      </c>
      <c r="C2835" s="4" t="s">
        <v>82</v>
      </c>
      <c r="D2835" s="475">
        <v>6568.11</v>
      </c>
      <c r="E2835" s="476">
        <v>0</v>
      </c>
      <c r="F2835" s="6">
        <v>0</v>
      </c>
      <c r="G2835" s="6">
        <v>1</v>
      </c>
    </row>
    <row r="2836" ht="15.75" customHeight="1" spans="1:7">
      <c r="A2836" s="4" t="s">
        <v>6787</v>
      </c>
      <c r="B2836" s="5" t="s">
        <v>6788</v>
      </c>
      <c r="C2836" s="4" t="s">
        <v>82</v>
      </c>
      <c r="D2836" s="475">
        <v>6965.3</v>
      </c>
      <c r="E2836" s="476">
        <v>0</v>
      </c>
      <c r="F2836" s="6">
        <v>0</v>
      </c>
      <c r="G2836" s="6">
        <v>1</v>
      </c>
    </row>
    <row r="2837" ht="15.75" customHeight="1" spans="1:7">
      <c r="A2837" s="4" t="s">
        <v>6789</v>
      </c>
      <c r="B2837" s="5" t="s">
        <v>6790</v>
      </c>
      <c r="C2837" s="4" t="s">
        <v>82</v>
      </c>
      <c r="D2837" s="475">
        <v>6529.13</v>
      </c>
      <c r="E2837" s="476">
        <v>0</v>
      </c>
      <c r="F2837" s="6">
        <v>0</v>
      </c>
      <c r="G2837" s="6">
        <v>1</v>
      </c>
    </row>
    <row r="2838" ht="15.75" customHeight="1" spans="1:7">
      <c r="A2838" s="4" t="s">
        <v>6791</v>
      </c>
      <c r="B2838" s="5" t="s">
        <v>6792</v>
      </c>
      <c r="C2838" s="4" t="s">
        <v>82</v>
      </c>
      <c r="D2838" s="475">
        <v>7102.91</v>
      </c>
      <c r="E2838" s="476">
        <v>0</v>
      </c>
      <c r="F2838" s="6">
        <v>0</v>
      </c>
      <c r="G2838" s="6">
        <v>1</v>
      </c>
    </row>
    <row r="2839" ht="15.75" customHeight="1" spans="1:7">
      <c r="A2839" s="4" t="s">
        <v>6793</v>
      </c>
      <c r="B2839" s="5" t="s">
        <v>6794</v>
      </c>
      <c r="C2839" s="4" t="s">
        <v>82</v>
      </c>
      <c r="D2839" s="475">
        <v>6829.86</v>
      </c>
      <c r="E2839" s="476">
        <v>0</v>
      </c>
      <c r="F2839" s="6">
        <v>0</v>
      </c>
      <c r="G2839" s="6">
        <v>1</v>
      </c>
    </row>
    <row r="2840" ht="15.75" customHeight="1" spans="1:7">
      <c r="A2840" s="4" t="s">
        <v>6795</v>
      </c>
      <c r="B2840" s="5" t="s">
        <v>6796</v>
      </c>
      <c r="C2840" s="4" t="s">
        <v>82</v>
      </c>
      <c r="D2840" s="475">
        <v>8100.64</v>
      </c>
      <c r="E2840" s="476">
        <v>0</v>
      </c>
      <c r="F2840" s="6">
        <v>0</v>
      </c>
      <c r="G2840" s="6">
        <v>1</v>
      </c>
    </row>
    <row r="2841" ht="15.75" customHeight="1" spans="1:7">
      <c r="A2841" s="4" t="s">
        <v>6797</v>
      </c>
      <c r="B2841" s="5" t="s">
        <v>6798</v>
      </c>
      <c r="C2841" s="4" t="s">
        <v>82</v>
      </c>
      <c r="D2841" s="475">
        <v>7573.86</v>
      </c>
      <c r="E2841" s="476">
        <v>0</v>
      </c>
      <c r="F2841" s="6">
        <v>0</v>
      </c>
      <c r="G2841" s="6">
        <v>1</v>
      </c>
    </row>
    <row r="2842" ht="15.75" customHeight="1" spans="1:7">
      <c r="A2842" s="4" t="s">
        <v>6799</v>
      </c>
      <c r="B2842" s="5" t="s">
        <v>6800</v>
      </c>
      <c r="C2842" s="4" t="s">
        <v>82</v>
      </c>
      <c r="D2842" s="475">
        <v>8057.88</v>
      </c>
      <c r="E2842" s="476">
        <v>0</v>
      </c>
      <c r="F2842" s="6">
        <v>0</v>
      </c>
      <c r="G2842" s="6">
        <v>1</v>
      </c>
    </row>
    <row r="2843" ht="15.75" customHeight="1" spans="1:7">
      <c r="A2843" s="4" t="s">
        <v>6801</v>
      </c>
      <c r="B2843" s="5" t="s">
        <v>6802</v>
      </c>
      <c r="C2843" s="4" t="s">
        <v>82</v>
      </c>
      <c r="D2843" s="475">
        <v>7541.98</v>
      </c>
      <c r="E2843" s="476">
        <v>0</v>
      </c>
      <c r="F2843" s="6">
        <v>0</v>
      </c>
      <c r="G2843" s="6">
        <v>1</v>
      </c>
    </row>
    <row r="2844" ht="15.75" customHeight="1" spans="1:7">
      <c r="A2844" s="4" t="s">
        <v>6803</v>
      </c>
      <c r="B2844" s="5" t="s">
        <v>6804</v>
      </c>
      <c r="C2844" s="4" t="s">
        <v>82</v>
      </c>
      <c r="D2844" s="475">
        <v>8005.62</v>
      </c>
      <c r="E2844" s="476">
        <v>0</v>
      </c>
      <c r="F2844" s="6">
        <v>0</v>
      </c>
      <c r="G2844" s="6">
        <v>1</v>
      </c>
    </row>
    <row r="2845" ht="15.75" customHeight="1" spans="1:7">
      <c r="A2845" s="4" t="s">
        <v>6805</v>
      </c>
      <c r="B2845" s="5" t="s">
        <v>6806</v>
      </c>
      <c r="C2845" s="4" t="s">
        <v>82</v>
      </c>
      <c r="D2845" s="475">
        <v>7503.01</v>
      </c>
      <c r="E2845" s="476">
        <v>0</v>
      </c>
      <c r="F2845" s="6">
        <v>0</v>
      </c>
      <c r="G2845" s="6">
        <v>1</v>
      </c>
    </row>
    <row r="2846" ht="15.75" customHeight="1" spans="1:7">
      <c r="A2846" s="4" t="s">
        <v>6807</v>
      </c>
      <c r="B2846" s="5" t="s">
        <v>6808</v>
      </c>
      <c r="C2846" s="4" t="s">
        <v>82</v>
      </c>
      <c r="D2846" s="475">
        <v>1624.87</v>
      </c>
      <c r="E2846" s="476">
        <v>0</v>
      </c>
      <c r="F2846" s="6">
        <v>0</v>
      </c>
      <c r="G2846" s="6">
        <v>1</v>
      </c>
    </row>
    <row r="2847" ht="15.75" customHeight="1" spans="1:7">
      <c r="A2847" s="4" t="s">
        <v>6809</v>
      </c>
      <c r="B2847" s="5" t="s">
        <v>6810</v>
      </c>
      <c r="C2847" s="4" t="s">
        <v>82</v>
      </c>
      <c r="D2847" s="475">
        <v>1454.51</v>
      </c>
      <c r="E2847" s="476">
        <v>0</v>
      </c>
      <c r="F2847" s="6">
        <v>0</v>
      </c>
      <c r="G2847" s="6">
        <v>1</v>
      </c>
    </row>
    <row r="2848" ht="15.75" customHeight="1" spans="1:7">
      <c r="A2848" s="4" t="s">
        <v>6811</v>
      </c>
      <c r="B2848" s="5" t="s">
        <v>6812</v>
      </c>
      <c r="C2848" s="4" t="s">
        <v>82</v>
      </c>
      <c r="D2848" s="475">
        <v>1596.36</v>
      </c>
      <c r="E2848" s="476">
        <v>0</v>
      </c>
      <c r="F2848" s="6">
        <v>0</v>
      </c>
      <c r="G2848" s="6">
        <v>1</v>
      </c>
    </row>
    <row r="2849" ht="15.75" customHeight="1" spans="1:7">
      <c r="A2849" s="4" t="s">
        <v>6813</v>
      </c>
      <c r="B2849" s="5" t="s">
        <v>6814</v>
      </c>
      <c r="C2849" s="4" t="s">
        <v>82</v>
      </c>
      <c r="D2849" s="475">
        <v>1433.25</v>
      </c>
      <c r="E2849" s="476">
        <v>0</v>
      </c>
      <c r="F2849" s="6">
        <v>0</v>
      </c>
      <c r="G2849" s="6">
        <v>1</v>
      </c>
    </row>
    <row r="2850" ht="15.75" customHeight="1" spans="1:7">
      <c r="A2850" s="4" t="s">
        <v>6815</v>
      </c>
      <c r="B2850" s="5" t="s">
        <v>6816</v>
      </c>
      <c r="C2850" s="4" t="s">
        <v>82</v>
      </c>
      <c r="D2850" s="475">
        <v>2188.18</v>
      </c>
      <c r="E2850" s="476">
        <v>0</v>
      </c>
      <c r="F2850" s="6">
        <v>0</v>
      </c>
      <c r="G2850" s="6">
        <v>1</v>
      </c>
    </row>
    <row r="2851" ht="15.75" customHeight="1" spans="1:7">
      <c r="A2851" s="4" t="s">
        <v>6817</v>
      </c>
      <c r="B2851" s="5" t="s">
        <v>6818</v>
      </c>
      <c r="C2851" s="4" t="s">
        <v>82</v>
      </c>
      <c r="D2851" s="475">
        <v>1953.79</v>
      </c>
      <c r="E2851" s="476">
        <v>0</v>
      </c>
      <c r="F2851" s="6">
        <v>0</v>
      </c>
      <c r="G2851" s="6">
        <v>1</v>
      </c>
    </row>
    <row r="2852" ht="15.75" customHeight="1" spans="1:7">
      <c r="A2852" s="4" t="s">
        <v>6819</v>
      </c>
      <c r="B2852" s="5" t="s">
        <v>6820</v>
      </c>
      <c r="C2852" s="4" t="s">
        <v>82</v>
      </c>
      <c r="D2852" s="475">
        <v>2819.66</v>
      </c>
      <c r="E2852" s="476">
        <v>0</v>
      </c>
      <c r="F2852" s="6">
        <v>0</v>
      </c>
      <c r="G2852" s="6">
        <v>1</v>
      </c>
    </row>
    <row r="2853" ht="15.75" customHeight="1" spans="1:7">
      <c r="A2853" s="4" t="s">
        <v>6821</v>
      </c>
      <c r="B2853" s="5" t="s">
        <v>6822</v>
      </c>
      <c r="C2853" s="4" t="s">
        <v>82</v>
      </c>
      <c r="D2853" s="475">
        <v>2524.86</v>
      </c>
      <c r="E2853" s="476">
        <v>0</v>
      </c>
      <c r="F2853" s="6">
        <v>0</v>
      </c>
      <c r="G2853" s="6">
        <v>1</v>
      </c>
    </row>
    <row r="2854" ht="15.75" customHeight="1" spans="1:7">
      <c r="A2854" s="4" t="s">
        <v>6823</v>
      </c>
      <c r="B2854" s="5" t="s">
        <v>6824</v>
      </c>
      <c r="C2854" s="4" t="s">
        <v>82</v>
      </c>
      <c r="D2854" s="475">
        <v>3359.46</v>
      </c>
      <c r="E2854" s="476">
        <v>0</v>
      </c>
      <c r="F2854" s="6">
        <v>0</v>
      </c>
      <c r="G2854" s="6">
        <v>1</v>
      </c>
    </row>
    <row r="2855" ht="15.75" customHeight="1" spans="1:7">
      <c r="A2855" s="4" t="s">
        <v>6825</v>
      </c>
      <c r="B2855" s="5" t="s">
        <v>6826</v>
      </c>
      <c r="C2855" s="4" t="s">
        <v>82</v>
      </c>
      <c r="D2855" s="475">
        <v>3018.74</v>
      </c>
      <c r="E2855" s="476">
        <v>0</v>
      </c>
      <c r="F2855" s="6">
        <v>0</v>
      </c>
      <c r="G2855" s="6">
        <v>1</v>
      </c>
    </row>
    <row r="2856" ht="15.75" customHeight="1" spans="1:7">
      <c r="A2856" s="4" t="s">
        <v>6827</v>
      </c>
      <c r="B2856" s="5" t="s">
        <v>6828</v>
      </c>
      <c r="C2856" s="4" t="s">
        <v>82</v>
      </c>
      <c r="D2856" s="475">
        <v>4311.4</v>
      </c>
      <c r="E2856" s="476">
        <v>0</v>
      </c>
      <c r="F2856" s="6">
        <v>0</v>
      </c>
      <c r="G2856" s="6">
        <v>1</v>
      </c>
    </row>
    <row r="2857" ht="15.75" customHeight="1" spans="1:7">
      <c r="A2857" s="4" t="s">
        <v>6829</v>
      </c>
      <c r="B2857" s="5" t="s">
        <v>6830</v>
      </c>
      <c r="C2857" s="4" t="s">
        <v>82</v>
      </c>
      <c r="D2857" s="475">
        <v>3899.4</v>
      </c>
      <c r="E2857" s="476">
        <v>0</v>
      </c>
      <c r="F2857" s="6">
        <v>0</v>
      </c>
      <c r="G2857" s="6">
        <v>1</v>
      </c>
    </row>
    <row r="2858" ht="15.75" customHeight="1" spans="1:7">
      <c r="A2858" s="4" t="s">
        <v>6831</v>
      </c>
      <c r="B2858" s="5" t="s">
        <v>6832</v>
      </c>
      <c r="C2858" s="4" t="s">
        <v>82</v>
      </c>
      <c r="D2858" s="475">
        <v>1940.5</v>
      </c>
      <c r="E2858" s="476">
        <v>0</v>
      </c>
      <c r="F2858" s="6">
        <v>0</v>
      </c>
      <c r="G2858" s="6">
        <v>1</v>
      </c>
    </row>
    <row r="2859" ht="15.75" customHeight="1" spans="1:7">
      <c r="A2859" s="4" t="s">
        <v>6833</v>
      </c>
      <c r="B2859" s="5" t="s">
        <v>6834</v>
      </c>
      <c r="C2859" s="4" t="s">
        <v>82</v>
      </c>
      <c r="D2859" s="475">
        <v>1737.52</v>
      </c>
      <c r="E2859" s="476">
        <v>0</v>
      </c>
      <c r="F2859" s="6">
        <v>0</v>
      </c>
      <c r="G2859" s="6">
        <v>1</v>
      </c>
    </row>
    <row r="2860" ht="15.75" customHeight="1" spans="1:7">
      <c r="A2860" s="4" t="s">
        <v>6835</v>
      </c>
      <c r="B2860" s="5" t="s">
        <v>6836</v>
      </c>
      <c r="C2860" s="4" t="s">
        <v>82</v>
      </c>
      <c r="D2860" s="475">
        <v>1907.24</v>
      </c>
      <c r="E2860" s="476">
        <v>0</v>
      </c>
      <c r="F2860" s="6">
        <v>0</v>
      </c>
      <c r="G2860" s="6">
        <v>1</v>
      </c>
    </row>
    <row r="2861" ht="15.75" customHeight="1" spans="1:7">
      <c r="A2861" s="4" t="s">
        <v>6837</v>
      </c>
      <c r="B2861" s="5" t="s">
        <v>6838</v>
      </c>
      <c r="C2861" s="4" t="s">
        <v>82</v>
      </c>
      <c r="D2861" s="475">
        <v>1712.72</v>
      </c>
      <c r="E2861" s="476">
        <v>0</v>
      </c>
      <c r="F2861" s="6">
        <v>0</v>
      </c>
      <c r="G2861" s="6">
        <v>1</v>
      </c>
    </row>
    <row r="2862" ht="15.75" customHeight="1" spans="1:7">
      <c r="A2862" s="4" t="s">
        <v>6839</v>
      </c>
      <c r="B2862" s="5" t="s">
        <v>6840</v>
      </c>
      <c r="C2862" s="4" t="s">
        <v>82</v>
      </c>
      <c r="D2862" s="475">
        <v>2551.05</v>
      </c>
      <c r="E2862" s="476">
        <v>0</v>
      </c>
      <c r="F2862" s="6">
        <v>0</v>
      </c>
      <c r="G2862" s="6">
        <v>1</v>
      </c>
    </row>
    <row r="2863" ht="15.75" customHeight="1" spans="1:7">
      <c r="A2863" s="4" t="s">
        <v>6841</v>
      </c>
      <c r="B2863" s="5" t="s">
        <v>6842</v>
      </c>
      <c r="C2863" s="4" t="s">
        <v>82</v>
      </c>
      <c r="D2863" s="475">
        <v>2276.79</v>
      </c>
      <c r="E2863" s="476">
        <v>0</v>
      </c>
      <c r="F2863" s="6">
        <v>0</v>
      </c>
      <c r="G2863" s="6">
        <v>1</v>
      </c>
    </row>
    <row r="2864" ht="15.75" customHeight="1" spans="1:7">
      <c r="A2864" s="4" t="s">
        <v>6843</v>
      </c>
      <c r="B2864" s="5" t="s">
        <v>6844</v>
      </c>
      <c r="C2864" s="4" t="s">
        <v>82</v>
      </c>
      <c r="D2864" s="475">
        <v>3207.03</v>
      </c>
      <c r="E2864" s="476">
        <v>0</v>
      </c>
      <c r="F2864" s="6">
        <v>0</v>
      </c>
      <c r="G2864" s="6">
        <v>1</v>
      </c>
    </row>
    <row r="2865" ht="15.75" customHeight="1" spans="1:7">
      <c r="A2865" s="4" t="s">
        <v>6845</v>
      </c>
      <c r="B2865" s="5" t="s">
        <v>6846</v>
      </c>
      <c r="C2865" s="4" t="s">
        <v>82</v>
      </c>
      <c r="D2865" s="475">
        <v>2869.94</v>
      </c>
      <c r="E2865" s="476">
        <v>0</v>
      </c>
      <c r="F2865" s="6">
        <v>0</v>
      </c>
      <c r="G2865" s="6">
        <v>1</v>
      </c>
    </row>
    <row r="2866" ht="15.75" customHeight="1" spans="1:7">
      <c r="A2866" s="4" t="s">
        <v>6847</v>
      </c>
      <c r="B2866" s="5" t="s">
        <v>6848</v>
      </c>
      <c r="C2866" s="4" t="s">
        <v>82</v>
      </c>
      <c r="D2866" s="475">
        <v>3776.06</v>
      </c>
      <c r="E2866" s="476">
        <v>0</v>
      </c>
      <c r="F2866" s="6">
        <v>0</v>
      </c>
      <c r="G2866" s="6">
        <v>1</v>
      </c>
    </row>
    <row r="2867" ht="15.75" customHeight="1" spans="1:7">
      <c r="A2867" s="4" t="s">
        <v>6849</v>
      </c>
      <c r="B2867" s="5" t="s">
        <v>6850</v>
      </c>
      <c r="C2867" s="4" t="s">
        <v>82</v>
      </c>
      <c r="D2867" s="475">
        <v>3389.44</v>
      </c>
      <c r="E2867" s="476">
        <v>0</v>
      </c>
      <c r="F2867" s="6">
        <v>0</v>
      </c>
      <c r="G2867" s="6">
        <v>1</v>
      </c>
    </row>
    <row r="2868" ht="15.75" customHeight="1" spans="1:7">
      <c r="A2868" s="4" t="s">
        <v>6851</v>
      </c>
      <c r="B2868" s="5" t="s">
        <v>6852</v>
      </c>
      <c r="C2868" s="4" t="s">
        <v>82</v>
      </c>
      <c r="D2868" s="475">
        <v>4665.06</v>
      </c>
      <c r="E2868" s="476">
        <v>0</v>
      </c>
      <c r="F2868" s="6">
        <v>0</v>
      </c>
      <c r="G2868" s="6">
        <v>1</v>
      </c>
    </row>
    <row r="2869" ht="15.75" customHeight="1" spans="1:7">
      <c r="A2869" s="4" t="s">
        <v>6853</v>
      </c>
      <c r="B2869" s="5" t="s">
        <v>6854</v>
      </c>
      <c r="C2869" s="4" t="s">
        <v>82</v>
      </c>
      <c r="D2869" s="475">
        <v>4203.53</v>
      </c>
      <c r="E2869" s="476">
        <v>0</v>
      </c>
      <c r="F2869" s="6">
        <v>0</v>
      </c>
      <c r="G2869" s="6">
        <v>1</v>
      </c>
    </row>
    <row r="2870" ht="15.75" customHeight="1" spans="1:7">
      <c r="A2870" s="4" t="s">
        <v>6855</v>
      </c>
      <c r="B2870" s="5" t="s">
        <v>6856</v>
      </c>
      <c r="C2870" s="4" t="s">
        <v>82</v>
      </c>
      <c r="D2870" s="475">
        <v>2260.88</v>
      </c>
      <c r="E2870" s="476">
        <v>0</v>
      </c>
      <c r="F2870" s="6">
        <v>0</v>
      </c>
      <c r="G2870" s="6">
        <v>1</v>
      </c>
    </row>
    <row r="2871" ht="15.75" customHeight="1" spans="1:7">
      <c r="A2871" s="4" t="s">
        <v>6857</v>
      </c>
      <c r="B2871" s="5" t="s">
        <v>6858</v>
      </c>
      <c r="C2871" s="4" t="s">
        <v>82</v>
      </c>
      <c r="D2871" s="475">
        <v>2024.07</v>
      </c>
      <c r="E2871" s="476">
        <v>0</v>
      </c>
      <c r="F2871" s="6">
        <v>0</v>
      </c>
      <c r="G2871" s="6">
        <v>1</v>
      </c>
    </row>
    <row r="2872" ht="15.75" customHeight="1" spans="1:7">
      <c r="A2872" s="4" t="s">
        <v>6859</v>
      </c>
      <c r="B2872" s="5" t="s">
        <v>6860</v>
      </c>
      <c r="C2872" s="4" t="s">
        <v>82</v>
      </c>
      <c r="D2872" s="475">
        <v>2232.37</v>
      </c>
      <c r="E2872" s="476">
        <v>0</v>
      </c>
      <c r="F2872" s="6">
        <v>0</v>
      </c>
      <c r="G2872" s="6">
        <v>1</v>
      </c>
    </row>
    <row r="2873" ht="15.75" customHeight="1" spans="1:7">
      <c r="A2873" s="4" t="s">
        <v>6861</v>
      </c>
      <c r="B2873" s="5" t="s">
        <v>6862</v>
      </c>
      <c r="C2873" s="4" t="s">
        <v>82</v>
      </c>
      <c r="D2873" s="475">
        <v>2002.81</v>
      </c>
      <c r="E2873" s="476">
        <v>0</v>
      </c>
      <c r="F2873" s="6">
        <v>0</v>
      </c>
      <c r="G2873" s="6">
        <v>1</v>
      </c>
    </row>
    <row r="2874" ht="15.75" customHeight="1" spans="1:7">
      <c r="A2874" s="4" t="s">
        <v>6863</v>
      </c>
      <c r="B2874" s="5" t="s">
        <v>6864</v>
      </c>
      <c r="C2874" s="4" t="s">
        <v>82</v>
      </c>
      <c r="D2874" s="475">
        <v>2928.18</v>
      </c>
      <c r="E2874" s="476">
        <v>0</v>
      </c>
      <c r="F2874" s="6">
        <v>0</v>
      </c>
      <c r="G2874" s="6">
        <v>1</v>
      </c>
    </row>
    <row r="2875" ht="15.75" customHeight="1" spans="1:7">
      <c r="A2875" s="4" t="s">
        <v>6865</v>
      </c>
      <c r="B2875" s="5" t="s">
        <v>6866</v>
      </c>
      <c r="C2875" s="4" t="s">
        <v>82</v>
      </c>
      <c r="D2875" s="475">
        <v>2610.42</v>
      </c>
      <c r="E2875" s="476">
        <v>0</v>
      </c>
      <c r="F2875" s="6">
        <v>0</v>
      </c>
      <c r="G2875" s="6">
        <v>1</v>
      </c>
    </row>
    <row r="2876" ht="15.75" customHeight="1" spans="1:7">
      <c r="A2876" s="4" t="s">
        <v>6867</v>
      </c>
      <c r="B2876" s="5" t="s">
        <v>6868</v>
      </c>
      <c r="C2876" s="4" t="s">
        <v>82</v>
      </c>
      <c r="D2876" s="475">
        <v>3618.14</v>
      </c>
      <c r="E2876" s="476">
        <v>0</v>
      </c>
      <c r="F2876" s="6">
        <v>0</v>
      </c>
      <c r="G2876" s="6">
        <v>1</v>
      </c>
    </row>
    <row r="2877" ht="15.75" customHeight="1" spans="1:7">
      <c r="A2877" s="4" t="s">
        <v>6869</v>
      </c>
      <c r="B2877" s="5" t="s">
        <v>6870</v>
      </c>
      <c r="C2877" s="4" t="s">
        <v>82</v>
      </c>
      <c r="D2877" s="475">
        <v>3232.73</v>
      </c>
      <c r="E2877" s="476">
        <v>0</v>
      </c>
      <c r="F2877" s="6">
        <v>0</v>
      </c>
      <c r="G2877" s="6">
        <v>1</v>
      </c>
    </row>
    <row r="2878" ht="15.75" customHeight="1" spans="1:7">
      <c r="A2878" s="4" t="s">
        <v>6871</v>
      </c>
      <c r="B2878" s="5" t="s">
        <v>6872</v>
      </c>
      <c r="C2878" s="4" t="s">
        <v>82</v>
      </c>
      <c r="D2878" s="475">
        <v>4211.67</v>
      </c>
      <c r="E2878" s="476">
        <v>0</v>
      </c>
      <c r="F2878" s="6">
        <v>0</v>
      </c>
      <c r="G2878" s="6">
        <v>1</v>
      </c>
    </row>
    <row r="2879" ht="15.75" customHeight="1" spans="1:7">
      <c r="A2879" s="4" t="s">
        <v>6873</v>
      </c>
      <c r="B2879" s="5" t="s">
        <v>6874</v>
      </c>
      <c r="C2879" s="4" t="s">
        <v>82</v>
      </c>
      <c r="D2879" s="475">
        <v>3774.3</v>
      </c>
      <c r="E2879" s="476">
        <v>0</v>
      </c>
      <c r="F2879" s="6">
        <v>0</v>
      </c>
      <c r="G2879" s="6">
        <v>1</v>
      </c>
    </row>
    <row r="2880" ht="15.75" customHeight="1" spans="1:7">
      <c r="A2880" s="4" t="s">
        <v>6875</v>
      </c>
      <c r="B2880" s="5" t="s">
        <v>6876</v>
      </c>
      <c r="C2880" s="4" t="s">
        <v>82</v>
      </c>
      <c r="D2880" s="475">
        <v>5146.91</v>
      </c>
      <c r="E2880" s="476">
        <v>0</v>
      </c>
      <c r="F2880" s="6">
        <v>0</v>
      </c>
      <c r="G2880" s="6">
        <v>1</v>
      </c>
    </row>
    <row r="2881" ht="15.75" customHeight="1" spans="1:7">
      <c r="A2881" s="4" t="s">
        <v>6877</v>
      </c>
      <c r="B2881" s="5" t="s">
        <v>6878</v>
      </c>
      <c r="C2881" s="4" t="s">
        <v>82</v>
      </c>
      <c r="D2881" s="475">
        <v>4628.59</v>
      </c>
      <c r="E2881" s="476">
        <v>0</v>
      </c>
      <c r="F2881" s="6">
        <v>0</v>
      </c>
      <c r="G2881" s="6">
        <v>1</v>
      </c>
    </row>
    <row r="2882" ht="15.75" customHeight="1" spans="1:7">
      <c r="A2882" s="4" t="s">
        <v>6879</v>
      </c>
      <c r="B2882" s="5" t="s">
        <v>6880</v>
      </c>
      <c r="C2882" s="4" t="s">
        <v>99</v>
      </c>
      <c r="D2882" s="475">
        <v>125.91</v>
      </c>
      <c r="E2882" s="476">
        <v>0.04367</v>
      </c>
      <c r="F2882" s="6">
        <v>0.2143</v>
      </c>
      <c r="G2882" s="6">
        <v>14.94</v>
      </c>
    </row>
    <row r="2883" ht="15.75" customHeight="1" spans="1:7">
      <c r="A2883" s="4" t="s">
        <v>6881</v>
      </c>
      <c r="B2883" s="5" t="s">
        <v>6882</v>
      </c>
      <c r="C2883" s="4" t="s">
        <v>99</v>
      </c>
      <c r="D2883" s="475">
        <v>19.66</v>
      </c>
      <c r="E2883" s="476">
        <v>0.04367</v>
      </c>
      <c r="F2883" s="6">
        <v>0.2143</v>
      </c>
      <c r="G2883" s="6">
        <v>14.94</v>
      </c>
    </row>
    <row r="2884" ht="15.75" customHeight="1" spans="1:7">
      <c r="A2884" s="4" t="s">
        <v>6883</v>
      </c>
      <c r="B2884" s="5" t="s">
        <v>6884</v>
      </c>
      <c r="C2884" s="4" t="s">
        <v>99</v>
      </c>
      <c r="D2884" s="475">
        <v>150.27</v>
      </c>
      <c r="E2884" s="476">
        <v>0.04367</v>
      </c>
      <c r="F2884" s="6">
        <v>0.2143</v>
      </c>
      <c r="G2884" s="6">
        <v>14.94</v>
      </c>
    </row>
    <row r="2885" ht="15.75" customHeight="1" spans="1:7">
      <c r="A2885" s="4" t="s">
        <v>6885</v>
      </c>
      <c r="B2885" s="5" t="s">
        <v>6886</v>
      </c>
      <c r="C2885" s="4" t="s">
        <v>99</v>
      </c>
      <c r="D2885" s="475">
        <v>72.85</v>
      </c>
      <c r="E2885" s="476">
        <v>0.04367</v>
      </c>
      <c r="F2885" s="6">
        <v>0.2143</v>
      </c>
      <c r="G2885" s="6">
        <v>14.94</v>
      </c>
    </row>
    <row r="2886" ht="30" customHeight="1" spans="1:7">
      <c r="A2886" s="4" t="s">
        <v>6887</v>
      </c>
      <c r="B2886" s="5" t="s">
        <v>6888</v>
      </c>
      <c r="C2886" s="4" t="s">
        <v>9</v>
      </c>
      <c r="D2886" s="475">
        <v>1200.07</v>
      </c>
      <c r="E2886" s="476">
        <v>0.03814</v>
      </c>
      <c r="F2886" s="6">
        <v>0.1085</v>
      </c>
      <c r="G2886" s="6">
        <v>24.9</v>
      </c>
    </row>
    <row r="2887" ht="30" customHeight="1" spans="1:7">
      <c r="A2887" s="4" t="s">
        <v>6889</v>
      </c>
      <c r="B2887" s="5" t="s">
        <v>6890</v>
      </c>
      <c r="C2887" s="4" t="s">
        <v>9</v>
      </c>
      <c r="D2887" s="475">
        <v>1875.74</v>
      </c>
      <c r="E2887" s="476">
        <v>0.03814</v>
      </c>
      <c r="F2887" s="6">
        <v>0.1085</v>
      </c>
      <c r="G2887" s="6">
        <v>24.9</v>
      </c>
    </row>
    <row r="2888" ht="30" customHeight="1" spans="1:7">
      <c r="A2888" s="4" t="s">
        <v>6891</v>
      </c>
      <c r="B2888" s="5" t="s">
        <v>6892</v>
      </c>
      <c r="C2888" s="4" t="s">
        <v>9</v>
      </c>
      <c r="D2888" s="475">
        <v>2416.3</v>
      </c>
      <c r="E2888" s="476">
        <v>0.03814</v>
      </c>
      <c r="F2888" s="6">
        <v>0.1085</v>
      </c>
      <c r="G2888" s="6">
        <v>24.9</v>
      </c>
    </row>
    <row r="2889" ht="30" customHeight="1" spans="1:7">
      <c r="A2889" s="4" t="s">
        <v>6893</v>
      </c>
      <c r="B2889" s="5" t="s">
        <v>6894</v>
      </c>
      <c r="C2889" s="4" t="s">
        <v>9</v>
      </c>
      <c r="D2889" s="475">
        <v>3211.36</v>
      </c>
      <c r="E2889" s="476">
        <v>0.03814</v>
      </c>
      <c r="F2889" s="6">
        <v>0.1085</v>
      </c>
      <c r="G2889" s="6">
        <v>24.9</v>
      </c>
    </row>
    <row r="2890" ht="30" customHeight="1" spans="1:7">
      <c r="A2890" s="4" t="s">
        <v>6895</v>
      </c>
      <c r="B2890" s="5" t="s">
        <v>6896</v>
      </c>
      <c r="C2890" s="4" t="s">
        <v>9</v>
      </c>
      <c r="D2890" s="475">
        <v>543.22</v>
      </c>
      <c r="E2890" s="476">
        <v>0.03814</v>
      </c>
      <c r="F2890" s="6">
        <v>0.1231</v>
      </c>
      <c r="G2890" s="6">
        <v>21.94</v>
      </c>
    </row>
    <row r="2891" ht="30" customHeight="1" spans="1:7">
      <c r="A2891" s="4" t="s">
        <v>6897</v>
      </c>
      <c r="B2891" s="5" t="s">
        <v>6898</v>
      </c>
      <c r="C2891" s="4" t="s">
        <v>9</v>
      </c>
      <c r="D2891" s="475">
        <v>1400.97</v>
      </c>
      <c r="E2891" s="476">
        <v>0.03814</v>
      </c>
      <c r="F2891" s="6">
        <v>0.1231</v>
      </c>
      <c r="G2891" s="6">
        <v>21.94</v>
      </c>
    </row>
    <row r="2892" ht="30" customHeight="1" spans="1:7">
      <c r="A2892" s="4" t="s">
        <v>6899</v>
      </c>
      <c r="B2892" s="5" t="s">
        <v>6900</v>
      </c>
      <c r="C2892" s="4" t="s">
        <v>9</v>
      </c>
      <c r="D2892" s="475">
        <v>2351.49</v>
      </c>
      <c r="E2892" s="476">
        <v>0.03814</v>
      </c>
      <c r="F2892" s="6">
        <v>0.1514</v>
      </c>
      <c r="G2892" s="6">
        <v>17.84</v>
      </c>
    </row>
    <row r="2893" ht="30" customHeight="1" spans="1:7">
      <c r="A2893" s="4" t="s">
        <v>6901</v>
      </c>
      <c r="B2893" s="5" t="s">
        <v>6902</v>
      </c>
      <c r="C2893" s="4" t="s">
        <v>9</v>
      </c>
      <c r="D2893" s="475">
        <v>830.67</v>
      </c>
      <c r="E2893" s="476">
        <v>0.03814</v>
      </c>
      <c r="F2893" s="6">
        <v>0.2044</v>
      </c>
      <c r="G2893" s="6">
        <v>13.21</v>
      </c>
    </row>
    <row r="2894" ht="30" customHeight="1" spans="1:7">
      <c r="A2894" s="4" t="s">
        <v>6903</v>
      </c>
      <c r="B2894" s="5" t="s">
        <v>6904</v>
      </c>
      <c r="C2894" s="4" t="s">
        <v>9</v>
      </c>
      <c r="D2894" s="475">
        <v>1013.38</v>
      </c>
      <c r="E2894" s="476">
        <v>0.03814</v>
      </c>
      <c r="F2894" s="6">
        <v>0.2044</v>
      </c>
      <c r="G2894" s="6">
        <v>13.21</v>
      </c>
    </row>
    <row r="2895" ht="30" customHeight="1" spans="1:7">
      <c r="A2895" s="4" t="s">
        <v>6905</v>
      </c>
      <c r="B2895" s="5" t="s">
        <v>6906</v>
      </c>
      <c r="C2895" s="4" t="s">
        <v>9</v>
      </c>
      <c r="D2895" s="475">
        <v>1275.78</v>
      </c>
      <c r="E2895" s="476">
        <v>0.03814</v>
      </c>
      <c r="F2895" s="6">
        <v>0.2057</v>
      </c>
      <c r="G2895" s="6">
        <v>13.13</v>
      </c>
    </row>
    <row r="2896" ht="30" customHeight="1" spans="1:7">
      <c r="A2896" s="4" t="s">
        <v>6907</v>
      </c>
      <c r="B2896" s="5" t="s">
        <v>6908</v>
      </c>
      <c r="C2896" s="4" t="s">
        <v>9</v>
      </c>
      <c r="D2896" s="475">
        <v>364.21</v>
      </c>
      <c r="E2896" s="476">
        <v>0.03814</v>
      </c>
      <c r="F2896" s="6">
        <v>0.1222</v>
      </c>
      <c r="G2896" s="6">
        <v>22.1</v>
      </c>
    </row>
    <row r="2897" ht="30" customHeight="1" spans="1:7">
      <c r="A2897" s="4" t="s">
        <v>6909</v>
      </c>
      <c r="B2897" s="5" t="s">
        <v>6910</v>
      </c>
      <c r="C2897" s="4" t="s">
        <v>9</v>
      </c>
      <c r="D2897" s="475">
        <v>389.82</v>
      </c>
      <c r="E2897" s="476">
        <v>0.03814</v>
      </c>
      <c r="F2897" s="6">
        <v>0.1222</v>
      </c>
      <c r="G2897" s="6">
        <v>22.1</v>
      </c>
    </row>
    <row r="2898" ht="30" customHeight="1" spans="1:7">
      <c r="A2898" s="4" t="s">
        <v>6911</v>
      </c>
      <c r="B2898" s="5" t="s">
        <v>6912</v>
      </c>
      <c r="C2898" s="4" t="s">
        <v>9</v>
      </c>
      <c r="D2898" s="475">
        <v>337.93</v>
      </c>
      <c r="E2898" s="476">
        <v>0.03814</v>
      </c>
      <c r="F2898" s="6">
        <v>0.1222</v>
      </c>
      <c r="G2898" s="6">
        <v>22.1</v>
      </c>
    </row>
    <row r="2899" ht="30" customHeight="1" spans="1:7">
      <c r="A2899" s="4" t="s">
        <v>6913</v>
      </c>
      <c r="B2899" s="5" t="s">
        <v>6914</v>
      </c>
      <c r="C2899" s="4" t="s">
        <v>9</v>
      </c>
      <c r="D2899" s="475">
        <v>428.94</v>
      </c>
      <c r="E2899" s="476">
        <v>0.03814</v>
      </c>
      <c r="F2899" s="6">
        <v>0.0571</v>
      </c>
      <c r="G2899" s="6">
        <v>31.52</v>
      </c>
    </row>
    <row r="2900" ht="30" customHeight="1" spans="1:7">
      <c r="A2900" s="4" t="s">
        <v>6915</v>
      </c>
      <c r="B2900" s="5" t="s">
        <v>6916</v>
      </c>
      <c r="C2900" s="4" t="s">
        <v>9</v>
      </c>
      <c r="D2900" s="475">
        <v>456.86</v>
      </c>
      <c r="E2900" s="476">
        <v>0.03814</v>
      </c>
      <c r="F2900" s="6">
        <v>0.0571</v>
      </c>
      <c r="G2900" s="6">
        <v>31.52</v>
      </c>
    </row>
    <row r="2901" ht="30" customHeight="1" spans="1:7">
      <c r="A2901" s="4" t="s">
        <v>6917</v>
      </c>
      <c r="B2901" s="5" t="s">
        <v>6918</v>
      </c>
      <c r="C2901" s="4" t="s">
        <v>9</v>
      </c>
      <c r="D2901" s="475">
        <v>766.17</v>
      </c>
      <c r="E2901" s="476">
        <v>0.03814</v>
      </c>
      <c r="F2901" s="6">
        <v>0.1615</v>
      </c>
      <c r="G2901" s="6">
        <v>43.94</v>
      </c>
    </row>
    <row r="2902" ht="30" customHeight="1" spans="1:7">
      <c r="A2902" s="4" t="s">
        <v>6919</v>
      </c>
      <c r="B2902" s="5" t="s">
        <v>6920</v>
      </c>
      <c r="C2902" s="4" t="s">
        <v>9</v>
      </c>
      <c r="D2902" s="475">
        <v>794.09</v>
      </c>
      <c r="E2902" s="476">
        <v>0.03814</v>
      </c>
      <c r="F2902" s="6">
        <v>0.1615</v>
      </c>
      <c r="G2902" s="6">
        <v>43.94</v>
      </c>
    </row>
    <row r="2903" ht="30" customHeight="1" spans="1:7">
      <c r="A2903" s="4" t="s">
        <v>6921</v>
      </c>
      <c r="B2903" s="5" t="s">
        <v>6922</v>
      </c>
      <c r="C2903" s="4" t="s">
        <v>9</v>
      </c>
      <c r="D2903" s="475">
        <v>811.11</v>
      </c>
      <c r="E2903" s="476">
        <v>0.03814</v>
      </c>
      <c r="F2903" s="6">
        <v>0.0607</v>
      </c>
      <c r="G2903" s="6">
        <v>29.64</v>
      </c>
    </row>
    <row r="2904" ht="30" customHeight="1" spans="1:7">
      <c r="A2904" s="4" t="s">
        <v>6923</v>
      </c>
      <c r="B2904" s="5" t="s">
        <v>6924</v>
      </c>
      <c r="C2904" s="4" t="s">
        <v>9</v>
      </c>
      <c r="D2904" s="475">
        <v>875.62</v>
      </c>
      <c r="E2904" s="476">
        <v>0.03814</v>
      </c>
      <c r="F2904" s="6">
        <v>0.0607</v>
      </c>
      <c r="G2904" s="6">
        <v>29.64</v>
      </c>
    </row>
    <row r="2905" ht="30" customHeight="1" spans="1:7">
      <c r="A2905" s="4" t="s">
        <v>6925</v>
      </c>
      <c r="B2905" s="5" t="s">
        <v>6926</v>
      </c>
      <c r="C2905" s="4" t="s">
        <v>9</v>
      </c>
      <c r="D2905" s="475">
        <v>851.85</v>
      </c>
      <c r="E2905" s="476">
        <v>0.03814</v>
      </c>
      <c r="F2905" s="6">
        <v>0.1615</v>
      </c>
      <c r="G2905" s="6">
        <v>43.94</v>
      </c>
    </row>
    <row r="2906" ht="30" customHeight="1" spans="1:7">
      <c r="A2906" s="4" t="s">
        <v>6927</v>
      </c>
      <c r="B2906" s="5" t="s">
        <v>6928</v>
      </c>
      <c r="C2906" s="4" t="s">
        <v>9</v>
      </c>
      <c r="D2906" s="475">
        <v>916.85</v>
      </c>
      <c r="E2906" s="476">
        <v>0.03814</v>
      </c>
      <c r="F2906" s="6">
        <v>0.1615</v>
      </c>
      <c r="G2906" s="6">
        <v>43.94</v>
      </c>
    </row>
    <row r="2907" ht="30" customHeight="1" spans="1:7">
      <c r="A2907" s="4" t="s">
        <v>6929</v>
      </c>
      <c r="B2907" s="5" t="s">
        <v>6930</v>
      </c>
      <c r="C2907" s="4" t="s">
        <v>9</v>
      </c>
      <c r="D2907" s="475">
        <v>954.78</v>
      </c>
      <c r="E2907" s="476">
        <v>0.03814</v>
      </c>
      <c r="F2907" s="6">
        <v>0.1615</v>
      </c>
      <c r="G2907" s="6">
        <v>43.94</v>
      </c>
    </row>
    <row r="2908" ht="30" customHeight="1" spans="1:7">
      <c r="A2908" s="4" t="s">
        <v>6931</v>
      </c>
      <c r="B2908" s="5" t="s">
        <v>6932</v>
      </c>
      <c r="C2908" s="4" t="s">
        <v>9</v>
      </c>
      <c r="D2908" s="475">
        <v>1029.76</v>
      </c>
      <c r="E2908" s="476">
        <v>0.03814</v>
      </c>
      <c r="F2908" s="6">
        <v>0.1615</v>
      </c>
      <c r="G2908" s="6">
        <v>43.94</v>
      </c>
    </row>
    <row r="2909" ht="30" customHeight="1" spans="1:7">
      <c r="A2909" s="4" t="s">
        <v>6933</v>
      </c>
      <c r="B2909" s="5" t="s">
        <v>6934</v>
      </c>
      <c r="C2909" s="4" t="s">
        <v>9</v>
      </c>
      <c r="D2909" s="475">
        <v>1173.73</v>
      </c>
      <c r="E2909" s="476">
        <v>0.03814</v>
      </c>
      <c r="F2909" s="6">
        <v>0.1615</v>
      </c>
      <c r="G2909" s="6">
        <v>43.94</v>
      </c>
    </row>
    <row r="2910" ht="30" customHeight="1" spans="1:7">
      <c r="A2910" s="4" t="s">
        <v>6935</v>
      </c>
      <c r="B2910" s="5" t="s">
        <v>6936</v>
      </c>
      <c r="C2910" s="4" t="s">
        <v>9</v>
      </c>
      <c r="D2910" s="475">
        <v>1258.7</v>
      </c>
      <c r="E2910" s="476">
        <v>0.03814</v>
      </c>
      <c r="F2910" s="6">
        <v>0.1615</v>
      </c>
      <c r="G2910" s="6">
        <v>43.94</v>
      </c>
    </row>
    <row r="2911" ht="30" customHeight="1" spans="1:7">
      <c r="A2911" s="4" t="s">
        <v>6937</v>
      </c>
      <c r="B2911" s="5" t="s">
        <v>6938</v>
      </c>
      <c r="C2911" s="4" t="s">
        <v>9</v>
      </c>
      <c r="D2911" s="475">
        <v>1190.23</v>
      </c>
      <c r="E2911" s="476">
        <v>0.03814</v>
      </c>
      <c r="F2911" s="6">
        <v>0.1615</v>
      </c>
      <c r="G2911" s="6">
        <v>43.94</v>
      </c>
    </row>
    <row r="2912" ht="30" customHeight="1" spans="1:7">
      <c r="A2912" s="4" t="s">
        <v>6939</v>
      </c>
      <c r="B2912" s="5" t="s">
        <v>6940</v>
      </c>
      <c r="C2912" s="4" t="s">
        <v>9</v>
      </c>
      <c r="D2912" s="475">
        <v>1260.22</v>
      </c>
      <c r="E2912" s="476">
        <v>0.03814</v>
      </c>
      <c r="F2912" s="6">
        <v>0.1615</v>
      </c>
      <c r="G2912" s="6">
        <v>43.94</v>
      </c>
    </row>
    <row r="2913" ht="30" customHeight="1" spans="1:7">
      <c r="A2913" s="4" t="s">
        <v>6941</v>
      </c>
      <c r="B2913" s="5" t="s">
        <v>6942</v>
      </c>
      <c r="C2913" s="4" t="s">
        <v>9</v>
      </c>
      <c r="D2913" s="475">
        <v>1332.02</v>
      </c>
      <c r="E2913" s="476">
        <v>0.03814</v>
      </c>
      <c r="F2913" s="6">
        <v>0.1615</v>
      </c>
      <c r="G2913" s="6">
        <v>43.94</v>
      </c>
    </row>
    <row r="2914" ht="30" customHeight="1" spans="1:7">
      <c r="A2914" s="4" t="s">
        <v>6943</v>
      </c>
      <c r="B2914" s="5" t="s">
        <v>6944</v>
      </c>
      <c r="C2914" s="4" t="s">
        <v>9</v>
      </c>
      <c r="D2914" s="475">
        <v>1421.98</v>
      </c>
      <c r="E2914" s="476">
        <v>0.03814</v>
      </c>
      <c r="F2914" s="6">
        <v>0.1615</v>
      </c>
      <c r="G2914" s="6">
        <v>43.94</v>
      </c>
    </row>
    <row r="2915" ht="30" customHeight="1" spans="1:7">
      <c r="A2915" s="4" t="s">
        <v>6945</v>
      </c>
      <c r="B2915" s="5" t="s">
        <v>6946</v>
      </c>
      <c r="C2915" s="4" t="s">
        <v>9</v>
      </c>
      <c r="D2915" s="475">
        <v>4511.19</v>
      </c>
      <c r="E2915" s="476">
        <v>0.03814</v>
      </c>
      <c r="F2915" s="6">
        <v>0.1615</v>
      </c>
      <c r="G2915" s="6">
        <v>43.94</v>
      </c>
    </row>
    <row r="2916" ht="30" customHeight="1" spans="1:7">
      <c r="A2916" s="4" t="s">
        <v>6947</v>
      </c>
      <c r="B2916" s="5" t="s">
        <v>6948</v>
      </c>
      <c r="C2916" s="4" t="s">
        <v>9</v>
      </c>
      <c r="D2916" s="475">
        <v>4599.65</v>
      </c>
      <c r="E2916" s="476">
        <v>0.03814</v>
      </c>
      <c r="F2916" s="6">
        <v>0.1615</v>
      </c>
      <c r="G2916" s="6">
        <v>43.94</v>
      </c>
    </row>
    <row r="2917" ht="15.75" customHeight="1" spans="1:7">
      <c r="A2917" s="4" t="s">
        <v>6949</v>
      </c>
      <c r="B2917" s="5" t="s">
        <v>6950</v>
      </c>
      <c r="C2917" s="4" t="s">
        <v>9</v>
      </c>
      <c r="D2917" s="475">
        <v>144.27</v>
      </c>
      <c r="E2917" s="476">
        <v>0</v>
      </c>
      <c r="F2917" s="6">
        <v>0</v>
      </c>
      <c r="G2917" s="6">
        <v>1</v>
      </c>
    </row>
    <row r="2918" ht="15.75" customHeight="1" spans="1:7">
      <c r="A2918" s="4" t="s">
        <v>6951</v>
      </c>
      <c r="B2918" s="5" t="s">
        <v>6952</v>
      </c>
      <c r="C2918" s="4" t="s">
        <v>9</v>
      </c>
      <c r="D2918" s="475">
        <v>170.68</v>
      </c>
      <c r="E2918" s="476">
        <v>0</v>
      </c>
      <c r="F2918" s="6">
        <v>0</v>
      </c>
      <c r="G2918" s="6">
        <v>1</v>
      </c>
    </row>
    <row r="2919" ht="15.75" customHeight="1" spans="1:7">
      <c r="A2919" s="4" t="s">
        <v>6953</v>
      </c>
      <c r="B2919" s="5" t="s">
        <v>6954</v>
      </c>
      <c r="C2919" s="4" t="s">
        <v>9</v>
      </c>
      <c r="D2919" s="475">
        <v>203.96</v>
      </c>
      <c r="E2919" s="476">
        <v>0</v>
      </c>
      <c r="F2919" s="6">
        <v>0</v>
      </c>
      <c r="G2919" s="6">
        <v>1</v>
      </c>
    </row>
    <row r="2920" ht="15.75" customHeight="1" spans="1:7">
      <c r="A2920" s="4" t="s">
        <v>6955</v>
      </c>
      <c r="B2920" s="5" t="s">
        <v>6956</v>
      </c>
      <c r="C2920" s="4" t="s">
        <v>9</v>
      </c>
      <c r="D2920" s="475">
        <v>232.66</v>
      </c>
      <c r="E2920" s="476">
        <v>0</v>
      </c>
      <c r="F2920" s="6">
        <v>0</v>
      </c>
      <c r="G2920" s="6">
        <v>1</v>
      </c>
    </row>
    <row r="2921" ht="15.75" customHeight="1" spans="1:7">
      <c r="A2921" s="4" t="s">
        <v>6957</v>
      </c>
      <c r="B2921" s="5" t="s">
        <v>6958</v>
      </c>
      <c r="C2921" s="4" t="s">
        <v>9</v>
      </c>
      <c r="D2921" s="475">
        <v>261.36</v>
      </c>
      <c r="E2921" s="476">
        <v>0</v>
      </c>
      <c r="F2921" s="6">
        <v>0</v>
      </c>
      <c r="G2921" s="6">
        <v>1</v>
      </c>
    </row>
    <row r="2922" ht="15.75" customHeight="1" spans="1:7">
      <c r="A2922" s="4" t="s">
        <v>6959</v>
      </c>
      <c r="B2922" s="5" t="s">
        <v>6960</v>
      </c>
      <c r="C2922" s="4" t="s">
        <v>9</v>
      </c>
      <c r="D2922" s="475">
        <v>323.35</v>
      </c>
      <c r="E2922" s="476">
        <v>0</v>
      </c>
      <c r="F2922" s="6">
        <v>0</v>
      </c>
      <c r="G2922" s="6">
        <v>1</v>
      </c>
    </row>
    <row r="2923" ht="15.75" customHeight="1" spans="1:7">
      <c r="A2923" s="4" t="s">
        <v>6961</v>
      </c>
      <c r="B2923" s="5" t="s">
        <v>6962</v>
      </c>
      <c r="C2923" s="4" t="s">
        <v>9</v>
      </c>
      <c r="D2923" s="475">
        <v>378.46</v>
      </c>
      <c r="E2923" s="476">
        <v>0</v>
      </c>
      <c r="F2923" s="6">
        <v>0</v>
      </c>
      <c r="G2923" s="6">
        <v>1</v>
      </c>
    </row>
    <row r="2924" ht="15.75" customHeight="1" spans="1:7">
      <c r="A2924" s="4" t="s">
        <v>6963</v>
      </c>
      <c r="B2924" s="5" t="s">
        <v>6964</v>
      </c>
      <c r="C2924" s="4" t="s">
        <v>9</v>
      </c>
      <c r="D2924" s="475">
        <v>64.72</v>
      </c>
      <c r="E2924" s="476">
        <v>0.04722</v>
      </c>
      <c r="F2924" s="6">
        <v>1.1713</v>
      </c>
      <c r="G2924" s="6">
        <v>1</v>
      </c>
    </row>
    <row r="2925" ht="15.75" customHeight="1" spans="1:7">
      <c r="A2925" s="4" t="s">
        <v>6965</v>
      </c>
      <c r="B2925" s="5" t="s">
        <v>6966</v>
      </c>
      <c r="C2925" s="4" t="s">
        <v>9</v>
      </c>
      <c r="D2925" s="475">
        <v>56.67</v>
      </c>
      <c r="E2925" s="476">
        <v>0.04722</v>
      </c>
      <c r="F2925" s="6">
        <v>1.1713</v>
      </c>
      <c r="G2925" s="6">
        <v>1</v>
      </c>
    </row>
    <row r="2926" ht="15.75" customHeight="1" spans="1:7">
      <c r="A2926" s="4" t="s">
        <v>6967</v>
      </c>
      <c r="B2926" s="5" t="s">
        <v>6968</v>
      </c>
      <c r="C2926" s="4" t="s">
        <v>9</v>
      </c>
      <c r="D2926" s="475">
        <v>81.66</v>
      </c>
      <c r="E2926" s="476">
        <v>0.04722</v>
      </c>
      <c r="F2926" s="6">
        <v>1.2884</v>
      </c>
      <c r="G2926" s="6">
        <v>1</v>
      </c>
    </row>
    <row r="2927" ht="15.75" customHeight="1" spans="1:7">
      <c r="A2927" s="4" t="s">
        <v>6969</v>
      </c>
      <c r="B2927" s="5" t="s">
        <v>6970</v>
      </c>
      <c r="C2927" s="4" t="s">
        <v>9</v>
      </c>
      <c r="D2927" s="475">
        <v>70.37</v>
      </c>
      <c r="E2927" s="476">
        <v>0.04722</v>
      </c>
      <c r="F2927" s="6">
        <v>1.2884</v>
      </c>
      <c r="G2927" s="6">
        <v>1</v>
      </c>
    </row>
    <row r="2928" ht="15.75" customHeight="1" spans="1:7">
      <c r="A2928" s="4" t="s">
        <v>6971</v>
      </c>
      <c r="B2928" s="5" t="s">
        <v>6972</v>
      </c>
      <c r="C2928" s="4" t="s">
        <v>82</v>
      </c>
      <c r="D2928" s="475">
        <v>1648.91</v>
      </c>
      <c r="E2928" s="476">
        <v>0.04722</v>
      </c>
      <c r="F2928" s="6">
        <v>0.2513</v>
      </c>
      <c r="G2928" s="6">
        <v>1</v>
      </c>
    </row>
    <row r="2929" ht="15.75" customHeight="1" spans="1:7">
      <c r="A2929" s="4" t="s">
        <v>6973</v>
      </c>
      <c r="B2929" s="5" t="s">
        <v>6974</v>
      </c>
      <c r="C2929" s="4" t="s">
        <v>82</v>
      </c>
      <c r="D2929" s="475">
        <v>1612.42</v>
      </c>
      <c r="E2929" s="476">
        <v>0.04722</v>
      </c>
      <c r="F2929" s="6">
        <v>0.2513</v>
      </c>
      <c r="G2929" s="6">
        <v>1</v>
      </c>
    </row>
    <row r="2930" ht="15.75" customHeight="1" spans="1:7">
      <c r="A2930" s="4" t="s">
        <v>6975</v>
      </c>
      <c r="B2930" s="5" t="s">
        <v>6976</v>
      </c>
      <c r="C2930" s="4" t="s">
        <v>82</v>
      </c>
      <c r="D2930" s="475">
        <v>1963.02</v>
      </c>
      <c r="E2930" s="476">
        <v>0.04722</v>
      </c>
      <c r="F2930" s="6">
        <v>0.2513</v>
      </c>
      <c r="G2930" s="6">
        <v>1</v>
      </c>
    </row>
    <row r="2931" ht="15.75" customHeight="1" spans="1:7">
      <c r="A2931" s="4" t="s">
        <v>6977</v>
      </c>
      <c r="B2931" s="5" t="s">
        <v>6978</v>
      </c>
      <c r="C2931" s="4" t="s">
        <v>82</v>
      </c>
      <c r="D2931" s="475">
        <v>1920.33</v>
      </c>
      <c r="E2931" s="476">
        <v>0.04722</v>
      </c>
      <c r="F2931" s="6">
        <v>0.2513</v>
      </c>
      <c r="G2931" s="6">
        <v>1</v>
      </c>
    </row>
    <row r="2932" ht="15.75" customHeight="1" spans="1:7">
      <c r="A2932" s="4" t="s">
        <v>6979</v>
      </c>
      <c r="B2932" s="5" t="s">
        <v>6980</v>
      </c>
      <c r="C2932" s="4" t="s">
        <v>82</v>
      </c>
      <c r="D2932" s="475">
        <v>2270.21</v>
      </c>
      <c r="E2932" s="476">
        <v>0.04722</v>
      </c>
      <c r="F2932" s="6">
        <v>0.2513</v>
      </c>
      <c r="G2932" s="6">
        <v>1</v>
      </c>
    </row>
    <row r="2933" ht="15.75" customHeight="1" spans="1:7">
      <c r="A2933" s="4" t="s">
        <v>6981</v>
      </c>
      <c r="B2933" s="5" t="s">
        <v>6982</v>
      </c>
      <c r="C2933" s="4" t="s">
        <v>82</v>
      </c>
      <c r="D2933" s="475">
        <v>2222.45</v>
      </c>
      <c r="E2933" s="476">
        <v>0.04722</v>
      </c>
      <c r="F2933" s="6">
        <v>0.2513</v>
      </c>
      <c r="G2933" s="6">
        <v>1</v>
      </c>
    </row>
    <row r="2934" ht="15.75" customHeight="1" spans="1:7">
      <c r="A2934" s="4" t="s">
        <v>6983</v>
      </c>
      <c r="B2934" s="5" t="s">
        <v>6984</v>
      </c>
      <c r="C2934" s="4" t="s">
        <v>82</v>
      </c>
      <c r="D2934" s="475">
        <v>2584.28</v>
      </c>
      <c r="E2934" s="476">
        <v>0.04722</v>
      </c>
      <c r="F2934" s="6">
        <v>0.2513</v>
      </c>
      <c r="G2934" s="6">
        <v>1</v>
      </c>
    </row>
    <row r="2935" ht="15.75" customHeight="1" spans="1:7">
      <c r="A2935" s="4" t="s">
        <v>6985</v>
      </c>
      <c r="B2935" s="5" t="s">
        <v>6986</v>
      </c>
      <c r="C2935" s="4" t="s">
        <v>82</v>
      </c>
      <c r="D2935" s="475">
        <v>2530.32</v>
      </c>
      <c r="E2935" s="476">
        <v>0.04722</v>
      </c>
      <c r="F2935" s="6">
        <v>0.2513</v>
      </c>
      <c r="G2935" s="6">
        <v>1</v>
      </c>
    </row>
    <row r="2936" ht="15.75" customHeight="1" spans="1:7">
      <c r="A2936" s="4" t="s">
        <v>6987</v>
      </c>
      <c r="B2936" s="5" t="s">
        <v>6988</v>
      </c>
      <c r="C2936" s="4" t="s">
        <v>82</v>
      </c>
      <c r="D2936" s="475">
        <v>2891.47</v>
      </c>
      <c r="E2936" s="476">
        <v>0.04722</v>
      </c>
      <c r="F2936" s="6">
        <v>0.2513</v>
      </c>
      <c r="G2936" s="6">
        <v>1</v>
      </c>
    </row>
    <row r="2937" ht="15.75" customHeight="1" spans="1:7">
      <c r="A2937" s="4" t="s">
        <v>6989</v>
      </c>
      <c r="B2937" s="5" t="s">
        <v>6990</v>
      </c>
      <c r="C2937" s="4" t="s">
        <v>82</v>
      </c>
      <c r="D2937" s="475">
        <v>2832.44</v>
      </c>
      <c r="E2937" s="476">
        <v>0.04722</v>
      </c>
      <c r="F2937" s="6">
        <v>0.2513</v>
      </c>
      <c r="G2937" s="6">
        <v>1</v>
      </c>
    </row>
    <row r="2938" ht="15.75" customHeight="1" spans="1:7">
      <c r="A2938" s="4" t="s">
        <v>6991</v>
      </c>
      <c r="B2938" s="5" t="s">
        <v>6992</v>
      </c>
      <c r="C2938" s="4" t="s">
        <v>82</v>
      </c>
      <c r="D2938" s="475">
        <v>3205.58</v>
      </c>
      <c r="E2938" s="476">
        <v>0.04722</v>
      </c>
      <c r="F2938" s="6">
        <v>0.2513</v>
      </c>
      <c r="G2938" s="6">
        <v>1</v>
      </c>
    </row>
    <row r="2939" ht="15.75" customHeight="1" spans="1:7">
      <c r="A2939" s="4" t="s">
        <v>6993</v>
      </c>
      <c r="B2939" s="5" t="s">
        <v>6994</v>
      </c>
      <c r="C2939" s="4" t="s">
        <v>82</v>
      </c>
      <c r="D2939" s="475">
        <v>3140.35</v>
      </c>
      <c r="E2939" s="476">
        <v>0.04722</v>
      </c>
      <c r="F2939" s="6">
        <v>0.2513</v>
      </c>
      <c r="G2939" s="6">
        <v>1</v>
      </c>
    </row>
    <row r="2940" ht="15.75" customHeight="1" spans="1:7">
      <c r="A2940" s="4" t="s">
        <v>6995</v>
      </c>
      <c r="B2940" s="5" t="s">
        <v>6996</v>
      </c>
      <c r="C2940" s="4" t="s">
        <v>82</v>
      </c>
      <c r="D2940" s="475">
        <v>3512.77</v>
      </c>
      <c r="E2940" s="476">
        <v>0.04722</v>
      </c>
      <c r="F2940" s="6">
        <v>0.2513</v>
      </c>
      <c r="G2940" s="6">
        <v>1</v>
      </c>
    </row>
    <row r="2941" ht="15.75" customHeight="1" spans="1:7">
      <c r="A2941" s="4" t="s">
        <v>6997</v>
      </c>
      <c r="B2941" s="5" t="s">
        <v>6998</v>
      </c>
      <c r="C2941" s="4" t="s">
        <v>82</v>
      </c>
      <c r="D2941" s="475">
        <v>3442.47</v>
      </c>
      <c r="E2941" s="476">
        <v>0.04722</v>
      </c>
      <c r="F2941" s="6">
        <v>0.2513</v>
      </c>
      <c r="G2941" s="6">
        <v>1</v>
      </c>
    </row>
    <row r="2942" ht="15.75" customHeight="1" spans="1:7">
      <c r="A2942" s="4" t="s">
        <v>6999</v>
      </c>
      <c r="B2942" s="5" t="s">
        <v>7000</v>
      </c>
      <c r="C2942" s="4" t="s">
        <v>99</v>
      </c>
      <c r="D2942" s="475">
        <v>68.6</v>
      </c>
      <c r="E2942" s="476">
        <v>0.04722</v>
      </c>
      <c r="F2942" s="6">
        <v>0.0311</v>
      </c>
      <c r="G2942" s="6">
        <v>432.51</v>
      </c>
    </row>
    <row r="2943" ht="15.75" customHeight="1" spans="1:7">
      <c r="A2943" s="4" t="s">
        <v>7001</v>
      </c>
      <c r="B2943" s="5" t="s">
        <v>7002</v>
      </c>
      <c r="C2943" s="4" t="s">
        <v>9</v>
      </c>
      <c r="D2943" s="475">
        <v>28.15</v>
      </c>
      <c r="E2943" s="476">
        <v>0.04722</v>
      </c>
      <c r="F2943" s="6">
        <v>1.1145</v>
      </c>
      <c r="G2943" s="6">
        <v>1</v>
      </c>
    </row>
    <row r="2944" ht="15.75" customHeight="1" spans="1:7">
      <c r="A2944" s="4" t="s">
        <v>7003</v>
      </c>
      <c r="B2944" s="5" t="s">
        <v>7004</v>
      </c>
      <c r="C2944" s="4" t="s">
        <v>9</v>
      </c>
      <c r="D2944" s="475">
        <v>25.12</v>
      </c>
      <c r="E2944" s="476">
        <v>0.04722</v>
      </c>
      <c r="F2944" s="6">
        <v>1.1145</v>
      </c>
      <c r="G2944" s="6">
        <v>1</v>
      </c>
    </row>
    <row r="2945" ht="15.75" customHeight="1" spans="1:7">
      <c r="A2945" s="4" t="s">
        <v>7005</v>
      </c>
      <c r="B2945" s="5" t="s">
        <v>7006</v>
      </c>
      <c r="C2945" s="4" t="s">
        <v>9</v>
      </c>
      <c r="D2945" s="475">
        <v>807.84</v>
      </c>
      <c r="E2945" s="476">
        <v>0</v>
      </c>
      <c r="F2945" s="6">
        <v>0</v>
      </c>
      <c r="G2945" s="6">
        <v>1</v>
      </c>
    </row>
    <row r="2946" ht="15.75" customHeight="1" spans="1:7">
      <c r="A2946" s="4" t="s">
        <v>7007</v>
      </c>
      <c r="B2946" s="5" t="s">
        <v>7008</v>
      </c>
      <c r="C2946" s="4" t="s">
        <v>9</v>
      </c>
      <c r="D2946" s="475">
        <v>756.98</v>
      </c>
      <c r="E2946" s="476">
        <v>0</v>
      </c>
      <c r="F2946" s="6">
        <v>0</v>
      </c>
      <c r="G2946" s="6">
        <v>1</v>
      </c>
    </row>
    <row r="2947" ht="15.75" customHeight="1" spans="1:7">
      <c r="A2947" s="4" t="s">
        <v>7009</v>
      </c>
      <c r="B2947" s="5" t="s">
        <v>7010</v>
      </c>
      <c r="C2947" s="4" t="s">
        <v>9</v>
      </c>
      <c r="D2947" s="475">
        <v>888.22</v>
      </c>
      <c r="E2947" s="476">
        <v>0</v>
      </c>
      <c r="F2947" s="6">
        <v>0</v>
      </c>
      <c r="G2947" s="6">
        <v>1</v>
      </c>
    </row>
    <row r="2948" ht="15.75" customHeight="1" spans="1:7">
      <c r="A2948" s="4" t="s">
        <v>7011</v>
      </c>
      <c r="B2948" s="5" t="s">
        <v>7012</v>
      </c>
      <c r="C2948" s="4" t="s">
        <v>9</v>
      </c>
      <c r="D2948" s="475">
        <v>831.89</v>
      </c>
      <c r="E2948" s="476">
        <v>0</v>
      </c>
      <c r="F2948" s="6">
        <v>0</v>
      </c>
      <c r="G2948" s="6">
        <v>1</v>
      </c>
    </row>
    <row r="2949" ht="15.75" customHeight="1" spans="1:7">
      <c r="A2949" s="4" t="s">
        <v>7013</v>
      </c>
      <c r="B2949" s="5" t="s">
        <v>7014</v>
      </c>
      <c r="C2949" s="4" t="s">
        <v>9</v>
      </c>
      <c r="D2949" s="475">
        <v>1077.62</v>
      </c>
      <c r="E2949" s="476">
        <v>0</v>
      </c>
      <c r="F2949" s="6">
        <v>0</v>
      </c>
      <c r="G2949" s="6">
        <v>1</v>
      </c>
    </row>
    <row r="2950" ht="15.75" customHeight="1" spans="1:7">
      <c r="A2950" s="4" t="s">
        <v>7015</v>
      </c>
      <c r="B2950" s="5" t="s">
        <v>7016</v>
      </c>
      <c r="C2950" s="4" t="s">
        <v>9</v>
      </c>
      <c r="D2950" s="475">
        <v>1006.86</v>
      </c>
      <c r="E2950" s="476">
        <v>0</v>
      </c>
      <c r="F2950" s="6">
        <v>0</v>
      </c>
      <c r="G2950" s="6">
        <v>1</v>
      </c>
    </row>
    <row r="2951" ht="15.75" customHeight="1" spans="1:7">
      <c r="A2951" s="4" t="s">
        <v>7017</v>
      </c>
      <c r="B2951" s="5" t="s">
        <v>7018</v>
      </c>
      <c r="C2951" s="4" t="s">
        <v>9</v>
      </c>
      <c r="D2951" s="475">
        <v>1238.4</v>
      </c>
      <c r="E2951" s="476">
        <v>0</v>
      </c>
      <c r="F2951" s="6">
        <v>0</v>
      </c>
      <c r="G2951" s="6">
        <v>1</v>
      </c>
    </row>
    <row r="2952" ht="15.75" customHeight="1" spans="1:7">
      <c r="A2952" s="4" t="s">
        <v>7019</v>
      </c>
      <c r="B2952" s="5" t="s">
        <v>7020</v>
      </c>
      <c r="C2952" s="4" t="s">
        <v>9</v>
      </c>
      <c r="D2952" s="475">
        <v>1157.56</v>
      </c>
      <c r="E2952" s="476">
        <v>0</v>
      </c>
      <c r="F2952" s="6">
        <v>0</v>
      </c>
      <c r="G2952" s="6">
        <v>1</v>
      </c>
    </row>
    <row r="2953" ht="15.75" customHeight="1" spans="1:7">
      <c r="A2953" s="4" t="s">
        <v>7021</v>
      </c>
      <c r="B2953" s="5" t="s">
        <v>7022</v>
      </c>
      <c r="C2953" s="4" t="s">
        <v>9</v>
      </c>
      <c r="D2953" s="475">
        <v>1472.5</v>
      </c>
      <c r="E2953" s="476">
        <v>0</v>
      </c>
      <c r="F2953" s="6">
        <v>0</v>
      </c>
      <c r="G2953" s="6">
        <v>1</v>
      </c>
    </row>
    <row r="2954" ht="15.75" customHeight="1" spans="1:7">
      <c r="A2954" s="4" t="s">
        <v>7023</v>
      </c>
      <c r="B2954" s="5" t="s">
        <v>7024</v>
      </c>
      <c r="C2954" s="4" t="s">
        <v>9</v>
      </c>
      <c r="D2954" s="475">
        <v>1376.07</v>
      </c>
      <c r="E2954" s="476">
        <v>0</v>
      </c>
      <c r="F2954" s="6">
        <v>0</v>
      </c>
      <c r="G2954" s="6">
        <v>1</v>
      </c>
    </row>
    <row r="2955" ht="15.75" customHeight="1" spans="1:7">
      <c r="A2955" s="4" t="s">
        <v>7025</v>
      </c>
      <c r="B2955" s="5" t="s">
        <v>7026</v>
      </c>
      <c r="C2955" s="4" t="s">
        <v>9</v>
      </c>
      <c r="D2955" s="475">
        <v>1635.95</v>
      </c>
      <c r="E2955" s="476">
        <v>0</v>
      </c>
      <c r="F2955" s="6">
        <v>0</v>
      </c>
      <c r="G2955" s="6">
        <v>1</v>
      </c>
    </row>
    <row r="2956" ht="15.75" customHeight="1" spans="1:7">
      <c r="A2956" s="4" t="s">
        <v>7027</v>
      </c>
      <c r="B2956" s="5" t="s">
        <v>7028</v>
      </c>
      <c r="C2956" s="4" t="s">
        <v>9</v>
      </c>
      <c r="D2956" s="475">
        <v>1522</v>
      </c>
      <c r="E2956" s="476">
        <v>0</v>
      </c>
      <c r="F2956" s="6">
        <v>0</v>
      </c>
      <c r="G2956" s="6">
        <v>1</v>
      </c>
    </row>
    <row r="2957" ht="15.75" customHeight="1" spans="1:7">
      <c r="A2957" s="4" t="s">
        <v>7029</v>
      </c>
      <c r="B2957" s="5" t="s">
        <v>7030</v>
      </c>
      <c r="C2957" s="4" t="s">
        <v>9</v>
      </c>
      <c r="D2957" s="475">
        <v>1893.22</v>
      </c>
      <c r="E2957" s="476">
        <v>0</v>
      </c>
      <c r="F2957" s="6">
        <v>0</v>
      </c>
      <c r="G2957" s="6">
        <v>1</v>
      </c>
    </row>
    <row r="2958" ht="15.75" customHeight="1" spans="1:7">
      <c r="A2958" s="4" t="s">
        <v>7031</v>
      </c>
      <c r="B2958" s="5" t="s">
        <v>7032</v>
      </c>
      <c r="C2958" s="4" t="s">
        <v>9</v>
      </c>
      <c r="D2958" s="475">
        <v>1761.96</v>
      </c>
      <c r="E2958" s="476">
        <v>0</v>
      </c>
      <c r="F2958" s="6">
        <v>0</v>
      </c>
      <c r="G2958" s="6">
        <v>1</v>
      </c>
    </row>
    <row r="2959" ht="15.75" customHeight="1" spans="1:7">
      <c r="A2959" s="4" t="s">
        <v>7033</v>
      </c>
      <c r="B2959" s="5" t="s">
        <v>7034</v>
      </c>
      <c r="C2959" s="4" t="s">
        <v>9</v>
      </c>
      <c r="D2959" s="475">
        <v>2217.5</v>
      </c>
      <c r="E2959" s="476">
        <v>0</v>
      </c>
      <c r="F2959" s="6">
        <v>0</v>
      </c>
      <c r="G2959" s="6">
        <v>1</v>
      </c>
    </row>
    <row r="2960" ht="15.75" customHeight="1" spans="1:7">
      <c r="A2960" s="4" t="s">
        <v>7035</v>
      </c>
      <c r="B2960" s="5" t="s">
        <v>7036</v>
      </c>
      <c r="C2960" s="4" t="s">
        <v>9</v>
      </c>
      <c r="D2960" s="475">
        <v>2064.63</v>
      </c>
      <c r="E2960" s="476">
        <v>0</v>
      </c>
      <c r="F2960" s="6">
        <v>0</v>
      </c>
      <c r="G2960" s="6">
        <v>1</v>
      </c>
    </row>
    <row r="2961" ht="15.75" customHeight="1" spans="1:7">
      <c r="A2961" s="4" t="s">
        <v>7037</v>
      </c>
      <c r="B2961" s="5" t="s">
        <v>7038</v>
      </c>
      <c r="C2961" s="4" t="s">
        <v>9</v>
      </c>
      <c r="D2961" s="475">
        <v>2179.14</v>
      </c>
      <c r="E2961" s="476">
        <v>0</v>
      </c>
      <c r="F2961" s="6">
        <v>0</v>
      </c>
      <c r="G2961" s="6">
        <v>1</v>
      </c>
    </row>
    <row r="2962" ht="15.75" customHeight="1" spans="1:7">
      <c r="A2962" s="4" t="s">
        <v>7039</v>
      </c>
      <c r="B2962" s="5" t="s">
        <v>7040</v>
      </c>
      <c r="C2962" s="4" t="s">
        <v>9</v>
      </c>
      <c r="D2962" s="475">
        <v>2021.99</v>
      </c>
      <c r="E2962" s="476">
        <v>0</v>
      </c>
      <c r="F2962" s="6">
        <v>0</v>
      </c>
      <c r="G2962" s="6">
        <v>1</v>
      </c>
    </row>
    <row r="2963" ht="15.75" customHeight="1" spans="1:7">
      <c r="A2963" s="4" t="s">
        <v>7041</v>
      </c>
      <c r="B2963" s="5" t="s">
        <v>7042</v>
      </c>
      <c r="C2963" s="4" t="s">
        <v>9</v>
      </c>
      <c r="D2963" s="475">
        <v>686.64</v>
      </c>
      <c r="E2963" s="476">
        <v>0</v>
      </c>
      <c r="F2963" s="6">
        <v>0</v>
      </c>
      <c r="G2963" s="6">
        <v>1</v>
      </c>
    </row>
    <row r="2964" ht="15.75" customHeight="1" spans="1:7">
      <c r="A2964" s="4" t="s">
        <v>7043</v>
      </c>
      <c r="B2964" s="5" t="s">
        <v>7044</v>
      </c>
      <c r="C2964" s="4" t="s">
        <v>9</v>
      </c>
      <c r="D2964" s="475">
        <v>647.28</v>
      </c>
      <c r="E2964" s="476">
        <v>0</v>
      </c>
      <c r="F2964" s="6">
        <v>0</v>
      </c>
      <c r="G2964" s="6">
        <v>1</v>
      </c>
    </row>
    <row r="2965" ht="15.75" customHeight="1" spans="1:7">
      <c r="A2965" s="4" t="s">
        <v>7045</v>
      </c>
      <c r="B2965" s="5" t="s">
        <v>7046</v>
      </c>
      <c r="C2965" s="4" t="s">
        <v>9</v>
      </c>
      <c r="D2965" s="475">
        <v>2820.14</v>
      </c>
      <c r="E2965" s="476">
        <v>0</v>
      </c>
      <c r="F2965" s="6">
        <v>0</v>
      </c>
      <c r="G2965" s="6">
        <v>1</v>
      </c>
    </row>
    <row r="2966" ht="15.75" customHeight="1" spans="1:7">
      <c r="A2966" s="4" t="s">
        <v>7047</v>
      </c>
      <c r="B2966" s="5" t="s">
        <v>7048</v>
      </c>
      <c r="C2966" s="4" t="s">
        <v>9</v>
      </c>
      <c r="D2966" s="475">
        <v>2618.89</v>
      </c>
      <c r="E2966" s="476">
        <v>0</v>
      </c>
      <c r="F2966" s="6">
        <v>0</v>
      </c>
      <c r="G2966" s="6">
        <v>1</v>
      </c>
    </row>
    <row r="2967" ht="15.75" customHeight="1" spans="1:7">
      <c r="A2967" s="4" t="s">
        <v>7049</v>
      </c>
      <c r="B2967" s="5" t="s">
        <v>7050</v>
      </c>
      <c r="C2967" s="4" t="s">
        <v>9</v>
      </c>
      <c r="D2967" s="475">
        <v>230.12</v>
      </c>
      <c r="E2967" s="476">
        <v>0.04722</v>
      </c>
      <c r="F2967" s="6">
        <v>2.5787</v>
      </c>
      <c r="G2967" s="6">
        <v>1</v>
      </c>
    </row>
    <row r="2968" ht="15.75" customHeight="1" spans="1:7">
      <c r="A2968" s="4" t="s">
        <v>7051</v>
      </c>
      <c r="B2968" s="5" t="s">
        <v>7052</v>
      </c>
      <c r="C2968" s="4" t="s">
        <v>9</v>
      </c>
      <c r="D2968" s="475">
        <v>213.29</v>
      </c>
      <c r="E2968" s="476">
        <v>0.04722</v>
      </c>
      <c r="F2968" s="6">
        <v>2.5787</v>
      </c>
      <c r="G2968" s="6">
        <v>1</v>
      </c>
    </row>
    <row r="2969" ht="15.75" customHeight="1" spans="1:7">
      <c r="A2969" s="4" t="s">
        <v>7053</v>
      </c>
      <c r="B2969" s="5" t="s">
        <v>7054</v>
      </c>
      <c r="C2969" s="4" t="s">
        <v>9</v>
      </c>
      <c r="D2969" s="475">
        <v>372.41</v>
      </c>
      <c r="E2969" s="476">
        <v>0</v>
      </c>
      <c r="F2969" s="6">
        <v>0</v>
      </c>
      <c r="G2969" s="6">
        <v>1</v>
      </c>
    </row>
    <row r="2970" ht="15.75" customHeight="1" spans="1:7">
      <c r="A2970" s="4" t="s">
        <v>7055</v>
      </c>
      <c r="B2970" s="5" t="s">
        <v>7056</v>
      </c>
      <c r="C2970" s="4" t="s">
        <v>9</v>
      </c>
      <c r="D2970" s="475">
        <v>349.45</v>
      </c>
      <c r="E2970" s="476">
        <v>0</v>
      </c>
      <c r="F2970" s="6">
        <v>0</v>
      </c>
      <c r="G2970" s="6">
        <v>1</v>
      </c>
    </row>
    <row r="2971" ht="15.75" customHeight="1" spans="1:7">
      <c r="A2971" s="4" t="s">
        <v>7057</v>
      </c>
      <c r="B2971" s="5" t="s">
        <v>7058</v>
      </c>
      <c r="C2971" s="4" t="s">
        <v>9</v>
      </c>
      <c r="D2971" s="475">
        <v>894.48</v>
      </c>
      <c r="E2971" s="476">
        <v>0</v>
      </c>
      <c r="F2971" s="6">
        <v>0</v>
      </c>
      <c r="G2971" s="6">
        <v>1</v>
      </c>
    </row>
    <row r="2972" ht="15.75" customHeight="1" spans="1:7">
      <c r="A2972" s="4" t="s">
        <v>7059</v>
      </c>
      <c r="B2972" s="5" t="s">
        <v>7060</v>
      </c>
      <c r="C2972" s="4" t="s">
        <v>9</v>
      </c>
      <c r="D2972" s="475">
        <v>842.07</v>
      </c>
      <c r="E2972" s="476">
        <v>0</v>
      </c>
      <c r="F2972" s="6">
        <v>0</v>
      </c>
      <c r="G2972" s="6">
        <v>1</v>
      </c>
    </row>
    <row r="2973" ht="15.75" customHeight="1" spans="1:7">
      <c r="A2973" s="4" t="s">
        <v>7061</v>
      </c>
      <c r="B2973" s="5" t="s">
        <v>7062</v>
      </c>
      <c r="C2973" s="4" t="s">
        <v>9</v>
      </c>
      <c r="D2973" s="475">
        <v>616.85</v>
      </c>
      <c r="E2973" s="476">
        <v>0</v>
      </c>
      <c r="F2973" s="6">
        <v>0</v>
      </c>
      <c r="G2973" s="6">
        <v>1</v>
      </c>
    </row>
    <row r="2974" ht="15.75" customHeight="1" spans="1:7">
      <c r="A2974" s="4" t="s">
        <v>7063</v>
      </c>
      <c r="B2974" s="5" t="s">
        <v>7064</v>
      </c>
      <c r="C2974" s="4" t="s">
        <v>9</v>
      </c>
      <c r="D2974" s="475">
        <v>584.03</v>
      </c>
      <c r="E2974" s="476">
        <v>0</v>
      </c>
      <c r="F2974" s="6">
        <v>0</v>
      </c>
      <c r="G2974" s="6">
        <v>1</v>
      </c>
    </row>
    <row r="2975" ht="15.75" customHeight="1" spans="1:7">
      <c r="A2975" s="4" t="s">
        <v>7065</v>
      </c>
      <c r="B2975" s="5" t="s">
        <v>7066</v>
      </c>
      <c r="C2975" s="4" t="s">
        <v>9</v>
      </c>
      <c r="D2975" s="475">
        <v>627.86</v>
      </c>
      <c r="E2975" s="476">
        <v>0</v>
      </c>
      <c r="F2975" s="6">
        <v>0</v>
      </c>
      <c r="G2975" s="6">
        <v>1</v>
      </c>
    </row>
    <row r="2976" ht="15.75" customHeight="1" spans="1:7">
      <c r="A2976" s="4" t="s">
        <v>7067</v>
      </c>
      <c r="B2976" s="5" t="s">
        <v>7068</v>
      </c>
      <c r="C2976" s="4" t="s">
        <v>9</v>
      </c>
      <c r="D2976" s="475">
        <v>592.22</v>
      </c>
      <c r="E2976" s="476">
        <v>0</v>
      </c>
      <c r="F2976" s="6">
        <v>0</v>
      </c>
      <c r="G2976" s="6">
        <v>1</v>
      </c>
    </row>
    <row r="2977" ht="15.75" customHeight="1" spans="1:7">
      <c r="A2977" s="4" t="s">
        <v>7069</v>
      </c>
      <c r="B2977" s="5" t="s">
        <v>7070</v>
      </c>
      <c r="C2977" s="4" t="s">
        <v>9</v>
      </c>
      <c r="D2977" s="475">
        <v>766.66</v>
      </c>
      <c r="E2977" s="476">
        <v>0</v>
      </c>
      <c r="F2977" s="6">
        <v>0</v>
      </c>
      <c r="G2977" s="6">
        <v>1</v>
      </c>
    </row>
    <row r="2978" ht="15.75" customHeight="1" spans="1:7">
      <c r="A2978" s="4" t="s">
        <v>7071</v>
      </c>
      <c r="B2978" s="5" t="s">
        <v>7072</v>
      </c>
      <c r="C2978" s="4" t="s">
        <v>9</v>
      </c>
      <c r="D2978" s="475">
        <v>722.62</v>
      </c>
      <c r="E2978" s="476">
        <v>0</v>
      </c>
      <c r="F2978" s="6">
        <v>0</v>
      </c>
      <c r="G2978" s="6">
        <v>1</v>
      </c>
    </row>
    <row r="2979" ht="15.75" customHeight="1" spans="1:7">
      <c r="A2979" s="4" t="s">
        <v>7073</v>
      </c>
      <c r="B2979" s="5" t="s">
        <v>7074</v>
      </c>
      <c r="C2979" s="4" t="s">
        <v>82</v>
      </c>
      <c r="D2979" s="475">
        <v>806.13</v>
      </c>
      <c r="E2979" s="476">
        <v>0.04722</v>
      </c>
      <c r="F2979" s="6">
        <v>1.0552</v>
      </c>
      <c r="G2979" s="6">
        <v>1</v>
      </c>
    </row>
    <row r="2980" ht="15.75" customHeight="1" spans="1:7">
      <c r="A2980" s="4" t="s">
        <v>7075</v>
      </c>
      <c r="B2980" s="5" t="s">
        <v>7076</v>
      </c>
      <c r="C2980" s="4" t="s">
        <v>82</v>
      </c>
      <c r="D2980" s="475">
        <v>954.05</v>
      </c>
      <c r="E2980" s="476">
        <v>0.04722</v>
      </c>
      <c r="F2980" s="6">
        <v>1.0552</v>
      </c>
      <c r="G2980" s="6">
        <v>1</v>
      </c>
    </row>
    <row r="2981" ht="15.75" customHeight="1" spans="1:7">
      <c r="A2981" s="4" t="s">
        <v>7077</v>
      </c>
      <c r="B2981" s="5" t="s">
        <v>7078</v>
      </c>
      <c r="C2981" s="4" t="s">
        <v>82</v>
      </c>
      <c r="D2981" s="475">
        <v>1137.76</v>
      </c>
      <c r="E2981" s="476">
        <v>0.04722</v>
      </c>
      <c r="F2981" s="6">
        <v>1.6905</v>
      </c>
      <c r="G2981" s="6">
        <v>1</v>
      </c>
    </row>
    <row r="2982" ht="15.75" customHeight="1" spans="1:7">
      <c r="A2982" s="4" t="s">
        <v>7079</v>
      </c>
      <c r="B2982" s="5" t="s">
        <v>7080</v>
      </c>
      <c r="C2982" s="4" t="s">
        <v>82</v>
      </c>
      <c r="D2982" s="475">
        <v>1364.08</v>
      </c>
      <c r="E2982" s="476">
        <v>0.04722</v>
      </c>
      <c r="F2982" s="6">
        <v>1.6905</v>
      </c>
      <c r="G2982" s="6">
        <v>1</v>
      </c>
    </row>
    <row r="2983" ht="15.75" customHeight="1" spans="1:7">
      <c r="A2983" s="4" t="s">
        <v>7081</v>
      </c>
      <c r="B2983" s="5" t="s">
        <v>7082</v>
      </c>
      <c r="C2983" s="4" t="s">
        <v>82</v>
      </c>
      <c r="D2983" s="475">
        <v>1511.43</v>
      </c>
      <c r="E2983" s="476">
        <v>0.04722</v>
      </c>
      <c r="F2983" s="6">
        <v>2.4475</v>
      </c>
      <c r="G2983" s="6">
        <v>1</v>
      </c>
    </row>
    <row r="2984" ht="15.75" customHeight="1" spans="1:7">
      <c r="A2984" s="4" t="s">
        <v>7083</v>
      </c>
      <c r="B2984" s="5" t="s">
        <v>7084</v>
      </c>
      <c r="C2984" s="4" t="s">
        <v>82</v>
      </c>
      <c r="D2984" s="475">
        <v>1829.93</v>
      </c>
      <c r="E2984" s="476">
        <v>0.04722</v>
      </c>
      <c r="F2984" s="6">
        <v>2.4475</v>
      </c>
      <c r="G2984" s="6">
        <v>1</v>
      </c>
    </row>
    <row r="2985" ht="15.75" customHeight="1" spans="1:7">
      <c r="A2985" s="4" t="s">
        <v>7085</v>
      </c>
      <c r="B2985" s="5" t="s">
        <v>7086</v>
      </c>
      <c r="C2985" s="4" t="s">
        <v>82</v>
      </c>
      <c r="D2985" s="475">
        <v>1946.04</v>
      </c>
      <c r="E2985" s="476">
        <v>0.04722</v>
      </c>
      <c r="F2985" s="6">
        <v>3.4171</v>
      </c>
      <c r="G2985" s="6">
        <v>1</v>
      </c>
    </row>
    <row r="2986" ht="15.75" customHeight="1" spans="1:7">
      <c r="A2986" s="4" t="s">
        <v>7087</v>
      </c>
      <c r="B2986" s="5" t="s">
        <v>7088</v>
      </c>
      <c r="C2986" s="4" t="s">
        <v>82</v>
      </c>
      <c r="D2986" s="475">
        <v>2379.41</v>
      </c>
      <c r="E2986" s="476">
        <v>0.04722</v>
      </c>
      <c r="F2986" s="6">
        <v>3.4171</v>
      </c>
      <c r="G2986" s="6">
        <v>1</v>
      </c>
    </row>
    <row r="2987" ht="15.75" customHeight="1" spans="1:7">
      <c r="A2987" s="4" t="s">
        <v>7089</v>
      </c>
      <c r="B2987" s="5" t="s">
        <v>7090</v>
      </c>
      <c r="C2987" s="4" t="s">
        <v>82</v>
      </c>
      <c r="D2987" s="475">
        <v>2410.44</v>
      </c>
      <c r="E2987" s="476">
        <v>0.04722</v>
      </c>
      <c r="F2987" s="6">
        <v>4.4536</v>
      </c>
      <c r="G2987" s="6">
        <v>1</v>
      </c>
    </row>
    <row r="2988" ht="15.75" customHeight="1" spans="1:7">
      <c r="A2988" s="4" t="s">
        <v>7091</v>
      </c>
      <c r="B2988" s="5" t="s">
        <v>7092</v>
      </c>
      <c r="C2988" s="4" t="s">
        <v>82</v>
      </c>
      <c r="D2988" s="475">
        <v>2966.51</v>
      </c>
      <c r="E2988" s="476">
        <v>0.04722</v>
      </c>
      <c r="F2988" s="6">
        <v>4.4536</v>
      </c>
      <c r="G2988" s="6">
        <v>1</v>
      </c>
    </row>
    <row r="2989" ht="15.75" customHeight="1" spans="1:7">
      <c r="A2989" s="4" t="s">
        <v>7093</v>
      </c>
      <c r="B2989" s="5" t="s">
        <v>7094</v>
      </c>
      <c r="C2989" s="4" t="s">
        <v>82</v>
      </c>
      <c r="D2989" s="475">
        <v>1924.63</v>
      </c>
      <c r="E2989" s="476">
        <v>0.04722</v>
      </c>
      <c r="F2989" s="6">
        <v>3.3221</v>
      </c>
      <c r="G2989" s="6">
        <v>1</v>
      </c>
    </row>
    <row r="2990" ht="15.75" customHeight="1" spans="1:7">
      <c r="A2990" s="4" t="s">
        <v>7095</v>
      </c>
      <c r="B2990" s="5" t="s">
        <v>7096</v>
      </c>
      <c r="C2990" s="4" t="s">
        <v>82</v>
      </c>
      <c r="D2990" s="475">
        <v>2348.01</v>
      </c>
      <c r="E2990" s="476">
        <v>0.04722</v>
      </c>
      <c r="F2990" s="6">
        <v>3.3221</v>
      </c>
      <c r="G2990" s="6">
        <v>1</v>
      </c>
    </row>
    <row r="2991" ht="15.75" customHeight="1" spans="1:7">
      <c r="A2991" s="4" t="s">
        <v>7097</v>
      </c>
      <c r="B2991" s="5" t="s">
        <v>7098</v>
      </c>
      <c r="C2991" s="4" t="s">
        <v>82</v>
      </c>
      <c r="D2991" s="475">
        <v>2515.19</v>
      </c>
      <c r="E2991" s="476">
        <v>0.04722</v>
      </c>
      <c r="F2991" s="6">
        <v>4.6863</v>
      </c>
      <c r="G2991" s="6">
        <v>1</v>
      </c>
    </row>
    <row r="2992" ht="15.75" customHeight="1" spans="1:7">
      <c r="A2992" s="4" t="s">
        <v>7099</v>
      </c>
      <c r="B2992" s="5" t="s">
        <v>7100</v>
      </c>
      <c r="C2992" s="4" t="s">
        <v>82</v>
      </c>
      <c r="D2992" s="475">
        <v>3098.32</v>
      </c>
      <c r="E2992" s="476">
        <v>0.04722</v>
      </c>
      <c r="F2992" s="6">
        <v>4.6863</v>
      </c>
      <c r="G2992" s="6">
        <v>1</v>
      </c>
    </row>
    <row r="2993" ht="15.75" customHeight="1" spans="1:7">
      <c r="A2993" s="4" t="s">
        <v>7101</v>
      </c>
      <c r="B2993" s="5" t="s">
        <v>7102</v>
      </c>
      <c r="C2993" s="4" t="s">
        <v>82</v>
      </c>
      <c r="D2993" s="475">
        <v>3107.75</v>
      </c>
      <c r="E2993" s="476">
        <v>0.04722</v>
      </c>
      <c r="F2993" s="6">
        <v>6.0505</v>
      </c>
      <c r="G2993" s="6">
        <v>1</v>
      </c>
    </row>
    <row r="2994" ht="15.75" customHeight="1" spans="1:7">
      <c r="A2994" s="4" t="s">
        <v>7103</v>
      </c>
      <c r="B2994" s="5" t="s">
        <v>7104</v>
      </c>
      <c r="C2994" s="4" t="s">
        <v>82</v>
      </c>
      <c r="D2994" s="475">
        <v>3851.23</v>
      </c>
      <c r="E2994" s="476">
        <v>0.04722</v>
      </c>
      <c r="F2994" s="6">
        <v>6.0505</v>
      </c>
      <c r="G2994" s="6">
        <v>1</v>
      </c>
    </row>
    <row r="2995" ht="15.75" customHeight="1" spans="1:7">
      <c r="A2995" s="4" t="s">
        <v>7105</v>
      </c>
      <c r="B2995" s="5" t="s">
        <v>7106</v>
      </c>
      <c r="C2995" s="4" t="s">
        <v>82</v>
      </c>
      <c r="D2995" s="475">
        <v>2905.51</v>
      </c>
      <c r="E2995" s="476">
        <v>0.04722</v>
      </c>
      <c r="F2995" s="6">
        <v>5.5269</v>
      </c>
      <c r="G2995" s="6">
        <v>1</v>
      </c>
    </row>
    <row r="2996" ht="15.75" customHeight="1" spans="1:7">
      <c r="A2996" s="4" t="s">
        <v>7107</v>
      </c>
      <c r="B2996" s="5" t="s">
        <v>7108</v>
      </c>
      <c r="C2996" s="4" t="s">
        <v>82</v>
      </c>
      <c r="D2996" s="475">
        <v>3589.51</v>
      </c>
      <c r="E2996" s="476">
        <v>0.04722</v>
      </c>
      <c r="F2996" s="6">
        <v>5.5269</v>
      </c>
      <c r="G2996" s="6">
        <v>1</v>
      </c>
    </row>
    <row r="2997" ht="15.75" customHeight="1" spans="1:7">
      <c r="A2997" s="4" t="s">
        <v>7109</v>
      </c>
      <c r="B2997" s="5" t="s">
        <v>7110</v>
      </c>
      <c r="C2997" s="4" t="s">
        <v>82</v>
      </c>
      <c r="D2997" s="475">
        <v>3725.84</v>
      </c>
      <c r="E2997" s="476">
        <v>0.04722</v>
      </c>
      <c r="F2997" s="6">
        <v>7.4828</v>
      </c>
      <c r="G2997" s="6">
        <v>1</v>
      </c>
    </row>
    <row r="2998" ht="15.75" customHeight="1" spans="1:7">
      <c r="A2998" s="4" t="s">
        <v>7111</v>
      </c>
      <c r="B2998" s="5" t="s">
        <v>7112</v>
      </c>
      <c r="C2998" s="4" t="s">
        <v>82</v>
      </c>
      <c r="D2998" s="475">
        <v>4637.11</v>
      </c>
      <c r="E2998" s="476">
        <v>0.04722</v>
      </c>
      <c r="F2998" s="6">
        <v>7.4828</v>
      </c>
      <c r="G2998" s="6">
        <v>1</v>
      </c>
    </row>
    <row r="2999" ht="15.75" customHeight="1" spans="1:7">
      <c r="A2999" s="4" t="s">
        <v>7113</v>
      </c>
      <c r="B2999" s="5" t="s">
        <v>7114</v>
      </c>
      <c r="C2999" s="4" t="s">
        <v>82</v>
      </c>
      <c r="D2999" s="475">
        <v>4608.37</v>
      </c>
      <c r="E2999" s="476">
        <v>0.04722</v>
      </c>
      <c r="F2999" s="6">
        <v>9.5892</v>
      </c>
      <c r="G2999" s="6">
        <v>1</v>
      </c>
    </row>
    <row r="3000" ht="15.75" customHeight="1" spans="1:7">
      <c r="A3000" s="4" t="s">
        <v>7115</v>
      </c>
      <c r="B3000" s="5" t="s">
        <v>7116</v>
      </c>
      <c r="C3000" s="4" t="s">
        <v>82</v>
      </c>
      <c r="D3000" s="475">
        <v>5764.65</v>
      </c>
      <c r="E3000" s="476">
        <v>0.04722</v>
      </c>
      <c r="F3000" s="6">
        <v>9.5892</v>
      </c>
      <c r="G3000" s="6">
        <v>1</v>
      </c>
    </row>
    <row r="3001" ht="15.75" customHeight="1" spans="1:7">
      <c r="A3001" s="4" t="s">
        <v>7117</v>
      </c>
      <c r="B3001" s="5" t="s">
        <v>7118</v>
      </c>
      <c r="C3001" s="4" t="s">
        <v>82</v>
      </c>
      <c r="D3001" s="475">
        <v>584.18</v>
      </c>
      <c r="E3001" s="476">
        <v>0.04722</v>
      </c>
      <c r="F3001" s="6">
        <v>0.535</v>
      </c>
      <c r="G3001" s="6">
        <v>1</v>
      </c>
    </row>
    <row r="3002" ht="15.75" customHeight="1" spans="1:7">
      <c r="A3002" s="4" t="s">
        <v>7119</v>
      </c>
      <c r="B3002" s="5" t="s">
        <v>7120</v>
      </c>
      <c r="C3002" s="4" t="s">
        <v>82</v>
      </c>
      <c r="D3002" s="475">
        <v>674.31</v>
      </c>
      <c r="E3002" s="476">
        <v>0.04722</v>
      </c>
      <c r="F3002" s="6">
        <v>0.535</v>
      </c>
      <c r="G3002" s="6">
        <v>1</v>
      </c>
    </row>
    <row r="3003" ht="15.75" customHeight="1" spans="1:7">
      <c r="A3003" s="4" t="s">
        <v>7121</v>
      </c>
      <c r="B3003" s="5" t="s">
        <v>7122</v>
      </c>
      <c r="C3003" s="4" t="s">
        <v>82</v>
      </c>
      <c r="D3003" s="475">
        <v>651.21</v>
      </c>
      <c r="E3003" s="476">
        <v>0</v>
      </c>
      <c r="F3003" s="6">
        <v>0</v>
      </c>
      <c r="G3003" s="6">
        <v>1</v>
      </c>
    </row>
    <row r="3004" ht="15.75" customHeight="1" spans="1:7">
      <c r="A3004" s="4" t="s">
        <v>7123</v>
      </c>
      <c r="B3004" s="5" t="s">
        <v>7124</v>
      </c>
      <c r="C3004" s="4" t="s">
        <v>82</v>
      </c>
      <c r="D3004" s="475">
        <v>593.49</v>
      </c>
      <c r="E3004" s="476">
        <v>0</v>
      </c>
      <c r="F3004" s="6">
        <v>0</v>
      </c>
      <c r="G3004" s="6">
        <v>1</v>
      </c>
    </row>
    <row r="3005" ht="15.75" customHeight="1" spans="1:7">
      <c r="A3005" s="4" t="s">
        <v>7125</v>
      </c>
      <c r="B3005" s="5" t="s">
        <v>7126</v>
      </c>
      <c r="C3005" s="4" t="s">
        <v>82</v>
      </c>
      <c r="D3005" s="475">
        <v>365.67</v>
      </c>
      <c r="E3005" s="476">
        <v>0.04722</v>
      </c>
      <c r="F3005" s="6">
        <v>0.2675</v>
      </c>
      <c r="G3005" s="6">
        <v>1</v>
      </c>
    </row>
    <row r="3006" ht="15.75" customHeight="1" spans="1:7">
      <c r="A3006" s="4" t="s">
        <v>7127</v>
      </c>
      <c r="B3006" s="5" t="s">
        <v>7128</v>
      </c>
      <c r="C3006" s="4" t="s">
        <v>82</v>
      </c>
      <c r="D3006" s="475">
        <v>414.13</v>
      </c>
      <c r="E3006" s="476">
        <v>0.04722</v>
      </c>
      <c r="F3006" s="6">
        <v>0.2675</v>
      </c>
      <c r="G3006" s="6">
        <v>1</v>
      </c>
    </row>
    <row r="3007" ht="15.75" customHeight="1" spans="1:7">
      <c r="A3007" s="4" t="s">
        <v>7129</v>
      </c>
      <c r="B3007" s="5" t="s">
        <v>7130</v>
      </c>
      <c r="C3007" s="4" t="s">
        <v>82</v>
      </c>
      <c r="D3007" s="475">
        <v>467.43</v>
      </c>
      <c r="E3007" s="476">
        <v>0</v>
      </c>
      <c r="F3007" s="6">
        <v>0</v>
      </c>
      <c r="G3007" s="6">
        <v>1</v>
      </c>
    </row>
    <row r="3008" ht="15.75" customHeight="1" spans="1:7">
      <c r="A3008" s="4" t="s">
        <v>7131</v>
      </c>
      <c r="B3008" s="5" t="s">
        <v>7132</v>
      </c>
      <c r="C3008" s="4" t="s">
        <v>82</v>
      </c>
      <c r="D3008" s="475">
        <v>426.7</v>
      </c>
      <c r="E3008" s="476">
        <v>0</v>
      </c>
      <c r="F3008" s="6">
        <v>0</v>
      </c>
      <c r="G3008" s="6">
        <v>1</v>
      </c>
    </row>
    <row r="3009" ht="15.75" customHeight="1" spans="1:7">
      <c r="A3009" s="4" t="s">
        <v>7133</v>
      </c>
      <c r="B3009" s="5" t="s">
        <v>7134</v>
      </c>
      <c r="C3009" s="4" t="s">
        <v>82</v>
      </c>
      <c r="D3009" s="475">
        <v>582.91</v>
      </c>
      <c r="E3009" s="476">
        <v>0.04722</v>
      </c>
      <c r="F3009" s="6">
        <v>0.535</v>
      </c>
      <c r="G3009" s="6">
        <v>1</v>
      </c>
    </row>
    <row r="3010" ht="15.75" customHeight="1" spans="1:7">
      <c r="A3010" s="4" t="s">
        <v>7135</v>
      </c>
      <c r="B3010" s="5" t="s">
        <v>7136</v>
      </c>
      <c r="C3010" s="4" t="s">
        <v>82</v>
      </c>
      <c r="D3010" s="475">
        <v>672.65</v>
      </c>
      <c r="E3010" s="476">
        <v>0.04722</v>
      </c>
      <c r="F3010" s="6">
        <v>0.535</v>
      </c>
      <c r="G3010" s="6">
        <v>1</v>
      </c>
    </row>
    <row r="3011" ht="15.75" customHeight="1" spans="1:7">
      <c r="A3011" s="4" t="s">
        <v>7137</v>
      </c>
      <c r="B3011" s="5" t="s">
        <v>7138</v>
      </c>
      <c r="C3011" s="4" t="s">
        <v>82</v>
      </c>
      <c r="D3011" s="475">
        <v>1617.71</v>
      </c>
      <c r="E3011" s="476">
        <v>0</v>
      </c>
      <c r="F3011" s="6">
        <v>0</v>
      </c>
      <c r="G3011" s="6">
        <v>1</v>
      </c>
    </row>
    <row r="3012" ht="15.75" customHeight="1" spans="1:7">
      <c r="A3012" s="4" t="s">
        <v>7139</v>
      </c>
      <c r="B3012" s="5" t="s">
        <v>7140</v>
      </c>
      <c r="C3012" s="4" t="s">
        <v>82</v>
      </c>
      <c r="D3012" s="475">
        <v>1514.38</v>
      </c>
      <c r="E3012" s="476">
        <v>0</v>
      </c>
      <c r="F3012" s="6">
        <v>0</v>
      </c>
      <c r="G3012" s="6">
        <v>1</v>
      </c>
    </row>
    <row r="3013" ht="15.75" customHeight="1" spans="1:7">
      <c r="A3013" s="4" t="s">
        <v>7141</v>
      </c>
      <c r="B3013" s="5" t="s">
        <v>7142</v>
      </c>
      <c r="C3013" s="4" t="s">
        <v>82</v>
      </c>
      <c r="D3013" s="475">
        <v>726.45</v>
      </c>
      <c r="E3013" s="476">
        <v>0.04722</v>
      </c>
      <c r="F3013" s="6">
        <v>0.8091</v>
      </c>
      <c r="G3013" s="6">
        <v>1</v>
      </c>
    </row>
    <row r="3014" ht="15.75" customHeight="1" spans="1:7">
      <c r="A3014" s="4" t="s">
        <v>7143</v>
      </c>
      <c r="B3014" s="5" t="s">
        <v>7144</v>
      </c>
      <c r="C3014" s="4" t="s">
        <v>82</v>
      </c>
      <c r="D3014" s="475">
        <v>850.38</v>
      </c>
      <c r="E3014" s="476">
        <v>0.04722</v>
      </c>
      <c r="F3014" s="6">
        <v>0.8091</v>
      </c>
      <c r="G3014" s="6">
        <v>1</v>
      </c>
    </row>
    <row r="3015" ht="15.75" customHeight="1" spans="1:7">
      <c r="A3015" s="4" t="s">
        <v>7145</v>
      </c>
      <c r="B3015" s="5" t="s">
        <v>7146</v>
      </c>
      <c r="C3015" s="4" t="s">
        <v>82</v>
      </c>
      <c r="D3015" s="475">
        <v>1853.72</v>
      </c>
      <c r="E3015" s="476">
        <v>0</v>
      </c>
      <c r="F3015" s="6">
        <v>0</v>
      </c>
      <c r="G3015" s="6">
        <v>1</v>
      </c>
    </row>
    <row r="3016" ht="15.75" customHeight="1" spans="1:7">
      <c r="A3016" s="4" t="s">
        <v>7147</v>
      </c>
      <c r="B3016" s="5" t="s">
        <v>7148</v>
      </c>
      <c r="C3016" s="4" t="s">
        <v>82</v>
      </c>
      <c r="D3016" s="475">
        <v>1733.54</v>
      </c>
      <c r="E3016" s="476">
        <v>0</v>
      </c>
      <c r="F3016" s="6">
        <v>0</v>
      </c>
      <c r="G3016" s="6">
        <v>1</v>
      </c>
    </row>
    <row r="3017" ht="15.75" customHeight="1" spans="1:7">
      <c r="A3017" s="4" t="s">
        <v>7149</v>
      </c>
      <c r="B3017" s="5" t="s">
        <v>7150</v>
      </c>
      <c r="C3017" s="4" t="s">
        <v>82</v>
      </c>
      <c r="D3017" s="475">
        <v>948.06</v>
      </c>
      <c r="E3017" s="476">
        <v>0.04722</v>
      </c>
      <c r="F3017" s="6">
        <v>1.1702</v>
      </c>
      <c r="G3017" s="6">
        <v>1</v>
      </c>
    </row>
    <row r="3018" ht="15.75" customHeight="1" spans="1:7">
      <c r="A3018" s="4" t="s">
        <v>7151</v>
      </c>
      <c r="B3018" s="5" t="s">
        <v>7152</v>
      </c>
      <c r="C3018" s="4" t="s">
        <v>82</v>
      </c>
      <c r="D3018" s="475">
        <v>1119.91</v>
      </c>
      <c r="E3018" s="476">
        <v>0.04722</v>
      </c>
      <c r="F3018" s="6">
        <v>1.1702</v>
      </c>
      <c r="G3018" s="6">
        <v>1</v>
      </c>
    </row>
    <row r="3019" ht="15.75" customHeight="1" spans="1:7">
      <c r="A3019" s="4" t="s">
        <v>7153</v>
      </c>
      <c r="B3019" s="5" t="s">
        <v>7154</v>
      </c>
      <c r="C3019" s="4" t="s">
        <v>82</v>
      </c>
      <c r="D3019" s="475">
        <v>2858.72</v>
      </c>
      <c r="E3019" s="476">
        <v>0</v>
      </c>
      <c r="F3019" s="6">
        <v>0</v>
      </c>
      <c r="G3019" s="6">
        <v>1</v>
      </c>
    </row>
    <row r="3020" ht="15.75" customHeight="1" spans="1:7">
      <c r="A3020" s="4" t="s">
        <v>7155</v>
      </c>
      <c r="B3020" s="5" t="s">
        <v>7156</v>
      </c>
      <c r="C3020" s="4" t="s">
        <v>82</v>
      </c>
      <c r="D3020" s="475">
        <v>2665.86</v>
      </c>
      <c r="E3020" s="476">
        <v>0</v>
      </c>
      <c r="F3020" s="6">
        <v>0</v>
      </c>
      <c r="G3020" s="6">
        <v>1</v>
      </c>
    </row>
    <row r="3021" ht="15.75" customHeight="1" spans="1:7">
      <c r="A3021" s="4" t="s">
        <v>7157</v>
      </c>
      <c r="B3021" s="5" t="s">
        <v>7158</v>
      </c>
      <c r="C3021" s="4" t="s">
        <v>82</v>
      </c>
      <c r="D3021" s="475">
        <v>1225.68</v>
      </c>
      <c r="E3021" s="476">
        <v>0.04722</v>
      </c>
      <c r="F3021" s="6">
        <v>1.7052</v>
      </c>
      <c r="G3021" s="6">
        <v>1</v>
      </c>
    </row>
    <row r="3022" ht="15.75" customHeight="1" spans="1:7">
      <c r="A3022" s="4" t="s">
        <v>7159</v>
      </c>
      <c r="B3022" s="5" t="s">
        <v>7160</v>
      </c>
      <c r="C3022" s="4" t="s">
        <v>82</v>
      </c>
      <c r="D3022" s="475">
        <v>1463.9</v>
      </c>
      <c r="E3022" s="476">
        <v>0.04722</v>
      </c>
      <c r="F3022" s="6">
        <v>1.7052</v>
      </c>
      <c r="G3022" s="6">
        <v>1</v>
      </c>
    </row>
    <row r="3023" ht="15.75" customHeight="1" spans="1:7">
      <c r="A3023" s="4" t="s">
        <v>7161</v>
      </c>
      <c r="B3023" s="5" t="s">
        <v>7162</v>
      </c>
      <c r="C3023" s="4" t="s">
        <v>82</v>
      </c>
      <c r="D3023" s="475">
        <v>3618.96</v>
      </c>
      <c r="E3023" s="476">
        <v>0</v>
      </c>
      <c r="F3023" s="6">
        <v>0</v>
      </c>
      <c r="G3023" s="6">
        <v>1</v>
      </c>
    </row>
    <row r="3024" ht="15.75" customHeight="1" spans="1:7">
      <c r="A3024" s="4" t="s">
        <v>7163</v>
      </c>
      <c r="B3024" s="5" t="s">
        <v>7164</v>
      </c>
      <c r="C3024" s="4" t="s">
        <v>82</v>
      </c>
      <c r="D3024" s="475">
        <v>3365.76</v>
      </c>
      <c r="E3024" s="476">
        <v>0</v>
      </c>
      <c r="F3024" s="6">
        <v>0</v>
      </c>
      <c r="G3024" s="6">
        <v>1</v>
      </c>
    </row>
    <row r="3025" ht="15.75" customHeight="1" spans="1:7">
      <c r="A3025" s="4" t="s">
        <v>7165</v>
      </c>
      <c r="B3025" s="5" t="s">
        <v>7166</v>
      </c>
      <c r="C3025" s="4" t="s">
        <v>82</v>
      </c>
      <c r="D3025" s="475">
        <v>1518.9</v>
      </c>
      <c r="E3025" s="476">
        <v>0.04722</v>
      </c>
      <c r="F3025" s="6">
        <v>2.2736</v>
      </c>
      <c r="G3025" s="6">
        <v>1</v>
      </c>
    </row>
    <row r="3026" ht="15.75" customHeight="1" spans="1:7">
      <c r="A3026" s="4" t="s">
        <v>7167</v>
      </c>
      <c r="B3026" s="5" t="s">
        <v>7168</v>
      </c>
      <c r="C3026" s="4" t="s">
        <v>82</v>
      </c>
      <c r="D3026" s="475">
        <v>1827.56</v>
      </c>
      <c r="E3026" s="476">
        <v>0.04722</v>
      </c>
      <c r="F3026" s="6">
        <v>2.2736</v>
      </c>
      <c r="G3026" s="6">
        <v>1</v>
      </c>
    </row>
    <row r="3027" ht="15.75" customHeight="1" spans="1:7">
      <c r="A3027" s="4" t="s">
        <v>7169</v>
      </c>
      <c r="B3027" s="5" t="s">
        <v>7170</v>
      </c>
      <c r="C3027" s="4" t="s">
        <v>82</v>
      </c>
      <c r="D3027" s="475">
        <v>5212.02</v>
      </c>
      <c r="E3027" s="476">
        <v>0</v>
      </c>
      <c r="F3027" s="6">
        <v>0</v>
      </c>
      <c r="G3027" s="6">
        <v>1</v>
      </c>
    </row>
    <row r="3028" ht="15.75" customHeight="1" spans="1:7">
      <c r="A3028" s="4" t="s">
        <v>7171</v>
      </c>
      <c r="B3028" s="5" t="s">
        <v>7172</v>
      </c>
      <c r="C3028" s="4" t="s">
        <v>82</v>
      </c>
      <c r="D3028" s="475">
        <v>4828.98</v>
      </c>
      <c r="E3028" s="476">
        <v>0</v>
      </c>
      <c r="F3028" s="6">
        <v>0</v>
      </c>
      <c r="G3028" s="6">
        <v>1</v>
      </c>
    </row>
    <row r="3029" ht="15.75" customHeight="1" spans="1:7">
      <c r="A3029" s="4" t="s">
        <v>7173</v>
      </c>
      <c r="B3029" s="5" t="s">
        <v>7174</v>
      </c>
      <c r="C3029" s="4" t="s">
        <v>82</v>
      </c>
      <c r="D3029" s="475">
        <v>1900.2</v>
      </c>
      <c r="E3029" s="476">
        <v>0.04722</v>
      </c>
      <c r="F3029" s="6">
        <v>3.0493</v>
      </c>
      <c r="G3029" s="6">
        <v>1</v>
      </c>
    </row>
    <row r="3030" ht="15.75" customHeight="1" spans="1:7">
      <c r="A3030" s="4" t="s">
        <v>7175</v>
      </c>
      <c r="B3030" s="5" t="s">
        <v>7176</v>
      </c>
      <c r="C3030" s="4" t="s">
        <v>82</v>
      </c>
      <c r="D3030" s="475">
        <v>2303.68</v>
      </c>
      <c r="E3030" s="476">
        <v>0.04722</v>
      </c>
      <c r="F3030" s="6">
        <v>3.0493</v>
      </c>
      <c r="G3030" s="6">
        <v>1</v>
      </c>
    </row>
    <row r="3031" ht="15.75" customHeight="1" spans="1:7">
      <c r="A3031" s="4" t="s">
        <v>7177</v>
      </c>
      <c r="B3031" s="5" t="s">
        <v>7178</v>
      </c>
      <c r="C3031" s="4" t="s">
        <v>82</v>
      </c>
      <c r="D3031" s="475">
        <v>8591.55</v>
      </c>
      <c r="E3031" s="476">
        <v>0</v>
      </c>
      <c r="F3031" s="6">
        <v>0</v>
      </c>
      <c r="G3031" s="6">
        <v>1</v>
      </c>
    </row>
    <row r="3032" ht="15.75" customHeight="1" spans="1:7">
      <c r="A3032" s="4" t="s">
        <v>7179</v>
      </c>
      <c r="B3032" s="5" t="s">
        <v>7180</v>
      </c>
      <c r="C3032" s="4" t="s">
        <v>82</v>
      </c>
      <c r="D3032" s="475">
        <v>7932.11</v>
      </c>
      <c r="E3032" s="476">
        <v>0</v>
      </c>
      <c r="F3032" s="6">
        <v>0</v>
      </c>
      <c r="G3032" s="6">
        <v>1</v>
      </c>
    </row>
    <row r="3033" ht="15.75" customHeight="1" spans="1:7">
      <c r="A3033" s="4" t="s">
        <v>7181</v>
      </c>
      <c r="B3033" s="5" t="s">
        <v>7182</v>
      </c>
      <c r="C3033" s="4" t="s">
        <v>82</v>
      </c>
      <c r="D3033" s="475">
        <v>2058.01</v>
      </c>
      <c r="E3033" s="476">
        <v>0.04722</v>
      </c>
      <c r="F3033" s="6">
        <v>3.3703</v>
      </c>
      <c r="G3033" s="6">
        <v>1</v>
      </c>
    </row>
    <row r="3034" ht="15.75" customHeight="1" spans="1:7">
      <c r="A3034" s="4" t="s">
        <v>7183</v>
      </c>
      <c r="B3034" s="5" t="s">
        <v>7184</v>
      </c>
      <c r="C3034" s="4" t="s">
        <v>82</v>
      </c>
      <c r="D3034" s="475">
        <v>2499.82</v>
      </c>
      <c r="E3034" s="476">
        <v>0.04722</v>
      </c>
      <c r="F3034" s="6">
        <v>3.3703</v>
      </c>
      <c r="G3034" s="6">
        <v>1</v>
      </c>
    </row>
    <row r="3035" ht="15.75" customHeight="1" spans="1:7">
      <c r="A3035" s="4" t="s">
        <v>7185</v>
      </c>
      <c r="B3035" s="5" t="s">
        <v>7186</v>
      </c>
      <c r="C3035" s="4" t="s">
        <v>82</v>
      </c>
      <c r="D3035" s="475">
        <v>5986.6</v>
      </c>
      <c r="E3035" s="476">
        <v>0</v>
      </c>
      <c r="F3035" s="6">
        <v>0</v>
      </c>
      <c r="G3035" s="6">
        <v>1</v>
      </c>
    </row>
    <row r="3036" ht="15.75" customHeight="1" spans="1:7">
      <c r="A3036" s="4" t="s">
        <v>7187</v>
      </c>
      <c r="B3036" s="5" t="s">
        <v>7188</v>
      </c>
      <c r="C3036" s="4" t="s">
        <v>82</v>
      </c>
      <c r="D3036" s="475">
        <v>5527.96</v>
      </c>
      <c r="E3036" s="476">
        <v>0</v>
      </c>
      <c r="F3036" s="6">
        <v>0</v>
      </c>
      <c r="G3036" s="6">
        <v>1</v>
      </c>
    </row>
    <row r="3037" ht="15.75" customHeight="1" spans="1:7">
      <c r="A3037" s="4" t="s">
        <v>7189</v>
      </c>
      <c r="B3037" s="5" t="s">
        <v>7190</v>
      </c>
      <c r="C3037" s="4" t="s">
        <v>82</v>
      </c>
      <c r="D3037" s="475">
        <v>2515.59</v>
      </c>
      <c r="E3037" s="476">
        <v>0.04722</v>
      </c>
      <c r="F3037" s="6">
        <v>4.3299</v>
      </c>
      <c r="G3037" s="6">
        <v>1</v>
      </c>
    </row>
    <row r="3038" ht="15.75" customHeight="1" spans="1:7">
      <c r="A3038" s="4" t="s">
        <v>7191</v>
      </c>
      <c r="B3038" s="5" t="s">
        <v>7192</v>
      </c>
      <c r="C3038" s="4" t="s">
        <v>82</v>
      </c>
      <c r="D3038" s="475">
        <v>3073.59</v>
      </c>
      <c r="E3038" s="476">
        <v>0.04722</v>
      </c>
      <c r="F3038" s="6">
        <v>4.3299</v>
      </c>
      <c r="G3038" s="6">
        <v>1</v>
      </c>
    </row>
    <row r="3039" ht="15.75" customHeight="1" spans="1:7">
      <c r="A3039" s="4" t="s">
        <v>7193</v>
      </c>
      <c r="B3039" s="5" t="s">
        <v>7194</v>
      </c>
      <c r="C3039" s="4" t="s">
        <v>82</v>
      </c>
      <c r="D3039" s="475">
        <v>8095</v>
      </c>
      <c r="E3039" s="476">
        <v>0</v>
      </c>
      <c r="F3039" s="6">
        <v>0</v>
      </c>
      <c r="G3039" s="6">
        <v>1</v>
      </c>
    </row>
    <row r="3040" ht="15.75" customHeight="1" spans="1:7">
      <c r="A3040" s="4" t="s">
        <v>7195</v>
      </c>
      <c r="B3040" s="5" t="s">
        <v>7196</v>
      </c>
      <c r="C3040" s="4" t="s">
        <v>82</v>
      </c>
      <c r="D3040" s="475">
        <v>7450.02</v>
      </c>
      <c r="E3040" s="476">
        <v>0</v>
      </c>
      <c r="F3040" s="6">
        <v>0</v>
      </c>
      <c r="G3040" s="6">
        <v>1</v>
      </c>
    </row>
    <row r="3041" ht="15.75" customHeight="1" spans="1:7">
      <c r="A3041" s="4" t="s">
        <v>7197</v>
      </c>
      <c r="B3041" s="5" t="s">
        <v>7198</v>
      </c>
      <c r="C3041" s="4" t="s">
        <v>82</v>
      </c>
      <c r="D3041" s="475">
        <v>3107.64</v>
      </c>
      <c r="E3041" s="476">
        <v>0.04722</v>
      </c>
      <c r="F3041" s="6">
        <v>5.5996</v>
      </c>
      <c r="G3041" s="6">
        <v>1</v>
      </c>
    </row>
    <row r="3042" ht="15.75" customHeight="1" spans="1:7">
      <c r="A3042" s="4" t="s">
        <v>7199</v>
      </c>
      <c r="B3042" s="5" t="s">
        <v>7200</v>
      </c>
      <c r="C3042" s="4" t="s">
        <v>82</v>
      </c>
      <c r="D3042" s="475">
        <v>3818.06</v>
      </c>
      <c r="E3042" s="476">
        <v>0.04722</v>
      </c>
      <c r="F3042" s="6">
        <v>5.5996</v>
      </c>
      <c r="G3042" s="6">
        <v>1</v>
      </c>
    </row>
    <row r="3043" ht="15.75" customHeight="1" spans="1:7">
      <c r="A3043" s="4" t="s">
        <v>7201</v>
      </c>
      <c r="B3043" s="5" t="s">
        <v>7202</v>
      </c>
      <c r="C3043" s="4" t="s">
        <v>82</v>
      </c>
      <c r="D3043" s="475">
        <v>12188.09</v>
      </c>
      <c r="E3043" s="476">
        <v>0</v>
      </c>
      <c r="F3043" s="6">
        <v>0</v>
      </c>
      <c r="G3043" s="6">
        <v>1</v>
      </c>
    </row>
    <row r="3044" ht="15.75" customHeight="1" spans="1:7">
      <c r="A3044" s="4" t="s">
        <v>7203</v>
      </c>
      <c r="B3044" s="5" t="s">
        <v>7204</v>
      </c>
      <c r="C3044" s="4" t="s">
        <v>82</v>
      </c>
      <c r="D3044" s="475">
        <v>11174.34</v>
      </c>
      <c r="E3044" s="476">
        <v>0</v>
      </c>
      <c r="F3044" s="6">
        <v>0</v>
      </c>
      <c r="G3044" s="6">
        <v>1</v>
      </c>
    </row>
    <row r="3045" ht="15.75" customHeight="1" spans="1:7">
      <c r="A3045" s="4" t="s">
        <v>7205</v>
      </c>
      <c r="B3045" s="5" t="s">
        <v>7206</v>
      </c>
      <c r="C3045" s="4" t="s">
        <v>82</v>
      </c>
      <c r="D3045" s="475">
        <v>2891.28</v>
      </c>
      <c r="E3045" s="476">
        <v>0.04722</v>
      </c>
      <c r="F3045" s="6">
        <v>5.0287</v>
      </c>
      <c r="G3045" s="6">
        <v>1</v>
      </c>
    </row>
    <row r="3046" ht="15.75" customHeight="1" spans="1:7">
      <c r="A3046" s="4" t="s">
        <v>7207</v>
      </c>
      <c r="B3046" s="5" t="s">
        <v>7208</v>
      </c>
      <c r="C3046" s="4" t="s">
        <v>82</v>
      </c>
      <c r="D3046" s="475">
        <v>3536.17</v>
      </c>
      <c r="E3046" s="476">
        <v>0.04722</v>
      </c>
      <c r="F3046" s="6">
        <v>5.0287</v>
      </c>
      <c r="G3046" s="6">
        <v>1</v>
      </c>
    </row>
    <row r="3047" ht="15.75" customHeight="1" spans="1:7">
      <c r="A3047" s="4" t="s">
        <v>7209</v>
      </c>
      <c r="B3047" s="5" t="s">
        <v>7210</v>
      </c>
      <c r="C3047" s="4" t="s">
        <v>82</v>
      </c>
      <c r="D3047" s="475">
        <v>8332.29</v>
      </c>
      <c r="E3047" s="476">
        <v>0</v>
      </c>
      <c r="F3047" s="6">
        <v>0</v>
      </c>
      <c r="G3047" s="6">
        <v>1</v>
      </c>
    </row>
    <row r="3048" ht="15.75" customHeight="1" spans="1:7">
      <c r="A3048" s="4" t="s">
        <v>7211</v>
      </c>
      <c r="B3048" s="5" t="s">
        <v>7212</v>
      </c>
      <c r="C3048" s="4" t="s">
        <v>82</v>
      </c>
      <c r="D3048" s="475">
        <v>7681.77</v>
      </c>
      <c r="E3048" s="476">
        <v>0</v>
      </c>
      <c r="F3048" s="6">
        <v>0</v>
      </c>
      <c r="G3048" s="6">
        <v>1</v>
      </c>
    </row>
    <row r="3049" ht="15.75" customHeight="1" spans="1:7">
      <c r="A3049" s="4" t="s">
        <v>7213</v>
      </c>
      <c r="B3049" s="5" t="s">
        <v>7214</v>
      </c>
      <c r="C3049" s="4" t="s">
        <v>82</v>
      </c>
      <c r="D3049" s="475">
        <v>3383.63</v>
      </c>
      <c r="E3049" s="476">
        <v>0.04722</v>
      </c>
      <c r="F3049" s="6">
        <v>6.3835</v>
      </c>
      <c r="G3049" s="6">
        <v>1</v>
      </c>
    </row>
    <row r="3050" ht="15.75" customHeight="1" spans="1:7">
      <c r="A3050" s="4" t="s">
        <v>7215</v>
      </c>
      <c r="B3050" s="5" t="s">
        <v>7216</v>
      </c>
      <c r="C3050" s="4" t="s">
        <v>82</v>
      </c>
      <c r="D3050" s="475">
        <v>4180.96</v>
      </c>
      <c r="E3050" s="476">
        <v>0.04722</v>
      </c>
      <c r="F3050" s="6">
        <v>6.3835</v>
      </c>
      <c r="G3050" s="6">
        <v>1</v>
      </c>
    </row>
    <row r="3051" ht="15.75" customHeight="1" spans="1:7">
      <c r="A3051" s="4" t="s">
        <v>7217</v>
      </c>
      <c r="B3051" s="5" t="s">
        <v>7218</v>
      </c>
      <c r="C3051" s="4" t="s">
        <v>82</v>
      </c>
      <c r="D3051" s="475">
        <v>11897.69</v>
      </c>
      <c r="E3051" s="476">
        <v>0</v>
      </c>
      <c r="F3051" s="6">
        <v>0</v>
      </c>
      <c r="G3051" s="6">
        <v>1</v>
      </c>
    </row>
    <row r="3052" ht="15.75" customHeight="1" spans="1:7">
      <c r="A3052" s="4" t="s">
        <v>7219</v>
      </c>
      <c r="B3052" s="5" t="s">
        <v>7220</v>
      </c>
      <c r="C3052" s="4" t="s">
        <v>82</v>
      </c>
      <c r="D3052" s="475">
        <v>10918.94</v>
      </c>
      <c r="E3052" s="476">
        <v>0</v>
      </c>
      <c r="F3052" s="6">
        <v>0</v>
      </c>
      <c r="G3052" s="6">
        <v>1</v>
      </c>
    </row>
    <row r="3053" ht="15.75" customHeight="1" spans="1:7">
      <c r="A3053" s="4" t="s">
        <v>7221</v>
      </c>
      <c r="B3053" s="5" t="s">
        <v>7222</v>
      </c>
      <c r="C3053" s="4" t="s">
        <v>82</v>
      </c>
      <c r="D3053" s="475">
        <v>685.36</v>
      </c>
      <c r="E3053" s="476">
        <v>0.04722</v>
      </c>
      <c r="F3053" s="6">
        <v>0.8916</v>
      </c>
      <c r="G3053" s="6">
        <v>1</v>
      </c>
    </row>
    <row r="3054" ht="15.75" customHeight="1" spans="1:7">
      <c r="A3054" s="4" t="s">
        <v>7223</v>
      </c>
      <c r="B3054" s="5" t="s">
        <v>7224</v>
      </c>
      <c r="C3054" s="4" t="s">
        <v>82</v>
      </c>
      <c r="D3054" s="475">
        <v>793.61</v>
      </c>
      <c r="E3054" s="476">
        <v>0.04722</v>
      </c>
      <c r="F3054" s="6">
        <v>0.8916</v>
      </c>
      <c r="G3054" s="6">
        <v>1</v>
      </c>
    </row>
    <row r="3055" ht="15.75" customHeight="1" spans="1:7">
      <c r="A3055" s="4" t="s">
        <v>7225</v>
      </c>
      <c r="B3055" s="5" t="s">
        <v>7226</v>
      </c>
      <c r="C3055" s="4" t="s">
        <v>82</v>
      </c>
      <c r="D3055" s="475">
        <v>763.11</v>
      </c>
      <c r="E3055" s="476">
        <v>0.04722</v>
      </c>
      <c r="F3055" s="6">
        <v>1.04</v>
      </c>
      <c r="G3055" s="6">
        <v>1</v>
      </c>
    </row>
    <row r="3056" ht="15.75" customHeight="1" spans="1:7">
      <c r="A3056" s="4" t="s">
        <v>7227</v>
      </c>
      <c r="B3056" s="5" t="s">
        <v>7228</v>
      </c>
      <c r="C3056" s="4" t="s">
        <v>82</v>
      </c>
      <c r="D3056" s="475">
        <v>887.41</v>
      </c>
      <c r="E3056" s="476">
        <v>0.04722</v>
      </c>
      <c r="F3056" s="6">
        <v>1.04</v>
      </c>
      <c r="G3056" s="6">
        <v>1</v>
      </c>
    </row>
    <row r="3057" ht="15.75" customHeight="1" spans="1:7">
      <c r="A3057" s="4" t="s">
        <v>7229</v>
      </c>
      <c r="B3057" s="5" t="s">
        <v>7230</v>
      </c>
      <c r="C3057" s="4" t="s">
        <v>82</v>
      </c>
      <c r="D3057" s="475">
        <v>893.9</v>
      </c>
      <c r="E3057" s="476">
        <v>0.04722</v>
      </c>
      <c r="F3057" s="6">
        <v>1.2839</v>
      </c>
      <c r="G3057" s="6">
        <v>1</v>
      </c>
    </row>
    <row r="3058" ht="15.75" customHeight="1" spans="1:7">
      <c r="A3058" s="4" t="s">
        <v>7231</v>
      </c>
      <c r="B3058" s="5" t="s">
        <v>7232</v>
      </c>
      <c r="C3058" s="4" t="s">
        <v>82</v>
      </c>
      <c r="D3058" s="475">
        <v>1047.24</v>
      </c>
      <c r="E3058" s="476">
        <v>0.04722</v>
      </c>
      <c r="F3058" s="6">
        <v>1.2839</v>
      </c>
      <c r="G3058" s="6">
        <v>1</v>
      </c>
    </row>
    <row r="3059" ht="15.75" customHeight="1" spans="1:7">
      <c r="A3059" s="4" t="s">
        <v>7233</v>
      </c>
      <c r="B3059" s="5" t="s">
        <v>7234</v>
      </c>
      <c r="C3059" s="4" t="s">
        <v>82</v>
      </c>
      <c r="D3059" s="475">
        <v>940.36</v>
      </c>
      <c r="E3059" s="476">
        <v>0.04722</v>
      </c>
      <c r="F3059" s="6">
        <v>1.3931</v>
      </c>
      <c r="G3059" s="6">
        <v>1</v>
      </c>
    </row>
    <row r="3060" ht="15.75" customHeight="1" spans="1:7">
      <c r="A3060" s="4" t="s">
        <v>7235</v>
      </c>
      <c r="B3060" s="5" t="s">
        <v>7236</v>
      </c>
      <c r="C3060" s="4" t="s">
        <v>82</v>
      </c>
      <c r="D3060" s="475">
        <v>1102.44</v>
      </c>
      <c r="E3060" s="476">
        <v>0.04722</v>
      </c>
      <c r="F3060" s="6">
        <v>1.3931</v>
      </c>
      <c r="G3060" s="6">
        <v>1</v>
      </c>
    </row>
    <row r="3061" ht="15.75" customHeight="1" spans="1:7">
      <c r="A3061" s="4" t="s">
        <v>7237</v>
      </c>
      <c r="B3061" s="5" t="s">
        <v>7238</v>
      </c>
      <c r="C3061" s="4" t="s">
        <v>82</v>
      </c>
      <c r="D3061" s="475">
        <v>1230.76</v>
      </c>
      <c r="E3061" s="476">
        <v>0.04722</v>
      </c>
      <c r="F3061" s="6">
        <v>2.0061</v>
      </c>
      <c r="G3061" s="6">
        <v>1</v>
      </c>
    </row>
    <row r="3062" ht="15.75" customHeight="1" spans="1:7">
      <c r="A3062" s="4" t="s">
        <v>7239</v>
      </c>
      <c r="B3062" s="5" t="s">
        <v>7240</v>
      </c>
      <c r="C3062" s="4" t="s">
        <v>82</v>
      </c>
      <c r="D3062" s="475">
        <v>1457.18</v>
      </c>
      <c r="E3062" s="476">
        <v>0.04722</v>
      </c>
      <c r="F3062" s="6">
        <v>2.0061</v>
      </c>
      <c r="G3062" s="6">
        <v>1</v>
      </c>
    </row>
    <row r="3063" ht="15.75" customHeight="1" spans="1:7">
      <c r="A3063" s="4" t="s">
        <v>7241</v>
      </c>
      <c r="B3063" s="5" t="s">
        <v>7242</v>
      </c>
      <c r="C3063" s="4" t="s">
        <v>82</v>
      </c>
      <c r="D3063" s="475">
        <v>1365.69</v>
      </c>
      <c r="E3063" s="476">
        <v>0.04722</v>
      </c>
      <c r="F3063" s="6">
        <v>2.2825</v>
      </c>
      <c r="G3063" s="6">
        <v>1</v>
      </c>
    </row>
    <row r="3064" ht="15.75" customHeight="1" spans="1:7">
      <c r="A3064" s="4" t="s">
        <v>7243</v>
      </c>
      <c r="B3064" s="5" t="s">
        <v>7244</v>
      </c>
      <c r="C3064" s="4" t="s">
        <v>82</v>
      </c>
      <c r="D3064" s="475">
        <v>1624.63</v>
      </c>
      <c r="E3064" s="476">
        <v>0.04722</v>
      </c>
      <c r="F3064" s="6">
        <v>2.2825</v>
      </c>
      <c r="G3064" s="6">
        <v>1</v>
      </c>
    </row>
    <row r="3065" ht="15.75" customHeight="1" spans="1:7">
      <c r="A3065" s="4" t="s">
        <v>7245</v>
      </c>
      <c r="B3065" s="5" t="s">
        <v>7246</v>
      </c>
      <c r="C3065" s="4" t="s">
        <v>82</v>
      </c>
      <c r="D3065" s="475">
        <v>351.62</v>
      </c>
      <c r="E3065" s="476">
        <v>0.04722</v>
      </c>
      <c r="F3065" s="6">
        <v>0.321</v>
      </c>
      <c r="G3065" s="6">
        <v>1</v>
      </c>
    </row>
    <row r="3066" ht="15.75" customHeight="1" spans="1:7">
      <c r="A3066" s="4" t="s">
        <v>7247</v>
      </c>
      <c r="B3066" s="5" t="s">
        <v>7248</v>
      </c>
      <c r="C3066" s="4" t="s">
        <v>82</v>
      </c>
      <c r="D3066" s="475">
        <v>398.16</v>
      </c>
      <c r="E3066" s="476">
        <v>0.04722</v>
      </c>
      <c r="F3066" s="6">
        <v>0.321</v>
      </c>
      <c r="G3066" s="6">
        <v>1</v>
      </c>
    </row>
    <row r="3067" ht="15.75" customHeight="1" spans="1:7">
      <c r="A3067" s="4" t="s">
        <v>7249</v>
      </c>
      <c r="B3067" s="5" t="s">
        <v>7250</v>
      </c>
      <c r="C3067" s="4" t="s">
        <v>82</v>
      </c>
      <c r="D3067" s="475">
        <v>447.97</v>
      </c>
      <c r="E3067" s="476">
        <v>0.04722</v>
      </c>
      <c r="F3067" s="6">
        <v>0.4751</v>
      </c>
      <c r="G3067" s="6">
        <v>1</v>
      </c>
    </row>
    <row r="3068" ht="15.75" customHeight="1" spans="1:7">
      <c r="A3068" s="4" t="s">
        <v>7251</v>
      </c>
      <c r="B3068" s="5" t="s">
        <v>7252</v>
      </c>
      <c r="C3068" s="4" t="s">
        <v>82</v>
      </c>
      <c r="D3068" s="475">
        <v>510.38</v>
      </c>
      <c r="E3068" s="476">
        <v>0.04722</v>
      </c>
      <c r="F3068" s="6">
        <v>0.4751</v>
      </c>
      <c r="G3068" s="6">
        <v>1</v>
      </c>
    </row>
    <row r="3069" ht="15.75" customHeight="1" spans="1:7">
      <c r="A3069" s="4" t="s">
        <v>7253</v>
      </c>
      <c r="B3069" s="5" t="s">
        <v>7254</v>
      </c>
      <c r="C3069" s="4" t="s">
        <v>82</v>
      </c>
      <c r="D3069" s="475">
        <v>506.75</v>
      </c>
      <c r="E3069" s="476">
        <v>0.04722</v>
      </c>
      <c r="F3069" s="6">
        <v>0.5706</v>
      </c>
      <c r="G3069" s="6">
        <v>1</v>
      </c>
    </row>
    <row r="3070" ht="15.75" customHeight="1" spans="1:7">
      <c r="A3070" s="4" t="s">
        <v>7255</v>
      </c>
      <c r="B3070" s="5" t="s">
        <v>7256</v>
      </c>
      <c r="C3070" s="4" t="s">
        <v>82</v>
      </c>
      <c r="D3070" s="475">
        <v>579.71</v>
      </c>
      <c r="E3070" s="476">
        <v>0.04722</v>
      </c>
      <c r="F3070" s="6">
        <v>0.5706</v>
      </c>
      <c r="G3070" s="6">
        <v>1</v>
      </c>
    </row>
    <row r="3071" ht="15.75" customHeight="1" spans="1:7">
      <c r="A3071" s="4" t="s">
        <v>7257</v>
      </c>
      <c r="B3071" s="5" t="s">
        <v>7258</v>
      </c>
      <c r="C3071" s="4" t="s">
        <v>82</v>
      </c>
      <c r="D3071" s="475">
        <v>574.63</v>
      </c>
      <c r="E3071" s="476">
        <v>0.04722</v>
      </c>
      <c r="F3071" s="6">
        <v>0.6905</v>
      </c>
      <c r="G3071" s="6">
        <v>1</v>
      </c>
    </row>
    <row r="3072" ht="15.75" customHeight="1" spans="1:7">
      <c r="A3072" s="4" t="s">
        <v>7259</v>
      </c>
      <c r="B3072" s="5" t="s">
        <v>7260</v>
      </c>
      <c r="C3072" s="4" t="s">
        <v>82</v>
      </c>
      <c r="D3072" s="475">
        <v>661.05</v>
      </c>
      <c r="E3072" s="476">
        <v>0.04722</v>
      </c>
      <c r="F3072" s="6">
        <v>0.6905</v>
      </c>
      <c r="G3072" s="6">
        <v>1</v>
      </c>
    </row>
    <row r="3073" ht="15.75" customHeight="1" spans="1:7">
      <c r="A3073" s="4" t="s">
        <v>7261</v>
      </c>
      <c r="B3073" s="5" t="s">
        <v>7262</v>
      </c>
      <c r="C3073" s="4" t="s">
        <v>82</v>
      </c>
      <c r="D3073" s="475">
        <v>598.52</v>
      </c>
      <c r="E3073" s="476">
        <v>0.04722</v>
      </c>
      <c r="F3073" s="6">
        <v>0.7222</v>
      </c>
      <c r="G3073" s="6">
        <v>1</v>
      </c>
    </row>
    <row r="3074" ht="15.75" customHeight="1" spans="1:7">
      <c r="A3074" s="4" t="s">
        <v>7263</v>
      </c>
      <c r="B3074" s="5" t="s">
        <v>7264</v>
      </c>
      <c r="C3074" s="4" t="s">
        <v>82</v>
      </c>
      <c r="D3074" s="475">
        <v>691.45</v>
      </c>
      <c r="E3074" s="476">
        <v>0.04722</v>
      </c>
      <c r="F3074" s="6">
        <v>0.7222</v>
      </c>
      <c r="G3074" s="6">
        <v>1</v>
      </c>
    </row>
    <row r="3075" ht="15.75" customHeight="1" spans="1:7">
      <c r="A3075" s="4" t="s">
        <v>7265</v>
      </c>
      <c r="B3075" s="5" t="s">
        <v>7266</v>
      </c>
      <c r="C3075" s="4" t="s">
        <v>9</v>
      </c>
      <c r="D3075" s="475">
        <v>38.76</v>
      </c>
      <c r="E3075" s="476">
        <v>0.04722</v>
      </c>
      <c r="F3075" s="6">
        <v>0.2591</v>
      </c>
      <c r="G3075" s="6">
        <v>14</v>
      </c>
    </row>
    <row r="3076" ht="15.75" customHeight="1" spans="1:7">
      <c r="A3076" s="4" t="s">
        <v>7267</v>
      </c>
      <c r="B3076" s="5" t="s">
        <v>7268</v>
      </c>
      <c r="C3076" s="4" t="s">
        <v>9</v>
      </c>
      <c r="D3076" s="475">
        <v>74.92</v>
      </c>
      <c r="E3076" s="476">
        <v>0.04722</v>
      </c>
      <c r="F3076" s="6">
        <v>0.3628</v>
      </c>
      <c r="G3076" s="6">
        <v>10</v>
      </c>
    </row>
    <row r="3077" ht="15.75" customHeight="1" spans="1:7">
      <c r="A3077" s="4" t="s">
        <v>7269</v>
      </c>
      <c r="B3077" s="5" t="s">
        <v>7270</v>
      </c>
      <c r="C3077" s="4" t="s">
        <v>9</v>
      </c>
      <c r="D3077" s="475">
        <v>93.02</v>
      </c>
      <c r="E3077" s="476">
        <v>0.03632</v>
      </c>
      <c r="F3077" s="6">
        <v>0.4286</v>
      </c>
      <c r="G3077" s="6">
        <v>2</v>
      </c>
    </row>
    <row r="3078" ht="15.75" customHeight="1" spans="1:7">
      <c r="A3078" s="4" t="s">
        <v>7271</v>
      </c>
      <c r="B3078" s="5" t="s">
        <v>7272</v>
      </c>
      <c r="C3078" s="4" t="s">
        <v>9</v>
      </c>
      <c r="D3078" s="475">
        <v>99.3</v>
      </c>
      <c r="E3078" s="476">
        <v>0.03632</v>
      </c>
      <c r="F3078" s="6">
        <v>0.4286</v>
      </c>
      <c r="G3078" s="6">
        <v>2</v>
      </c>
    </row>
    <row r="3079" ht="15.75" customHeight="1" spans="1:7">
      <c r="A3079" s="4" t="s">
        <v>7273</v>
      </c>
      <c r="B3079" s="5" t="s">
        <v>7274</v>
      </c>
      <c r="C3079" s="4" t="s">
        <v>9</v>
      </c>
      <c r="D3079" s="475">
        <v>82.39</v>
      </c>
      <c r="E3079" s="476">
        <v>0.03632</v>
      </c>
      <c r="F3079" s="6">
        <v>0.4286</v>
      </c>
      <c r="G3079" s="6">
        <v>2</v>
      </c>
    </row>
    <row r="3080" ht="15.75" customHeight="1" spans="1:7">
      <c r="A3080" s="4" t="s">
        <v>7275</v>
      </c>
      <c r="B3080" s="5" t="s">
        <v>7276</v>
      </c>
      <c r="C3080" s="4" t="s">
        <v>9</v>
      </c>
      <c r="D3080" s="475">
        <v>139.88</v>
      </c>
      <c r="E3080" s="476">
        <v>0.03632</v>
      </c>
      <c r="F3080" s="6">
        <v>0.3429</v>
      </c>
      <c r="G3080" s="6">
        <v>2.5</v>
      </c>
    </row>
    <row r="3081" ht="15.75" customHeight="1" spans="1:7">
      <c r="A3081" s="4" t="s">
        <v>7277</v>
      </c>
      <c r="B3081" s="5" t="s">
        <v>7278</v>
      </c>
      <c r="C3081" s="4" t="s">
        <v>9</v>
      </c>
      <c r="D3081" s="475">
        <v>130.81</v>
      </c>
      <c r="E3081" s="476">
        <v>0.03632</v>
      </c>
      <c r="F3081" s="6">
        <v>0.3429</v>
      </c>
      <c r="G3081" s="6">
        <v>2.5</v>
      </c>
    </row>
    <row r="3082" ht="15.75" customHeight="1" spans="1:7">
      <c r="A3082" s="4" t="s">
        <v>7279</v>
      </c>
      <c r="B3082" s="5" t="s">
        <v>7280</v>
      </c>
      <c r="C3082" s="4" t="s">
        <v>9</v>
      </c>
      <c r="D3082" s="475">
        <v>40.27</v>
      </c>
      <c r="E3082" s="476">
        <v>0.04722</v>
      </c>
      <c r="F3082" s="6">
        <v>0.021</v>
      </c>
      <c r="G3082" s="6">
        <v>173</v>
      </c>
    </row>
    <row r="3083" ht="15.75" customHeight="1" spans="1:7">
      <c r="A3083" s="4" t="s">
        <v>7281</v>
      </c>
      <c r="B3083" s="5" t="s">
        <v>7282</v>
      </c>
      <c r="C3083" s="4" t="s">
        <v>9</v>
      </c>
      <c r="D3083" s="475">
        <v>49.63</v>
      </c>
      <c r="E3083" s="476">
        <v>0.04722</v>
      </c>
      <c r="F3083" s="6">
        <v>0.0234</v>
      </c>
      <c r="G3083" s="6">
        <v>155</v>
      </c>
    </row>
    <row r="3084" ht="15.75" customHeight="1" spans="1:7">
      <c r="A3084" s="4" t="s">
        <v>7283</v>
      </c>
      <c r="B3084" s="5" t="s">
        <v>7284</v>
      </c>
      <c r="C3084" s="4" t="s">
        <v>9</v>
      </c>
      <c r="D3084" s="475">
        <v>68.34</v>
      </c>
      <c r="E3084" s="476">
        <v>0.04722</v>
      </c>
      <c r="F3084" s="6">
        <v>0.0275</v>
      </c>
      <c r="G3084" s="6">
        <v>132</v>
      </c>
    </row>
    <row r="3085" ht="15.75" customHeight="1" spans="1:7">
      <c r="A3085" s="4" t="s">
        <v>7285</v>
      </c>
      <c r="B3085" s="5" t="s">
        <v>7286</v>
      </c>
      <c r="C3085" s="4" t="s">
        <v>9</v>
      </c>
      <c r="D3085" s="475">
        <v>91.71</v>
      </c>
      <c r="E3085" s="476">
        <v>0.04722</v>
      </c>
      <c r="F3085" s="6">
        <v>0.0321</v>
      </c>
      <c r="G3085" s="6">
        <v>113</v>
      </c>
    </row>
    <row r="3086" ht="15.75" customHeight="1" spans="1:7">
      <c r="A3086" s="4" t="s">
        <v>7287</v>
      </c>
      <c r="B3086" s="5" t="s">
        <v>7288</v>
      </c>
      <c r="C3086" s="4" t="s">
        <v>9</v>
      </c>
      <c r="D3086" s="475">
        <v>319.49</v>
      </c>
      <c r="E3086" s="476">
        <v>0.04722</v>
      </c>
      <c r="F3086" s="6">
        <v>2.229</v>
      </c>
      <c r="G3086" s="6">
        <v>1</v>
      </c>
    </row>
    <row r="3087" ht="15.75" customHeight="1" spans="1:7">
      <c r="A3087" s="4" t="s">
        <v>7289</v>
      </c>
      <c r="B3087" s="5" t="s">
        <v>7290</v>
      </c>
      <c r="C3087" s="4" t="s">
        <v>9</v>
      </c>
      <c r="D3087" s="475">
        <v>118.86</v>
      </c>
      <c r="E3087" s="476">
        <v>0.04722</v>
      </c>
      <c r="F3087" s="6">
        <v>1.0419</v>
      </c>
      <c r="G3087" s="6">
        <v>1</v>
      </c>
    </row>
    <row r="3088" ht="15.75" customHeight="1" spans="1:7">
      <c r="A3088" s="4" t="s">
        <v>7291</v>
      </c>
      <c r="B3088" s="5" t="s">
        <v>7292</v>
      </c>
      <c r="C3088" s="4" t="s">
        <v>9</v>
      </c>
      <c r="D3088" s="475">
        <v>106.49</v>
      </c>
      <c r="E3088" s="476">
        <v>0.04722</v>
      </c>
      <c r="F3088" s="6">
        <v>1.0419</v>
      </c>
      <c r="G3088" s="6">
        <v>1</v>
      </c>
    </row>
    <row r="3089" ht="15.75" customHeight="1" spans="1:7">
      <c r="A3089" s="4" t="s">
        <v>7293</v>
      </c>
      <c r="B3089" s="5" t="s">
        <v>7294</v>
      </c>
      <c r="C3089" s="4" t="s">
        <v>9</v>
      </c>
      <c r="D3089" s="475">
        <v>128.59</v>
      </c>
      <c r="E3089" s="476">
        <v>0.04722</v>
      </c>
      <c r="F3089" s="6">
        <v>1.0419</v>
      </c>
      <c r="G3089" s="6">
        <v>1</v>
      </c>
    </row>
    <row r="3090" ht="15.75" customHeight="1" spans="1:7">
      <c r="A3090" s="4" t="s">
        <v>7295</v>
      </c>
      <c r="B3090" s="5" t="s">
        <v>7296</v>
      </c>
      <c r="C3090" s="4" t="s">
        <v>9</v>
      </c>
      <c r="D3090" s="475">
        <v>118.98</v>
      </c>
      <c r="E3090" s="476">
        <v>0.04722</v>
      </c>
      <c r="F3090" s="6">
        <v>1.0419</v>
      </c>
      <c r="G3090" s="6">
        <v>1</v>
      </c>
    </row>
    <row r="3091" ht="15.75" customHeight="1" spans="1:7">
      <c r="A3091" s="4" t="s">
        <v>7297</v>
      </c>
      <c r="B3091" s="5" t="s">
        <v>7298</v>
      </c>
      <c r="C3091" s="4" t="s">
        <v>9</v>
      </c>
      <c r="D3091" s="475">
        <v>132.69</v>
      </c>
      <c r="E3091" s="476">
        <v>0.04722</v>
      </c>
      <c r="F3091" s="6">
        <v>1.0419</v>
      </c>
      <c r="G3091" s="6">
        <v>1</v>
      </c>
    </row>
    <row r="3092" ht="15.75" customHeight="1" spans="1:7">
      <c r="A3092" s="4" t="s">
        <v>7299</v>
      </c>
      <c r="B3092" s="5" t="s">
        <v>7300</v>
      </c>
      <c r="C3092" s="4" t="s">
        <v>9</v>
      </c>
      <c r="D3092" s="475">
        <v>120.32</v>
      </c>
      <c r="E3092" s="476">
        <v>0.04722</v>
      </c>
      <c r="F3092" s="6">
        <v>1.0419</v>
      </c>
      <c r="G3092" s="6">
        <v>1</v>
      </c>
    </row>
    <row r="3093" ht="15.75" customHeight="1" spans="1:7">
      <c r="A3093" s="4" t="s">
        <v>7301</v>
      </c>
      <c r="B3093" s="5" t="s">
        <v>7302</v>
      </c>
      <c r="C3093" s="4" t="s">
        <v>9</v>
      </c>
      <c r="D3093" s="475">
        <v>142.42</v>
      </c>
      <c r="E3093" s="476">
        <v>0.04722</v>
      </c>
      <c r="F3093" s="6">
        <v>1.0419</v>
      </c>
      <c r="G3093" s="6">
        <v>1</v>
      </c>
    </row>
    <row r="3094" ht="15.75" customHeight="1" spans="1:7">
      <c r="A3094" s="4" t="s">
        <v>7303</v>
      </c>
      <c r="B3094" s="5" t="s">
        <v>7304</v>
      </c>
      <c r="C3094" s="4" t="s">
        <v>9</v>
      </c>
      <c r="D3094" s="475">
        <v>132.81</v>
      </c>
      <c r="E3094" s="476">
        <v>0.04722</v>
      </c>
      <c r="F3094" s="6">
        <v>1.0419</v>
      </c>
      <c r="G3094" s="6">
        <v>1</v>
      </c>
    </row>
    <row r="3095" ht="15.75" customHeight="1" spans="1:7">
      <c r="A3095" s="4" t="s">
        <v>7305</v>
      </c>
      <c r="B3095" s="5" t="s">
        <v>7306</v>
      </c>
      <c r="C3095" s="4" t="s">
        <v>9</v>
      </c>
      <c r="D3095" s="475">
        <v>86.07</v>
      </c>
      <c r="E3095" s="476">
        <v>0.04722</v>
      </c>
      <c r="F3095" s="6">
        <v>0.1882</v>
      </c>
      <c r="G3095" s="6">
        <v>1</v>
      </c>
    </row>
    <row r="3096" ht="15.75" customHeight="1" spans="1:7">
      <c r="A3096" s="4" t="s">
        <v>7307</v>
      </c>
      <c r="B3096" s="5" t="s">
        <v>7308</v>
      </c>
      <c r="C3096" s="4" t="s">
        <v>9</v>
      </c>
      <c r="D3096" s="475">
        <v>72.35</v>
      </c>
      <c r="E3096" s="476">
        <v>0.04722</v>
      </c>
      <c r="F3096" s="6">
        <v>0.1882</v>
      </c>
      <c r="G3096" s="6">
        <v>1</v>
      </c>
    </row>
    <row r="3097" ht="15.75" customHeight="1" spans="1:7">
      <c r="A3097" s="4" t="s">
        <v>7309</v>
      </c>
      <c r="B3097" s="5" t="s">
        <v>7310</v>
      </c>
      <c r="C3097" s="4" t="s">
        <v>9</v>
      </c>
      <c r="D3097" s="475">
        <v>72.24</v>
      </c>
      <c r="E3097" s="476">
        <v>0.04722</v>
      </c>
      <c r="F3097" s="6">
        <v>0.1882</v>
      </c>
      <c r="G3097" s="6">
        <v>1</v>
      </c>
    </row>
    <row r="3098" ht="15.75" customHeight="1" spans="1:7">
      <c r="A3098" s="4" t="s">
        <v>7311</v>
      </c>
      <c r="B3098" s="5" t="s">
        <v>7312</v>
      </c>
      <c r="C3098" s="4" t="s">
        <v>9</v>
      </c>
      <c r="D3098" s="475">
        <v>58.52</v>
      </c>
      <c r="E3098" s="476">
        <v>0.04722</v>
      </c>
      <c r="F3098" s="6">
        <v>0.1882</v>
      </c>
      <c r="G3098" s="6">
        <v>1</v>
      </c>
    </row>
    <row r="3099" ht="15.75" customHeight="1" spans="1:7">
      <c r="A3099" s="4" t="s">
        <v>7313</v>
      </c>
      <c r="B3099" s="5" t="s">
        <v>7314</v>
      </c>
      <c r="C3099" s="4" t="s">
        <v>9</v>
      </c>
      <c r="D3099" s="475">
        <v>116.11</v>
      </c>
      <c r="E3099" s="476">
        <v>0.04722</v>
      </c>
      <c r="F3099" s="6">
        <v>1.0419</v>
      </c>
      <c r="G3099" s="6">
        <v>1</v>
      </c>
    </row>
    <row r="3100" ht="15.75" customHeight="1" spans="1:7">
      <c r="A3100" s="4" t="s">
        <v>7315</v>
      </c>
      <c r="B3100" s="5" t="s">
        <v>7316</v>
      </c>
      <c r="C3100" s="4" t="s">
        <v>9</v>
      </c>
      <c r="D3100" s="475">
        <v>100.02</v>
      </c>
      <c r="E3100" s="476">
        <v>0.04722</v>
      </c>
      <c r="F3100" s="6">
        <v>1.0419</v>
      </c>
      <c r="G3100" s="6">
        <v>1</v>
      </c>
    </row>
    <row r="3101" ht="15.75" customHeight="1" spans="1:7">
      <c r="A3101" s="4" t="s">
        <v>7317</v>
      </c>
      <c r="B3101" s="5" t="s">
        <v>7318</v>
      </c>
      <c r="C3101" s="4" t="s">
        <v>9</v>
      </c>
      <c r="D3101" s="475">
        <v>122.15</v>
      </c>
      <c r="E3101" s="476">
        <v>0.04722</v>
      </c>
      <c r="F3101" s="6">
        <v>1.2042</v>
      </c>
      <c r="G3101" s="6">
        <v>1</v>
      </c>
    </row>
    <row r="3102" ht="15.75" customHeight="1" spans="1:7">
      <c r="A3102" s="4" t="s">
        <v>7319</v>
      </c>
      <c r="B3102" s="5" t="s">
        <v>7320</v>
      </c>
      <c r="C3102" s="4" t="s">
        <v>9</v>
      </c>
      <c r="D3102" s="475">
        <v>69.23</v>
      </c>
      <c r="E3102" s="476">
        <v>0.04722</v>
      </c>
      <c r="F3102" s="6">
        <v>1.2042</v>
      </c>
      <c r="G3102" s="6">
        <v>1</v>
      </c>
    </row>
    <row r="3103" ht="15.75" customHeight="1" spans="1:7">
      <c r="A3103" s="4" t="s">
        <v>7321</v>
      </c>
      <c r="B3103" s="5" t="s">
        <v>7322</v>
      </c>
      <c r="C3103" s="4" t="s">
        <v>9</v>
      </c>
      <c r="D3103" s="475">
        <v>128.21</v>
      </c>
      <c r="E3103" s="476">
        <v>0.04722</v>
      </c>
      <c r="F3103" s="6">
        <v>1.2092</v>
      </c>
      <c r="G3103" s="6">
        <v>1</v>
      </c>
    </row>
    <row r="3104" ht="15.75" customHeight="1" spans="1:7">
      <c r="A3104" s="4" t="s">
        <v>7323</v>
      </c>
      <c r="B3104" s="5" t="s">
        <v>7324</v>
      </c>
      <c r="C3104" s="4" t="s">
        <v>9</v>
      </c>
      <c r="D3104" s="475">
        <v>67.03</v>
      </c>
      <c r="E3104" s="476">
        <v>0.04722</v>
      </c>
      <c r="F3104" s="6">
        <v>1.2092</v>
      </c>
      <c r="G3104" s="6">
        <v>1</v>
      </c>
    </row>
    <row r="3105" ht="30" customHeight="1" spans="1:7">
      <c r="A3105" s="4" t="s">
        <v>7325</v>
      </c>
      <c r="B3105" s="5" t="s">
        <v>7326</v>
      </c>
      <c r="C3105" s="4" t="s">
        <v>9</v>
      </c>
      <c r="D3105" s="475">
        <v>197.07</v>
      </c>
      <c r="E3105" s="476">
        <v>0.04722</v>
      </c>
      <c r="F3105" s="6">
        <v>1.3576</v>
      </c>
      <c r="G3105" s="6">
        <v>1</v>
      </c>
    </row>
    <row r="3106" ht="30" customHeight="1" spans="1:7">
      <c r="A3106" s="4" t="s">
        <v>7327</v>
      </c>
      <c r="B3106" s="5" t="s">
        <v>7328</v>
      </c>
      <c r="C3106" s="4" t="s">
        <v>9</v>
      </c>
      <c r="D3106" s="475">
        <v>124.2</v>
      </c>
      <c r="E3106" s="476">
        <v>0.04722</v>
      </c>
      <c r="F3106" s="6">
        <v>1.3576</v>
      </c>
      <c r="G3106" s="6">
        <v>1</v>
      </c>
    </row>
    <row r="3107" ht="15.75" customHeight="1" spans="1:7">
      <c r="A3107" s="4" t="s">
        <v>7329</v>
      </c>
      <c r="B3107" s="5" t="s">
        <v>7330</v>
      </c>
      <c r="C3107" s="4" t="s">
        <v>9</v>
      </c>
      <c r="D3107" s="475">
        <v>181.21</v>
      </c>
      <c r="E3107" s="476">
        <v>0.04722</v>
      </c>
      <c r="F3107" s="6">
        <v>1.3576</v>
      </c>
      <c r="G3107" s="6">
        <v>1</v>
      </c>
    </row>
    <row r="3108" ht="30" customHeight="1" spans="1:7">
      <c r="A3108" s="4" t="s">
        <v>7331</v>
      </c>
      <c r="B3108" s="5" t="s">
        <v>7332</v>
      </c>
      <c r="C3108" s="4" t="s">
        <v>9</v>
      </c>
      <c r="D3108" s="475">
        <v>127.58</v>
      </c>
      <c r="E3108" s="476">
        <v>0.04722</v>
      </c>
      <c r="F3108" s="6">
        <v>1.3576</v>
      </c>
      <c r="G3108" s="6">
        <v>1</v>
      </c>
    </row>
    <row r="3109" ht="30" customHeight="1" spans="1:7">
      <c r="A3109" s="4" t="s">
        <v>7333</v>
      </c>
      <c r="B3109" s="5" t="s">
        <v>7334</v>
      </c>
      <c r="C3109" s="4" t="s">
        <v>9</v>
      </c>
      <c r="D3109" s="475">
        <v>205.96</v>
      </c>
      <c r="E3109" s="476">
        <v>0.04722</v>
      </c>
      <c r="F3109" s="6">
        <v>1.3576</v>
      </c>
      <c r="G3109" s="6">
        <v>1</v>
      </c>
    </row>
    <row r="3110" ht="30" customHeight="1" spans="1:7">
      <c r="A3110" s="4" t="s">
        <v>7335</v>
      </c>
      <c r="B3110" s="5" t="s">
        <v>7336</v>
      </c>
      <c r="C3110" s="4" t="s">
        <v>9</v>
      </c>
      <c r="D3110" s="475">
        <v>120.69</v>
      </c>
      <c r="E3110" s="476">
        <v>0.04722</v>
      </c>
      <c r="F3110" s="6">
        <v>1.3576</v>
      </c>
      <c r="G3110" s="6">
        <v>1</v>
      </c>
    </row>
    <row r="3111" ht="15.75" customHeight="1" spans="1:7">
      <c r="A3111" s="4" t="s">
        <v>7337</v>
      </c>
      <c r="B3111" s="5" t="s">
        <v>7338</v>
      </c>
      <c r="C3111" s="4" t="s">
        <v>9</v>
      </c>
      <c r="D3111" s="475">
        <v>187.43</v>
      </c>
      <c r="E3111" s="476">
        <v>0.04722</v>
      </c>
      <c r="F3111" s="6">
        <v>1.3576</v>
      </c>
      <c r="G3111" s="6">
        <v>1</v>
      </c>
    </row>
    <row r="3112" ht="30" customHeight="1" spans="1:7">
      <c r="A3112" s="4" t="s">
        <v>7339</v>
      </c>
      <c r="B3112" s="5" t="s">
        <v>7340</v>
      </c>
      <c r="C3112" s="4" t="s">
        <v>9</v>
      </c>
      <c r="D3112" s="475">
        <v>125.12</v>
      </c>
      <c r="E3112" s="476">
        <v>0.04722</v>
      </c>
      <c r="F3112" s="6">
        <v>1.3576</v>
      </c>
      <c r="G3112" s="6">
        <v>1</v>
      </c>
    </row>
    <row r="3113" ht="15.75" customHeight="1" spans="1:7">
      <c r="A3113" s="4" t="s">
        <v>7341</v>
      </c>
      <c r="B3113" s="5" t="s">
        <v>7342</v>
      </c>
      <c r="C3113" s="4" t="s">
        <v>9</v>
      </c>
      <c r="D3113" s="475">
        <v>129.67</v>
      </c>
      <c r="E3113" s="476">
        <v>0.04722</v>
      </c>
      <c r="F3113" s="6">
        <v>0.5771</v>
      </c>
      <c r="G3113" s="6">
        <v>1</v>
      </c>
    </row>
    <row r="3114" ht="15.75" customHeight="1" spans="1:7">
      <c r="A3114" s="4" t="s">
        <v>7343</v>
      </c>
      <c r="B3114" s="5" t="s">
        <v>7344</v>
      </c>
      <c r="C3114" s="4" t="s">
        <v>9</v>
      </c>
      <c r="D3114" s="475">
        <v>87.11</v>
      </c>
      <c r="E3114" s="476">
        <v>0.04722</v>
      </c>
      <c r="F3114" s="6">
        <v>0.5771</v>
      </c>
      <c r="G3114" s="6">
        <v>1</v>
      </c>
    </row>
    <row r="3115" ht="15.75" customHeight="1" spans="1:7">
      <c r="A3115" s="4" t="s">
        <v>7345</v>
      </c>
      <c r="B3115" s="5" t="s">
        <v>7346</v>
      </c>
      <c r="C3115" s="4" t="s">
        <v>9</v>
      </c>
      <c r="D3115" s="475">
        <v>145.36</v>
      </c>
      <c r="E3115" s="476">
        <v>0.04722</v>
      </c>
      <c r="F3115" s="6">
        <v>0.582</v>
      </c>
      <c r="G3115" s="6">
        <v>1</v>
      </c>
    </row>
    <row r="3116" ht="15.75" customHeight="1" spans="1:7">
      <c r="A3116" s="4" t="s">
        <v>7347</v>
      </c>
      <c r="B3116" s="5" t="s">
        <v>7348</v>
      </c>
      <c r="C3116" s="4" t="s">
        <v>9</v>
      </c>
      <c r="D3116" s="475">
        <v>93.88</v>
      </c>
      <c r="E3116" s="476">
        <v>0.04722</v>
      </c>
      <c r="F3116" s="6">
        <v>0.582</v>
      </c>
      <c r="G3116" s="6">
        <v>1</v>
      </c>
    </row>
    <row r="3117" ht="15.75" customHeight="1" spans="1:7">
      <c r="A3117" s="4" t="s">
        <v>7349</v>
      </c>
      <c r="B3117" s="5" t="s">
        <v>7350</v>
      </c>
      <c r="C3117" s="4" t="s">
        <v>9</v>
      </c>
      <c r="D3117" s="475">
        <v>176.04</v>
      </c>
      <c r="E3117" s="476">
        <v>0.04722</v>
      </c>
      <c r="F3117" s="6">
        <v>1.4196</v>
      </c>
      <c r="G3117" s="6">
        <v>1</v>
      </c>
    </row>
    <row r="3118" ht="15.75" customHeight="1" spans="1:7">
      <c r="A3118" s="4" t="s">
        <v>7351</v>
      </c>
      <c r="B3118" s="5" t="s">
        <v>7352</v>
      </c>
      <c r="C3118" s="4" t="s">
        <v>9</v>
      </c>
      <c r="D3118" s="475">
        <v>134.84</v>
      </c>
      <c r="E3118" s="476">
        <v>0.04722</v>
      </c>
      <c r="F3118" s="6">
        <v>1.4196</v>
      </c>
      <c r="G3118" s="6">
        <v>1</v>
      </c>
    </row>
    <row r="3119" ht="15.75" customHeight="1" spans="1:7">
      <c r="A3119" s="4" t="s">
        <v>7353</v>
      </c>
      <c r="B3119" s="5" t="s">
        <v>7354</v>
      </c>
      <c r="C3119" s="4" t="s">
        <v>9</v>
      </c>
      <c r="D3119" s="475">
        <v>173.27</v>
      </c>
      <c r="E3119" s="476">
        <v>0.04722</v>
      </c>
      <c r="F3119" s="6">
        <v>1.4196</v>
      </c>
      <c r="G3119" s="6">
        <v>1</v>
      </c>
    </row>
    <row r="3120" ht="15.75" customHeight="1" spans="1:7">
      <c r="A3120" s="4" t="s">
        <v>7355</v>
      </c>
      <c r="B3120" s="5" t="s">
        <v>7356</v>
      </c>
      <c r="C3120" s="4" t="s">
        <v>9</v>
      </c>
      <c r="D3120" s="475">
        <v>139.49</v>
      </c>
      <c r="E3120" s="476">
        <v>0.04722</v>
      </c>
      <c r="F3120" s="6">
        <v>1.4196</v>
      </c>
      <c r="G3120" s="6">
        <v>1</v>
      </c>
    </row>
    <row r="3121" ht="15.75" customHeight="1" spans="1:7">
      <c r="A3121" s="4" t="s">
        <v>7357</v>
      </c>
      <c r="B3121" s="5" t="s">
        <v>7358</v>
      </c>
      <c r="C3121" s="4" t="s">
        <v>9</v>
      </c>
      <c r="D3121" s="475">
        <v>191.73</v>
      </c>
      <c r="E3121" s="476">
        <v>0.04722</v>
      </c>
      <c r="F3121" s="6">
        <v>1.4245</v>
      </c>
      <c r="G3121" s="6">
        <v>1</v>
      </c>
    </row>
    <row r="3122" ht="15.75" customHeight="1" spans="1:7">
      <c r="A3122" s="4" t="s">
        <v>7359</v>
      </c>
      <c r="B3122" s="5" t="s">
        <v>7360</v>
      </c>
      <c r="C3122" s="4" t="s">
        <v>9</v>
      </c>
      <c r="D3122" s="475">
        <v>141.61</v>
      </c>
      <c r="E3122" s="476">
        <v>0.04722</v>
      </c>
      <c r="F3122" s="6">
        <v>1.4245</v>
      </c>
      <c r="G3122" s="6">
        <v>1</v>
      </c>
    </row>
    <row r="3123" ht="15.75" customHeight="1" spans="1:7">
      <c r="A3123" s="4" t="s">
        <v>7361</v>
      </c>
      <c r="B3123" s="5" t="s">
        <v>7362</v>
      </c>
      <c r="C3123" s="4" t="s">
        <v>9</v>
      </c>
      <c r="D3123" s="475">
        <v>186.33</v>
      </c>
      <c r="E3123" s="476">
        <v>0.04722</v>
      </c>
      <c r="F3123" s="6">
        <v>1.4245</v>
      </c>
      <c r="G3123" s="6">
        <v>1</v>
      </c>
    </row>
    <row r="3124" ht="15.75" customHeight="1" spans="1:7">
      <c r="A3124" s="4" t="s">
        <v>7363</v>
      </c>
      <c r="B3124" s="5" t="s">
        <v>7364</v>
      </c>
      <c r="C3124" s="4" t="s">
        <v>9</v>
      </c>
      <c r="D3124" s="475">
        <v>145.69</v>
      </c>
      <c r="E3124" s="476">
        <v>0.04722</v>
      </c>
      <c r="F3124" s="6">
        <v>1.4245</v>
      </c>
      <c r="G3124" s="6">
        <v>1</v>
      </c>
    </row>
    <row r="3125" ht="15.75" customHeight="1" spans="1:7">
      <c r="A3125" s="4" t="s">
        <v>7365</v>
      </c>
      <c r="B3125" s="5" t="s">
        <v>7366</v>
      </c>
      <c r="C3125" s="4" t="s">
        <v>9</v>
      </c>
      <c r="D3125" s="475">
        <v>76.41</v>
      </c>
      <c r="E3125" s="476">
        <v>0.04722</v>
      </c>
      <c r="F3125" s="6">
        <v>0.0275</v>
      </c>
      <c r="G3125" s="6">
        <v>132</v>
      </c>
    </row>
    <row r="3126" ht="15.75" customHeight="1" spans="1:7">
      <c r="A3126" s="4" t="s">
        <v>7367</v>
      </c>
      <c r="B3126" s="5" t="s">
        <v>7368</v>
      </c>
      <c r="C3126" s="4" t="s">
        <v>9</v>
      </c>
      <c r="D3126" s="475">
        <v>103.91</v>
      </c>
      <c r="E3126" s="476">
        <v>0.04722</v>
      </c>
      <c r="F3126" s="6">
        <v>0.0321</v>
      </c>
      <c r="G3126" s="6">
        <v>113</v>
      </c>
    </row>
    <row r="3127" ht="15.75" customHeight="1" spans="1:7">
      <c r="A3127" s="4" t="s">
        <v>7369</v>
      </c>
      <c r="B3127" s="5" t="s">
        <v>7370</v>
      </c>
      <c r="C3127" s="4" t="s">
        <v>9</v>
      </c>
      <c r="D3127" s="475">
        <v>156.52</v>
      </c>
      <c r="E3127" s="476">
        <v>0.04722</v>
      </c>
      <c r="F3127" s="6">
        <v>3.3435</v>
      </c>
      <c r="G3127" s="6">
        <v>1</v>
      </c>
    </row>
    <row r="3128" ht="15.75" customHeight="1" spans="1:7">
      <c r="A3128" s="4" t="s">
        <v>7371</v>
      </c>
      <c r="B3128" s="5" t="s">
        <v>7372</v>
      </c>
      <c r="C3128" s="4" t="s">
        <v>9</v>
      </c>
      <c r="D3128" s="475">
        <v>176.32</v>
      </c>
      <c r="E3128" s="476">
        <v>0.04722</v>
      </c>
      <c r="F3128" s="6">
        <v>3.3435</v>
      </c>
      <c r="G3128" s="6">
        <v>1</v>
      </c>
    </row>
    <row r="3129" ht="15.75" customHeight="1" spans="1:7">
      <c r="A3129" s="4" t="s">
        <v>7373</v>
      </c>
      <c r="B3129" s="5" t="s">
        <v>7374</v>
      </c>
      <c r="C3129" s="4" t="s">
        <v>9</v>
      </c>
      <c r="D3129" s="475">
        <v>57.95</v>
      </c>
      <c r="E3129" s="476">
        <v>0.04722</v>
      </c>
      <c r="F3129" s="6">
        <v>0.1214</v>
      </c>
      <c r="G3129" s="6">
        <v>1</v>
      </c>
    </row>
    <row r="3130" ht="15.75" customHeight="1" spans="1:7">
      <c r="A3130" s="4" t="s">
        <v>7375</v>
      </c>
      <c r="B3130" s="5" t="s">
        <v>7376</v>
      </c>
      <c r="C3130" s="4" t="s">
        <v>9</v>
      </c>
      <c r="D3130" s="475">
        <v>38.66</v>
      </c>
      <c r="E3130" s="476">
        <v>0.04722</v>
      </c>
      <c r="F3130" s="6">
        <v>0.1214</v>
      </c>
      <c r="G3130" s="6">
        <v>1</v>
      </c>
    </row>
    <row r="3131" ht="15.75" customHeight="1" spans="1:7">
      <c r="A3131" s="4" t="s">
        <v>7377</v>
      </c>
      <c r="B3131" s="5" t="s">
        <v>7378</v>
      </c>
      <c r="C3131" s="4" t="s">
        <v>9</v>
      </c>
      <c r="D3131" s="475">
        <v>43.64</v>
      </c>
      <c r="E3131" s="476">
        <v>0.04722</v>
      </c>
      <c r="F3131" s="6">
        <v>0.1214</v>
      </c>
      <c r="G3131" s="6">
        <v>1</v>
      </c>
    </row>
    <row r="3132" ht="15.75" customHeight="1" spans="1:7">
      <c r="A3132" s="4" t="s">
        <v>7379</v>
      </c>
      <c r="B3132" s="5" t="s">
        <v>7380</v>
      </c>
      <c r="C3132" s="4" t="s">
        <v>9</v>
      </c>
      <c r="D3132" s="475">
        <v>27.11</v>
      </c>
      <c r="E3132" s="476">
        <v>0.04722</v>
      </c>
      <c r="F3132" s="6">
        <v>0.1214</v>
      </c>
      <c r="G3132" s="6">
        <v>1</v>
      </c>
    </row>
    <row r="3133" ht="15.75" customHeight="1" spans="1:7">
      <c r="A3133" s="4" t="s">
        <v>7381</v>
      </c>
      <c r="B3133" s="5" t="s">
        <v>7382</v>
      </c>
      <c r="C3133" s="4" t="s">
        <v>9</v>
      </c>
      <c r="D3133" s="475">
        <v>39.5</v>
      </c>
      <c r="E3133" s="476">
        <v>0.04722</v>
      </c>
      <c r="F3133" s="6">
        <v>0.1214</v>
      </c>
      <c r="G3133" s="6">
        <v>1</v>
      </c>
    </row>
    <row r="3134" ht="15.75" customHeight="1" spans="1:7">
      <c r="A3134" s="4" t="s">
        <v>7383</v>
      </c>
      <c r="B3134" s="5" t="s">
        <v>7384</v>
      </c>
      <c r="C3134" s="4" t="s">
        <v>9</v>
      </c>
      <c r="D3134" s="475">
        <v>28.52</v>
      </c>
      <c r="E3134" s="476">
        <v>0.04722</v>
      </c>
      <c r="F3134" s="6">
        <v>0.1214</v>
      </c>
      <c r="G3134" s="6">
        <v>1</v>
      </c>
    </row>
    <row r="3135" ht="15.75" customHeight="1" spans="1:7">
      <c r="A3135" s="4" t="s">
        <v>7385</v>
      </c>
      <c r="B3135" s="5" t="s">
        <v>7386</v>
      </c>
      <c r="C3135" s="4" t="s">
        <v>9</v>
      </c>
      <c r="D3135" s="475">
        <v>24.63</v>
      </c>
      <c r="E3135" s="476">
        <v>0.04722</v>
      </c>
      <c r="F3135" s="6">
        <v>0.1214</v>
      </c>
      <c r="G3135" s="6">
        <v>1</v>
      </c>
    </row>
    <row r="3136" ht="15.75" customHeight="1" spans="1:7">
      <c r="A3136" s="4" t="s">
        <v>7387</v>
      </c>
      <c r="B3136" s="5" t="s">
        <v>7388</v>
      </c>
      <c r="C3136" s="4" t="s">
        <v>9</v>
      </c>
      <c r="D3136" s="475">
        <v>13.65</v>
      </c>
      <c r="E3136" s="476">
        <v>0.04722</v>
      </c>
      <c r="F3136" s="6">
        <v>0.1214</v>
      </c>
      <c r="G3136" s="6">
        <v>1</v>
      </c>
    </row>
    <row r="3137" ht="15.75" customHeight="1" spans="1:7">
      <c r="A3137" s="4" t="s">
        <v>7389</v>
      </c>
      <c r="B3137" s="5" t="s">
        <v>7390</v>
      </c>
      <c r="C3137" s="4" t="s">
        <v>9</v>
      </c>
      <c r="D3137" s="475">
        <v>77.47</v>
      </c>
      <c r="E3137" s="476">
        <v>0.04722</v>
      </c>
      <c r="F3137" s="6">
        <v>0.2328</v>
      </c>
      <c r="G3137" s="6">
        <v>1</v>
      </c>
    </row>
    <row r="3138" ht="15.75" customHeight="1" spans="1:7">
      <c r="A3138" s="4" t="s">
        <v>7391</v>
      </c>
      <c r="B3138" s="5" t="s">
        <v>7392</v>
      </c>
      <c r="C3138" s="4" t="s">
        <v>9</v>
      </c>
      <c r="D3138" s="475">
        <v>63.73</v>
      </c>
      <c r="E3138" s="476">
        <v>0.04722</v>
      </c>
      <c r="F3138" s="6">
        <v>0.2328</v>
      </c>
      <c r="G3138" s="6">
        <v>1</v>
      </c>
    </row>
    <row r="3139" ht="15.75" customHeight="1" spans="1:7">
      <c r="A3139" s="4" t="s">
        <v>7393</v>
      </c>
      <c r="B3139" s="5" t="s">
        <v>7394</v>
      </c>
      <c r="C3139" s="4" t="s">
        <v>9</v>
      </c>
      <c r="D3139" s="475">
        <v>63.16</v>
      </c>
      <c r="E3139" s="476">
        <v>0.04722</v>
      </c>
      <c r="F3139" s="6">
        <v>0.2328</v>
      </c>
      <c r="G3139" s="6">
        <v>1</v>
      </c>
    </row>
    <row r="3140" ht="15.75" customHeight="1" spans="1:7">
      <c r="A3140" s="4" t="s">
        <v>7395</v>
      </c>
      <c r="B3140" s="5" t="s">
        <v>7396</v>
      </c>
      <c r="C3140" s="4" t="s">
        <v>9</v>
      </c>
      <c r="D3140" s="475">
        <v>52.18</v>
      </c>
      <c r="E3140" s="476">
        <v>0.04722</v>
      </c>
      <c r="F3140" s="6">
        <v>0.2328</v>
      </c>
      <c r="G3140" s="6">
        <v>1</v>
      </c>
    </row>
    <row r="3141" ht="15.75" customHeight="1" spans="1:7">
      <c r="A3141" s="4" t="s">
        <v>7397</v>
      </c>
      <c r="B3141" s="5" t="s">
        <v>7398</v>
      </c>
      <c r="C3141" s="4" t="s">
        <v>82</v>
      </c>
      <c r="D3141" s="475">
        <v>20.05</v>
      </c>
      <c r="E3141" s="476">
        <v>0.04722</v>
      </c>
      <c r="F3141" s="6">
        <v>0.5573</v>
      </c>
      <c r="G3141" s="6">
        <v>1</v>
      </c>
    </row>
    <row r="3142" ht="15.75" customHeight="1" spans="1:7">
      <c r="A3142" s="4" t="s">
        <v>7399</v>
      </c>
      <c r="B3142" s="5" t="s">
        <v>7400</v>
      </c>
      <c r="C3142" s="4" t="s">
        <v>82</v>
      </c>
      <c r="D3142" s="475">
        <v>17.19</v>
      </c>
      <c r="E3142" s="476">
        <v>0.04722</v>
      </c>
      <c r="F3142" s="6">
        <v>0.4458</v>
      </c>
      <c r="G3142" s="6">
        <v>1</v>
      </c>
    </row>
    <row r="3143" ht="15.75" customHeight="1" spans="1:7">
      <c r="A3143" s="4" t="s">
        <v>7401</v>
      </c>
      <c r="B3143" s="5" t="s">
        <v>7402</v>
      </c>
      <c r="C3143" s="4" t="s">
        <v>101</v>
      </c>
      <c r="D3143" s="475">
        <v>76.71</v>
      </c>
      <c r="E3143" s="476">
        <v>0.03814</v>
      </c>
      <c r="F3143" s="6">
        <v>1.8004</v>
      </c>
      <c r="G3143" s="6">
        <v>1</v>
      </c>
    </row>
    <row r="3144" ht="15.75" customHeight="1" spans="1:7">
      <c r="A3144" s="4" t="s">
        <v>7403</v>
      </c>
      <c r="B3144" s="5" t="s">
        <v>7404</v>
      </c>
      <c r="C3144" s="4" t="s">
        <v>82</v>
      </c>
      <c r="D3144" s="475">
        <v>194.15</v>
      </c>
      <c r="E3144" s="476">
        <v>0</v>
      </c>
      <c r="F3144" s="6">
        <v>0</v>
      </c>
      <c r="G3144" s="6">
        <v>1</v>
      </c>
    </row>
    <row r="3145" ht="15.75" customHeight="1" spans="1:7">
      <c r="A3145" s="4" t="s">
        <v>7405</v>
      </c>
      <c r="B3145" s="5" t="s">
        <v>7406</v>
      </c>
      <c r="C3145" s="4" t="s">
        <v>82</v>
      </c>
      <c r="D3145" s="475">
        <v>172.52</v>
      </c>
      <c r="E3145" s="476">
        <v>0</v>
      </c>
      <c r="F3145" s="6">
        <v>0</v>
      </c>
      <c r="G3145" s="6">
        <v>1</v>
      </c>
    </row>
    <row r="3146" ht="15.75" customHeight="1" spans="1:7">
      <c r="A3146" s="4" t="s">
        <v>7407</v>
      </c>
      <c r="B3146" s="5" t="s">
        <v>7408</v>
      </c>
      <c r="C3146" s="4" t="s">
        <v>82</v>
      </c>
      <c r="D3146" s="475">
        <v>286.94</v>
      </c>
      <c r="E3146" s="476">
        <v>0</v>
      </c>
      <c r="F3146" s="6">
        <v>0</v>
      </c>
      <c r="G3146" s="6">
        <v>1</v>
      </c>
    </row>
    <row r="3147" ht="15.75" customHeight="1" spans="1:7">
      <c r="A3147" s="4" t="s">
        <v>7409</v>
      </c>
      <c r="B3147" s="5" t="s">
        <v>7410</v>
      </c>
      <c r="C3147" s="4" t="s">
        <v>82</v>
      </c>
      <c r="D3147" s="475">
        <v>253.76</v>
      </c>
      <c r="E3147" s="476">
        <v>0</v>
      </c>
      <c r="F3147" s="6">
        <v>0</v>
      </c>
      <c r="G3147" s="6">
        <v>1</v>
      </c>
    </row>
    <row r="3148" ht="15.75" customHeight="1" spans="1:7">
      <c r="A3148" s="4" t="s">
        <v>7411</v>
      </c>
      <c r="B3148" s="5" t="s">
        <v>7412</v>
      </c>
      <c r="C3148" s="4" t="s">
        <v>82</v>
      </c>
      <c r="D3148" s="475">
        <v>205.93</v>
      </c>
      <c r="E3148" s="476">
        <v>0</v>
      </c>
      <c r="F3148" s="6">
        <v>0</v>
      </c>
      <c r="G3148" s="6">
        <v>1</v>
      </c>
    </row>
    <row r="3149" ht="15.75" customHeight="1" spans="1:7">
      <c r="A3149" s="4" t="s">
        <v>7413</v>
      </c>
      <c r="B3149" s="5" t="s">
        <v>7414</v>
      </c>
      <c r="C3149" s="4" t="s">
        <v>82</v>
      </c>
      <c r="D3149" s="475">
        <v>183.38</v>
      </c>
      <c r="E3149" s="476">
        <v>0</v>
      </c>
      <c r="F3149" s="6">
        <v>0</v>
      </c>
      <c r="G3149" s="6">
        <v>1</v>
      </c>
    </row>
    <row r="3150" ht="15.75" customHeight="1" spans="1:7">
      <c r="A3150" s="4" t="s">
        <v>7415</v>
      </c>
      <c r="B3150" s="5" t="s">
        <v>7416</v>
      </c>
      <c r="C3150" s="4" t="s">
        <v>82</v>
      </c>
      <c r="D3150" s="475">
        <v>303.56</v>
      </c>
      <c r="E3150" s="476">
        <v>0</v>
      </c>
      <c r="F3150" s="6">
        <v>0</v>
      </c>
      <c r="G3150" s="6">
        <v>1</v>
      </c>
    </row>
    <row r="3151" ht="15.75" customHeight="1" spans="1:7">
      <c r="A3151" s="4" t="s">
        <v>7417</v>
      </c>
      <c r="B3151" s="5" t="s">
        <v>7418</v>
      </c>
      <c r="C3151" s="4" t="s">
        <v>82</v>
      </c>
      <c r="D3151" s="475">
        <v>269.09</v>
      </c>
      <c r="E3151" s="476">
        <v>0</v>
      </c>
      <c r="F3151" s="6">
        <v>0</v>
      </c>
      <c r="G3151" s="6">
        <v>1</v>
      </c>
    </row>
    <row r="3152" ht="15.75" customHeight="1" spans="1:7">
      <c r="A3152" s="4" t="s">
        <v>7419</v>
      </c>
      <c r="B3152" s="5" t="s">
        <v>7420</v>
      </c>
      <c r="C3152" s="4" t="s">
        <v>82</v>
      </c>
      <c r="D3152" s="475">
        <v>181.39</v>
      </c>
      <c r="E3152" s="476">
        <v>0</v>
      </c>
      <c r="F3152" s="6">
        <v>0</v>
      </c>
      <c r="G3152" s="6">
        <v>1</v>
      </c>
    </row>
    <row r="3153" ht="15.75" customHeight="1" spans="1:7">
      <c r="A3153" s="4" t="s">
        <v>7421</v>
      </c>
      <c r="B3153" s="5" t="s">
        <v>7422</v>
      </c>
      <c r="C3153" s="4" t="s">
        <v>82</v>
      </c>
      <c r="D3153" s="475">
        <v>162.15</v>
      </c>
      <c r="E3153" s="476">
        <v>0</v>
      </c>
      <c r="F3153" s="6">
        <v>0</v>
      </c>
      <c r="G3153" s="6">
        <v>1</v>
      </c>
    </row>
    <row r="3154" ht="15.75" customHeight="1" spans="1:7">
      <c r="A3154" s="4" t="s">
        <v>7423</v>
      </c>
      <c r="B3154" s="5" t="s">
        <v>7424</v>
      </c>
      <c r="C3154" s="4" t="s">
        <v>82</v>
      </c>
      <c r="D3154" s="475">
        <v>263.39</v>
      </c>
      <c r="E3154" s="476">
        <v>0</v>
      </c>
      <c r="F3154" s="6">
        <v>0</v>
      </c>
      <c r="G3154" s="6">
        <v>1</v>
      </c>
    </row>
    <row r="3155" ht="15.75" customHeight="1" spans="1:7">
      <c r="A3155" s="4" t="s">
        <v>7425</v>
      </c>
      <c r="B3155" s="5" t="s">
        <v>7426</v>
      </c>
      <c r="C3155" s="4" t="s">
        <v>82</v>
      </c>
      <c r="D3155" s="475">
        <v>234.95</v>
      </c>
      <c r="E3155" s="476">
        <v>0</v>
      </c>
      <c r="F3155" s="6">
        <v>0</v>
      </c>
      <c r="G3155" s="6">
        <v>1</v>
      </c>
    </row>
    <row r="3156" ht="15.75" customHeight="1" spans="1:7">
      <c r="A3156" s="4" t="s">
        <v>7427</v>
      </c>
      <c r="B3156" s="5" t="s">
        <v>7428</v>
      </c>
      <c r="C3156" s="4" t="s">
        <v>82</v>
      </c>
      <c r="D3156" s="475">
        <v>191.15</v>
      </c>
      <c r="E3156" s="476">
        <v>0</v>
      </c>
      <c r="F3156" s="6">
        <v>0</v>
      </c>
      <c r="G3156" s="6">
        <v>1</v>
      </c>
    </row>
    <row r="3157" ht="15.75" customHeight="1" spans="1:7">
      <c r="A3157" s="4" t="s">
        <v>7429</v>
      </c>
      <c r="B3157" s="5" t="s">
        <v>7430</v>
      </c>
      <c r="C3157" s="4" t="s">
        <v>82</v>
      </c>
      <c r="D3157" s="475">
        <v>171.21</v>
      </c>
      <c r="E3157" s="476">
        <v>0</v>
      </c>
      <c r="F3157" s="6">
        <v>0</v>
      </c>
      <c r="G3157" s="6">
        <v>1</v>
      </c>
    </row>
    <row r="3158" ht="15.75" customHeight="1" spans="1:7">
      <c r="A3158" s="4" t="s">
        <v>7431</v>
      </c>
      <c r="B3158" s="5" t="s">
        <v>7432</v>
      </c>
      <c r="C3158" s="4" t="s">
        <v>82</v>
      </c>
      <c r="D3158" s="475">
        <v>277.23</v>
      </c>
      <c r="E3158" s="476">
        <v>0</v>
      </c>
      <c r="F3158" s="6">
        <v>0</v>
      </c>
      <c r="G3158" s="6">
        <v>1</v>
      </c>
    </row>
    <row r="3159" ht="15.75" customHeight="1" spans="1:7">
      <c r="A3159" s="4" t="s">
        <v>7433</v>
      </c>
      <c r="B3159" s="5" t="s">
        <v>7434</v>
      </c>
      <c r="C3159" s="4" t="s">
        <v>82</v>
      </c>
      <c r="D3159" s="475">
        <v>247.82</v>
      </c>
      <c r="E3159" s="476">
        <v>0</v>
      </c>
      <c r="F3159" s="6">
        <v>0</v>
      </c>
      <c r="G3159" s="6">
        <v>1</v>
      </c>
    </row>
    <row r="3160" ht="15.75" customHeight="1" spans="1:7">
      <c r="A3160" s="4" t="s">
        <v>7435</v>
      </c>
      <c r="B3160" s="5" t="s">
        <v>7436</v>
      </c>
      <c r="C3160" s="4" t="s">
        <v>82</v>
      </c>
      <c r="D3160" s="475">
        <v>202.78</v>
      </c>
      <c r="E3160" s="476">
        <v>0</v>
      </c>
      <c r="F3160" s="6">
        <v>0</v>
      </c>
      <c r="G3160" s="6">
        <v>1</v>
      </c>
    </row>
    <row r="3161" ht="15.75" customHeight="1" spans="1:7">
      <c r="A3161" s="4" t="s">
        <v>7437</v>
      </c>
      <c r="B3161" s="5" t="s">
        <v>7438</v>
      </c>
      <c r="C3161" s="4" t="s">
        <v>82</v>
      </c>
      <c r="D3161" s="475">
        <v>182.04</v>
      </c>
      <c r="E3161" s="476">
        <v>0</v>
      </c>
      <c r="F3161" s="6">
        <v>0</v>
      </c>
      <c r="G3161" s="6">
        <v>1</v>
      </c>
    </row>
    <row r="3162" ht="15.75" customHeight="1" spans="1:7">
      <c r="A3162" s="4" t="s">
        <v>7439</v>
      </c>
      <c r="B3162" s="5" t="s">
        <v>7440</v>
      </c>
      <c r="C3162" s="4" t="s">
        <v>82</v>
      </c>
      <c r="D3162" s="475">
        <v>293.89</v>
      </c>
      <c r="E3162" s="476">
        <v>0</v>
      </c>
      <c r="F3162" s="6">
        <v>0</v>
      </c>
      <c r="G3162" s="6">
        <v>1</v>
      </c>
    </row>
    <row r="3163" ht="15.75" customHeight="1" spans="1:7">
      <c r="A3163" s="4" t="s">
        <v>7441</v>
      </c>
      <c r="B3163" s="5" t="s">
        <v>7442</v>
      </c>
      <c r="C3163" s="4" t="s">
        <v>82</v>
      </c>
      <c r="D3163" s="475">
        <v>263.31</v>
      </c>
      <c r="E3163" s="476">
        <v>0</v>
      </c>
      <c r="F3163" s="6">
        <v>0</v>
      </c>
      <c r="G3163" s="6">
        <v>1</v>
      </c>
    </row>
    <row r="3164" ht="15.75" customHeight="1" spans="1:7">
      <c r="A3164" s="4" t="s">
        <v>7443</v>
      </c>
      <c r="B3164" s="5" t="s">
        <v>7444</v>
      </c>
      <c r="C3164" s="4" t="s">
        <v>82</v>
      </c>
      <c r="D3164" s="475">
        <v>212.53</v>
      </c>
      <c r="E3164" s="476">
        <v>0</v>
      </c>
      <c r="F3164" s="6">
        <v>0</v>
      </c>
      <c r="G3164" s="6">
        <v>1</v>
      </c>
    </row>
    <row r="3165" ht="15.75" customHeight="1" spans="1:7">
      <c r="A3165" s="4" t="s">
        <v>7445</v>
      </c>
      <c r="B3165" s="5" t="s">
        <v>7446</v>
      </c>
      <c r="C3165" s="4" t="s">
        <v>82</v>
      </c>
      <c r="D3165" s="475">
        <v>191.1</v>
      </c>
      <c r="E3165" s="476">
        <v>0</v>
      </c>
      <c r="F3165" s="6">
        <v>0</v>
      </c>
      <c r="G3165" s="6">
        <v>1</v>
      </c>
    </row>
    <row r="3166" ht="15.75" customHeight="1" spans="1:7">
      <c r="A3166" s="4" t="s">
        <v>7447</v>
      </c>
      <c r="B3166" s="5" t="s">
        <v>7448</v>
      </c>
      <c r="C3166" s="4" t="s">
        <v>82</v>
      </c>
      <c r="D3166" s="475">
        <v>307.73</v>
      </c>
      <c r="E3166" s="476">
        <v>0</v>
      </c>
      <c r="F3166" s="6">
        <v>0</v>
      </c>
      <c r="G3166" s="6">
        <v>1</v>
      </c>
    </row>
    <row r="3167" ht="15.75" customHeight="1" spans="1:7">
      <c r="A3167" s="4" t="s">
        <v>7449</v>
      </c>
      <c r="B3167" s="5" t="s">
        <v>7450</v>
      </c>
      <c r="C3167" s="4" t="s">
        <v>82</v>
      </c>
      <c r="D3167" s="475">
        <v>276.19</v>
      </c>
      <c r="E3167" s="476">
        <v>0</v>
      </c>
      <c r="F3167" s="6">
        <v>0</v>
      </c>
      <c r="G3167" s="6">
        <v>1</v>
      </c>
    </row>
    <row r="3168" ht="15.75" customHeight="1" spans="1:7">
      <c r="A3168" s="4" t="s">
        <v>7451</v>
      </c>
      <c r="B3168" s="5" t="s">
        <v>7452</v>
      </c>
      <c r="C3168" s="4" t="s">
        <v>82</v>
      </c>
      <c r="D3168" s="475">
        <v>821.71</v>
      </c>
      <c r="E3168" s="476">
        <v>0</v>
      </c>
      <c r="F3168" s="6">
        <v>0</v>
      </c>
      <c r="G3168" s="6">
        <v>1</v>
      </c>
    </row>
    <row r="3169" ht="15.75" customHeight="1" spans="1:7">
      <c r="A3169" s="4" t="s">
        <v>7453</v>
      </c>
      <c r="B3169" s="5" t="s">
        <v>7454</v>
      </c>
      <c r="C3169" s="4" t="s">
        <v>82</v>
      </c>
      <c r="D3169" s="475">
        <v>715.12</v>
      </c>
      <c r="E3169" s="476">
        <v>0</v>
      </c>
      <c r="F3169" s="6">
        <v>0</v>
      </c>
      <c r="G3169" s="6">
        <v>1</v>
      </c>
    </row>
    <row r="3170" ht="15.75" customHeight="1" spans="1:7">
      <c r="A3170" s="4" t="s">
        <v>7455</v>
      </c>
      <c r="B3170" s="5" t="s">
        <v>7456</v>
      </c>
      <c r="C3170" s="4" t="s">
        <v>82</v>
      </c>
      <c r="D3170" s="475">
        <v>1129.55</v>
      </c>
      <c r="E3170" s="476">
        <v>0</v>
      </c>
      <c r="F3170" s="6">
        <v>0</v>
      </c>
      <c r="G3170" s="6">
        <v>1</v>
      </c>
    </row>
    <row r="3171" ht="15.75" customHeight="1" spans="1:7">
      <c r="A3171" s="4" t="s">
        <v>7457</v>
      </c>
      <c r="B3171" s="5" t="s">
        <v>7458</v>
      </c>
      <c r="C3171" s="4" t="s">
        <v>82</v>
      </c>
      <c r="D3171" s="475">
        <v>976.53</v>
      </c>
      <c r="E3171" s="476">
        <v>0</v>
      </c>
      <c r="F3171" s="6">
        <v>0</v>
      </c>
      <c r="G3171" s="6">
        <v>1</v>
      </c>
    </row>
    <row r="3172" ht="15.75" customHeight="1" spans="1:7">
      <c r="A3172" s="4" t="s">
        <v>7459</v>
      </c>
      <c r="B3172" s="5" t="s">
        <v>7460</v>
      </c>
      <c r="C3172" s="4" t="s">
        <v>82</v>
      </c>
      <c r="D3172" s="475">
        <v>827.11</v>
      </c>
      <c r="E3172" s="476">
        <v>0</v>
      </c>
      <c r="F3172" s="6">
        <v>0</v>
      </c>
      <c r="G3172" s="6">
        <v>1</v>
      </c>
    </row>
    <row r="3173" ht="15.75" customHeight="1" spans="1:7">
      <c r="A3173" s="4" t="s">
        <v>7461</v>
      </c>
      <c r="B3173" s="5" t="s">
        <v>7462</v>
      </c>
      <c r="C3173" s="4" t="s">
        <v>82</v>
      </c>
      <c r="D3173" s="475">
        <v>719.42</v>
      </c>
      <c r="E3173" s="476">
        <v>0</v>
      </c>
      <c r="F3173" s="6">
        <v>0</v>
      </c>
      <c r="G3173" s="6">
        <v>1</v>
      </c>
    </row>
    <row r="3174" ht="15.75" customHeight="1" spans="1:7">
      <c r="A3174" s="4" t="s">
        <v>7463</v>
      </c>
      <c r="B3174" s="5" t="s">
        <v>7464</v>
      </c>
      <c r="C3174" s="4" t="s">
        <v>82</v>
      </c>
      <c r="D3174" s="475">
        <v>1138.99</v>
      </c>
      <c r="E3174" s="476">
        <v>0</v>
      </c>
      <c r="F3174" s="6">
        <v>0</v>
      </c>
      <c r="G3174" s="6">
        <v>1</v>
      </c>
    </row>
    <row r="3175" ht="15.75" customHeight="1" spans="1:7">
      <c r="A3175" s="4" t="s">
        <v>7465</v>
      </c>
      <c r="B3175" s="5" t="s">
        <v>7466</v>
      </c>
      <c r="C3175" s="4" t="s">
        <v>82</v>
      </c>
      <c r="D3175" s="475">
        <v>984.05</v>
      </c>
      <c r="E3175" s="476">
        <v>0</v>
      </c>
      <c r="F3175" s="6">
        <v>0</v>
      </c>
      <c r="G3175" s="6">
        <v>1</v>
      </c>
    </row>
    <row r="3176" ht="15.75" customHeight="1" spans="1:7">
      <c r="A3176" s="4" t="s">
        <v>7467</v>
      </c>
      <c r="B3176" s="5" t="s">
        <v>7468</v>
      </c>
      <c r="C3176" s="4" t="s">
        <v>82</v>
      </c>
      <c r="D3176" s="475">
        <v>843.56</v>
      </c>
      <c r="E3176" s="476">
        <v>0</v>
      </c>
      <c r="F3176" s="6">
        <v>0</v>
      </c>
      <c r="G3176" s="6">
        <v>1</v>
      </c>
    </row>
    <row r="3177" ht="15.75" customHeight="1" spans="1:7">
      <c r="A3177" s="4" t="s">
        <v>7469</v>
      </c>
      <c r="B3177" s="5" t="s">
        <v>7470</v>
      </c>
      <c r="C3177" s="4" t="s">
        <v>82</v>
      </c>
      <c r="D3177" s="475">
        <v>732.52</v>
      </c>
      <c r="E3177" s="476">
        <v>0</v>
      </c>
      <c r="F3177" s="6">
        <v>0</v>
      </c>
      <c r="G3177" s="6">
        <v>1</v>
      </c>
    </row>
    <row r="3178" ht="15.75" customHeight="1" spans="1:7">
      <c r="A3178" s="4" t="s">
        <v>7471</v>
      </c>
      <c r="B3178" s="5" t="s">
        <v>7472</v>
      </c>
      <c r="C3178" s="4" t="s">
        <v>82</v>
      </c>
      <c r="D3178" s="475">
        <v>1167.72</v>
      </c>
      <c r="E3178" s="476">
        <v>0</v>
      </c>
      <c r="F3178" s="6">
        <v>0</v>
      </c>
      <c r="G3178" s="6">
        <v>1</v>
      </c>
    </row>
    <row r="3179" ht="15.75" customHeight="1" spans="1:7">
      <c r="A3179" s="4" t="s">
        <v>7473</v>
      </c>
      <c r="B3179" s="5" t="s">
        <v>7474</v>
      </c>
      <c r="C3179" s="4" t="s">
        <v>82</v>
      </c>
      <c r="D3179" s="475">
        <v>1006.93</v>
      </c>
      <c r="E3179" s="476">
        <v>0</v>
      </c>
      <c r="F3179" s="6">
        <v>0</v>
      </c>
      <c r="G3179" s="6">
        <v>1</v>
      </c>
    </row>
    <row r="3180" ht="15.75" customHeight="1" spans="1:7">
      <c r="A3180" s="4" t="s">
        <v>7475</v>
      </c>
      <c r="B3180" s="5" t="s">
        <v>7476</v>
      </c>
      <c r="C3180" s="4" t="s">
        <v>82</v>
      </c>
      <c r="D3180" s="475">
        <v>846.87</v>
      </c>
      <c r="E3180" s="476">
        <v>0</v>
      </c>
      <c r="F3180" s="6">
        <v>0</v>
      </c>
      <c r="G3180" s="6">
        <v>1</v>
      </c>
    </row>
    <row r="3181" ht="15.75" customHeight="1" spans="1:7">
      <c r="A3181" s="4" t="s">
        <v>7477</v>
      </c>
      <c r="B3181" s="5" t="s">
        <v>7478</v>
      </c>
      <c r="C3181" s="4" t="s">
        <v>82</v>
      </c>
      <c r="D3181" s="475">
        <v>735.16</v>
      </c>
      <c r="E3181" s="476">
        <v>0</v>
      </c>
      <c r="F3181" s="6">
        <v>0</v>
      </c>
      <c r="G3181" s="6">
        <v>1</v>
      </c>
    </row>
    <row r="3182" ht="15.75" customHeight="1" spans="1:7">
      <c r="A3182" s="4" t="s">
        <v>7479</v>
      </c>
      <c r="B3182" s="5" t="s">
        <v>7480</v>
      </c>
      <c r="C3182" s="4" t="s">
        <v>82</v>
      </c>
      <c r="D3182" s="475">
        <v>1173.48</v>
      </c>
      <c r="E3182" s="476">
        <v>0</v>
      </c>
      <c r="F3182" s="6">
        <v>0</v>
      </c>
      <c r="G3182" s="6">
        <v>1</v>
      </c>
    </row>
    <row r="3183" ht="15.75" customHeight="1" spans="1:7">
      <c r="A3183" s="4" t="s">
        <v>7481</v>
      </c>
      <c r="B3183" s="5" t="s">
        <v>7482</v>
      </c>
      <c r="C3183" s="4" t="s">
        <v>82</v>
      </c>
      <c r="D3183" s="475">
        <v>1011.52</v>
      </c>
      <c r="E3183" s="476">
        <v>0</v>
      </c>
      <c r="F3183" s="6">
        <v>0</v>
      </c>
      <c r="G3183" s="6">
        <v>1</v>
      </c>
    </row>
    <row r="3184" ht="15.75" customHeight="1" spans="1:7">
      <c r="A3184" s="4" t="s">
        <v>7483</v>
      </c>
      <c r="B3184" s="5" t="s">
        <v>7484</v>
      </c>
      <c r="C3184" s="4" t="s">
        <v>82</v>
      </c>
      <c r="D3184" s="475">
        <v>854.3</v>
      </c>
      <c r="E3184" s="476">
        <v>0</v>
      </c>
      <c r="F3184" s="6">
        <v>0</v>
      </c>
      <c r="G3184" s="6">
        <v>1</v>
      </c>
    </row>
    <row r="3185" ht="15.75" customHeight="1" spans="1:7">
      <c r="A3185" s="4" t="s">
        <v>7485</v>
      </c>
      <c r="B3185" s="5" t="s">
        <v>7486</v>
      </c>
      <c r="C3185" s="4" t="s">
        <v>82</v>
      </c>
      <c r="D3185" s="475">
        <v>741.08</v>
      </c>
      <c r="E3185" s="476">
        <v>0</v>
      </c>
      <c r="F3185" s="6">
        <v>0</v>
      </c>
      <c r="G3185" s="6">
        <v>1</v>
      </c>
    </row>
    <row r="3186" ht="15.75" customHeight="1" spans="1:7">
      <c r="A3186" s="4" t="s">
        <v>7487</v>
      </c>
      <c r="B3186" s="5" t="s">
        <v>7488</v>
      </c>
      <c r="C3186" s="4" t="s">
        <v>82</v>
      </c>
      <c r="D3186" s="475">
        <v>1186.48</v>
      </c>
      <c r="E3186" s="476">
        <v>0</v>
      </c>
      <c r="F3186" s="6">
        <v>0</v>
      </c>
      <c r="G3186" s="6">
        <v>1</v>
      </c>
    </row>
    <row r="3187" ht="15.75" customHeight="1" spans="1:7">
      <c r="A3187" s="4" t="s">
        <v>7489</v>
      </c>
      <c r="B3187" s="5" t="s">
        <v>7490</v>
      </c>
      <c r="C3187" s="4" t="s">
        <v>82</v>
      </c>
      <c r="D3187" s="475">
        <v>1021.87</v>
      </c>
      <c r="E3187" s="476">
        <v>0</v>
      </c>
      <c r="F3187" s="6">
        <v>0</v>
      </c>
      <c r="G3187" s="6">
        <v>1</v>
      </c>
    </row>
    <row r="3188" ht="15.75" customHeight="1" spans="1:7">
      <c r="A3188" s="4" t="s">
        <v>7491</v>
      </c>
      <c r="B3188" s="5" t="s">
        <v>7492</v>
      </c>
      <c r="C3188" s="4" t="s">
        <v>82</v>
      </c>
      <c r="D3188" s="475">
        <v>1097.67</v>
      </c>
      <c r="E3188" s="476">
        <v>0</v>
      </c>
      <c r="F3188" s="6">
        <v>0</v>
      </c>
      <c r="G3188" s="6">
        <v>1</v>
      </c>
    </row>
    <row r="3189" ht="15.75" customHeight="1" spans="1:7">
      <c r="A3189" s="4" t="s">
        <v>7493</v>
      </c>
      <c r="B3189" s="5" t="s">
        <v>7494</v>
      </c>
      <c r="C3189" s="4" t="s">
        <v>82</v>
      </c>
      <c r="D3189" s="475">
        <v>973.87</v>
      </c>
      <c r="E3189" s="476">
        <v>0</v>
      </c>
      <c r="F3189" s="6">
        <v>0</v>
      </c>
      <c r="G3189" s="6">
        <v>1</v>
      </c>
    </row>
    <row r="3190" ht="15.75" customHeight="1" spans="1:7">
      <c r="A3190" s="4" t="s">
        <v>7495</v>
      </c>
      <c r="B3190" s="5" t="s">
        <v>7496</v>
      </c>
      <c r="C3190" s="4" t="s">
        <v>82</v>
      </c>
      <c r="D3190" s="475">
        <v>1485.36</v>
      </c>
      <c r="E3190" s="476">
        <v>0</v>
      </c>
      <c r="F3190" s="6">
        <v>0</v>
      </c>
      <c r="G3190" s="6">
        <v>1</v>
      </c>
    </row>
    <row r="3191" ht="15.75" customHeight="1" spans="1:7">
      <c r="A3191" s="4" t="s">
        <v>7497</v>
      </c>
      <c r="B3191" s="5" t="s">
        <v>7498</v>
      </c>
      <c r="C3191" s="4" t="s">
        <v>82</v>
      </c>
      <c r="D3191" s="475">
        <v>1310.16</v>
      </c>
      <c r="E3191" s="476">
        <v>0</v>
      </c>
      <c r="F3191" s="6">
        <v>0</v>
      </c>
      <c r="G3191" s="6">
        <v>1</v>
      </c>
    </row>
    <row r="3192" ht="15.75" customHeight="1" spans="1:7">
      <c r="A3192" s="4" t="s">
        <v>7499</v>
      </c>
      <c r="B3192" s="5" t="s">
        <v>7500</v>
      </c>
      <c r="C3192" s="4" t="s">
        <v>82</v>
      </c>
      <c r="D3192" s="475">
        <v>1103.07</v>
      </c>
      <c r="E3192" s="476">
        <v>0</v>
      </c>
      <c r="F3192" s="6">
        <v>0</v>
      </c>
      <c r="G3192" s="6">
        <v>1</v>
      </c>
    </row>
    <row r="3193" ht="15.75" customHeight="1" spans="1:7">
      <c r="A3193" s="4" t="s">
        <v>7501</v>
      </c>
      <c r="B3193" s="5" t="s">
        <v>7502</v>
      </c>
      <c r="C3193" s="4" t="s">
        <v>82</v>
      </c>
      <c r="D3193" s="475">
        <v>978.17</v>
      </c>
      <c r="E3193" s="476">
        <v>0</v>
      </c>
      <c r="F3193" s="6">
        <v>0</v>
      </c>
      <c r="G3193" s="6">
        <v>1</v>
      </c>
    </row>
    <row r="3194" ht="15.75" customHeight="1" spans="1:7">
      <c r="A3194" s="4" t="s">
        <v>7503</v>
      </c>
      <c r="B3194" s="5" t="s">
        <v>7504</v>
      </c>
      <c r="C3194" s="4" t="s">
        <v>82</v>
      </c>
      <c r="D3194" s="475">
        <v>1494.8</v>
      </c>
      <c r="E3194" s="476">
        <v>0</v>
      </c>
      <c r="F3194" s="6">
        <v>0</v>
      </c>
      <c r="G3194" s="6">
        <v>1</v>
      </c>
    </row>
    <row r="3195" ht="15.75" customHeight="1" spans="1:7">
      <c r="A3195" s="4" t="s">
        <v>7505</v>
      </c>
      <c r="B3195" s="5" t="s">
        <v>7506</v>
      </c>
      <c r="C3195" s="4" t="s">
        <v>82</v>
      </c>
      <c r="D3195" s="475">
        <v>1317.67</v>
      </c>
      <c r="E3195" s="476">
        <v>0</v>
      </c>
      <c r="F3195" s="6">
        <v>0</v>
      </c>
      <c r="G3195" s="6">
        <v>1</v>
      </c>
    </row>
    <row r="3196" ht="15.75" customHeight="1" spans="1:7">
      <c r="A3196" s="4" t="s">
        <v>7507</v>
      </c>
      <c r="B3196" s="5" t="s">
        <v>7508</v>
      </c>
      <c r="C3196" s="4" t="s">
        <v>82</v>
      </c>
      <c r="D3196" s="475">
        <v>1119.52</v>
      </c>
      <c r="E3196" s="476">
        <v>0</v>
      </c>
      <c r="F3196" s="6">
        <v>0</v>
      </c>
      <c r="G3196" s="6">
        <v>1</v>
      </c>
    </row>
    <row r="3197" ht="15.75" customHeight="1" spans="1:7">
      <c r="A3197" s="4" t="s">
        <v>7509</v>
      </c>
      <c r="B3197" s="5" t="s">
        <v>7510</v>
      </c>
      <c r="C3197" s="4" t="s">
        <v>82</v>
      </c>
      <c r="D3197" s="475">
        <v>991.26</v>
      </c>
      <c r="E3197" s="476">
        <v>0</v>
      </c>
      <c r="F3197" s="6">
        <v>0</v>
      </c>
      <c r="G3197" s="6">
        <v>1</v>
      </c>
    </row>
    <row r="3198" ht="15.75" customHeight="1" spans="1:7">
      <c r="A3198" s="4" t="s">
        <v>7511</v>
      </c>
      <c r="B3198" s="5" t="s">
        <v>7512</v>
      </c>
      <c r="C3198" s="4" t="s">
        <v>82</v>
      </c>
      <c r="D3198" s="475">
        <v>1523.53</v>
      </c>
      <c r="E3198" s="476">
        <v>0</v>
      </c>
      <c r="F3198" s="6">
        <v>0</v>
      </c>
      <c r="G3198" s="6">
        <v>1</v>
      </c>
    </row>
    <row r="3199" ht="15.75" customHeight="1" spans="1:7">
      <c r="A3199" s="4" t="s">
        <v>7513</v>
      </c>
      <c r="B3199" s="5" t="s">
        <v>7514</v>
      </c>
      <c r="C3199" s="4" t="s">
        <v>82</v>
      </c>
      <c r="D3199" s="475">
        <v>1340.56</v>
      </c>
      <c r="E3199" s="476">
        <v>0</v>
      </c>
      <c r="F3199" s="6">
        <v>0</v>
      </c>
      <c r="G3199" s="6">
        <v>1</v>
      </c>
    </row>
    <row r="3200" ht="15.75" customHeight="1" spans="1:7">
      <c r="A3200" s="4" t="s">
        <v>7515</v>
      </c>
      <c r="B3200" s="5" t="s">
        <v>7516</v>
      </c>
      <c r="C3200" s="4" t="s">
        <v>82</v>
      </c>
      <c r="D3200" s="475">
        <v>1122.84</v>
      </c>
      <c r="E3200" s="476">
        <v>0</v>
      </c>
      <c r="F3200" s="6">
        <v>0</v>
      </c>
      <c r="G3200" s="6">
        <v>1</v>
      </c>
    </row>
    <row r="3201" ht="15.75" customHeight="1" spans="1:7">
      <c r="A3201" s="4" t="s">
        <v>7517</v>
      </c>
      <c r="B3201" s="5" t="s">
        <v>7518</v>
      </c>
      <c r="C3201" s="4" t="s">
        <v>82</v>
      </c>
      <c r="D3201" s="475">
        <v>993.91</v>
      </c>
      <c r="E3201" s="476">
        <v>0</v>
      </c>
      <c r="F3201" s="6">
        <v>0</v>
      </c>
      <c r="G3201" s="6">
        <v>1</v>
      </c>
    </row>
    <row r="3202" ht="15.75" customHeight="1" spans="1:7">
      <c r="A3202" s="4" t="s">
        <v>7519</v>
      </c>
      <c r="B3202" s="5" t="s">
        <v>7520</v>
      </c>
      <c r="C3202" s="4" t="s">
        <v>82</v>
      </c>
      <c r="D3202" s="475">
        <v>1529.29</v>
      </c>
      <c r="E3202" s="476">
        <v>0</v>
      </c>
      <c r="F3202" s="6">
        <v>0</v>
      </c>
      <c r="G3202" s="6">
        <v>1</v>
      </c>
    </row>
    <row r="3203" ht="15.75" customHeight="1" spans="1:7">
      <c r="A3203" s="4" t="s">
        <v>7521</v>
      </c>
      <c r="B3203" s="5" t="s">
        <v>7522</v>
      </c>
      <c r="C3203" s="4" t="s">
        <v>82</v>
      </c>
      <c r="D3203" s="475">
        <v>1345.14</v>
      </c>
      <c r="E3203" s="476">
        <v>0</v>
      </c>
      <c r="F3203" s="6">
        <v>0</v>
      </c>
      <c r="G3203" s="6">
        <v>1</v>
      </c>
    </row>
    <row r="3204" ht="15.75" customHeight="1" spans="1:7">
      <c r="A3204" s="4" t="s">
        <v>7523</v>
      </c>
      <c r="B3204" s="5" t="s">
        <v>7524</v>
      </c>
      <c r="C3204" s="4" t="s">
        <v>82</v>
      </c>
      <c r="D3204" s="475">
        <v>1130.26</v>
      </c>
      <c r="E3204" s="476">
        <v>0</v>
      </c>
      <c r="F3204" s="6">
        <v>0</v>
      </c>
      <c r="G3204" s="6">
        <v>1</v>
      </c>
    </row>
    <row r="3205" ht="15.75" customHeight="1" spans="1:7">
      <c r="A3205" s="4" t="s">
        <v>7525</v>
      </c>
      <c r="B3205" s="5" t="s">
        <v>7526</v>
      </c>
      <c r="C3205" s="4" t="s">
        <v>82</v>
      </c>
      <c r="D3205" s="475">
        <v>999.82</v>
      </c>
      <c r="E3205" s="476">
        <v>0</v>
      </c>
      <c r="F3205" s="6">
        <v>0</v>
      </c>
      <c r="G3205" s="6">
        <v>1</v>
      </c>
    </row>
    <row r="3206" ht="15.75" customHeight="1" spans="1:7">
      <c r="A3206" s="4" t="s">
        <v>7527</v>
      </c>
      <c r="B3206" s="5" t="s">
        <v>7528</v>
      </c>
      <c r="C3206" s="4" t="s">
        <v>82</v>
      </c>
      <c r="D3206" s="475">
        <v>1542.29</v>
      </c>
      <c r="E3206" s="476">
        <v>0</v>
      </c>
      <c r="F3206" s="6">
        <v>0</v>
      </c>
      <c r="G3206" s="6">
        <v>1</v>
      </c>
    </row>
    <row r="3207" ht="15.75" customHeight="1" spans="1:7">
      <c r="A3207" s="4" t="s">
        <v>7529</v>
      </c>
      <c r="B3207" s="5" t="s">
        <v>7530</v>
      </c>
      <c r="C3207" s="4" t="s">
        <v>82</v>
      </c>
      <c r="D3207" s="475">
        <v>1355.5</v>
      </c>
      <c r="E3207" s="476">
        <v>0</v>
      </c>
      <c r="F3207" s="6">
        <v>0</v>
      </c>
      <c r="G3207" s="6">
        <v>1</v>
      </c>
    </row>
    <row r="3208" ht="15.75" customHeight="1" spans="1:7">
      <c r="A3208" s="4" t="s">
        <v>7531</v>
      </c>
      <c r="B3208" s="5" t="s">
        <v>7532</v>
      </c>
      <c r="C3208" s="4" t="s">
        <v>9</v>
      </c>
      <c r="D3208" s="475">
        <v>7.09</v>
      </c>
      <c r="E3208" s="476">
        <v>0.03632</v>
      </c>
      <c r="F3208" s="6">
        <v>0.1714</v>
      </c>
      <c r="G3208" s="6">
        <v>5</v>
      </c>
    </row>
    <row r="3209" ht="15.75" customHeight="1" spans="1:7">
      <c r="A3209" s="4" t="s">
        <v>7533</v>
      </c>
      <c r="B3209" s="5" t="s">
        <v>7534</v>
      </c>
      <c r="C3209" s="4" t="s">
        <v>99</v>
      </c>
      <c r="D3209" s="475">
        <v>20.65</v>
      </c>
      <c r="E3209" s="476">
        <v>0.04367</v>
      </c>
      <c r="F3209" s="6">
        <v>0.4334</v>
      </c>
      <c r="G3209" s="6">
        <v>13.74</v>
      </c>
    </row>
    <row r="3210" ht="30" customHeight="1" spans="1:7">
      <c r="A3210" s="4" t="s">
        <v>7535</v>
      </c>
      <c r="B3210" s="5" t="s">
        <v>7536</v>
      </c>
      <c r="C3210" s="4" t="s">
        <v>99</v>
      </c>
      <c r="D3210" s="475">
        <v>27.77</v>
      </c>
      <c r="E3210" s="476">
        <v>0.04367</v>
      </c>
      <c r="F3210" s="6">
        <v>0.673</v>
      </c>
      <c r="G3210" s="6">
        <v>6.5736</v>
      </c>
    </row>
    <row r="3211" ht="30" customHeight="1" spans="1:7">
      <c r="A3211" s="4" t="s">
        <v>7537</v>
      </c>
      <c r="B3211" s="5" t="s">
        <v>7538</v>
      </c>
      <c r="C3211" s="4" t="s">
        <v>99</v>
      </c>
      <c r="D3211" s="475">
        <v>22.91</v>
      </c>
      <c r="E3211" s="476">
        <v>0.04367</v>
      </c>
      <c r="F3211" s="6">
        <v>0.5552</v>
      </c>
      <c r="G3211" s="6">
        <v>7.968</v>
      </c>
    </row>
    <row r="3212" ht="30" customHeight="1" spans="1:7">
      <c r="A3212" s="4" t="s">
        <v>7539</v>
      </c>
      <c r="B3212" s="5" t="s">
        <v>7540</v>
      </c>
      <c r="C3212" s="4" t="s">
        <v>99</v>
      </c>
      <c r="D3212" s="475">
        <v>15.67</v>
      </c>
      <c r="E3212" s="476">
        <v>0.04367</v>
      </c>
      <c r="F3212" s="6">
        <v>0.3797</v>
      </c>
      <c r="G3212" s="6">
        <v>11.65</v>
      </c>
    </row>
    <row r="3213" ht="30" customHeight="1" spans="1:7">
      <c r="A3213" s="4" t="s">
        <v>7541</v>
      </c>
      <c r="B3213" s="5" t="s">
        <v>7542</v>
      </c>
      <c r="C3213" s="4" t="s">
        <v>99</v>
      </c>
      <c r="D3213" s="475">
        <v>11.45</v>
      </c>
      <c r="E3213" s="476">
        <v>0.04367</v>
      </c>
      <c r="F3213" s="6">
        <v>0.2775</v>
      </c>
      <c r="G3213" s="6">
        <v>15.94</v>
      </c>
    </row>
    <row r="3214" ht="30" customHeight="1" spans="1:7">
      <c r="A3214" s="4" t="s">
        <v>7543</v>
      </c>
      <c r="B3214" s="5" t="s">
        <v>7544</v>
      </c>
      <c r="C3214" s="4" t="s">
        <v>99</v>
      </c>
      <c r="D3214" s="475">
        <v>48.24</v>
      </c>
      <c r="E3214" s="476">
        <v>0.04367</v>
      </c>
      <c r="F3214" s="6">
        <v>1.1689</v>
      </c>
      <c r="G3214" s="6">
        <v>3.7848</v>
      </c>
    </row>
    <row r="3215" ht="15.75" customHeight="1" spans="1:7">
      <c r="A3215" s="4" t="s">
        <v>7545</v>
      </c>
      <c r="B3215" s="5" t="s">
        <v>103</v>
      </c>
      <c r="C3215" s="4" t="s">
        <v>104</v>
      </c>
      <c r="D3215" s="475">
        <v>14.62</v>
      </c>
      <c r="E3215" s="476">
        <v>0</v>
      </c>
      <c r="F3215" s="6">
        <v>0</v>
      </c>
      <c r="G3215" s="6">
        <v>1</v>
      </c>
    </row>
    <row r="3216" ht="15.75" customHeight="1" spans="1:7">
      <c r="A3216" s="4" t="s">
        <v>7546</v>
      </c>
      <c r="B3216" s="5" t="s">
        <v>7547</v>
      </c>
      <c r="C3216" s="4" t="s">
        <v>104</v>
      </c>
      <c r="D3216" s="475">
        <v>25.67</v>
      </c>
      <c r="E3216" s="476">
        <v>0</v>
      </c>
      <c r="F3216" s="6">
        <v>0</v>
      </c>
      <c r="G3216" s="6">
        <v>1</v>
      </c>
    </row>
    <row r="3217" ht="15.75" customHeight="1" spans="1:7">
      <c r="A3217" s="4" t="s">
        <v>7548</v>
      </c>
      <c r="B3217" s="5" t="s">
        <v>7549</v>
      </c>
      <c r="C3217" s="4" t="s">
        <v>9</v>
      </c>
      <c r="D3217" s="475">
        <v>12.36</v>
      </c>
      <c r="E3217" s="476">
        <v>0.04722</v>
      </c>
      <c r="F3217" s="6">
        <v>0.1627</v>
      </c>
      <c r="G3217" s="6">
        <v>99.6</v>
      </c>
    </row>
    <row r="3218" ht="15.75" customHeight="1" spans="1:7">
      <c r="A3218" s="4" t="s">
        <v>7550</v>
      </c>
      <c r="B3218" s="5" t="s">
        <v>7551</v>
      </c>
      <c r="C3218" s="4" t="s">
        <v>82</v>
      </c>
      <c r="D3218" s="475">
        <v>115.34</v>
      </c>
      <c r="E3218" s="476">
        <v>0.03814</v>
      </c>
      <c r="F3218" s="6">
        <v>0.1071</v>
      </c>
      <c r="G3218" s="6">
        <v>1</v>
      </c>
    </row>
    <row r="3219" ht="15.75" customHeight="1" spans="1:7">
      <c r="A3219" s="4" t="s">
        <v>7552</v>
      </c>
      <c r="B3219" s="5" t="s">
        <v>7553</v>
      </c>
      <c r="C3219" s="4" t="s">
        <v>82</v>
      </c>
      <c r="D3219" s="475">
        <v>110.92</v>
      </c>
      <c r="E3219" s="476">
        <v>0.03814</v>
      </c>
      <c r="F3219" s="6">
        <v>0.1071</v>
      </c>
      <c r="G3219" s="6">
        <v>1</v>
      </c>
    </row>
    <row r="3220" ht="15.75" customHeight="1" spans="1:7">
      <c r="A3220" s="4" t="s">
        <v>7554</v>
      </c>
      <c r="B3220" s="5" t="s">
        <v>7555</v>
      </c>
      <c r="C3220" s="4" t="s">
        <v>99</v>
      </c>
      <c r="D3220" s="475">
        <v>113.29</v>
      </c>
      <c r="E3220" s="476">
        <v>0.04722</v>
      </c>
      <c r="F3220" s="6">
        <v>0.1783</v>
      </c>
      <c r="G3220" s="6">
        <v>6.25</v>
      </c>
    </row>
    <row r="3221" ht="15.75" customHeight="1" spans="1:7">
      <c r="A3221" s="4" t="s">
        <v>7556</v>
      </c>
      <c r="B3221" s="5" t="s">
        <v>7557</v>
      </c>
      <c r="C3221" s="4" t="s">
        <v>99</v>
      </c>
      <c r="D3221" s="475">
        <v>110.03</v>
      </c>
      <c r="E3221" s="476">
        <v>0.04722</v>
      </c>
      <c r="F3221" s="6">
        <v>0.0152</v>
      </c>
      <c r="G3221" s="6">
        <v>530.72</v>
      </c>
    </row>
    <row r="3222" ht="15.75" customHeight="1" spans="1:7">
      <c r="A3222" s="4" t="s">
        <v>7558</v>
      </c>
      <c r="B3222" s="5" t="s">
        <v>7559</v>
      </c>
      <c r="C3222" s="4" t="s">
        <v>99</v>
      </c>
      <c r="D3222" s="475">
        <v>16.7</v>
      </c>
      <c r="E3222" s="476">
        <v>0.04722</v>
      </c>
      <c r="F3222" s="6">
        <v>0.1783</v>
      </c>
      <c r="G3222" s="6">
        <v>6.25</v>
      </c>
    </row>
    <row r="3223" ht="15.75" customHeight="1" spans="1:7">
      <c r="A3223" s="4" t="s">
        <v>7560</v>
      </c>
      <c r="B3223" s="5" t="s">
        <v>7561</v>
      </c>
      <c r="C3223" s="4" t="s">
        <v>99</v>
      </c>
      <c r="D3223" s="475">
        <v>13.45</v>
      </c>
      <c r="E3223" s="476">
        <v>0.04722</v>
      </c>
      <c r="F3223" s="6">
        <v>0.0152</v>
      </c>
      <c r="G3223" s="6">
        <v>530.72</v>
      </c>
    </row>
    <row r="3224" ht="15.75" customHeight="1" spans="1:7">
      <c r="A3224" s="4" t="s">
        <v>7562</v>
      </c>
      <c r="B3224" s="5" t="s">
        <v>7563</v>
      </c>
      <c r="C3224" s="4" t="s">
        <v>99</v>
      </c>
      <c r="D3224" s="475">
        <v>148.35</v>
      </c>
      <c r="E3224" s="476">
        <v>0.04722</v>
      </c>
      <c r="F3224" s="6">
        <v>0.5036</v>
      </c>
      <c r="G3224" s="6">
        <v>3.57938</v>
      </c>
    </row>
    <row r="3225" ht="15.75" customHeight="1" spans="1:7">
      <c r="A3225" s="4" t="s">
        <v>7564</v>
      </c>
      <c r="B3225" s="5" t="s">
        <v>7565</v>
      </c>
      <c r="C3225" s="4" t="s">
        <v>99</v>
      </c>
      <c r="D3225" s="475">
        <v>78.13</v>
      </c>
      <c r="E3225" s="476">
        <v>0.04722</v>
      </c>
      <c r="F3225" s="6">
        <v>0.5036</v>
      </c>
      <c r="G3225" s="6">
        <v>3.57938</v>
      </c>
    </row>
    <row r="3226" ht="15.75" customHeight="1" spans="1:7">
      <c r="A3226" s="4" t="s">
        <v>7566</v>
      </c>
      <c r="B3226" s="5" t="s">
        <v>7567</v>
      </c>
      <c r="C3226" s="4" t="s">
        <v>99</v>
      </c>
      <c r="D3226" s="475">
        <v>134.97</v>
      </c>
      <c r="E3226" s="476">
        <v>0.04722</v>
      </c>
      <c r="F3226" s="6">
        <v>0.6687</v>
      </c>
      <c r="G3226" s="6">
        <v>5</v>
      </c>
    </row>
    <row r="3227" ht="15.75" customHeight="1" spans="1:7">
      <c r="A3227" s="4" t="s">
        <v>7568</v>
      </c>
      <c r="B3227" s="5" t="s">
        <v>7569</v>
      </c>
      <c r="C3227" s="4" t="s">
        <v>9</v>
      </c>
      <c r="D3227" s="475">
        <v>108.68</v>
      </c>
      <c r="E3227" s="476">
        <v>0</v>
      </c>
      <c r="F3227" s="6">
        <v>0</v>
      </c>
      <c r="G3227" s="6">
        <v>1</v>
      </c>
    </row>
    <row r="3228" ht="15.75" customHeight="1" spans="1:7">
      <c r="A3228" s="4" t="s">
        <v>7570</v>
      </c>
      <c r="B3228" s="5" t="s">
        <v>7571</v>
      </c>
      <c r="C3228" s="4" t="s">
        <v>9</v>
      </c>
      <c r="D3228" s="475">
        <v>96.29</v>
      </c>
      <c r="E3228" s="476">
        <v>0</v>
      </c>
      <c r="F3228" s="6">
        <v>0</v>
      </c>
      <c r="G3228" s="6">
        <v>1</v>
      </c>
    </row>
    <row r="3229" ht="15.75" customHeight="1" spans="1:7">
      <c r="A3229" s="4" t="s">
        <v>7572</v>
      </c>
      <c r="B3229" s="5" t="s">
        <v>7573</v>
      </c>
      <c r="C3229" s="4" t="s">
        <v>9</v>
      </c>
      <c r="D3229" s="475">
        <v>71.19</v>
      </c>
      <c r="E3229" s="476">
        <v>0.03814</v>
      </c>
      <c r="F3229" s="6">
        <v>0.1381</v>
      </c>
      <c r="G3229" s="6">
        <v>30.37</v>
      </c>
    </row>
    <row r="3230" ht="15.75" customHeight="1" spans="1:7">
      <c r="A3230" s="4" t="s">
        <v>7574</v>
      </c>
      <c r="B3230" s="5" t="s">
        <v>7575</v>
      </c>
      <c r="C3230" s="4" t="s">
        <v>9</v>
      </c>
      <c r="D3230" s="475">
        <v>58.76</v>
      </c>
      <c r="E3230" s="476">
        <v>0.03814</v>
      </c>
      <c r="F3230" s="6">
        <v>0.1381</v>
      </c>
      <c r="G3230" s="6">
        <v>30.37</v>
      </c>
    </row>
    <row r="3231" ht="15.75" customHeight="1" spans="1:7">
      <c r="A3231" s="4" t="s">
        <v>7576</v>
      </c>
      <c r="B3231" s="5" t="s">
        <v>7577</v>
      </c>
      <c r="C3231" s="4" t="s">
        <v>9</v>
      </c>
      <c r="D3231" s="475">
        <v>79.82</v>
      </c>
      <c r="E3231" s="476">
        <v>0</v>
      </c>
      <c r="F3231" s="6">
        <v>0</v>
      </c>
      <c r="G3231" s="6">
        <v>1</v>
      </c>
    </row>
    <row r="3232" ht="15.75" customHeight="1" spans="1:7">
      <c r="A3232" s="4" t="s">
        <v>7578</v>
      </c>
      <c r="B3232" s="5" t="s">
        <v>7579</v>
      </c>
      <c r="C3232" s="4" t="s">
        <v>9</v>
      </c>
      <c r="D3232" s="475">
        <v>69.35</v>
      </c>
      <c r="E3232" s="476">
        <v>0</v>
      </c>
      <c r="F3232" s="6">
        <v>0</v>
      </c>
      <c r="G3232" s="6">
        <v>1</v>
      </c>
    </row>
    <row r="3233" ht="15.75" customHeight="1" spans="1:7">
      <c r="A3233" s="4" t="s">
        <v>7580</v>
      </c>
      <c r="B3233" s="5" t="s">
        <v>7581</v>
      </c>
      <c r="C3233" s="4" t="s">
        <v>9</v>
      </c>
      <c r="D3233" s="475">
        <v>60.9</v>
      </c>
      <c r="E3233" s="476">
        <v>0.03814</v>
      </c>
      <c r="F3233" s="6">
        <v>0.1167</v>
      </c>
      <c r="G3233" s="6">
        <v>35.94</v>
      </c>
    </row>
    <row r="3234" ht="15.75" customHeight="1" spans="1:7">
      <c r="A3234" s="4" t="s">
        <v>7582</v>
      </c>
      <c r="B3234" s="5" t="s">
        <v>7583</v>
      </c>
      <c r="C3234" s="4" t="s">
        <v>9</v>
      </c>
      <c r="D3234" s="475">
        <v>50.39</v>
      </c>
      <c r="E3234" s="476">
        <v>0.03814</v>
      </c>
      <c r="F3234" s="6">
        <v>0.1167</v>
      </c>
      <c r="G3234" s="6">
        <v>35.94</v>
      </c>
    </row>
    <row r="3235" ht="15.75" customHeight="1" spans="1:7">
      <c r="A3235" s="4" t="s">
        <v>7584</v>
      </c>
      <c r="B3235" s="5" t="s">
        <v>7585</v>
      </c>
      <c r="C3235" s="4" t="s">
        <v>9</v>
      </c>
      <c r="D3235" s="475">
        <v>63.57</v>
      </c>
      <c r="E3235" s="476">
        <v>0</v>
      </c>
      <c r="F3235" s="6">
        <v>0</v>
      </c>
      <c r="G3235" s="6">
        <v>1</v>
      </c>
    </row>
    <row r="3236" ht="15.75" customHeight="1" spans="1:7">
      <c r="A3236" s="4" t="s">
        <v>7586</v>
      </c>
      <c r="B3236" s="5" t="s">
        <v>7587</v>
      </c>
      <c r="C3236" s="4" t="s">
        <v>9</v>
      </c>
      <c r="D3236" s="475">
        <v>58.48</v>
      </c>
      <c r="E3236" s="476">
        <v>0</v>
      </c>
      <c r="F3236" s="6">
        <v>0</v>
      </c>
      <c r="G3236" s="6">
        <v>1</v>
      </c>
    </row>
    <row r="3237" ht="15.75" customHeight="1" spans="1:7">
      <c r="A3237" s="4" t="s">
        <v>7588</v>
      </c>
      <c r="B3237" s="5" t="s">
        <v>7589</v>
      </c>
      <c r="C3237" s="4" t="s">
        <v>9</v>
      </c>
      <c r="D3237" s="475">
        <v>28.68</v>
      </c>
      <c r="E3237" s="476">
        <v>0.03814</v>
      </c>
      <c r="F3237" s="6">
        <v>0.0566</v>
      </c>
      <c r="G3237" s="6">
        <v>74.11</v>
      </c>
    </row>
    <row r="3238" ht="15.75" customHeight="1" spans="1:7">
      <c r="A3238" s="4" t="s">
        <v>7590</v>
      </c>
      <c r="B3238" s="5" t="s">
        <v>7591</v>
      </c>
      <c r="C3238" s="4" t="s">
        <v>9</v>
      </c>
      <c r="D3238" s="475">
        <v>23.59</v>
      </c>
      <c r="E3238" s="476">
        <v>0.03814</v>
      </c>
      <c r="F3238" s="6">
        <v>0.0566</v>
      </c>
      <c r="G3238" s="6">
        <v>74.11</v>
      </c>
    </row>
    <row r="3239" ht="15.75" customHeight="1" spans="1:7">
      <c r="A3239" s="4" t="s">
        <v>7592</v>
      </c>
      <c r="B3239" s="5" t="s">
        <v>7593</v>
      </c>
      <c r="C3239" s="4" t="s">
        <v>9</v>
      </c>
      <c r="D3239" s="475">
        <v>40.88</v>
      </c>
      <c r="E3239" s="476">
        <v>0</v>
      </c>
      <c r="F3239" s="6">
        <v>0</v>
      </c>
      <c r="G3239" s="6">
        <v>1</v>
      </c>
    </row>
    <row r="3240" ht="15.75" customHeight="1" spans="1:7">
      <c r="A3240" s="4" t="s">
        <v>7594</v>
      </c>
      <c r="B3240" s="5" t="s">
        <v>7595</v>
      </c>
      <c r="C3240" s="4" t="s">
        <v>9</v>
      </c>
      <c r="D3240" s="475">
        <v>37.14</v>
      </c>
      <c r="E3240" s="476">
        <v>0</v>
      </c>
      <c r="F3240" s="6">
        <v>0</v>
      </c>
      <c r="G3240" s="6">
        <v>1</v>
      </c>
    </row>
    <row r="3241" ht="15.75" customHeight="1" spans="1:7">
      <c r="A3241" s="4" t="s">
        <v>7596</v>
      </c>
      <c r="B3241" s="5" t="s">
        <v>7597</v>
      </c>
      <c r="C3241" s="4" t="s">
        <v>9</v>
      </c>
      <c r="D3241" s="475">
        <v>21.49</v>
      </c>
      <c r="E3241" s="476">
        <v>0.03814</v>
      </c>
      <c r="F3241" s="6">
        <v>0.0416</v>
      </c>
      <c r="G3241" s="6">
        <v>100.73</v>
      </c>
    </row>
    <row r="3242" ht="15.75" customHeight="1" spans="1:7">
      <c r="A3242" s="4" t="s">
        <v>7598</v>
      </c>
      <c r="B3242" s="5" t="s">
        <v>7599</v>
      </c>
      <c r="C3242" s="4" t="s">
        <v>9</v>
      </c>
      <c r="D3242" s="475">
        <v>17.74</v>
      </c>
      <c r="E3242" s="476">
        <v>0.03814</v>
      </c>
      <c r="F3242" s="6">
        <v>0.0416</v>
      </c>
      <c r="G3242" s="6">
        <v>100.73</v>
      </c>
    </row>
    <row r="3243" ht="15.75" customHeight="1" spans="1:7">
      <c r="A3243" s="4" t="s">
        <v>7600</v>
      </c>
      <c r="B3243" s="5" t="s">
        <v>7601</v>
      </c>
      <c r="C3243" s="4" t="s">
        <v>9</v>
      </c>
      <c r="D3243" s="475">
        <v>55.34</v>
      </c>
      <c r="E3243" s="476">
        <v>0</v>
      </c>
      <c r="F3243" s="6">
        <v>0</v>
      </c>
      <c r="G3243" s="6">
        <v>1</v>
      </c>
    </row>
    <row r="3244" ht="15.75" customHeight="1" spans="1:7">
      <c r="A3244" s="4" t="s">
        <v>7602</v>
      </c>
      <c r="B3244" s="5" t="s">
        <v>7603</v>
      </c>
      <c r="C3244" s="4" t="s">
        <v>9</v>
      </c>
      <c r="D3244" s="475">
        <v>51.29</v>
      </c>
      <c r="E3244" s="476">
        <v>0</v>
      </c>
      <c r="F3244" s="6">
        <v>0</v>
      </c>
      <c r="G3244" s="6">
        <v>1</v>
      </c>
    </row>
    <row r="3245" ht="15.75" customHeight="1" spans="1:7">
      <c r="A3245" s="4" t="s">
        <v>7604</v>
      </c>
      <c r="B3245" s="5" t="s">
        <v>7605</v>
      </c>
      <c r="C3245" s="4" t="s">
        <v>9</v>
      </c>
      <c r="D3245" s="475">
        <v>22.52</v>
      </c>
      <c r="E3245" s="476">
        <v>0.03814</v>
      </c>
      <c r="F3245" s="6">
        <v>0.045</v>
      </c>
      <c r="G3245" s="6">
        <v>93.19</v>
      </c>
    </row>
    <row r="3246" ht="15.75" customHeight="1" spans="1:7">
      <c r="A3246" s="4" t="s">
        <v>7606</v>
      </c>
      <c r="B3246" s="5" t="s">
        <v>7607</v>
      </c>
      <c r="C3246" s="4" t="s">
        <v>9</v>
      </c>
      <c r="D3246" s="475">
        <v>18.47</v>
      </c>
      <c r="E3246" s="476">
        <v>0.03814</v>
      </c>
      <c r="F3246" s="6">
        <v>0.045</v>
      </c>
      <c r="G3246" s="6">
        <v>93.19</v>
      </c>
    </row>
    <row r="3247" ht="15.75" customHeight="1" spans="1:7">
      <c r="A3247" s="4" t="s">
        <v>7608</v>
      </c>
      <c r="B3247" s="5" t="s">
        <v>7609</v>
      </c>
      <c r="C3247" s="4" t="s">
        <v>9</v>
      </c>
      <c r="D3247" s="475">
        <v>31.87</v>
      </c>
      <c r="E3247" s="476">
        <v>0</v>
      </c>
      <c r="F3247" s="6">
        <v>0</v>
      </c>
      <c r="G3247" s="6">
        <v>1</v>
      </c>
    </row>
    <row r="3248" ht="15.75" customHeight="1" spans="1:7">
      <c r="A3248" s="4" t="s">
        <v>7610</v>
      </c>
      <c r="B3248" s="5" t="s">
        <v>7611</v>
      </c>
      <c r="C3248" s="4" t="s">
        <v>9</v>
      </c>
      <c r="D3248" s="475">
        <v>29.14</v>
      </c>
      <c r="E3248" s="476">
        <v>0</v>
      </c>
      <c r="F3248" s="6">
        <v>0</v>
      </c>
      <c r="G3248" s="6">
        <v>1</v>
      </c>
    </row>
    <row r="3249" ht="15.75" customHeight="1" spans="1:7">
      <c r="A3249" s="4" t="s">
        <v>7612</v>
      </c>
      <c r="B3249" s="5" t="s">
        <v>7613</v>
      </c>
      <c r="C3249" s="4" t="s">
        <v>9</v>
      </c>
      <c r="D3249" s="475">
        <v>15.46</v>
      </c>
      <c r="E3249" s="476">
        <v>0.03814</v>
      </c>
      <c r="F3249" s="6">
        <v>0.0303</v>
      </c>
      <c r="G3249" s="6">
        <v>138.33</v>
      </c>
    </row>
    <row r="3250" ht="15.75" customHeight="1" spans="1:7">
      <c r="A3250" s="4" t="s">
        <v>7614</v>
      </c>
      <c r="B3250" s="5" t="s">
        <v>7615</v>
      </c>
      <c r="C3250" s="4" t="s">
        <v>9</v>
      </c>
      <c r="D3250" s="475">
        <v>12.73</v>
      </c>
      <c r="E3250" s="476">
        <v>0.03814</v>
      </c>
      <c r="F3250" s="6">
        <v>0.0303</v>
      </c>
      <c r="G3250" s="6">
        <v>138.33</v>
      </c>
    </row>
    <row r="3251" ht="15.75" customHeight="1" spans="1:7">
      <c r="A3251" s="4" t="s">
        <v>7616</v>
      </c>
      <c r="B3251" s="5" t="s">
        <v>7617</v>
      </c>
      <c r="C3251" s="4" t="s">
        <v>9</v>
      </c>
      <c r="D3251" s="475">
        <v>53.4</v>
      </c>
      <c r="E3251" s="476">
        <v>0</v>
      </c>
      <c r="F3251" s="6">
        <v>0</v>
      </c>
      <c r="G3251" s="6">
        <v>1</v>
      </c>
    </row>
    <row r="3252" ht="15.75" customHeight="1" spans="1:7">
      <c r="A3252" s="4" t="s">
        <v>7618</v>
      </c>
      <c r="B3252" s="5" t="s">
        <v>7619</v>
      </c>
      <c r="C3252" s="4" t="s">
        <v>9</v>
      </c>
      <c r="D3252" s="475">
        <v>48.73</v>
      </c>
      <c r="E3252" s="476">
        <v>0</v>
      </c>
      <c r="F3252" s="6">
        <v>0</v>
      </c>
      <c r="G3252" s="6">
        <v>1</v>
      </c>
    </row>
    <row r="3253" ht="15.75" customHeight="1" spans="1:7">
      <c r="A3253" s="4" t="s">
        <v>7620</v>
      </c>
      <c r="B3253" s="5" t="s">
        <v>7621</v>
      </c>
      <c r="C3253" s="4" t="s">
        <v>9</v>
      </c>
      <c r="D3253" s="475">
        <v>26.3</v>
      </c>
      <c r="E3253" s="476">
        <v>0.03814</v>
      </c>
      <c r="F3253" s="6">
        <v>0.052</v>
      </c>
      <c r="G3253" s="6">
        <v>80.63</v>
      </c>
    </row>
    <row r="3254" ht="15.75" customHeight="1" spans="1:7">
      <c r="A3254" s="4" t="s">
        <v>7622</v>
      </c>
      <c r="B3254" s="5" t="s">
        <v>7623</v>
      </c>
      <c r="C3254" s="4" t="s">
        <v>9</v>
      </c>
      <c r="D3254" s="475">
        <v>21.62</v>
      </c>
      <c r="E3254" s="476">
        <v>0.03814</v>
      </c>
      <c r="F3254" s="6">
        <v>0.052</v>
      </c>
      <c r="G3254" s="6">
        <v>80.63</v>
      </c>
    </row>
    <row r="3255" ht="15.75" customHeight="1" spans="1:7">
      <c r="A3255" s="4" t="s">
        <v>7624</v>
      </c>
      <c r="B3255" s="5" t="s">
        <v>7625</v>
      </c>
      <c r="C3255" s="4" t="s">
        <v>9</v>
      </c>
      <c r="D3255" s="475">
        <v>89.68</v>
      </c>
      <c r="E3255" s="476">
        <v>0</v>
      </c>
      <c r="F3255" s="6">
        <v>0</v>
      </c>
      <c r="G3255" s="6">
        <v>1</v>
      </c>
    </row>
    <row r="3256" ht="15.75" customHeight="1" spans="1:7">
      <c r="A3256" s="4" t="s">
        <v>7626</v>
      </c>
      <c r="B3256" s="5" t="s">
        <v>7627</v>
      </c>
      <c r="C3256" s="4" t="s">
        <v>9</v>
      </c>
      <c r="D3256" s="475">
        <v>80.95</v>
      </c>
      <c r="E3256" s="476">
        <v>0</v>
      </c>
      <c r="F3256" s="6">
        <v>0</v>
      </c>
      <c r="G3256" s="6">
        <v>1</v>
      </c>
    </row>
    <row r="3257" ht="15.75" customHeight="1" spans="1:7">
      <c r="A3257" s="4" t="s">
        <v>7628</v>
      </c>
      <c r="B3257" s="5" t="s">
        <v>7629</v>
      </c>
      <c r="C3257" s="4" t="s">
        <v>9</v>
      </c>
      <c r="D3257" s="475">
        <v>47.73</v>
      </c>
      <c r="E3257" s="476">
        <v>0.03814</v>
      </c>
      <c r="F3257" s="6">
        <v>0.0972</v>
      </c>
      <c r="G3257" s="6">
        <v>43.17</v>
      </c>
    </row>
    <row r="3258" ht="15.75" customHeight="1" spans="1:7">
      <c r="A3258" s="4" t="s">
        <v>7630</v>
      </c>
      <c r="B3258" s="5" t="s">
        <v>7631</v>
      </c>
      <c r="C3258" s="4" t="s">
        <v>9</v>
      </c>
      <c r="D3258" s="475">
        <v>38.99</v>
      </c>
      <c r="E3258" s="476">
        <v>0.03814</v>
      </c>
      <c r="F3258" s="6">
        <v>0.0972</v>
      </c>
      <c r="G3258" s="6">
        <v>43.17</v>
      </c>
    </row>
    <row r="3259" ht="15.75" customHeight="1" spans="1:7">
      <c r="A3259" s="4" t="s">
        <v>7632</v>
      </c>
      <c r="B3259" s="5" t="s">
        <v>7633</v>
      </c>
      <c r="C3259" s="4" t="s">
        <v>9</v>
      </c>
      <c r="D3259" s="475">
        <v>17.22</v>
      </c>
      <c r="E3259" s="476">
        <v>0.03814</v>
      </c>
      <c r="F3259" s="6">
        <v>0.1364</v>
      </c>
      <c r="G3259" s="6">
        <v>62.5</v>
      </c>
    </row>
    <row r="3260" ht="15.75" customHeight="1" spans="1:7">
      <c r="A3260" s="4" t="s">
        <v>7634</v>
      </c>
      <c r="B3260" s="5" t="s">
        <v>7635</v>
      </c>
      <c r="C3260" s="4" t="s">
        <v>9</v>
      </c>
      <c r="D3260" s="475">
        <v>41.65</v>
      </c>
      <c r="E3260" s="476">
        <v>0.03814</v>
      </c>
      <c r="F3260" s="6">
        <v>0.1364</v>
      </c>
      <c r="G3260" s="6">
        <v>62.5</v>
      </c>
    </row>
    <row r="3261" ht="15.75" customHeight="1" spans="1:7">
      <c r="A3261" s="4" t="s">
        <v>7636</v>
      </c>
      <c r="B3261" s="5" t="s">
        <v>7637</v>
      </c>
      <c r="C3261" s="4" t="s">
        <v>9</v>
      </c>
      <c r="D3261" s="475">
        <v>67.58</v>
      </c>
      <c r="E3261" s="476">
        <v>0.04367</v>
      </c>
      <c r="F3261" s="6">
        <v>1.349</v>
      </c>
      <c r="G3261" s="6">
        <v>16.43</v>
      </c>
    </row>
    <row r="3262" ht="15.75" customHeight="1" spans="1:7">
      <c r="A3262" s="4" t="s">
        <v>7638</v>
      </c>
      <c r="B3262" s="5" t="s">
        <v>7639</v>
      </c>
      <c r="C3262" s="4" t="s">
        <v>9</v>
      </c>
      <c r="D3262" s="475">
        <v>87.38</v>
      </c>
      <c r="E3262" s="476">
        <v>0.04367</v>
      </c>
      <c r="F3262" s="6">
        <v>1.7803</v>
      </c>
      <c r="G3262" s="6">
        <v>12.45</v>
      </c>
    </row>
    <row r="3263" ht="15.75" customHeight="1" spans="1:7">
      <c r="A3263" s="4" t="s">
        <v>7640</v>
      </c>
      <c r="B3263" s="5" t="s">
        <v>7641</v>
      </c>
      <c r="C3263" s="4" t="s">
        <v>82</v>
      </c>
      <c r="D3263" s="475">
        <v>2207.16</v>
      </c>
      <c r="E3263" s="476">
        <v>0</v>
      </c>
      <c r="F3263" s="6">
        <v>0</v>
      </c>
      <c r="G3263" s="6">
        <v>1</v>
      </c>
    </row>
    <row r="3264" ht="15.75" customHeight="1" spans="1:7">
      <c r="A3264" s="4" t="s">
        <v>7642</v>
      </c>
      <c r="B3264" s="5" t="s">
        <v>7643</v>
      </c>
      <c r="C3264" s="4" t="s">
        <v>82</v>
      </c>
      <c r="D3264" s="475">
        <v>1996.93</v>
      </c>
      <c r="E3264" s="476">
        <v>0</v>
      </c>
      <c r="F3264" s="6">
        <v>0</v>
      </c>
      <c r="G3264" s="6">
        <v>1</v>
      </c>
    </row>
    <row r="3265" ht="15.75" customHeight="1" spans="1:7">
      <c r="A3265" s="4" t="s">
        <v>7644</v>
      </c>
      <c r="B3265" s="5" t="s">
        <v>7645</v>
      </c>
      <c r="C3265" s="4" t="s">
        <v>82</v>
      </c>
      <c r="D3265" s="475">
        <v>2173.9</v>
      </c>
      <c r="E3265" s="476">
        <v>0</v>
      </c>
      <c r="F3265" s="6">
        <v>0</v>
      </c>
      <c r="G3265" s="6">
        <v>1</v>
      </c>
    </row>
    <row r="3266" ht="15.75" customHeight="1" spans="1:7">
      <c r="A3266" s="4" t="s">
        <v>7646</v>
      </c>
      <c r="B3266" s="5" t="s">
        <v>7647</v>
      </c>
      <c r="C3266" s="4" t="s">
        <v>82</v>
      </c>
      <c r="D3266" s="475">
        <v>1972.13</v>
      </c>
      <c r="E3266" s="476">
        <v>0</v>
      </c>
      <c r="F3266" s="6">
        <v>0</v>
      </c>
      <c r="G3266" s="6">
        <v>1</v>
      </c>
    </row>
    <row r="3267" ht="15.75" customHeight="1" spans="1:7">
      <c r="A3267" s="4" t="s">
        <v>7648</v>
      </c>
      <c r="B3267" s="5" t="s">
        <v>7649</v>
      </c>
      <c r="C3267" s="4" t="s">
        <v>82</v>
      </c>
      <c r="D3267" s="475">
        <v>2494.53</v>
      </c>
      <c r="E3267" s="476">
        <v>0</v>
      </c>
      <c r="F3267" s="6">
        <v>0</v>
      </c>
      <c r="G3267" s="6">
        <v>1</v>
      </c>
    </row>
    <row r="3268" ht="15.75" customHeight="1" spans="1:7">
      <c r="A3268" s="4" t="s">
        <v>7650</v>
      </c>
      <c r="B3268" s="5" t="s">
        <v>7651</v>
      </c>
      <c r="C3268" s="4" t="s">
        <v>82</v>
      </c>
      <c r="D3268" s="475">
        <v>2243.23</v>
      </c>
      <c r="E3268" s="476">
        <v>0</v>
      </c>
      <c r="F3268" s="6">
        <v>0</v>
      </c>
      <c r="G3268" s="6">
        <v>1</v>
      </c>
    </row>
    <row r="3269" ht="15.75" customHeight="1" spans="1:7">
      <c r="A3269" s="4" t="s">
        <v>7652</v>
      </c>
      <c r="B3269" s="5" t="s">
        <v>7653</v>
      </c>
      <c r="C3269" s="4" t="s">
        <v>82</v>
      </c>
      <c r="D3269" s="475">
        <v>2990.39</v>
      </c>
      <c r="E3269" s="476">
        <v>0</v>
      </c>
      <c r="F3269" s="6">
        <v>0</v>
      </c>
      <c r="G3269" s="6">
        <v>1</v>
      </c>
    </row>
    <row r="3270" ht="15.75" customHeight="1" spans="1:7">
      <c r="A3270" s="4" t="s">
        <v>7654</v>
      </c>
      <c r="B3270" s="5" t="s">
        <v>7655</v>
      </c>
      <c r="C3270" s="4" t="s">
        <v>82</v>
      </c>
      <c r="D3270" s="475">
        <v>2690.75</v>
      </c>
      <c r="E3270" s="476">
        <v>0</v>
      </c>
      <c r="F3270" s="6">
        <v>0</v>
      </c>
      <c r="G3270" s="6">
        <v>1</v>
      </c>
    </row>
    <row r="3271" ht="15.75" customHeight="1" spans="1:7">
      <c r="A3271" s="4" t="s">
        <v>7656</v>
      </c>
      <c r="B3271" s="5" t="s">
        <v>7657</v>
      </c>
      <c r="C3271" s="4" t="s">
        <v>82</v>
      </c>
      <c r="D3271" s="475">
        <v>3525.05</v>
      </c>
      <c r="E3271" s="476">
        <v>0</v>
      </c>
      <c r="F3271" s="6">
        <v>0</v>
      </c>
      <c r="G3271" s="6">
        <v>1</v>
      </c>
    </row>
    <row r="3272" ht="15.75" customHeight="1" spans="1:7">
      <c r="A3272" s="4" t="s">
        <v>7658</v>
      </c>
      <c r="B3272" s="5" t="s">
        <v>7659</v>
      </c>
      <c r="C3272" s="4" t="s">
        <v>82</v>
      </c>
      <c r="D3272" s="475">
        <v>3175.88</v>
      </c>
      <c r="E3272" s="476">
        <v>0</v>
      </c>
      <c r="F3272" s="6">
        <v>0</v>
      </c>
      <c r="G3272" s="6">
        <v>1</v>
      </c>
    </row>
    <row r="3273" ht="15.75" customHeight="1" spans="1:7">
      <c r="A3273" s="4" t="s">
        <v>7660</v>
      </c>
      <c r="B3273" s="5" t="s">
        <v>7661</v>
      </c>
      <c r="C3273" s="4" t="s">
        <v>82</v>
      </c>
      <c r="D3273" s="475">
        <v>4394.9</v>
      </c>
      <c r="E3273" s="476">
        <v>0</v>
      </c>
      <c r="F3273" s="6">
        <v>0</v>
      </c>
      <c r="G3273" s="6">
        <v>1</v>
      </c>
    </row>
    <row r="3274" ht="15.75" customHeight="1" spans="1:7">
      <c r="A3274" s="4" t="s">
        <v>7662</v>
      </c>
      <c r="B3274" s="5" t="s">
        <v>7663</v>
      </c>
      <c r="C3274" s="4" t="s">
        <v>82</v>
      </c>
      <c r="D3274" s="475">
        <v>3972.03</v>
      </c>
      <c r="E3274" s="476">
        <v>0</v>
      </c>
      <c r="F3274" s="6">
        <v>0</v>
      </c>
      <c r="G3274" s="6">
        <v>1</v>
      </c>
    </row>
    <row r="3275" ht="15.75" customHeight="1" spans="1:7">
      <c r="A3275" s="4" t="s">
        <v>7664</v>
      </c>
      <c r="B3275" s="5" t="s">
        <v>7665</v>
      </c>
      <c r="C3275" s="4" t="s">
        <v>82</v>
      </c>
      <c r="D3275" s="475">
        <v>2554.77</v>
      </c>
      <c r="E3275" s="476">
        <v>0</v>
      </c>
      <c r="F3275" s="6">
        <v>0</v>
      </c>
      <c r="G3275" s="6">
        <v>1</v>
      </c>
    </row>
    <row r="3276" ht="15.75" customHeight="1" spans="1:7">
      <c r="A3276" s="4" t="s">
        <v>7666</v>
      </c>
      <c r="B3276" s="5" t="s">
        <v>7667</v>
      </c>
      <c r="C3276" s="4" t="s">
        <v>82</v>
      </c>
      <c r="D3276" s="475">
        <v>2309.51</v>
      </c>
      <c r="E3276" s="476">
        <v>0</v>
      </c>
      <c r="F3276" s="6">
        <v>0</v>
      </c>
      <c r="G3276" s="6">
        <v>1</v>
      </c>
    </row>
    <row r="3277" ht="15.75" customHeight="1" spans="1:7">
      <c r="A3277" s="4" t="s">
        <v>7668</v>
      </c>
      <c r="B3277" s="5" t="s">
        <v>7669</v>
      </c>
      <c r="C3277" s="4" t="s">
        <v>82</v>
      </c>
      <c r="D3277" s="475">
        <v>2526.27</v>
      </c>
      <c r="E3277" s="476">
        <v>0</v>
      </c>
      <c r="F3277" s="6">
        <v>0</v>
      </c>
      <c r="G3277" s="6">
        <v>1</v>
      </c>
    </row>
    <row r="3278" ht="15.75" customHeight="1" spans="1:7">
      <c r="A3278" s="4" t="s">
        <v>7670</v>
      </c>
      <c r="B3278" s="5" t="s">
        <v>7671</v>
      </c>
      <c r="C3278" s="4" t="s">
        <v>82</v>
      </c>
      <c r="D3278" s="475">
        <v>2288.25</v>
      </c>
      <c r="E3278" s="476">
        <v>0</v>
      </c>
      <c r="F3278" s="6">
        <v>0</v>
      </c>
      <c r="G3278" s="6">
        <v>1</v>
      </c>
    </row>
    <row r="3279" ht="15.75" customHeight="1" spans="1:7">
      <c r="A3279" s="4" t="s">
        <v>7672</v>
      </c>
      <c r="B3279" s="5" t="s">
        <v>7673</v>
      </c>
      <c r="C3279" s="4" t="s">
        <v>82</v>
      </c>
      <c r="D3279" s="475">
        <v>2869.65</v>
      </c>
      <c r="E3279" s="476">
        <v>0</v>
      </c>
      <c r="F3279" s="6">
        <v>0</v>
      </c>
      <c r="G3279" s="6">
        <v>1</v>
      </c>
    </row>
    <row r="3280" ht="15.75" customHeight="1" spans="1:7">
      <c r="A3280" s="4" t="s">
        <v>7674</v>
      </c>
      <c r="B3280" s="5" t="s">
        <v>7675</v>
      </c>
      <c r="C3280" s="4" t="s">
        <v>82</v>
      </c>
      <c r="D3280" s="475">
        <v>2577.26</v>
      </c>
      <c r="E3280" s="476">
        <v>0</v>
      </c>
      <c r="F3280" s="6">
        <v>0</v>
      </c>
      <c r="G3280" s="6">
        <v>1</v>
      </c>
    </row>
    <row r="3281" ht="15.75" customHeight="1" spans="1:7">
      <c r="A3281" s="4" t="s">
        <v>7676</v>
      </c>
      <c r="B3281" s="5" t="s">
        <v>7677</v>
      </c>
      <c r="C3281" s="4" t="s">
        <v>82</v>
      </c>
      <c r="D3281" s="475">
        <v>3231.12</v>
      </c>
      <c r="E3281" s="476">
        <v>0</v>
      </c>
      <c r="F3281" s="6">
        <v>0</v>
      </c>
      <c r="G3281" s="6">
        <v>1</v>
      </c>
    </row>
    <row r="3282" ht="15.75" customHeight="1" spans="1:7">
      <c r="A3282" s="4" t="s">
        <v>7678</v>
      </c>
      <c r="B3282" s="5" t="s">
        <v>7679</v>
      </c>
      <c r="C3282" s="4" t="s">
        <v>82</v>
      </c>
      <c r="D3282" s="475">
        <v>2887.99</v>
      </c>
      <c r="E3282" s="476">
        <v>0</v>
      </c>
      <c r="F3282" s="6">
        <v>0</v>
      </c>
      <c r="G3282" s="6">
        <v>1</v>
      </c>
    </row>
    <row r="3283" ht="15.75" customHeight="1" spans="1:7">
      <c r="A3283" s="4" t="s">
        <v>7680</v>
      </c>
      <c r="B3283" s="5" t="s">
        <v>7681</v>
      </c>
      <c r="C3283" s="4" t="s">
        <v>82</v>
      </c>
      <c r="D3283" s="475">
        <v>3941.66</v>
      </c>
      <c r="E3283" s="476">
        <v>0</v>
      </c>
      <c r="F3283" s="6">
        <v>0</v>
      </c>
      <c r="G3283" s="6">
        <v>1</v>
      </c>
    </row>
    <row r="3284" ht="15.75" customHeight="1" spans="1:7">
      <c r="A3284" s="4" t="s">
        <v>7682</v>
      </c>
      <c r="B3284" s="5" t="s">
        <v>7683</v>
      </c>
      <c r="C3284" s="4" t="s">
        <v>82</v>
      </c>
      <c r="D3284" s="475">
        <v>3546.57</v>
      </c>
      <c r="E3284" s="476">
        <v>0</v>
      </c>
      <c r="F3284" s="6">
        <v>0</v>
      </c>
      <c r="G3284" s="6">
        <v>1</v>
      </c>
    </row>
    <row r="3285" ht="15.75" customHeight="1" spans="1:7">
      <c r="A3285" s="4" t="s">
        <v>7684</v>
      </c>
      <c r="B3285" s="5" t="s">
        <v>7685</v>
      </c>
      <c r="C3285" s="4" t="s">
        <v>82</v>
      </c>
      <c r="D3285" s="475">
        <v>4852.99</v>
      </c>
      <c r="E3285" s="476">
        <v>0</v>
      </c>
      <c r="F3285" s="6">
        <v>0</v>
      </c>
      <c r="G3285" s="6">
        <v>1</v>
      </c>
    </row>
    <row r="3286" ht="15.75" customHeight="1" spans="1:7">
      <c r="A3286" s="4" t="s">
        <v>7686</v>
      </c>
      <c r="B3286" s="5" t="s">
        <v>7687</v>
      </c>
      <c r="C3286" s="4" t="s">
        <v>82</v>
      </c>
      <c r="D3286" s="475">
        <v>4379.37</v>
      </c>
      <c r="E3286" s="476">
        <v>0</v>
      </c>
      <c r="F3286" s="6">
        <v>0</v>
      </c>
      <c r="G3286" s="6">
        <v>1</v>
      </c>
    </row>
    <row r="3287" ht="15.75" customHeight="1" spans="1:7">
      <c r="A3287" s="4" t="s">
        <v>7688</v>
      </c>
      <c r="B3287" s="5" t="s">
        <v>7689</v>
      </c>
      <c r="C3287" s="4" t="s">
        <v>82</v>
      </c>
      <c r="D3287" s="475">
        <v>2921.39</v>
      </c>
      <c r="E3287" s="476">
        <v>0</v>
      </c>
      <c r="F3287" s="6">
        <v>0</v>
      </c>
      <c r="G3287" s="6">
        <v>1</v>
      </c>
    </row>
    <row r="3288" ht="15.75" customHeight="1" spans="1:7">
      <c r="A3288" s="4" t="s">
        <v>7690</v>
      </c>
      <c r="B3288" s="5" t="s">
        <v>7691</v>
      </c>
      <c r="C3288" s="4" t="s">
        <v>82</v>
      </c>
      <c r="D3288" s="475">
        <v>2636.26</v>
      </c>
      <c r="E3288" s="476">
        <v>0</v>
      </c>
      <c r="F3288" s="6">
        <v>0</v>
      </c>
      <c r="G3288" s="6">
        <v>1</v>
      </c>
    </row>
    <row r="3289" ht="15.75" customHeight="1" spans="1:7">
      <c r="A3289" s="4" t="s">
        <v>7692</v>
      </c>
      <c r="B3289" s="5" t="s">
        <v>7693</v>
      </c>
      <c r="C3289" s="4" t="s">
        <v>82</v>
      </c>
      <c r="D3289" s="475">
        <v>2892.88</v>
      </c>
      <c r="E3289" s="476">
        <v>0</v>
      </c>
      <c r="F3289" s="6">
        <v>0</v>
      </c>
      <c r="G3289" s="6">
        <v>1</v>
      </c>
    </row>
    <row r="3290" ht="15.75" customHeight="1" spans="1:7">
      <c r="A3290" s="4" t="s">
        <v>7694</v>
      </c>
      <c r="B3290" s="5" t="s">
        <v>7695</v>
      </c>
      <c r="C3290" s="4" t="s">
        <v>82</v>
      </c>
      <c r="D3290" s="475">
        <v>2615</v>
      </c>
      <c r="E3290" s="476">
        <v>0</v>
      </c>
      <c r="F3290" s="6">
        <v>0</v>
      </c>
      <c r="G3290" s="6">
        <v>1</v>
      </c>
    </row>
    <row r="3291" ht="15.75" customHeight="1" spans="1:7">
      <c r="A3291" s="4" t="s">
        <v>7696</v>
      </c>
      <c r="B3291" s="5" t="s">
        <v>7697</v>
      </c>
      <c r="C3291" s="4" t="s">
        <v>82</v>
      </c>
      <c r="D3291" s="475">
        <v>3263.77</v>
      </c>
      <c r="E3291" s="476">
        <v>0</v>
      </c>
      <c r="F3291" s="6">
        <v>0</v>
      </c>
      <c r="G3291" s="6">
        <v>1</v>
      </c>
    </row>
    <row r="3292" ht="15.75" customHeight="1" spans="1:7">
      <c r="A3292" s="4" t="s">
        <v>7698</v>
      </c>
      <c r="B3292" s="5" t="s">
        <v>7699</v>
      </c>
      <c r="C3292" s="4" t="s">
        <v>82</v>
      </c>
      <c r="D3292" s="475">
        <v>2925.47</v>
      </c>
      <c r="E3292" s="476">
        <v>0</v>
      </c>
      <c r="F3292" s="6">
        <v>0</v>
      </c>
      <c r="G3292" s="6">
        <v>1</v>
      </c>
    </row>
    <row r="3293" ht="15.75" customHeight="1" spans="1:7">
      <c r="A3293" s="4" t="s">
        <v>7700</v>
      </c>
      <c r="B3293" s="5" t="s">
        <v>7701</v>
      </c>
      <c r="C3293" s="4" t="s">
        <v>82</v>
      </c>
      <c r="D3293" s="475">
        <v>3793.62</v>
      </c>
      <c r="E3293" s="476">
        <v>0</v>
      </c>
      <c r="F3293" s="6">
        <v>0</v>
      </c>
      <c r="G3293" s="6">
        <v>1</v>
      </c>
    </row>
    <row r="3294" ht="15.75" customHeight="1" spans="1:7">
      <c r="A3294" s="4" t="s">
        <v>7702</v>
      </c>
      <c r="B3294" s="5" t="s">
        <v>7703</v>
      </c>
      <c r="C3294" s="4" t="s">
        <v>82</v>
      </c>
      <c r="D3294" s="475">
        <v>3402.16</v>
      </c>
      <c r="E3294" s="476">
        <v>0</v>
      </c>
      <c r="F3294" s="6">
        <v>0</v>
      </c>
      <c r="G3294" s="6">
        <v>1</v>
      </c>
    </row>
    <row r="3295" ht="15.75" customHeight="1" spans="1:7">
      <c r="A3295" s="4" t="s">
        <v>7704</v>
      </c>
      <c r="B3295" s="5" t="s">
        <v>7705</v>
      </c>
      <c r="C3295" s="4" t="s">
        <v>82</v>
      </c>
      <c r="D3295" s="475">
        <v>4377.26</v>
      </c>
      <c r="E3295" s="476">
        <v>0</v>
      </c>
      <c r="F3295" s="6">
        <v>0</v>
      </c>
      <c r="G3295" s="6">
        <v>1</v>
      </c>
    </row>
    <row r="3296" ht="15.75" customHeight="1" spans="1:7">
      <c r="A3296" s="4" t="s">
        <v>7706</v>
      </c>
      <c r="B3296" s="5" t="s">
        <v>7707</v>
      </c>
      <c r="C3296" s="4" t="s">
        <v>82</v>
      </c>
      <c r="D3296" s="475">
        <v>3931.44</v>
      </c>
      <c r="E3296" s="476">
        <v>0</v>
      </c>
      <c r="F3296" s="6">
        <v>0</v>
      </c>
      <c r="G3296" s="6">
        <v>1</v>
      </c>
    </row>
    <row r="3297" ht="15.75" customHeight="1" spans="1:7">
      <c r="A3297" s="4" t="s">
        <v>7708</v>
      </c>
      <c r="B3297" s="5" t="s">
        <v>7709</v>
      </c>
      <c r="C3297" s="4" t="s">
        <v>82</v>
      </c>
      <c r="D3297" s="475">
        <v>5330.08</v>
      </c>
      <c r="E3297" s="476">
        <v>0</v>
      </c>
      <c r="F3297" s="6">
        <v>0</v>
      </c>
      <c r="G3297" s="6">
        <v>1</v>
      </c>
    </row>
    <row r="3298" ht="15.75" customHeight="1" spans="1:7">
      <c r="A3298" s="4" t="s">
        <v>7710</v>
      </c>
      <c r="B3298" s="5" t="s">
        <v>7711</v>
      </c>
      <c r="C3298" s="4" t="s">
        <v>82</v>
      </c>
      <c r="D3298" s="475">
        <v>4800.89</v>
      </c>
      <c r="E3298" s="476">
        <v>0</v>
      </c>
      <c r="F3298" s="6">
        <v>0</v>
      </c>
      <c r="G3298" s="6">
        <v>1</v>
      </c>
    </row>
    <row r="3299" ht="15.75" customHeight="1" spans="1:7">
      <c r="A3299" s="4" t="s">
        <v>7712</v>
      </c>
      <c r="B3299" s="5" t="s">
        <v>7713</v>
      </c>
      <c r="C3299" s="4" t="s">
        <v>99</v>
      </c>
      <c r="D3299" s="475">
        <v>21.78</v>
      </c>
      <c r="E3299" s="476">
        <v>0.04367</v>
      </c>
      <c r="F3299" s="6">
        <v>0.8401</v>
      </c>
      <c r="G3299" s="6">
        <v>3.818</v>
      </c>
    </row>
    <row r="3300" ht="15.75" customHeight="1" spans="1:7">
      <c r="A3300" s="4" t="s">
        <v>7714</v>
      </c>
      <c r="B3300" s="5" t="s">
        <v>7715</v>
      </c>
      <c r="C3300" s="4" t="s">
        <v>9</v>
      </c>
      <c r="D3300" s="475">
        <v>68.96</v>
      </c>
      <c r="E3300" s="476">
        <v>0</v>
      </c>
      <c r="F3300" s="6">
        <v>0</v>
      </c>
      <c r="G3300" s="6">
        <v>1</v>
      </c>
    </row>
    <row r="3301" ht="15.75" customHeight="1" spans="1:7">
      <c r="A3301" s="4" t="s">
        <v>7716</v>
      </c>
      <c r="B3301" s="5" t="s">
        <v>7717</v>
      </c>
      <c r="C3301" s="4" t="s">
        <v>9</v>
      </c>
      <c r="D3301" s="475">
        <v>52.15</v>
      </c>
      <c r="E3301" s="476">
        <v>0</v>
      </c>
      <c r="F3301" s="6">
        <v>0</v>
      </c>
      <c r="G3301" s="6">
        <v>1</v>
      </c>
    </row>
    <row r="3302" ht="30" customHeight="1" spans="1:7">
      <c r="A3302" s="4" t="s">
        <v>7718</v>
      </c>
      <c r="B3302" s="5" t="s">
        <v>7719</v>
      </c>
      <c r="C3302" s="4" t="s">
        <v>9</v>
      </c>
      <c r="D3302" s="475">
        <v>87.21</v>
      </c>
      <c r="E3302" s="476">
        <v>0.03814</v>
      </c>
      <c r="F3302" s="6">
        <v>0.173</v>
      </c>
      <c r="G3302" s="6">
        <v>24.63</v>
      </c>
    </row>
    <row r="3303" ht="30" customHeight="1" spans="1:7">
      <c r="A3303" s="4" t="s">
        <v>7720</v>
      </c>
      <c r="B3303" s="5" t="s">
        <v>7721</v>
      </c>
      <c r="C3303" s="4" t="s">
        <v>9</v>
      </c>
      <c r="D3303" s="475">
        <v>70.35</v>
      </c>
      <c r="E3303" s="476">
        <v>0.03814</v>
      </c>
      <c r="F3303" s="6">
        <v>0.173</v>
      </c>
      <c r="G3303" s="6">
        <v>24.63</v>
      </c>
    </row>
    <row r="3304" ht="15.75" customHeight="1" spans="1:7">
      <c r="A3304" s="4" t="s">
        <v>7722</v>
      </c>
      <c r="B3304" s="5" t="s">
        <v>7723</v>
      </c>
      <c r="C3304" s="4" t="s">
        <v>9</v>
      </c>
      <c r="D3304" s="475">
        <v>92.84</v>
      </c>
      <c r="E3304" s="476">
        <v>0</v>
      </c>
      <c r="F3304" s="6">
        <v>0</v>
      </c>
      <c r="G3304" s="6">
        <v>1</v>
      </c>
    </row>
    <row r="3305" ht="15.75" customHeight="1" spans="1:7">
      <c r="A3305" s="4" t="s">
        <v>7724</v>
      </c>
      <c r="B3305" s="5" t="s">
        <v>7725</v>
      </c>
      <c r="C3305" s="4" t="s">
        <v>9</v>
      </c>
      <c r="D3305" s="475">
        <v>70.19</v>
      </c>
      <c r="E3305" s="476">
        <v>0</v>
      </c>
      <c r="F3305" s="6">
        <v>0</v>
      </c>
      <c r="G3305" s="6">
        <v>1</v>
      </c>
    </row>
    <row r="3306" ht="30" customHeight="1" spans="1:7">
      <c r="A3306" s="4" t="s">
        <v>7726</v>
      </c>
      <c r="B3306" s="5" t="s">
        <v>7727</v>
      </c>
      <c r="C3306" s="4" t="s">
        <v>9</v>
      </c>
      <c r="D3306" s="475">
        <v>117.51</v>
      </c>
      <c r="E3306" s="476">
        <v>0.03814</v>
      </c>
      <c r="F3306" s="6">
        <v>0.2331</v>
      </c>
      <c r="G3306" s="6">
        <v>18.28</v>
      </c>
    </row>
    <row r="3307" ht="30" customHeight="1" spans="1:7">
      <c r="A3307" s="4" t="s">
        <v>7728</v>
      </c>
      <c r="B3307" s="5" t="s">
        <v>7729</v>
      </c>
      <c r="C3307" s="4" t="s">
        <v>9</v>
      </c>
      <c r="D3307" s="475">
        <v>94.79</v>
      </c>
      <c r="E3307" s="476">
        <v>0.03814</v>
      </c>
      <c r="F3307" s="6">
        <v>0.2331</v>
      </c>
      <c r="G3307" s="6">
        <v>18.28</v>
      </c>
    </row>
    <row r="3308" ht="15.75" customHeight="1" spans="1:7">
      <c r="A3308" s="4" t="s">
        <v>7730</v>
      </c>
      <c r="B3308" s="5" t="s">
        <v>7731</v>
      </c>
      <c r="C3308" s="4" t="s">
        <v>9</v>
      </c>
      <c r="D3308" s="475">
        <v>57.26</v>
      </c>
      <c r="E3308" s="476">
        <v>0</v>
      </c>
      <c r="F3308" s="6">
        <v>0</v>
      </c>
      <c r="G3308" s="6">
        <v>1</v>
      </c>
    </row>
    <row r="3309" ht="15.75" customHeight="1" spans="1:7">
      <c r="A3309" s="4" t="s">
        <v>7732</v>
      </c>
      <c r="B3309" s="5" t="s">
        <v>7733</v>
      </c>
      <c r="C3309" s="4" t="s">
        <v>9</v>
      </c>
      <c r="D3309" s="475">
        <v>45.78</v>
      </c>
      <c r="E3309" s="476">
        <v>0</v>
      </c>
      <c r="F3309" s="6">
        <v>0</v>
      </c>
      <c r="G3309" s="6">
        <v>1</v>
      </c>
    </row>
    <row r="3310" ht="30" customHeight="1" spans="1:7">
      <c r="A3310" s="4" t="s">
        <v>7734</v>
      </c>
      <c r="B3310" s="5" t="s">
        <v>7735</v>
      </c>
      <c r="C3310" s="4" t="s">
        <v>9</v>
      </c>
      <c r="D3310" s="475">
        <v>69.81</v>
      </c>
      <c r="E3310" s="476">
        <v>0.03814</v>
      </c>
      <c r="F3310" s="6">
        <v>0.1181</v>
      </c>
      <c r="G3310" s="6">
        <v>36.08</v>
      </c>
    </row>
    <row r="3311" ht="30" customHeight="1" spans="1:7">
      <c r="A3311" s="4" t="s">
        <v>7736</v>
      </c>
      <c r="B3311" s="5" t="s">
        <v>7737</v>
      </c>
      <c r="C3311" s="4" t="s">
        <v>9</v>
      </c>
      <c r="D3311" s="475">
        <v>58.3</v>
      </c>
      <c r="E3311" s="476">
        <v>0.03814</v>
      </c>
      <c r="F3311" s="6">
        <v>0.1181</v>
      </c>
      <c r="G3311" s="6">
        <v>36.08</v>
      </c>
    </row>
    <row r="3312" ht="15.75" customHeight="1" spans="1:7">
      <c r="A3312" s="4" t="s">
        <v>7738</v>
      </c>
      <c r="B3312" s="5" t="s">
        <v>7739</v>
      </c>
      <c r="C3312" s="4" t="s">
        <v>9</v>
      </c>
      <c r="D3312" s="475">
        <v>77.73</v>
      </c>
      <c r="E3312" s="476">
        <v>0</v>
      </c>
      <c r="F3312" s="6">
        <v>0</v>
      </c>
      <c r="G3312" s="6">
        <v>1</v>
      </c>
    </row>
    <row r="3313" ht="15.75" customHeight="1" spans="1:7">
      <c r="A3313" s="4" t="s">
        <v>7740</v>
      </c>
      <c r="B3313" s="5" t="s">
        <v>7741</v>
      </c>
      <c r="C3313" s="4" t="s">
        <v>9</v>
      </c>
      <c r="D3313" s="475">
        <v>61.63</v>
      </c>
      <c r="E3313" s="476">
        <v>0</v>
      </c>
      <c r="F3313" s="6">
        <v>0</v>
      </c>
      <c r="G3313" s="6">
        <v>1</v>
      </c>
    </row>
    <row r="3314" ht="30" customHeight="1" spans="1:7">
      <c r="A3314" s="4" t="s">
        <v>7742</v>
      </c>
      <c r="B3314" s="5" t="s">
        <v>7743</v>
      </c>
      <c r="C3314" s="4" t="s">
        <v>9</v>
      </c>
      <c r="D3314" s="475">
        <v>95.48</v>
      </c>
      <c r="E3314" s="476">
        <v>0.03814</v>
      </c>
      <c r="F3314" s="6">
        <v>0.1657</v>
      </c>
      <c r="G3314" s="6">
        <v>25.72</v>
      </c>
    </row>
    <row r="3315" ht="30" customHeight="1" spans="1:7">
      <c r="A3315" s="4" t="s">
        <v>7744</v>
      </c>
      <c r="B3315" s="5" t="s">
        <v>7745</v>
      </c>
      <c r="C3315" s="4" t="s">
        <v>9</v>
      </c>
      <c r="D3315" s="475">
        <v>79.34</v>
      </c>
      <c r="E3315" s="476">
        <v>0.03814</v>
      </c>
      <c r="F3315" s="6">
        <v>0.1657</v>
      </c>
      <c r="G3315" s="6">
        <v>25.72</v>
      </c>
    </row>
    <row r="3316" ht="15.75" customHeight="1" spans="1:7">
      <c r="A3316" s="4" t="s">
        <v>7746</v>
      </c>
      <c r="B3316" s="5" t="s">
        <v>7747</v>
      </c>
      <c r="C3316" s="4" t="s">
        <v>9</v>
      </c>
      <c r="D3316" s="475">
        <v>16.34</v>
      </c>
      <c r="E3316" s="476">
        <v>0</v>
      </c>
      <c r="F3316" s="6">
        <v>0</v>
      </c>
      <c r="G3316" s="6">
        <v>1</v>
      </c>
    </row>
    <row r="3317" ht="15.75" customHeight="1" spans="1:7">
      <c r="A3317" s="4" t="s">
        <v>7748</v>
      </c>
      <c r="B3317" s="5" t="s">
        <v>7749</v>
      </c>
      <c r="C3317" s="4" t="s">
        <v>9</v>
      </c>
      <c r="D3317" s="475">
        <v>22.84</v>
      </c>
      <c r="E3317" s="476">
        <v>0</v>
      </c>
      <c r="F3317" s="6">
        <v>0</v>
      </c>
      <c r="G3317" s="6">
        <v>1</v>
      </c>
    </row>
    <row r="3318" ht="15.75" customHeight="1" spans="1:7">
      <c r="A3318" s="4" t="s">
        <v>7750</v>
      </c>
      <c r="B3318" s="5" t="s">
        <v>7751</v>
      </c>
      <c r="C3318" s="4" t="s">
        <v>9</v>
      </c>
      <c r="D3318" s="475">
        <v>8.1</v>
      </c>
      <c r="E3318" s="476">
        <v>0</v>
      </c>
      <c r="F3318" s="6">
        <v>0</v>
      </c>
      <c r="G3318" s="6">
        <v>1</v>
      </c>
    </row>
    <row r="3319" ht="15.75" customHeight="1" spans="1:7">
      <c r="A3319" s="4" t="s">
        <v>7752</v>
      </c>
      <c r="B3319" s="5" t="s">
        <v>7753</v>
      </c>
      <c r="C3319" s="4" t="s">
        <v>9</v>
      </c>
      <c r="D3319" s="475">
        <v>10.49</v>
      </c>
      <c r="E3319" s="476">
        <v>0</v>
      </c>
      <c r="F3319" s="6">
        <v>0</v>
      </c>
      <c r="G3319" s="6">
        <v>1</v>
      </c>
    </row>
    <row r="3320" ht="15.75" customHeight="1" spans="1:7">
      <c r="A3320" s="4" t="s">
        <v>7754</v>
      </c>
      <c r="B3320" s="5" t="s">
        <v>7755</v>
      </c>
      <c r="C3320" s="4" t="s">
        <v>9</v>
      </c>
      <c r="D3320" s="475">
        <v>52.89</v>
      </c>
      <c r="E3320" s="476">
        <v>0</v>
      </c>
      <c r="F3320" s="6">
        <v>0</v>
      </c>
      <c r="G3320" s="6">
        <v>1</v>
      </c>
    </row>
    <row r="3321" ht="15.75" customHeight="1" spans="1:7">
      <c r="A3321" s="4" t="s">
        <v>7756</v>
      </c>
      <c r="B3321" s="5" t="s">
        <v>7757</v>
      </c>
      <c r="C3321" s="4" t="s">
        <v>9</v>
      </c>
      <c r="D3321" s="475">
        <v>40.15</v>
      </c>
      <c r="E3321" s="476">
        <v>0</v>
      </c>
      <c r="F3321" s="6">
        <v>0</v>
      </c>
      <c r="G3321" s="6">
        <v>1</v>
      </c>
    </row>
    <row r="3322" ht="30" customHeight="1" spans="1:7">
      <c r="A3322" s="4" t="s">
        <v>7758</v>
      </c>
      <c r="B3322" s="5" t="s">
        <v>7759</v>
      </c>
      <c r="C3322" s="4" t="s">
        <v>9</v>
      </c>
      <c r="D3322" s="475">
        <v>66.13</v>
      </c>
      <c r="E3322" s="476">
        <v>0.03814</v>
      </c>
      <c r="F3322" s="6">
        <v>0.1312</v>
      </c>
      <c r="G3322" s="6">
        <v>32.48</v>
      </c>
    </row>
    <row r="3323" ht="30" customHeight="1" spans="1:7">
      <c r="A3323" s="4" t="s">
        <v>7760</v>
      </c>
      <c r="B3323" s="5" t="s">
        <v>7761</v>
      </c>
      <c r="C3323" s="4" t="s">
        <v>9</v>
      </c>
      <c r="D3323" s="475">
        <v>53.34</v>
      </c>
      <c r="E3323" s="476">
        <v>0.03814</v>
      </c>
      <c r="F3323" s="6">
        <v>0.1312</v>
      </c>
      <c r="G3323" s="6">
        <v>32.48</v>
      </c>
    </row>
    <row r="3324" ht="15.75" customHeight="1" spans="1:7">
      <c r="A3324" s="4" t="s">
        <v>7762</v>
      </c>
      <c r="B3324" s="5" t="s">
        <v>7763</v>
      </c>
      <c r="C3324" s="4" t="s">
        <v>9</v>
      </c>
      <c r="D3324" s="475">
        <v>70.72</v>
      </c>
      <c r="E3324" s="476">
        <v>0</v>
      </c>
      <c r="F3324" s="6">
        <v>0</v>
      </c>
      <c r="G3324" s="6">
        <v>1</v>
      </c>
    </row>
    <row r="3325" ht="15.75" customHeight="1" spans="1:7">
      <c r="A3325" s="4" t="s">
        <v>7764</v>
      </c>
      <c r="B3325" s="5" t="s">
        <v>7765</v>
      </c>
      <c r="C3325" s="4" t="s">
        <v>9</v>
      </c>
      <c r="D3325" s="475">
        <v>53.65</v>
      </c>
      <c r="E3325" s="476">
        <v>0</v>
      </c>
      <c r="F3325" s="6">
        <v>0</v>
      </c>
      <c r="G3325" s="6">
        <v>1</v>
      </c>
    </row>
    <row r="3326" ht="30" customHeight="1" spans="1:7">
      <c r="A3326" s="4" t="s">
        <v>7766</v>
      </c>
      <c r="B3326" s="5" t="s">
        <v>7767</v>
      </c>
      <c r="C3326" s="4" t="s">
        <v>9</v>
      </c>
      <c r="D3326" s="475">
        <v>88.59</v>
      </c>
      <c r="E3326" s="476">
        <v>0.03814</v>
      </c>
      <c r="F3326" s="6">
        <v>0.1757</v>
      </c>
      <c r="G3326" s="6">
        <v>24.25</v>
      </c>
    </row>
    <row r="3327" ht="30" customHeight="1" spans="1:7">
      <c r="A3327" s="4" t="s">
        <v>7768</v>
      </c>
      <c r="B3327" s="5" t="s">
        <v>7769</v>
      </c>
      <c r="C3327" s="4" t="s">
        <v>9</v>
      </c>
      <c r="D3327" s="475">
        <v>71.46</v>
      </c>
      <c r="E3327" s="476">
        <v>0.03814</v>
      </c>
      <c r="F3327" s="6">
        <v>0.1757</v>
      </c>
      <c r="G3327" s="6">
        <v>24.25</v>
      </c>
    </row>
    <row r="3328" ht="15.75" customHeight="1" spans="1:7">
      <c r="A3328" s="4" t="s">
        <v>7770</v>
      </c>
      <c r="B3328" s="5" t="s">
        <v>7771</v>
      </c>
      <c r="C3328" s="4" t="s">
        <v>9</v>
      </c>
      <c r="D3328" s="475">
        <v>12.03</v>
      </c>
      <c r="E3328" s="476">
        <v>0</v>
      </c>
      <c r="F3328" s="6">
        <v>0</v>
      </c>
      <c r="G3328" s="6">
        <v>1</v>
      </c>
    </row>
    <row r="3329" ht="15.75" customHeight="1" spans="1:7">
      <c r="A3329" s="4" t="s">
        <v>7772</v>
      </c>
      <c r="B3329" s="5" t="s">
        <v>7773</v>
      </c>
      <c r="C3329" s="4" t="s">
        <v>9</v>
      </c>
      <c r="D3329" s="475">
        <v>16.84</v>
      </c>
      <c r="E3329" s="476">
        <v>0</v>
      </c>
      <c r="F3329" s="6">
        <v>0</v>
      </c>
      <c r="G3329" s="6">
        <v>1</v>
      </c>
    </row>
    <row r="3330" ht="15.75" customHeight="1" spans="1:7">
      <c r="A3330" s="4" t="s">
        <v>7774</v>
      </c>
      <c r="B3330" s="5" t="s">
        <v>7775</v>
      </c>
      <c r="C3330" s="4" t="s">
        <v>9</v>
      </c>
      <c r="D3330" s="475">
        <v>22.18</v>
      </c>
      <c r="E3330" s="476">
        <v>0</v>
      </c>
      <c r="F3330" s="6">
        <v>0</v>
      </c>
      <c r="G3330" s="6">
        <v>1</v>
      </c>
    </row>
    <row r="3331" ht="15.75" customHeight="1" spans="1:7">
      <c r="A3331" s="4" t="s">
        <v>7776</v>
      </c>
      <c r="B3331" s="5" t="s">
        <v>7777</v>
      </c>
      <c r="C3331" s="4" t="s">
        <v>9</v>
      </c>
      <c r="D3331" s="475">
        <v>33.27</v>
      </c>
      <c r="E3331" s="476">
        <v>0</v>
      </c>
      <c r="F3331" s="6">
        <v>0</v>
      </c>
      <c r="G3331" s="6">
        <v>1</v>
      </c>
    </row>
    <row r="3332" ht="15.75" customHeight="1" spans="1:7">
      <c r="A3332" s="4" t="s">
        <v>7778</v>
      </c>
      <c r="B3332" s="5" t="s">
        <v>7779</v>
      </c>
      <c r="C3332" s="4" t="s">
        <v>9</v>
      </c>
      <c r="D3332" s="475">
        <v>58.72</v>
      </c>
      <c r="E3332" s="476">
        <v>0</v>
      </c>
      <c r="F3332" s="6">
        <v>0</v>
      </c>
      <c r="G3332" s="6">
        <v>1</v>
      </c>
    </row>
    <row r="3333" ht="15.75" customHeight="1" spans="1:7">
      <c r="A3333" s="4" t="s">
        <v>7780</v>
      </c>
      <c r="B3333" s="5" t="s">
        <v>7781</v>
      </c>
      <c r="C3333" s="4" t="s">
        <v>9</v>
      </c>
      <c r="D3333" s="475">
        <v>47.28</v>
      </c>
      <c r="E3333" s="476">
        <v>0</v>
      </c>
      <c r="F3333" s="6">
        <v>0</v>
      </c>
      <c r="G3333" s="6">
        <v>1</v>
      </c>
    </row>
    <row r="3334" ht="30" customHeight="1" spans="1:7">
      <c r="A3334" s="4" t="s">
        <v>7782</v>
      </c>
      <c r="B3334" s="5" t="s">
        <v>7783</v>
      </c>
      <c r="C3334" s="4" t="s">
        <v>9</v>
      </c>
      <c r="D3334" s="475">
        <v>70.78</v>
      </c>
      <c r="E3334" s="476">
        <v>0.03814</v>
      </c>
      <c r="F3334" s="6">
        <v>0.1177</v>
      </c>
      <c r="G3334" s="6">
        <v>36.19</v>
      </c>
    </row>
    <row r="3335" ht="30" customHeight="1" spans="1:7">
      <c r="A3335" s="4" t="s">
        <v>7784</v>
      </c>
      <c r="B3335" s="5" t="s">
        <v>7785</v>
      </c>
      <c r="C3335" s="4" t="s">
        <v>9</v>
      </c>
      <c r="D3335" s="475">
        <v>59.31</v>
      </c>
      <c r="E3335" s="476">
        <v>0.03814</v>
      </c>
      <c r="F3335" s="6">
        <v>0.1177</v>
      </c>
      <c r="G3335" s="6">
        <v>36.19</v>
      </c>
    </row>
    <row r="3336" ht="15.75" customHeight="1" spans="1:7">
      <c r="A3336" s="4" t="s">
        <v>7786</v>
      </c>
      <c r="B3336" s="5" t="s">
        <v>7787</v>
      </c>
      <c r="C3336" s="4" t="s">
        <v>9</v>
      </c>
      <c r="D3336" s="475">
        <v>58.65</v>
      </c>
      <c r="E3336" s="476">
        <v>0</v>
      </c>
      <c r="F3336" s="6">
        <v>0</v>
      </c>
      <c r="G3336" s="6">
        <v>1</v>
      </c>
    </row>
    <row r="3337" ht="15.75" customHeight="1" spans="1:7">
      <c r="A3337" s="4" t="s">
        <v>7788</v>
      </c>
      <c r="B3337" s="5" t="s">
        <v>7789</v>
      </c>
      <c r="C3337" s="4" t="s">
        <v>9</v>
      </c>
      <c r="D3337" s="475">
        <v>46.95</v>
      </c>
      <c r="E3337" s="476">
        <v>0</v>
      </c>
      <c r="F3337" s="6">
        <v>0</v>
      </c>
      <c r="G3337" s="6">
        <v>1</v>
      </c>
    </row>
    <row r="3338" ht="30" customHeight="1" spans="1:7">
      <c r="A3338" s="4" t="s">
        <v>7790</v>
      </c>
      <c r="B3338" s="5" t="s">
        <v>7791</v>
      </c>
      <c r="C3338" s="4" t="s">
        <v>9</v>
      </c>
      <c r="D3338" s="475">
        <v>71</v>
      </c>
      <c r="E3338" s="476">
        <v>0.03814</v>
      </c>
      <c r="F3338" s="6">
        <v>0.1205</v>
      </c>
      <c r="G3338" s="6">
        <v>35.37</v>
      </c>
    </row>
    <row r="3339" ht="30" customHeight="1" spans="1:7">
      <c r="A3339" s="4" t="s">
        <v>7792</v>
      </c>
      <c r="B3339" s="5" t="s">
        <v>7793</v>
      </c>
      <c r="C3339" s="4" t="s">
        <v>9</v>
      </c>
      <c r="D3339" s="475">
        <v>59.26</v>
      </c>
      <c r="E3339" s="476">
        <v>0.03814</v>
      </c>
      <c r="F3339" s="6">
        <v>0.1205</v>
      </c>
      <c r="G3339" s="6">
        <v>35.37</v>
      </c>
    </row>
    <row r="3340" ht="15.75" customHeight="1" spans="1:7">
      <c r="A3340" s="4" t="s">
        <v>7794</v>
      </c>
      <c r="B3340" s="5" t="s">
        <v>7795</v>
      </c>
      <c r="C3340" s="4" t="s">
        <v>9</v>
      </c>
      <c r="D3340" s="475">
        <v>66.67</v>
      </c>
      <c r="E3340" s="476">
        <v>0</v>
      </c>
      <c r="F3340" s="6">
        <v>0</v>
      </c>
      <c r="G3340" s="6">
        <v>1</v>
      </c>
    </row>
    <row r="3341" ht="15.75" customHeight="1" spans="1:7">
      <c r="A3341" s="4" t="s">
        <v>7796</v>
      </c>
      <c r="B3341" s="5" t="s">
        <v>7797</v>
      </c>
      <c r="C3341" s="4" t="s">
        <v>9</v>
      </c>
      <c r="D3341" s="475">
        <v>53.41</v>
      </c>
      <c r="E3341" s="476">
        <v>0</v>
      </c>
      <c r="F3341" s="6">
        <v>0</v>
      </c>
      <c r="G3341" s="6">
        <v>1</v>
      </c>
    </row>
    <row r="3342" ht="30" customHeight="1" spans="1:7">
      <c r="A3342" s="4" t="s">
        <v>7798</v>
      </c>
      <c r="B3342" s="5" t="s">
        <v>7799</v>
      </c>
      <c r="C3342" s="4" t="s">
        <v>9</v>
      </c>
      <c r="D3342" s="475">
        <v>80.69</v>
      </c>
      <c r="E3342" s="476">
        <v>0.03814</v>
      </c>
      <c r="F3342" s="6">
        <v>0.1365</v>
      </c>
      <c r="G3342" s="6">
        <v>31.21</v>
      </c>
    </row>
    <row r="3343" ht="30" customHeight="1" spans="1:7">
      <c r="A3343" s="4" t="s">
        <v>7800</v>
      </c>
      <c r="B3343" s="5" t="s">
        <v>7801</v>
      </c>
      <c r="C3343" s="4" t="s">
        <v>9</v>
      </c>
      <c r="D3343" s="475">
        <v>67.38</v>
      </c>
      <c r="E3343" s="476">
        <v>0.03814</v>
      </c>
      <c r="F3343" s="6">
        <v>0.1365</v>
      </c>
      <c r="G3343" s="6">
        <v>31.21</v>
      </c>
    </row>
    <row r="3344" ht="15.75" customHeight="1" spans="1:7">
      <c r="A3344" s="4" t="s">
        <v>7802</v>
      </c>
      <c r="B3344" s="5" t="s">
        <v>7803</v>
      </c>
      <c r="C3344" s="4" t="s">
        <v>9</v>
      </c>
      <c r="D3344" s="475">
        <v>71.12</v>
      </c>
      <c r="E3344" s="476">
        <v>0</v>
      </c>
      <c r="F3344" s="6">
        <v>0</v>
      </c>
      <c r="G3344" s="6">
        <v>1</v>
      </c>
    </row>
    <row r="3345" ht="15.75" customHeight="1" spans="1:7">
      <c r="A3345" s="4" t="s">
        <v>7804</v>
      </c>
      <c r="B3345" s="5" t="s">
        <v>7805</v>
      </c>
      <c r="C3345" s="4" t="s">
        <v>9</v>
      </c>
      <c r="D3345" s="475">
        <v>57</v>
      </c>
      <c r="E3345" s="476">
        <v>0</v>
      </c>
      <c r="F3345" s="6">
        <v>0</v>
      </c>
      <c r="G3345" s="6">
        <v>1</v>
      </c>
    </row>
    <row r="3346" ht="30" customHeight="1" spans="1:7">
      <c r="A3346" s="4" t="s">
        <v>7806</v>
      </c>
      <c r="B3346" s="5" t="s">
        <v>7807</v>
      </c>
      <c r="C3346" s="4" t="s">
        <v>9</v>
      </c>
      <c r="D3346" s="475">
        <v>86.06</v>
      </c>
      <c r="E3346" s="476">
        <v>0.03814</v>
      </c>
      <c r="F3346" s="6">
        <v>0.1454</v>
      </c>
      <c r="G3346" s="6">
        <v>29.31</v>
      </c>
    </row>
    <row r="3347" ht="30" customHeight="1" spans="1:7">
      <c r="A3347" s="4" t="s">
        <v>7808</v>
      </c>
      <c r="B3347" s="5" t="s">
        <v>7809</v>
      </c>
      <c r="C3347" s="4" t="s">
        <v>9</v>
      </c>
      <c r="D3347" s="475">
        <v>71.89</v>
      </c>
      <c r="E3347" s="476">
        <v>0.03814</v>
      </c>
      <c r="F3347" s="6">
        <v>0.1454</v>
      </c>
      <c r="G3347" s="6">
        <v>29.31</v>
      </c>
    </row>
    <row r="3348" ht="15.75" customHeight="1" spans="1:7">
      <c r="A3348" s="4" t="s">
        <v>7810</v>
      </c>
      <c r="B3348" s="5" t="s">
        <v>7811</v>
      </c>
      <c r="C3348" s="4" t="s">
        <v>9</v>
      </c>
      <c r="D3348" s="475">
        <v>73.23</v>
      </c>
      <c r="E3348" s="476">
        <v>0</v>
      </c>
      <c r="F3348" s="6">
        <v>0</v>
      </c>
      <c r="G3348" s="6">
        <v>1</v>
      </c>
    </row>
    <row r="3349" ht="15.75" customHeight="1" spans="1:7">
      <c r="A3349" s="4" t="s">
        <v>7812</v>
      </c>
      <c r="B3349" s="5" t="s">
        <v>7813</v>
      </c>
      <c r="C3349" s="4" t="s">
        <v>9</v>
      </c>
      <c r="D3349" s="475">
        <v>58.7</v>
      </c>
      <c r="E3349" s="476">
        <v>0</v>
      </c>
      <c r="F3349" s="6">
        <v>0</v>
      </c>
      <c r="G3349" s="6">
        <v>1</v>
      </c>
    </row>
    <row r="3350" ht="30" customHeight="1" spans="1:7">
      <c r="A3350" s="4" t="s">
        <v>7814</v>
      </c>
      <c r="B3350" s="5" t="s">
        <v>7815</v>
      </c>
      <c r="C3350" s="4" t="s">
        <v>9</v>
      </c>
      <c r="D3350" s="475">
        <v>88.6</v>
      </c>
      <c r="E3350" s="476">
        <v>0.03814</v>
      </c>
      <c r="F3350" s="6">
        <v>0.1494</v>
      </c>
      <c r="G3350" s="6">
        <v>28.51</v>
      </c>
    </row>
    <row r="3351" ht="30" customHeight="1" spans="1:7">
      <c r="A3351" s="4" t="s">
        <v>7816</v>
      </c>
      <c r="B3351" s="5" t="s">
        <v>7817</v>
      </c>
      <c r="C3351" s="4" t="s">
        <v>9</v>
      </c>
      <c r="D3351" s="475">
        <v>74.03</v>
      </c>
      <c r="E3351" s="476">
        <v>0.03814</v>
      </c>
      <c r="F3351" s="6">
        <v>0.1494</v>
      </c>
      <c r="G3351" s="6">
        <v>28.51</v>
      </c>
    </row>
    <row r="3352" ht="15.75" customHeight="1" spans="1:7">
      <c r="A3352" s="4" t="s">
        <v>7818</v>
      </c>
      <c r="B3352" s="5" t="s">
        <v>7819</v>
      </c>
      <c r="C3352" s="4" t="s">
        <v>9</v>
      </c>
      <c r="D3352" s="475">
        <v>83.55</v>
      </c>
      <c r="E3352" s="476">
        <v>0</v>
      </c>
      <c r="F3352" s="6">
        <v>0</v>
      </c>
      <c r="G3352" s="6">
        <v>1</v>
      </c>
    </row>
    <row r="3353" ht="15.75" customHeight="1" spans="1:7">
      <c r="A3353" s="4" t="s">
        <v>7820</v>
      </c>
      <c r="B3353" s="5" t="s">
        <v>7821</v>
      </c>
      <c r="C3353" s="4" t="s">
        <v>9</v>
      </c>
      <c r="D3353" s="475">
        <v>66.76</v>
      </c>
      <c r="E3353" s="476">
        <v>0</v>
      </c>
      <c r="F3353" s="6">
        <v>0</v>
      </c>
      <c r="G3353" s="6">
        <v>1</v>
      </c>
    </row>
    <row r="3354" ht="30" customHeight="1" spans="1:7">
      <c r="A3354" s="4" t="s">
        <v>7822</v>
      </c>
      <c r="B3354" s="5" t="s">
        <v>7823</v>
      </c>
      <c r="C3354" s="4" t="s">
        <v>9</v>
      </c>
      <c r="D3354" s="475">
        <v>101.35</v>
      </c>
      <c r="E3354" s="476">
        <v>0.03814</v>
      </c>
      <c r="F3354" s="6">
        <v>0.1729</v>
      </c>
      <c r="G3354" s="6">
        <v>24.65</v>
      </c>
    </row>
    <row r="3355" ht="30" customHeight="1" spans="1:7">
      <c r="A3355" s="4" t="s">
        <v>7824</v>
      </c>
      <c r="B3355" s="5" t="s">
        <v>7825</v>
      </c>
      <c r="C3355" s="4" t="s">
        <v>9</v>
      </c>
      <c r="D3355" s="475">
        <v>84.5</v>
      </c>
      <c r="E3355" s="476">
        <v>0.03814</v>
      </c>
      <c r="F3355" s="6">
        <v>0.1729</v>
      </c>
      <c r="G3355" s="6">
        <v>24.65</v>
      </c>
    </row>
    <row r="3356" ht="15.75" customHeight="1" spans="1:7">
      <c r="A3356" s="4" t="s">
        <v>7826</v>
      </c>
      <c r="B3356" s="5" t="s">
        <v>7827</v>
      </c>
      <c r="C3356" s="4" t="s">
        <v>9</v>
      </c>
      <c r="D3356" s="475">
        <v>85.78</v>
      </c>
      <c r="E3356" s="476">
        <v>0</v>
      </c>
      <c r="F3356" s="6">
        <v>0</v>
      </c>
      <c r="G3356" s="6">
        <v>1</v>
      </c>
    </row>
    <row r="3357" ht="15.75" customHeight="1" spans="1:7">
      <c r="A3357" s="4" t="s">
        <v>7828</v>
      </c>
      <c r="B3357" s="5" t="s">
        <v>7829</v>
      </c>
      <c r="C3357" s="4" t="s">
        <v>9</v>
      </c>
      <c r="D3357" s="475">
        <v>68.55</v>
      </c>
      <c r="E3357" s="476">
        <v>0</v>
      </c>
      <c r="F3357" s="6">
        <v>0</v>
      </c>
      <c r="G3357" s="6">
        <v>1</v>
      </c>
    </row>
    <row r="3358" ht="30" customHeight="1" spans="1:7">
      <c r="A3358" s="4" t="s">
        <v>7830</v>
      </c>
      <c r="B3358" s="5" t="s">
        <v>7831</v>
      </c>
      <c r="C3358" s="4" t="s">
        <v>9</v>
      </c>
      <c r="D3358" s="475">
        <v>104.05</v>
      </c>
      <c r="E3358" s="476">
        <v>0.03814</v>
      </c>
      <c r="F3358" s="6">
        <v>0.1773</v>
      </c>
      <c r="G3358" s="6">
        <v>24.03</v>
      </c>
    </row>
    <row r="3359" ht="30" customHeight="1" spans="1:7">
      <c r="A3359" s="4" t="s">
        <v>7832</v>
      </c>
      <c r="B3359" s="5" t="s">
        <v>7833</v>
      </c>
      <c r="C3359" s="4" t="s">
        <v>9</v>
      </c>
      <c r="D3359" s="475">
        <v>86.77</v>
      </c>
      <c r="E3359" s="476">
        <v>0.03814</v>
      </c>
      <c r="F3359" s="6">
        <v>0.1773</v>
      </c>
      <c r="G3359" s="6">
        <v>24.03</v>
      </c>
    </row>
    <row r="3360" ht="15.75" customHeight="1" spans="1:7">
      <c r="A3360" s="4" t="s">
        <v>7834</v>
      </c>
      <c r="B3360" s="5" t="s">
        <v>7835</v>
      </c>
      <c r="C3360" s="4" t="s">
        <v>9</v>
      </c>
      <c r="D3360" s="475">
        <v>45.43</v>
      </c>
      <c r="E3360" s="476">
        <v>0</v>
      </c>
      <c r="F3360" s="6">
        <v>0</v>
      </c>
      <c r="G3360" s="6">
        <v>1</v>
      </c>
    </row>
    <row r="3361" ht="15.75" customHeight="1" spans="1:7">
      <c r="A3361" s="4" t="s">
        <v>7836</v>
      </c>
      <c r="B3361" s="5" t="s">
        <v>7837</v>
      </c>
      <c r="C3361" s="4" t="s">
        <v>9</v>
      </c>
      <c r="D3361" s="475">
        <v>36.62</v>
      </c>
      <c r="E3361" s="476">
        <v>0</v>
      </c>
      <c r="F3361" s="6">
        <v>0</v>
      </c>
      <c r="G3361" s="6">
        <v>1</v>
      </c>
    </row>
    <row r="3362" ht="30" customHeight="1" spans="1:7">
      <c r="A3362" s="4" t="s">
        <v>7838</v>
      </c>
      <c r="B3362" s="5" t="s">
        <v>7839</v>
      </c>
      <c r="C3362" s="4" t="s">
        <v>9</v>
      </c>
      <c r="D3362" s="475">
        <v>54.67</v>
      </c>
      <c r="E3362" s="476">
        <v>0.03814</v>
      </c>
      <c r="F3362" s="6">
        <v>0.0906</v>
      </c>
      <c r="G3362" s="6">
        <v>47.03</v>
      </c>
    </row>
    <row r="3363" ht="30" customHeight="1" spans="1:7">
      <c r="A3363" s="4" t="s">
        <v>7840</v>
      </c>
      <c r="B3363" s="5" t="s">
        <v>7841</v>
      </c>
      <c r="C3363" s="4" t="s">
        <v>9</v>
      </c>
      <c r="D3363" s="475">
        <v>45.84</v>
      </c>
      <c r="E3363" s="476">
        <v>0.03814</v>
      </c>
      <c r="F3363" s="6">
        <v>0.0906</v>
      </c>
      <c r="G3363" s="6">
        <v>47.03</v>
      </c>
    </row>
    <row r="3364" ht="15.75" customHeight="1" spans="1:7">
      <c r="A3364" s="4" t="s">
        <v>7842</v>
      </c>
      <c r="B3364" s="5" t="s">
        <v>7843</v>
      </c>
      <c r="C3364" s="4" t="s">
        <v>9</v>
      </c>
      <c r="D3364" s="475">
        <v>47.67</v>
      </c>
      <c r="E3364" s="476">
        <v>0</v>
      </c>
      <c r="F3364" s="6">
        <v>0</v>
      </c>
      <c r="G3364" s="6">
        <v>1</v>
      </c>
    </row>
    <row r="3365" ht="15.75" customHeight="1" spans="1:7">
      <c r="A3365" s="4" t="s">
        <v>7844</v>
      </c>
      <c r="B3365" s="5" t="s">
        <v>7845</v>
      </c>
      <c r="C3365" s="4" t="s">
        <v>9</v>
      </c>
      <c r="D3365" s="475">
        <v>38.44</v>
      </c>
      <c r="E3365" s="476">
        <v>0</v>
      </c>
      <c r="F3365" s="6">
        <v>0</v>
      </c>
      <c r="G3365" s="6">
        <v>1</v>
      </c>
    </row>
    <row r="3366" ht="30" customHeight="1" spans="1:7">
      <c r="A3366" s="4" t="s">
        <v>7846</v>
      </c>
      <c r="B3366" s="5" t="s">
        <v>7847</v>
      </c>
      <c r="C3366" s="4" t="s">
        <v>9</v>
      </c>
      <c r="D3366" s="475">
        <v>57.36</v>
      </c>
      <c r="E3366" s="476">
        <v>0.03814</v>
      </c>
      <c r="F3366" s="6">
        <v>0.095</v>
      </c>
      <c r="G3366" s="6">
        <v>44.87</v>
      </c>
    </row>
    <row r="3367" ht="30" customHeight="1" spans="1:7">
      <c r="A3367" s="4" t="s">
        <v>7848</v>
      </c>
      <c r="B3367" s="5" t="s">
        <v>7849</v>
      </c>
      <c r="C3367" s="4" t="s">
        <v>9</v>
      </c>
      <c r="D3367" s="475">
        <v>48.11</v>
      </c>
      <c r="E3367" s="476">
        <v>0.03814</v>
      </c>
      <c r="F3367" s="6">
        <v>0.095</v>
      </c>
      <c r="G3367" s="6">
        <v>44.87</v>
      </c>
    </row>
    <row r="3368" ht="15.75" customHeight="1" spans="1:7">
      <c r="A3368" s="4" t="s">
        <v>7850</v>
      </c>
      <c r="B3368" s="5" t="s">
        <v>7851</v>
      </c>
      <c r="C3368" s="4" t="s">
        <v>9</v>
      </c>
      <c r="D3368" s="475">
        <v>49.23</v>
      </c>
      <c r="E3368" s="476">
        <v>0</v>
      </c>
      <c r="F3368" s="6">
        <v>0</v>
      </c>
      <c r="G3368" s="6">
        <v>1</v>
      </c>
    </row>
    <row r="3369" ht="15.75" customHeight="1" spans="1:7">
      <c r="A3369" s="4" t="s">
        <v>7852</v>
      </c>
      <c r="B3369" s="5" t="s">
        <v>7853</v>
      </c>
      <c r="C3369" s="4" t="s">
        <v>9</v>
      </c>
      <c r="D3369" s="475">
        <v>39.73</v>
      </c>
      <c r="E3369" s="476">
        <v>0</v>
      </c>
      <c r="F3369" s="6">
        <v>0</v>
      </c>
      <c r="G3369" s="6">
        <v>1</v>
      </c>
    </row>
    <row r="3370" ht="30" customHeight="1" spans="1:7">
      <c r="A3370" s="4" t="s">
        <v>7854</v>
      </c>
      <c r="B3370" s="5" t="s">
        <v>7855</v>
      </c>
      <c r="C3370" s="4" t="s">
        <v>9</v>
      </c>
      <c r="D3370" s="475">
        <v>59.23</v>
      </c>
      <c r="E3370" s="476">
        <v>0.03814</v>
      </c>
      <c r="F3370" s="6">
        <v>0.0978</v>
      </c>
      <c r="G3370" s="6">
        <v>43.56</v>
      </c>
    </row>
    <row r="3371" ht="30" customHeight="1" spans="1:7">
      <c r="A3371" s="4" t="s">
        <v>7856</v>
      </c>
      <c r="B3371" s="5" t="s">
        <v>7857</v>
      </c>
      <c r="C3371" s="4" t="s">
        <v>9</v>
      </c>
      <c r="D3371" s="475">
        <v>49.7</v>
      </c>
      <c r="E3371" s="476">
        <v>0.03814</v>
      </c>
      <c r="F3371" s="6">
        <v>0.0978</v>
      </c>
      <c r="G3371" s="6">
        <v>43.56</v>
      </c>
    </row>
    <row r="3372" ht="15.75" customHeight="1" spans="1:7">
      <c r="A3372" s="4" t="s">
        <v>7858</v>
      </c>
      <c r="B3372" s="5" t="s">
        <v>7859</v>
      </c>
      <c r="C3372" s="4" t="s">
        <v>9</v>
      </c>
      <c r="D3372" s="475">
        <v>55.31</v>
      </c>
      <c r="E3372" s="476">
        <v>0</v>
      </c>
      <c r="F3372" s="6">
        <v>0</v>
      </c>
      <c r="G3372" s="6">
        <v>1</v>
      </c>
    </row>
    <row r="3373" ht="15.75" customHeight="1" spans="1:7">
      <c r="A3373" s="4" t="s">
        <v>7860</v>
      </c>
      <c r="B3373" s="5" t="s">
        <v>7861</v>
      </c>
      <c r="C3373" s="4" t="s">
        <v>9</v>
      </c>
      <c r="D3373" s="475">
        <v>44.51</v>
      </c>
      <c r="E3373" s="476">
        <v>0</v>
      </c>
      <c r="F3373" s="6">
        <v>0</v>
      </c>
      <c r="G3373" s="6">
        <v>1</v>
      </c>
    </row>
    <row r="3374" ht="30" customHeight="1" spans="1:7">
      <c r="A3374" s="4" t="s">
        <v>7862</v>
      </c>
      <c r="B3374" s="5" t="s">
        <v>7863</v>
      </c>
      <c r="C3374" s="4" t="s">
        <v>9</v>
      </c>
      <c r="D3374" s="475">
        <v>66.69</v>
      </c>
      <c r="E3374" s="476">
        <v>0.03814</v>
      </c>
      <c r="F3374" s="6">
        <v>0.1111</v>
      </c>
      <c r="G3374" s="6">
        <v>38.34</v>
      </c>
    </row>
    <row r="3375" ht="30" customHeight="1" spans="1:7">
      <c r="A3375" s="4" t="s">
        <v>7864</v>
      </c>
      <c r="B3375" s="5" t="s">
        <v>7865</v>
      </c>
      <c r="C3375" s="4" t="s">
        <v>9</v>
      </c>
      <c r="D3375" s="475">
        <v>55.86</v>
      </c>
      <c r="E3375" s="476">
        <v>0.03814</v>
      </c>
      <c r="F3375" s="6">
        <v>0.1111</v>
      </c>
      <c r="G3375" s="6">
        <v>38.34</v>
      </c>
    </row>
    <row r="3376" ht="15.75" customHeight="1" spans="1:7">
      <c r="A3376" s="4" t="s">
        <v>7866</v>
      </c>
      <c r="B3376" s="5" t="s">
        <v>7867</v>
      </c>
      <c r="C3376" s="4" t="s">
        <v>9</v>
      </c>
      <c r="D3376" s="475">
        <v>20.83</v>
      </c>
      <c r="E3376" s="476">
        <v>0</v>
      </c>
      <c r="F3376" s="6">
        <v>0</v>
      </c>
      <c r="G3376" s="6">
        <v>1</v>
      </c>
    </row>
    <row r="3377" ht="15.75" customHeight="1" spans="1:7">
      <c r="A3377" s="4" t="s">
        <v>7868</v>
      </c>
      <c r="B3377" s="5" t="s">
        <v>7869</v>
      </c>
      <c r="C3377" s="4" t="s">
        <v>9</v>
      </c>
      <c r="D3377" s="475">
        <v>26.14</v>
      </c>
      <c r="E3377" s="476">
        <v>0</v>
      </c>
      <c r="F3377" s="6">
        <v>0</v>
      </c>
      <c r="G3377" s="6">
        <v>1</v>
      </c>
    </row>
    <row r="3378" ht="15.75" customHeight="1" spans="1:7">
      <c r="A3378" s="4" t="s">
        <v>7870</v>
      </c>
      <c r="B3378" s="5" t="s">
        <v>7871</v>
      </c>
      <c r="C3378" s="4" t="s">
        <v>9</v>
      </c>
      <c r="D3378" s="475">
        <v>17.23</v>
      </c>
      <c r="E3378" s="476">
        <v>0</v>
      </c>
      <c r="F3378" s="6">
        <v>0</v>
      </c>
      <c r="G3378" s="6">
        <v>1</v>
      </c>
    </row>
    <row r="3379" ht="15.75" customHeight="1" spans="1:7">
      <c r="A3379" s="4" t="s">
        <v>7872</v>
      </c>
      <c r="B3379" s="5" t="s">
        <v>7873</v>
      </c>
      <c r="C3379" s="4" t="s">
        <v>9</v>
      </c>
      <c r="D3379" s="475">
        <v>8.91</v>
      </c>
      <c r="E3379" s="476">
        <v>0</v>
      </c>
      <c r="F3379" s="6">
        <v>0</v>
      </c>
      <c r="G3379" s="6">
        <v>1</v>
      </c>
    </row>
    <row r="3380" ht="15.75" customHeight="1" spans="1:7">
      <c r="A3380" s="4" t="s">
        <v>7874</v>
      </c>
      <c r="B3380" s="5" t="s">
        <v>7875</v>
      </c>
      <c r="C3380" s="4" t="s">
        <v>9</v>
      </c>
      <c r="D3380" s="475">
        <v>11.25</v>
      </c>
      <c r="E3380" s="476">
        <v>0</v>
      </c>
      <c r="F3380" s="6">
        <v>0</v>
      </c>
      <c r="G3380" s="6">
        <v>1</v>
      </c>
    </row>
    <row r="3381" ht="15.75" customHeight="1" spans="1:7">
      <c r="A3381" s="4" t="s">
        <v>7876</v>
      </c>
      <c r="B3381" s="5" t="s">
        <v>7877</v>
      </c>
      <c r="C3381" s="4" t="s">
        <v>9</v>
      </c>
      <c r="D3381" s="475">
        <v>7.77</v>
      </c>
      <c r="E3381" s="476">
        <v>0</v>
      </c>
      <c r="F3381" s="6">
        <v>0</v>
      </c>
      <c r="G3381" s="6">
        <v>1</v>
      </c>
    </row>
    <row r="3382" ht="15.75" customHeight="1" spans="1:7">
      <c r="A3382" s="4" t="s">
        <v>7878</v>
      </c>
      <c r="B3382" s="5" t="s">
        <v>7879</v>
      </c>
      <c r="C3382" s="4" t="s">
        <v>9</v>
      </c>
      <c r="D3382" s="475">
        <v>0.18</v>
      </c>
      <c r="E3382" s="476">
        <v>0.03814</v>
      </c>
      <c r="F3382" s="6">
        <v>0.0052</v>
      </c>
      <c r="G3382" s="6">
        <v>597.6</v>
      </c>
    </row>
    <row r="3383" ht="15.75" customHeight="1" spans="1:7">
      <c r="A3383" s="4" t="s">
        <v>7880</v>
      </c>
      <c r="B3383" s="5" t="s">
        <v>7881</v>
      </c>
      <c r="C3383" s="4" t="s">
        <v>9</v>
      </c>
      <c r="D3383" s="475">
        <v>1084.65</v>
      </c>
      <c r="E3383" s="476">
        <v>0</v>
      </c>
      <c r="F3383" s="6">
        <v>0</v>
      </c>
      <c r="G3383" s="6">
        <v>1</v>
      </c>
    </row>
    <row r="3384" ht="15.75" customHeight="1" spans="1:7">
      <c r="A3384" s="4" t="s">
        <v>7882</v>
      </c>
      <c r="B3384" s="5" t="s">
        <v>7883</v>
      </c>
      <c r="C3384" s="4" t="s">
        <v>9</v>
      </c>
      <c r="D3384" s="475">
        <v>963.15</v>
      </c>
      <c r="E3384" s="476">
        <v>0</v>
      </c>
      <c r="F3384" s="6">
        <v>0</v>
      </c>
      <c r="G3384" s="6">
        <v>1</v>
      </c>
    </row>
    <row r="3385" ht="15.75" customHeight="1" spans="1:7">
      <c r="A3385" s="4" t="s">
        <v>7884</v>
      </c>
      <c r="B3385" s="5" t="s">
        <v>7885</v>
      </c>
      <c r="C3385" s="4" t="s">
        <v>9</v>
      </c>
      <c r="D3385" s="475">
        <v>1137.27</v>
      </c>
      <c r="E3385" s="476">
        <v>0</v>
      </c>
      <c r="F3385" s="6">
        <v>0</v>
      </c>
      <c r="G3385" s="6">
        <v>1</v>
      </c>
    </row>
    <row r="3386" ht="15.75" customHeight="1" spans="1:7">
      <c r="A3386" s="4" t="s">
        <v>7886</v>
      </c>
      <c r="B3386" s="5" t="s">
        <v>7887</v>
      </c>
      <c r="C3386" s="4" t="s">
        <v>9</v>
      </c>
      <c r="D3386" s="475">
        <v>1012.44</v>
      </c>
      <c r="E3386" s="476">
        <v>0</v>
      </c>
      <c r="F3386" s="6">
        <v>0</v>
      </c>
      <c r="G3386" s="6">
        <v>1</v>
      </c>
    </row>
    <row r="3387" ht="15.75" customHeight="1" spans="1:7">
      <c r="A3387" s="4" t="s">
        <v>7888</v>
      </c>
      <c r="B3387" s="5" t="s">
        <v>7889</v>
      </c>
      <c r="C3387" s="4" t="s">
        <v>9</v>
      </c>
      <c r="D3387" s="475">
        <v>1177.81</v>
      </c>
      <c r="E3387" s="476">
        <v>0</v>
      </c>
      <c r="F3387" s="6">
        <v>0</v>
      </c>
      <c r="G3387" s="6">
        <v>1</v>
      </c>
    </row>
    <row r="3388" ht="15.75" customHeight="1" spans="1:7">
      <c r="A3388" s="4" t="s">
        <v>7890</v>
      </c>
      <c r="B3388" s="5" t="s">
        <v>7891</v>
      </c>
      <c r="C3388" s="4" t="s">
        <v>9</v>
      </c>
      <c r="D3388" s="475">
        <v>1052.48</v>
      </c>
      <c r="E3388" s="476">
        <v>0</v>
      </c>
      <c r="F3388" s="6">
        <v>0</v>
      </c>
      <c r="G3388" s="6">
        <v>1</v>
      </c>
    </row>
    <row r="3389" ht="15.75" customHeight="1" spans="1:7">
      <c r="A3389" s="4" t="s">
        <v>7892</v>
      </c>
      <c r="B3389" s="5" t="s">
        <v>7893</v>
      </c>
      <c r="C3389" s="4" t="s">
        <v>9</v>
      </c>
      <c r="D3389" s="475">
        <v>1234.74</v>
      </c>
      <c r="E3389" s="476">
        <v>0</v>
      </c>
      <c r="F3389" s="6">
        <v>0</v>
      </c>
      <c r="G3389" s="6">
        <v>1</v>
      </c>
    </row>
    <row r="3390" ht="15.75" customHeight="1" spans="1:7">
      <c r="A3390" s="4" t="s">
        <v>7894</v>
      </c>
      <c r="B3390" s="5" t="s">
        <v>7895</v>
      </c>
      <c r="C3390" s="4" t="s">
        <v>9</v>
      </c>
      <c r="D3390" s="475">
        <v>1105.07</v>
      </c>
      <c r="E3390" s="476">
        <v>0</v>
      </c>
      <c r="F3390" s="6">
        <v>0</v>
      </c>
      <c r="G3390" s="6">
        <v>1</v>
      </c>
    </row>
    <row r="3391" ht="15.75" customHeight="1" spans="1:7">
      <c r="A3391" s="4" t="s">
        <v>7896</v>
      </c>
      <c r="B3391" s="5" t="s">
        <v>7897</v>
      </c>
      <c r="C3391" s="4" t="s">
        <v>9</v>
      </c>
      <c r="D3391" s="475">
        <v>1412.63</v>
      </c>
      <c r="E3391" s="476">
        <v>0</v>
      </c>
      <c r="F3391" s="6">
        <v>0</v>
      </c>
      <c r="G3391" s="6">
        <v>1</v>
      </c>
    </row>
    <row r="3392" ht="15.75" customHeight="1" spans="1:7">
      <c r="A3392" s="4" t="s">
        <v>7898</v>
      </c>
      <c r="B3392" s="5" t="s">
        <v>7899</v>
      </c>
      <c r="C3392" s="4" t="s">
        <v>9</v>
      </c>
      <c r="D3392" s="475">
        <v>1277.97</v>
      </c>
      <c r="E3392" s="476">
        <v>0</v>
      </c>
      <c r="F3392" s="6">
        <v>0</v>
      </c>
      <c r="G3392" s="6">
        <v>1</v>
      </c>
    </row>
    <row r="3393" ht="15.75" customHeight="1" spans="1:7">
      <c r="A3393" s="4" t="s">
        <v>7900</v>
      </c>
      <c r="B3393" s="5" t="s">
        <v>7901</v>
      </c>
      <c r="C3393" s="4" t="s">
        <v>9</v>
      </c>
      <c r="D3393" s="475">
        <v>1580.67</v>
      </c>
      <c r="E3393" s="476">
        <v>0</v>
      </c>
      <c r="F3393" s="6">
        <v>0</v>
      </c>
      <c r="G3393" s="6">
        <v>1</v>
      </c>
    </row>
    <row r="3394" ht="15.75" customHeight="1" spans="1:7">
      <c r="A3394" s="4" t="s">
        <v>7902</v>
      </c>
      <c r="B3394" s="5" t="s">
        <v>7903</v>
      </c>
      <c r="C3394" s="4" t="s">
        <v>9</v>
      </c>
      <c r="D3394" s="475">
        <v>1436.68</v>
      </c>
      <c r="E3394" s="476">
        <v>0</v>
      </c>
      <c r="F3394" s="6">
        <v>0</v>
      </c>
      <c r="G3394" s="6">
        <v>1</v>
      </c>
    </row>
    <row r="3395" ht="15.75" customHeight="1" spans="1:7">
      <c r="A3395" s="4" t="s">
        <v>7904</v>
      </c>
      <c r="B3395" s="5" t="s">
        <v>7905</v>
      </c>
      <c r="C3395" s="4" t="s">
        <v>9</v>
      </c>
      <c r="D3395" s="475">
        <v>188.73</v>
      </c>
      <c r="E3395" s="476">
        <v>0.04367</v>
      </c>
      <c r="F3395" s="6">
        <v>0.9455</v>
      </c>
      <c r="G3395" s="6">
        <v>9.96</v>
      </c>
    </row>
    <row r="3396" ht="15.75" customHeight="1" spans="1:7">
      <c r="A3396" s="4" t="s">
        <v>7906</v>
      </c>
      <c r="B3396" s="5" t="s">
        <v>7907</v>
      </c>
      <c r="C3396" s="4" t="s">
        <v>9</v>
      </c>
      <c r="D3396" s="475">
        <v>233.47</v>
      </c>
      <c r="E3396" s="476">
        <v>0.04367</v>
      </c>
      <c r="F3396" s="6">
        <v>1.1346</v>
      </c>
      <c r="G3396" s="6">
        <v>8.3</v>
      </c>
    </row>
    <row r="3397" ht="15.75" customHeight="1" spans="1:7">
      <c r="A3397" s="4" t="s">
        <v>7908</v>
      </c>
      <c r="B3397" s="5" t="s">
        <v>7909</v>
      </c>
      <c r="C3397" s="4" t="s">
        <v>9</v>
      </c>
      <c r="D3397" s="475">
        <v>364.67</v>
      </c>
      <c r="E3397" s="476">
        <v>0.04367</v>
      </c>
      <c r="F3397" s="6">
        <v>1.5128</v>
      </c>
      <c r="G3397" s="6">
        <v>6.225</v>
      </c>
    </row>
    <row r="3398" ht="15.75" customHeight="1" spans="1:7">
      <c r="A3398" s="4" t="s">
        <v>7910</v>
      </c>
      <c r="B3398" s="5" t="s">
        <v>7911</v>
      </c>
      <c r="C3398" s="4" t="s">
        <v>9</v>
      </c>
      <c r="D3398" s="475">
        <v>462.42</v>
      </c>
      <c r="E3398" s="476">
        <v>0.04367</v>
      </c>
      <c r="F3398" s="6">
        <v>1.891</v>
      </c>
      <c r="G3398" s="6">
        <v>4.98</v>
      </c>
    </row>
    <row r="3399" ht="15.75" customHeight="1" spans="1:7">
      <c r="A3399" s="4" t="s">
        <v>7912</v>
      </c>
      <c r="B3399" s="5" t="s">
        <v>7913</v>
      </c>
      <c r="C3399" s="4" t="s">
        <v>9</v>
      </c>
      <c r="D3399" s="475">
        <v>635.04</v>
      </c>
      <c r="E3399" s="476">
        <v>0.04367</v>
      </c>
      <c r="F3399" s="6">
        <v>2.2692</v>
      </c>
      <c r="G3399" s="6">
        <v>4.15</v>
      </c>
    </row>
    <row r="3400" ht="15.75" customHeight="1" spans="1:7">
      <c r="A3400" s="4" t="s">
        <v>7914</v>
      </c>
      <c r="B3400" s="5" t="s">
        <v>7915</v>
      </c>
      <c r="C3400" s="4" t="s">
        <v>9</v>
      </c>
      <c r="D3400" s="475">
        <v>1081.81</v>
      </c>
      <c r="E3400" s="476">
        <v>0.04367</v>
      </c>
      <c r="F3400" s="6">
        <v>2.8365</v>
      </c>
      <c r="G3400" s="6">
        <v>3.32</v>
      </c>
    </row>
    <row r="3401" ht="15.75" customHeight="1" spans="1:7">
      <c r="A3401" s="4" t="s">
        <v>7916</v>
      </c>
      <c r="B3401" s="5" t="s">
        <v>7917</v>
      </c>
      <c r="C3401" s="4" t="s">
        <v>9</v>
      </c>
      <c r="D3401" s="475">
        <v>193</v>
      </c>
      <c r="E3401" s="476">
        <v>0.04367</v>
      </c>
      <c r="F3401" s="6">
        <v>1.1346</v>
      </c>
      <c r="G3401" s="6">
        <v>8.3</v>
      </c>
    </row>
    <row r="3402" ht="15.75" customHeight="1" spans="1:7">
      <c r="A3402" s="4" t="s">
        <v>7918</v>
      </c>
      <c r="B3402" s="5" t="s">
        <v>7919</v>
      </c>
      <c r="C3402" s="4" t="s">
        <v>9</v>
      </c>
      <c r="D3402" s="475">
        <v>176.22</v>
      </c>
      <c r="E3402" s="476">
        <v>0.04367</v>
      </c>
      <c r="F3402" s="6">
        <v>1.1346</v>
      </c>
      <c r="G3402" s="6">
        <v>8.3</v>
      </c>
    </row>
    <row r="3403" ht="15.75" customHeight="1" spans="1:7">
      <c r="A3403" s="4" t="s">
        <v>7920</v>
      </c>
      <c r="B3403" s="5" t="s">
        <v>7921</v>
      </c>
      <c r="C3403" s="4" t="s">
        <v>9</v>
      </c>
      <c r="D3403" s="475">
        <v>282.8</v>
      </c>
      <c r="E3403" s="476">
        <v>0.04367</v>
      </c>
      <c r="F3403" s="6">
        <v>1.5128</v>
      </c>
      <c r="G3403" s="6">
        <v>6.225</v>
      </c>
    </row>
    <row r="3404" ht="15.75" customHeight="1" spans="1:7">
      <c r="A3404" s="4" t="s">
        <v>7922</v>
      </c>
      <c r="B3404" s="5" t="s">
        <v>7923</v>
      </c>
      <c r="C3404" s="4" t="s">
        <v>9</v>
      </c>
      <c r="D3404" s="475">
        <v>256.22</v>
      </c>
      <c r="E3404" s="476">
        <v>0.04367</v>
      </c>
      <c r="F3404" s="6">
        <v>1.5128</v>
      </c>
      <c r="G3404" s="6">
        <v>6.225</v>
      </c>
    </row>
    <row r="3405" ht="15.75" customHeight="1" spans="1:7">
      <c r="A3405" s="4" t="s">
        <v>7924</v>
      </c>
      <c r="B3405" s="5" t="s">
        <v>7925</v>
      </c>
      <c r="C3405" s="4" t="s">
        <v>9</v>
      </c>
      <c r="D3405" s="475">
        <v>462.92</v>
      </c>
      <c r="E3405" s="476">
        <v>0.04367</v>
      </c>
      <c r="F3405" s="6">
        <v>1.891</v>
      </c>
      <c r="G3405" s="6">
        <v>4.98</v>
      </c>
    </row>
    <row r="3406" ht="15.75" customHeight="1" spans="1:7">
      <c r="A3406" s="4" t="s">
        <v>7926</v>
      </c>
      <c r="B3406" s="5" t="s">
        <v>7927</v>
      </c>
      <c r="C3406" s="4" t="s">
        <v>9</v>
      </c>
      <c r="D3406" s="475">
        <v>426.5</v>
      </c>
      <c r="E3406" s="476">
        <v>0.04367</v>
      </c>
      <c r="F3406" s="6">
        <v>1.891</v>
      </c>
      <c r="G3406" s="6">
        <v>4.98</v>
      </c>
    </row>
    <row r="3407" ht="15.75" customHeight="1" spans="1:7">
      <c r="A3407" s="4" t="s">
        <v>7928</v>
      </c>
      <c r="B3407" s="5" t="s">
        <v>7929</v>
      </c>
      <c r="C3407" s="4" t="s">
        <v>9</v>
      </c>
      <c r="D3407" s="475">
        <v>616.05</v>
      </c>
      <c r="E3407" s="476">
        <v>0.04367</v>
      </c>
      <c r="F3407" s="6">
        <v>2.2692</v>
      </c>
      <c r="G3407" s="6">
        <v>4.15</v>
      </c>
    </row>
    <row r="3408" ht="15.75" customHeight="1" spans="1:7">
      <c r="A3408" s="4" t="s">
        <v>7930</v>
      </c>
      <c r="B3408" s="5" t="s">
        <v>7931</v>
      </c>
      <c r="C3408" s="4" t="s">
        <v>9</v>
      </c>
      <c r="D3408" s="475">
        <v>562.82</v>
      </c>
      <c r="E3408" s="476">
        <v>0.04367</v>
      </c>
      <c r="F3408" s="6">
        <v>2.2692</v>
      </c>
      <c r="G3408" s="6">
        <v>4.15</v>
      </c>
    </row>
    <row r="3409" ht="15.75" customHeight="1" spans="1:7">
      <c r="A3409" s="4" t="s">
        <v>7932</v>
      </c>
      <c r="B3409" s="5" t="s">
        <v>7933</v>
      </c>
      <c r="C3409" s="4" t="s">
        <v>9</v>
      </c>
      <c r="D3409" s="475">
        <v>958.49</v>
      </c>
      <c r="E3409" s="476">
        <v>0.04367</v>
      </c>
      <c r="F3409" s="6">
        <v>2.8365</v>
      </c>
      <c r="G3409" s="6">
        <v>3.32</v>
      </c>
    </row>
    <row r="3410" ht="15.75" customHeight="1" spans="1:7">
      <c r="A3410" s="4" t="s">
        <v>7934</v>
      </c>
      <c r="B3410" s="5" t="s">
        <v>7935</v>
      </c>
      <c r="C3410" s="4" t="s">
        <v>9</v>
      </c>
      <c r="D3410" s="475">
        <v>875.18</v>
      </c>
      <c r="E3410" s="476">
        <v>0.04367</v>
      </c>
      <c r="F3410" s="6">
        <v>2.8365</v>
      </c>
      <c r="G3410" s="6">
        <v>3.32</v>
      </c>
    </row>
    <row r="3411" ht="15.75" customHeight="1" spans="1:7">
      <c r="A3411" s="4" t="s">
        <v>7936</v>
      </c>
      <c r="B3411" s="5" t="s">
        <v>7937</v>
      </c>
      <c r="C3411" s="4" t="s">
        <v>9</v>
      </c>
      <c r="D3411" s="475">
        <v>227.66</v>
      </c>
      <c r="E3411" s="476">
        <v>0.04367</v>
      </c>
      <c r="F3411" s="6">
        <v>0.9455</v>
      </c>
      <c r="G3411" s="6">
        <v>9.96</v>
      </c>
    </row>
    <row r="3412" ht="15.75" customHeight="1" spans="1:7">
      <c r="A3412" s="4" t="s">
        <v>7938</v>
      </c>
      <c r="B3412" s="5" t="s">
        <v>7939</v>
      </c>
      <c r="C3412" s="4" t="s">
        <v>9</v>
      </c>
      <c r="D3412" s="475">
        <v>267.32</v>
      </c>
      <c r="E3412" s="476">
        <v>0.04367</v>
      </c>
      <c r="F3412" s="6">
        <v>1.1346</v>
      </c>
      <c r="G3412" s="6">
        <v>8.3</v>
      </c>
    </row>
    <row r="3413" ht="15.75" customHeight="1" spans="1:7">
      <c r="A3413" s="4" t="s">
        <v>7940</v>
      </c>
      <c r="B3413" s="5" t="s">
        <v>7941</v>
      </c>
      <c r="C3413" s="4" t="s">
        <v>9</v>
      </c>
      <c r="D3413" s="475">
        <v>378.31</v>
      </c>
      <c r="E3413" s="476">
        <v>0.04367</v>
      </c>
      <c r="F3413" s="6">
        <v>1.5128</v>
      </c>
      <c r="G3413" s="6">
        <v>6.225</v>
      </c>
    </row>
    <row r="3414" ht="15.75" customHeight="1" spans="1:7">
      <c r="A3414" s="4" t="s">
        <v>7942</v>
      </c>
      <c r="B3414" s="5" t="s">
        <v>7943</v>
      </c>
      <c r="C3414" s="4" t="s">
        <v>9</v>
      </c>
      <c r="D3414" s="475">
        <v>512.08</v>
      </c>
      <c r="E3414" s="476">
        <v>0.04367</v>
      </c>
      <c r="F3414" s="6">
        <v>1.891</v>
      </c>
      <c r="G3414" s="6">
        <v>4.98</v>
      </c>
    </row>
    <row r="3415" ht="15.75" customHeight="1" spans="1:7">
      <c r="A3415" s="4" t="s">
        <v>7944</v>
      </c>
      <c r="B3415" s="5" t="s">
        <v>7945</v>
      </c>
      <c r="C3415" s="4" t="s">
        <v>9</v>
      </c>
      <c r="D3415" s="475">
        <v>676.2</v>
      </c>
      <c r="E3415" s="476">
        <v>0.04367</v>
      </c>
      <c r="F3415" s="6">
        <v>2.2692</v>
      </c>
      <c r="G3415" s="6">
        <v>4.15</v>
      </c>
    </row>
    <row r="3416" ht="15.75" customHeight="1" spans="1:7">
      <c r="A3416" s="4" t="s">
        <v>7946</v>
      </c>
      <c r="B3416" s="5" t="s">
        <v>7947</v>
      </c>
      <c r="C3416" s="4" t="s">
        <v>9</v>
      </c>
      <c r="D3416" s="475">
        <v>1103.32</v>
      </c>
      <c r="E3416" s="476">
        <v>0.04367</v>
      </c>
      <c r="F3416" s="6">
        <v>2.8365</v>
      </c>
      <c r="G3416" s="6">
        <v>3.32</v>
      </c>
    </row>
    <row r="3417" ht="15.75" customHeight="1" spans="1:7">
      <c r="A3417" s="4" t="s">
        <v>7948</v>
      </c>
      <c r="B3417" s="5" t="s">
        <v>7949</v>
      </c>
      <c r="C3417" s="4" t="s">
        <v>9</v>
      </c>
      <c r="D3417" s="475">
        <v>207.81</v>
      </c>
      <c r="E3417" s="476">
        <v>0.04367</v>
      </c>
      <c r="F3417" s="6">
        <v>1.1346</v>
      </c>
      <c r="G3417" s="6">
        <v>8.3</v>
      </c>
    </row>
    <row r="3418" ht="15.75" customHeight="1" spans="1:7">
      <c r="A3418" s="4" t="s">
        <v>7950</v>
      </c>
      <c r="B3418" s="5" t="s">
        <v>7951</v>
      </c>
      <c r="C3418" s="4" t="s">
        <v>9</v>
      </c>
      <c r="D3418" s="475">
        <v>191.04</v>
      </c>
      <c r="E3418" s="476">
        <v>0.04367</v>
      </c>
      <c r="F3418" s="6">
        <v>1.1346</v>
      </c>
      <c r="G3418" s="6">
        <v>8.3</v>
      </c>
    </row>
    <row r="3419" ht="15.75" customHeight="1" spans="1:7">
      <c r="A3419" s="4" t="s">
        <v>7952</v>
      </c>
      <c r="B3419" s="5" t="s">
        <v>7953</v>
      </c>
      <c r="C3419" s="4" t="s">
        <v>9</v>
      </c>
      <c r="D3419" s="475">
        <v>341.99</v>
      </c>
      <c r="E3419" s="476">
        <v>0.04367</v>
      </c>
      <c r="F3419" s="6">
        <v>1.5128</v>
      </c>
      <c r="G3419" s="6">
        <v>6.225</v>
      </c>
    </row>
    <row r="3420" ht="15.75" customHeight="1" spans="1:7">
      <c r="A3420" s="4" t="s">
        <v>7954</v>
      </c>
      <c r="B3420" s="5" t="s">
        <v>7955</v>
      </c>
      <c r="C3420" s="4" t="s">
        <v>9</v>
      </c>
      <c r="D3420" s="475">
        <v>315.48</v>
      </c>
      <c r="E3420" s="476">
        <v>0.04367</v>
      </c>
      <c r="F3420" s="6">
        <v>1.5128</v>
      </c>
      <c r="G3420" s="6">
        <v>6.225</v>
      </c>
    </row>
    <row r="3421" ht="15.75" customHeight="1" spans="1:7">
      <c r="A3421" s="4" t="s">
        <v>7956</v>
      </c>
      <c r="B3421" s="5" t="s">
        <v>7957</v>
      </c>
      <c r="C3421" s="4" t="s">
        <v>9</v>
      </c>
      <c r="D3421" s="475">
        <v>522.11</v>
      </c>
      <c r="E3421" s="476">
        <v>0.04367</v>
      </c>
      <c r="F3421" s="6">
        <v>1.891</v>
      </c>
      <c r="G3421" s="6">
        <v>4.98</v>
      </c>
    </row>
    <row r="3422" ht="15.75" customHeight="1" spans="1:7">
      <c r="A3422" s="4" t="s">
        <v>7958</v>
      </c>
      <c r="B3422" s="5" t="s">
        <v>7959</v>
      </c>
      <c r="C3422" s="4" t="s">
        <v>9</v>
      </c>
      <c r="D3422" s="475">
        <v>485.76</v>
      </c>
      <c r="E3422" s="476">
        <v>0.04367</v>
      </c>
      <c r="F3422" s="6">
        <v>1.891</v>
      </c>
      <c r="G3422" s="6">
        <v>4.98</v>
      </c>
    </row>
    <row r="3423" ht="15.75" customHeight="1" spans="1:7">
      <c r="A3423" s="4" t="s">
        <v>7960</v>
      </c>
      <c r="B3423" s="5" t="s">
        <v>7961</v>
      </c>
      <c r="C3423" s="4" t="s">
        <v>9</v>
      </c>
      <c r="D3423" s="475">
        <v>749.24</v>
      </c>
      <c r="E3423" s="476">
        <v>0.04367</v>
      </c>
      <c r="F3423" s="6">
        <v>2.2692</v>
      </c>
      <c r="G3423" s="6">
        <v>4.15</v>
      </c>
    </row>
    <row r="3424" ht="15.75" customHeight="1" spans="1:7">
      <c r="A3424" s="4" t="s">
        <v>7962</v>
      </c>
      <c r="B3424" s="5" t="s">
        <v>7963</v>
      </c>
      <c r="C3424" s="4" t="s">
        <v>9</v>
      </c>
      <c r="D3424" s="475">
        <v>696.16</v>
      </c>
      <c r="E3424" s="476">
        <v>0.04367</v>
      </c>
      <c r="F3424" s="6">
        <v>2.2692</v>
      </c>
      <c r="G3424" s="6">
        <v>4.15</v>
      </c>
    </row>
    <row r="3425" ht="15.75" customHeight="1" spans="1:7">
      <c r="A3425" s="4" t="s">
        <v>7964</v>
      </c>
      <c r="B3425" s="5" t="s">
        <v>7965</v>
      </c>
      <c r="C3425" s="4" t="s">
        <v>9</v>
      </c>
      <c r="D3425" s="475">
        <v>1165.68</v>
      </c>
      <c r="E3425" s="476">
        <v>0.04367</v>
      </c>
      <c r="F3425" s="6">
        <v>2.8365</v>
      </c>
      <c r="G3425" s="6">
        <v>3.32</v>
      </c>
    </row>
    <row r="3426" ht="15.75" customHeight="1" spans="1:7">
      <c r="A3426" s="4" t="s">
        <v>7966</v>
      </c>
      <c r="B3426" s="5" t="s">
        <v>7967</v>
      </c>
      <c r="C3426" s="4" t="s">
        <v>9</v>
      </c>
      <c r="D3426" s="475">
        <v>1082.59</v>
      </c>
      <c r="E3426" s="476">
        <v>0.04367</v>
      </c>
      <c r="F3426" s="6">
        <v>2.8365</v>
      </c>
      <c r="G3426" s="6">
        <v>3.32</v>
      </c>
    </row>
    <row r="3427" ht="15.75" customHeight="1" spans="1:7">
      <c r="A3427" s="4" t="s">
        <v>7968</v>
      </c>
      <c r="B3427" s="5" t="s">
        <v>7969</v>
      </c>
      <c r="C3427" s="4" t="s">
        <v>9</v>
      </c>
      <c r="D3427" s="475">
        <v>248.19</v>
      </c>
      <c r="E3427" s="476">
        <v>0.04367</v>
      </c>
      <c r="F3427" s="6">
        <v>0.9455</v>
      </c>
      <c r="G3427" s="6">
        <v>9.96</v>
      </c>
    </row>
    <row r="3428" ht="15.75" customHeight="1" spans="1:7">
      <c r="A3428" s="4" t="s">
        <v>7970</v>
      </c>
      <c r="B3428" s="5" t="s">
        <v>7971</v>
      </c>
      <c r="C3428" s="4" t="s">
        <v>9</v>
      </c>
      <c r="D3428" s="475">
        <v>301.78</v>
      </c>
      <c r="E3428" s="476">
        <v>0.04367</v>
      </c>
      <c r="F3428" s="6">
        <v>1.1346</v>
      </c>
      <c r="G3428" s="6">
        <v>8.3</v>
      </c>
    </row>
    <row r="3429" ht="15.75" customHeight="1" spans="1:7">
      <c r="A3429" s="4" t="s">
        <v>7972</v>
      </c>
      <c r="B3429" s="5" t="s">
        <v>7973</v>
      </c>
      <c r="C3429" s="4" t="s">
        <v>9</v>
      </c>
      <c r="D3429" s="475">
        <v>411.71</v>
      </c>
      <c r="E3429" s="476">
        <v>0.04367</v>
      </c>
      <c r="F3429" s="6">
        <v>1.5128</v>
      </c>
      <c r="G3429" s="6">
        <v>6.225</v>
      </c>
    </row>
    <row r="3430" ht="15.75" customHeight="1" spans="1:7">
      <c r="A3430" s="4" t="s">
        <v>7974</v>
      </c>
      <c r="B3430" s="5" t="s">
        <v>7975</v>
      </c>
      <c r="C3430" s="4" t="s">
        <v>9</v>
      </c>
      <c r="D3430" s="475">
        <v>566.97</v>
      </c>
      <c r="E3430" s="476">
        <v>0.04367</v>
      </c>
      <c r="F3430" s="6">
        <v>1.891</v>
      </c>
      <c r="G3430" s="6">
        <v>4.98</v>
      </c>
    </row>
    <row r="3431" ht="15.75" customHeight="1" spans="1:7">
      <c r="A3431" s="4" t="s">
        <v>7976</v>
      </c>
      <c r="B3431" s="5" t="s">
        <v>7977</v>
      </c>
      <c r="C3431" s="4" t="s">
        <v>9</v>
      </c>
      <c r="D3431" s="475">
        <v>808.57</v>
      </c>
      <c r="E3431" s="476">
        <v>0.04367</v>
      </c>
      <c r="F3431" s="6">
        <v>2.2692</v>
      </c>
      <c r="G3431" s="6">
        <v>4.15</v>
      </c>
    </row>
    <row r="3432" ht="15.75" customHeight="1" spans="1:7">
      <c r="A3432" s="4" t="s">
        <v>7978</v>
      </c>
      <c r="B3432" s="5" t="s">
        <v>7979</v>
      </c>
      <c r="C3432" s="4" t="s">
        <v>9</v>
      </c>
      <c r="D3432" s="475">
        <v>1178.64</v>
      </c>
      <c r="E3432" s="476">
        <v>0.04367</v>
      </c>
      <c r="F3432" s="6">
        <v>2.8365</v>
      </c>
      <c r="G3432" s="6">
        <v>3.32</v>
      </c>
    </row>
    <row r="3433" ht="15.75" customHeight="1" spans="1:7">
      <c r="A3433" s="4" t="s">
        <v>7980</v>
      </c>
      <c r="B3433" s="5" t="s">
        <v>7981</v>
      </c>
      <c r="C3433" s="4" t="s">
        <v>9</v>
      </c>
      <c r="D3433" s="475">
        <v>281.8</v>
      </c>
      <c r="E3433" s="476">
        <v>0.04367</v>
      </c>
      <c r="F3433" s="6">
        <v>1.1346</v>
      </c>
      <c r="G3433" s="6">
        <v>8.3</v>
      </c>
    </row>
    <row r="3434" ht="15.75" customHeight="1" spans="1:7">
      <c r="A3434" s="4" t="s">
        <v>7982</v>
      </c>
      <c r="B3434" s="5" t="s">
        <v>7983</v>
      </c>
      <c r="C3434" s="4" t="s">
        <v>9</v>
      </c>
      <c r="D3434" s="475">
        <v>265.11</v>
      </c>
      <c r="E3434" s="476">
        <v>0.04367</v>
      </c>
      <c r="F3434" s="6">
        <v>1.1346</v>
      </c>
      <c r="G3434" s="6">
        <v>8.3</v>
      </c>
    </row>
    <row r="3435" ht="15.75" customHeight="1" spans="1:7">
      <c r="A3435" s="4" t="s">
        <v>7984</v>
      </c>
      <c r="B3435" s="5" t="s">
        <v>7985</v>
      </c>
      <c r="C3435" s="4" t="s">
        <v>9</v>
      </c>
      <c r="D3435" s="475">
        <v>458.48</v>
      </c>
      <c r="E3435" s="476">
        <v>0.04367</v>
      </c>
      <c r="F3435" s="6">
        <v>1.5128</v>
      </c>
      <c r="G3435" s="6">
        <v>6.225</v>
      </c>
    </row>
    <row r="3436" ht="15.75" customHeight="1" spans="1:7">
      <c r="A3436" s="4" t="s">
        <v>7986</v>
      </c>
      <c r="B3436" s="5" t="s">
        <v>7987</v>
      </c>
      <c r="C3436" s="4" t="s">
        <v>9</v>
      </c>
      <c r="D3436" s="475">
        <v>428.81</v>
      </c>
      <c r="E3436" s="476">
        <v>0.04367</v>
      </c>
      <c r="F3436" s="6">
        <v>1.5128</v>
      </c>
      <c r="G3436" s="6">
        <v>6.225</v>
      </c>
    </row>
    <row r="3437" ht="15.75" customHeight="1" spans="1:7">
      <c r="A3437" s="4" t="s">
        <v>7988</v>
      </c>
      <c r="B3437" s="5" t="s">
        <v>7989</v>
      </c>
      <c r="C3437" s="4" t="s">
        <v>9</v>
      </c>
      <c r="D3437" s="475">
        <v>636.14</v>
      </c>
      <c r="E3437" s="476">
        <v>0.04367</v>
      </c>
      <c r="F3437" s="6">
        <v>1.891</v>
      </c>
      <c r="G3437" s="6">
        <v>4.98</v>
      </c>
    </row>
    <row r="3438" ht="15.75" customHeight="1" spans="1:7">
      <c r="A3438" s="4" t="s">
        <v>7990</v>
      </c>
      <c r="B3438" s="5" t="s">
        <v>7991</v>
      </c>
      <c r="C3438" s="4" t="s">
        <v>9</v>
      </c>
      <c r="D3438" s="475">
        <v>589.74</v>
      </c>
      <c r="E3438" s="476">
        <v>0.04367</v>
      </c>
      <c r="F3438" s="6">
        <v>1.891</v>
      </c>
      <c r="G3438" s="6">
        <v>4.98</v>
      </c>
    </row>
    <row r="3439" ht="15.75" customHeight="1" spans="1:7">
      <c r="A3439" s="4" t="s">
        <v>7992</v>
      </c>
      <c r="B3439" s="5" t="s">
        <v>7993</v>
      </c>
      <c r="C3439" s="4" t="s">
        <v>9</v>
      </c>
      <c r="D3439" s="475">
        <v>953.62</v>
      </c>
      <c r="E3439" s="476">
        <v>0.04367</v>
      </c>
      <c r="F3439" s="6">
        <v>2.2692</v>
      </c>
      <c r="G3439" s="6">
        <v>4.15</v>
      </c>
    </row>
    <row r="3440" ht="15.75" customHeight="1" spans="1:7">
      <c r="A3440" s="4" t="s">
        <v>7994</v>
      </c>
      <c r="B3440" s="5" t="s">
        <v>7995</v>
      </c>
      <c r="C3440" s="4" t="s">
        <v>9</v>
      </c>
      <c r="D3440" s="475">
        <v>882.68</v>
      </c>
      <c r="E3440" s="476">
        <v>0.04367</v>
      </c>
      <c r="F3440" s="6">
        <v>2.2692</v>
      </c>
      <c r="G3440" s="6">
        <v>4.15</v>
      </c>
    </row>
    <row r="3441" ht="15.75" customHeight="1" spans="1:7">
      <c r="A3441" s="4" t="s">
        <v>7996</v>
      </c>
      <c r="B3441" s="5" t="s">
        <v>7997</v>
      </c>
      <c r="C3441" s="4" t="s">
        <v>9</v>
      </c>
      <c r="D3441" s="475">
        <v>1495.79</v>
      </c>
      <c r="E3441" s="476">
        <v>0.04367</v>
      </c>
      <c r="F3441" s="6">
        <v>2.8365</v>
      </c>
      <c r="G3441" s="6">
        <v>3.32</v>
      </c>
    </row>
    <row r="3442" ht="15.75" customHeight="1" spans="1:7">
      <c r="A3442" s="4" t="s">
        <v>7998</v>
      </c>
      <c r="B3442" s="5" t="s">
        <v>7999</v>
      </c>
      <c r="C3442" s="4" t="s">
        <v>9</v>
      </c>
      <c r="D3442" s="475">
        <v>1385.64</v>
      </c>
      <c r="E3442" s="476">
        <v>0.04367</v>
      </c>
      <c r="F3442" s="6">
        <v>2.8365</v>
      </c>
      <c r="G3442" s="6">
        <v>3.32</v>
      </c>
    </row>
    <row r="3443" ht="15.75" customHeight="1" spans="1:7">
      <c r="A3443" s="4" t="s">
        <v>8000</v>
      </c>
      <c r="B3443" s="5" t="s">
        <v>8001</v>
      </c>
      <c r="C3443" s="4" t="s">
        <v>9</v>
      </c>
      <c r="D3443" s="475">
        <v>273.27</v>
      </c>
      <c r="E3443" s="476">
        <v>0.04367</v>
      </c>
      <c r="F3443" s="6">
        <v>0.9455</v>
      </c>
      <c r="G3443" s="6">
        <v>9.96</v>
      </c>
    </row>
    <row r="3444" ht="15.75" customHeight="1" spans="1:7">
      <c r="A3444" s="4" t="s">
        <v>8002</v>
      </c>
      <c r="B3444" s="5" t="s">
        <v>8003</v>
      </c>
      <c r="C3444" s="4" t="s">
        <v>9</v>
      </c>
      <c r="D3444" s="475">
        <v>314.08</v>
      </c>
      <c r="E3444" s="476">
        <v>0.04367</v>
      </c>
      <c r="F3444" s="6">
        <v>1.1346</v>
      </c>
      <c r="G3444" s="6">
        <v>8.3</v>
      </c>
    </row>
    <row r="3445" ht="15.75" customHeight="1" spans="1:7">
      <c r="A3445" s="4" t="s">
        <v>8004</v>
      </c>
      <c r="B3445" s="5" t="s">
        <v>8005</v>
      </c>
      <c r="C3445" s="4" t="s">
        <v>9</v>
      </c>
      <c r="D3445" s="475">
        <v>467.31</v>
      </c>
      <c r="E3445" s="476">
        <v>0.04367</v>
      </c>
      <c r="F3445" s="6">
        <v>1.5128</v>
      </c>
      <c r="G3445" s="6">
        <v>6.225</v>
      </c>
    </row>
    <row r="3446" ht="15.75" customHeight="1" spans="1:7">
      <c r="A3446" s="4" t="s">
        <v>8006</v>
      </c>
      <c r="B3446" s="5" t="s">
        <v>8007</v>
      </c>
      <c r="C3446" s="4" t="s">
        <v>9</v>
      </c>
      <c r="D3446" s="475">
        <v>594.42</v>
      </c>
      <c r="E3446" s="476">
        <v>0.04367</v>
      </c>
      <c r="F3446" s="6">
        <v>1.891</v>
      </c>
      <c r="G3446" s="6">
        <v>4.98</v>
      </c>
    </row>
    <row r="3447" ht="15.75" customHeight="1" spans="1:7">
      <c r="A3447" s="4" t="s">
        <v>8008</v>
      </c>
      <c r="B3447" s="5" t="s">
        <v>8009</v>
      </c>
      <c r="C3447" s="4" t="s">
        <v>9</v>
      </c>
      <c r="D3447" s="475">
        <v>939.61</v>
      </c>
      <c r="E3447" s="476">
        <v>0.04367</v>
      </c>
      <c r="F3447" s="6">
        <v>2.2692</v>
      </c>
      <c r="G3447" s="6">
        <v>4.15</v>
      </c>
    </row>
    <row r="3448" ht="15.75" customHeight="1" spans="1:7">
      <c r="A3448" s="4" t="s">
        <v>8010</v>
      </c>
      <c r="B3448" s="5" t="s">
        <v>8011</v>
      </c>
      <c r="C3448" s="4" t="s">
        <v>9</v>
      </c>
      <c r="D3448" s="475">
        <v>1277.02</v>
      </c>
      <c r="E3448" s="476">
        <v>0.04367</v>
      </c>
      <c r="F3448" s="6">
        <v>2.8365</v>
      </c>
      <c r="G3448" s="6">
        <v>3.32</v>
      </c>
    </row>
    <row r="3449" ht="15.75" customHeight="1" spans="1:7">
      <c r="A3449" s="4" t="s">
        <v>8012</v>
      </c>
      <c r="B3449" s="5" t="s">
        <v>8013</v>
      </c>
      <c r="C3449" s="4" t="s">
        <v>9</v>
      </c>
      <c r="D3449" s="475">
        <v>339.15</v>
      </c>
      <c r="E3449" s="476">
        <v>0.04367</v>
      </c>
      <c r="F3449" s="6">
        <v>1.1346</v>
      </c>
      <c r="G3449" s="6">
        <v>8.3</v>
      </c>
    </row>
    <row r="3450" ht="15.75" customHeight="1" spans="1:7">
      <c r="A3450" s="4" t="s">
        <v>8014</v>
      </c>
      <c r="B3450" s="5" t="s">
        <v>8015</v>
      </c>
      <c r="C3450" s="4" t="s">
        <v>9</v>
      </c>
      <c r="D3450" s="475">
        <v>319.27</v>
      </c>
      <c r="E3450" s="476">
        <v>0.04367</v>
      </c>
      <c r="F3450" s="6">
        <v>1.1346</v>
      </c>
      <c r="G3450" s="6">
        <v>8.3</v>
      </c>
    </row>
    <row r="3451" ht="15.75" customHeight="1" spans="1:7">
      <c r="A3451" s="4" t="s">
        <v>8016</v>
      </c>
      <c r="B3451" s="5" t="s">
        <v>8017</v>
      </c>
      <c r="C3451" s="4" t="s">
        <v>9</v>
      </c>
      <c r="D3451" s="475">
        <v>527.78</v>
      </c>
      <c r="E3451" s="476">
        <v>0.04367</v>
      </c>
      <c r="F3451" s="6">
        <v>1.5128</v>
      </c>
      <c r="G3451" s="6">
        <v>6.225</v>
      </c>
    </row>
    <row r="3452" ht="15.75" customHeight="1" spans="1:7">
      <c r="A3452" s="4" t="s">
        <v>8018</v>
      </c>
      <c r="B3452" s="5" t="s">
        <v>8019</v>
      </c>
      <c r="C3452" s="4" t="s">
        <v>9</v>
      </c>
      <c r="D3452" s="475">
        <v>491.87</v>
      </c>
      <c r="E3452" s="476">
        <v>0.04367</v>
      </c>
      <c r="F3452" s="6">
        <v>1.5128</v>
      </c>
      <c r="G3452" s="6">
        <v>6.225</v>
      </c>
    </row>
    <row r="3453" ht="15.75" customHeight="1" spans="1:7">
      <c r="A3453" s="4" t="s">
        <v>8020</v>
      </c>
      <c r="B3453" s="5" t="s">
        <v>8021</v>
      </c>
      <c r="C3453" s="4" t="s">
        <v>9</v>
      </c>
      <c r="D3453" s="475">
        <v>785.73</v>
      </c>
      <c r="E3453" s="476">
        <v>0.04367</v>
      </c>
      <c r="F3453" s="6">
        <v>1.891</v>
      </c>
      <c r="G3453" s="6">
        <v>4.98</v>
      </c>
    </row>
    <row r="3454" ht="15.75" customHeight="1" spans="1:7">
      <c r="A3454" s="4" t="s">
        <v>8022</v>
      </c>
      <c r="B3454" s="5" t="s">
        <v>8023</v>
      </c>
      <c r="C3454" s="4" t="s">
        <v>9</v>
      </c>
      <c r="D3454" s="475">
        <v>731.57</v>
      </c>
      <c r="E3454" s="476">
        <v>0.04367</v>
      </c>
      <c r="F3454" s="6">
        <v>1.891</v>
      </c>
      <c r="G3454" s="6">
        <v>4.98</v>
      </c>
    </row>
    <row r="3455" ht="15.75" customHeight="1" spans="1:7">
      <c r="A3455" s="4" t="s">
        <v>8024</v>
      </c>
      <c r="B3455" s="5" t="s">
        <v>8025</v>
      </c>
      <c r="C3455" s="4" t="s">
        <v>9</v>
      </c>
      <c r="D3455" s="475">
        <v>1125.18</v>
      </c>
      <c r="E3455" s="476">
        <v>0.04367</v>
      </c>
      <c r="F3455" s="6">
        <v>2.2692</v>
      </c>
      <c r="G3455" s="6">
        <v>4.15</v>
      </c>
    </row>
    <row r="3456" ht="15.75" customHeight="1" spans="1:7">
      <c r="A3456" s="4" t="s">
        <v>8026</v>
      </c>
      <c r="B3456" s="5" t="s">
        <v>8027</v>
      </c>
      <c r="C3456" s="4" t="s">
        <v>9</v>
      </c>
      <c r="D3456" s="475">
        <v>1044.7</v>
      </c>
      <c r="E3456" s="476">
        <v>0.04367</v>
      </c>
      <c r="F3456" s="6">
        <v>2.2692</v>
      </c>
      <c r="G3456" s="6">
        <v>4.15</v>
      </c>
    </row>
    <row r="3457" ht="15.75" customHeight="1" spans="1:7">
      <c r="A3457" s="4" t="s">
        <v>8028</v>
      </c>
      <c r="B3457" s="5" t="s">
        <v>8029</v>
      </c>
      <c r="C3457" s="4" t="s">
        <v>9</v>
      </c>
      <c r="D3457" s="475">
        <v>1763.32</v>
      </c>
      <c r="E3457" s="476">
        <v>0.04367</v>
      </c>
      <c r="F3457" s="6">
        <v>2.8365</v>
      </c>
      <c r="G3457" s="6">
        <v>3.32</v>
      </c>
    </row>
    <row r="3458" ht="15.75" customHeight="1" spans="1:7">
      <c r="A3458" s="4" t="s">
        <v>8030</v>
      </c>
      <c r="B3458" s="5" t="s">
        <v>8031</v>
      </c>
      <c r="C3458" s="4" t="s">
        <v>9</v>
      </c>
      <c r="D3458" s="475">
        <v>1649.42</v>
      </c>
      <c r="E3458" s="476">
        <v>0.04367</v>
      </c>
      <c r="F3458" s="6">
        <v>2.8365</v>
      </c>
      <c r="G3458" s="6">
        <v>3.32</v>
      </c>
    </row>
    <row r="3459" ht="15.75" customHeight="1" spans="1:7">
      <c r="A3459" s="4" t="s">
        <v>8032</v>
      </c>
      <c r="B3459" s="5" t="s">
        <v>8033</v>
      </c>
      <c r="C3459" s="4" t="s">
        <v>9</v>
      </c>
      <c r="D3459" s="475">
        <v>98.35</v>
      </c>
      <c r="E3459" s="476">
        <v>0.04367</v>
      </c>
      <c r="F3459" s="6">
        <v>0.7564</v>
      </c>
      <c r="G3459" s="6">
        <v>12.45</v>
      </c>
    </row>
    <row r="3460" ht="15.75" customHeight="1" spans="1:7">
      <c r="A3460" s="4" t="s">
        <v>8034</v>
      </c>
      <c r="B3460" s="5" t="s">
        <v>8035</v>
      </c>
      <c r="C3460" s="4" t="s">
        <v>9</v>
      </c>
      <c r="D3460" s="475">
        <v>11.98</v>
      </c>
      <c r="E3460" s="476">
        <v>0.04722</v>
      </c>
      <c r="F3460" s="6">
        <v>0.1115</v>
      </c>
      <c r="G3460" s="6">
        <v>1</v>
      </c>
    </row>
    <row r="3461" ht="15.75" customHeight="1" spans="1:7">
      <c r="A3461" s="4" t="s">
        <v>8036</v>
      </c>
      <c r="B3461" s="5" t="s">
        <v>8037</v>
      </c>
      <c r="C3461" s="4" t="s">
        <v>9</v>
      </c>
      <c r="D3461" s="475">
        <v>17.34</v>
      </c>
      <c r="E3461" s="476">
        <v>0.04722</v>
      </c>
      <c r="F3461" s="6">
        <v>0.1115</v>
      </c>
      <c r="G3461" s="6">
        <v>1</v>
      </c>
    </row>
    <row r="3462" ht="15.75" customHeight="1" spans="1:7">
      <c r="A3462" s="4" t="s">
        <v>8038</v>
      </c>
      <c r="B3462" s="5" t="s">
        <v>8039</v>
      </c>
      <c r="C3462" s="4" t="s">
        <v>9</v>
      </c>
      <c r="D3462" s="475">
        <v>1465.79</v>
      </c>
      <c r="E3462" s="476">
        <v>0.04367</v>
      </c>
      <c r="F3462" s="6">
        <v>0.1323</v>
      </c>
      <c r="G3462" s="6">
        <v>75</v>
      </c>
    </row>
    <row r="3463" ht="15.75" customHeight="1" spans="1:7">
      <c r="A3463" s="4" t="s">
        <v>8040</v>
      </c>
      <c r="B3463" s="5" t="s">
        <v>8041</v>
      </c>
      <c r="C3463" s="4" t="s">
        <v>9</v>
      </c>
      <c r="D3463" s="475">
        <v>1509.38</v>
      </c>
      <c r="E3463" s="476">
        <v>0.04367</v>
      </c>
      <c r="F3463" s="6">
        <v>0.1378</v>
      </c>
      <c r="G3463" s="6">
        <v>72</v>
      </c>
    </row>
    <row r="3464" ht="15.75" customHeight="1" spans="1:7">
      <c r="A3464" s="4" t="s">
        <v>8042</v>
      </c>
      <c r="B3464" s="5" t="s">
        <v>8043</v>
      </c>
      <c r="C3464" s="4" t="s">
        <v>9</v>
      </c>
      <c r="D3464" s="475">
        <v>2001.81</v>
      </c>
      <c r="E3464" s="476">
        <v>0.04367</v>
      </c>
      <c r="F3464" s="6">
        <v>0.1459</v>
      </c>
      <c r="G3464" s="6">
        <v>68</v>
      </c>
    </row>
    <row r="3465" ht="15.75" customHeight="1" spans="1:7">
      <c r="A3465" s="4" t="s">
        <v>8044</v>
      </c>
      <c r="B3465" s="5" t="s">
        <v>8045</v>
      </c>
      <c r="C3465" s="4" t="s">
        <v>9</v>
      </c>
      <c r="D3465" s="475">
        <v>3648.8</v>
      </c>
      <c r="E3465" s="476">
        <v>0.04367</v>
      </c>
      <c r="F3465" s="6">
        <v>0.1653</v>
      </c>
      <c r="G3465" s="6">
        <v>60</v>
      </c>
    </row>
    <row r="3466" ht="15.75" customHeight="1" spans="1:7">
      <c r="A3466" s="4" t="s">
        <v>8046</v>
      </c>
      <c r="B3466" s="5" t="s">
        <v>8047</v>
      </c>
      <c r="C3466" s="4" t="s">
        <v>9</v>
      </c>
      <c r="D3466" s="475">
        <v>214.76</v>
      </c>
      <c r="E3466" s="476">
        <v>0.04367</v>
      </c>
      <c r="F3466" s="6">
        <v>0.0224</v>
      </c>
      <c r="G3466" s="6">
        <v>150</v>
      </c>
    </row>
    <row r="3467" ht="15.75" customHeight="1" spans="1:7">
      <c r="A3467" s="4" t="s">
        <v>8048</v>
      </c>
      <c r="B3467" s="5" t="s">
        <v>8049</v>
      </c>
      <c r="C3467" s="4" t="s">
        <v>9</v>
      </c>
      <c r="D3467" s="475">
        <v>286.21</v>
      </c>
      <c r="E3467" s="476">
        <v>0.04367</v>
      </c>
      <c r="F3467" s="6">
        <v>0.0258</v>
      </c>
      <c r="G3467" s="6">
        <v>130</v>
      </c>
    </row>
    <row r="3468" ht="15.75" customHeight="1" spans="1:7">
      <c r="A3468" s="4" t="s">
        <v>8050</v>
      </c>
      <c r="B3468" s="5" t="s">
        <v>8051</v>
      </c>
      <c r="C3468" s="4" t="s">
        <v>9</v>
      </c>
      <c r="D3468" s="475">
        <v>383.97</v>
      </c>
      <c r="E3468" s="476">
        <v>0.04367</v>
      </c>
      <c r="F3468" s="6">
        <v>0.0827</v>
      </c>
      <c r="G3468" s="6">
        <v>120</v>
      </c>
    </row>
    <row r="3469" ht="15.75" customHeight="1" spans="1:7">
      <c r="A3469" s="4" t="s">
        <v>8052</v>
      </c>
      <c r="B3469" s="5" t="s">
        <v>8053</v>
      </c>
      <c r="C3469" s="4" t="s">
        <v>9</v>
      </c>
      <c r="D3469" s="475">
        <v>531.52</v>
      </c>
      <c r="E3469" s="476">
        <v>0.04367</v>
      </c>
      <c r="F3469" s="6">
        <v>0.0973</v>
      </c>
      <c r="G3469" s="6">
        <v>102</v>
      </c>
    </row>
    <row r="3470" ht="15.75" customHeight="1" spans="1:7">
      <c r="A3470" s="4" t="s">
        <v>8054</v>
      </c>
      <c r="B3470" s="5" t="s">
        <v>8055</v>
      </c>
      <c r="C3470" s="4" t="s">
        <v>9</v>
      </c>
      <c r="D3470" s="475">
        <v>785.42</v>
      </c>
      <c r="E3470" s="476">
        <v>0.04367</v>
      </c>
      <c r="F3470" s="6">
        <v>0.1127</v>
      </c>
      <c r="G3470" s="6">
        <v>88</v>
      </c>
    </row>
    <row r="3471" ht="15.75" customHeight="1" spans="1:7">
      <c r="A3471" s="4" t="s">
        <v>8056</v>
      </c>
      <c r="B3471" s="5" t="s">
        <v>8057</v>
      </c>
      <c r="C3471" s="4" t="s">
        <v>9</v>
      </c>
      <c r="D3471" s="475">
        <v>829.18</v>
      </c>
      <c r="E3471" s="476">
        <v>0.04367</v>
      </c>
      <c r="F3471" s="6">
        <v>0.1181</v>
      </c>
      <c r="G3471" s="6">
        <v>84</v>
      </c>
    </row>
    <row r="3472" ht="15.75" customHeight="1" spans="1:7">
      <c r="A3472" s="4" t="s">
        <v>8058</v>
      </c>
      <c r="B3472" s="5" t="s">
        <v>8059</v>
      </c>
      <c r="C3472" s="4" t="s">
        <v>9</v>
      </c>
      <c r="D3472" s="475">
        <v>1407.64</v>
      </c>
      <c r="E3472" s="476">
        <v>0.04367</v>
      </c>
      <c r="F3472" s="6">
        <v>0.1272</v>
      </c>
      <c r="G3472" s="6">
        <v>78</v>
      </c>
    </row>
    <row r="3473" ht="15.75" customHeight="1" spans="1:7">
      <c r="A3473" s="4" t="s">
        <v>8060</v>
      </c>
      <c r="B3473" s="5" t="s">
        <v>8061</v>
      </c>
      <c r="C3473" s="4" t="s">
        <v>9</v>
      </c>
      <c r="D3473" s="475">
        <v>14.43</v>
      </c>
      <c r="E3473" s="476">
        <v>0</v>
      </c>
      <c r="F3473" s="6">
        <v>0</v>
      </c>
      <c r="G3473" s="6">
        <v>1</v>
      </c>
    </row>
    <row r="3474" ht="15.75" customHeight="1" spans="1:7">
      <c r="A3474" s="4" t="s">
        <v>8062</v>
      </c>
      <c r="B3474" s="5" t="s">
        <v>8063</v>
      </c>
      <c r="C3474" s="4" t="s">
        <v>9</v>
      </c>
      <c r="D3474" s="475">
        <v>17.85</v>
      </c>
      <c r="E3474" s="476">
        <v>0</v>
      </c>
      <c r="F3474" s="6">
        <v>0</v>
      </c>
      <c r="G3474" s="6">
        <v>1</v>
      </c>
    </row>
    <row r="3475" ht="15.75" customHeight="1" spans="1:7">
      <c r="A3475" s="4" t="s">
        <v>8064</v>
      </c>
      <c r="B3475" s="5" t="s">
        <v>8065</v>
      </c>
      <c r="C3475" s="4" t="s">
        <v>9</v>
      </c>
      <c r="D3475" s="475">
        <v>99.98</v>
      </c>
      <c r="E3475" s="476">
        <v>0</v>
      </c>
      <c r="F3475" s="6">
        <v>0</v>
      </c>
      <c r="G3475" s="6">
        <v>1</v>
      </c>
    </row>
    <row r="3476" ht="15.75" customHeight="1" spans="1:7">
      <c r="A3476" s="4" t="s">
        <v>8066</v>
      </c>
      <c r="B3476" s="5" t="s">
        <v>8067</v>
      </c>
      <c r="C3476" s="4" t="s">
        <v>9</v>
      </c>
      <c r="D3476" s="475">
        <v>84.55</v>
      </c>
      <c r="E3476" s="476">
        <v>0</v>
      </c>
      <c r="F3476" s="6">
        <v>0</v>
      </c>
      <c r="G3476" s="6">
        <v>1</v>
      </c>
    </row>
    <row r="3477" ht="15.75" customHeight="1" spans="1:7">
      <c r="A3477" s="4" t="s">
        <v>8068</v>
      </c>
      <c r="B3477" s="5" t="s">
        <v>8069</v>
      </c>
      <c r="C3477" s="4" t="s">
        <v>9</v>
      </c>
      <c r="D3477" s="475">
        <v>125.4</v>
      </c>
      <c r="E3477" s="476">
        <v>0</v>
      </c>
      <c r="F3477" s="6">
        <v>0</v>
      </c>
      <c r="G3477" s="6">
        <v>1</v>
      </c>
    </row>
    <row r="3478" ht="15.75" customHeight="1" spans="1:7">
      <c r="A3478" s="4" t="s">
        <v>8070</v>
      </c>
      <c r="B3478" s="5" t="s">
        <v>8071</v>
      </c>
      <c r="C3478" s="4" t="s">
        <v>9</v>
      </c>
      <c r="D3478" s="475">
        <v>106.1</v>
      </c>
      <c r="E3478" s="476">
        <v>0</v>
      </c>
      <c r="F3478" s="6">
        <v>0</v>
      </c>
      <c r="G3478" s="6">
        <v>1</v>
      </c>
    </row>
    <row r="3479" ht="15.75" customHeight="1" spans="1:7">
      <c r="A3479" s="4" t="s">
        <v>8072</v>
      </c>
      <c r="B3479" s="5" t="s">
        <v>8073</v>
      </c>
      <c r="C3479" s="4" t="s">
        <v>9</v>
      </c>
      <c r="D3479" s="475">
        <v>45.6</v>
      </c>
      <c r="E3479" s="476">
        <v>0</v>
      </c>
      <c r="F3479" s="6">
        <v>0</v>
      </c>
      <c r="G3479" s="6">
        <v>1</v>
      </c>
    </row>
    <row r="3480" ht="15.75" customHeight="1" spans="1:7">
      <c r="A3480" s="4" t="s">
        <v>8074</v>
      </c>
      <c r="B3480" s="5" t="s">
        <v>8075</v>
      </c>
      <c r="C3480" s="4" t="s">
        <v>9</v>
      </c>
      <c r="D3480" s="475">
        <v>57.63</v>
      </c>
      <c r="E3480" s="476">
        <v>0</v>
      </c>
      <c r="F3480" s="6">
        <v>0</v>
      </c>
      <c r="G3480" s="6">
        <v>1</v>
      </c>
    </row>
    <row r="3481" ht="15.75" customHeight="1" spans="1:7">
      <c r="A3481" s="4" t="s">
        <v>8076</v>
      </c>
      <c r="B3481" s="5" t="s">
        <v>8077</v>
      </c>
      <c r="C3481" s="4" t="s">
        <v>9</v>
      </c>
      <c r="D3481" s="475">
        <v>14.43</v>
      </c>
      <c r="E3481" s="476">
        <v>0</v>
      </c>
      <c r="F3481" s="6">
        <v>0</v>
      </c>
      <c r="G3481" s="6">
        <v>1</v>
      </c>
    </row>
    <row r="3482" ht="15.75" customHeight="1" spans="1:7">
      <c r="A3482" s="4" t="s">
        <v>8078</v>
      </c>
      <c r="B3482" s="5" t="s">
        <v>8079</v>
      </c>
      <c r="C3482" s="4" t="s">
        <v>9</v>
      </c>
      <c r="D3482" s="475">
        <v>17.85</v>
      </c>
      <c r="E3482" s="476">
        <v>0</v>
      </c>
      <c r="F3482" s="6">
        <v>0</v>
      </c>
      <c r="G3482" s="6">
        <v>1</v>
      </c>
    </row>
    <row r="3483" ht="15.75" customHeight="1" spans="1:7">
      <c r="A3483" s="4" t="s">
        <v>8080</v>
      </c>
      <c r="B3483" s="5" t="s">
        <v>8081</v>
      </c>
      <c r="C3483" s="4" t="s">
        <v>9</v>
      </c>
      <c r="D3483" s="475">
        <v>99.98</v>
      </c>
      <c r="E3483" s="476">
        <v>0</v>
      </c>
      <c r="F3483" s="6">
        <v>0</v>
      </c>
      <c r="G3483" s="6">
        <v>1</v>
      </c>
    </row>
    <row r="3484" ht="15.75" customHeight="1" spans="1:7">
      <c r="A3484" s="4" t="s">
        <v>8082</v>
      </c>
      <c r="B3484" s="5" t="s">
        <v>8083</v>
      </c>
      <c r="C3484" s="4" t="s">
        <v>9</v>
      </c>
      <c r="D3484" s="475">
        <v>84.55</v>
      </c>
      <c r="E3484" s="476">
        <v>0</v>
      </c>
      <c r="F3484" s="6">
        <v>0</v>
      </c>
      <c r="G3484" s="6">
        <v>1</v>
      </c>
    </row>
    <row r="3485" ht="15.75" customHeight="1" spans="1:7">
      <c r="A3485" s="4" t="s">
        <v>8084</v>
      </c>
      <c r="B3485" s="5" t="s">
        <v>8085</v>
      </c>
      <c r="C3485" s="4" t="s">
        <v>9</v>
      </c>
      <c r="D3485" s="475">
        <v>125.4</v>
      </c>
      <c r="E3485" s="476">
        <v>0</v>
      </c>
      <c r="F3485" s="6">
        <v>0</v>
      </c>
      <c r="G3485" s="6">
        <v>1</v>
      </c>
    </row>
    <row r="3486" ht="15.75" customHeight="1" spans="1:7">
      <c r="A3486" s="4" t="s">
        <v>8086</v>
      </c>
      <c r="B3486" s="5" t="s">
        <v>8087</v>
      </c>
      <c r="C3486" s="4" t="s">
        <v>9</v>
      </c>
      <c r="D3486" s="475">
        <v>106.1</v>
      </c>
      <c r="E3486" s="476">
        <v>0</v>
      </c>
      <c r="F3486" s="6">
        <v>0</v>
      </c>
      <c r="G3486" s="6">
        <v>1</v>
      </c>
    </row>
    <row r="3487" ht="15.75" customHeight="1" spans="1:7">
      <c r="A3487" s="4" t="s">
        <v>8088</v>
      </c>
      <c r="B3487" s="5" t="s">
        <v>8089</v>
      </c>
      <c r="C3487" s="4" t="s">
        <v>9</v>
      </c>
      <c r="D3487" s="475">
        <v>45.6</v>
      </c>
      <c r="E3487" s="476">
        <v>0</v>
      </c>
      <c r="F3487" s="6">
        <v>0</v>
      </c>
      <c r="G3487" s="6">
        <v>1</v>
      </c>
    </row>
    <row r="3488" ht="15.75" customHeight="1" spans="1:7">
      <c r="A3488" s="4" t="s">
        <v>8090</v>
      </c>
      <c r="B3488" s="5" t="s">
        <v>8091</v>
      </c>
      <c r="C3488" s="4" t="s">
        <v>9</v>
      </c>
      <c r="D3488" s="475">
        <v>57.63</v>
      </c>
      <c r="E3488" s="476">
        <v>0</v>
      </c>
      <c r="F3488" s="6">
        <v>0</v>
      </c>
      <c r="G3488" s="6">
        <v>1</v>
      </c>
    </row>
    <row r="3489" ht="30" customHeight="1" spans="1:7">
      <c r="A3489" s="4" t="s">
        <v>8092</v>
      </c>
      <c r="B3489" s="5" t="s">
        <v>8093</v>
      </c>
      <c r="C3489" s="4" t="s">
        <v>7</v>
      </c>
      <c r="D3489" s="475">
        <v>571.27</v>
      </c>
      <c r="E3489" s="476">
        <v>0.04367</v>
      </c>
      <c r="F3489" s="6">
        <v>1.4493</v>
      </c>
      <c r="G3489" s="6">
        <v>9.96</v>
      </c>
    </row>
    <row r="3490" ht="30" customHeight="1" spans="1:7">
      <c r="A3490" s="4" t="s">
        <v>8094</v>
      </c>
      <c r="B3490" s="5" t="s">
        <v>8095</v>
      </c>
      <c r="C3490" s="4" t="s">
        <v>7</v>
      </c>
      <c r="D3490" s="475">
        <v>642.41</v>
      </c>
      <c r="E3490" s="476">
        <v>0.04367</v>
      </c>
      <c r="F3490" s="6">
        <v>1.4493</v>
      </c>
      <c r="G3490" s="6">
        <v>9.96</v>
      </c>
    </row>
    <row r="3491" ht="30" customHeight="1" spans="1:7">
      <c r="A3491" s="4" t="s">
        <v>8096</v>
      </c>
      <c r="B3491" s="5" t="s">
        <v>8097</v>
      </c>
      <c r="C3491" s="4" t="s">
        <v>7</v>
      </c>
      <c r="D3491" s="475">
        <v>713.56</v>
      </c>
      <c r="E3491" s="476">
        <v>0.04367</v>
      </c>
      <c r="F3491" s="6">
        <v>1.4493</v>
      </c>
      <c r="G3491" s="6">
        <v>9.96</v>
      </c>
    </row>
    <row r="3492" ht="30" customHeight="1" spans="1:7">
      <c r="A3492" s="4" t="s">
        <v>8098</v>
      </c>
      <c r="B3492" s="5" t="s">
        <v>8099</v>
      </c>
      <c r="C3492" s="4" t="s">
        <v>7</v>
      </c>
      <c r="D3492" s="475">
        <v>233.93</v>
      </c>
      <c r="E3492" s="476">
        <v>0.04367</v>
      </c>
      <c r="F3492" s="6">
        <v>6.0869</v>
      </c>
      <c r="G3492" s="6">
        <v>1</v>
      </c>
    </row>
    <row r="3493" ht="15.75" customHeight="1" spans="1:7">
      <c r="A3493" s="4" t="s">
        <v>8100</v>
      </c>
      <c r="B3493" s="5" t="s">
        <v>8101</v>
      </c>
      <c r="C3493" s="4" t="s">
        <v>99</v>
      </c>
      <c r="D3493" s="475">
        <v>31.69</v>
      </c>
      <c r="E3493" s="476">
        <v>0</v>
      </c>
      <c r="F3493" s="6">
        <v>0</v>
      </c>
      <c r="G3493" s="6">
        <v>1</v>
      </c>
    </row>
    <row r="3494" ht="15.75" customHeight="1" spans="1:7">
      <c r="A3494" s="4" t="s">
        <v>8102</v>
      </c>
      <c r="B3494" s="5" t="s">
        <v>8103</v>
      </c>
      <c r="C3494" s="4" t="s">
        <v>99</v>
      </c>
      <c r="D3494" s="475">
        <v>23.57</v>
      </c>
      <c r="E3494" s="476">
        <v>0</v>
      </c>
      <c r="F3494" s="6">
        <v>0</v>
      </c>
      <c r="G3494" s="6">
        <v>1</v>
      </c>
    </row>
    <row r="3495" ht="15.75" customHeight="1" spans="1:7">
      <c r="A3495" s="4" t="s">
        <v>8104</v>
      </c>
      <c r="B3495" s="5" t="s">
        <v>8105</v>
      </c>
      <c r="C3495" s="4" t="s">
        <v>99</v>
      </c>
      <c r="D3495" s="475">
        <v>21.82</v>
      </c>
      <c r="E3495" s="476">
        <v>0</v>
      </c>
      <c r="F3495" s="6">
        <v>0</v>
      </c>
      <c r="G3495" s="6">
        <v>1</v>
      </c>
    </row>
    <row r="3496" ht="15.75" customHeight="1" spans="1:7">
      <c r="A3496" s="4" t="s">
        <v>8106</v>
      </c>
      <c r="B3496" s="5" t="s">
        <v>8107</v>
      </c>
      <c r="C3496" s="4" t="s">
        <v>99</v>
      </c>
      <c r="D3496" s="475">
        <v>22.12</v>
      </c>
      <c r="E3496" s="476">
        <v>0</v>
      </c>
      <c r="F3496" s="6">
        <v>0</v>
      </c>
      <c r="G3496" s="6">
        <v>1</v>
      </c>
    </row>
    <row r="3497" ht="15.75" customHeight="1" spans="1:7">
      <c r="A3497" s="4" t="s">
        <v>8108</v>
      </c>
      <c r="B3497" s="5" t="s">
        <v>8109</v>
      </c>
      <c r="C3497" s="4" t="s">
        <v>99</v>
      </c>
      <c r="D3497" s="475">
        <v>50.41</v>
      </c>
      <c r="E3497" s="476">
        <v>0</v>
      </c>
      <c r="F3497" s="6">
        <v>0</v>
      </c>
      <c r="G3497" s="6">
        <v>1</v>
      </c>
    </row>
    <row r="3498" ht="15.75" customHeight="1" spans="1:7">
      <c r="A3498" s="4" t="s">
        <v>8110</v>
      </c>
      <c r="B3498" s="5" t="s">
        <v>8111</v>
      </c>
      <c r="C3498" s="4" t="s">
        <v>99</v>
      </c>
      <c r="D3498" s="475">
        <v>37.78</v>
      </c>
      <c r="E3498" s="476">
        <v>0</v>
      </c>
      <c r="F3498" s="6">
        <v>0</v>
      </c>
      <c r="G3498" s="6">
        <v>1</v>
      </c>
    </row>
    <row r="3499" ht="15.75" customHeight="1" spans="1:7">
      <c r="A3499" s="4" t="s">
        <v>8112</v>
      </c>
      <c r="B3499" s="5" t="s">
        <v>8113</v>
      </c>
      <c r="C3499" s="4" t="s">
        <v>99</v>
      </c>
      <c r="D3499" s="475">
        <v>35.53</v>
      </c>
      <c r="E3499" s="476">
        <v>0</v>
      </c>
      <c r="F3499" s="6">
        <v>0</v>
      </c>
      <c r="G3499" s="6">
        <v>1</v>
      </c>
    </row>
    <row r="3500" ht="15.75" customHeight="1" spans="1:7">
      <c r="A3500" s="4" t="s">
        <v>8114</v>
      </c>
      <c r="B3500" s="5" t="s">
        <v>8115</v>
      </c>
      <c r="C3500" s="4" t="s">
        <v>99</v>
      </c>
      <c r="D3500" s="475">
        <v>37.06</v>
      </c>
      <c r="E3500" s="476">
        <v>0</v>
      </c>
      <c r="F3500" s="6">
        <v>0</v>
      </c>
      <c r="G3500" s="6">
        <v>1</v>
      </c>
    </row>
    <row r="3501" ht="30" customHeight="1" spans="1:7">
      <c r="A3501" s="4" t="s">
        <v>8116</v>
      </c>
      <c r="B3501" s="5" t="s">
        <v>8117</v>
      </c>
      <c r="C3501" s="4" t="s">
        <v>7</v>
      </c>
      <c r="D3501" s="475">
        <v>160.82</v>
      </c>
      <c r="E3501" s="476">
        <v>0.04367</v>
      </c>
      <c r="F3501" s="6">
        <v>5.3958</v>
      </c>
      <c r="G3501" s="6">
        <v>1</v>
      </c>
    </row>
    <row r="3502" ht="30" customHeight="1" spans="1:7">
      <c r="A3502" s="4" t="s">
        <v>8118</v>
      </c>
      <c r="B3502" s="5" t="s">
        <v>8119</v>
      </c>
      <c r="C3502" s="4" t="s">
        <v>7</v>
      </c>
      <c r="D3502" s="475">
        <v>213.52</v>
      </c>
      <c r="E3502" s="476">
        <v>0.04367</v>
      </c>
      <c r="F3502" s="6">
        <v>5.3958</v>
      </c>
      <c r="G3502" s="6">
        <v>1</v>
      </c>
    </row>
    <row r="3503" ht="30" customHeight="1" spans="1:7">
      <c r="A3503" s="4" t="s">
        <v>8120</v>
      </c>
      <c r="B3503" s="5" t="s">
        <v>8121</v>
      </c>
      <c r="C3503" s="4" t="s">
        <v>99</v>
      </c>
      <c r="D3503" s="475">
        <v>3.43</v>
      </c>
      <c r="E3503" s="476">
        <v>0</v>
      </c>
      <c r="F3503" s="6">
        <v>0</v>
      </c>
      <c r="G3503" s="6">
        <v>39.06</v>
      </c>
    </row>
    <row r="3504" ht="30" customHeight="1" spans="1:7">
      <c r="A3504" s="4" t="s">
        <v>8122</v>
      </c>
      <c r="B3504" s="5" t="s">
        <v>8123</v>
      </c>
      <c r="C3504" s="4" t="s">
        <v>82</v>
      </c>
      <c r="D3504" s="475">
        <v>17.73</v>
      </c>
      <c r="E3504" s="476">
        <v>0</v>
      </c>
      <c r="F3504" s="6">
        <v>0</v>
      </c>
      <c r="G3504" s="6">
        <v>10</v>
      </c>
    </row>
    <row r="3505" ht="30" customHeight="1" spans="1:7">
      <c r="A3505" s="4" t="s">
        <v>8124</v>
      </c>
      <c r="B3505" s="5" t="s">
        <v>8125</v>
      </c>
      <c r="C3505" s="4" t="s">
        <v>82</v>
      </c>
      <c r="D3505" s="475">
        <v>16.73</v>
      </c>
      <c r="E3505" s="476">
        <v>0</v>
      </c>
      <c r="F3505" s="6">
        <v>0</v>
      </c>
      <c r="G3505" s="6">
        <v>12</v>
      </c>
    </row>
    <row r="3506" ht="15.75" customHeight="1" spans="1:7">
      <c r="A3506" s="4" t="s">
        <v>8126</v>
      </c>
      <c r="B3506" s="5" t="s">
        <v>8127</v>
      </c>
      <c r="C3506" s="4" t="s">
        <v>99</v>
      </c>
      <c r="D3506" s="475">
        <v>57.7</v>
      </c>
      <c r="E3506" s="476">
        <v>0</v>
      </c>
      <c r="F3506" s="6">
        <v>0</v>
      </c>
      <c r="G3506" s="6">
        <v>1</v>
      </c>
    </row>
    <row r="3507" ht="15.75" customHeight="1" spans="1:7">
      <c r="A3507" s="4" t="s">
        <v>8128</v>
      </c>
      <c r="B3507" s="5" t="s">
        <v>8129</v>
      </c>
      <c r="C3507" s="4" t="s">
        <v>9</v>
      </c>
      <c r="D3507" s="475">
        <v>39.31</v>
      </c>
      <c r="E3507" s="476">
        <v>0</v>
      </c>
      <c r="F3507" s="6">
        <v>0</v>
      </c>
      <c r="G3507" s="6">
        <v>1</v>
      </c>
    </row>
    <row r="3508" ht="15.75" customHeight="1" spans="1:7">
      <c r="A3508" s="4" t="s">
        <v>8130</v>
      </c>
      <c r="B3508" s="5" t="s">
        <v>8131</v>
      </c>
      <c r="C3508" s="4" t="s">
        <v>9</v>
      </c>
      <c r="D3508" s="475">
        <v>19.88</v>
      </c>
      <c r="E3508" s="476">
        <v>0</v>
      </c>
      <c r="F3508" s="6">
        <v>0</v>
      </c>
      <c r="G3508" s="6">
        <v>1</v>
      </c>
    </row>
    <row r="3509" ht="15.75" customHeight="1" spans="1:7">
      <c r="A3509" s="4" t="s">
        <v>8132</v>
      </c>
      <c r="B3509" s="5" t="s">
        <v>8133</v>
      </c>
      <c r="C3509" s="4" t="s">
        <v>9</v>
      </c>
      <c r="D3509" s="475">
        <v>24.45</v>
      </c>
      <c r="E3509" s="476">
        <v>0</v>
      </c>
      <c r="F3509" s="6">
        <v>0</v>
      </c>
      <c r="G3509" s="6">
        <v>1</v>
      </c>
    </row>
    <row r="3510" ht="15.75" customHeight="1" spans="1:7">
      <c r="A3510" s="4" t="s">
        <v>8134</v>
      </c>
      <c r="B3510" s="5" t="s">
        <v>8135</v>
      </c>
      <c r="C3510" s="4" t="s">
        <v>9</v>
      </c>
      <c r="D3510" s="475">
        <v>32.08</v>
      </c>
      <c r="E3510" s="476">
        <v>0</v>
      </c>
      <c r="F3510" s="6">
        <v>0</v>
      </c>
      <c r="G3510" s="6">
        <v>1</v>
      </c>
    </row>
    <row r="3511" ht="15.75" customHeight="1" spans="1:7">
      <c r="A3511" s="4" t="s">
        <v>8136</v>
      </c>
      <c r="B3511" s="5" t="s">
        <v>8137</v>
      </c>
      <c r="C3511" s="4" t="s">
        <v>9</v>
      </c>
      <c r="D3511" s="475">
        <v>50.25</v>
      </c>
      <c r="E3511" s="476">
        <v>0</v>
      </c>
      <c r="F3511" s="6">
        <v>0</v>
      </c>
      <c r="G3511" s="6">
        <v>1</v>
      </c>
    </row>
    <row r="3512" ht="15.75" customHeight="1" spans="1:7">
      <c r="A3512" s="4" t="s">
        <v>8138</v>
      </c>
      <c r="B3512" s="5" t="s">
        <v>8139</v>
      </c>
      <c r="C3512" s="4" t="s">
        <v>101</v>
      </c>
      <c r="D3512" s="475">
        <v>13.38</v>
      </c>
      <c r="E3512" s="476">
        <v>0</v>
      </c>
      <c r="F3512" s="6">
        <v>0</v>
      </c>
      <c r="G3512" s="6">
        <v>12.5</v>
      </c>
    </row>
    <row r="3513" ht="15.75" customHeight="1" spans="1:7">
      <c r="A3513" s="4" t="s">
        <v>8140</v>
      </c>
      <c r="B3513" s="5" t="s">
        <v>8141</v>
      </c>
      <c r="C3513" s="4" t="s">
        <v>99</v>
      </c>
      <c r="D3513" s="475">
        <v>274.48</v>
      </c>
      <c r="E3513" s="476">
        <v>0.11084</v>
      </c>
      <c r="F3513" s="6">
        <v>13.4802</v>
      </c>
      <c r="G3513" s="6">
        <v>0.45865</v>
      </c>
    </row>
    <row r="3514" ht="15.75" customHeight="1" spans="1:7">
      <c r="A3514" s="4" t="s">
        <v>8142</v>
      </c>
      <c r="B3514" s="5" t="s">
        <v>8143</v>
      </c>
      <c r="C3514" s="4" t="s">
        <v>99</v>
      </c>
      <c r="D3514" s="475">
        <v>632.25</v>
      </c>
      <c r="E3514" s="476">
        <v>0.11084</v>
      </c>
      <c r="F3514" s="6">
        <v>32.3893</v>
      </c>
      <c r="G3514" s="6">
        <v>0.15457</v>
      </c>
    </row>
    <row r="3515" ht="15.75" customHeight="1" spans="1:7">
      <c r="A3515" s="4" t="s">
        <v>8144</v>
      </c>
      <c r="B3515" s="5" t="s">
        <v>8145</v>
      </c>
      <c r="C3515" s="4" t="s">
        <v>99</v>
      </c>
      <c r="D3515" s="475">
        <v>95.77</v>
      </c>
      <c r="E3515" s="476">
        <v>0.13329</v>
      </c>
      <c r="F3515" s="6">
        <v>1.0722</v>
      </c>
      <c r="G3515" s="6">
        <v>10.81</v>
      </c>
    </row>
    <row r="3516" ht="15.75" customHeight="1" spans="1:7">
      <c r="A3516" s="4" t="s">
        <v>8146</v>
      </c>
      <c r="B3516" s="5" t="s">
        <v>8147</v>
      </c>
      <c r="C3516" s="4" t="s">
        <v>9</v>
      </c>
      <c r="D3516" s="475">
        <v>7759.24</v>
      </c>
      <c r="E3516" s="476">
        <v>0.13329</v>
      </c>
      <c r="F3516" s="6">
        <v>25.9083</v>
      </c>
      <c r="G3516" s="6">
        <v>4.648</v>
      </c>
    </row>
    <row r="3517" ht="15.75" customHeight="1" spans="1:7">
      <c r="A3517" s="4" t="s">
        <v>8148</v>
      </c>
      <c r="B3517" s="5" t="s">
        <v>8149</v>
      </c>
      <c r="C3517" s="4" t="s">
        <v>9</v>
      </c>
      <c r="D3517" s="475">
        <v>7375.38</v>
      </c>
      <c r="E3517" s="476">
        <v>0.13329</v>
      </c>
      <c r="F3517" s="6">
        <v>1.9727</v>
      </c>
      <c r="G3517" s="6">
        <v>23.24</v>
      </c>
    </row>
    <row r="3518" ht="15.75" customHeight="1" spans="1:7">
      <c r="A3518" s="4" t="s">
        <v>8150</v>
      </c>
      <c r="B3518" s="5" t="s">
        <v>8151</v>
      </c>
      <c r="C3518" s="4" t="s">
        <v>9</v>
      </c>
      <c r="D3518" s="475">
        <v>7834.57</v>
      </c>
      <c r="E3518" s="476">
        <v>0.13329</v>
      </c>
      <c r="F3518" s="6">
        <v>26.8679</v>
      </c>
      <c r="G3518" s="6">
        <v>4.482</v>
      </c>
    </row>
    <row r="3519" ht="15.75" customHeight="1" spans="1:7">
      <c r="A3519" s="4" t="s">
        <v>8152</v>
      </c>
      <c r="B3519" s="5" t="s">
        <v>8153</v>
      </c>
      <c r="C3519" s="4" t="s">
        <v>9</v>
      </c>
      <c r="D3519" s="475">
        <v>7436.49</v>
      </c>
      <c r="E3519" s="476">
        <v>0.13329</v>
      </c>
      <c r="F3519" s="6">
        <v>2.0458</v>
      </c>
      <c r="G3519" s="6">
        <v>22.41</v>
      </c>
    </row>
    <row r="3520" ht="15.75" customHeight="1" spans="1:7">
      <c r="A3520" s="4" t="s">
        <v>8154</v>
      </c>
      <c r="B3520" s="5" t="s">
        <v>8155</v>
      </c>
      <c r="C3520" s="4" t="s">
        <v>9</v>
      </c>
      <c r="D3520" s="475">
        <v>7913.03</v>
      </c>
      <c r="E3520" s="476">
        <v>0.13329</v>
      </c>
      <c r="F3520" s="6">
        <v>27.9013</v>
      </c>
      <c r="G3520" s="6">
        <v>4.316</v>
      </c>
    </row>
    <row r="3521" ht="15.75" customHeight="1" spans="1:7">
      <c r="A3521" s="4" t="s">
        <v>8156</v>
      </c>
      <c r="B3521" s="5" t="s">
        <v>8157</v>
      </c>
      <c r="C3521" s="4" t="s">
        <v>9</v>
      </c>
      <c r="D3521" s="475">
        <v>7499.64</v>
      </c>
      <c r="E3521" s="476">
        <v>0.13329</v>
      </c>
      <c r="F3521" s="6">
        <v>2.1245</v>
      </c>
      <c r="G3521" s="6">
        <v>21.58</v>
      </c>
    </row>
    <row r="3522" ht="15.75" customHeight="1" spans="1:7">
      <c r="A3522" s="4" t="s">
        <v>8158</v>
      </c>
      <c r="B3522" s="5" t="s">
        <v>8159</v>
      </c>
      <c r="C3522" s="4" t="s">
        <v>9</v>
      </c>
      <c r="D3522" s="475">
        <v>7990.85</v>
      </c>
      <c r="E3522" s="476">
        <v>0.13329</v>
      </c>
      <c r="F3522" s="6">
        <v>29.0173</v>
      </c>
      <c r="G3522" s="6">
        <v>4.15</v>
      </c>
    </row>
    <row r="3523" ht="15.75" customHeight="1" spans="1:7">
      <c r="A3523" s="4" t="s">
        <v>8160</v>
      </c>
      <c r="B3523" s="5" t="s">
        <v>8161</v>
      </c>
      <c r="C3523" s="4" t="s">
        <v>9</v>
      </c>
      <c r="D3523" s="475">
        <v>7560.92</v>
      </c>
      <c r="E3523" s="476">
        <v>0.13329</v>
      </c>
      <c r="F3523" s="6">
        <v>2.2095</v>
      </c>
      <c r="G3523" s="6">
        <v>20.75</v>
      </c>
    </row>
    <row r="3524" ht="15.75" customHeight="1" spans="1:7">
      <c r="A3524" s="4" t="s">
        <v>8162</v>
      </c>
      <c r="B3524" s="5" t="s">
        <v>8163</v>
      </c>
      <c r="C3524" s="4" t="s">
        <v>9</v>
      </c>
      <c r="D3524" s="475">
        <v>8070.22</v>
      </c>
      <c r="E3524" s="476">
        <v>0.13329</v>
      </c>
      <c r="F3524" s="6">
        <v>30.2264</v>
      </c>
      <c r="G3524" s="6">
        <v>3.984</v>
      </c>
    </row>
    <row r="3525" ht="15.75" customHeight="1" spans="1:7">
      <c r="A3525" s="4" t="s">
        <v>8164</v>
      </c>
      <c r="B3525" s="5" t="s">
        <v>8165</v>
      </c>
      <c r="C3525" s="4" t="s">
        <v>9</v>
      </c>
      <c r="D3525" s="475">
        <v>7622.38</v>
      </c>
      <c r="E3525" s="476">
        <v>0.13329</v>
      </c>
      <c r="F3525" s="6">
        <v>2.3015</v>
      </c>
      <c r="G3525" s="6">
        <v>19.92</v>
      </c>
    </row>
    <row r="3526" ht="15.75" customHeight="1" spans="1:7">
      <c r="A3526" s="4" t="s">
        <v>8166</v>
      </c>
      <c r="B3526" s="5" t="s">
        <v>8167</v>
      </c>
      <c r="C3526" s="4" t="s">
        <v>9</v>
      </c>
      <c r="D3526" s="475">
        <v>11130.04</v>
      </c>
      <c r="E3526" s="476">
        <v>0.13329</v>
      </c>
      <c r="F3526" s="6">
        <v>26.8679</v>
      </c>
      <c r="G3526" s="6">
        <v>4.482</v>
      </c>
    </row>
    <row r="3527" ht="15.75" customHeight="1" spans="1:7">
      <c r="A3527" s="4" t="s">
        <v>8168</v>
      </c>
      <c r="B3527" s="5" t="s">
        <v>8169</v>
      </c>
      <c r="C3527" s="4" t="s">
        <v>9</v>
      </c>
      <c r="D3527" s="475">
        <v>10731.96</v>
      </c>
      <c r="E3527" s="476">
        <v>0.13329</v>
      </c>
      <c r="F3527" s="6">
        <v>2.0458</v>
      </c>
      <c r="G3527" s="6">
        <v>22.41</v>
      </c>
    </row>
    <row r="3528" ht="15.75" customHeight="1" spans="1:7">
      <c r="A3528" s="4" t="s">
        <v>8170</v>
      </c>
      <c r="B3528" s="5" t="s">
        <v>8171</v>
      </c>
      <c r="C3528" s="4" t="s">
        <v>9</v>
      </c>
      <c r="D3528" s="475">
        <v>11284.93</v>
      </c>
      <c r="E3528" s="476">
        <v>0.13329</v>
      </c>
      <c r="F3528" s="6">
        <v>27.9013</v>
      </c>
      <c r="G3528" s="6">
        <v>4.316</v>
      </c>
    </row>
    <row r="3529" ht="15.75" customHeight="1" spans="1:7">
      <c r="A3529" s="4" t="s">
        <v>8172</v>
      </c>
      <c r="B3529" s="5" t="s">
        <v>8173</v>
      </c>
      <c r="C3529" s="4" t="s">
        <v>9</v>
      </c>
      <c r="D3529" s="475">
        <v>10871.55</v>
      </c>
      <c r="E3529" s="476">
        <v>0.13329</v>
      </c>
      <c r="F3529" s="6">
        <v>2.1245</v>
      </c>
      <c r="G3529" s="6">
        <v>21.58</v>
      </c>
    </row>
    <row r="3530" ht="15.75" customHeight="1" spans="1:7">
      <c r="A3530" s="4" t="s">
        <v>8174</v>
      </c>
      <c r="B3530" s="5" t="s">
        <v>8175</v>
      </c>
      <c r="C3530" s="4" t="s">
        <v>9</v>
      </c>
      <c r="D3530" s="475">
        <v>11436.8</v>
      </c>
      <c r="E3530" s="476">
        <v>0.13329</v>
      </c>
      <c r="F3530" s="6">
        <v>29.0173</v>
      </c>
      <c r="G3530" s="6">
        <v>4.15</v>
      </c>
    </row>
    <row r="3531" ht="15.75" customHeight="1" spans="1:7">
      <c r="A3531" s="4" t="s">
        <v>8176</v>
      </c>
      <c r="B3531" s="5" t="s">
        <v>8177</v>
      </c>
      <c r="C3531" s="4" t="s">
        <v>9</v>
      </c>
      <c r="D3531" s="475">
        <v>11006.87</v>
      </c>
      <c r="E3531" s="476">
        <v>0.13329</v>
      </c>
      <c r="F3531" s="6">
        <v>2.2095</v>
      </c>
      <c r="G3531" s="6">
        <v>20.75</v>
      </c>
    </row>
    <row r="3532" ht="15.75" customHeight="1" spans="1:7">
      <c r="A3532" s="4" t="s">
        <v>8178</v>
      </c>
      <c r="B3532" s="5" t="s">
        <v>8179</v>
      </c>
      <c r="C3532" s="4" t="s">
        <v>9</v>
      </c>
      <c r="D3532" s="475">
        <v>11594.49</v>
      </c>
      <c r="E3532" s="476">
        <v>0.13329</v>
      </c>
      <c r="F3532" s="6">
        <v>30.2264</v>
      </c>
      <c r="G3532" s="6">
        <v>3.984</v>
      </c>
    </row>
    <row r="3533" ht="15.75" customHeight="1" spans="1:7">
      <c r="A3533" s="4" t="s">
        <v>8180</v>
      </c>
      <c r="B3533" s="5" t="s">
        <v>8181</v>
      </c>
      <c r="C3533" s="4" t="s">
        <v>9</v>
      </c>
      <c r="D3533" s="475">
        <v>11146.66</v>
      </c>
      <c r="E3533" s="476">
        <v>0.13329</v>
      </c>
      <c r="F3533" s="6">
        <v>2.3015</v>
      </c>
      <c r="G3533" s="6">
        <v>19.92</v>
      </c>
    </row>
    <row r="3534" ht="15.75" customHeight="1" spans="1:7">
      <c r="A3534" s="4" t="s">
        <v>8182</v>
      </c>
      <c r="B3534" s="5" t="s">
        <v>8183</v>
      </c>
      <c r="C3534" s="4" t="s">
        <v>9</v>
      </c>
      <c r="D3534" s="475">
        <v>2663.46</v>
      </c>
      <c r="E3534" s="476">
        <v>0.13329</v>
      </c>
      <c r="F3534" s="6">
        <v>22.6698</v>
      </c>
      <c r="G3534" s="6">
        <v>5.312</v>
      </c>
    </row>
    <row r="3535" ht="15.75" customHeight="1" spans="1:7">
      <c r="A3535" s="4" t="s">
        <v>8184</v>
      </c>
      <c r="B3535" s="5" t="s">
        <v>8185</v>
      </c>
      <c r="C3535" s="4" t="s">
        <v>9</v>
      </c>
      <c r="D3535" s="475">
        <v>2327.59</v>
      </c>
      <c r="E3535" s="476">
        <v>0.13329</v>
      </c>
      <c r="F3535" s="6">
        <v>1.7261</v>
      </c>
      <c r="G3535" s="6">
        <v>26.56</v>
      </c>
    </row>
    <row r="3536" ht="15.75" customHeight="1" spans="1:7">
      <c r="A3536" s="4" t="s">
        <v>8186</v>
      </c>
      <c r="B3536" s="5" t="s">
        <v>8187</v>
      </c>
      <c r="C3536" s="4" t="s">
        <v>9</v>
      </c>
      <c r="D3536" s="475">
        <v>1146.84</v>
      </c>
      <c r="E3536" s="476">
        <v>0.13329</v>
      </c>
      <c r="F3536" s="6">
        <v>19.0903</v>
      </c>
      <c r="G3536" s="6">
        <v>6.308</v>
      </c>
    </row>
    <row r="3537" ht="15.75" customHeight="1" spans="1:7">
      <c r="A3537" s="4" t="s">
        <v>8188</v>
      </c>
      <c r="B3537" s="5" t="s">
        <v>8189</v>
      </c>
      <c r="C3537" s="4" t="s">
        <v>9</v>
      </c>
      <c r="D3537" s="475">
        <v>864</v>
      </c>
      <c r="E3537" s="476">
        <v>0.13329</v>
      </c>
      <c r="F3537" s="6">
        <v>1.4536</v>
      </c>
      <c r="G3537" s="6">
        <v>31.54</v>
      </c>
    </row>
    <row r="3538" ht="15.75" customHeight="1" spans="1:7">
      <c r="A3538" s="4" t="s">
        <v>8190</v>
      </c>
      <c r="B3538" s="5" t="s">
        <v>8191</v>
      </c>
      <c r="C3538" s="4" t="s">
        <v>9</v>
      </c>
      <c r="D3538" s="475">
        <v>1365.55</v>
      </c>
      <c r="E3538" s="476">
        <v>0.13329</v>
      </c>
      <c r="F3538" s="6">
        <v>19.6063</v>
      </c>
      <c r="G3538" s="6">
        <v>6.142</v>
      </c>
    </row>
    <row r="3539" ht="15.75" customHeight="1" spans="1:7">
      <c r="A3539" s="4" t="s">
        <v>8192</v>
      </c>
      <c r="B3539" s="5" t="s">
        <v>8193</v>
      </c>
      <c r="C3539" s="4" t="s">
        <v>9</v>
      </c>
      <c r="D3539" s="475">
        <v>1075.06</v>
      </c>
      <c r="E3539" s="476">
        <v>0.13329</v>
      </c>
      <c r="F3539" s="6">
        <v>1.4929</v>
      </c>
      <c r="G3539" s="6">
        <v>30.71</v>
      </c>
    </row>
    <row r="3540" ht="15.75" customHeight="1" spans="1:7">
      <c r="A3540" s="4" t="s">
        <v>8194</v>
      </c>
      <c r="B3540" s="5" t="s">
        <v>8195</v>
      </c>
      <c r="C3540" s="4" t="s">
        <v>9</v>
      </c>
      <c r="D3540" s="475">
        <v>1535.7</v>
      </c>
      <c r="E3540" s="476">
        <v>0.13329</v>
      </c>
      <c r="F3540" s="6">
        <v>20.1509</v>
      </c>
      <c r="G3540" s="6">
        <v>5.976</v>
      </c>
    </row>
    <row r="3541" ht="15.75" customHeight="1" spans="1:7">
      <c r="A3541" s="4" t="s">
        <v>8196</v>
      </c>
      <c r="B3541" s="5" t="s">
        <v>8197</v>
      </c>
      <c r="C3541" s="4" t="s">
        <v>9</v>
      </c>
      <c r="D3541" s="475">
        <v>1237.14</v>
      </c>
      <c r="E3541" s="476">
        <v>0.13329</v>
      </c>
      <c r="F3541" s="6">
        <v>1.5344</v>
      </c>
      <c r="G3541" s="6">
        <v>29.88</v>
      </c>
    </row>
    <row r="3542" ht="15.75" customHeight="1" spans="1:7">
      <c r="A3542" s="4" t="s">
        <v>8198</v>
      </c>
      <c r="B3542" s="5" t="s">
        <v>8199</v>
      </c>
      <c r="C3542" s="4" t="s">
        <v>9</v>
      </c>
      <c r="D3542" s="475">
        <v>1765.61</v>
      </c>
      <c r="E3542" s="476">
        <v>0.13329</v>
      </c>
      <c r="F3542" s="6">
        <v>20.7267</v>
      </c>
      <c r="G3542" s="6">
        <v>5.81</v>
      </c>
    </row>
    <row r="3543" ht="15.75" customHeight="1" spans="1:7">
      <c r="A3543" s="4" t="s">
        <v>8200</v>
      </c>
      <c r="B3543" s="5" t="s">
        <v>8201</v>
      </c>
      <c r="C3543" s="4" t="s">
        <v>9</v>
      </c>
      <c r="D3543" s="475">
        <v>1458.52</v>
      </c>
      <c r="E3543" s="476">
        <v>0.13329</v>
      </c>
      <c r="F3543" s="6">
        <v>1.5782</v>
      </c>
      <c r="G3543" s="6">
        <v>29.05</v>
      </c>
    </row>
    <row r="3544" ht="15.75" customHeight="1" spans="1:7">
      <c r="A3544" s="4" t="s">
        <v>8202</v>
      </c>
      <c r="B3544" s="5" t="s">
        <v>8203</v>
      </c>
      <c r="C3544" s="4" t="s">
        <v>9</v>
      </c>
      <c r="D3544" s="475">
        <v>2098.41</v>
      </c>
      <c r="E3544" s="476">
        <v>0.13329</v>
      </c>
      <c r="F3544" s="6">
        <v>21.3363</v>
      </c>
      <c r="G3544" s="6">
        <v>5.644</v>
      </c>
    </row>
    <row r="3545" ht="15.75" customHeight="1" spans="1:7">
      <c r="A3545" s="4" t="s">
        <v>8204</v>
      </c>
      <c r="B3545" s="5" t="s">
        <v>8205</v>
      </c>
      <c r="C3545" s="4" t="s">
        <v>9</v>
      </c>
      <c r="D3545" s="475">
        <v>1782.29</v>
      </c>
      <c r="E3545" s="476">
        <v>0.13329</v>
      </c>
      <c r="F3545" s="6">
        <v>1.6246</v>
      </c>
      <c r="G3545" s="6">
        <v>28.22</v>
      </c>
    </row>
    <row r="3546" ht="15.75" customHeight="1" spans="1:7">
      <c r="A3546" s="4" t="s">
        <v>8206</v>
      </c>
      <c r="B3546" s="5" t="s">
        <v>8207</v>
      </c>
      <c r="C3546" s="4" t="s">
        <v>9</v>
      </c>
      <c r="D3546" s="475">
        <v>2123.76</v>
      </c>
      <c r="E3546" s="476">
        <v>0.13329</v>
      </c>
      <c r="F3546" s="6">
        <v>21.9828</v>
      </c>
      <c r="G3546" s="6">
        <v>5.478</v>
      </c>
    </row>
    <row r="3547" ht="15.75" customHeight="1" spans="1:7">
      <c r="A3547" s="4" t="s">
        <v>8208</v>
      </c>
      <c r="B3547" s="5" t="s">
        <v>8209</v>
      </c>
      <c r="C3547" s="4" t="s">
        <v>9</v>
      </c>
      <c r="D3547" s="475">
        <v>1798.06</v>
      </c>
      <c r="E3547" s="476">
        <v>0.13329</v>
      </c>
      <c r="F3547" s="6">
        <v>1.6738</v>
      </c>
      <c r="G3547" s="6">
        <v>27.39</v>
      </c>
    </row>
    <row r="3548" ht="15.75" customHeight="1" spans="1:7">
      <c r="A3548" s="4" t="s">
        <v>8210</v>
      </c>
      <c r="B3548" s="5" t="s">
        <v>8211</v>
      </c>
      <c r="C3548" s="4" t="s">
        <v>9</v>
      </c>
      <c r="D3548" s="475">
        <v>3346.93</v>
      </c>
      <c r="E3548" s="476">
        <v>0.13329</v>
      </c>
      <c r="F3548" s="6">
        <v>22.6698</v>
      </c>
      <c r="G3548" s="6">
        <v>5.312</v>
      </c>
    </row>
    <row r="3549" ht="15.75" customHeight="1" spans="1:7">
      <c r="A3549" s="4" t="s">
        <v>8212</v>
      </c>
      <c r="B3549" s="5" t="s">
        <v>8213</v>
      </c>
      <c r="C3549" s="4" t="s">
        <v>9</v>
      </c>
      <c r="D3549" s="475">
        <v>3011.05</v>
      </c>
      <c r="E3549" s="476">
        <v>0.13329</v>
      </c>
      <c r="F3549" s="6">
        <v>1.7261</v>
      </c>
      <c r="G3549" s="6">
        <v>26.56</v>
      </c>
    </row>
    <row r="3550" ht="15.75" customHeight="1" spans="1:7">
      <c r="A3550" s="4" t="s">
        <v>8214</v>
      </c>
      <c r="B3550" s="5" t="s">
        <v>8215</v>
      </c>
      <c r="C3550" s="4" t="s">
        <v>9</v>
      </c>
      <c r="D3550" s="475">
        <v>3381.76</v>
      </c>
      <c r="E3550" s="476">
        <v>0.13329</v>
      </c>
      <c r="F3550" s="6">
        <v>23.4011</v>
      </c>
      <c r="G3550" s="6">
        <v>5.146</v>
      </c>
    </row>
    <row r="3551" ht="15.75" customHeight="1" spans="1:7">
      <c r="A3551" s="4" t="s">
        <v>8216</v>
      </c>
      <c r="B3551" s="5" t="s">
        <v>8217</v>
      </c>
      <c r="C3551" s="4" t="s">
        <v>9</v>
      </c>
      <c r="D3551" s="475">
        <v>3035.05</v>
      </c>
      <c r="E3551" s="476">
        <v>0.13329</v>
      </c>
      <c r="F3551" s="6">
        <v>1.7818</v>
      </c>
      <c r="G3551" s="6">
        <v>25.73</v>
      </c>
    </row>
    <row r="3552" ht="15.75" customHeight="1" spans="1:7">
      <c r="A3552" s="4" t="s">
        <v>8218</v>
      </c>
      <c r="B3552" s="5" t="s">
        <v>8219</v>
      </c>
      <c r="C3552" s="4" t="s">
        <v>9</v>
      </c>
      <c r="D3552" s="475">
        <v>3416.89</v>
      </c>
      <c r="E3552" s="476">
        <v>0.13329</v>
      </c>
      <c r="F3552" s="6">
        <v>24.1811</v>
      </c>
      <c r="G3552" s="6">
        <v>4.98</v>
      </c>
    </row>
    <row r="3553" ht="15.75" customHeight="1" spans="1:7">
      <c r="A3553" s="4" t="s">
        <v>8220</v>
      </c>
      <c r="B3553" s="5" t="s">
        <v>8221</v>
      </c>
      <c r="C3553" s="4" t="s">
        <v>9</v>
      </c>
      <c r="D3553" s="475">
        <v>3058.62</v>
      </c>
      <c r="E3553" s="476">
        <v>0.13329</v>
      </c>
      <c r="F3553" s="6">
        <v>1.8412</v>
      </c>
      <c r="G3553" s="6">
        <v>24.9</v>
      </c>
    </row>
    <row r="3554" ht="15.75" customHeight="1" spans="1:7">
      <c r="A3554" s="4" t="s">
        <v>8222</v>
      </c>
      <c r="B3554" s="5" t="s">
        <v>8223</v>
      </c>
      <c r="C3554" s="4" t="s">
        <v>9</v>
      </c>
      <c r="D3554" s="475">
        <v>2202.75</v>
      </c>
      <c r="E3554" s="476">
        <v>0.13329</v>
      </c>
      <c r="F3554" s="6">
        <v>20.7267</v>
      </c>
      <c r="G3554" s="6">
        <v>5.81</v>
      </c>
    </row>
    <row r="3555" ht="15.75" customHeight="1" spans="1:7">
      <c r="A3555" s="4" t="s">
        <v>8224</v>
      </c>
      <c r="B3555" s="5" t="s">
        <v>8225</v>
      </c>
      <c r="C3555" s="4" t="s">
        <v>9</v>
      </c>
      <c r="D3555" s="475">
        <v>1895.66</v>
      </c>
      <c r="E3555" s="476">
        <v>0.13329</v>
      </c>
      <c r="F3555" s="6">
        <v>1.5782</v>
      </c>
      <c r="G3555" s="6">
        <v>29.05</v>
      </c>
    </row>
    <row r="3556" ht="15.75" customHeight="1" spans="1:7">
      <c r="A3556" s="4" t="s">
        <v>8226</v>
      </c>
      <c r="B3556" s="5" t="s">
        <v>8227</v>
      </c>
      <c r="C3556" s="4" t="s">
        <v>9</v>
      </c>
      <c r="D3556" s="475">
        <v>2626.9</v>
      </c>
      <c r="E3556" s="476">
        <v>0.13329</v>
      </c>
      <c r="F3556" s="6">
        <v>21.3363</v>
      </c>
      <c r="G3556" s="6">
        <v>5.644</v>
      </c>
    </row>
    <row r="3557" ht="15.75" customHeight="1" spans="1:7">
      <c r="A3557" s="4" t="s">
        <v>8228</v>
      </c>
      <c r="B3557" s="5" t="s">
        <v>8229</v>
      </c>
      <c r="C3557" s="4" t="s">
        <v>9</v>
      </c>
      <c r="D3557" s="475">
        <v>2310.78</v>
      </c>
      <c r="E3557" s="476">
        <v>0.13329</v>
      </c>
      <c r="F3557" s="6">
        <v>1.6246</v>
      </c>
      <c r="G3557" s="6">
        <v>28.22</v>
      </c>
    </row>
    <row r="3558" ht="15.75" customHeight="1" spans="1:7">
      <c r="A3558" s="4" t="s">
        <v>8230</v>
      </c>
      <c r="B3558" s="5" t="s">
        <v>8231</v>
      </c>
      <c r="C3558" s="4" t="s">
        <v>9</v>
      </c>
      <c r="D3558" s="475">
        <v>2660.39</v>
      </c>
      <c r="E3558" s="476">
        <v>0.13329</v>
      </c>
      <c r="F3558" s="6">
        <v>21.9828</v>
      </c>
      <c r="G3558" s="6">
        <v>5.478</v>
      </c>
    </row>
    <row r="3559" ht="15.75" customHeight="1" spans="1:7">
      <c r="A3559" s="4" t="s">
        <v>8232</v>
      </c>
      <c r="B3559" s="5" t="s">
        <v>8233</v>
      </c>
      <c r="C3559" s="4" t="s">
        <v>9</v>
      </c>
      <c r="D3559" s="475">
        <v>2334.7</v>
      </c>
      <c r="E3559" s="476">
        <v>0.13329</v>
      </c>
      <c r="F3559" s="6">
        <v>1.6738</v>
      </c>
      <c r="G3559" s="6">
        <v>27.39</v>
      </c>
    </row>
    <row r="3560" ht="15.75" customHeight="1" spans="1:7">
      <c r="A3560" s="4" t="s">
        <v>8234</v>
      </c>
      <c r="B3560" s="5" t="s">
        <v>8235</v>
      </c>
      <c r="C3560" s="4" t="s">
        <v>9</v>
      </c>
      <c r="D3560" s="475">
        <v>4001.26</v>
      </c>
      <c r="E3560" s="476">
        <v>0.13329</v>
      </c>
      <c r="F3560" s="6">
        <v>22.6698</v>
      </c>
      <c r="G3560" s="6">
        <v>5.312</v>
      </c>
    </row>
    <row r="3561" ht="15.75" customHeight="1" spans="1:7">
      <c r="A3561" s="4" t="s">
        <v>8236</v>
      </c>
      <c r="B3561" s="5" t="s">
        <v>8237</v>
      </c>
      <c r="C3561" s="4" t="s">
        <v>9</v>
      </c>
      <c r="D3561" s="475">
        <v>3665.39</v>
      </c>
      <c r="E3561" s="476">
        <v>0.13329</v>
      </c>
      <c r="F3561" s="6">
        <v>1.7261</v>
      </c>
      <c r="G3561" s="6">
        <v>26.56</v>
      </c>
    </row>
    <row r="3562" ht="15.75" customHeight="1" spans="1:7">
      <c r="A3562" s="4" t="s">
        <v>8238</v>
      </c>
      <c r="B3562" s="5" t="s">
        <v>8239</v>
      </c>
      <c r="C3562" s="4" t="s">
        <v>9</v>
      </c>
      <c r="D3562" s="475">
        <v>4046.69</v>
      </c>
      <c r="E3562" s="476">
        <v>0.13329</v>
      </c>
      <c r="F3562" s="6">
        <v>23.4011</v>
      </c>
      <c r="G3562" s="6">
        <v>5.146</v>
      </c>
    </row>
    <row r="3563" ht="15.75" customHeight="1" spans="1:7">
      <c r="A3563" s="4" t="s">
        <v>8240</v>
      </c>
      <c r="B3563" s="5" t="s">
        <v>8241</v>
      </c>
      <c r="C3563" s="4" t="s">
        <v>9</v>
      </c>
      <c r="D3563" s="475">
        <v>3699.98</v>
      </c>
      <c r="E3563" s="476">
        <v>0.13329</v>
      </c>
      <c r="F3563" s="6">
        <v>1.7818</v>
      </c>
      <c r="G3563" s="6">
        <v>25.73</v>
      </c>
    </row>
    <row r="3564" ht="15.75" customHeight="1" spans="1:7">
      <c r="A3564" s="4" t="s">
        <v>8242</v>
      </c>
      <c r="B3564" s="5" t="s">
        <v>8243</v>
      </c>
      <c r="C3564" s="4" t="s">
        <v>9</v>
      </c>
      <c r="D3564" s="475">
        <v>4091.96</v>
      </c>
      <c r="E3564" s="476">
        <v>0.13329</v>
      </c>
      <c r="F3564" s="6">
        <v>24.1811</v>
      </c>
      <c r="G3564" s="6">
        <v>4.98</v>
      </c>
    </row>
    <row r="3565" ht="15.75" customHeight="1" spans="1:7">
      <c r="A3565" s="4" t="s">
        <v>8244</v>
      </c>
      <c r="B3565" s="5" t="s">
        <v>8245</v>
      </c>
      <c r="C3565" s="4" t="s">
        <v>9</v>
      </c>
      <c r="D3565" s="475">
        <v>3733.69</v>
      </c>
      <c r="E3565" s="476">
        <v>0.13329</v>
      </c>
      <c r="F3565" s="6">
        <v>1.8412</v>
      </c>
      <c r="G3565" s="6">
        <v>24.9</v>
      </c>
    </row>
    <row r="3566" ht="15.75" customHeight="1" spans="1:7">
      <c r="A3566" s="4" t="s">
        <v>8246</v>
      </c>
      <c r="B3566" s="5" t="s">
        <v>8247</v>
      </c>
      <c r="C3566" s="4" t="s">
        <v>9</v>
      </c>
      <c r="D3566" s="475">
        <v>5688.69</v>
      </c>
      <c r="E3566" s="476">
        <v>0.13329</v>
      </c>
      <c r="F3566" s="6">
        <v>25.0149</v>
      </c>
      <c r="G3566" s="6">
        <v>4.814</v>
      </c>
    </row>
    <row r="3567" ht="15.75" customHeight="1" spans="1:7">
      <c r="A3567" s="4" t="s">
        <v>8248</v>
      </c>
      <c r="B3567" s="5" t="s">
        <v>8249</v>
      </c>
      <c r="C3567" s="4" t="s">
        <v>9</v>
      </c>
      <c r="D3567" s="475">
        <v>5318.06</v>
      </c>
      <c r="E3567" s="476">
        <v>0.13329</v>
      </c>
      <c r="F3567" s="6">
        <v>1.9047</v>
      </c>
      <c r="G3567" s="6">
        <v>24.07</v>
      </c>
    </row>
    <row r="3568" ht="15.75" customHeight="1" spans="1:7">
      <c r="A3568" s="4" t="s">
        <v>8250</v>
      </c>
      <c r="B3568" s="5" t="s">
        <v>8251</v>
      </c>
      <c r="C3568" s="4" t="s">
        <v>9</v>
      </c>
      <c r="D3568" s="475">
        <v>5736.76</v>
      </c>
      <c r="E3568" s="476">
        <v>0.13329</v>
      </c>
      <c r="F3568" s="6">
        <v>25.9083</v>
      </c>
      <c r="G3568" s="6">
        <v>4.648</v>
      </c>
    </row>
    <row r="3569" ht="15.75" customHeight="1" spans="1:7">
      <c r="A3569" s="4" t="s">
        <v>8252</v>
      </c>
      <c r="B3569" s="5" t="s">
        <v>8253</v>
      </c>
      <c r="C3569" s="4" t="s">
        <v>9</v>
      </c>
      <c r="D3569" s="475">
        <v>5352.9</v>
      </c>
      <c r="E3569" s="476">
        <v>0.13329</v>
      </c>
      <c r="F3569" s="6">
        <v>1.9727</v>
      </c>
      <c r="G3569" s="6">
        <v>23.24</v>
      </c>
    </row>
    <row r="3570" ht="15.75" customHeight="1" spans="1:7">
      <c r="A3570" s="4" t="s">
        <v>8254</v>
      </c>
      <c r="B3570" s="5" t="s">
        <v>8255</v>
      </c>
      <c r="C3570" s="4" t="s">
        <v>9</v>
      </c>
      <c r="D3570" s="475">
        <v>5784.81</v>
      </c>
      <c r="E3570" s="476">
        <v>0.13329</v>
      </c>
      <c r="F3570" s="6">
        <v>26.8679</v>
      </c>
      <c r="G3570" s="6">
        <v>4.482</v>
      </c>
    </row>
    <row r="3571" ht="15.75" customHeight="1" spans="1:7">
      <c r="A3571" s="4" t="s">
        <v>8256</v>
      </c>
      <c r="B3571" s="5" t="s">
        <v>8257</v>
      </c>
      <c r="C3571" s="4" t="s">
        <v>9</v>
      </c>
      <c r="D3571" s="475">
        <v>5386.73</v>
      </c>
      <c r="E3571" s="476">
        <v>0.13329</v>
      </c>
      <c r="F3571" s="6">
        <v>2.0458</v>
      </c>
      <c r="G3571" s="6">
        <v>22.41</v>
      </c>
    </row>
    <row r="3572" ht="15.75" customHeight="1" spans="1:7">
      <c r="A3572" s="4" t="s">
        <v>8258</v>
      </c>
      <c r="B3572" s="5" t="s">
        <v>8259</v>
      </c>
      <c r="C3572" s="4" t="s">
        <v>9</v>
      </c>
      <c r="D3572" s="475">
        <v>3182.13</v>
      </c>
      <c r="E3572" s="476">
        <v>0.13329</v>
      </c>
      <c r="F3572" s="6">
        <v>21.9828</v>
      </c>
      <c r="G3572" s="6">
        <v>5.478</v>
      </c>
    </row>
    <row r="3573" ht="15.75" customHeight="1" spans="1:7">
      <c r="A3573" s="4" t="s">
        <v>8260</v>
      </c>
      <c r="B3573" s="5" t="s">
        <v>8261</v>
      </c>
      <c r="C3573" s="4" t="s">
        <v>9</v>
      </c>
      <c r="D3573" s="475">
        <v>2856.44</v>
      </c>
      <c r="E3573" s="476">
        <v>0.13329</v>
      </c>
      <c r="F3573" s="6">
        <v>1.6738</v>
      </c>
      <c r="G3573" s="6">
        <v>27.39</v>
      </c>
    </row>
    <row r="3574" ht="15.75" customHeight="1" spans="1:7">
      <c r="A3574" s="4" t="s">
        <v>8262</v>
      </c>
      <c r="B3574" s="5" t="s">
        <v>8263</v>
      </c>
      <c r="C3574" s="4" t="s">
        <v>9</v>
      </c>
      <c r="D3574" s="475">
        <v>94.89</v>
      </c>
      <c r="E3574" s="476">
        <v>0.13329</v>
      </c>
      <c r="F3574" s="6">
        <v>4.5759</v>
      </c>
      <c r="G3574" s="6">
        <v>24.26</v>
      </c>
    </row>
    <row r="3575" ht="15.75" customHeight="1" spans="1:7">
      <c r="A3575" s="4" t="s">
        <v>8264</v>
      </c>
      <c r="B3575" s="5" t="s">
        <v>8265</v>
      </c>
      <c r="C3575" s="4" t="s">
        <v>9</v>
      </c>
      <c r="D3575" s="475">
        <v>80.44</v>
      </c>
      <c r="E3575" s="476">
        <v>0.13329</v>
      </c>
      <c r="F3575" s="6">
        <v>4.5759</v>
      </c>
      <c r="G3575" s="6">
        <v>24.26</v>
      </c>
    </row>
    <row r="3576" ht="15.75" customHeight="1" spans="1:7">
      <c r="A3576" s="4" t="s">
        <v>8266</v>
      </c>
      <c r="B3576" s="5" t="s">
        <v>8267</v>
      </c>
      <c r="C3576" s="4" t="s">
        <v>9</v>
      </c>
      <c r="D3576" s="475">
        <v>112.84</v>
      </c>
      <c r="E3576" s="476">
        <v>0.13329</v>
      </c>
      <c r="F3576" s="6">
        <v>4.9581</v>
      </c>
      <c r="G3576" s="6">
        <v>22.39</v>
      </c>
    </row>
    <row r="3577" ht="15.75" customHeight="1" spans="1:7">
      <c r="A3577" s="4" t="s">
        <v>8268</v>
      </c>
      <c r="B3577" s="5" t="s">
        <v>8269</v>
      </c>
      <c r="C3577" s="4" t="s">
        <v>9</v>
      </c>
      <c r="D3577" s="475">
        <v>92.04</v>
      </c>
      <c r="E3577" s="476">
        <v>0.13329</v>
      </c>
      <c r="F3577" s="6">
        <v>4.9581</v>
      </c>
      <c r="G3577" s="6">
        <v>22.39</v>
      </c>
    </row>
    <row r="3578" ht="15.75" customHeight="1" spans="1:7">
      <c r="A3578" s="4" t="s">
        <v>8270</v>
      </c>
      <c r="B3578" s="5" t="s">
        <v>8271</v>
      </c>
      <c r="C3578" s="4" t="s">
        <v>9</v>
      </c>
      <c r="D3578" s="475">
        <v>133.53</v>
      </c>
      <c r="E3578" s="476">
        <v>0.13329</v>
      </c>
      <c r="F3578" s="6">
        <v>5.3706</v>
      </c>
      <c r="G3578" s="6">
        <v>20.67</v>
      </c>
    </row>
    <row r="3579" ht="15.75" customHeight="1" spans="1:7">
      <c r="A3579" s="4" t="s">
        <v>8272</v>
      </c>
      <c r="B3579" s="5" t="s">
        <v>8273</v>
      </c>
      <c r="C3579" s="4" t="s">
        <v>9</v>
      </c>
      <c r="D3579" s="475">
        <v>105.22</v>
      </c>
      <c r="E3579" s="476">
        <v>0.13329</v>
      </c>
      <c r="F3579" s="6">
        <v>5.3706</v>
      </c>
      <c r="G3579" s="6">
        <v>20.67</v>
      </c>
    </row>
    <row r="3580" ht="15.75" customHeight="1" spans="1:7">
      <c r="A3580" s="4" t="s">
        <v>8274</v>
      </c>
      <c r="B3580" s="5" t="s">
        <v>8275</v>
      </c>
      <c r="C3580" s="4" t="s">
        <v>9</v>
      </c>
      <c r="D3580" s="475">
        <v>158.45</v>
      </c>
      <c r="E3580" s="476">
        <v>0.13329</v>
      </c>
      <c r="F3580" s="6">
        <v>5.9206</v>
      </c>
      <c r="G3580" s="6">
        <v>18.75</v>
      </c>
    </row>
    <row r="3581" ht="15.75" customHeight="1" spans="1:7">
      <c r="A3581" s="4" t="s">
        <v>8276</v>
      </c>
      <c r="B3581" s="5" t="s">
        <v>8277</v>
      </c>
      <c r="C3581" s="4" t="s">
        <v>9</v>
      </c>
      <c r="D3581" s="475">
        <v>121.47</v>
      </c>
      <c r="E3581" s="476">
        <v>0.13329</v>
      </c>
      <c r="F3581" s="6">
        <v>5.9206</v>
      </c>
      <c r="G3581" s="6">
        <v>18.75</v>
      </c>
    </row>
    <row r="3582" ht="15.75" customHeight="1" spans="1:7">
      <c r="A3582" s="4" t="s">
        <v>8278</v>
      </c>
      <c r="B3582" s="5" t="s">
        <v>8279</v>
      </c>
      <c r="C3582" s="4" t="s">
        <v>9</v>
      </c>
      <c r="D3582" s="475">
        <v>7330.24</v>
      </c>
      <c r="E3582" s="476">
        <v>0</v>
      </c>
      <c r="F3582" s="6">
        <v>0</v>
      </c>
      <c r="G3582" s="6">
        <v>3.86346</v>
      </c>
    </row>
    <row r="3583" ht="15.75" customHeight="1" spans="1:7">
      <c r="A3583" s="4" t="s">
        <v>8280</v>
      </c>
      <c r="B3583" s="5" t="s">
        <v>8281</v>
      </c>
      <c r="C3583" s="4" t="s">
        <v>9</v>
      </c>
      <c r="D3583" s="475">
        <v>7389.12</v>
      </c>
      <c r="E3583" s="476">
        <v>0</v>
      </c>
      <c r="F3583" s="6">
        <v>0</v>
      </c>
      <c r="G3583" s="6">
        <v>3.70536</v>
      </c>
    </row>
    <row r="3584" ht="15.75" customHeight="1" spans="1:7">
      <c r="A3584" s="4" t="s">
        <v>8282</v>
      </c>
      <c r="B3584" s="5" t="s">
        <v>8283</v>
      </c>
      <c r="C3584" s="4" t="s">
        <v>9</v>
      </c>
      <c r="D3584" s="475">
        <v>7449.92</v>
      </c>
      <c r="E3584" s="476">
        <v>0</v>
      </c>
      <c r="F3584" s="6">
        <v>0</v>
      </c>
      <c r="G3584" s="6">
        <v>3.5546</v>
      </c>
    </row>
    <row r="3585" ht="15.75" customHeight="1" spans="1:7">
      <c r="A3585" s="4" t="s">
        <v>8284</v>
      </c>
      <c r="B3585" s="5" t="s">
        <v>8285</v>
      </c>
      <c r="C3585" s="4" t="s">
        <v>9</v>
      </c>
      <c r="D3585" s="475">
        <v>7508.8</v>
      </c>
      <c r="E3585" s="476">
        <v>0</v>
      </c>
      <c r="F3585" s="6">
        <v>0</v>
      </c>
      <c r="G3585" s="6">
        <v>3.42033</v>
      </c>
    </row>
    <row r="3586" ht="15.75" customHeight="1" spans="1:7">
      <c r="A3586" s="4" t="s">
        <v>8286</v>
      </c>
      <c r="B3586" s="5" t="s">
        <v>8287</v>
      </c>
      <c r="C3586" s="4" t="s">
        <v>9</v>
      </c>
      <c r="D3586" s="475">
        <v>7567.76</v>
      </c>
      <c r="E3586" s="476">
        <v>0</v>
      </c>
      <c r="F3586" s="6">
        <v>0</v>
      </c>
      <c r="G3586" s="6">
        <v>3.29365</v>
      </c>
    </row>
    <row r="3587" ht="15.75" customHeight="1" spans="1:7">
      <c r="A3587" s="4" t="s">
        <v>8288</v>
      </c>
      <c r="B3587" s="5" t="s">
        <v>8289</v>
      </c>
      <c r="C3587" s="4" t="s">
        <v>9</v>
      </c>
      <c r="D3587" s="475">
        <v>10676.32</v>
      </c>
      <c r="E3587" s="476">
        <v>0</v>
      </c>
      <c r="F3587" s="6">
        <v>0</v>
      </c>
      <c r="G3587" s="6">
        <v>3.69985</v>
      </c>
    </row>
    <row r="3588" ht="15.75" customHeight="1" spans="1:7">
      <c r="A3588" s="4" t="s">
        <v>8290</v>
      </c>
      <c r="B3588" s="5" t="s">
        <v>8291</v>
      </c>
      <c r="C3588" s="4" t="s">
        <v>9</v>
      </c>
      <c r="D3588" s="475">
        <v>10813.01</v>
      </c>
      <c r="E3588" s="476">
        <v>0</v>
      </c>
      <c r="F3588" s="6">
        <v>0</v>
      </c>
      <c r="G3588" s="6">
        <v>3.54954</v>
      </c>
    </row>
    <row r="3589" ht="15.75" customHeight="1" spans="1:7">
      <c r="A3589" s="4" t="s">
        <v>8292</v>
      </c>
      <c r="B3589" s="5" t="s">
        <v>8293</v>
      </c>
      <c r="C3589" s="4" t="s">
        <v>9</v>
      </c>
      <c r="D3589" s="475">
        <v>10945.41</v>
      </c>
      <c r="E3589" s="476">
        <v>0</v>
      </c>
      <c r="F3589" s="6">
        <v>0</v>
      </c>
      <c r="G3589" s="6">
        <v>3.41564</v>
      </c>
    </row>
    <row r="3590" ht="15.75" customHeight="1" spans="1:7">
      <c r="A3590" s="4" t="s">
        <v>8294</v>
      </c>
      <c r="B3590" s="5" t="s">
        <v>8295</v>
      </c>
      <c r="C3590" s="4" t="s">
        <v>9</v>
      </c>
      <c r="D3590" s="475">
        <v>11082.11</v>
      </c>
      <c r="E3590" s="476">
        <v>0</v>
      </c>
      <c r="F3590" s="6">
        <v>0</v>
      </c>
      <c r="G3590" s="6">
        <v>3.28713</v>
      </c>
    </row>
    <row r="3591" ht="15.75" customHeight="1" spans="1:7">
      <c r="A3591" s="4" t="s">
        <v>8296</v>
      </c>
      <c r="B3591" s="5" t="s">
        <v>8297</v>
      </c>
      <c r="C3591" s="4" t="s">
        <v>9</v>
      </c>
      <c r="D3591" s="475">
        <v>2298.62</v>
      </c>
      <c r="E3591" s="476">
        <v>0</v>
      </c>
      <c r="F3591" s="6">
        <v>0</v>
      </c>
      <c r="G3591" s="6">
        <v>4.68927</v>
      </c>
    </row>
    <row r="3592" ht="15.75" customHeight="1" spans="1:7">
      <c r="A3592" s="4" t="s">
        <v>8298</v>
      </c>
      <c r="B3592" s="5" t="s">
        <v>8299</v>
      </c>
      <c r="C3592" s="4" t="s">
        <v>9</v>
      </c>
      <c r="D3592" s="475">
        <v>841.65</v>
      </c>
      <c r="E3592" s="476">
        <v>0</v>
      </c>
      <c r="F3592" s="6">
        <v>0</v>
      </c>
      <c r="G3592" s="6">
        <v>6.84066</v>
      </c>
    </row>
    <row r="3593" ht="15.75" customHeight="1" spans="1:7">
      <c r="A3593" s="4" t="s">
        <v>8300</v>
      </c>
      <c r="B3593" s="5" t="s">
        <v>8301</v>
      </c>
      <c r="C3593" s="4" t="s">
        <v>9</v>
      </c>
      <c r="D3593" s="475">
        <v>1051.7</v>
      </c>
      <c r="E3593" s="476">
        <v>0</v>
      </c>
      <c r="F3593" s="6">
        <v>0</v>
      </c>
      <c r="G3593" s="6">
        <v>6.36015</v>
      </c>
    </row>
    <row r="3594" ht="15.75" customHeight="1" spans="1:7">
      <c r="A3594" s="4" t="s">
        <v>8302</v>
      </c>
      <c r="B3594" s="5" t="s">
        <v>8303</v>
      </c>
      <c r="C3594" s="4" t="s">
        <v>9</v>
      </c>
      <c r="D3594" s="475">
        <v>1212.74</v>
      </c>
      <c r="E3594" s="476">
        <v>0</v>
      </c>
      <c r="F3594" s="6">
        <v>0</v>
      </c>
      <c r="G3594" s="6">
        <v>5.94272</v>
      </c>
    </row>
    <row r="3595" ht="15.75" customHeight="1" spans="1:7">
      <c r="A3595" s="4" t="s">
        <v>8304</v>
      </c>
      <c r="B3595" s="5" t="s">
        <v>8305</v>
      </c>
      <c r="C3595" s="4" t="s">
        <v>9</v>
      </c>
      <c r="D3595" s="475">
        <v>1433.03</v>
      </c>
      <c r="E3595" s="476">
        <v>0</v>
      </c>
      <c r="F3595" s="6">
        <v>0</v>
      </c>
      <c r="G3595" s="6">
        <v>5.56425</v>
      </c>
    </row>
    <row r="3596" ht="15.75" customHeight="1" spans="1:7">
      <c r="A3596" s="4" t="s">
        <v>8306</v>
      </c>
      <c r="B3596" s="5" t="s">
        <v>8307</v>
      </c>
      <c r="C3596" s="4" t="s">
        <v>9</v>
      </c>
      <c r="D3596" s="475">
        <v>1755.68</v>
      </c>
      <c r="E3596" s="476">
        <v>0</v>
      </c>
      <c r="F3596" s="6">
        <v>0</v>
      </c>
      <c r="G3596" s="6">
        <v>5.24211</v>
      </c>
    </row>
    <row r="3597" ht="15.75" customHeight="1" spans="1:7">
      <c r="A3597" s="4" t="s">
        <v>8308</v>
      </c>
      <c r="B3597" s="5" t="s">
        <v>8309</v>
      </c>
      <c r="C3597" s="4" t="s">
        <v>9</v>
      </c>
      <c r="D3597" s="475">
        <v>1770.29</v>
      </c>
      <c r="E3597" s="476">
        <v>0</v>
      </c>
      <c r="F3597" s="6">
        <v>0</v>
      </c>
      <c r="G3597" s="6">
        <v>4.94538</v>
      </c>
    </row>
    <row r="3598" ht="15.75" customHeight="1" spans="1:7">
      <c r="A3598" s="4" t="s">
        <v>8310</v>
      </c>
      <c r="B3598" s="5" t="s">
        <v>8311</v>
      </c>
      <c r="C3598" s="4" t="s">
        <v>9</v>
      </c>
      <c r="D3598" s="475">
        <v>2980.21</v>
      </c>
      <c r="E3598" s="476">
        <v>0</v>
      </c>
      <c r="F3598" s="6">
        <v>0</v>
      </c>
      <c r="G3598" s="6">
        <v>4.68045</v>
      </c>
    </row>
    <row r="3599" ht="15.75" customHeight="1" spans="1:7">
      <c r="A3599" s="4" t="s">
        <v>8312</v>
      </c>
      <c r="B3599" s="5" t="s">
        <v>8313</v>
      </c>
      <c r="C3599" s="4" t="s">
        <v>9</v>
      </c>
      <c r="D3599" s="475">
        <v>3002.76</v>
      </c>
      <c r="E3599" s="476">
        <v>0</v>
      </c>
      <c r="F3599" s="6">
        <v>0</v>
      </c>
      <c r="G3599" s="6">
        <v>4.4504</v>
      </c>
    </row>
    <row r="3600" ht="15.75" customHeight="1" spans="1:7">
      <c r="A3600" s="4" t="s">
        <v>8314</v>
      </c>
      <c r="B3600" s="5" t="s">
        <v>8315</v>
      </c>
      <c r="C3600" s="4" t="s">
        <v>9</v>
      </c>
      <c r="D3600" s="475">
        <v>3024.86</v>
      </c>
      <c r="E3600" s="476">
        <v>0</v>
      </c>
      <c r="F3600" s="6">
        <v>0</v>
      </c>
      <c r="G3600" s="6">
        <v>4.23469</v>
      </c>
    </row>
    <row r="3601" ht="15.75" customHeight="1" spans="1:7">
      <c r="A3601" s="4" t="s">
        <v>8316</v>
      </c>
      <c r="B3601" s="5" t="s">
        <v>8317</v>
      </c>
      <c r="C3601" s="4" t="s">
        <v>9</v>
      </c>
      <c r="D3601" s="475">
        <v>1868.84</v>
      </c>
      <c r="E3601" s="476">
        <v>0</v>
      </c>
      <c r="F3601" s="6">
        <v>0</v>
      </c>
      <c r="G3601" s="6">
        <v>5.56425</v>
      </c>
    </row>
    <row r="3602" ht="15.75" customHeight="1" spans="1:7">
      <c r="A3602" s="4" t="s">
        <v>8318</v>
      </c>
      <c r="B3602" s="5" t="s">
        <v>8319</v>
      </c>
      <c r="C3602" s="4" t="s">
        <v>9</v>
      </c>
      <c r="D3602" s="475">
        <v>2282.67</v>
      </c>
      <c r="E3602" s="476">
        <v>0</v>
      </c>
      <c r="F3602" s="6">
        <v>0</v>
      </c>
      <c r="G3602" s="6">
        <v>5.23109</v>
      </c>
    </row>
    <row r="3603" ht="15.75" customHeight="1" spans="1:7">
      <c r="A3603" s="4" t="s">
        <v>8320</v>
      </c>
      <c r="B3603" s="5" t="s">
        <v>8321</v>
      </c>
      <c r="C3603" s="4" t="s">
        <v>9</v>
      </c>
      <c r="D3603" s="475">
        <v>2305.23</v>
      </c>
      <c r="E3603" s="476">
        <v>0</v>
      </c>
      <c r="F3603" s="6">
        <v>0</v>
      </c>
      <c r="G3603" s="6">
        <v>4.94538</v>
      </c>
    </row>
    <row r="3604" ht="15.75" customHeight="1" spans="1:7">
      <c r="A3604" s="4" t="s">
        <v>8322</v>
      </c>
      <c r="B3604" s="5" t="s">
        <v>8323</v>
      </c>
      <c r="C3604" s="4" t="s">
        <v>9</v>
      </c>
      <c r="D3604" s="475">
        <v>3632.73</v>
      </c>
      <c r="E3604" s="476">
        <v>0</v>
      </c>
      <c r="F3604" s="6">
        <v>0</v>
      </c>
      <c r="G3604" s="6">
        <v>4.68045</v>
      </c>
    </row>
    <row r="3605" ht="15.75" customHeight="1" spans="1:7">
      <c r="A3605" s="4" t="s">
        <v>8324</v>
      </c>
      <c r="B3605" s="5" t="s">
        <v>8325</v>
      </c>
      <c r="C3605" s="4" t="s">
        <v>9</v>
      </c>
      <c r="D3605" s="475">
        <v>3665.7</v>
      </c>
      <c r="E3605" s="476">
        <v>0</v>
      </c>
      <c r="F3605" s="6">
        <v>0</v>
      </c>
      <c r="G3605" s="6">
        <v>4.44643</v>
      </c>
    </row>
    <row r="3606" ht="15.75" customHeight="1" spans="1:7">
      <c r="A3606" s="4" t="s">
        <v>8326</v>
      </c>
      <c r="B3606" s="5" t="s">
        <v>8327</v>
      </c>
      <c r="C3606" s="4" t="s">
        <v>9</v>
      </c>
      <c r="D3606" s="475">
        <v>3697.76</v>
      </c>
      <c r="E3606" s="476">
        <v>0</v>
      </c>
      <c r="F3606" s="6">
        <v>0</v>
      </c>
      <c r="G3606" s="6">
        <v>4.23469</v>
      </c>
    </row>
    <row r="3607" ht="15.75" customHeight="1" spans="1:7">
      <c r="A3607" s="4" t="s">
        <v>8328</v>
      </c>
      <c r="B3607" s="5" t="s">
        <v>8329</v>
      </c>
      <c r="C3607" s="4" t="s">
        <v>9</v>
      </c>
      <c r="D3607" s="475">
        <v>5280.43</v>
      </c>
      <c r="E3607" s="476">
        <v>0</v>
      </c>
      <c r="F3607" s="6">
        <v>0</v>
      </c>
      <c r="G3607" s="6">
        <v>4.04549</v>
      </c>
    </row>
    <row r="3608" ht="15.75" customHeight="1" spans="1:7">
      <c r="A3608" s="4" t="s">
        <v>8330</v>
      </c>
      <c r="B3608" s="5" t="s">
        <v>8331</v>
      </c>
      <c r="C3608" s="4" t="s">
        <v>9</v>
      </c>
      <c r="D3608" s="475">
        <v>5313.47</v>
      </c>
      <c r="E3608" s="476">
        <v>0</v>
      </c>
      <c r="F3608" s="6">
        <v>0</v>
      </c>
      <c r="G3608" s="6">
        <v>3.86646</v>
      </c>
    </row>
    <row r="3609" ht="15.75" customHeight="1" spans="1:7">
      <c r="A3609" s="4" t="s">
        <v>8332</v>
      </c>
      <c r="B3609" s="5" t="s">
        <v>8333</v>
      </c>
      <c r="C3609" s="4" t="s">
        <v>9</v>
      </c>
      <c r="D3609" s="475">
        <v>5345.46</v>
      </c>
      <c r="E3609" s="476">
        <v>0</v>
      </c>
      <c r="F3609" s="6">
        <v>0</v>
      </c>
      <c r="G3609" s="6">
        <v>3.70812</v>
      </c>
    </row>
    <row r="3610" ht="15.75" customHeight="1" spans="1:7">
      <c r="A3610" s="4" t="s">
        <v>8334</v>
      </c>
      <c r="B3610" s="5" t="s">
        <v>8335</v>
      </c>
      <c r="C3610" s="4" t="s">
        <v>9</v>
      </c>
      <c r="D3610" s="475">
        <v>2825.33</v>
      </c>
      <c r="E3610" s="476">
        <v>0</v>
      </c>
      <c r="F3610" s="6">
        <v>0</v>
      </c>
      <c r="G3610" s="6">
        <v>4.94048</v>
      </c>
    </row>
    <row r="3611" ht="15.75" customHeight="1" spans="1:7">
      <c r="A3611" s="4" t="s">
        <v>8336</v>
      </c>
      <c r="B3611" s="5" t="s">
        <v>8337</v>
      </c>
      <c r="C3611" s="4" t="s">
        <v>101</v>
      </c>
      <c r="D3611" s="475">
        <v>15.28</v>
      </c>
      <c r="E3611" s="476">
        <v>0.11084</v>
      </c>
      <c r="F3611" s="6">
        <v>0.2796</v>
      </c>
      <c r="G3611" s="6">
        <v>25</v>
      </c>
    </row>
    <row r="3612" ht="30" customHeight="1" spans="1:7">
      <c r="A3612" s="4" t="s">
        <v>8338</v>
      </c>
      <c r="B3612" s="5" t="s">
        <v>8339</v>
      </c>
      <c r="C3612" s="4" t="s">
        <v>9</v>
      </c>
      <c r="D3612" s="475">
        <v>2475.84</v>
      </c>
      <c r="E3612" s="476">
        <v>0</v>
      </c>
      <c r="F3612" s="6">
        <v>0</v>
      </c>
      <c r="G3612" s="6">
        <v>0.747</v>
      </c>
    </row>
    <row r="3613" ht="30" customHeight="1" spans="1:7">
      <c r="A3613" s="4" t="s">
        <v>8340</v>
      </c>
      <c r="B3613" s="5" t="s">
        <v>8341</v>
      </c>
      <c r="C3613" s="4" t="s">
        <v>9</v>
      </c>
      <c r="D3613" s="475">
        <v>2564.75</v>
      </c>
      <c r="E3613" s="476">
        <v>0</v>
      </c>
      <c r="F3613" s="6">
        <v>0</v>
      </c>
      <c r="G3613" s="6">
        <v>0.7304</v>
      </c>
    </row>
    <row r="3614" ht="30" customHeight="1" spans="1:7">
      <c r="A3614" s="4" t="s">
        <v>8342</v>
      </c>
      <c r="B3614" s="5" t="s">
        <v>8343</v>
      </c>
      <c r="C3614" s="4" t="s">
        <v>9</v>
      </c>
      <c r="D3614" s="475">
        <v>2700.06</v>
      </c>
      <c r="E3614" s="476">
        <v>0</v>
      </c>
      <c r="F3614" s="6">
        <v>0</v>
      </c>
      <c r="G3614" s="6">
        <v>0.6889</v>
      </c>
    </row>
    <row r="3615" ht="30" customHeight="1" spans="1:7">
      <c r="A3615" s="4" t="s">
        <v>8344</v>
      </c>
      <c r="B3615" s="5" t="s">
        <v>8345</v>
      </c>
      <c r="C3615" s="4" t="s">
        <v>9</v>
      </c>
      <c r="D3615" s="475">
        <v>2910.17</v>
      </c>
      <c r="E3615" s="476">
        <v>0</v>
      </c>
      <c r="F3615" s="6">
        <v>0</v>
      </c>
      <c r="G3615" s="6">
        <v>0.664</v>
      </c>
    </row>
    <row r="3616" ht="30" customHeight="1" spans="1:7">
      <c r="A3616" s="4" t="s">
        <v>8346</v>
      </c>
      <c r="B3616" s="5" t="s">
        <v>8347</v>
      </c>
      <c r="C3616" s="4" t="s">
        <v>9</v>
      </c>
      <c r="D3616" s="475">
        <v>3010.75</v>
      </c>
      <c r="E3616" s="476">
        <v>0</v>
      </c>
      <c r="F3616" s="6">
        <v>0</v>
      </c>
      <c r="G3616" s="6">
        <v>0.6391</v>
      </c>
    </row>
    <row r="3617" ht="30" customHeight="1" spans="1:7">
      <c r="A3617" s="4" t="s">
        <v>8348</v>
      </c>
      <c r="B3617" s="5" t="s">
        <v>8349</v>
      </c>
      <c r="C3617" s="4" t="s">
        <v>9</v>
      </c>
      <c r="D3617" s="475">
        <v>3144.92</v>
      </c>
      <c r="E3617" s="476">
        <v>0</v>
      </c>
      <c r="F3617" s="6">
        <v>0</v>
      </c>
      <c r="G3617" s="6">
        <v>0.6225</v>
      </c>
    </row>
    <row r="3618" ht="30" customHeight="1" spans="1:7">
      <c r="A3618" s="4" t="s">
        <v>8350</v>
      </c>
      <c r="B3618" s="5" t="s">
        <v>8351</v>
      </c>
      <c r="C3618" s="4" t="s">
        <v>9</v>
      </c>
      <c r="D3618" s="475">
        <v>3347.38</v>
      </c>
      <c r="E3618" s="476">
        <v>0</v>
      </c>
      <c r="F3618" s="6">
        <v>0</v>
      </c>
      <c r="G3618" s="6">
        <v>0.5893</v>
      </c>
    </row>
    <row r="3619" ht="30" customHeight="1" spans="1:7">
      <c r="A3619" s="4" t="s">
        <v>8352</v>
      </c>
      <c r="B3619" s="5" t="s">
        <v>8353</v>
      </c>
      <c r="C3619" s="4" t="s">
        <v>9</v>
      </c>
      <c r="D3619" s="475">
        <v>3442.9</v>
      </c>
      <c r="E3619" s="476">
        <v>0</v>
      </c>
      <c r="F3619" s="6">
        <v>0</v>
      </c>
      <c r="G3619" s="6">
        <v>0.5727</v>
      </c>
    </row>
    <row r="3620" ht="30" customHeight="1" spans="1:7">
      <c r="A3620" s="4" t="s">
        <v>8354</v>
      </c>
      <c r="B3620" s="5" t="s">
        <v>8355</v>
      </c>
      <c r="C3620" s="4" t="s">
        <v>9</v>
      </c>
      <c r="D3620" s="475">
        <v>3626.09</v>
      </c>
      <c r="E3620" s="476">
        <v>0</v>
      </c>
      <c r="F3620" s="6">
        <v>0</v>
      </c>
      <c r="G3620" s="6">
        <v>0.5478</v>
      </c>
    </row>
    <row r="3621" ht="30" customHeight="1" spans="1:7">
      <c r="A3621" s="4" t="s">
        <v>8356</v>
      </c>
      <c r="B3621" s="5" t="s">
        <v>8357</v>
      </c>
      <c r="C3621" s="4" t="s">
        <v>9</v>
      </c>
      <c r="D3621" s="475">
        <v>1966.17</v>
      </c>
      <c r="E3621" s="476">
        <v>0</v>
      </c>
      <c r="F3621" s="6">
        <v>0</v>
      </c>
      <c r="G3621" s="6">
        <v>0.913</v>
      </c>
    </row>
    <row r="3622" ht="30" customHeight="1" spans="1:7">
      <c r="A3622" s="4" t="s">
        <v>8358</v>
      </c>
      <c r="B3622" s="5" t="s">
        <v>8359</v>
      </c>
      <c r="C3622" s="4" t="s">
        <v>9</v>
      </c>
      <c r="D3622" s="475">
        <v>2075.27</v>
      </c>
      <c r="E3622" s="476">
        <v>0</v>
      </c>
      <c r="F3622" s="6">
        <v>0</v>
      </c>
      <c r="G3622" s="6">
        <v>0.8798</v>
      </c>
    </row>
    <row r="3623" ht="30" customHeight="1" spans="1:7">
      <c r="A3623" s="4" t="s">
        <v>8360</v>
      </c>
      <c r="B3623" s="5" t="s">
        <v>8361</v>
      </c>
      <c r="C3623" s="4" t="s">
        <v>9</v>
      </c>
      <c r="D3623" s="475">
        <v>2223.24</v>
      </c>
      <c r="E3623" s="476">
        <v>0</v>
      </c>
      <c r="F3623" s="6">
        <v>0</v>
      </c>
      <c r="G3623" s="6">
        <v>0.8217</v>
      </c>
    </row>
    <row r="3624" ht="30" customHeight="1" spans="1:7">
      <c r="A3624" s="4" t="s">
        <v>8362</v>
      </c>
      <c r="B3624" s="5" t="s">
        <v>8363</v>
      </c>
      <c r="C3624" s="4" t="s">
        <v>9</v>
      </c>
      <c r="D3624" s="475">
        <v>2325.88</v>
      </c>
      <c r="E3624" s="476">
        <v>0</v>
      </c>
      <c r="F3624" s="6">
        <v>0</v>
      </c>
      <c r="G3624" s="6">
        <v>0.7885</v>
      </c>
    </row>
    <row r="3625" ht="30" customHeight="1" spans="1:7">
      <c r="A3625" s="4" t="s">
        <v>8364</v>
      </c>
      <c r="B3625" s="5" t="s">
        <v>8365</v>
      </c>
      <c r="C3625" s="4" t="s">
        <v>9</v>
      </c>
      <c r="D3625" s="475">
        <v>4745.54</v>
      </c>
      <c r="E3625" s="476">
        <v>0</v>
      </c>
      <c r="F3625" s="6">
        <v>0</v>
      </c>
      <c r="G3625" s="6">
        <v>0.6059</v>
      </c>
    </row>
    <row r="3626" ht="30" customHeight="1" spans="1:7">
      <c r="A3626" s="4" t="s">
        <v>8366</v>
      </c>
      <c r="B3626" s="5" t="s">
        <v>8367</v>
      </c>
      <c r="C3626" s="4" t="s">
        <v>9</v>
      </c>
      <c r="D3626" s="475">
        <v>5038.2</v>
      </c>
      <c r="E3626" s="476">
        <v>0</v>
      </c>
      <c r="F3626" s="6">
        <v>0</v>
      </c>
      <c r="G3626" s="6">
        <v>0.5893</v>
      </c>
    </row>
    <row r="3627" ht="30" customHeight="1" spans="1:7">
      <c r="A3627" s="4" t="s">
        <v>8368</v>
      </c>
      <c r="B3627" s="5" t="s">
        <v>8369</v>
      </c>
      <c r="C3627" s="4" t="s">
        <v>9</v>
      </c>
      <c r="D3627" s="475">
        <v>5235.9</v>
      </c>
      <c r="E3627" s="476">
        <v>0</v>
      </c>
      <c r="F3627" s="6">
        <v>0</v>
      </c>
      <c r="G3627" s="6">
        <v>0.5561</v>
      </c>
    </row>
    <row r="3628" ht="30" customHeight="1" spans="1:7">
      <c r="A3628" s="4" t="s">
        <v>8370</v>
      </c>
      <c r="B3628" s="5" t="s">
        <v>8371</v>
      </c>
      <c r="C3628" s="4" t="s">
        <v>9</v>
      </c>
      <c r="D3628" s="475">
        <v>5499.02</v>
      </c>
      <c r="E3628" s="476">
        <v>0</v>
      </c>
      <c r="F3628" s="6">
        <v>0</v>
      </c>
      <c r="G3628" s="6">
        <v>0.5395</v>
      </c>
    </row>
    <row r="3629" ht="30" customHeight="1" spans="1:7">
      <c r="A3629" s="4" t="s">
        <v>8372</v>
      </c>
      <c r="B3629" s="5" t="s">
        <v>8373</v>
      </c>
      <c r="C3629" s="4" t="s">
        <v>9</v>
      </c>
      <c r="D3629" s="475">
        <v>5644.52</v>
      </c>
      <c r="E3629" s="476">
        <v>0</v>
      </c>
      <c r="F3629" s="6">
        <v>0</v>
      </c>
      <c r="G3629" s="6">
        <v>0.5229</v>
      </c>
    </row>
    <row r="3630" ht="30" customHeight="1" spans="1:7">
      <c r="A3630" s="4" t="s">
        <v>8374</v>
      </c>
      <c r="B3630" s="5" t="s">
        <v>8375</v>
      </c>
      <c r="C3630" s="4" t="s">
        <v>9</v>
      </c>
      <c r="D3630" s="475">
        <v>5971.15</v>
      </c>
      <c r="E3630" s="476">
        <v>0</v>
      </c>
      <c r="F3630" s="6">
        <v>0</v>
      </c>
      <c r="G3630" s="6">
        <v>0.498</v>
      </c>
    </row>
    <row r="3631" ht="30" customHeight="1" spans="1:7">
      <c r="A3631" s="4" t="s">
        <v>8376</v>
      </c>
      <c r="B3631" s="5" t="s">
        <v>8377</v>
      </c>
      <c r="C3631" s="4" t="s">
        <v>9</v>
      </c>
      <c r="D3631" s="475">
        <v>6494.14</v>
      </c>
      <c r="E3631" s="476">
        <v>0</v>
      </c>
      <c r="F3631" s="6">
        <v>0</v>
      </c>
      <c r="G3631" s="6">
        <v>0.4814</v>
      </c>
    </row>
    <row r="3632" ht="30" customHeight="1" spans="1:7">
      <c r="A3632" s="4" t="s">
        <v>8378</v>
      </c>
      <c r="B3632" s="5" t="s">
        <v>8379</v>
      </c>
      <c r="C3632" s="4" t="s">
        <v>9</v>
      </c>
      <c r="D3632" s="475">
        <v>6782.06</v>
      </c>
      <c r="E3632" s="476">
        <v>0</v>
      </c>
      <c r="F3632" s="6">
        <v>0</v>
      </c>
      <c r="G3632" s="6">
        <v>0.4565</v>
      </c>
    </row>
    <row r="3633" ht="30" customHeight="1" spans="1:7">
      <c r="A3633" s="4" t="s">
        <v>8380</v>
      </c>
      <c r="B3633" s="5" t="s">
        <v>8381</v>
      </c>
      <c r="C3633" s="4" t="s">
        <v>9</v>
      </c>
      <c r="D3633" s="475">
        <v>7107.58</v>
      </c>
      <c r="E3633" s="476">
        <v>0</v>
      </c>
      <c r="F3633" s="6">
        <v>0</v>
      </c>
      <c r="G3633" s="6">
        <v>0.4482</v>
      </c>
    </row>
    <row r="3634" ht="30" customHeight="1" spans="1:7">
      <c r="A3634" s="4" t="s">
        <v>8382</v>
      </c>
      <c r="B3634" s="5" t="s">
        <v>8383</v>
      </c>
      <c r="C3634" s="4" t="s">
        <v>9</v>
      </c>
      <c r="D3634" s="475">
        <v>3754.08</v>
      </c>
      <c r="E3634" s="476">
        <v>0</v>
      </c>
      <c r="F3634" s="6">
        <v>0</v>
      </c>
      <c r="G3634" s="6">
        <v>0.7221</v>
      </c>
    </row>
    <row r="3635" ht="30" customHeight="1" spans="1:7">
      <c r="A3635" s="4" t="s">
        <v>8384</v>
      </c>
      <c r="B3635" s="5" t="s">
        <v>8385</v>
      </c>
      <c r="C3635" s="4" t="s">
        <v>9</v>
      </c>
      <c r="D3635" s="475">
        <v>3952.92</v>
      </c>
      <c r="E3635" s="476">
        <v>0</v>
      </c>
      <c r="F3635" s="6">
        <v>0</v>
      </c>
      <c r="G3635" s="6">
        <v>0.6972</v>
      </c>
    </row>
    <row r="3636" ht="30" customHeight="1" spans="1:7">
      <c r="A3636" s="4" t="s">
        <v>8386</v>
      </c>
      <c r="B3636" s="5" t="s">
        <v>8387</v>
      </c>
      <c r="C3636" s="4" t="s">
        <v>9</v>
      </c>
      <c r="D3636" s="475">
        <v>4157.46</v>
      </c>
      <c r="E3636" s="476">
        <v>0</v>
      </c>
      <c r="F3636" s="6">
        <v>0</v>
      </c>
      <c r="G3636" s="6">
        <v>0.6723</v>
      </c>
    </row>
    <row r="3637" ht="30" customHeight="1" spans="1:7">
      <c r="A3637" s="4" t="s">
        <v>8388</v>
      </c>
      <c r="B3637" s="5" t="s">
        <v>8389</v>
      </c>
      <c r="C3637" s="4" t="s">
        <v>9</v>
      </c>
      <c r="D3637" s="475">
        <v>4399.75</v>
      </c>
      <c r="E3637" s="476">
        <v>0</v>
      </c>
      <c r="F3637" s="6">
        <v>0</v>
      </c>
      <c r="G3637" s="6">
        <v>0.6391</v>
      </c>
    </row>
    <row r="3638" ht="15.75" customHeight="1" spans="1:7">
      <c r="A3638" s="4" t="s">
        <v>8390</v>
      </c>
      <c r="B3638" s="5" t="s">
        <v>8391</v>
      </c>
      <c r="C3638" s="4" t="s">
        <v>9</v>
      </c>
      <c r="D3638" s="475">
        <v>381.76</v>
      </c>
      <c r="E3638" s="476">
        <v>0</v>
      </c>
      <c r="F3638" s="6">
        <v>0</v>
      </c>
      <c r="G3638" s="6">
        <v>4.0836</v>
      </c>
    </row>
    <row r="3639" ht="15.75" customHeight="1" spans="1:7">
      <c r="A3639" s="4" t="s">
        <v>8392</v>
      </c>
      <c r="B3639" s="5" t="s">
        <v>8393</v>
      </c>
      <c r="C3639" s="4" t="s">
        <v>9</v>
      </c>
      <c r="D3639" s="475">
        <v>394.59</v>
      </c>
      <c r="E3639" s="476">
        <v>0</v>
      </c>
      <c r="F3639" s="6">
        <v>0</v>
      </c>
      <c r="G3639" s="6">
        <v>3.9508</v>
      </c>
    </row>
    <row r="3640" ht="15.75" customHeight="1" spans="1:7">
      <c r="A3640" s="4" t="s">
        <v>8394</v>
      </c>
      <c r="B3640" s="5" t="s">
        <v>8395</v>
      </c>
      <c r="C3640" s="4" t="s">
        <v>9</v>
      </c>
      <c r="D3640" s="475">
        <v>415.54</v>
      </c>
      <c r="E3640" s="476">
        <v>0</v>
      </c>
      <c r="F3640" s="6">
        <v>0</v>
      </c>
      <c r="G3640" s="6">
        <v>3.7516</v>
      </c>
    </row>
    <row r="3641" ht="15.75" customHeight="1" spans="1:7">
      <c r="A3641" s="4" t="s">
        <v>8396</v>
      </c>
      <c r="B3641" s="5" t="s">
        <v>8397</v>
      </c>
      <c r="C3641" s="4" t="s">
        <v>9</v>
      </c>
      <c r="D3641" s="475">
        <v>430.79</v>
      </c>
      <c r="E3641" s="476">
        <v>0</v>
      </c>
      <c r="F3641" s="6">
        <v>0</v>
      </c>
      <c r="G3641" s="6">
        <v>3.6188</v>
      </c>
    </row>
    <row r="3642" ht="15.75" customHeight="1" spans="1:7">
      <c r="A3642" s="4" t="s">
        <v>8398</v>
      </c>
      <c r="B3642" s="5" t="s">
        <v>8399</v>
      </c>
      <c r="C3642" s="4" t="s">
        <v>9</v>
      </c>
      <c r="D3642" s="475">
        <v>447.2</v>
      </c>
      <c r="E3642" s="476">
        <v>0</v>
      </c>
      <c r="F3642" s="6">
        <v>0</v>
      </c>
      <c r="G3642" s="6">
        <v>3.486</v>
      </c>
    </row>
    <row r="3643" ht="15.75" customHeight="1" spans="1:7">
      <c r="A3643" s="4" t="s">
        <v>8400</v>
      </c>
      <c r="B3643" s="5" t="s">
        <v>8401</v>
      </c>
      <c r="C3643" s="4" t="s">
        <v>9</v>
      </c>
      <c r="D3643" s="475">
        <v>464.91</v>
      </c>
      <c r="E3643" s="476">
        <v>0</v>
      </c>
      <c r="F3643" s="6">
        <v>0</v>
      </c>
      <c r="G3643" s="6">
        <v>3.3532</v>
      </c>
    </row>
    <row r="3644" ht="15.75" customHeight="1" spans="1:7">
      <c r="A3644" s="4" t="s">
        <v>8402</v>
      </c>
      <c r="B3644" s="5" t="s">
        <v>8403</v>
      </c>
      <c r="C3644" s="4" t="s">
        <v>9</v>
      </c>
      <c r="D3644" s="475">
        <v>485.33</v>
      </c>
      <c r="E3644" s="476">
        <v>0</v>
      </c>
      <c r="F3644" s="6">
        <v>0</v>
      </c>
      <c r="G3644" s="6">
        <v>3.2121</v>
      </c>
    </row>
    <row r="3645" ht="15.75" customHeight="1" spans="1:7">
      <c r="A3645" s="4" t="s">
        <v>8404</v>
      </c>
      <c r="B3645" s="5" t="s">
        <v>8405</v>
      </c>
      <c r="C3645" s="4" t="s">
        <v>9</v>
      </c>
      <c r="D3645" s="475">
        <v>506.26</v>
      </c>
      <c r="E3645" s="476">
        <v>0</v>
      </c>
      <c r="F3645" s="6">
        <v>0</v>
      </c>
      <c r="G3645" s="6">
        <v>3.0793</v>
      </c>
    </row>
    <row r="3646" ht="15.75" customHeight="1" spans="1:7">
      <c r="A3646" s="4" t="s">
        <v>8406</v>
      </c>
      <c r="B3646" s="5" t="s">
        <v>8407</v>
      </c>
      <c r="C3646" s="4" t="s">
        <v>9</v>
      </c>
      <c r="D3646" s="475">
        <v>517.42</v>
      </c>
      <c r="E3646" s="476">
        <v>0</v>
      </c>
      <c r="F3646" s="6">
        <v>0</v>
      </c>
      <c r="G3646" s="6">
        <v>3.0129</v>
      </c>
    </row>
    <row r="3647" ht="15.75" customHeight="1" spans="1:7">
      <c r="A3647" s="4" t="s">
        <v>8408</v>
      </c>
      <c r="B3647" s="5" t="s">
        <v>8409</v>
      </c>
      <c r="C3647" s="4" t="s">
        <v>9</v>
      </c>
      <c r="D3647" s="475">
        <v>317.81</v>
      </c>
      <c r="E3647" s="476">
        <v>0</v>
      </c>
      <c r="F3647" s="6">
        <v>0</v>
      </c>
      <c r="G3647" s="6">
        <v>4.9053</v>
      </c>
    </row>
    <row r="3648" ht="15.75" customHeight="1" spans="1:7">
      <c r="A3648" s="4" t="s">
        <v>8410</v>
      </c>
      <c r="B3648" s="5" t="s">
        <v>8411</v>
      </c>
      <c r="C3648" s="4" t="s">
        <v>9</v>
      </c>
      <c r="D3648" s="475">
        <v>332.43</v>
      </c>
      <c r="E3648" s="476">
        <v>0</v>
      </c>
      <c r="F3648" s="6">
        <v>0</v>
      </c>
      <c r="G3648" s="6">
        <v>4.6895</v>
      </c>
    </row>
    <row r="3649" ht="15.75" customHeight="1" spans="1:7">
      <c r="A3649" s="4" t="s">
        <v>8412</v>
      </c>
      <c r="B3649" s="5" t="s">
        <v>8413</v>
      </c>
      <c r="C3649" s="4" t="s">
        <v>9</v>
      </c>
      <c r="D3649" s="475">
        <v>347.18</v>
      </c>
      <c r="E3649" s="476">
        <v>0</v>
      </c>
      <c r="F3649" s="6">
        <v>0</v>
      </c>
      <c r="G3649" s="6">
        <v>4.4903</v>
      </c>
    </row>
    <row r="3650" ht="15.75" customHeight="1" spans="1:7">
      <c r="A3650" s="4" t="s">
        <v>8414</v>
      </c>
      <c r="B3650" s="5" t="s">
        <v>8415</v>
      </c>
      <c r="C3650" s="4" t="s">
        <v>9</v>
      </c>
      <c r="D3650" s="475">
        <v>363.3</v>
      </c>
      <c r="E3650" s="476">
        <v>0</v>
      </c>
      <c r="F3650" s="6">
        <v>0</v>
      </c>
      <c r="G3650" s="6">
        <v>4.2911</v>
      </c>
    </row>
    <row r="3651" ht="15.75" customHeight="1" spans="1:7">
      <c r="A3651" s="4" t="s">
        <v>8416</v>
      </c>
      <c r="B3651" s="5" t="s">
        <v>8417</v>
      </c>
      <c r="C3651" s="4" t="s">
        <v>99</v>
      </c>
      <c r="D3651" s="475">
        <v>355.94</v>
      </c>
      <c r="E3651" s="476">
        <v>0.13329</v>
      </c>
      <c r="F3651" s="6">
        <v>20.2902</v>
      </c>
      <c r="G3651" s="6">
        <v>4.98</v>
      </c>
    </row>
    <row r="3652" ht="15.75" customHeight="1" spans="1:7">
      <c r="A3652" s="4" t="s">
        <v>8418</v>
      </c>
      <c r="B3652" s="5" t="s">
        <v>8419</v>
      </c>
      <c r="C3652" s="4" t="s">
        <v>9</v>
      </c>
      <c r="D3652" s="475">
        <v>52.53</v>
      </c>
      <c r="E3652" s="476">
        <v>0.13329</v>
      </c>
      <c r="F3652" s="6">
        <v>6.1752</v>
      </c>
      <c r="G3652" s="6">
        <v>1.66</v>
      </c>
    </row>
    <row r="3653" ht="15.75" customHeight="1" spans="1:7">
      <c r="A3653" s="4" t="s">
        <v>8420</v>
      </c>
      <c r="B3653" s="5" t="s">
        <v>8421</v>
      </c>
      <c r="C3653" s="4" t="s">
        <v>9</v>
      </c>
      <c r="D3653" s="475">
        <v>70.04</v>
      </c>
      <c r="E3653" s="476">
        <v>0.13329</v>
      </c>
      <c r="F3653" s="6">
        <v>8.2335</v>
      </c>
      <c r="G3653" s="6">
        <v>1.245</v>
      </c>
    </row>
    <row r="3654" ht="15.75" customHeight="1" spans="1:7">
      <c r="A3654" s="4" t="s">
        <v>8422</v>
      </c>
      <c r="B3654" s="5" t="s">
        <v>8423</v>
      </c>
      <c r="C3654" s="4" t="s">
        <v>99</v>
      </c>
      <c r="D3654" s="475">
        <v>1246.64</v>
      </c>
      <c r="E3654" s="476">
        <v>0.13329</v>
      </c>
      <c r="F3654" s="6">
        <v>76.8227</v>
      </c>
      <c r="G3654" s="6">
        <v>1.59711</v>
      </c>
    </row>
    <row r="3655" ht="15.75" customHeight="1" spans="1:7">
      <c r="A3655" s="4" t="s">
        <v>8424</v>
      </c>
      <c r="B3655" s="5" t="s">
        <v>8425</v>
      </c>
      <c r="C3655" s="4" t="s">
        <v>9</v>
      </c>
      <c r="D3655" s="475">
        <v>546.56</v>
      </c>
      <c r="E3655" s="476">
        <v>0.13329</v>
      </c>
      <c r="F3655" s="6">
        <v>3.3782</v>
      </c>
      <c r="G3655" s="6">
        <v>8.964</v>
      </c>
    </row>
    <row r="3656" ht="15.75" customHeight="1" spans="1:7">
      <c r="A3656" s="4" t="s">
        <v>8426</v>
      </c>
      <c r="B3656" s="5" t="s">
        <v>8427</v>
      </c>
      <c r="C3656" s="4" t="s">
        <v>9</v>
      </c>
      <c r="D3656" s="475">
        <v>309.11</v>
      </c>
      <c r="E3656" s="476">
        <v>0.13329</v>
      </c>
      <c r="F3656" s="6">
        <v>3.3782</v>
      </c>
      <c r="G3656" s="6">
        <v>8.964</v>
      </c>
    </row>
    <row r="3657" ht="15.75" customHeight="1" spans="1:7">
      <c r="A3657" s="4" t="s">
        <v>8428</v>
      </c>
      <c r="B3657" s="5" t="s">
        <v>8429</v>
      </c>
      <c r="C3657" s="4" t="s">
        <v>9</v>
      </c>
      <c r="D3657" s="475">
        <v>442.52</v>
      </c>
      <c r="E3657" s="476">
        <v>0.13329</v>
      </c>
      <c r="F3657" s="6">
        <v>3.556</v>
      </c>
      <c r="G3657" s="6">
        <v>8.5158</v>
      </c>
    </row>
    <row r="3658" ht="15.75" customHeight="1" spans="1:7">
      <c r="A3658" s="4" t="s">
        <v>8430</v>
      </c>
      <c r="B3658" s="5" t="s">
        <v>8431</v>
      </c>
      <c r="C3658" s="4" t="s">
        <v>9</v>
      </c>
      <c r="D3658" s="475">
        <v>524.16</v>
      </c>
      <c r="E3658" s="476">
        <v>0.13329</v>
      </c>
      <c r="F3658" s="6">
        <v>3.6853</v>
      </c>
      <c r="G3658" s="6">
        <v>8.217</v>
      </c>
    </row>
    <row r="3659" ht="15.75" customHeight="1" spans="1:7">
      <c r="A3659" s="4" t="s">
        <v>8432</v>
      </c>
      <c r="B3659" s="5" t="s">
        <v>8433</v>
      </c>
      <c r="C3659" s="4" t="s">
        <v>9</v>
      </c>
      <c r="D3659" s="475">
        <v>654.28</v>
      </c>
      <c r="E3659" s="476">
        <v>0.13329</v>
      </c>
      <c r="F3659" s="6">
        <v>3.8608</v>
      </c>
      <c r="G3659" s="6">
        <v>7.8435</v>
      </c>
    </row>
    <row r="3660" ht="15.75" customHeight="1" spans="1:7">
      <c r="A3660" s="4" t="s">
        <v>8434</v>
      </c>
      <c r="B3660" s="5" t="s">
        <v>8435</v>
      </c>
      <c r="C3660" s="4" t="s">
        <v>9</v>
      </c>
      <c r="D3660" s="475">
        <v>772.2</v>
      </c>
      <c r="E3660" s="476">
        <v>0.13329</v>
      </c>
      <c r="F3660" s="6">
        <v>4.0538</v>
      </c>
      <c r="G3660" s="6">
        <v>7.47</v>
      </c>
    </row>
    <row r="3661" ht="15.75" customHeight="1" spans="1:7">
      <c r="A3661" s="4" t="s">
        <v>8436</v>
      </c>
      <c r="B3661" s="5" t="s">
        <v>8437</v>
      </c>
      <c r="C3661" s="4" t="s">
        <v>9</v>
      </c>
      <c r="D3661" s="475">
        <v>215.54</v>
      </c>
      <c r="E3661" s="476">
        <v>0.13329</v>
      </c>
      <c r="F3661" s="6">
        <v>12.8519</v>
      </c>
      <c r="G3661" s="6">
        <v>6.225</v>
      </c>
    </row>
    <row r="3662" ht="15.75" customHeight="1" spans="1:7">
      <c r="A3662" s="4" t="s">
        <v>8438</v>
      </c>
      <c r="B3662" s="5" t="s">
        <v>8439</v>
      </c>
      <c r="C3662" s="4" t="s">
        <v>9</v>
      </c>
      <c r="D3662" s="475">
        <v>235.13</v>
      </c>
      <c r="E3662" s="476">
        <v>0.13329</v>
      </c>
      <c r="F3662" s="6">
        <v>14.0202</v>
      </c>
      <c r="G3662" s="6">
        <v>5.70625</v>
      </c>
    </row>
    <row r="3663" ht="15.75" customHeight="1" spans="1:7">
      <c r="A3663" s="4" t="s">
        <v>8440</v>
      </c>
      <c r="B3663" s="5" t="s">
        <v>8441</v>
      </c>
      <c r="C3663" s="4" t="s">
        <v>9</v>
      </c>
      <c r="D3663" s="475">
        <v>258.64</v>
      </c>
      <c r="E3663" s="476">
        <v>0.13329</v>
      </c>
      <c r="F3663" s="6">
        <v>15.4223</v>
      </c>
      <c r="G3663" s="6">
        <v>5.1875</v>
      </c>
    </row>
    <row r="3664" ht="15.75" customHeight="1" spans="1:7">
      <c r="A3664" s="4" t="s">
        <v>8442</v>
      </c>
      <c r="B3664" s="5" t="s">
        <v>8443</v>
      </c>
      <c r="C3664" s="4" t="s">
        <v>9</v>
      </c>
      <c r="D3664" s="475">
        <v>300.75</v>
      </c>
      <c r="E3664" s="476">
        <v>0.13329</v>
      </c>
      <c r="F3664" s="6">
        <v>17.9329</v>
      </c>
      <c r="G3664" s="6">
        <v>4.46125</v>
      </c>
    </row>
    <row r="3665" ht="15.75" customHeight="1" spans="1:7">
      <c r="A3665" s="4" t="s">
        <v>8444</v>
      </c>
      <c r="B3665" s="5" t="s">
        <v>8445</v>
      </c>
      <c r="C3665" s="4" t="s">
        <v>9</v>
      </c>
      <c r="D3665" s="475">
        <v>369.49</v>
      </c>
      <c r="E3665" s="476">
        <v>0.13329</v>
      </c>
      <c r="F3665" s="6">
        <v>22.0318</v>
      </c>
      <c r="G3665" s="6">
        <v>3.63125</v>
      </c>
    </row>
    <row r="3666" ht="15.75" customHeight="1" spans="1:7">
      <c r="A3666" s="4" t="s">
        <v>8446</v>
      </c>
      <c r="B3666" s="5" t="s">
        <v>8447</v>
      </c>
      <c r="C3666" s="4" t="s">
        <v>9</v>
      </c>
      <c r="D3666" s="475">
        <v>517.29</v>
      </c>
      <c r="E3666" s="476">
        <v>0.13329</v>
      </c>
      <c r="F3666" s="6">
        <v>30.8445</v>
      </c>
      <c r="G3666" s="6">
        <v>2.59375</v>
      </c>
    </row>
    <row r="3667" ht="15.75" customHeight="1" spans="1:7">
      <c r="A3667" s="4" t="s">
        <v>8448</v>
      </c>
      <c r="B3667" s="5" t="s">
        <v>8449</v>
      </c>
      <c r="C3667" s="4" t="s">
        <v>99</v>
      </c>
      <c r="D3667" s="475">
        <v>343.38</v>
      </c>
      <c r="E3667" s="476">
        <v>0.13329</v>
      </c>
      <c r="F3667" s="6">
        <v>22.3023</v>
      </c>
      <c r="G3667" s="6">
        <v>5.09281</v>
      </c>
    </row>
    <row r="3668" ht="15.75" customHeight="1" spans="1:7">
      <c r="A3668" s="4" t="s">
        <v>8450</v>
      </c>
      <c r="B3668" s="5" t="s">
        <v>8451</v>
      </c>
      <c r="C3668" s="4" t="s">
        <v>99</v>
      </c>
      <c r="D3668" s="475">
        <v>411.73</v>
      </c>
      <c r="E3668" s="476">
        <v>0.13329</v>
      </c>
      <c r="F3668" s="6">
        <v>26.7412</v>
      </c>
      <c r="G3668" s="6">
        <v>4.24743</v>
      </c>
    </row>
    <row r="3669" ht="15.75" customHeight="1" spans="1:7">
      <c r="A3669" s="4" t="s">
        <v>8452</v>
      </c>
      <c r="B3669" s="5" t="s">
        <v>8453</v>
      </c>
      <c r="C3669" s="4" t="s">
        <v>9</v>
      </c>
      <c r="D3669" s="475">
        <v>355.83</v>
      </c>
      <c r="E3669" s="476">
        <v>0.13329</v>
      </c>
      <c r="F3669" s="6">
        <v>3.0404</v>
      </c>
      <c r="G3669" s="6">
        <v>9.96</v>
      </c>
    </row>
    <row r="3670" ht="15.75" customHeight="1" spans="1:7">
      <c r="A3670" s="4" t="s">
        <v>8454</v>
      </c>
      <c r="B3670" s="5" t="s">
        <v>8455</v>
      </c>
      <c r="C3670" s="4" t="s">
        <v>101</v>
      </c>
      <c r="D3670" s="475">
        <v>17.24</v>
      </c>
      <c r="E3670" s="476">
        <v>0.13329</v>
      </c>
      <c r="F3670" s="6">
        <v>0.019</v>
      </c>
      <c r="G3670" s="6">
        <v>6022.69</v>
      </c>
    </row>
    <row r="3671" ht="15.75" customHeight="1" spans="1:7">
      <c r="A3671" s="4" t="s">
        <v>8456</v>
      </c>
      <c r="B3671" s="5" t="s">
        <v>8457</v>
      </c>
      <c r="C3671" s="4" t="s">
        <v>101</v>
      </c>
      <c r="D3671" s="475">
        <v>17.91</v>
      </c>
      <c r="E3671" s="476">
        <v>0</v>
      </c>
      <c r="F3671" s="6">
        <v>0</v>
      </c>
      <c r="G3671" s="6">
        <v>3011.34</v>
      </c>
    </row>
    <row r="3672" ht="15.75" customHeight="1" spans="1:7">
      <c r="A3672" s="4" t="s">
        <v>8458</v>
      </c>
      <c r="B3672" s="5" t="s">
        <v>8459</v>
      </c>
      <c r="C3672" s="4" t="s">
        <v>101</v>
      </c>
      <c r="D3672" s="475">
        <v>3.17</v>
      </c>
      <c r="E3672" s="476">
        <v>0</v>
      </c>
      <c r="F3672" s="6">
        <v>0</v>
      </c>
      <c r="G3672" s="6">
        <v>2007.56</v>
      </c>
    </row>
    <row r="3673" ht="15.75" customHeight="1" spans="1:7">
      <c r="A3673" s="4" t="s">
        <v>8460</v>
      </c>
      <c r="B3673" s="5" t="s">
        <v>8461</v>
      </c>
      <c r="C3673" s="4" t="s">
        <v>101</v>
      </c>
      <c r="D3673" s="475">
        <v>2.18</v>
      </c>
      <c r="E3673" s="476">
        <v>0.13329</v>
      </c>
      <c r="F3673" s="6">
        <v>0.0284</v>
      </c>
      <c r="G3673" s="6">
        <v>4015.13</v>
      </c>
    </row>
    <row r="3674" ht="15.75" customHeight="1" spans="1:7">
      <c r="A3674" s="4" t="s">
        <v>8462</v>
      </c>
      <c r="B3674" s="5" t="s">
        <v>8463</v>
      </c>
      <c r="C3674" s="4" t="s">
        <v>9</v>
      </c>
      <c r="D3674" s="475">
        <v>363.86</v>
      </c>
      <c r="E3674" s="476">
        <v>0.13329</v>
      </c>
      <c r="F3674" s="6">
        <v>5.3319</v>
      </c>
      <c r="G3674" s="6">
        <v>5.81</v>
      </c>
    </row>
    <row r="3675" ht="15.75" customHeight="1" spans="1:7">
      <c r="A3675" s="4" t="s">
        <v>8464</v>
      </c>
      <c r="B3675" s="5" t="s">
        <v>8465</v>
      </c>
      <c r="C3675" s="4" t="s">
        <v>9</v>
      </c>
      <c r="D3675" s="475">
        <v>525.63</v>
      </c>
      <c r="E3675" s="476">
        <v>0.13329</v>
      </c>
      <c r="F3675" s="6">
        <v>5.5294</v>
      </c>
      <c r="G3675" s="6">
        <v>5.6025</v>
      </c>
    </row>
    <row r="3676" ht="15.75" customHeight="1" spans="1:7">
      <c r="A3676" s="4" t="s">
        <v>8466</v>
      </c>
      <c r="B3676" s="5" t="s">
        <v>8467</v>
      </c>
      <c r="C3676" s="4" t="s">
        <v>9</v>
      </c>
      <c r="D3676" s="475">
        <v>673.58</v>
      </c>
      <c r="E3676" s="476">
        <v>0.13329</v>
      </c>
      <c r="F3676" s="6">
        <v>6.3529</v>
      </c>
      <c r="G3676" s="6">
        <v>4.87625</v>
      </c>
    </row>
    <row r="3677" ht="15.75" customHeight="1" spans="1:7">
      <c r="A3677" s="4" t="s">
        <v>8468</v>
      </c>
      <c r="B3677" s="5" t="s">
        <v>8469</v>
      </c>
      <c r="C3677" s="4" t="s">
        <v>9</v>
      </c>
      <c r="D3677" s="475">
        <v>900.98</v>
      </c>
      <c r="E3677" s="476">
        <v>0.13329</v>
      </c>
      <c r="F3677" s="6">
        <v>7.8576</v>
      </c>
      <c r="G3677" s="6">
        <v>3.9425</v>
      </c>
    </row>
    <row r="3678" ht="15.75" customHeight="1" spans="1:7">
      <c r="A3678" s="4" t="s">
        <v>8470</v>
      </c>
      <c r="B3678" s="5" t="s">
        <v>8471</v>
      </c>
      <c r="C3678" s="4" t="s">
        <v>9</v>
      </c>
      <c r="D3678" s="475">
        <v>1127.35</v>
      </c>
      <c r="E3678" s="476">
        <v>0.13329</v>
      </c>
      <c r="F3678" s="6">
        <v>9.9529</v>
      </c>
      <c r="G3678" s="6">
        <v>3.1125</v>
      </c>
    </row>
    <row r="3679" ht="15.75" customHeight="1" spans="1:7">
      <c r="A3679" s="4" t="s">
        <v>8472</v>
      </c>
      <c r="B3679" s="5" t="s">
        <v>8473</v>
      </c>
      <c r="C3679" s="4" t="s">
        <v>9</v>
      </c>
      <c r="D3679" s="475">
        <v>260.83</v>
      </c>
      <c r="E3679" s="476">
        <v>0.13329</v>
      </c>
      <c r="F3679" s="6">
        <v>4.2655</v>
      </c>
      <c r="G3679" s="6">
        <v>7.2625</v>
      </c>
    </row>
    <row r="3680" ht="15.75" customHeight="1" spans="1:7">
      <c r="A3680" s="4" t="s">
        <v>8474</v>
      </c>
      <c r="B3680" s="5" t="s">
        <v>8475</v>
      </c>
      <c r="C3680" s="4" t="s">
        <v>9</v>
      </c>
      <c r="D3680" s="475">
        <v>336.06</v>
      </c>
      <c r="E3680" s="476">
        <v>0.13329</v>
      </c>
      <c r="F3680" s="6">
        <v>4.7395</v>
      </c>
      <c r="G3680" s="6">
        <v>6.53625</v>
      </c>
    </row>
    <row r="3681" ht="15.75" customHeight="1" spans="1:7">
      <c r="A3681" s="4" t="s">
        <v>8476</v>
      </c>
      <c r="B3681" s="5" t="s">
        <v>8477</v>
      </c>
      <c r="C3681" s="4" t="s">
        <v>9</v>
      </c>
      <c r="D3681" s="475">
        <v>91.34</v>
      </c>
      <c r="E3681" s="476">
        <v>0</v>
      </c>
      <c r="F3681" s="6">
        <v>0</v>
      </c>
      <c r="G3681" s="6">
        <v>8.3</v>
      </c>
    </row>
    <row r="3682" ht="15.75" customHeight="1" spans="1:7">
      <c r="A3682" s="4" t="s">
        <v>8478</v>
      </c>
      <c r="B3682" s="5" t="s">
        <v>8479</v>
      </c>
      <c r="C3682" s="4" t="s">
        <v>9</v>
      </c>
      <c r="D3682" s="475">
        <v>97</v>
      </c>
      <c r="E3682" s="476">
        <v>0</v>
      </c>
      <c r="F3682" s="6">
        <v>0</v>
      </c>
      <c r="G3682" s="6">
        <v>7.98875</v>
      </c>
    </row>
    <row r="3683" ht="15.75" customHeight="1" spans="1:7">
      <c r="A3683" s="4" t="s">
        <v>8480</v>
      </c>
      <c r="B3683" s="5" t="s">
        <v>8481</v>
      </c>
      <c r="C3683" s="4" t="s">
        <v>9</v>
      </c>
      <c r="D3683" s="475">
        <v>107.57</v>
      </c>
      <c r="E3683" s="476">
        <v>0</v>
      </c>
      <c r="F3683" s="6">
        <v>0</v>
      </c>
      <c r="G3683" s="6">
        <v>7.78125</v>
      </c>
    </row>
    <row r="3684" ht="15.75" customHeight="1" spans="1:7">
      <c r="A3684" s="4" t="s">
        <v>8482</v>
      </c>
      <c r="B3684" s="5" t="s">
        <v>8483</v>
      </c>
      <c r="C3684" s="4" t="s">
        <v>9</v>
      </c>
      <c r="D3684" s="475">
        <v>113.8</v>
      </c>
      <c r="E3684" s="476">
        <v>0</v>
      </c>
      <c r="F3684" s="6">
        <v>0</v>
      </c>
      <c r="G3684" s="6">
        <v>7.57375</v>
      </c>
    </row>
    <row r="3685" ht="15.75" customHeight="1" spans="1:7">
      <c r="A3685" s="4" t="s">
        <v>8484</v>
      </c>
      <c r="B3685" s="5" t="s">
        <v>8485</v>
      </c>
      <c r="C3685" s="4" t="s">
        <v>9</v>
      </c>
      <c r="D3685" s="475">
        <v>120.7</v>
      </c>
      <c r="E3685" s="476">
        <v>0</v>
      </c>
      <c r="F3685" s="6">
        <v>0</v>
      </c>
      <c r="G3685" s="6">
        <v>7.2625</v>
      </c>
    </row>
    <row r="3686" ht="15.75" customHeight="1" spans="1:7">
      <c r="A3686" s="4" t="s">
        <v>8486</v>
      </c>
      <c r="B3686" s="5" t="s">
        <v>8487</v>
      </c>
      <c r="C3686" s="4" t="s">
        <v>9</v>
      </c>
      <c r="D3686" s="475">
        <v>130.86</v>
      </c>
      <c r="E3686" s="476">
        <v>0</v>
      </c>
      <c r="F3686" s="6">
        <v>0</v>
      </c>
      <c r="G3686" s="6">
        <v>7.055</v>
      </c>
    </row>
    <row r="3687" ht="15.75" customHeight="1" spans="1:7">
      <c r="A3687" s="4" t="s">
        <v>8488</v>
      </c>
      <c r="B3687" s="5" t="s">
        <v>8489</v>
      </c>
      <c r="C3687" s="4" t="s">
        <v>9</v>
      </c>
      <c r="D3687" s="475">
        <v>134.67</v>
      </c>
      <c r="E3687" s="476">
        <v>0</v>
      </c>
      <c r="F3687" s="6">
        <v>0</v>
      </c>
      <c r="G3687" s="6">
        <v>6.8475</v>
      </c>
    </row>
    <row r="3688" ht="15.75" customHeight="1" spans="1:7">
      <c r="A3688" s="4" t="s">
        <v>8490</v>
      </c>
      <c r="B3688" s="5" t="s">
        <v>8491</v>
      </c>
      <c r="C3688" s="4" t="s">
        <v>9</v>
      </c>
      <c r="D3688" s="475">
        <v>150.3</v>
      </c>
      <c r="E3688" s="476">
        <v>0</v>
      </c>
      <c r="F3688" s="6">
        <v>0</v>
      </c>
      <c r="G3688" s="6">
        <v>6.53625</v>
      </c>
    </row>
    <row r="3689" ht="15.75" customHeight="1" spans="1:7">
      <c r="A3689" s="4" t="s">
        <v>8492</v>
      </c>
      <c r="B3689" s="5" t="s">
        <v>8493</v>
      </c>
      <c r="C3689" s="4" t="s">
        <v>9</v>
      </c>
      <c r="D3689" s="475">
        <v>167.56</v>
      </c>
      <c r="E3689" s="476">
        <v>0</v>
      </c>
      <c r="F3689" s="6">
        <v>0</v>
      </c>
      <c r="G3689" s="6">
        <v>6.0175</v>
      </c>
    </row>
    <row r="3690" ht="15.75" customHeight="1" spans="1:7">
      <c r="A3690" s="4" t="s">
        <v>8494</v>
      </c>
      <c r="B3690" s="5" t="s">
        <v>8495</v>
      </c>
      <c r="C3690" s="4" t="s">
        <v>9</v>
      </c>
      <c r="D3690" s="475">
        <v>182.95</v>
      </c>
      <c r="E3690" s="476">
        <v>0</v>
      </c>
      <c r="F3690" s="6">
        <v>0</v>
      </c>
      <c r="G3690" s="6">
        <v>5.81</v>
      </c>
    </row>
    <row r="3691" ht="15.75" customHeight="1" spans="1:7">
      <c r="A3691" s="4" t="s">
        <v>8496</v>
      </c>
      <c r="B3691" s="5" t="s">
        <v>8497</v>
      </c>
      <c r="C3691" s="4" t="s">
        <v>9</v>
      </c>
      <c r="D3691" s="475">
        <v>193.17</v>
      </c>
      <c r="E3691" s="476">
        <v>0</v>
      </c>
      <c r="F3691" s="6">
        <v>0</v>
      </c>
      <c r="G3691" s="6">
        <v>5.6025</v>
      </c>
    </row>
    <row r="3692" ht="15.75" customHeight="1" spans="1:7">
      <c r="A3692" s="4" t="s">
        <v>8498</v>
      </c>
      <c r="B3692" s="5" t="s">
        <v>8499</v>
      </c>
      <c r="C3692" s="4" t="s">
        <v>9</v>
      </c>
      <c r="D3692" s="475">
        <v>216.05</v>
      </c>
      <c r="E3692" s="476">
        <v>0</v>
      </c>
      <c r="F3692" s="6">
        <v>0</v>
      </c>
      <c r="G3692" s="6">
        <v>5.29125</v>
      </c>
    </row>
    <row r="3693" ht="15.75" customHeight="1" spans="1:7">
      <c r="A3693" s="4" t="s">
        <v>8500</v>
      </c>
      <c r="B3693" s="5" t="s">
        <v>8501</v>
      </c>
      <c r="C3693" s="4" t="s">
        <v>9</v>
      </c>
      <c r="D3693" s="475">
        <v>230.83</v>
      </c>
      <c r="E3693" s="476">
        <v>0</v>
      </c>
      <c r="F3693" s="6">
        <v>0</v>
      </c>
      <c r="G3693" s="6">
        <v>5.08375</v>
      </c>
    </row>
    <row r="3694" ht="15.75" customHeight="1" spans="1:7">
      <c r="A3694" s="4" t="s">
        <v>8502</v>
      </c>
      <c r="B3694" s="5" t="s">
        <v>8503</v>
      </c>
      <c r="C3694" s="4" t="s">
        <v>9</v>
      </c>
      <c r="D3694" s="475">
        <v>264.63</v>
      </c>
      <c r="E3694" s="476">
        <v>0</v>
      </c>
      <c r="F3694" s="6">
        <v>0</v>
      </c>
      <c r="G3694" s="6">
        <v>4.87625</v>
      </c>
    </row>
    <row r="3695" ht="15.75" customHeight="1" spans="1:7">
      <c r="A3695" s="4" t="s">
        <v>8504</v>
      </c>
      <c r="B3695" s="5" t="s">
        <v>8505</v>
      </c>
      <c r="C3695" s="4" t="s">
        <v>9</v>
      </c>
      <c r="D3695" s="475">
        <v>392.32</v>
      </c>
      <c r="E3695" s="476">
        <v>0.13329</v>
      </c>
      <c r="F3695" s="6">
        <v>7.4647</v>
      </c>
      <c r="G3695" s="6">
        <v>4.15</v>
      </c>
    </row>
    <row r="3696" ht="15.75" customHeight="1" spans="1:7">
      <c r="A3696" s="4" t="s">
        <v>8506</v>
      </c>
      <c r="B3696" s="5" t="s">
        <v>8507</v>
      </c>
      <c r="C3696" s="4" t="s">
        <v>9</v>
      </c>
      <c r="D3696" s="475">
        <v>140.97</v>
      </c>
      <c r="E3696" s="476">
        <v>0.13329</v>
      </c>
      <c r="F3696" s="6">
        <v>3.7323</v>
      </c>
      <c r="G3696" s="6">
        <v>8.3</v>
      </c>
    </row>
    <row r="3697" ht="15.75" customHeight="1" spans="1:7">
      <c r="A3697" s="4" t="s">
        <v>8508</v>
      </c>
      <c r="B3697" s="5" t="s">
        <v>8509</v>
      </c>
      <c r="C3697" s="4" t="s">
        <v>9</v>
      </c>
      <c r="D3697" s="475">
        <v>178.98</v>
      </c>
      <c r="E3697" s="476">
        <v>0.13329</v>
      </c>
      <c r="F3697" s="6">
        <v>4.035</v>
      </c>
      <c r="G3697" s="6">
        <v>7.6775</v>
      </c>
    </row>
    <row r="3698" ht="15.75" customHeight="1" spans="1:7">
      <c r="A3698" s="4" t="s">
        <v>8510</v>
      </c>
      <c r="B3698" s="5" t="s">
        <v>8511</v>
      </c>
      <c r="C3698" s="4" t="s">
        <v>9</v>
      </c>
      <c r="D3698" s="475">
        <v>223.35</v>
      </c>
      <c r="E3698" s="476">
        <v>0.13329</v>
      </c>
      <c r="F3698" s="6">
        <v>4.035</v>
      </c>
      <c r="G3698" s="6">
        <v>7.6775</v>
      </c>
    </row>
    <row r="3699" ht="15.75" customHeight="1" spans="1:7">
      <c r="A3699" s="4" t="s">
        <v>8512</v>
      </c>
      <c r="B3699" s="5" t="s">
        <v>8513</v>
      </c>
      <c r="C3699" s="4" t="s">
        <v>9</v>
      </c>
      <c r="D3699" s="475">
        <v>318.42</v>
      </c>
      <c r="E3699" s="476">
        <v>0.13329</v>
      </c>
      <c r="F3699" s="6">
        <v>5.9718</v>
      </c>
      <c r="G3699" s="6">
        <v>5.1875</v>
      </c>
    </row>
    <row r="3700" ht="15.75" customHeight="1" spans="1:7">
      <c r="A3700" s="4" t="s">
        <v>8514</v>
      </c>
      <c r="B3700" s="5" t="s">
        <v>8515</v>
      </c>
      <c r="C3700" s="4" t="s">
        <v>9</v>
      </c>
      <c r="D3700" s="475">
        <v>612.32</v>
      </c>
      <c r="E3700" s="476">
        <v>0.13329</v>
      </c>
      <c r="F3700" s="6">
        <v>38.0506</v>
      </c>
      <c r="G3700" s="6">
        <v>1.66</v>
      </c>
    </row>
    <row r="3701" ht="15.75" customHeight="1" spans="1:7">
      <c r="A3701" s="4" t="s">
        <v>8516</v>
      </c>
      <c r="B3701" s="5" t="s">
        <v>8517</v>
      </c>
      <c r="C3701" s="4" t="s">
        <v>9</v>
      </c>
      <c r="D3701" s="475">
        <v>770.51</v>
      </c>
      <c r="E3701" s="476">
        <v>0.13329</v>
      </c>
      <c r="F3701" s="6">
        <v>47.6141</v>
      </c>
      <c r="G3701" s="6">
        <v>1.328</v>
      </c>
    </row>
    <row r="3702" ht="15.75" customHeight="1" spans="1:7">
      <c r="A3702" s="4" t="s">
        <v>8518</v>
      </c>
      <c r="B3702" s="5" t="s">
        <v>8519</v>
      </c>
      <c r="C3702" s="4" t="s">
        <v>9</v>
      </c>
      <c r="D3702" s="475">
        <v>1040.9</v>
      </c>
      <c r="E3702" s="476">
        <v>0.13329</v>
      </c>
      <c r="F3702" s="6">
        <v>63.5514</v>
      </c>
      <c r="G3702" s="6">
        <v>0.996</v>
      </c>
    </row>
    <row r="3703" ht="15.75" customHeight="1" spans="1:7">
      <c r="A3703" s="4" t="s">
        <v>8520</v>
      </c>
      <c r="B3703" s="5" t="s">
        <v>8521</v>
      </c>
      <c r="C3703" s="4" t="s">
        <v>9</v>
      </c>
      <c r="D3703" s="475">
        <v>1579.23</v>
      </c>
      <c r="E3703" s="476">
        <v>0.13329</v>
      </c>
      <c r="F3703" s="6">
        <v>87.3262</v>
      </c>
      <c r="G3703" s="6">
        <v>0.747</v>
      </c>
    </row>
    <row r="3704" ht="15.75" customHeight="1" spans="1:7">
      <c r="A3704" s="4" t="s">
        <v>8522</v>
      </c>
      <c r="B3704" s="5" t="s">
        <v>8523</v>
      </c>
      <c r="C3704" s="4" t="s">
        <v>9</v>
      </c>
      <c r="D3704" s="475">
        <v>2376.92</v>
      </c>
      <c r="E3704" s="476">
        <v>0.13329</v>
      </c>
      <c r="F3704" s="6">
        <v>131.1762</v>
      </c>
      <c r="G3704" s="6">
        <v>0.498</v>
      </c>
    </row>
    <row r="3705" ht="15.75" customHeight="1" spans="1:7">
      <c r="A3705" s="4" t="s">
        <v>8524</v>
      </c>
      <c r="B3705" s="5" t="s">
        <v>8525</v>
      </c>
      <c r="C3705" s="4" t="s">
        <v>9</v>
      </c>
      <c r="D3705" s="475">
        <v>2399.89</v>
      </c>
      <c r="E3705" s="476">
        <v>0.13329</v>
      </c>
      <c r="F3705" s="6">
        <v>131.5399</v>
      </c>
      <c r="G3705" s="6">
        <v>0.498</v>
      </c>
    </row>
    <row r="3706" ht="15.75" customHeight="1" spans="1:7">
      <c r="A3706" s="4" t="s">
        <v>8526</v>
      </c>
      <c r="B3706" s="5" t="s">
        <v>8527</v>
      </c>
      <c r="C3706" s="4" t="s">
        <v>9</v>
      </c>
      <c r="D3706" s="475">
        <v>112.5</v>
      </c>
      <c r="E3706" s="476">
        <v>0.13329</v>
      </c>
      <c r="F3706" s="6">
        <v>8.3471</v>
      </c>
      <c r="G3706" s="6">
        <v>6.391</v>
      </c>
    </row>
    <row r="3707" ht="15.75" customHeight="1" spans="1:7">
      <c r="A3707" s="4" t="s">
        <v>8528</v>
      </c>
      <c r="B3707" s="5" t="s">
        <v>8529</v>
      </c>
      <c r="C3707" s="4" t="s">
        <v>9</v>
      </c>
      <c r="D3707" s="475">
        <v>134.27</v>
      </c>
      <c r="E3707" s="476">
        <v>0.13329</v>
      </c>
      <c r="F3707" s="6">
        <v>9.52</v>
      </c>
      <c r="G3707" s="6">
        <v>5.644</v>
      </c>
    </row>
    <row r="3708" ht="15.75" customHeight="1" spans="1:7">
      <c r="A3708" s="4" t="s">
        <v>8530</v>
      </c>
      <c r="B3708" s="5" t="s">
        <v>8531</v>
      </c>
      <c r="C3708" s="4" t="s">
        <v>9</v>
      </c>
      <c r="D3708" s="475">
        <v>164.06</v>
      </c>
      <c r="E3708" s="476">
        <v>0.13329</v>
      </c>
      <c r="F3708" s="6">
        <v>11.0808</v>
      </c>
      <c r="G3708" s="6">
        <v>4.897</v>
      </c>
    </row>
    <row r="3709" ht="15.75" customHeight="1" spans="1:7">
      <c r="A3709" s="4" t="s">
        <v>8532</v>
      </c>
      <c r="B3709" s="5" t="s">
        <v>8533</v>
      </c>
      <c r="C3709" s="4" t="s">
        <v>9</v>
      </c>
      <c r="D3709" s="475">
        <v>211</v>
      </c>
      <c r="E3709" s="476">
        <v>0.13329</v>
      </c>
      <c r="F3709" s="6">
        <v>13.4953</v>
      </c>
      <c r="G3709" s="6">
        <v>4.067</v>
      </c>
    </row>
    <row r="3710" ht="15.75" customHeight="1" spans="1:7">
      <c r="A3710" s="4" t="s">
        <v>8534</v>
      </c>
      <c r="B3710" s="5" t="s">
        <v>8535</v>
      </c>
      <c r="C3710" s="4" t="s">
        <v>9</v>
      </c>
      <c r="D3710" s="475">
        <v>294.62</v>
      </c>
      <c r="E3710" s="476">
        <v>0.13329</v>
      </c>
      <c r="F3710" s="6">
        <v>17.7174</v>
      </c>
      <c r="G3710" s="6">
        <v>3.154</v>
      </c>
    </row>
    <row r="3711" ht="15.75" customHeight="1" spans="1:7">
      <c r="A3711" s="4" t="s">
        <v>8536</v>
      </c>
      <c r="B3711" s="5" t="s">
        <v>8537</v>
      </c>
      <c r="C3711" s="4" t="s">
        <v>9</v>
      </c>
      <c r="D3711" s="475">
        <v>330.32</v>
      </c>
      <c r="E3711" s="476">
        <v>0.13329</v>
      </c>
      <c r="F3711" s="6">
        <v>18.6228</v>
      </c>
      <c r="G3711" s="6">
        <v>3.0544</v>
      </c>
    </row>
    <row r="3712" ht="15.75" customHeight="1" spans="1:7">
      <c r="A3712" s="4" t="s">
        <v>8538</v>
      </c>
      <c r="B3712" s="5" t="s">
        <v>8539</v>
      </c>
      <c r="C3712" s="4" t="s">
        <v>9</v>
      </c>
      <c r="D3712" s="475">
        <v>21.99</v>
      </c>
      <c r="E3712" s="476">
        <v>0.13329</v>
      </c>
      <c r="F3712" s="6">
        <v>2.1452</v>
      </c>
      <c r="G3712" s="6">
        <v>6.23019</v>
      </c>
    </row>
    <row r="3713" ht="15.75" customHeight="1" spans="1:7">
      <c r="A3713" s="4" t="s">
        <v>8540</v>
      </c>
      <c r="B3713" s="5" t="s">
        <v>8541</v>
      </c>
      <c r="C3713" s="4" t="s">
        <v>9</v>
      </c>
      <c r="D3713" s="475">
        <v>27.4</v>
      </c>
      <c r="E3713" s="476">
        <v>0.13329</v>
      </c>
      <c r="F3713" s="6">
        <v>2.6731</v>
      </c>
      <c r="G3713" s="6">
        <v>4.99971</v>
      </c>
    </row>
    <row r="3714" ht="15.75" customHeight="1" spans="1:7">
      <c r="A3714" s="4" t="s">
        <v>8542</v>
      </c>
      <c r="B3714" s="5" t="s">
        <v>8543</v>
      </c>
      <c r="C3714" s="4" t="s">
        <v>9</v>
      </c>
      <c r="D3714" s="475">
        <v>31.21</v>
      </c>
      <c r="E3714" s="476">
        <v>0.13329</v>
      </c>
      <c r="F3714" s="6">
        <v>3.0447</v>
      </c>
      <c r="G3714" s="6">
        <v>4.38966</v>
      </c>
    </row>
    <row r="3715" ht="15.75" customHeight="1" spans="1:7">
      <c r="A3715" s="4" t="s">
        <v>8544</v>
      </c>
      <c r="B3715" s="5" t="s">
        <v>8545</v>
      </c>
      <c r="C3715" s="4" t="s">
        <v>9</v>
      </c>
      <c r="D3715" s="475">
        <v>36.53</v>
      </c>
      <c r="E3715" s="476">
        <v>0.13329</v>
      </c>
      <c r="F3715" s="6">
        <v>3.5644</v>
      </c>
      <c r="G3715" s="6">
        <v>3.74953</v>
      </c>
    </row>
    <row r="3716" ht="15.75" customHeight="1" spans="1:7">
      <c r="A3716" s="4" t="s">
        <v>8546</v>
      </c>
      <c r="B3716" s="5" t="s">
        <v>8547</v>
      </c>
      <c r="C3716" s="4" t="s">
        <v>9</v>
      </c>
      <c r="D3716" s="475">
        <v>171.84</v>
      </c>
      <c r="E3716" s="476">
        <v>0.13329</v>
      </c>
      <c r="F3716" s="6">
        <v>3.0404</v>
      </c>
      <c r="G3716" s="6">
        <v>9.96</v>
      </c>
    </row>
    <row r="3717" ht="15.75" customHeight="1" spans="1:7">
      <c r="A3717" s="4" t="s">
        <v>8548</v>
      </c>
      <c r="B3717" s="5" t="s">
        <v>8549</v>
      </c>
      <c r="C3717" s="4" t="s">
        <v>9</v>
      </c>
      <c r="D3717" s="475">
        <v>239.12</v>
      </c>
      <c r="E3717" s="476">
        <v>0.13329</v>
      </c>
      <c r="F3717" s="6">
        <v>3.2004</v>
      </c>
      <c r="G3717" s="6">
        <v>9.462</v>
      </c>
    </row>
    <row r="3718" ht="15.75" customHeight="1" spans="1:7">
      <c r="A3718" s="4" t="s">
        <v>8550</v>
      </c>
      <c r="B3718" s="5" t="s">
        <v>8551</v>
      </c>
      <c r="C3718" s="4" t="s">
        <v>9</v>
      </c>
      <c r="D3718" s="475">
        <v>279.78</v>
      </c>
      <c r="E3718" s="476">
        <v>0.13329</v>
      </c>
      <c r="F3718" s="6">
        <v>3.3168</v>
      </c>
      <c r="G3718" s="6">
        <v>9.13</v>
      </c>
    </row>
    <row r="3719" ht="15.75" customHeight="1" spans="1:7">
      <c r="A3719" s="4" t="s">
        <v>8552</v>
      </c>
      <c r="B3719" s="5" t="s">
        <v>8553</v>
      </c>
      <c r="C3719" s="4" t="s">
        <v>9</v>
      </c>
      <c r="D3719" s="475">
        <v>344.95</v>
      </c>
      <c r="E3719" s="476">
        <v>0.13329</v>
      </c>
      <c r="F3719" s="6">
        <v>3.4747</v>
      </c>
      <c r="G3719" s="6">
        <v>8.715</v>
      </c>
    </row>
    <row r="3720" ht="15.75" customHeight="1" spans="1:7">
      <c r="A3720" s="4" t="s">
        <v>8554</v>
      </c>
      <c r="B3720" s="5" t="s">
        <v>8555</v>
      </c>
      <c r="C3720" s="4" t="s">
        <v>9</v>
      </c>
      <c r="D3720" s="475">
        <v>404.12</v>
      </c>
      <c r="E3720" s="476">
        <v>0.13329</v>
      </c>
      <c r="F3720" s="6">
        <v>3.6485</v>
      </c>
      <c r="G3720" s="6">
        <v>8.3</v>
      </c>
    </row>
    <row r="3721" ht="15.75" customHeight="1" spans="1:7">
      <c r="A3721" s="4" t="s">
        <v>8556</v>
      </c>
      <c r="B3721" s="5" t="s">
        <v>8557</v>
      </c>
      <c r="C3721" s="4" t="s">
        <v>9</v>
      </c>
      <c r="D3721" s="475">
        <v>445.34</v>
      </c>
      <c r="E3721" s="476">
        <v>0.13329</v>
      </c>
      <c r="F3721" s="6">
        <v>3.8005</v>
      </c>
      <c r="G3721" s="6">
        <v>7.968</v>
      </c>
    </row>
    <row r="3722" ht="15.75" customHeight="1" spans="1:7">
      <c r="A3722" s="4" t="s">
        <v>8558</v>
      </c>
      <c r="B3722" s="5" t="s">
        <v>8559</v>
      </c>
      <c r="C3722" s="4" t="s">
        <v>9</v>
      </c>
      <c r="D3722" s="475">
        <v>644.48</v>
      </c>
      <c r="E3722" s="476">
        <v>0.13329</v>
      </c>
      <c r="F3722" s="6">
        <v>4.0005</v>
      </c>
      <c r="G3722" s="6">
        <v>7.5696</v>
      </c>
    </row>
    <row r="3723" ht="15.75" customHeight="1" spans="1:7">
      <c r="A3723" s="4" t="s">
        <v>8560</v>
      </c>
      <c r="B3723" s="5" t="s">
        <v>8561</v>
      </c>
      <c r="C3723" s="4" t="s">
        <v>9</v>
      </c>
      <c r="D3723" s="475">
        <v>766.24</v>
      </c>
      <c r="E3723" s="476">
        <v>0.13329</v>
      </c>
      <c r="F3723" s="6">
        <v>4.146</v>
      </c>
      <c r="G3723" s="6">
        <v>7.304</v>
      </c>
    </row>
    <row r="3724" ht="15.75" customHeight="1" spans="1:7">
      <c r="A3724" s="4" t="s">
        <v>8562</v>
      </c>
      <c r="B3724" s="5" t="s">
        <v>8563</v>
      </c>
      <c r="C3724" s="4" t="s">
        <v>9</v>
      </c>
      <c r="D3724" s="475">
        <v>960.47</v>
      </c>
      <c r="E3724" s="476">
        <v>0.13329</v>
      </c>
      <c r="F3724" s="6">
        <v>4.3434</v>
      </c>
      <c r="G3724" s="6">
        <v>6.972</v>
      </c>
    </row>
    <row r="3725" ht="15.75" customHeight="1" spans="1:7">
      <c r="A3725" s="4" t="s">
        <v>8564</v>
      </c>
      <c r="B3725" s="5" t="s">
        <v>8565</v>
      </c>
      <c r="C3725" s="4" t="s">
        <v>9</v>
      </c>
      <c r="D3725" s="475">
        <v>1136.29</v>
      </c>
      <c r="E3725" s="476">
        <v>0.13329</v>
      </c>
      <c r="F3725" s="6">
        <v>4.5606</v>
      </c>
      <c r="G3725" s="6">
        <v>6.64</v>
      </c>
    </row>
    <row r="3726" ht="15.75" customHeight="1" spans="1:7">
      <c r="A3726" s="4" t="s">
        <v>8566</v>
      </c>
      <c r="B3726" s="5" t="s">
        <v>8567</v>
      </c>
      <c r="C3726" s="4" t="s">
        <v>9</v>
      </c>
      <c r="D3726" s="475">
        <v>36.54</v>
      </c>
      <c r="E3726" s="476">
        <v>0.11084</v>
      </c>
      <c r="F3726" s="6">
        <v>0.2001</v>
      </c>
      <c r="G3726" s="6">
        <v>60</v>
      </c>
    </row>
    <row r="3727" ht="15.75" customHeight="1" spans="1:7">
      <c r="A3727" s="4" t="s">
        <v>8568</v>
      </c>
      <c r="B3727" s="5" t="s">
        <v>8569</v>
      </c>
      <c r="C3727" s="4" t="s">
        <v>9</v>
      </c>
      <c r="D3727" s="475">
        <v>39.57</v>
      </c>
      <c r="E3727" s="476">
        <v>0.11084</v>
      </c>
      <c r="F3727" s="6">
        <v>0.2394</v>
      </c>
      <c r="G3727" s="6">
        <v>50</v>
      </c>
    </row>
    <row r="3728" ht="15.75" customHeight="1" spans="1:7">
      <c r="A3728" s="4" t="s">
        <v>8570</v>
      </c>
      <c r="B3728" s="5" t="s">
        <v>8571</v>
      </c>
      <c r="C3728" s="4" t="s">
        <v>9</v>
      </c>
      <c r="D3728" s="475">
        <v>47.32</v>
      </c>
      <c r="E3728" s="476">
        <v>0.11084</v>
      </c>
      <c r="F3728" s="6">
        <v>0.2394</v>
      </c>
      <c r="G3728" s="6">
        <v>50</v>
      </c>
    </row>
    <row r="3729" ht="15.75" customHeight="1" spans="1:7">
      <c r="A3729" s="4" t="s">
        <v>8572</v>
      </c>
      <c r="B3729" s="5" t="s">
        <v>8573</v>
      </c>
      <c r="C3729" s="4" t="s">
        <v>9</v>
      </c>
      <c r="D3729" s="475">
        <v>51.43</v>
      </c>
      <c r="E3729" s="476">
        <v>0.11084</v>
      </c>
      <c r="F3729" s="6">
        <v>0.2394</v>
      </c>
      <c r="G3729" s="6">
        <v>50</v>
      </c>
    </row>
    <row r="3730" ht="15.75" customHeight="1" spans="1:7">
      <c r="A3730" s="4" t="s">
        <v>8574</v>
      </c>
      <c r="B3730" s="5" t="s">
        <v>8575</v>
      </c>
      <c r="C3730" s="4" t="s">
        <v>9</v>
      </c>
      <c r="D3730" s="475">
        <v>55.09</v>
      </c>
      <c r="E3730" s="476">
        <v>0.11084</v>
      </c>
      <c r="F3730" s="6">
        <v>0.2983</v>
      </c>
      <c r="G3730" s="6">
        <v>40</v>
      </c>
    </row>
    <row r="3731" ht="15.75" customHeight="1" spans="1:7">
      <c r="A3731" s="4" t="s">
        <v>8576</v>
      </c>
      <c r="B3731" s="5" t="s">
        <v>8577</v>
      </c>
      <c r="C3731" s="4" t="s">
        <v>9</v>
      </c>
      <c r="D3731" s="475">
        <v>62.28</v>
      </c>
      <c r="E3731" s="476">
        <v>0.11084</v>
      </c>
      <c r="F3731" s="6">
        <v>0.2983</v>
      </c>
      <c r="G3731" s="6">
        <v>40</v>
      </c>
    </row>
    <row r="3732" ht="15.75" customHeight="1" spans="1:7">
      <c r="A3732" s="4" t="s">
        <v>8578</v>
      </c>
      <c r="B3732" s="5" t="s">
        <v>8579</v>
      </c>
      <c r="C3732" s="4" t="s">
        <v>9</v>
      </c>
      <c r="D3732" s="475">
        <v>63.85</v>
      </c>
      <c r="E3732" s="476">
        <v>0.11084</v>
      </c>
      <c r="F3732" s="6">
        <v>0.2983</v>
      </c>
      <c r="G3732" s="6">
        <v>40</v>
      </c>
    </row>
    <row r="3733" ht="15.75" customHeight="1" spans="1:7">
      <c r="A3733" s="4" t="s">
        <v>8580</v>
      </c>
      <c r="B3733" s="5" t="s">
        <v>8581</v>
      </c>
      <c r="C3733" s="4" t="s">
        <v>9</v>
      </c>
      <c r="D3733" s="475">
        <v>74.21</v>
      </c>
      <c r="E3733" s="476">
        <v>0.11084</v>
      </c>
      <c r="F3733" s="6">
        <v>0.3966</v>
      </c>
      <c r="G3733" s="6">
        <v>30</v>
      </c>
    </row>
    <row r="3734" ht="15.75" customHeight="1" spans="1:7">
      <c r="A3734" s="4" t="s">
        <v>8582</v>
      </c>
      <c r="B3734" s="5" t="s">
        <v>8583</v>
      </c>
      <c r="C3734" s="4" t="s">
        <v>9</v>
      </c>
      <c r="D3734" s="475">
        <v>83.9</v>
      </c>
      <c r="E3734" s="476">
        <v>0.11084</v>
      </c>
      <c r="F3734" s="6">
        <v>0.3966</v>
      </c>
      <c r="G3734" s="6">
        <v>30</v>
      </c>
    </row>
    <row r="3735" ht="15.75" customHeight="1" spans="1:7">
      <c r="A3735" s="4" t="s">
        <v>8584</v>
      </c>
      <c r="B3735" s="5" t="s">
        <v>8585</v>
      </c>
      <c r="C3735" s="4" t="s">
        <v>9</v>
      </c>
      <c r="D3735" s="475">
        <v>94.92</v>
      </c>
      <c r="E3735" s="476">
        <v>0.11084</v>
      </c>
      <c r="F3735" s="6">
        <v>0.3966</v>
      </c>
      <c r="G3735" s="6">
        <v>30</v>
      </c>
    </row>
    <row r="3736" ht="15.75" customHeight="1" spans="1:7">
      <c r="A3736" s="4" t="s">
        <v>8586</v>
      </c>
      <c r="B3736" s="5" t="s">
        <v>8587</v>
      </c>
      <c r="C3736" s="4" t="s">
        <v>9</v>
      </c>
      <c r="D3736" s="475">
        <v>100.6</v>
      </c>
      <c r="E3736" s="476">
        <v>0.11084</v>
      </c>
      <c r="F3736" s="6">
        <v>0.3966</v>
      </c>
      <c r="G3736" s="6">
        <v>30</v>
      </c>
    </row>
    <row r="3737" ht="15.75" customHeight="1" spans="1:7">
      <c r="A3737" s="4" t="s">
        <v>8588</v>
      </c>
      <c r="B3737" s="5" t="s">
        <v>8589</v>
      </c>
      <c r="C3737" s="4" t="s">
        <v>9</v>
      </c>
      <c r="D3737" s="475">
        <v>116.6</v>
      </c>
      <c r="E3737" s="476">
        <v>0.11084</v>
      </c>
      <c r="F3737" s="6">
        <v>0.593</v>
      </c>
      <c r="G3737" s="6">
        <v>20</v>
      </c>
    </row>
    <row r="3738" ht="15.75" customHeight="1" spans="1:7">
      <c r="A3738" s="4" t="s">
        <v>8590</v>
      </c>
      <c r="B3738" s="5" t="s">
        <v>8591</v>
      </c>
      <c r="C3738" s="4" t="s">
        <v>9</v>
      </c>
      <c r="D3738" s="475">
        <v>126.23</v>
      </c>
      <c r="E3738" s="476">
        <v>0.11084</v>
      </c>
      <c r="F3738" s="6">
        <v>0.593</v>
      </c>
      <c r="G3738" s="6">
        <v>20</v>
      </c>
    </row>
    <row r="3739" ht="15.75" customHeight="1" spans="1:7">
      <c r="A3739" s="4" t="s">
        <v>8592</v>
      </c>
      <c r="B3739" s="5" t="s">
        <v>8593</v>
      </c>
      <c r="C3739" s="4" t="s">
        <v>9</v>
      </c>
      <c r="D3739" s="475">
        <v>152.38</v>
      </c>
      <c r="E3739" s="476">
        <v>0.11084</v>
      </c>
      <c r="F3739" s="6">
        <v>0.593</v>
      </c>
      <c r="G3739" s="6">
        <v>20</v>
      </c>
    </row>
    <row r="3740" ht="15.75" customHeight="1" spans="1:7">
      <c r="A3740" s="4" t="s">
        <v>8594</v>
      </c>
      <c r="B3740" s="5" t="s">
        <v>8595</v>
      </c>
      <c r="C3740" s="4" t="s">
        <v>101</v>
      </c>
      <c r="D3740" s="475">
        <v>14.89</v>
      </c>
      <c r="E3740" s="476">
        <v>0</v>
      </c>
      <c r="F3740" s="6">
        <v>0</v>
      </c>
      <c r="G3740" s="6">
        <v>25</v>
      </c>
    </row>
    <row r="3741" ht="15.75" customHeight="1" spans="1:7">
      <c r="A3741" s="4" t="s">
        <v>8596</v>
      </c>
      <c r="B3741" s="5" t="s">
        <v>8597</v>
      </c>
      <c r="C3741" s="4" t="s">
        <v>9</v>
      </c>
      <c r="D3741" s="475">
        <v>600.28</v>
      </c>
      <c r="E3741" s="476">
        <v>0</v>
      </c>
      <c r="F3741" s="6">
        <v>0</v>
      </c>
      <c r="G3741" s="6">
        <v>1</v>
      </c>
    </row>
    <row r="3742" ht="15.75" customHeight="1" spans="1:7">
      <c r="A3742" s="4" t="s">
        <v>8598</v>
      </c>
      <c r="B3742" s="5" t="s">
        <v>8599</v>
      </c>
      <c r="C3742" s="4" t="s">
        <v>101</v>
      </c>
      <c r="D3742" s="475">
        <v>18.72</v>
      </c>
      <c r="E3742" s="476">
        <v>0.03814</v>
      </c>
      <c r="F3742" s="6">
        <v>0.1765</v>
      </c>
      <c r="G3742" s="6">
        <v>15</v>
      </c>
    </row>
    <row r="3743" ht="15.75" customHeight="1" spans="1:7">
      <c r="A3743" s="4" t="s">
        <v>8600</v>
      </c>
      <c r="B3743" s="5" t="s">
        <v>8601</v>
      </c>
      <c r="C3743" s="4" t="s">
        <v>101</v>
      </c>
      <c r="D3743" s="475">
        <v>69.3</v>
      </c>
      <c r="E3743" s="476">
        <v>0.03814</v>
      </c>
      <c r="F3743" s="6">
        <v>0.406</v>
      </c>
      <c r="G3743" s="6">
        <v>5</v>
      </c>
    </row>
    <row r="3744" ht="15.75" customHeight="1" spans="1:7">
      <c r="A3744" s="4" t="s">
        <v>8602</v>
      </c>
      <c r="B3744" s="5" t="s">
        <v>8603</v>
      </c>
      <c r="C3744" s="4" t="s">
        <v>7</v>
      </c>
      <c r="D3744" s="475">
        <v>58.3</v>
      </c>
      <c r="E3744" s="476">
        <v>0.03632</v>
      </c>
      <c r="F3744" s="6">
        <v>0.9548</v>
      </c>
      <c r="G3744" s="6">
        <v>7.2625</v>
      </c>
    </row>
    <row r="3745" ht="15.75" customHeight="1" spans="1:7">
      <c r="A3745" s="4" t="s">
        <v>8604</v>
      </c>
      <c r="B3745" s="5" t="s">
        <v>8605</v>
      </c>
      <c r="C3745" s="4" t="s">
        <v>7</v>
      </c>
      <c r="D3745" s="475">
        <v>8.77</v>
      </c>
      <c r="E3745" s="476">
        <v>0</v>
      </c>
      <c r="F3745" s="6">
        <v>0</v>
      </c>
      <c r="G3745" s="6">
        <v>193.82</v>
      </c>
    </row>
    <row r="3746" ht="15.75" customHeight="1" spans="1:7">
      <c r="A3746" s="4" t="s">
        <v>8606</v>
      </c>
      <c r="B3746" s="5" t="s">
        <v>8607</v>
      </c>
      <c r="C3746" s="4" t="s">
        <v>7</v>
      </c>
      <c r="D3746" s="475">
        <v>6.15</v>
      </c>
      <c r="E3746" s="476">
        <v>0.03632</v>
      </c>
      <c r="F3746" s="6">
        <v>0.0758</v>
      </c>
      <c r="G3746" s="6">
        <v>21.37</v>
      </c>
    </row>
    <row r="3747" ht="15.75" customHeight="1" spans="1:7">
      <c r="A3747" s="4" t="s">
        <v>8608</v>
      </c>
      <c r="B3747" s="5" t="s">
        <v>8609</v>
      </c>
      <c r="C3747" s="4" t="s">
        <v>7</v>
      </c>
      <c r="D3747" s="475">
        <v>11.1</v>
      </c>
      <c r="E3747" s="476">
        <v>0.03632</v>
      </c>
      <c r="F3747" s="6">
        <v>0.1369</v>
      </c>
      <c r="G3747" s="6">
        <v>11.83</v>
      </c>
    </row>
    <row r="3748" ht="15.75" customHeight="1" spans="1:7">
      <c r="A3748" s="4" t="s">
        <v>8610</v>
      </c>
      <c r="B3748" s="5" t="s">
        <v>8611</v>
      </c>
      <c r="C3748" s="4" t="s">
        <v>7</v>
      </c>
      <c r="D3748" s="475">
        <v>12.86</v>
      </c>
      <c r="E3748" s="476">
        <v>0</v>
      </c>
      <c r="F3748" s="6">
        <v>0</v>
      </c>
      <c r="G3748" s="6">
        <v>11.83</v>
      </c>
    </row>
    <row r="3749" ht="15.75" customHeight="1" spans="1:7">
      <c r="A3749" s="4" t="s">
        <v>8612</v>
      </c>
      <c r="B3749" s="5" t="s">
        <v>8613</v>
      </c>
      <c r="C3749" s="4" t="s">
        <v>7</v>
      </c>
      <c r="D3749" s="475">
        <v>17.3</v>
      </c>
      <c r="E3749" s="476">
        <v>0.03632</v>
      </c>
      <c r="F3749" s="6">
        <v>0.2132</v>
      </c>
      <c r="G3749" s="6">
        <v>7.5945</v>
      </c>
    </row>
    <row r="3750" ht="15.75" customHeight="1" spans="1:7">
      <c r="A3750" s="4" t="s">
        <v>8614</v>
      </c>
      <c r="B3750" s="5" t="s">
        <v>8615</v>
      </c>
      <c r="C3750" s="4" t="s">
        <v>7</v>
      </c>
      <c r="D3750" s="475">
        <v>10.39</v>
      </c>
      <c r="E3750" s="476">
        <v>0.03814</v>
      </c>
      <c r="F3750" s="6">
        <v>0.0478</v>
      </c>
      <c r="G3750" s="6">
        <v>49.8</v>
      </c>
    </row>
    <row r="3751" ht="15.75" customHeight="1" spans="1:7">
      <c r="A3751" s="4" t="s">
        <v>8616</v>
      </c>
      <c r="B3751" s="5" t="s">
        <v>8617</v>
      </c>
      <c r="C3751" s="4" t="s">
        <v>7</v>
      </c>
      <c r="D3751" s="475">
        <v>31.28</v>
      </c>
      <c r="E3751" s="476">
        <v>0.03814</v>
      </c>
      <c r="F3751" s="6">
        <v>0.0478</v>
      </c>
      <c r="G3751" s="6">
        <v>49.8</v>
      </c>
    </row>
    <row r="3752" ht="15.75" customHeight="1" spans="1:7">
      <c r="A3752" s="4" t="s">
        <v>8618</v>
      </c>
      <c r="B3752" s="5" t="s">
        <v>8619</v>
      </c>
      <c r="C3752" s="4" t="s">
        <v>7</v>
      </c>
      <c r="D3752" s="475">
        <v>17.64</v>
      </c>
      <c r="E3752" s="476">
        <v>0.03814</v>
      </c>
      <c r="F3752" s="6">
        <v>0.0165</v>
      </c>
      <c r="G3752" s="6">
        <v>143.75</v>
      </c>
    </row>
    <row r="3753" ht="15.75" customHeight="1" spans="1:7">
      <c r="A3753" s="4" t="s">
        <v>8620</v>
      </c>
      <c r="B3753" s="5" t="s">
        <v>8621</v>
      </c>
      <c r="C3753" s="4" t="s">
        <v>7</v>
      </c>
      <c r="D3753" s="475">
        <v>38.86</v>
      </c>
      <c r="E3753" s="476">
        <v>0.03814</v>
      </c>
      <c r="F3753" s="6">
        <v>0.0165</v>
      </c>
      <c r="G3753" s="6">
        <v>143.75</v>
      </c>
    </row>
    <row r="3754" ht="30" customHeight="1" spans="1:7">
      <c r="A3754" s="4" t="s">
        <v>8622</v>
      </c>
      <c r="B3754" s="5" t="s">
        <v>8623</v>
      </c>
      <c r="C3754" s="4" t="s">
        <v>7</v>
      </c>
      <c r="D3754" s="475">
        <v>14.38</v>
      </c>
      <c r="E3754" s="476">
        <v>0.03814</v>
      </c>
      <c r="F3754" s="6">
        <v>0.0478</v>
      </c>
      <c r="G3754" s="6">
        <v>49.8</v>
      </c>
    </row>
    <row r="3755" ht="15.75" customHeight="1" spans="1:7">
      <c r="A3755" s="4" t="s">
        <v>8624</v>
      </c>
      <c r="B3755" s="5" t="s">
        <v>8625</v>
      </c>
      <c r="C3755" s="4" t="s">
        <v>7</v>
      </c>
      <c r="D3755" s="475">
        <v>8.32</v>
      </c>
      <c r="E3755" s="476">
        <v>0.03814</v>
      </c>
      <c r="F3755" s="6">
        <v>0.0478</v>
      </c>
      <c r="G3755" s="6">
        <v>49.8</v>
      </c>
    </row>
    <row r="3756" ht="15.75" customHeight="1" spans="1:7">
      <c r="A3756" s="4" t="s">
        <v>8626</v>
      </c>
      <c r="B3756" s="5" t="s">
        <v>8627</v>
      </c>
      <c r="C3756" s="4" t="s">
        <v>7</v>
      </c>
      <c r="D3756" s="475">
        <v>3.01</v>
      </c>
      <c r="E3756" s="476">
        <v>0.03814</v>
      </c>
      <c r="F3756" s="6">
        <v>0.0478</v>
      </c>
      <c r="G3756" s="6">
        <v>49.8</v>
      </c>
    </row>
    <row r="3757" ht="15.75" customHeight="1" spans="1:7">
      <c r="A3757" s="4" t="s">
        <v>8628</v>
      </c>
      <c r="B3757" s="5" t="s">
        <v>8629</v>
      </c>
      <c r="C3757" s="4" t="s">
        <v>7</v>
      </c>
      <c r="D3757" s="475">
        <v>13.33</v>
      </c>
      <c r="E3757" s="476">
        <v>0.03814</v>
      </c>
      <c r="F3757" s="6">
        <v>0.0165</v>
      </c>
      <c r="G3757" s="6">
        <v>143.75</v>
      </c>
    </row>
    <row r="3758" ht="30" customHeight="1" spans="1:7">
      <c r="A3758" s="4" t="s">
        <v>8630</v>
      </c>
      <c r="B3758" s="5" t="s">
        <v>8631</v>
      </c>
      <c r="C3758" s="4" t="s">
        <v>7</v>
      </c>
      <c r="D3758" s="475">
        <v>13.36</v>
      </c>
      <c r="E3758" s="476">
        <v>0</v>
      </c>
      <c r="F3758" s="6">
        <v>0</v>
      </c>
      <c r="G3758" s="6">
        <v>143.75</v>
      </c>
    </row>
    <row r="3759" ht="15.75" customHeight="1" spans="1:7">
      <c r="A3759" s="4" t="s">
        <v>8632</v>
      </c>
      <c r="B3759" s="5" t="s">
        <v>8633</v>
      </c>
      <c r="C3759" s="4" t="s">
        <v>7</v>
      </c>
      <c r="D3759" s="475">
        <v>5.19</v>
      </c>
      <c r="E3759" s="476">
        <v>0.03814</v>
      </c>
      <c r="F3759" s="6">
        <v>0.0478</v>
      </c>
      <c r="G3759" s="6">
        <v>49.8</v>
      </c>
    </row>
    <row r="3760" ht="30" customHeight="1" spans="1:7">
      <c r="A3760" s="4" t="s">
        <v>8634</v>
      </c>
      <c r="B3760" s="5" t="s">
        <v>8635</v>
      </c>
      <c r="C3760" s="4" t="s">
        <v>7</v>
      </c>
      <c r="D3760" s="475">
        <v>7.68</v>
      </c>
      <c r="E3760" s="476">
        <v>0</v>
      </c>
      <c r="F3760" s="6">
        <v>0</v>
      </c>
      <c r="G3760" s="6">
        <v>143.75</v>
      </c>
    </row>
    <row r="3761" ht="30" customHeight="1" spans="1:7">
      <c r="A3761" s="4" t="s">
        <v>8636</v>
      </c>
      <c r="B3761" s="5" t="s">
        <v>8637</v>
      </c>
      <c r="C3761" s="4" t="s">
        <v>7</v>
      </c>
      <c r="D3761" s="475">
        <v>14.86</v>
      </c>
      <c r="E3761" s="476">
        <v>0.03814</v>
      </c>
      <c r="F3761" s="6">
        <v>0.0165</v>
      </c>
      <c r="G3761" s="6">
        <v>143.75</v>
      </c>
    </row>
    <row r="3762" ht="30" customHeight="1" spans="1:7">
      <c r="A3762" s="4" t="s">
        <v>8638</v>
      </c>
      <c r="B3762" s="5" t="s">
        <v>8639</v>
      </c>
      <c r="C3762" s="4" t="s">
        <v>7</v>
      </c>
      <c r="D3762" s="475">
        <v>14.89</v>
      </c>
      <c r="E3762" s="476">
        <v>0</v>
      </c>
      <c r="F3762" s="6">
        <v>0</v>
      </c>
      <c r="G3762" s="6">
        <v>143.75</v>
      </c>
    </row>
    <row r="3763" ht="15.75" customHeight="1" spans="1:7">
      <c r="A3763" s="4" t="s">
        <v>8640</v>
      </c>
      <c r="B3763" s="5" t="s">
        <v>8641</v>
      </c>
      <c r="C3763" s="4" t="s">
        <v>7</v>
      </c>
      <c r="D3763" s="475">
        <v>49.21</v>
      </c>
      <c r="E3763" s="476">
        <v>0.03814</v>
      </c>
      <c r="F3763" s="6">
        <v>0.0478</v>
      </c>
      <c r="G3763" s="6">
        <v>49.8</v>
      </c>
    </row>
    <row r="3764" ht="15.75" customHeight="1" spans="1:7">
      <c r="A3764" s="4" t="s">
        <v>8642</v>
      </c>
      <c r="B3764" s="5" t="s">
        <v>8643</v>
      </c>
      <c r="C3764" s="4" t="s">
        <v>7</v>
      </c>
      <c r="D3764" s="475">
        <v>19.9</v>
      </c>
      <c r="E3764" s="476">
        <v>0</v>
      </c>
      <c r="F3764" s="6">
        <v>0</v>
      </c>
      <c r="G3764" s="6">
        <v>15.08</v>
      </c>
    </row>
    <row r="3765" ht="15.75" customHeight="1" spans="1:7">
      <c r="A3765" s="4" t="s">
        <v>8644</v>
      </c>
      <c r="B3765" s="5" t="s">
        <v>8645</v>
      </c>
      <c r="C3765" s="4" t="s">
        <v>101</v>
      </c>
      <c r="D3765" s="475">
        <v>105.61</v>
      </c>
      <c r="E3765" s="476">
        <v>0.03632</v>
      </c>
      <c r="F3765" s="6">
        <v>2.0566</v>
      </c>
      <c r="G3765" s="6">
        <v>1.34139</v>
      </c>
    </row>
    <row r="3766" ht="15.75" customHeight="1" spans="1:7">
      <c r="A3766" s="4" t="s">
        <v>8646</v>
      </c>
      <c r="B3766" s="5" t="s">
        <v>8647</v>
      </c>
      <c r="C3766" s="4" t="s">
        <v>101</v>
      </c>
      <c r="D3766" s="475">
        <v>68.57</v>
      </c>
      <c r="E3766" s="476">
        <v>0.03632</v>
      </c>
      <c r="F3766" s="6">
        <v>0.9804</v>
      </c>
      <c r="G3766" s="6">
        <v>2.81387</v>
      </c>
    </row>
    <row r="3767" ht="15.75" customHeight="1" spans="1:7">
      <c r="A3767" s="4" t="s">
        <v>8648</v>
      </c>
      <c r="B3767" s="5" t="s">
        <v>8649</v>
      </c>
      <c r="C3767" s="4" t="s">
        <v>101</v>
      </c>
      <c r="D3767" s="475">
        <v>141.36</v>
      </c>
      <c r="E3767" s="476">
        <v>0.03632</v>
      </c>
      <c r="F3767" s="6">
        <v>1.745</v>
      </c>
      <c r="G3767" s="6">
        <v>1.5809</v>
      </c>
    </row>
    <row r="3768" ht="15.75" customHeight="1" spans="1:7">
      <c r="A3768" s="4" t="s">
        <v>8650</v>
      </c>
      <c r="B3768" s="5" t="s">
        <v>8651</v>
      </c>
      <c r="C3768" s="4" t="s">
        <v>7</v>
      </c>
      <c r="D3768" s="475">
        <v>380.21</v>
      </c>
      <c r="E3768" s="476">
        <v>0.03632</v>
      </c>
      <c r="F3768" s="6">
        <v>1.1878</v>
      </c>
      <c r="G3768" s="6">
        <v>0.913</v>
      </c>
    </row>
    <row r="3769" ht="15.75" customHeight="1" spans="1:7">
      <c r="A3769" s="4" t="s">
        <v>8652</v>
      </c>
      <c r="B3769" s="5" t="s">
        <v>8653</v>
      </c>
      <c r="C3769" s="4" t="s">
        <v>7</v>
      </c>
      <c r="D3769" s="475">
        <v>386.22</v>
      </c>
      <c r="E3769" s="476">
        <v>0</v>
      </c>
      <c r="F3769" s="6">
        <v>0</v>
      </c>
      <c r="G3769" s="6">
        <v>0.913</v>
      </c>
    </row>
    <row r="3770" ht="15.75" customHeight="1" spans="1:7">
      <c r="A3770" s="4" t="s">
        <v>8654</v>
      </c>
      <c r="B3770" s="5" t="s">
        <v>8655</v>
      </c>
      <c r="C3770" s="4" t="s">
        <v>7</v>
      </c>
      <c r="D3770" s="475">
        <v>39.65</v>
      </c>
      <c r="E3770" s="476">
        <v>0</v>
      </c>
      <c r="F3770" s="6">
        <v>0</v>
      </c>
      <c r="G3770" s="6">
        <v>114.74</v>
      </c>
    </row>
    <row r="3771" ht="15.75" customHeight="1" spans="1:7">
      <c r="A3771" s="4" t="s">
        <v>8656</v>
      </c>
      <c r="B3771" s="5" t="s">
        <v>8657</v>
      </c>
      <c r="C3771" s="4" t="s">
        <v>82</v>
      </c>
      <c r="D3771" s="475">
        <v>367.4</v>
      </c>
      <c r="E3771" s="476">
        <v>0.03814</v>
      </c>
      <c r="F3771" s="6">
        <v>13.4977</v>
      </c>
      <c r="G3771" s="6">
        <v>1</v>
      </c>
    </row>
    <row r="3772" ht="15.75" customHeight="1" spans="1:7">
      <c r="A3772" s="4" t="s">
        <v>8658</v>
      </c>
      <c r="B3772" s="5" t="s">
        <v>8659</v>
      </c>
      <c r="C3772" s="4" t="s">
        <v>82</v>
      </c>
      <c r="D3772" s="475">
        <v>557106.56</v>
      </c>
      <c r="E3772" s="476">
        <v>0.03814</v>
      </c>
      <c r="F3772" s="6">
        <v>55.5522</v>
      </c>
      <c r="G3772" s="6">
        <v>0.26513</v>
      </c>
    </row>
    <row r="3773" ht="15.75" customHeight="1" spans="1:7">
      <c r="A3773" s="4" t="s">
        <v>8660</v>
      </c>
      <c r="B3773" s="5" t="s">
        <v>8661</v>
      </c>
      <c r="C3773" s="4" t="s">
        <v>82</v>
      </c>
      <c r="D3773" s="475">
        <v>484923.28</v>
      </c>
      <c r="E3773" s="476">
        <v>0.03814</v>
      </c>
      <c r="F3773" s="6">
        <v>41.5064</v>
      </c>
      <c r="G3773" s="6">
        <v>0.35485</v>
      </c>
    </row>
    <row r="3774" ht="15.75" customHeight="1" spans="1:7">
      <c r="A3774" s="4" t="s">
        <v>8662</v>
      </c>
      <c r="B3774" s="5" t="s">
        <v>8663</v>
      </c>
      <c r="C3774" s="4" t="s">
        <v>82</v>
      </c>
      <c r="D3774" s="475">
        <v>670224.03</v>
      </c>
      <c r="E3774" s="476">
        <v>0.03814</v>
      </c>
      <c r="F3774" s="6">
        <v>89.9893</v>
      </c>
      <c r="G3774" s="6">
        <v>0.16367</v>
      </c>
    </row>
    <row r="3775" ht="15.75" customHeight="1" spans="1:7">
      <c r="A3775" s="4" t="s">
        <v>8664</v>
      </c>
      <c r="B3775" s="5" t="s">
        <v>8665</v>
      </c>
      <c r="C3775" s="4" t="s">
        <v>82</v>
      </c>
      <c r="D3775" s="475">
        <v>706713.69</v>
      </c>
      <c r="E3775" s="476">
        <v>0.03814</v>
      </c>
      <c r="F3775" s="6">
        <v>70.3672</v>
      </c>
      <c r="G3775" s="6">
        <v>0.20931</v>
      </c>
    </row>
    <row r="3776" ht="15.75" customHeight="1" spans="1:7">
      <c r="A3776" s="4" t="s">
        <v>8666</v>
      </c>
      <c r="B3776" s="5" t="s">
        <v>8667</v>
      </c>
      <c r="C3776" s="4" t="s">
        <v>82</v>
      </c>
      <c r="D3776" s="475">
        <v>615178.15</v>
      </c>
      <c r="E3776" s="476">
        <v>0.03814</v>
      </c>
      <c r="F3776" s="6">
        <v>52.5757</v>
      </c>
      <c r="G3776" s="6">
        <v>0.28014</v>
      </c>
    </row>
    <row r="3777" ht="15.75" customHeight="1" spans="1:7">
      <c r="A3777" s="4" t="s">
        <v>8668</v>
      </c>
      <c r="B3777" s="5" t="s">
        <v>8669</v>
      </c>
      <c r="C3777" s="4" t="s">
        <v>82</v>
      </c>
      <c r="D3777" s="475">
        <v>850676.05</v>
      </c>
      <c r="E3777" s="476">
        <v>0.03814</v>
      </c>
      <c r="F3777" s="6">
        <v>113.9804</v>
      </c>
      <c r="G3777" s="6">
        <v>0.12922</v>
      </c>
    </row>
    <row r="3778" ht="15.75" customHeight="1" spans="1:7">
      <c r="A3778" s="4" t="s">
        <v>8670</v>
      </c>
      <c r="B3778" s="5" t="s">
        <v>8671</v>
      </c>
      <c r="C3778" s="4" t="s">
        <v>82</v>
      </c>
      <c r="D3778" s="475">
        <v>844287.5</v>
      </c>
      <c r="E3778" s="476">
        <v>0.03814</v>
      </c>
      <c r="F3778" s="6">
        <v>58.6491</v>
      </c>
      <c r="G3778" s="6">
        <v>0.25113</v>
      </c>
    </row>
    <row r="3779" ht="15.75" customHeight="1" spans="1:7">
      <c r="A3779" s="4" t="s">
        <v>8672</v>
      </c>
      <c r="B3779" s="5" t="s">
        <v>8673</v>
      </c>
      <c r="C3779" s="4" t="s">
        <v>82</v>
      </c>
      <c r="D3779" s="475">
        <v>730515.34</v>
      </c>
      <c r="E3779" s="476">
        <v>0.03814</v>
      </c>
      <c r="F3779" s="6">
        <v>58.7052</v>
      </c>
      <c r="G3779" s="6">
        <v>0.25089</v>
      </c>
    </row>
    <row r="3780" ht="15.75" customHeight="1" spans="1:7">
      <c r="A3780" s="4" t="s">
        <v>8674</v>
      </c>
      <c r="B3780" s="5" t="s">
        <v>8675</v>
      </c>
      <c r="C3780" s="4" t="s">
        <v>82</v>
      </c>
      <c r="D3780" s="475">
        <v>1012839.21</v>
      </c>
      <c r="E3780" s="476">
        <v>0.03814</v>
      </c>
      <c r="F3780" s="6">
        <v>126.7626</v>
      </c>
      <c r="G3780" s="6">
        <v>0.11619</v>
      </c>
    </row>
    <row r="3781" ht="15.75" customHeight="1" spans="1:7">
      <c r="A3781" s="4" t="s">
        <v>8676</v>
      </c>
      <c r="B3781" s="5" t="s">
        <v>8677</v>
      </c>
      <c r="C3781" s="4" t="s">
        <v>82</v>
      </c>
      <c r="D3781" s="475">
        <v>741605.92</v>
      </c>
      <c r="E3781" s="476">
        <v>0.03814</v>
      </c>
      <c r="F3781" s="6">
        <v>78.0114</v>
      </c>
      <c r="G3781" s="6">
        <v>0.1888</v>
      </c>
    </row>
    <row r="3782" ht="15.75" customHeight="1" spans="1:7">
      <c r="A3782" s="4" t="s">
        <v>8678</v>
      </c>
      <c r="B3782" s="5" t="s">
        <v>8679</v>
      </c>
      <c r="C3782" s="4" t="s">
        <v>82</v>
      </c>
      <c r="D3782" s="475">
        <v>645166.26</v>
      </c>
      <c r="E3782" s="476">
        <v>0.03814</v>
      </c>
      <c r="F3782" s="6">
        <v>55.5375</v>
      </c>
      <c r="G3782" s="6">
        <v>0.2652</v>
      </c>
    </row>
    <row r="3783" ht="15.75" customHeight="1" spans="1:7">
      <c r="A3783" s="4" t="s">
        <v>8680</v>
      </c>
      <c r="B3783" s="5" t="s">
        <v>8681</v>
      </c>
      <c r="C3783" s="4" t="s">
        <v>82</v>
      </c>
      <c r="D3783" s="475">
        <v>891820.6</v>
      </c>
      <c r="E3783" s="476">
        <v>0.03814</v>
      </c>
      <c r="F3783" s="6">
        <v>119.9882</v>
      </c>
      <c r="G3783" s="6">
        <v>0.12275</v>
      </c>
    </row>
    <row r="3784" ht="15.75" customHeight="1" spans="1:7">
      <c r="A3784" s="4" t="s">
        <v>8682</v>
      </c>
      <c r="B3784" s="5" t="s">
        <v>8683</v>
      </c>
      <c r="C3784" s="4" t="s">
        <v>82</v>
      </c>
      <c r="D3784" s="475">
        <v>612580.59</v>
      </c>
      <c r="E3784" s="476">
        <v>0.03814</v>
      </c>
      <c r="F3784" s="6">
        <v>66.6631</v>
      </c>
      <c r="G3784" s="6">
        <v>0.22094</v>
      </c>
    </row>
    <row r="3785" ht="15.75" customHeight="1" spans="1:7">
      <c r="A3785" s="4" t="s">
        <v>8684</v>
      </c>
      <c r="B3785" s="5" t="s">
        <v>8685</v>
      </c>
      <c r="C3785" s="4" t="s">
        <v>82</v>
      </c>
      <c r="D3785" s="475">
        <v>533139.27</v>
      </c>
      <c r="E3785" s="476">
        <v>0.03814</v>
      </c>
      <c r="F3785" s="6">
        <v>49.8108</v>
      </c>
      <c r="G3785" s="6">
        <v>0.29569</v>
      </c>
    </row>
    <row r="3786" ht="15.75" customHeight="1" spans="1:7">
      <c r="A3786" s="4" t="s">
        <v>8686</v>
      </c>
      <c r="B3786" s="5" t="s">
        <v>8687</v>
      </c>
      <c r="C3786" s="4" t="s">
        <v>82</v>
      </c>
      <c r="D3786" s="475">
        <v>736895.52</v>
      </c>
      <c r="E3786" s="476">
        <v>0.03814</v>
      </c>
      <c r="F3786" s="6">
        <v>107.9885</v>
      </c>
      <c r="G3786" s="6">
        <v>0.13639</v>
      </c>
    </row>
    <row r="3787" ht="15.75" customHeight="1" spans="1:7">
      <c r="A3787" s="4" t="s">
        <v>8688</v>
      </c>
      <c r="B3787" s="5" t="s">
        <v>8689</v>
      </c>
      <c r="C3787" s="4" t="s">
        <v>82</v>
      </c>
      <c r="D3787" s="475">
        <v>776978.28</v>
      </c>
      <c r="E3787" s="476">
        <v>0.03814</v>
      </c>
      <c r="F3787" s="6">
        <v>84.4382</v>
      </c>
      <c r="G3787" s="6">
        <v>0.17443</v>
      </c>
    </row>
    <row r="3788" ht="15.75" customHeight="1" spans="1:7">
      <c r="A3788" s="4" t="s">
        <v>8690</v>
      </c>
      <c r="B3788" s="5" t="s">
        <v>8691</v>
      </c>
      <c r="C3788" s="4" t="s">
        <v>82</v>
      </c>
      <c r="D3788" s="475">
        <v>674351.74</v>
      </c>
      <c r="E3788" s="476">
        <v>0.03814</v>
      </c>
      <c r="F3788" s="6">
        <v>63.0935</v>
      </c>
      <c r="G3788" s="6">
        <v>0.23344</v>
      </c>
    </row>
    <row r="3789" ht="15.75" customHeight="1" spans="1:7">
      <c r="A3789" s="4" t="s">
        <v>8692</v>
      </c>
      <c r="B3789" s="5" t="s">
        <v>8693</v>
      </c>
      <c r="C3789" s="4" t="s">
        <v>82</v>
      </c>
      <c r="D3789" s="475">
        <v>935157.72</v>
      </c>
      <c r="E3789" s="476">
        <v>0.03814</v>
      </c>
      <c r="F3789" s="6">
        <v>136.7807</v>
      </c>
      <c r="G3789" s="6">
        <v>0.10768</v>
      </c>
    </row>
    <row r="3790" ht="15.75" customHeight="1" spans="1:7">
      <c r="A3790" s="4" t="s">
        <v>8694</v>
      </c>
      <c r="B3790" s="5" t="s">
        <v>8695</v>
      </c>
      <c r="C3790" s="4" t="s">
        <v>82</v>
      </c>
      <c r="D3790" s="475">
        <v>924795.68</v>
      </c>
      <c r="E3790" s="476">
        <v>0.03814</v>
      </c>
      <c r="F3790" s="6">
        <v>70.3806</v>
      </c>
      <c r="G3790" s="6">
        <v>0.20927</v>
      </c>
    </row>
    <row r="3791" ht="15.75" customHeight="1" spans="1:7">
      <c r="A3791" s="4" t="s">
        <v>8696</v>
      </c>
      <c r="B3791" s="5" t="s">
        <v>8697</v>
      </c>
      <c r="C3791" s="4" t="s">
        <v>82</v>
      </c>
      <c r="D3791" s="475">
        <v>805311.63</v>
      </c>
      <c r="E3791" s="476">
        <v>0.03814</v>
      </c>
      <c r="F3791" s="6">
        <v>70.4446</v>
      </c>
      <c r="G3791" s="6">
        <v>0.20908</v>
      </c>
    </row>
    <row r="3792" ht="15.75" customHeight="1" spans="1:7">
      <c r="A3792" s="4" t="s">
        <v>8698</v>
      </c>
      <c r="B3792" s="5" t="s">
        <v>8699</v>
      </c>
      <c r="C3792" s="4" t="s">
        <v>82</v>
      </c>
      <c r="D3792" s="475">
        <v>1110395.56</v>
      </c>
      <c r="E3792" s="476">
        <v>0.03814</v>
      </c>
      <c r="F3792" s="6">
        <v>152.1073</v>
      </c>
      <c r="G3792" s="6">
        <v>0.09683</v>
      </c>
    </row>
    <row r="3793" ht="15.75" customHeight="1" spans="1:7">
      <c r="A3793" s="4" t="s">
        <v>8700</v>
      </c>
      <c r="B3793" s="5" t="s">
        <v>8701</v>
      </c>
      <c r="C3793" s="4" t="s">
        <v>82</v>
      </c>
      <c r="D3793" s="475">
        <v>817565.62</v>
      </c>
      <c r="E3793" s="476">
        <v>0.03814</v>
      </c>
      <c r="F3793" s="6">
        <v>93.6157</v>
      </c>
      <c r="G3793" s="6">
        <v>0.15733</v>
      </c>
    </row>
    <row r="3794" ht="15.75" customHeight="1" spans="1:7">
      <c r="A3794" s="4" t="s">
        <v>8702</v>
      </c>
      <c r="B3794" s="5" t="s">
        <v>8703</v>
      </c>
      <c r="C3794" s="4" t="s">
        <v>82</v>
      </c>
      <c r="D3794" s="475">
        <v>709445.79</v>
      </c>
      <c r="E3794" s="476">
        <v>0.03814</v>
      </c>
      <c r="F3794" s="6">
        <v>66.642</v>
      </c>
      <c r="G3794" s="6">
        <v>0.22101</v>
      </c>
    </row>
    <row r="3795" ht="15.75" customHeight="1" spans="1:7">
      <c r="A3795" s="4" t="s">
        <v>8704</v>
      </c>
      <c r="B3795" s="5" t="s">
        <v>8705</v>
      </c>
      <c r="C3795" s="4" t="s">
        <v>82</v>
      </c>
      <c r="D3795" s="475">
        <v>980751.18</v>
      </c>
      <c r="E3795" s="476">
        <v>0.03814</v>
      </c>
      <c r="F3795" s="6">
        <v>143.9741</v>
      </c>
      <c r="G3795" s="6">
        <v>0.1023</v>
      </c>
    </row>
    <row r="3796" ht="15.75" customHeight="1" spans="1:7">
      <c r="A3796" s="4" t="s">
        <v>8706</v>
      </c>
      <c r="B3796" s="5" t="s">
        <v>8707</v>
      </c>
      <c r="C3796" s="4" t="s">
        <v>82</v>
      </c>
      <c r="D3796" s="475">
        <v>673570.07</v>
      </c>
      <c r="E3796" s="476">
        <v>0.03814</v>
      </c>
      <c r="F3796" s="6">
        <v>77.7725</v>
      </c>
      <c r="G3796" s="6">
        <v>0.18938</v>
      </c>
    </row>
    <row r="3797" ht="15.75" customHeight="1" spans="1:7">
      <c r="A3797" s="4" t="s">
        <v>8708</v>
      </c>
      <c r="B3797" s="5" t="s">
        <v>8709</v>
      </c>
      <c r="C3797" s="4" t="s">
        <v>82</v>
      </c>
      <c r="D3797" s="475">
        <v>588271.09</v>
      </c>
      <c r="E3797" s="476">
        <v>0.03814</v>
      </c>
      <c r="F3797" s="6">
        <v>58.1123</v>
      </c>
      <c r="G3797" s="6">
        <v>0.25345</v>
      </c>
    </row>
    <row r="3798" ht="15.75" customHeight="1" spans="1:7">
      <c r="A3798" s="4" t="s">
        <v>8710</v>
      </c>
      <c r="B3798" s="5" t="s">
        <v>8711</v>
      </c>
      <c r="C3798" s="4" t="s">
        <v>82</v>
      </c>
      <c r="D3798" s="475">
        <v>813214.31</v>
      </c>
      <c r="E3798" s="476">
        <v>0.03814</v>
      </c>
      <c r="F3798" s="6">
        <v>125.982</v>
      </c>
      <c r="G3798" s="6">
        <v>0.11691</v>
      </c>
    </row>
    <row r="3799" ht="15.75" customHeight="1" spans="1:7">
      <c r="A3799" s="4" t="s">
        <v>8712</v>
      </c>
      <c r="B3799" s="5" t="s">
        <v>8713</v>
      </c>
      <c r="C3799" s="4" t="s">
        <v>82</v>
      </c>
      <c r="D3799" s="475">
        <v>857337.82</v>
      </c>
      <c r="E3799" s="476">
        <v>0.03814</v>
      </c>
      <c r="F3799" s="6">
        <v>101.2202</v>
      </c>
      <c r="G3799" s="6">
        <v>0.14551</v>
      </c>
    </row>
    <row r="3800" ht="15.75" customHeight="1" spans="1:7">
      <c r="A3800" s="4" t="s">
        <v>8714</v>
      </c>
      <c r="B3800" s="5" t="s">
        <v>8715</v>
      </c>
      <c r="C3800" s="4" t="s">
        <v>82</v>
      </c>
      <c r="D3800" s="475">
        <v>741488.64</v>
      </c>
      <c r="E3800" s="476">
        <v>0.03814</v>
      </c>
      <c r="F3800" s="6">
        <v>73.6096</v>
      </c>
      <c r="G3800" s="6">
        <v>0.20009</v>
      </c>
    </row>
    <row r="3801" ht="15.75" customHeight="1" spans="1:7">
      <c r="A3801" s="4" t="s">
        <v>8716</v>
      </c>
      <c r="B3801" s="5" t="s">
        <v>8717</v>
      </c>
      <c r="C3801" s="4" t="s">
        <v>82</v>
      </c>
      <c r="D3801" s="475">
        <v>1024845.04</v>
      </c>
      <c r="E3801" s="476">
        <v>0.03814</v>
      </c>
      <c r="F3801" s="6">
        <v>159.5726</v>
      </c>
      <c r="G3801" s="6">
        <v>0.0923</v>
      </c>
    </row>
    <row r="3802" ht="15.75" customHeight="1" spans="1:7">
      <c r="A3802" s="4" t="s">
        <v>8718</v>
      </c>
      <c r="B3802" s="5" t="s">
        <v>8719</v>
      </c>
      <c r="C3802" s="4" t="s">
        <v>82</v>
      </c>
      <c r="D3802" s="475">
        <v>1019994.24</v>
      </c>
      <c r="E3802" s="476">
        <v>0.03814</v>
      </c>
      <c r="F3802" s="6">
        <v>82.1127</v>
      </c>
      <c r="G3802" s="6">
        <v>0.17937</v>
      </c>
    </row>
    <row r="3803" ht="15.75" customHeight="1" spans="1:7">
      <c r="A3803" s="4" t="s">
        <v>8720</v>
      </c>
      <c r="B3803" s="5" t="s">
        <v>8721</v>
      </c>
      <c r="C3803" s="4" t="s">
        <v>82</v>
      </c>
      <c r="D3803" s="475">
        <v>885384.1</v>
      </c>
      <c r="E3803" s="476">
        <v>0.03814</v>
      </c>
      <c r="F3803" s="6">
        <v>82.186</v>
      </c>
      <c r="G3803" s="6">
        <v>0.17921</v>
      </c>
    </row>
    <row r="3804" ht="15.75" customHeight="1" spans="1:7">
      <c r="A3804" s="4" t="s">
        <v>8722</v>
      </c>
      <c r="B3804" s="5" t="s">
        <v>8723</v>
      </c>
      <c r="C3804" s="4" t="s">
        <v>82</v>
      </c>
      <c r="D3804" s="475">
        <v>1227048.21</v>
      </c>
      <c r="E3804" s="476">
        <v>0.03814</v>
      </c>
      <c r="F3804" s="6">
        <v>177.4524</v>
      </c>
      <c r="G3804" s="6">
        <v>0.083</v>
      </c>
    </row>
    <row r="3805" ht="15.75" customHeight="1" spans="1:7">
      <c r="A3805" s="4" t="s">
        <v>8724</v>
      </c>
      <c r="B3805" s="5" t="s">
        <v>8725</v>
      </c>
      <c r="C3805" s="4" t="s">
        <v>82</v>
      </c>
      <c r="D3805" s="475">
        <v>898907.66</v>
      </c>
      <c r="E3805" s="476">
        <v>0.03814</v>
      </c>
      <c r="F3805" s="6">
        <v>109.2217</v>
      </c>
      <c r="G3805" s="6">
        <v>0.13485</v>
      </c>
    </row>
    <row r="3806" ht="15.75" customHeight="1" spans="1:7">
      <c r="A3806" s="4" t="s">
        <v>8726</v>
      </c>
      <c r="B3806" s="5" t="s">
        <v>8727</v>
      </c>
      <c r="C3806" s="4" t="s">
        <v>82</v>
      </c>
      <c r="D3806" s="475">
        <v>780121.85</v>
      </c>
      <c r="E3806" s="476">
        <v>0.03814</v>
      </c>
      <c r="F3806" s="6">
        <v>77.7478</v>
      </c>
      <c r="G3806" s="6">
        <v>0.18944</v>
      </c>
    </row>
    <row r="3807" ht="15.75" customHeight="1" spans="1:7">
      <c r="A3807" s="4" t="s">
        <v>8728</v>
      </c>
      <c r="B3807" s="5" t="s">
        <v>8729</v>
      </c>
      <c r="C3807" s="4" t="s">
        <v>82</v>
      </c>
      <c r="D3807" s="475">
        <v>1078507.06</v>
      </c>
      <c r="E3807" s="476">
        <v>0.03814</v>
      </c>
      <c r="F3807" s="6">
        <v>167.9807</v>
      </c>
      <c r="G3807" s="6">
        <v>0.08768</v>
      </c>
    </row>
    <row r="3808" ht="15.75" customHeight="1" spans="1:7">
      <c r="A3808" s="4" t="s">
        <v>8730</v>
      </c>
      <c r="B3808" s="5" t="s">
        <v>8731</v>
      </c>
      <c r="C3808" s="4" t="s">
        <v>82</v>
      </c>
      <c r="D3808" s="475">
        <v>1027532.87</v>
      </c>
      <c r="E3808" s="476">
        <v>0.03814</v>
      </c>
      <c r="F3808" s="6">
        <v>140.7276</v>
      </c>
      <c r="G3808" s="6">
        <v>0.10466</v>
      </c>
    </row>
    <row r="3809" ht="15.75" customHeight="1" spans="1:7">
      <c r="A3809" s="4" t="s">
        <v>8732</v>
      </c>
      <c r="B3809" s="5" t="s">
        <v>8733</v>
      </c>
      <c r="C3809" s="4" t="s">
        <v>82</v>
      </c>
      <c r="D3809" s="475">
        <v>894347.36</v>
      </c>
      <c r="E3809" s="476">
        <v>0.03814</v>
      </c>
      <c r="F3809" s="6">
        <v>105.1589</v>
      </c>
      <c r="G3809" s="6">
        <v>0.14006</v>
      </c>
    </row>
    <row r="3810" ht="15.75" customHeight="1" spans="1:7">
      <c r="A3810" s="4" t="s">
        <v>8734</v>
      </c>
      <c r="B3810" s="5" t="s">
        <v>8735</v>
      </c>
      <c r="C3810" s="4" t="s">
        <v>82</v>
      </c>
      <c r="D3810" s="475">
        <v>1241937.82</v>
      </c>
      <c r="E3810" s="476">
        <v>0.03814</v>
      </c>
      <c r="F3810" s="6">
        <v>227.9609</v>
      </c>
      <c r="G3810" s="6">
        <v>0.06461</v>
      </c>
    </row>
    <row r="3811" ht="15.75" customHeight="1" spans="1:7">
      <c r="A3811" s="4" t="s">
        <v>8736</v>
      </c>
      <c r="B3811" s="5" t="s">
        <v>8737</v>
      </c>
      <c r="C3811" s="4" t="s">
        <v>82</v>
      </c>
      <c r="D3811" s="475">
        <v>1225446.34</v>
      </c>
      <c r="E3811" s="476">
        <v>0.03814</v>
      </c>
      <c r="F3811" s="6">
        <v>117.3029</v>
      </c>
      <c r="G3811" s="6">
        <v>0.12556</v>
      </c>
    </row>
    <row r="3812" ht="15.75" customHeight="1" spans="1:7">
      <c r="A3812" s="4" t="s">
        <v>8738</v>
      </c>
      <c r="B3812" s="5" t="s">
        <v>8739</v>
      </c>
      <c r="C3812" s="4" t="s">
        <v>82</v>
      </c>
      <c r="D3812" s="475">
        <v>1061810.29</v>
      </c>
      <c r="E3812" s="476">
        <v>0.03814</v>
      </c>
      <c r="F3812" s="6">
        <v>117.4057</v>
      </c>
      <c r="G3812" s="6">
        <v>0.12545</v>
      </c>
    </row>
    <row r="3813" ht="15.75" customHeight="1" spans="1:7">
      <c r="A3813" s="4" t="s">
        <v>8740</v>
      </c>
      <c r="B3813" s="5" t="s">
        <v>8741</v>
      </c>
      <c r="C3813" s="4" t="s">
        <v>82</v>
      </c>
      <c r="D3813" s="475">
        <v>1471241.55</v>
      </c>
      <c r="E3813" s="476">
        <v>0.03814</v>
      </c>
      <c r="F3813" s="6">
        <v>253.5035</v>
      </c>
      <c r="G3813" s="6">
        <v>0.0581</v>
      </c>
    </row>
    <row r="3814" ht="15.75" customHeight="1" spans="1:7">
      <c r="A3814" s="4" t="s">
        <v>8742</v>
      </c>
      <c r="B3814" s="5" t="s">
        <v>8743</v>
      </c>
      <c r="C3814" s="4" t="s">
        <v>82</v>
      </c>
      <c r="D3814" s="475">
        <v>1078213.71</v>
      </c>
      <c r="E3814" s="476">
        <v>0.03814</v>
      </c>
      <c r="F3814" s="6">
        <v>156.0228</v>
      </c>
      <c r="G3814" s="6">
        <v>0.0944</v>
      </c>
    </row>
    <row r="3815" ht="15.75" customHeight="1" spans="1:7">
      <c r="A3815" s="4" t="s">
        <v>8744</v>
      </c>
      <c r="B3815" s="5" t="s">
        <v>8745</v>
      </c>
      <c r="C3815" s="4" t="s">
        <v>82</v>
      </c>
      <c r="D3815" s="475">
        <v>937833.79</v>
      </c>
      <c r="E3815" s="476">
        <v>0.03814</v>
      </c>
      <c r="F3815" s="6">
        <v>111.0667</v>
      </c>
      <c r="G3815" s="6">
        <v>0.13261</v>
      </c>
    </row>
    <row r="3816" ht="15.75" customHeight="1" spans="1:7">
      <c r="A3816" s="4" t="s">
        <v>8746</v>
      </c>
      <c r="B3816" s="5" t="s">
        <v>8747</v>
      </c>
      <c r="C3816" s="4" t="s">
        <v>82</v>
      </c>
      <c r="D3816" s="475">
        <v>1300031.19</v>
      </c>
      <c r="E3816" s="476">
        <v>0.03814</v>
      </c>
      <c r="F3816" s="6">
        <v>239.9568</v>
      </c>
      <c r="G3816" s="6">
        <v>0.06138</v>
      </c>
    </row>
    <row r="3817" ht="15.75" customHeight="1" spans="1:7">
      <c r="A3817" s="4" t="s">
        <v>8748</v>
      </c>
      <c r="B3817" s="5" t="s">
        <v>8749</v>
      </c>
      <c r="C3817" s="4" t="s">
        <v>82</v>
      </c>
      <c r="D3817" s="475">
        <v>506647.35</v>
      </c>
      <c r="E3817" s="476">
        <v>0.03814</v>
      </c>
      <c r="F3817" s="6">
        <v>44.4434</v>
      </c>
      <c r="G3817" s="6">
        <v>0.3314</v>
      </c>
    </row>
    <row r="3818" ht="15.75" customHeight="1" spans="1:7">
      <c r="A3818" s="4" t="s">
        <v>8750</v>
      </c>
      <c r="B3818" s="5" t="s">
        <v>8751</v>
      </c>
      <c r="C3818" s="4" t="s">
        <v>82</v>
      </c>
      <c r="D3818" s="475">
        <v>441069.71</v>
      </c>
      <c r="E3818" s="476">
        <v>0.03814</v>
      </c>
      <c r="F3818" s="6">
        <v>33.2076</v>
      </c>
      <c r="G3818" s="6">
        <v>0.44353</v>
      </c>
    </row>
    <row r="3819" ht="15.75" customHeight="1" spans="1:7">
      <c r="A3819" s="4" t="s">
        <v>8752</v>
      </c>
      <c r="B3819" s="5" t="s">
        <v>8753</v>
      </c>
      <c r="C3819" s="4" t="s">
        <v>82</v>
      </c>
      <c r="D3819" s="475">
        <v>609567.29</v>
      </c>
      <c r="E3819" s="476">
        <v>0.03814</v>
      </c>
      <c r="F3819" s="6">
        <v>71.9906</v>
      </c>
      <c r="G3819" s="6">
        <v>0.20459</v>
      </c>
    </row>
    <row r="3820" ht="15.75" customHeight="1" spans="1:7">
      <c r="A3820" s="4" t="s">
        <v>8754</v>
      </c>
      <c r="B3820" s="5" t="s">
        <v>8755</v>
      </c>
      <c r="C3820" s="4" t="s">
        <v>82</v>
      </c>
      <c r="D3820" s="475">
        <v>642755.2</v>
      </c>
      <c r="E3820" s="476">
        <v>0.03814</v>
      </c>
      <c r="F3820" s="6">
        <v>56.2932</v>
      </c>
      <c r="G3820" s="6">
        <v>0.26164</v>
      </c>
    </row>
    <row r="3821" ht="15.75" customHeight="1" spans="1:7">
      <c r="A3821" s="4" t="s">
        <v>8756</v>
      </c>
      <c r="B3821" s="5" t="s">
        <v>8757</v>
      </c>
      <c r="C3821" s="4" t="s">
        <v>82</v>
      </c>
      <c r="D3821" s="475">
        <v>559641.53</v>
      </c>
      <c r="E3821" s="476">
        <v>0.03814</v>
      </c>
      <c r="F3821" s="6">
        <v>42.0623</v>
      </c>
      <c r="G3821" s="6">
        <v>0.35016</v>
      </c>
    </row>
    <row r="3822" ht="15.75" customHeight="1" spans="1:7">
      <c r="A3822" s="4" t="s">
        <v>8758</v>
      </c>
      <c r="B3822" s="5" t="s">
        <v>8759</v>
      </c>
      <c r="C3822" s="4" t="s">
        <v>82</v>
      </c>
      <c r="D3822" s="475">
        <v>770784.56</v>
      </c>
      <c r="E3822" s="476">
        <v>0.03814</v>
      </c>
      <c r="F3822" s="6">
        <v>91.1872</v>
      </c>
      <c r="G3822" s="6">
        <v>0.16152</v>
      </c>
    </row>
    <row r="3823" ht="15.75" customHeight="1" spans="1:7">
      <c r="A3823" s="4" t="s">
        <v>8760</v>
      </c>
      <c r="B3823" s="5" t="s">
        <v>8761</v>
      </c>
      <c r="C3823" s="4" t="s">
        <v>99</v>
      </c>
      <c r="D3823" s="475">
        <v>154.81</v>
      </c>
      <c r="E3823" s="476">
        <v>0.04722</v>
      </c>
      <c r="F3823" s="6">
        <v>0.4456</v>
      </c>
      <c r="G3823" s="6">
        <v>10</v>
      </c>
    </row>
    <row r="3824" ht="15.75" customHeight="1" spans="1:7">
      <c r="A3824" s="4" t="s">
        <v>8762</v>
      </c>
      <c r="B3824" s="5" t="s">
        <v>8763</v>
      </c>
      <c r="C3824" s="4" t="s">
        <v>99</v>
      </c>
      <c r="D3824" s="475">
        <v>149.67</v>
      </c>
      <c r="E3824" s="476">
        <v>0.04722</v>
      </c>
      <c r="F3824" s="6">
        <v>0.1234</v>
      </c>
      <c r="G3824" s="6">
        <v>133.85</v>
      </c>
    </row>
    <row r="3825" ht="30" customHeight="1" spans="1:7">
      <c r="A3825" s="4" t="s">
        <v>8764</v>
      </c>
      <c r="B3825" s="5" t="s">
        <v>8765</v>
      </c>
      <c r="C3825" s="4" t="s">
        <v>82</v>
      </c>
      <c r="D3825" s="475">
        <v>298.16</v>
      </c>
      <c r="E3825" s="476">
        <v>0.03814</v>
      </c>
      <c r="F3825" s="6">
        <v>9.9039</v>
      </c>
      <c r="G3825" s="6">
        <v>0.41866</v>
      </c>
    </row>
    <row r="3826" ht="30" customHeight="1" spans="1:7">
      <c r="A3826" s="4" t="s">
        <v>8766</v>
      </c>
      <c r="B3826" s="5" t="s">
        <v>8767</v>
      </c>
      <c r="C3826" s="4" t="s">
        <v>82</v>
      </c>
      <c r="D3826" s="475">
        <v>204.84</v>
      </c>
      <c r="E3826" s="476">
        <v>0.03814</v>
      </c>
      <c r="F3826" s="6">
        <v>6.804</v>
      </c>
      <c r="G3826" s="6">
        <v>0.6094</v>
      </c>
    </row>
    <row r="3827" ht="30" customHeight="1" spans="1:7">
      <c r="A3827" s="4" t="s">
        <v>8768</v>
      </c>
      <c r="B3827" s="5" t="s">
        <v>8769</v>
      </c>
      <c r="C3827" s="4" t="s">
        <v>82</v>
      </c>
      <c r="D3827" s="475">
        <v>454.94</v>
      </c>
      <c r="E3827" s="476">
        <v>0.03814</v>
      </c>
      <c r="F3827" s="6">
        <v>15.1433</v>
      </c>
      <c r="G3827" s="6">
        <v>0.27381</v>
      </c>
    </row>
    <row r="3828" ht="30" customHeight="1" spans="1:7">
      <c r="A3828" s="4" t="s">
        <v>8770</v>
      </c>
      <c r="B3828" s="5" t="s">
        <v>8771</v>
      </c>
      <c r="C3828" s="4" t="s">
        <v>82</v>
      </c>
      <c r="D3828" s="475">
        <v>340.22</v>
      </c>
      <c r="E3828" s="476">
        <v>0.03814</v>
      </c>
      <c r="F3828" s="6">
        <v>11.3011</v>
      </c>
      <c r="G3828" s="6">
        <v>0.3669</v>
      </c>
    </row>
    <row r="3829" ht="30" customHeight="1" spans="1:7">
      <c r="A3829" s="4" t="s">
        <v>8772</v>
      </c>
      <c r="B3829" s="5" t="s">
        <v>8773</v>
      </c>
      <c r="C3829" s="4" t="s">
        <v>82</v>
      </c>
      <c r="D3829" s="475">
        <v>233.8</v>
      </c>
      <c r="E3829" s="476">
        <v>0.03814</v>
      </c>
      <c r="F3829" s="6">
        <v>7.7741</v>
      </c>
      <c r="G3829" s="6">
        <v>0.53336</v>
      </c>
    </row>
    <row r="3830" ht="30" customHeight="1" spans="1:7">
      <c r="A3830" s="4" t="s">
        <v>8774</v>
      </c>
      <c r="B3830" s="5" t="s">
        <v>8775</v>
      </c>
      <c r="C3830" s="4" t="s">
        <v>82</v>
      </c>
      <c r="D3830" s="475">
        <v>519.66</v>
      </c>
      <c r="E3830" s="476">
        <v>0.03814</v>
      </c>
      <c r="F3830" s="6">
        <v>17.2975</v>
      </c>
      <c r="G3830" s="6">
        <v>0.23971</v>
      </c>
    </row>
    <row r="3831" ht="30" customHeight="1" spans="1:7">
      <c r="A3831" s="4" t="s">
        <v>8776</v>
      </c>
      <c r="B3831" s="5" t="s">
        <v>8777</v>
      </c>
      <c r="C3831" s="4" t="s">
        <v>82</v>
      </c>
      <c r="D3831" s="475">
        <v>395.16</v>
      </c>
      <c r="E3831" s="476">
        <v>0.03814</v>
      </c>
      <c r="F3831" s="6">
        <v>13.126</v>
      </c>
      <c r="G3831" s="6">
        <v>0.31589</v>
      </c>
    </row>
    <row r="3832" ht="30" customHeight="1" spans="1:7">
      <c r="A3832" s="4" t="s">
        <v>8778</v>
      </c>
      <c r="B3832" s="5" t="s">
        <v>8779</v>
      </c>
      <c r="C3832" s="4" t="s">
        <v>82</v>
      </c>
      <c r="D3832" s="475">
        <v>275.81</v>
      </c>
      <c r="E3832" s="476">
        <v>0.03814</v>
      </c>
      <c r="F3832" s="6">
        <v>9.1712</v>
      </c>
      <c r="G3832" s="6">
        <v>0.45211</v>
      </c>
    </row>
    <row r="3833" ht="30" customHeight="1" spans="1:7">
      <c r="A3833" s="4" t="s">
        <v>8780</v>
      </c>
      <c r="B3833" s="5" t="s">
        <v>8781</v>
      </c>
      <c r="C3833" s="4" t="s">
        <v>82</v>
      </c>
      <c r="D3833" s="475">
        <v>603.64</v>
      </c>
      <c r="E3833" s="476">
        <v>0.03814</v>
      </c>
      <c r="F3833" s="6">
        <v>20.093</v>
      </c>
      <c r="G3833" s="6">
        <v>0.20636</v>
      </c>
    </row>
    <row r="3834" ht="30" customHeight="1" spans="1:7">
      <c r="A3834" s="4" t="s">
        <v>8782</v>
      </c>
      <c r="B3834" s="5" t="s">
        <v>8783</v>
      </c>
      <c r="C3834" s="4" t="s">
        <v>82</v>
      </c>
      <c r="D3834" s="475">
        <v>521.37</v>
      </c>
      <c r="E3834" s="476">
        <v>0.03814</v>
      </c>
      <c r="F3834" s="6">
        <v>17.3184</v>
      </c>
      <c r="G3834" s="6">
        <v>0.23942</v>
      </c>
    </row>
    <row r="3835" ht="30" customHeight="1" spans="1:7">
      <c r="A3835" s="4" t="s">
        <v>8784</v>
      </c>
      <c r="B3835" s="5" t="s">
        <v>8785</v>
      </c>
      <c r="C3835" s="4" t="s">
        <v>82</v>
      </c>
      <c r="D3835" s="475">
        <v>340.22</v>
      </c>
      <c r="E3835" s="476">
        <v>0.03814</v>
      </c>
      <c r="F3835" s="6">
        <v>11.3011</v>
      </c>
      <c r="G3835" s="6">
        <v>0.3669</v>
      </c>
    </row>
    <row r="3836" ht="30" customHeight="1" spans="1:7">
      <c r="A3836" s="4" t="s">
        <v>8786</v>
      </c>
      <c r="B3836" s="5" t="s">
        <v>8787</v>
      </c>
      <c r="C3836" s="4" t="s">
        <v>82</v>
      </c>
      <c r="D3836" s="475">
        <v>794.23</v>
      </c>
      <c r="E3836" s="476">
        <v>0.03814</v>
      </c>
      <c r="F3836" s="6">
        <v>26.437</v>
      </c>
      <c r="G3836" s="6">
        <v>0.15684</v>
      </c>
    </row>
    <row r="3837" ht="15.75" customHeight="1" spans="1:7">
      <c r="A3837" s="4" t="s">
        <v>8788</v>
      </c>
      <c r="B3837" s="5" t="s">
        <v>8789</v>
      </c>
      <c r="C3837" s="4" t="s">
        <v>82</v>
      </c>
      <c r="D3837" s="475">
        <v>239.31</v>
      </c>
      <c r="E3837" s="476">
        <v>0.03814</v>
      </c>
      <c r="F3837" s="6">
        <v>7.9573</v>
      </c>
      <c r="G3837" s="6">
        <v>0.52108</v>
      </c>
    </row>
    <row r="3838" ht="15.75" customHeight="1" spans="1:7">
      <c r="A3838" s="4" t="s">
        <v>8790</v>
      </c>
      <c r="B3838" s="5" t="s">
        <v>8791</v>
      </c>
      <c r="C3838" s="4" t="s">
        <v>82</v>
      </c>
      <c r="D3838" s="475">
        <v>175.04</v>
      </c>
      <c r="E3838" s="476">
        <v>0.03814</v>
      </c>
      <c r="F3838" s="6">
        <v>5.8266</v>
      </c>
      <c r="G3838" s="6">
        <v>0.71163</v>
      </c>
    </row>
    <row r="3839" ht="15.75" customHeight="1" spans="1:7">
      <c r="A3839" s="4" t="s">
        <v>8792</v>
      </c>
      <c r="B3839" s="5" t="s">
        <v>8793</v>
      </c>
      <c r="C3839" s="4" t="s">
        <v>82</v>
      </c>
      <c r="D3839" s="475">
        <v>365.49</v>
      </c>
      <c r="E3839" s="476">
        <v>0.03814</v>
      </c>
      <c r="F3839" s="6">
        <v>12.1659</v>
      </c>
      <c r="G3839" s="6">
        <v>0.34082</v>
      </c>
    </row>
    <row r="3840" ht="15.75" customHeight="1" spans="1:7">
      <c r="A3840" s="4" t="s">
        <v>8794</v>
      </c>
      <c r="B3840" s="5" t="s">
        <v>8795</v>
      </c>
      <c r="C3840" s="4" t="s">
        <v>82</v>
      </c>
      <c r="D3840" s="475">
        <v>610.85</v>
      </c>
      <c r="E3840" s="476">
        <v>0.03814</v>
      </c>
      <c r="F3840" s="6">
        <v>22.442</v>
      </c>
      <c r="G3840" s="6">
        <v>0.60145</v>
      </c>
    </row>
    <row r="3841" ht="15.75" customHeight="1" spans="1:7">
      <c r="A3841" s="4" t="s">
        <v>8796</v>
      </c>
      <c r="B3841" s="5" t="s">
        <v>8797</v>
      </c>
      <c r="C3841" s="4" t="s">
        <v>82</v>
      </c>
      <c r="D3841" s="475">
        <v>417.05</v>
      </c>
      <c r="E3841" s="476">
        <v>0.03814</v>
      </c>
      <c r="F3841" s="6">
        <v>15.3218</v>
      </c>
      <c r="G3841" s="6">
        <v>0.88095</v>
      </c>
    </row>
    <row r="3842" ht="15.75" customHeight="1" spans="1:7">
      <c r="A3842" s="4" t="s">
        <v>8798</v>
      </c>
      <c r="B3842" s="5" t="s">
        <v>8799</v>
      </c>
      <c r="C3842" s="4" t="s">
        <v>82</v>
      </c>
      <c r="D3842" s="475">
        <v>885.66</v>
      </c>
      <c r="E3842" s="476">
        <v>0.03814</v>
      </c>
      <c r="F3842" s="6">
        <v>32.538</v>
      </c>
      <c r="G3842" s="6">
        <v>0.41483</v>
      </c>
    </row>
    <row r="3843" ht="15.75" customHeight="1" spans="1:7">
      <c r="A3843" s="4" t="s">
        <v>8800</v>
      </c>
      <c r="B3843" s="5" t="s">
        <v>8801</v>
      </c>
      <c r="C3843" s="4" t="s">
        <v>82</v>
      </c>
      <c r="D3843" s="475">
        <v>698.5</v>
      </c>
      <c r="E3843" s="476">
        <v>0.03814</v>
      </c>
      <c r="F3843" s="6">
        <v>25.6621</v>
      </c>
      <c r="G3843" s="6">
        <v>0.52598</v>
      </c>
    </row>
    <row r="3844" ht="15.75" customHeight="1" spans="1:7">
      <c r="A3844" s="4" t="s">
        <v>8802</v>
      </c>
      <c r="B3844" s="5" t="s">
        <v>8803</v>
      </c>
      <c r="C3844" s="4" t="s">
        <v>82</v>
      </c>
      <c r="D3844" s="475">
        <v>478.94</v>
      </c>
      <c r="E3844" s="476">
        <v>0.03814</v>
      </c>
      <c r="F3844" s="6">
        <v>17.5958</v>
      </c>
      <c r="G3844" s="6">
        <v>0.7671</v>
      </c>
    </row>
    <row r="3845" ht="15.75" customHeight="1" spans="1:7">
      <c r="A3845" s="4" t="s">
        <v>8804</v>
      </c>
      <c r="B3845" s="5" t="s">
        <v>8805</v>
      </c>
      <c r="C3845" s="4" t="s">
        <v>82</v>
      </c>
      <c r="D3845" s="475">
        <v>1012.03</v>
      </c>
      <c r="E3845" s="476">
        <v>0.03814</v>
      </c>
      <c r="F3845" s="6">
        <v>37.1807</v>
      </c>
      <c r="G3845" s="6">
        <v>0.36303</v>
      </c>
    </row>
    <row r="3846" ht="15.75" customHeight="1" spans="1:7">
      <c r="A3846" s="4" t="s">
        <v>8806</v>
      </c>
      <c r="B3846" s="5" t="s">
        <v>8807</v>
      </c>
      <c r="C3846" s="4" t="s">
        <v>82</v>
      </c>
      <c r="D3846" s="475">
        <v>812.04</v>
      </c>
      <c r="E3846" s="476">
        <v>0.03814</v>
      </c>
      <c r="F3846" s="6">
        <v>29.8332</v>
      </c>
      <c r="G3846" s="6">
        <v>0.45244</v>
      </c>
    </row>
    <row r="3847" ht="15.75" customHeight="1" spans="1:7">
      <c r="A3847" s="4" t="s">
        <v>8808</v>
      </c>
      <c r="B3847" s="5" t="s">
        <v>8809</v>
      </c>
      <c r="C3847" s="4" t="s">
        <v>82</v>
      </c>
      <c r="D3847" s="475">
        <v>566.59</v>
      </c>
      <c r="E3847" s="476">
        <v>0.03814</v>
      </c>
      <c r="F3847" s="6">
        <v>20.8157</v>
      </c>
      <c r="G3847" s="6">
        <v>0.64844</v>
      </c>
    </row>
    <row r="3848" ht="15.75" customHeight="1" spans="1:7">
      <c r="A3848" s="4" t="s">
        <v>8810</v>
      </c>
      <c r="B3848" s="5" t="s">
        <v>8811</v>
      </c>
      <c r="C3848" s="4" t="s">
        <v>82</v>
      </c>
      <c r="D3848" s="475">
        <v>1177.22</v>
      </c>
      <c r="E3848" s="476">
        <v>0.03814</v>
      </c>
      <c r="F3848" s="6">
        <v>43.2495</v>
      </c>
      <c r="G3848" s="6">
        <v>0.31209</v>
      </c>
    </row>
    <row r="3849" ht="15.75" customHeight="1" spans="1:7">
      <c r="A3849" s="4" t="s">
        <v>8812</v>
      </c>
      <c r="B3849" s="5" t="s">
        <v>8813</v>
      </c>
      <c r="C3849" s="4" t="s">
        <v>82</v>
      </c>
      <c r="D3849" s="475">
        <v>1075.05</v>
      </c>
      <c r="E3849" s="476">
        <v>0.03814</v>
      </c>
      <c r="F3849" s="6">
        <v>39.4959</v>
      </c>
      <c r="G3849" s="6">
        <v>0.34175</v>
      </c>
    </row>
    <row r="3850" ht="15.75" customHeight="1" spans="1:7">
      <c r="A3850" s="4" t="s">
        <v>8814</v>
      </c>
      <c r="B3850" s="5" t="s">
        <v>8815</v>
      </c>
      <c r="C3850" s="4" t="s">
        <v>82</v>
      </c>
      <c r="D3850" s="475">
        <v>698.5</v>
      </c>
      <c r="E3850" s="476">
        <v>0.03814</v>
      </c>
      <c r="F3850" s="6">
        <v>25.6621</v>
      </c>
      <c r="G3850" s="6">
        <v>0.52598</v>
      </c>
    </row>
    <row r="3851" ht="15.75" customHeight="1" spans="1:7">
      <c r="A3851" s="4" t="s">
        <v>8816</v>
      </c>
      <c r="B3851" s="5" t="s">
        <v>8817</v>
      </c>
      <c r="C3851" s="4" t="s">
        <v>82</v>
      </c>
      <c r="D3851" s="475">
        <v>1556.44</v>
      </c>
      <c r="E3851" s="476">
        <v>0.03814</v>
      </c>
      <c r="F3851" s="6">
        <v>57.1816</v>
      </c>
      <c r="G3851" s="6">
        <v>0.23605</v>
      </c>
    </row>
    <row r="3852" ht="15.75" customHeight="1" spans="1:7">
      <c r="A3852" s="4" t="s">
        <v>8818</v>
      </c>
      <c r="B3852" s="5" t="s">
        <v>8819</v>
      </c>
      <c r="C3852" s="4" t="s">
        <v>82</v>
      </c>
      <c r="D3852" s="475">
        <v>490.01</v>
      </c>
      <c r="E3852" s="476">
        <v>0.03814</v>
      </c>
      <c r="F3852" s="6">
        <v>18.0025</v>
      </c>
      <c r="G3852" s="6">
        <v>0.74977</v>
      </c>
    </row>
    <row r="3853" ht="15.75" customHeight="1" spans="1:7">
      <c r="A3853" s="4" t="s">
        <v>8820</v>
      </c>
      <c r="B3853" s="5" t="s">
        <v>8821</v>
      </c>
      <c r="C3853" s="4" t="s">
        <v>82</v>
      </c>
      <c r="D3853" s="475">
        <v>358.03</v>
      </c>
      <c r="E3853" s="476">
        <v>0.03814</v>
      </c>
      <c r="F3853" s="6">
        <v>13.1535</v>
      </c>
      <c r="G3853" s="6">
        <v>1.02617</v>
      </c>
    </row>
    <row r="3854" ht="15.75" customHeight="1" spans="1:7">
      <c r="A3854" s="4" t="s">
        <v>8822</v>
      </c>
      <c r="B3854" s="5" t="s">
        <v>8823</v>
      </c>
      <c r="C3854" s="4" t="s">
        <v>82</v>
      </c>
      <c r="D3854" s="475">
        <v>709.49</v>
      </c>
      <c r="E3854" s="476">
        <v>0.03814</v>
      </c>
      <c r="F3854" s="6">
        <v>26.0659</v>
      </c>
      <c r="G3854" s="6">
        <v>0.51783</v>
      </c>
    </row>
    <row r="3855" ht="15.75" customHeight="1" spans="1:7">
      <c r="A3855" s="4" t="s">
        <v>8824</v>
      </c>
      <c r="B3855" s="5" t="s">
        <v>8825</v>
      </c>
      <c r="C3855" s="4" t="s">
        <v>8826</v>
      </c>
      <c r="D3855" s="475">
        <v>66310.93</v>
      </c>
      <c r="E3855" s="476">
        <v>0</v>
      </c>
      <c r="F3855" s="6">
        <v>0</v>
      </c>
      <c r="G3855" s="6">
        <v>1.22781</v>
      </c>
    </row>
    <row r="3856" ht="15.75" customHeight="1" spans="1:7">
      <c r="A3856" s="4" t="s">
        <v>8827</v>
      </c>
      <c r="B3856" s="5" t="s">
        <v>8828</v>
      </c>
      <c r="C3856" s="4" t="s">
        <v>8826</v>
      </c>
      <c r="D3856" s="475">
        <v>33790.11</v>
      </c>
      <c r="E3856" s="476">
        <v>0</v>
      </c>
      <c r="F3856" s="6">
        <v>0</v>
      </c>
      <c r="G3856" s="6">
        <v>1.73943</v>
      </c>
    </row>
    <row r="3857" ht="15.75" customHeight="1" spans="1:7">
      <c r="A3857" s="4" t="s">
        <v>8829</v>
      </c>
      <c r="B3857" s="5" t="s">
        <v>8830</v>
      </c>
      <c r="C3857" s="4" t="s">
        <v>8826</v>
      </c>
      <c r="D3857" s="475">
        <v>87738.75</v>
      </c>
      <c r="E3857" s="476">
        <v>0</v>
      </c>
      <c r="F3857" s="6">
        <v>0</v>
      </c>
      <c r="G3857" s="6">
        <v>1.22781</v>
      </c>
    </row>
    <row r="3858" ht="15.75" customHeight="1" spans="1:7">
      <c r="A3858" s="4" t="s">
        <v>8831</v>
      </c>
      <c r="B3858" s="5" t="s">
        <v>8832</v>
      </c>
      <c r="C3858" s="4" t="s">
        <v>8826</v>
      </c>
      <c r="D3858" s="475">
        <v>74750.87</v>
      </c>
      <c r="E3858" s="476">
        <v>0</v>
      </c>
      <c r="F3858" s="6">
        <v>0</v>
      </c>
      <c r="G3858" s="6">
        <v>1.04381</v>
      </c>
    </row>
    <row r="3859" ht="15.75" customHeight="1" spans="1:7">
      <c r="A3859" s="4" t="s">
        <v>8833</v>
      </c>
      <c r="B3859" s="5" t="s">
        <v>8834</v>
      </c>
      <c r="C3859" s="4" t="s">
        <v>8826</v>
      </c>
      <c r="D3859" s="475">
        <v>38698.03</v>
      </c>
      <c r="E3859" s="476">
        <v>0</v>
      </c>
      <c r="F3859" s="6">
        <v>0</v>
      </c>
      <c r="G3859" s="6">
        <v>1.49102</v>
      </c>
    </row>
    <row r="3860" ht="15.75" customHeight="1" spans="1:7">
      <c r="A3860" s="4" t="s">
        <v>8835</v>
      </c>
      <c r="B3860" s="5" t="s">
        <v>8836</v>
      </c>
      <c r="C3860" s="4" t="s">
        <v>8826</v>
      </c>
      <c r="D3860" s="475">
        <v>98899.27</v>
      </c>
      <c r="E3860" s="476">
        <v>0</v>
      </c>
      <c r="F3860" s="6">
        <v>0</v>
      </c>
      <c r="G3860" s="6">
        <v>1.04381</v>
      </c>
    </row>
    <row r="3861" ht="15.75" customHeight="1" spans="1:7">
      <c r="A3861" s="4" t="s">
        <v>8837</v>
      </c>
      <c r="B3861" s="5" t="s">
        <v>8838</v>
      </c>
      <c r="C3861" s="4" t="s">
        <v>8826</v>
      </c>
      <c r="D3861" s="475">
        <v>87811.96</v>
      </c>
      <c r="E3861" s="476">
        <v>0</v>
      </c>
      <c r="F3861" s="6">
        <v>0</v>
      </c>
      <c r="G3861" s="6">
        <v>0.9076</v>
      </c>
    </row>
    <row r="3862" ht="15.75" customHeight="1" spans="1:7">
      <c r="A3862" s="4" t="s">
        <v>8839</v>
      </c>
      <c r="B3862" s="5" t="s">
        <v>8840</v>
      </c>
      <c r="C3862" s="4" t="s">
        <v>8826</v>
      </c>
      <c r="D3862" s="475">
        <v>47131.51</v>
      </c>
      <c r="E3862" s="476">
        <v>0</v>
      </c>
      <c r="F3862" s="6">
        <v>0</v>
      </c>
      <c r="G3862" s="6">
        <v>1.30469</v>
      </c>
    </row>
    <row r="3863" ht="15.75" customHeight="1" spans="1:7">
      <c r="A3863" s="4" t="s">
        <v>8841</v>
      </c>
      <c r="B3863" s="5" t="s">
        <v>8842</v>
      </c>
      <c r="C3863" s="4" t="s">
        <v>8826</v>
      </c>
      <c r="D3863" s="475">
        <v>116183.73</v>
      </c>
      <c r="E3863" s="476">
        <v>0</v>
      </c>
      <c r="F3863" s="6">
        <v>0</v>
      </c>
      <c r="G3863" s="6">
        <v>0.9076</v>
      </c>
    </row>
    <row r="3864" ht="15.75" customHeight="1" spans="1:7">
      <c r="A3864" s="4" t="s">
        <v>8843</v>
      </c>
      <c r="B3864" s="5" t="s">
        <v>8844</v>
      </c>
      <c r="C3864" s="4" t="s">
        <v>8826</v>
      </c>
      <c r="D3864" s="475">
        <v>115751.5</v>
      </c>
      <c r="E3864" s="476">
        <v>0</v>
      </c>
      <c r="F3864" s="6">
        <v>0</v>
      </c>
      <c r="G3864" s="6">
        <v>0.69582</v>
      </c>
    </row>
    <row r="3865" ht="15.75" customHeight="1" spans="1:7">
      <c r="A3865" s="4" t="s">
        <v>8845</v>
      </c>
      <c r="B3865" s="5" t="s">
        <v>8846</v>
      </c>
      <c r="C3865" s="4" t="s">
        <v>8826</v>
      </c>
      <c r="D3865" s="475">
        <v>59226.08</v>
      </c>
      <c r="E3865" s="476">
        <v>0</v>
      </c>
      <c r="F3865" s="6">
        <v>0</v>
      </c>
      <c r="G3865" s="6">
        <v>1.04381</v>
      </c>
    </row>
    <row r="3866" ht="15.75" customHeight="1" spans="1:7">
      <c r="A3866" s="4" t="s">
        <v>8847</v>
      </c>
      <c r="B3866" s="5" t="s">
        <v>8848</v>
      </c>
      <c r="C3866" s="4" t="s">
        <v>8826</v>
      </c>
      <c r="D3866" s="475">
        <v>153152.99</v>
      </c>
      <c r="E3866" s="476">
        <v>0</v>
      </c>
      <c r="F3866" s="6">
        <v>0</v>
      </c>
      <c r="G3866" s="6">
        <v>0.69582</v>
      </c>
    </row>
    <row r="3867" ht="15.75" customHeight="1" spans="1:7">
      <c r="A3867" s="4" t="s">
        <v>8849</v>
      </c>
      <c r="B3867" s="5" t="s">
        <v>8850</v>
      </c>
      <c r="C3867" s="4" t="s">
        <v>8826</v>
      </c>
      <c r="D3867" s="475">
        <v>40157.73</v>
      </c>
      <c r="E3867" s="476">
        <v>0.03814</v>
      </c>
      <c r="F3867" s="6">
        <v>25.6157</v>
      </c>
      <c r="G3867" s="6">
        <v>0.51383</v>
      </c>
    </row>
    <row r="3868" ht="15.75" customHeight="1" spans="1:7">
      <c r="A3868" s="4" t="s">
        <v>8851</v>
      </c>
      <c r="B3868" s="5" t="s">
        <v>8852</v>
      </c>
      <c r="C3868" s="4" t="s">
        <v>8826</v>
      </c>
      <c r="D3868" s="475">
        <v>16640.19</v>
      </c>
      <c r="E3868" s="476">
        <v>0.03814</v>
      </c>
      <c r="F3868" s="6">
        <v>17.465</v>
      </c>
      <c r="G3868" s="6">
        <v>0.75363</v>
      </c>
    </row>
    <row r="3869" ht="15.75" customHeight="1" spans="1:7">
      <c r="A3869" s="4" t="s">
        <v>8853</v>
      </c>
      <c r="B3869" s="5" t="s">
        <v>8854</v>
      </c>
      <c r="C3869" s="4" t="s">
        <v>8826</v>
      </c>
      <c r="D3869" s="475">
        <v>40537.59</v>
      </c>
      <c r="E3869" s="476">
        <v>0.03814</v>
      </c>
      <c r="F3869" s="6">
        <v>38.4341</v>
      </c>
      <c r="G3869" s="6">
        <v>0.34246</v>
      </c>
    </row>
    <row r="3870" ht="15.75" customHeight="1" spans="1:7">
      <c r="A3870" s="4" t="s">
        <v>8855</v>
      </c>
      <c r="B3870" s="5" t="s">
        <v>8856</v>
      </c>
      <c r="C3870" s="4" t="s">
        <v>8826</v>
      </c>
      <c r="D3870" s="475">
        <v>45266.34</v>
      </c>
      <c r="E3870" s="476">
        <v>0.03814</v>
      </c>
      <c r="F3870" s="6">
        <v>29.205</v>
      </c>
      <c r="G3870" s="6">
        <v>0.45068</v>
      </c>
    </row>
    <row r="3871" ht="15.75" customHeight="1" spans="1:7">
      <c r="A3871" s="4" t="s">
        <v>8857</v>
      </c>
      <c r="B3871" s="5" t="s">
        <v>8858</v>
      </c>
      <c r="C3871" s="4" t="s">
        <v>8826</v>
      </c>
      <c r="D3871" s="475">
        <v>19050.09</v>
      </c>
      <c r="E3871" s="476">
        <v>0.03814</v>
      </c>
      <c r="F3871" s="6">
        <v>19.8674</v>
      </c>
      <c r="G3871" s="6">
        <v>0.6625</v>
      </c>
    </row>
    <row r="3872" ht="15.75" customHeight="1" spans="1:7">
      <c r="A3872" s="4" t="s">
        <v>8859</v>
      </c>
      <c r="B3872" s="5" t="s">
        <v>8860</v>
      </c>
      <c r="C3872" s="4" t="s">
        <v>8826</v>
      </c>
      <c r="D3872" s="475">
        <v>45699.09</v>
      </c>
      <c r="E3872" s="476">
        <v>0.03814</v>
      </c>
      <c r="F3872" s="6">
        <v>43.8081</v>
      </c>
      <c r="G3872" s="6">
        <v>0.30045</v>
      </c>
    </row>
    <row r="3873" ht="15.75" customHeight="1" spans="1:7">
      <c r="A3873" s="4" t="s">
        <v>8861</v>
      </c>
      <c r="B3873" s="5" t="s">
        <v>8862</v>
      </c>
      <c r="C3873" s="4" t="s">
        <v>8826</v>
      </c>
      <c r="D3873" s="475">
        <v>53171.39</v>
      </c>
      <c r="E3873" s="476">
        <v>0.03814</v>
      </c>
      <c r="F3873" s="6">
        <v>33.9178</v>
      </c>
      <c r="G3873" s="6">
        <v>0.38806</v>
      </c>
    </row>
    <row r="3874" ht="15.75" customHeight="1" spans="1:7">
      <c r="A3874" s="4" t="s">
        <v>8863</v>
      </c>
      <c r="B3874" s="5" t="s">
        <v>8864</v>
      </c>
      <c r="C3874" s="4" t="s">
        <v>8826</v>
      </c>
      <c r="D3874" s="475">
        <v>23191.67</v>
      </c>
      <c r="E3874" s="476">
        <v>0.03814</v>
      </c>
      <c r="F3874" s="6">
        <v>23.4356</v>
      </c>
      <c r="G3874" s="6">
        <v>0.56163</v>
      </c>
    </row>
    <row r="3875" ht="15.75" customHeight="1" spans="1:7">
      <c r="A3875" s="4" t="s">
        <v>8865</v>
      </c>
      <c r="B3875" s="5" t="s">
        <v>8866</v>
      </c>
      <c r="C3875" s="4" t="s">
        <v>8826</v>
      </c>
      <c r="D3875" s="475">
        <v>53673.99</v>
      </c>
      <c r="E3875" s="476">
        <v>0.03814</v>
      </c>
      <c r="F3875" s="6">
        <v>50.878</v>
      </c>
      <c r="G3875" s="6">
        <v>0.2587</v>
      </c>
    </row>
    <row r="3876" ht="15.75" customHeight="1" spans="1:7">
      <c r="A3876" s="4" t="s">
        <v>8867</v>
      </c>
      <c r="B3876" s="5" t="s">
        <v>8868</v>
      </c>
      <c r="C3876" s="4" t="s">
        <v>8826</v>
      </c>
      <c r="D3876" s="475">
        <v>70093.93</v>
      </c>
      <c r="E3876" s="476">
        <v>0.03814</v>
      </c>
      <c r="F3876" s="6">
        <v>44.7114</v>
      </c>
      <c r="G3876" s="6">
        <v>0.29438</v>
      </c>
    </row>
    <row r="3877" ht="15.75" customHeight="1" spans="1:7">
      <c r="A3877" s="4" t="s">
        <v>8869</v>
      </c>
      <c r="B3877" s="5" t="s">
        <v>8870</v>
      </c>
      <c r="C3877" s="4" t="s">
        <v>8826</v>
      </c>
      <c r="D3877" s="475">
        <v>29134.4</v>
      </c>
      <c r="E3877" s="476">
        <v>0.03814</v>
      </c>
      <c r="F3877" s="6">
        <v>29.1178</v>
      </c>
      <c r="G3877" s="6">
        <v>0.45203</v>
      </c>
    </row>
    <row r="3878" ht="15.75" customHeight="1" spans="1:7">
      <c r="A3878" s="4" t="s">
        <v>8871</v>
      </c>
      <c r="B3878" s="5" t="s">
        <v>8872</v>
      </c>
      <c r="C3878" s="4" t="s">
        <v>8826</v>
      </c>
      <c r="D3878" s="475">
        <v>70756.36</v>
      </c>
      <c r="E3878" s="476">
        <v>0.03814</v>
      </c>
      <c r="F3878" s="6">
        <v>67.0648</v>
      </c>
      <c r="G3878" s="6">
        <v>0.19626</v>
      </c>
    </row>
    <row r="3879" ht="15.75" customHeight="1" spans="1:7">
      <c r="A3879" s="4" t="s">
        <v>8873</v>
      </c>
      <c r="B3879" s="5" t="s">
        <v>8874</v>
      </c>
      <c r="C3879" s="4" t="s">
        <v>8826</v>
      </c>
      <c r="D3879" s="475">
        <v>31955.74</v>
      </c>
      <c r="E3879" s="476">
        <v>0.03814</v>
      </c>
      <c r="F3879" s="6">
        <v>20.5283</v>
      </c>
      <c r="G3879" s="6">
        <v>0.64117</v>
      </c>
    </row>
    <row r="3880" ht="15.75" customHeight="1" spans="1:7">
      <c r="A3880" s="4" t="s">
        <v>8875</v>
      </c>
      <c r="B3880" s="5" t="s">
        <v>8876</v>
      </c>
      <c r="C3880" s="4" t="s">
        <v>8826</v>
      </c>
      <c r="D3880" s="475">
        <v>13890.75</v>
      </c>
      <c r="E3880" s="476">
        <v>0.03814</v>
      </c>
      <c r="F3880" s="6">
        <v>14.7796</v>
      </c>
      <c r="G3880" s="6">
        <v>0.89056</v>
      </c>
    </row>
    <row r="3881" ht="15.75" customHeight="1" spans="1:7">
      <c r="A3881" s="4" t="s">
        <v>8877</v>
      </c>
      <c r="B3881" s="5" t="s">
        <v>8878</v>
      </c>
      <c r="C3881" s="4" t="s">
        <v>8826</v>
      </c>
      <c r="D3881" s="475">
        <v>32259.86</v>
      </c>
      <c r="E3881" s="476">
        <v>0.03814</v>
      </c>
      <c r="F3881" s="6">
        <v>30.7908</v>
      </c>
      <c r="G3881" s="6">
        <v>0.42747</v>
      </c>
    </row>
    <row r="3882" ht="15.75" customHeight="1" spans="1:7">
      <c r="A3882" s="4" t="s">
        <v>8879</v>
      </c>
      <c r="B3882" s="5" t="s">
        <v>8880</v>
      </c>
      <c r="C3882" s="4" t="s">
        <v>82</v>
      </c>
      <c r="D3882" s="475">
        <v>367.4</v>
      </c>
      <c r="E3882" s="476">
        <v>0.03814</v>
      </c>
      <c r="F3882" s="6">
        <v>13.4977</v>
      </c>
      <c r="G3882" s="6">
        <v>1</v>
      </c>
    </row>
    <row r="3883" ht="15.75" customHeight="1" spans="1:7">
      <c r="A3883" s="4" t="s">
        <v>8881</v>
      </c>
      <c r="B3883" s="5" t="s">
        <v>8882</v>
      </c>
      <c r="C3883" s="4" t="s">
        <v>82</v>
      </c>
      <c r="D3883" s="475">
        <v>2102.92</v>
      </c>
      <c r="E3883" s="476">
        <v>0.03814</v>
      </c>
      <c r="F3883" s="6">
        <v>37.5602</v>
      </c>
      <c r="G3883" s="6">
        <v>0.6868</v>
      </c>
    </row>
    <row r="3884" ht="15.75" customHeight="1" spans="1:7">
      <c r="A3884" s="4" t="s">
        <v>8883</v>
      </c>
      <c r="B3884" s="5" t="s">
        <v>8884</v>
      </c>
      <c r="C3884" s="4" t="s">
        <v>82</v>
      </c>
      <c r="D3884" s="475">
        <v>3059.49</v>
      </c>
      <c r="E3884" s="476">
        <v>0.03814</v>
      </c>
      <c r="F3884" s="6">
        <v>55.0322</v>
      </c>
      <c r="G3884" s="6">
        <v>0.46875</v>
      </c>
    </row>
    <row r="3885" ht="15.75" customHeight="1" spans="1:7">
      <c r="A3885" s="4" t="s">
        <v>8885</v>
      </c>
      <c r="B3885" s="5" t="s">
        <v>8886</v>
      </c>
      <c r="C3885" s="4" t="s">
        <v>82</v>
      </c>
      <c r="D3885" s="475">
        <v>2204.36</v>
      </c>
      <c r="E3885" s="476">
        <v>0.03814</v>
      </c>
      <c r="F3885" s="6">
        <v>37.5602</v>
      </c>
      <c r="G3885" s="6">
        <v>0.6868</v>
      </c>
    </row>
    <row r="3886" ht="15.75" customHeight="1" spans="1:7">
      <c r="A3886" s="4" t="s">
        <v>8887</v>
      </c>
      <c r="B3886" s="5" t="s">
        <v>8888</v>
      </c>
      <c r="C3886" s="4" t="s">
        <v>82</v>
      </c>
      <c r="D3886" s="475">
        <v>3209.55</v>
      </c>
      <c r="E3886" s="476">
        <v>0.03814</v>
      </c>
      <c r="F3886" s="6">
        <v>55.7229</v>
      </c>
      <c r="G3886" s="6">
        <v>0.46888</v>
      </c>
    </row>
    <row r="3887" ht="15.75" customHeight="1" spans="1:7">
      <c r="A3887" s="4" t="s">
        <v>8889</v>
      </c>
      <c r="B3887" s="5" t="s">
        <v>8890</v>
      </c>
      <c r="C3887" s="4" t="s">
        <v>82</v>
      </c>
      <c r="D3887" s="475">
        <v>3213.47</v>
      </c>
      <c r="E3887" s="476">
        <v>0.03814</v>
      </c>
      <c r="F3887" s="6">
        <v>55.0322</v>
      </c>
      <c r="G3887" s="6">
        <v>0.46875</v>
      </c>
    </row>
    <row r="3888" ht="15.75" customHeight="1" spans="1:7">
      <c r="A3888" s="4" t="s">
        <v>8891</v>
      </c>
      <c r="B3888" s="5" t="s">
        <v>8892</v>
      </c>
      <c r="C3888" s="4" t="s">
        <v>82</v>
      </c>
      <c r="D3888" s="475">
        <v>2356.38</v>
      </c>
      <c r="E3888" s="476">
        <v>0.03814</v>
      </c>
      <c r="F3888" s="6">
        <v>37.5602</v>
      </c>
      <c r="G3888" s="6">
        <v>0.6868</v>
      </c>
    </row>
    <row r="3889" ht="15.75" customHeight="1" spans="1:7">
      <c r="A3889" s="4" t="s">
        <v>8893</v>
      </c>
      <c r="B3889" s="5" t="s">
        <v>8894</v>
      </c>
      <c r="C3889" s="4" t="s">
        <v>82</v>
      </c>
      <c r="D3889" s="475">
        <v>3369.91</v>
      </c>
      <c r="E3889" s="476">
        <v>0.03814</v>
      </c>
      <c r="F3889" s="6">
        <v>55.7229</v>
      </c>
      <c r="G3889" s="6">
        <v>0.46888</v>
      </c>
    </row>
    <row r="3890" ht="15.75" customHeight="1" spans="1:7">
      <c r="A3890" s="4" t="s">
        <v>8895</v>
      </c>
      <c r="B3890" s="5" t="s">
        <v>8896</v>
      </c>
      <c r="C3890" s="4" t="s">
        <v>82</v>
      </c>
      <c r="D3890" s="475">
        <v>3354.67</v>
      </c>
      <c r="E3890" s="476">
        <v>0.03814</v>
      </c>
      <c r="F3890" s="6">
        <v>55.0322</v>
      </c>
      <c r="G3890" s="6">
        <v>0.46875</v>
      </c>
    </row>
    <row r="3891" ht="15.75" customHeight="1" spans="1:7">
      <c r="A3891" s="4" t="s">
        <v>8897</v>
      </c>
      <c r="B3891" s="5" t="s">
        <v>8898</v>
      </c>
      <c r="C3891" s="4" t="s">
        <v>82</v>
      </c>
      <c r="D3891" s="475">
        <v>3516.73</v>
      </c>
      <c r="E3891" s="476">
        <v>0.03814</v>
      </c>
      <c r="F3891" s="6">
        <v>55.7229</v>
      </c>
      <c r="G3891" s="6">
        <v>0.46888</v>
      </c>
    </row>
    <row r="3892" ht="15.75" customHeight="1" spans="1:7">
      <c r="A3892" s="4" t="s">
        <v>8899</v>
      </c>
      <c r="B3892" s="5" t="s">
        <v>8900</v>
      </c>
      <c r="C3892" s="4" t="s">
        <v>82</v>
      </c>
      <c r="D3892" s="475">
        <v>2374.19</v>
      </c>
      <c r="E3892" s="476">
        <v>0.03814</v>
      </c>
      <c r="F3892" s="6">
        <v>42.7347</v>
      </c>
      <c r="G3892" s="6">
        <v>0.60364</v>
      </c>
    </row>
    <row r="3893" ht="15.75" customHeight="1" spans="1:7">
      <c r="A3893" s="4" t="s">
        <v>8901</v>
      </c>
      <c r="B3893" s="5" t="s">
        <v>8902</v>
      </c>
      <c r="C3893" s="4" t="s">
        <v>82</v>
      </c>
      <c r="D3893" s="475">
        <v>3452.15</v>
      </c>
      <c r="E3893" s="476">
        <v>0.03814</v>
      </c>
      <c r="F3893" s="6">
        <v>62.774</v>
      </c>
      <c r="G3893" s="6">
        <v>0.41094</v>
      </c>
    </row>
    <row r="3894" ht="15.75" customHeight="1" spans="1:7">
      <c r="A3894" s="4" t="s">
        <v>8903</v>
      </c>
      <c r="B3894" s="5" t="s">
        <v>8904</v>
      </c>
      <c r="C3894" s="4" t="s">
        <v>82</v>
      </c>
      <c r="D3894" s="475">
        <v>2485.78</v>
      </c>
      <c r="E3894" s="476">
        <v>0.03814</v>
      </c>
      <c r="F3894" s="6">
        <v>42.7347</v>
      </c>
      <c r="G3894" s="6">
        <v>0.60364</v>
      </c>
    </row>
    <row r="3895" ht="15.75" customHeight="1" spans="1:7">
      <c r="A3895" s="4" t="s">
        <v>8905</v>
      </c>
      <c r="B3895" s="5" t="s">
        <v>8906</v>
      </c>
      <c r="C3895" s="4" t="s">
        <v>82</v>
      </c>
      <c r="D3895" s="475">
        <v>3617.78</v>
      </c>
      <c r="E3895" s="476">
        <v>0.03814</v>
      </c>
      <c r="F3895" s="6">
        <v>63.5779</v>
      </c>
      <c r="G3895" s="6">
        <v>0.41095</v>
      </c>
    </row>
    <row r="3896" ht="15.75" customHeight="1" spans="1:7">
      <c r="A3896" s="4" t="s">
        <v>8907</v>
      </c>
      <c r="B3896" s="5" t="s">
        <v>8908</v>
      </c>
      <c r="C3896" s="4" t="s">
        <v>82</v>
      </c>
      <c r="D3896" s="475">
        <v>3621.52</v>
      </c>
      <c r="E3896" s="476">
        <v>0.03814</v>
      </c>
      <c r="F3896" s="6">
        <v>62.774</v>
      </c>
      <c r="G3896" s="6">
        <v>0.41094</v>
      </c>
    </row>
    <row r="3897" ht="15.75" customHeight="1" spans="1:7">
      <c r="A3897" s="4" t="s">
        <v>8909</v>
      </c>
      <c r="B3897" s="5" t="s">
        <v>8910</v>
      </c>
      <c r="C3897" s="4" t="s">
        <v>82</v>
      </c>
      <c r="D3897" s="475">
        <v>2652.99</v>
      </c>
      <c r="E3897" s="476">
        <v>0.03814</v>
      </c>
      <c r="F3897" s="6">
        <v>42.7347</v>
      </c>
      <c r="G3897" s="6">
        <v>0.60364</v>
      </c>
    </row>
    <row r="3898" ht="15.75" customHeight="1" spans="1:7">
      <c r="A3898" s="4" t="s">
        <v>8911</v>
      </c>
      <c r="B3898" s="5" t="s">
        <v>8912</v>
      </c>
      <c r="C3898" s="4" t="s">
        <v>82</v>
      </c>
      <c r="D3898" s="475">
        <v>3794.19</v>
      </c>
      <c r="E3898" s="476">
        <v>0.03814</v>
      </c>
      <c r="F3898" s="6">
        <v>63.5779</v>
      </c>
      <c r="G3898" s="6">
        <v>0.41095</v>
      </c>
    </row>
    <row r="3899" ht="15.75" customHeight="1" spans="1:7">
      <c r="A3899" s="4" t="s">
        <v>8913</v>
      </c>
      <c r="B3899" s="5" t="s">
        <v>8914</v>
      </c>
      <c r="C3899" s="4" t="s">
        <v>82</v>
      </c>
      <c r="D3899" s="475">
        <v>3776.85</v>
      </c>
      <c r="E3899" s="476">
        <v>0.03814</v>
      </c>
      <c r="F3899" s="6">
        <v>62.774</v>
      </c>
      <c r="G3899" s="6">
        <v>0.41094</v>
      </c>
    </row>
    <row r="3900" ht="15.75" customHeight="1" spans="1:7">
      <c r="A3900" s="4" t="s">
        <v>8915</v>
      </c>
      <c r="B3900" s="5" t="s">
        <v>8916</v>
      </c>
      <c r="C3900" s="4" t="s">
        <v>82</v>
      </c>
      <c r="D3900" s="475">
        <v>3955.68</v>
      </c>
      <c r="E3900" s="476">
        <v>0.03814</v>
      </c>
      <c r="F3900" s="6">
        <v>63.5779</v>
      </c>
      <c r="G3900" s="6">
        <v>0.41095</v>
      </c>
    </row>
    <row r="3901" ht="15.75" customHeight="1" spans="1:7">
      <c r="A3901" s="4" t="s">
        <v>8917</v>
      </c>
      <c r="B3901" s="5" t="s">
        <v>8918</v>
      </c>
      <c r="C3901" s="4" t="s">
        <v>82</v>
      </c>
      <c r="D3901" s="475">
        <v>2776.21</v>
      </c>
      <c r="E3901" s="476">
        <v>0.03814</v>
      </c>
      <c r="F3901" s="6">
        <v>50.5226</v>
      </c>
      <c r="G3901" s="6">
        <v>0.51059</v>
      </c>
    </row>
    <row r="3902" ht="15.75" customHeight="1" spans="1:7">
      <c r="A3902" s="4" t="s">
        <v>8919</v>
      </c>
      <c r="B3902" s="5" t="s">
        <v>8920</v>
      </c>
      <c r="C3902" s="4" t="s">
        <v>82</v>
      </c>
      <c r="D3902" s="475">
        <v>3975.55</v>
      </c>
      <c r="E3902" s="476">
        <v>0.03814</v>
      </c>
      <c r="F3902" s="6">
        <v>73.1231</v>
      </c>
      <c r="G3902" s="6">
        <v>0.35278</v>
      </c>
    </row>
    <row r="3903" ht="15.75" customHeight="1" spans="1:7">
      <c r="A3903" s="4" t="s">
        <v>8921</v>
      </c>
      <c r="B3903" s="5" t="s">
        <v>8922</v>
      </c>
      <c r="C3903" s="4" t="s">
        <v>82</v>
      </c>
      <c r="D3903" s="475">
        <v>2898.96</v>
      </c>
      <c r="E3903" s="476">
        <v>0.03814</v>
      </c>
      <c r="F3903" s="6">
        <v>50.5226</v>
      </c>
      <c r="G3903" s="6">
        <v>0.51059</v>
      </c>
    </row>
    <row r="3904" ht="15.75" customHeight="1" spans="1:7">
      <c r="A3904" s="4" t="s">
        <v>8923</v>
      </c>
      <c r="B3904" s="5" t="s">
        <v>8924</v>
      </c>
      <c r="C3904" s="4" t="s">
        <v>82</v>
      </c>
      <c r="D3904" s="475">
        <v>4160.98</v>
      </c>
      <c r="E3904" s="476">
        <v>0.03814</v>
      </c>
      <c r="F3904" s="6">
        <v>74.0634</v>
      </c>
      <c r="G3904" s="6">
        <v>0.35277</v>
      </c>
    </row>
    <row r="3905" ht="15.75" customHeight="1" spans="1:7">
      <c r="A3905" s="4" t="s">
        <v>8925</v>
      </c>
      <c r="B3905" s="5" t="s">
        <v>8926</v>
      </c>
      <c r="C3905" s="4" t="s">
        <v>82</v>
      </c>
      <c r="D3905" s="475">
        <v>4161.85</v>
      </c>
      <c r="E3905" s="476">
        <v>0.03814</v>
      </c>
      <c r="F3905" s="6">
        <v>73.1231</v>
      </c>
      <c r="G3905" s="6">
        <v>0.35278</v>
      </c>
    </row>
    <row r="3906" ht="15.75" customHeight="1" spans="1:7">
      <c r="A3906" s="4" t="s">
        <v>8927</v>
      </c>
      <c r="B3906" s="5" t="s">
        <v>8928</v>
      </c>
      <c r="C3906" s="4" t="s">
        <v>82</v>
      </c>
      <c r="D3906" s="475">
        <v>3082.89</v>
      </c>
      <c r="E3906" s="476">
        <v>0.03814</v>
      </c>
      <c r="F3906" s="6">
        <v>50.5226</v>
      </c>
      <c r="G3906" s="6">
        <v>0.51059</v>
      </c>
    </row>
    <row r="3907" ht="15.75" customHeight="1" spans="1:7">
      <c r="A3907" s="4" t="s">
        <v>8929</v>
      </c>
      <c r="B3907" s="5" t="s">
        <v>8930</v>
      </c>
      <c r="C3907" s="4" t="s">
        <v>82</v>
      </c>
      <c r="D3907" s="475">
        <v>4355.03</v>
      </c>
      <c r="E3907" s="476">
        <v>0.03814</v>
      </c>
      <c r="F3907" s="6">
        <v>74.0634</v>
      </c>
      <c r="G3907" s="6">
        <v>0.35277</v>
      </c>
    </row>
    <row r="3908" ht="15.75" customHeight="1" spans="1:7">
      <c r="A3908" s="4" t="s">
        <v>8931</v>
      </c>
      <c r="B3908" s="5" t="s">
        <v>8932</v>
      </c>
      <c r="C3908" s="4" t="s">
        <v>82</v>
      </c>
      <c r="D3908" s="475">
        <v>4332.71</v>
      </c>
      <c r="E3908" s="476">
        <v>0.03814</v>
      </c>
      <c r="F3908" s="6">
        <v>73.1231</v>
      </c>
      <c r="G3908" s="6">
        <v>0.35278</v>
      </c>
    </row>
    <row r="3909" ht="15.75" customHeight="1" spans="1:7">
      <c r="A3909" s="4" t="s">
        <v>8933</v>
      </c>
      <c r="B3909" s="5" t="s">
        <v>8934</v>
      </c>
      <c r="C3909" s="4" t="s">
        <v>82</v>
      </c>
      <c r="D3909" s="475">
        <v>4532.67</v>
      </c>
      <c r="E3909" s="476">
        <v>0.03814</v>
      </c>
      <c r="F3909" s="6">
        <v>74.0634</v>
      </c>
      <c r="G3909" s="6">
        <v>0.35277</v>
      </c>
    </row>
    <row r="3910" ht="15.75" customHeight="1" spans="1:7">
      <c r="A3910" s="4" t="s">
        <v>8935</v>
      </c>
      <c r="B3910" s="5" t="s">
        <v>8936</v>
      </c>
      <c r="C3910" s="4" t="s">
        <v>82</v>
      </c>
      <c r="D3910" s="475">
        <v>5391.1</v>
      </c>
      <c r="E3910" s="476">
        <v>0.03814</v>
      </c>
      <c r="F3910" s="6">
        <v>96.4386</v>
      </c>
      <c r="G3910" s="6">
        <v>0.26749</v>
      </c>
    </row>
    <row r="3911" ht="15.75" customHeight="1" spans="1:7">
      <c r="A3911" s="4" t="s">
        <v>8937</v>
      </c>
      <c r="B3911" s="5" t="s">
        <v>8938</v>
      </c>
      <c r="C3911" s="4" t="s">
        <v>82</v>
      </c>
      <c r="D3911" s="475">
        <v>3790.57</v>
      </c>
      <c r="E3911" s="476">
        <v>0.03814</v>
      </c>
      <c r="F3911" s="6">
        <v>62.774</v>
      </c>
      <c r="G3911" s="6">
        <v>0.41094</v>
      </c>
    </row>
    <row r="3912" ht="15.75" customHeight="1" spans="1:7">
      <c r="A3912" s="4" t="s">
        <v>8939</v>
      </c>
      <c r="B3912" s="5" t="s">
        <v>8940</v>
      </c>
      <c r="C3912" s="4" t="s">
        <v>82</v>
      </c>
      <c r="D3912" s="475">
        <v>5625.07</v>
      </c>
      <c r="E3912" s="476">
        <v>0.03814</v>
      </c>
      <c r="F3912" s="6">
        <v>97.6577</v>
      </c>
      <c r="G3912" s="6">
        <v>0.26754</v>
      </c>
    </row>
    <row r="3913" ht="15.75" customHeight="1" spans="1:7">
      <c r="A3913" s="4" t="s">
        <v>8941</v>
      </c>
      <c r="B3913" s="5" t="s">
        <v>8942</v>
      </c>
      <c r="C3913" s="4" t="s">
        <v>82</v>
      </c>
      <c r="D3913" s="475">
        <v>5596.13</v>
      </c>
      <c r="E3913" s="476">
        <v>0.03814</v>
      </c>
      <c r="F3913" s="6">
        <v>96.4386</v>
      </c>
      <c r="G3913" s="6">
        <v>0.26749</v>
      </c>
    </row>
    <row r="3914" ht="15.75" customHeight="1" spans="1:7">
      <c r="A3914" s="4" t="s">
        <v>8943</v>
      </c>
      <c r="B3914" s="5" t="s">
        <v>8944</v>
      </c>
      <c r="C3914" s="4" t="s">
        <v>82</v>
      </c>
      <c r="D3914" s="475">
        <v>5838.24</v>
      </c>
      <c r="E3914" s="476">
        <v>0.03814</v>
      </c>
      <c r="F3914" s="6">
        <v>97.6577</v>
      </c>
      <c r="G3914" s="6">
        <v>0.26754</v>
      </c>
    </row>
    <row r="3915" ht="15.75" customHeight="1" spans="1:7">
      <c r="A3915" s="4" t="s">
        <v>8945</v>
      </c>
      <c r="B3915" s="5" t="s">
        <v>8946</v>
      </c>
      <c r="C3915" s="4" t="s">
        <v>82</v>
      </c>
      <c r="D3915" s="475">
        <v>1807.57</v>
      </c>
      <c r="E3915" s="476">
        <v>0.03814</v>
      </c>
      <c r="F3915" s="6">
        <v>31.7197</v>
      </c>
      <c r="G3915" s="6">
        <v>0.81326</v>
      </c>
    </row>
    <row r="3916" ht="15.75" customHeight="1" spans="1:7">
      <c r="A3916" s="4" t="s">
        <v>8947</v>
      </c>
      <c r="B3916" s="5" t="s">
        <v>8948</v>
      </c>
      <c r="C3916" s="4" t="s">
        <v>82</v>
      </c>
      <c r="D3916" s="475">
        <v>2518.28</v>
      </c>
      <c r="E3916" s="476">
        <v>0.03814</v>
      </c>
      <c r="F3916" s="6">
        <v>44.0173</v>
      </c>
      <c r="G3916" s="6">
        <v>0.58605</v>
      </c>
    </row>
    <row r="3917" ht="15.75" customHeight="1" spans="1:7">
      <c r="A3917" s="4" t="s">
        <v>8949</v>
      </c>
      <c r="B3917" s="5" t="s">
        <v>8950</v>
      </c>
      <c r="C3917" s="4" t="s">
        <v>82</v>
      </c>
      <c r="D3917" s="475">
        <v>1899.79</v>
      </c>
      <c r="E3917" s="476">
        <v>0.03814</v>
      </c>
      <c r="F3917" s="6">
        <v>31.7197</v>
      </c>
      <c r="G3917" s="6">
        <v>0.81326</v>
      </c>
    </row>
    <row r="3918" ht="15.75" customHeight="1" spans="1:7">
      <c r="A3918" s="4" t="s">
        <v>8951</v>
      </c>
      <c r="B3918" s="5" t="s">
        <v>8952</v>
      </c>
      <c r="C3918" s="4" t="s">
        <v>82</v>
      </c>
      <c r="D3918" s="475">
        <v>2630.93</v>
      </c>
      <c r="E3918" s="476">
        <v>0.03814</v>
      </c>
      <c r="F3918" s="6">
        <v>44.5981</v>
      </c>
      <c r="G3918" s="6">
        <v>0.58584</v>
      </c>
    </row>
    <row r="3919" ht="15.75" customHeight="1" spans="1:7">
      <c r="A3919" s="4" t="s">
        <v>8953</v>
      </c>
      <c r="B3919" s="5" t="s">
        <v>8954</v>
      </c>
      <c r="C3919" s="4" t="s">
        <v>82</v>
      </c>
      <c r="D3919" s="475">
        <v>2658.26</v>
      </c>
      <c r="E3919" s="476">
        <v>0.03814</v>
      </c>
      <c r="F3919" s="6">
        <v>44.0173</v>
      </c>
      <c r="G3919" s="6">
        <v>0.58605</v>
      </c>
    </row>
    <row r="3920" ht="15.75" customHeight="1" spans="1:7">
      <c r="A3920" s="4" t="s">
        <v>8955</v>
      </c>
      <c r="B3920" s="5" t="s">
        <v>8956</v>
      </c>
      <c r="C3920" s="4" t="s">
        <v>82</v>
      </c>
      <c r="D3920" s="475">
        <v>2037.99</v>
      </c>
      <c r="E3920" s="476">
        <v>0.03814</v>
      </c>
      <c r="F3920" s="6">
        <v>31.7197</v>
      </c>
      <c r="G3920" s="6">
        <v>0.81326</v>
      </c>
    </row>
    <row r="3921" ht="15.75" customHeight="1" spans="1:7">
      <c r="A3921" s="4" t="s">
        <v>8957</v>
      </c>
      <c r="B3921" s="5" t="s">
        <v>8958</v>
      </c>
      <c r="C3921" s="4" t="s">
        <v>82</v>
      </c>
      <c r="D3921" s="475">
        <v>2776.72</v>
      </c>
      <c r="E3921" s="476">
        <v>0.03814</v>
      </c>
      <c r="F3921" s="6">
        <v>44.5981</v>
      </c>
      <c r="G3921" s="6">
        <v>0.58584</v>
      </c>
    </row>
    <row r="3922" ht="30" customHeight="1" spans="1:7">
      <c r="A3922" s="4" t="s">
        <v>8959</v>
      </c>
      <c r="B3922" s="5" t="s">
        <v>8960</v>
      </c>
      <c r="C3922" s="4" t="s">
        <v>724</v>
      </c>
      <c r="D3922" s="475">
        <v>25745.9</v>
      </c>
      <c r="E3922" s="476">
        <v>0.03814</v>
      </c>
      <c r="F3922" s="6">
        <v>625.0708</v>
      </c>
      <c r="G3922" s="6">
        <v>0.04074</v>
      </c>
    </row>
    <row r="3923" ht="30" customHeight="1" spans="1:7">
      <c r="A3923" s="4" t="s">
        <v>8961</v>
      </c>
      <c r="B3923" s="5" t="s">
        <v>8962</v>
      </c>
      <c r="C3923" s="4" t="s">
        <v>724</v>
      </c>
      <c r="D3923" s="475">
        <v>27357.1</v>
      </c>
      <c r="E3923" s="476">
        <v>0.03814</v>
      </c>
      <c r="F3923" s="6">
        <v>633.1949</v>
      </c>
      <c r="G3923" s="6">
        <v>0.04074</v>
      </c>
    </row>
    <row r="3924" ht="30" customHeight="1" spans="1:7">
      <c r="A3924" s="4" t="s">
        <v>8963</v>
      </c>
      <c r="B3924" s="5" t="s">
        <v>8964</v>
      </c>
      <c r="C3924" s="4" t="s">
        <v>724</v>
      </c>
      <c r="D3924" s="475">
        <v>28142.79</v>
      </c>
      <c r="E3924" s="476">
        <v>0.03814</v>
      </c>
      <c r="F3924" s="6">
        <v>633.1949</v>
      </c>
      <c r="G3924" s="6">
        <v>0.04074</v>
      </c>
    </row>
    <row r="3925" ht="30" customHeight="1" spans="1:7">
      <c r="A3925" s="4" t="s">
        <v>8965</v>
      </c>
      <c r="B3925" s="5" t="s">
        <v>8966</v>
      </c>
      <c r="C3925" s="4" t="s">
        <v>724</v>
      </c>
      <c r="D3925" s="475">
        <v>26889.01</v>
      </c>
      <c r="E3925" s="476">
        <v>0.03814</v>
      </c>
      <c r="F3925" s="6">
        <v>656.1552</v>
      </c>
      <c r="G3925" s="6">
        <v>0.03881</v>
      </c>
    </row>
    <row r="3926" ht="30" customHeight="1" spans="1:7">
      <c r="A3926" s="4" t="s">
        <v>8967</v>
      </c>
      <c r="B3926" s="5" t="s">
        <v>8968</v>
      </c>
      <c r="C3926" s="4" t="s">
        <v>724</v>
      </c>
      <c r="D3926" s="475">
        <v>28559.36</v>
      </c>
      <c r="E3926" s="476">
        <v>0.03814</v>
      </c>
      <c r="F3926" s="6">
        <v>664.6833</v>
      </c>
      <c r="G3926" s="6">
        <v>0.03881</v>
      </c>
    </row>
    <row r="3927" ht="30" customHeight="1" spans="1:7">
      <c r="A3927" s="4" t="s">
        <v>8969</v>
      </c>
      <c r="B3927" s="5" t="s">
        <v>8970</v>
      </c>
      <c r="C3927" s="4" t="s">
        <v>724</v>
      </c>
      <c r="D3927" s="475">
        <v>29367.08</v>
      </c>
      <c r="E3927" s="476">
        <v>0.03814</v>
      </c>
      <c r="F3927" s="6">
        <v>664.6833</v>
      </c>
      <c r="G3927" s="6">
        <v>0.03881</v>
      </c>
    </row>
    <row r="3928" ht="30" customHeight="1" spans="1:7">
      <c r="A3928" s="4" t="s">
        <v>8971</v>
      </c>
      <c r="B3928" s="5" t="s">
        <v>8972</v>
      </c>
      <c r="C3928" s="4" t="s">
        <v>724</v>
      </c>
      <c r="D3928" s="475">
        <v>23889.61</v>
      </c>
      <c r="E3928" s="476">
        <v>0.03814</v>
      </c>
      <c r="F3928" s="6">
        <v>625.0708</v>
      </c>
      <c r="G3928" s="6">
        <v>0.04074</v>
      </c>
    </row>
    <row r="3929" ht="30" customHeight="1" spans="1:7">
      <c r="A3929" s="4" t="s">
        <v>8973</v>
      </c>
      <c r="B3929" s="5" t="s">
        <v>8974</v>
      </c>
      <c r="C3929" s="4" t="s">
        <v>724</v>
      </c>
      <c r="D3929" s="475">
        <v>24298.25</v>
      </c>
      <c r="E3929" s="476">
        <v>0.03814</v>
      </c>
      <c r="F3929" s="6">
        <v>625.0708</v>
      </c>
      <c r="G3929" s="6">
        <v>0.04074</v>
      </c>
    </row>
    <row r="3930" ht="30" customHeight="1" spans="1:7">
      <c r="A3930" s="4" t="s">
        <v>8975</v>
      </c>
      <c r="B3930" s="5" t="s">
        <v>8976</v>
      </c>
      <c r="C3930" s="4" t="s">
        <v>724</v>
      </c>
      <c r="D3930" s="475">
        <v>25885.76</v>
      </c>
      <c r="E3930" s="476">
        <v>0.03814</v>
      </c>
      <c r="F3930" s="6">
        <v>633.1949</v>
      </c>
      <c r="G3930" s="6">
        <v>0.04074</v>
      </c>
    </row>
    <row r="3931" ht="30" customHeight="1" spans="1:7">
      <c r="A3931" s="4" t="s">
        <v>8977</v>
      </c>
      <c r="B3931" s="5" t="s">
        <v>8978</v>
      </c>
      <c r="C3931" s="4" t="s">
        <v>724</v>
      </c>
      <c r="D3931" s="475">
        <v>24960.4</v>
      </c>
      <c r="E3931" s="476">
        <v>0.03814</v>
      </c>
      <c r="F3931" s="6">
        <v>656.1552</v>
      </c>
      <c r="G3931" s="6">
        <v>0.03881</v>
      </c>
    </row>
    <row r="3932" ht="30" customHeight="1" spans="1:7">
      <c r="A3932" s="4" t="s">
        <v>8979</v>
      </c>
      <c r="B3932" s="5" t="s">
        <v>8980</v>
      </c>
      <c r="C3932" s="4" t="s">
        <v>724</v>
      </c>
      <c r="D3932" s="475">
        <v>25371.99</v>
      </c>
      <c r="E3932" s="476">
        <v>0.03814</v>
      </c>
      <c r="F3932" s="6">
        <v>656.1552</v>
      </c>
      <c r="G3932" s="6">
        <v>0.03881</v>
      </c>
    </row>
    <row r="3933" ht="30" customHeight="1" spans="1:7">
      <c r="A3933" s="4" t="s">
        <v>8981</v>
      </c>
      <c r="B3933" s="5" t="s">
        <v>8982</v>
      </c>
      <c r="C3933" s="4" t="s">
        <v>724</v>
      </c>
      <c r="D3933" s="475">
        <v>27018.17</v>
      </c>
      <c r="E3933" s="476">
        <v>0.03814</v>
      </c>
      <c r="F3933" s="6">
        <v>664.6833</v>
      </c>
      <c r="G3933" s="6">
        <v>0.03881</v>
      </c>
    </row>
    <row r="3934" ht="30" customHeight="1" spans="1:7">
      <c r="A3934" s="4" t="s">
        <v>8983</v>
      </c>
      <c r="B3934" s="5" t="s">
        <v>8984</v>
      </c>
      <c r="C3934" s="4" t="s">
        <v>724</v>
      </c>
      <c r="D3934" s="475">
        <v>23325.7</v>
      </c>
      <c r="E3934" s="476">
        <v>0.03814</v>
      </c>
      <c r="F3934" s="6">
        <v>474.8962</v>
      </c>
      <c r="G3934" s="6">
        <v>0.05432</v>
      </c>
    </row>
    <row r="3935" ht="30" customHeight="1" spans="1:7">
      <c r="A3935" s="4" t="s">
        <v>8985</v>
      </c>
      <c r="B3935" s="5" t="s">
        <v>8986</v>
      </c>
      <c r="C3935" s="4" t="s">
        <v>724</v>
      </c>
      <c r="D3935" s="475">
        <v>29927.68</v>
      </c>
      <c r="E3935" s="476">
        <v>0.03814</v>
      </c>
      <c r="F3935" s="6">
        <v>641.319</v>
      </c>
      <c r="G3935" s="6">
        <v>0.04074</v>
      </c>
    </row>
    <row r="3936" ht="30" customHeight="1" spans="1:7">
      <c r="A3936" s="4" t="s">
        <v>8987</v>
      </c>
      <c r="B3936" s="5" t="s">
        <v>8988</v>
      </c>
      <c r="C3936" s="4" t="s">
        <v>724</v>
      </c>
      <c r="D3936" s="475">
        <v>31106.22</v>
      </c>
      <c r="E3936" s="476">
        <v>0.03814</v>
      </c>
      <c r="F3936" s="6">
        <v>641.319</v>
      </c>
      <c r="G3936" s="6">
        <v>0.04074</v>
      </c>
    </row>
    <row r="3937" ht="30" customHeight="1" spans="1:7">
      <c r="A3937" s="4" t="s">
        <v>8989</v>
      </c>
      <c r="B3937" s="5" t="s">
        <v>8990</v>
      </c>
      <c r="C3937" s="4" t="s">
        <v>724</v>
      </c>
      <c r="D3937" s="475">
        <v>24281.73</v>
      </c>
      <c r="E3937" s="476">
        <v>0.03814</v>
      </c>
      <c r="F3937" s="6">
        <v>498.5767</v>
      </c>
      <c r="G3937" s="6">
        <v>0.05174</v>
      </c>
    </row>
    <row r="3938" ht="30" customHeight="1" spans="1:7">
      <c r="A3938" s="4" t="s">
        <v>8991</v>
      </c>
      <c r="B3938" s="5" t="s">
        <v>8992</v>
      </c>
      <c r="C3938" s="4" t="s">
        <v>724</v>
      </c>
      <c r="D3938" s="475">
        <v>31205.86</v>
      </c>
      <c r="E3938" s="476">
        <v>0.03814</v>
      </c>
      <c r="F3938" s="6">
        <v>673.2114</v>
      </c>
      <c r="G3938" s="6">
        <v>0.03881</v>
      </c>
    </row>
    <row r="3939" ht="30" customHeight="1" spans="1:7">
      <c r="A3939" s="4" t="s">
        <v>8993</v>
      </c>
      <c r="B3939" s="5" t="s">
        <v>8994</v>
      </c>
      <c r="C3939" s="4" t="s">
        <v>724</v>
      </c>
      <c r="D3939" s="475">
        <v>32417.44</v>
      </c>
      <c r="E3939" s="476">
        <v>0.03814</v>
      </c>
      <c r="F3939" s="6">
        <v>673.2114</v>
      </c>
      <c r="G3939" s="6">
        <v>0.03881</v>
      </c>
    </row>
    <row r="3940" ht="15.75" customHeight="1" spans="1:7">
      <c r="A3940" s="4" t="s">
        <v>8995</v>
      </c>
      <c r="B3940" s="5" t="s">
        <v>8996</v>
      </c>
      <c r="C3940" s="4" t="s">
        <v>82</v>
      </c>
      <c r="D3940" s="475">
        <v>11.97</v>
      </c>
      <c r="E3940" s="476">
        <v>0.03814</v>
      </c>
      <c r="F3940" s="6">
        <v>0.3789</v>
      </c>
      <c r="G3940" s="6">
        <v>4.7504</v>
      </c>
    </row>
    <row r="3941" ht="15.75" customHeight="1" spans="1:7">
      <c r="A3941" s="4" t="s">
        <v>8997</v>
      </c>
      <c r="B3941" s="5" t="s">
        <v>8998</v>
      </c>
      <c r="C3941" s="4" t="s">
        <v>82</v>
      </c>
      <c r="D3941" s="475">
        <v>9.03</v>
      </c>
      <c r="E3941" s="476">
        <v>0.03814</v>
      </c>
      <c r="F3941" s="6">
        <v>0.2855</v>
      </c>
      <c r="G3941" s="6">
        <v>6.3038</v>
      </c>
    </row>
    <row r="3942" ht="15.75" customHeight="1" spans="1:7">
      <c r="A3942" s="4" t="s">
        <v>8999</v>
      </c>
      <c r="B3942" s="5" t="s">
        <v>9000</v>
      </c>
      <c r="C3942" s="4" t="s">
        <v>724</v>
      </c>
      <c r="D3942" s="475">
        <v>129.93</v>
      </c>
      <c r="E3942" s="476">
        <v>0</v>
      </c>
      <c r="F3942" s="6">
        <v>0</v>
      </c>
      <c r="G3942" s="6">
        <v>24.9</v>
      </c>
    </row>
    <row r="3943" ht="15.75" customHeight="1" spans="1:7">
      <c r="A3943" s="4" t="s">
        <v>9001</v>
      </c>
      <c r="B3943" s="5" t="s">
        <v>9002</v>
      </c>
      <c r="C3943" s="4" t="s">
        <v>724</v>
      </c>
      <c r="D3943" s="475">
        <v>170.41</v>
      </c>
      <c r="E3943" s="476">
        <v>0.03632</v>
      </c>
      <c r="F3943" s="6">
        <v>0.2123</v>
      </c>
      <c r="G3943" s="6">
        <v>24.9</v>
      </c>
    </row>
    <row r="3944" ht="15.75" customHeight="1" spans="1:7">
      <c r="A3944" s="4" t="s">
        <v>9003</v>
      </c>
      <c r="B3944" s="5" t="s">
        <v>9004</v>
      </c>
      <c r="C3944" s="4" t="s">
        <v>724</v>
      </c>
      <c r="D3944" s="475">
        <v>78.31</v>
      </c>
      <c r="E3944" s="476">
        <v>0</v>
      </c>
      <c r="F3944" s="6">
        <v>0</v>
      </c>
      <c r="G3944" s="6">
        <v>41.5</v>
      </c>
    </row>
    <row r="3945" ht="15.75" customHeight="1" spans="1:7">
      <c r="A3945" s="4" t="s">
        <v>9005</v>
      </c>
      <c r="B3945" s="5" t="s">
        <v>9006</v>
      </c>
      <c r="C3945" s="4" t="s">
        <v>82</v>
      </c>
      <c r="D3945" s="475">
        <v>12.25</v>
      </c>
      <c r="E3945" s="476">
        <v>0.03814</v>
      </c>
      <c r="F3945" s="6">
        <v>0.4499</v>
      </c>
      <c r="G3945" s="6">
        <v>2</v>
      </c>
    </row>
    <row r="3946" ht="30" customHeight="1" spans="1:7">
      <c r="A3946" s="4" t="s">
        <v>9007</v>
      </c>
      <c r="B3946" s="5" t="s">
        <v>9008</v>
      </c>
      <c r="C3946" s="4" t="s">
        <v>724</v>
      </c>
      <c r="D3946" s="475">
        <v>7178.36</v>
      </c>
      <c r="E3946" s="476">
        <v>0.03814</v>
      </c>
      <c r="F3946" s="6">
        <v>251.9924</v>
      </c>
      <c r="G3946" s="6">
        <v>0.03788</v>
      </c>
    </row>
    <row r="3947" ht="30" customHeight="1" spans="1:7">
      <c r="A3947" s="4" t="s">
        <v>9009</v>
      </c>
      <c r="B3947" s="5" t="s">
        <v>9010</v>
      </c>
      <c r="C3947" s="4" t="s">
        <v>724</v>
      </c>
      <c r="D3947" s="475">
        <v>7511.5</v>
      </c>
      <c r="E3947" s="476">
        <v>0.03814</v>
      </c>
      <c r="F3947" s="6">
        <v>263.6871</v>
      </c>
      <c r="G3947" s="6">
        <v>0.0362</v>
      </c>
    </row>
    <row r="3948" ht="30" customHeight="1" spans="1:7">
      <c r="A3948" s="4" t="s">
        <v>9011</v>
      </c>
      <c r="B3948" s="5" t="s">
        <v>9012</v>
      </c>
      <c r="C3948" s="4" t="s">
        <v>724</v>
      </c>
      <c r="D3948" s="475">
        <v>7915.23</v>
      </c>
      <c r="E3948" s="476">
        <v>0.03814</v>
      </c>
      <c r="F3948" s="6">
        <v>277.7269</v>
      </c>
      <c r="G3948" s="6">
        <v>0.03437</v>
      </c>
    </row>
    <row r="3949" ht="30" customHeight="1" spans="1:7">
      <c r="A3949" s="4" t="s">
        <v>9013</v>
      </c>
      <c r="B3949" s="5" t="s">
        <v>9014</v>
      </c>
      <c r="C3949" s="4" t="s">
        <v>724</v>
      </c>
      <c r="D3949" s="475">
        <v>10525</v>
      </c>
      <c r="E3949" s="476">
        <v>0.03814</v>
      </c>
      <c r="F3949" s="6">
        <v>369.1212</v>
      </c>
      <c r="G3949" s="6">
        <v>0.02586</v>
      </c>
    </row>
    <row r="3950" ht="30" customHeight="1" spans="1:7">
      <c r="A3950" s="4" t="s">
        <v>9015</v>
      </c>
      <c r="B3950" s="5" t="s">
        <v>9016</v>
      </c>
      <c r="C3950" s="4" t="s">
        <v>724</v>
      </c>
      <c r="D3950" s="475">
        <v>11023.75</v>
      </c>
      <c r="E3950" s="476">
        <v>0.03814</v>
      </c>
      <c r="F3950" s="6">
        <v>386.6129</v>
      </c>
      <c r="G3950" s="6">
        <v>0.02469</v>
      </c>
    </row>
    <row r="3951" ht="30" customHeight="1" spans="1:7">
      <c r="A3951" s="4" t="s">
        <v>9017</v>
      </c>
      <c r="B3951" s="5" t="s">
        <v>9018</v>
      </c>
      <c r="C3951" s="4" t="s">
        <v>724</v>
      </c>
      <c r="D3951" s="475">
        <v>11632.06</v>
      </c>
      <c r="E3951" s="476">
        <v>0.03814</v>
      </c>
      <c r="F3951" s="6">
        <v>407.752</v>
      </c>
      <c r="G3951" s="6">
        <v>0.02341</v>
      </c>
    </row>
    <row r="3952" ht="30" customHeight="1" spans="1:7">
      <c r="A3952" s="4" t="s">
        <v>9019</v>
      </c>
      <c r="B3952" s="5" t="s">
        <v>9020</v>
      </c>
      <c r="C3952" s="4" t="s">
        <v>724</v>
      </c>
      <c r="D3952" s="475">
        <v>10927.94</v>
      </c>
      <c r="E3952" s="476">
        <v>0.03814</v>
      </c>
      <c r="F3952" s="6">
        <v>401.4791</v>
      </c>
      <c r="G3952" s="6">
        <v>0.03362</v>
      </c>
    </row>
    <row r="3953" ht="30" customHeight="1" spans="1:7">
      <c r="A3953" s="4" t="s">
        <v>9021</v>
      </c>
      <c r="B3953" s="5" t="s">
        <v>9022</v>
      </c>
      <c r="C3953" s="4" t="s">
        <v>724</v>
      </c>
      <c r="D3953" s="475">
        <v>11438.27</v>
      </c>
      <c r="E3953" s="476">
        <v>0.03814</v>
      </c>
      <c r="F3953" s="6">
        <v>420.2281</v>
      </c>
      <c r="G3953" s="6">
        <v>0.03212</v>
      </c>
    </row>
    <row r="3954" ht="30" customHeight="1" spans="1:7">
      <c r="A3954" s="4" t="s">
        <v>9023</v>
      </c>
      <c r="B3954" s="5" t="s">
        <v>9024</v>
      </c>
      <c r="C3954" s="4" t="s">
        <v>724</v>
      </c>
      <c r="D3954" s="475">
        <v>12053.71</v>
      </c>
      <c r="E3954" s="476">
        <v>0.03814</v>
      </c>
      <c r="F3954" s="6">
        <v>442.8388</v>
      </c>
      <c r="G3954" s="6">
        <v>0.03048</v>
      </c>
    </row>
    <row r="3955" ht="30" customHeight="1" spans="1:7">
      <c r="A3955" s="4" t="s">
        <v>9025</v>
      </c>
      <c r="B3955" s="5" t="s">
        <v>9026</v>
      </c>
      <c r="C3955" s="4" t="s">
        <v>724</v>
      </c>
      <c r="D3955" s="475">
        <v>16050.56</v>
      </c>
      <c r="E3955" s="476">
        <v>0.03814</v>
      </c>
      <c r="F3955" s="6">
        <v>589.6779</v>
      </c>
      <c r="G3955" s="6">
        <v>0.02289</v>
      </c>
    </row>
    <row r="3956" ht="30" customHeight="1" spans="1:7">
      <c r="A3956" s="4" t="s">
        <v>9027</v>
      </c>
      <c r="B3956" s="5" t="s">
        <v>9028</v>
      </c>
      <c r="C3956" s="4" t="s">
        <v>724</v>
      </c>
      <c r="D3956" s="475">
        <v>16822.22</v>
      </c>
      <c r="E3956" s="476">
        <v>0.03814</v>
      </c>
      <c r="F3956" s="6">
        <v>618.0278</v>
      </c>
      <c r="G3956" s="6">
        <v>0.02184</v>
      </c>
    </row>
    <row r="3957" ht="30" customHeight="1" spans="1:7">
      <c r="A3957" s="4" t="s">
        <v>9029</v>
      </c>
      <c r="B3957" s="5" t="s">
        <v>9030</v>
      </c>
      <c r="C3957" s="4" t="s">
        <v>724</v>
      </c>
      <c r="D3957" s="475">
        <v>17740.09</v>
      </c>
      <c r="E3957" s="476">
        <v>0.03814</v>
      </c>
      <c r="F3957" s="6">
        <v>651.7492</v>
      </c>
      <c r="G3957" s="6">
        <v>0.02071</v>
      </c>
    </row>
    <row r="3958" ht="30" customHeight="1" spans="1:7">
      <c r="A3958" s="4" t="s">
        <v>9031</v>
      </c>
      <c r="B3958" s="5" t="s">
        <v>9032</v>
      </c>
      <c r="C3958" s="4" t="s">
        <v>724</v>
      </c>
      <c r="D3958" s="475">
        <v>6707.31</v>
      </c>
      <c r="E3958" s="476">
        <v>0</v>
      </c>
      <c r="F3958" s="6">
        <v>0</v>
      </c>
      <c r="G3958" s="6">
        <v>0.59748</v>
      </c>
    </row>
    <row r="3959" ht="30" customHeight="1" spans="1:7">
      <c r="A3959" s="4" t="s">
        <v>9033</v>
      </c>
      <c r="B3959" s="5" t="s">
        <v>9034</v>
      </c>
      <c r="C3959" s="4" t="s">
        <v>724</v>
      </c>
      <c r="D3959" s="475">
        <v>7041.3</v>
      </c>
      <c r="E3959" s="476">
        <v>0</v>
      </c>
      <c r="F3959" s="6">
        <v>0</v>
      </c>
      <c r="G3959" s="6">
        <v>0.56914</v>
      </c>
    </row>
    <row r="3960" ht="15.75" customHeight="1" spans="1:7">
      <c r="A3960" s="4" t="s">
        <v>9035</v>
      </c>
      <c r="B3960" s="5" t="s">
        <v>9036</v>
      </c>
      <c r="C3960" s="4" t="s">
        <v>724</v>
      </c>
      <c r="D3960" s="475">
        <v>472.21</v>
      </c>
      <c r="E3960" s="476">
        <v>0</v>
      </c>
      <c r="F3960" s="6">
        <v>0</v>
      </c>
      <c r="G3960" s="6">
        <v>4.15</v>
      </c>
    </row>
    <row r="3961" ht="15.75" customHeight="1" spans="1:7">
      <c r="A3961" s="4" t="s">
        <v>9037</v>
      </c>
      <c r="B3961" s="5" t="s">
        <v>9038</v>
      </c>
      <c r="C3961" s="4" t="s">
        <v>724</v>
      </c>
      <c r="D3961" s="475">
        <v>3974.87</v>
      </c>
      <c r="E3961" s="476">
        <v>0.03814</v>
      </c>
      <c r="F3961" s="6">
        <v>146.0319</v>
      </c>
      <c r="G3961" s="6">
        <v>0.09243</v>
      </c>
    </row>
    <row r="3962" ht="15.75" customHeight="1" spans="1:7">
      <c r="A3962" s="4" t="s">
        <v>9039</v>
      </c>
      <c r="B3962" s="5" t="s">
        <v>9040</v>
      </c>
      <c r="C3962" s="4" t="s">
        <v>724</v>
      </c>
      <c r="D3962" s="475">
        <v>2799.22</v>
      </c>
      <c r="E3962" s="476">
        <v>0.03814</v>
      </c>
      <c r="F3962" s="6">
        <v>102.8398</v>
      </c>
      <c r="G3962" s="6">
        <v>0.13125</v>
      </c>
    </row>
    <row r="3963" ht="15.75" customHeight="1" spans="1:7">
      <c r="A3963" s="4" t="s">
        <v>9041</v>
      </c>
      <c r="B3963" s="5" t="s">
        <v>9042</v>
      </c>
      <c r="C3963" s="4" t="s">
        <v>724</v>
      </c>
      <c r="D3963" s="475">
        <v>4770.15</v>
      </c>
      <c r="E3963" s="476">
        <v>0.03814</v>
      </c>
      <c r="F3963" s="6">
        <v>175.2496</v>
      </c>
      <c r="G3963" s="6">
        <v>0.07702</v>
      </c>
    </row>
    <row r="3964" ht="30" customHeight="1" spans="1:7">
      <c r="A3964" s="4" t="s">
        <v>9043</v>
      </c>
      <c r="B3964" s="5" t="s">
        <v>9044</v>
      </c>
      <c r="C3964" s="4" t="s">
        <v>82</v>
      </c>
      <c r="D3964" s="475">
        <v>110.41</v>
      </c>
      <c r="E3964" s="476">
        <v>0.03814</v>
      </c>
      <c r="F3964" s="6">
        <v>3.7462</v>
      </c>
      <c r="G3964" s="6">
        <v>1.44121</v>
      </c>
    </row>
    <row r="3965" ht="30" customHeight="1" spans="1:7">
      <c r="A3965" s="4" t="s">
        <v>9045</v>
      </c>
      <c r="B3965" s="5" t="s">
        <v>9046</v>
      </c>
      <c r="C3965" s="4" t="s">
        <v>82</v>
      </c>
      <c r="D3965" s="475">
        <v>113.35</v>
      </c>
      <c r="E3965" s="476">
        <v>0.03814</v>
      </c>
      <c r="F3965" s="6">
        <v>3.8542</v>
      </c>
      <c r="G3965" s="6">
        <v>1.40083</v>
      </c>
    </row>
    <row r="3966" ht="30" customHeight="1" spans="1:7">
      <c r="A3966" s="4" t="s">
        <v>9047</v>
      </c>
      <c r="B3966" s="5" t="s">
        <v>9048</v>
      </c>
      <c r="C3966" s="4" t="s">
        <v>82</v>
      </c>
      <c r="D3966" s="475">
        <v>211.54</v>
      </c>
      <c r="E3966" s="476">
        <v>0.03814</v>
      </c>
      <c r="F3966" s="6">
        <v>7.4509</v>
      </c>
      <c r="G3966" s="6">
        <v>0.72462</v>
      </c>
    </row>
    <row r="3967" ht="30" customHeight="1" spans="1:7">
      <c r="A3967" s="4" t="s">
        <v>9049</v>
      </c>
      <c r="B3967" s="5" t="s">
        <v>9050</v>
      </c>
      <c r="C3967" s="4" t="s">
        <v>82</v>
      </c>
      <c r="D3967" s="475">
        <v>217.42</v>
      </c>
      <c r="E3967" s="476">
        <v>0.03814</v>
      </c>
      <c r="F3967" s="6">
        <v>7.6669</v>
      </c>
      <c r="G3967" s="6">
        <v>0.70421</v>
      </c>
    </row>
    <row r="3968" ht="30" customHeight="1" spans="1:7">
      <c r="A3968" s="4" t="s">
        <v>9051</v>
      </c>
      <c r="B3968" s="5" t="s">
        <v>9052</v>
      </c>
      <c r="C3968" s="4" t="s">
        <v>82</v>
      </c>
      <c r="D3968" s="475">
        <v>110.91</v>
      </c>
      <c r="E3968" s="476">
        <v>0.03814</v>
      </c>
      <c r="F3968" s="6">
        <v>3.7462</v>
      </c>
      <c r="G3968" s="6">
        <v>1.44121</v>
      </c>
    </row>
    <row r="3969" ht="30" customHeight="1" spans="1:7">
      <c r="A3969" s="4" t="s">
        <v>9053</v>
      </c>
      <c r="B3969" s="5" t="s">
        <v>9054</v>
      </c>
      <c r="C3969" s="4" t="s">
        <v>82</v>
      </c>
      <c r="D3969" s="475">
        <v>113.85</v>
      </c>
      <c r="E3969" s="476">
        <v>0.03814</v>
      </c>
      <c r="F3969" s="6">
        <v>3.8542</v>
      </c>
      <c r="G3969" s="6">
        <v>1.40083</v>
      </c>
    </row>
    <row r="3970" ht="30" customHeight="1" spans="1:7">
      <c r="A3970" s="4" t="s">
        <v>9055</v>
      </c>
      <c r="B3970" s="5" t="s">
        <v>9056</v>
      </c>
      <c r="C3970" s="4" t="s">
        <v>82</v>
      </c>
      <c r="D3970" s="475">
        <v>211.6</v>
      </c>
      <c r="E3970" s="476">
        <v>0.03814</v>
      </c>
      <c r="F3970" s="6">
        <v>7.4509</v>
      </c>
      <c r="G3970" s="6">
        <v>0.72462</v>
      </c>
    </row>
    <row r="3971" ht="30" customHeight="1" spans="1:7">
      <c r="A3971" s="4" t="s">
        <v>9057</v>
      </c>
      <c r="B3971" s="5" t="s">
        <v>9058</v>
      </c>
      <c r="C3971" s="4" t="s">
        <v>82</v>
      </c>
      <c r="D3971" s="475">
        <v>217.48</v>
      </c>
      <c r="E3971" s="476">
        <v>0.03814</v>
      </c>
      <c r="F3971" s="6">
        <v>7.6669</v>
      </c>
      <c r="G3971" s="6">
        <v>0.70421</v>
      </c>
    </row>
    <row r="3972" ht="30" customHeight="1" spans="1:7">
      <c r="A3972" s="4" t="s">
        <v>9059</v>
      </c>
      <c r="B3972" s="5" t="s">
        <v>9060</v>
      </c>
      <c r="C3972" s="4" t="s">
        <v>82</v>
      </c>
      <c r="D3972" s="475">
        <v>110.41</v>
      </c>
      <c r="E3972" s="476">
        <v>0.03814</v>
      </c>
      <c r="F3972" s="6">
        <v>3.7462</v>
      </c>
      <c r="G3972" s="6">
        <v>1.44121</v>
      </c>
    </row>
    <row r="3973" ht="30" customHeight="1" spans="1:7">
      <c r="A3973" s="4" t="s">
        <v>9061</v>
      </c>
      <c r="B3973" s="5" t="s">
        <v>9062</v>
      </c>
      <c r="C3973" s="4" t="s">
        <v>82</v>
      </c>
      <c r="D3973" s="475">
        <v>113.35</v>
      </c>
      <c r="E3973" s="476">
        <v>0.03814</v>
      </c>
      <c r="F3973" s="6">
        <v>3.8542</v>
      </c>
      <c r="G3973" s="6">
        <v>1.40083</v>
      </c>
    </row>
    <row r="3974" ht="30" customHeight="1" spans="1:7">
      <c r="A3974" s="4" t="s">
        <v>9063</v>
      </c>
      <c r="B3974" s="5" t="s">
        <v>9064</v>
      </c>
      <c r="C3974" s="4" t="s">
        <v>82</v>
      </c>
      <c r="D3974" s="475">
        <v>211.54</v>
      </c>
      <c r="E3974" s="476">
        <v>0.03814</v>
      </c>
      <c r="F3974" s="6">
        <v>7.4509</v>
      </c>
      <c r="G3974" s="6">
        <v>0.72462</v>
      </c>
    </row>
    <row r="3975" ht="30" customHeight="1" spans="1:7">
      <c r="A3975" s="4" t="s">
        <v>9065</v>
      </c>
      <c r="B3975" s="5" t="s">
        <v>9066</v>
      </c>
      <c r="C3975" s="4" t="s">
        <v>82</v>
      </c>
      <c r="D3975" s="475">
        <v>217.42</v>
      </c>
      <c r="E3975" s="476">
        <v>0.03814</v>
      </c>
      <c r="F3975" s="6">
        <v>7.6669</v>
      </c>
      <c r="G3975" s="6">
        <v>0.70421</v>
      </c>
    </row>
    <row r="3976" ht="30" customHeight="1" spans="1:7">
      <c r="A3976" s="4" t="s">
        <v>9067</v>
      </c>
      <c r="B3976" s="5" t="s">
        <v>9068</v>
      </c>
      <c r="C3976" s="4" t="s">
        <v>82</v>
      </c>
      <c r="D3976" s="475">
        <v>110.91</v>
      </c>
      <c r="E3976" s="476">
        <v>0.03814</v>
      </c>
      <c r="F3976" s="6">
        <v>3.7462</v>
      </c>
      <c r="G3976" s="6">
        <v>1.44121</v>
      </c>
    </row>
    <row r="3977" ht="30" customHeight="1" spans="1:7">
      <c r="A3977" s="4" t="s">
        <v>9069</v>
      </c>
      <c r="B3977" s="5" t="s">
        <v>9070</v>
      </c>
      <c r="C3977" s="4" t="s">
        <v>82</v>
      </c>
      <c r="D3977" s="475">
        <v>113.85</v>
      </c>
      <c r="E3977" s="476">
        <v>0.03814</v>
      </c>
      <c r="F3977" s="6">
        <v>3.8542</v>
      </c>
      <c r="G3977" s="6">
        <v>1.40083</v>
      </c>
    </row>
    <row r="3978" ht="30" customHeight="1" spans="1:7">
      <c r="A3978" s="4" t="s">
        <v>9071</v>
      </c>
      <c r="B3978" s="5" t="s">
        <v>9072</v>
      </c>
      <c r="C3978" s="4" t="s">
        <v>82</v>
      </c>
      <c r="D3978" s="475">
        <v>211.6</v>
      </c>
      <c r="E3978" s="476">
        <v>0.03814</v>
      </c>
      <c r="F3978" s="6">
        <v>7.4509</v>
      </c>
      <c r="G3978" s="6">
        <v>0.72462</v>
      </c>
    </row>
    <row r="3979" ht="30" customHeight="1" spans="1:7">
      <c r="A3979" s="4" t="s">
        <v>9073</v>
      </c>
      <c r="B3979" s="5" t="s">
        <v>9074</v>
      </c>
      <c r="C3979" s="4" t="s">
        <v>82</v>
      </c>
      <c r="D3979" s="475">
        <v>217.48</v>
      </c>
      <c r="E3979" s="476">
        <v>0.03814</v>
      </c>
      <c r="F3979" s="6">
        <v>7.6669</v>
      </c>
      <c r="G3979" s="6">
        <v>0.70421</v>
      </c>
    </row>
    <row r="3980" ht="15.75" customHeight="1" spans="1:7">
      <c r="A3980" s="4" t="s">
        <v>9075</v>
      </c>
      <c r="B3980" s="5" t="s">
        <v>9076</v>
      </c>
      <c r="C3980" s="4" t="s">
        <v>82</v>
      </c>
      <c r="D3980" s="475">
        <v>0.16</v>
      </c>
      <c r="E3980" s="476">
        <v>0.03814</v>
      </c>
      <c r="F3980" s="6">
        <v>0.006</v>
      </c>
      <c r="G3980" s="6">
        <v>298.8</v>
      </c>
    </row>
    <row r="3981" ht="15.75" customHeight="1" spans="1:7">
      <c r="A3981" s="4" t="s">
        <v>9077</v>
      </c>
      <c r="B3981" s="5" t="s">
        <v>9078</v>
      </c>
      <c r="C3981" s="4" t="s">
        <v>82</v>
      </c>
      <c r="D3981" s="475">
        <v>55.44</v>
      </c>
      <c r="E3981" s="476">
        <v>0.03814</v>
      </c>
      <c r="F3981" s="6">
        <v>0.015</v>
      </c>
      <c r="G3981" s="6">
        <v>120</v>
      </c>
    </row>
    <row r="3982" ht="15.75" customHeight="1" spans="1:7">
      <c r="A3982" s="4" t="s">
        <v>9079</v>
      </c>
      <c r="B3982" s="5" t="s">
        <v>9080</v>
      </c>
      <c r="C3982" s="4" t="s">
        <v>82</v>
      </c>
      <c r="D3982" s="475">
        <v>57.25</v>
      </c>
      <c r="E3982" s="476">
        <v>0.03814</v>
      </c>
      <c r="F3982" s="6">
        <v>0.015</v>
      </c>
      <c r="G3982" s="6">
        <v>120</v>
      </c>
    </row>
    <row r="3983" ht="15.75" customHeight="1" spans="1:7">
      <c r="A3983" s="4" t="s">
        <v>9081</v>
      </c>
      <c r="B3983" s="5" t="s">
        <v>9082</v>
      </c>
      <c r="C3983" s="4" t="s">
        <v>82</v>
      </c>
      <c r="D3983" s="475">
        <v>60.44</v>
      </c>
      <c r="E3983" s="476">
        <v>0.03814</v>
      </c>
      <c r="F3983" s="6">
        <v>0.015</v>
      </c>
      <c r="G3983" s="6">
        <v>120</v>
      </c>
    </row>
    <row r="3984" ht="15.75" customHeight="1" spans="1:7">
      <c r="A3984" s="4" t="s">
        <v>9083</v>
      </c>
      <c r="B3984" s="5" t="s">
        <v>9084</v>
      </c>
      <c r="C3984" s="4" t="s">
        <v>82</v>
      </c>
      <c r="D3984" s="475">
        <v>62.89</v>
      </c>
      <c r="E3984" s="476">
        <v>0.03814</v>
      </c>
      <c r="F3984" s="6">
        <v>0.015</v>
      </c>
      <c r="G3984" s="6">
        <v>120</v>
      </c>
    </row>
    <row r="3985" ht="15.75" customHeight="1" spans="1:7">
      <c r="A3985" s="4" t="s">
        <v>9085</v>
      </c>
      <c r="B3985" s="5" t="s">
        <v>9086</v>
      </c>
      <c r="C3985" s="4" t="s">
        <v>82</v>
      </c>
      <c r="D3985" s="475">
        <v>0.11</v>
      </c>
      <c r="E3985" s="476">
        <v>0.03814</v>
      </c>
      <c r="F3985" s="6">
        <v>0.0029</v>
      </c>
      <c r="G3985" s="6">
        <v>1037.5</v>
      </c>
    </row>
    <row r="3986" ht="30" customHeight="1" spans="1:7">
      <c r="A3986" s="4" t="s">
        <v>9087</v>
      </c>
      <c r="B3986" s="5" t="s">
        <v>9088</v>
      </c>
      <c r="C3986" s="4" t="s">
        <v>9</v>
      </c>
      <c r="D3986" s="475">
        <v>1043.05</v>
      </c>
      <c r="E3986" s="476">
        <v>0.03814</v>
      </c>
      <c r="F3986" s="6">
        <v>0.1333</v>
      </c>
      <c r="G3986" s="6">
        <v>158.1</v>
      </c>
    </row>
    <row r="3987" ht="30" customHeight="1" spans="1:7">
      <c r="A3987" s="4" t="s">
        <v>9089</v>
      </c>
      <c r="B3987" s="5" t="s">
        <v>9090</v>
      </c>
      <c r="C3987" s="4" t="s">
        <v>9</v>
      </c>
      <c r="D3987" s="475">
        <v>1396.2</v>
      </c>
      <c r="E3987" s="476">
        <v>0.03814</v>
      </c>
      <c r="F3987" s="6">
        <v>0.1333</v>
      </c>
      <c r="G3987" s="6">
        <v>158.1</v>
      </c>
    </row>
    <row r="3988" ht="30" customHeight="1" spans="1:7">
      <c r="A3988" s="4" t="s">
        <v>9091</v>
      </c>
      <c r="B3988" s="5" t="s">
        <v>9092</v>
      </c>
      <c r="C3988" s="4" t="s">
        <v>9</v>
      </c>
      <c r="D3988" s="475">
        <v>1699.09</v>
      </c>
      <c r="E3988" s="476">
        <v>0.03814</v>
      </c>
      <c r="F3988" s="6">
        <v>0.1333</v>
      </c>
      <c r="G3988" s="6">
        <v>158.1</v>
      </c>
    </row>
    <row r="3989" ht="30" customHeight="1" spans="1:7">
      <c r="A3989" s="4" t="s">
        <v>9093</v>
      </c>
      <c r="B3989" s="5" t="s">
        <v>9094</v>
      </c>
      <c r="C3989" s="4" t="s">
        <v>9</v>
      </c>
      <c r="D3989" s="475">
        <v>1533.69</v>
      </c>
      <c r="E3989" s="476">
        <v>0.03814</v>
      </c>
      <c r="F3989" s="6">
        <v>0.1333</v>
      </c>
      <c r="G3989" s="6">
        <v>158.1</v>
      </c>
    </row>
    <row r="3990" ht="15.75" customHeight="1" spans="1:7">
      <c r="A3990" s="4" t="s">
        <v>9095</v>
      </c>
      <c r="B3990" s="5" t="s">
        <v>9096</v>
      </c>
      <c r="C3990" s="4" t="s">
        <v>82</v>
      </c>
      <c r="D3990" s="475">
        <v>372.97</v>
      </c>
      <c r="E3990" s="476">
        <v>0</v>
      </c>
      <c r="F3990" s="6">
        <v>0</v>
      </c>
      <c r="G3990" s="6">
        <v>80</v>
      </c>
    </row>
    <row r="3991" ht="15.75" customHeight="1" spans="1:7">
      <c r="A3991" s="4" t="s">
        <v>9097</v>
      </c>
      <c r="B3991" s="5" t="s">
        <v>9098</v>
      </c>
      <c r="C3991" s="4" t="s">
        <v>82</v>
      </c>
      <c r="D3991" s="475">
        <v>286.31</v>
      </c>
      <c r="E3991" s="476">
        <v>0</v>
      </c>
      <c r="F3991" s="6">
        <v>0</v>
      </c>
      <c r="G3991" s="6">
        <v>112</v>
      </c>
    </row>
    <row r="3992" ht="15.75" customHeight="1" spans="1:7">
      <c r="A3992" s="4" t="s">
        <v>9099</v>
      </c>
      <c r="B3992" s="5" t="s">
        <v>9100</v>
      </c>
      <c r="C3992" s="4" t="s">
        <v>82</v>
      </c>
      <c r="D3992" s="475">
        <v>494.39</v>
      </c>
      <c r="E3992" s="476">
        <v>0</v>
      </c>
      <c r="F3992" s="6">
        <v>0</v>
      </c>
      <c r="G3992" s="6">
        <v>80</v>
      </c>
    </row>
    <row r="3993" ht="30" customHeight="1" spans="1:7">
      <c r="A3993" s="4" t="s">
        <v>9101</v>
      </c>
      <c r="B3993" s="5" t="s">
        <v>9102</v>
      </c>
      <c r="C3993" s="4" t="s">
        <v>724</v>
      </c>
      <c r="D3993" s="475">
        <v>647325.8</v>
      </c>
      <c r="E3993" s="476">
        <v>0.03814</v>
      </c>
      <c r="F3993" s="6">
        <v>223.3401</v>
      </c>
      <c r="G3993" s="6">
        <v>0.05975</v>
      </c>
    </row>
    <row r="3994" ht="30" customHeight="1" spans="1:7">
      <c r="A3994" s="4" t="s">
        <v>9103</v>
      </c>
      <c r="B3994" s="5" t="s">
        <v>9104</v>
      </c>
      <c r="C3994" s="4" t="s">
        <v>724</v>
      </c>
      <c r="D3994" s="475">
        <v>640773.22</v>
      </c>
      <c r="E3994" s="476">
        <v>0</v>
      </c>
      <c r="F3994" s="6">
        <v>0</v>
      </c>
      <c r="G3994" s="6">
        <v>0.17924</v>
      </c>
    </row>
    <row r="3995" ht="30" customHeight="1" spans="1:7">
      <c r="A3995" s="4" t="s">
        <v>9105</v>
      </c>
      <c r="B3995" s="5" t="s">
        <v>9106</v>
      </c>
      <c r="C3995" s="4" t="s">
        <v>724</v>
      </c>
      <c r="D3995" s="475">
        <v>679557.37</v>
      </c>
      <c r="E3995" s="476">
        <v>0.03814</v>
      </c>
      <c r="F3995" s="6">
        <v>234.4855</v>
      </c>
      <c r="G3995" s="6">
        <v>0.05691</v>
      </c>
    </row>
    <row r="3996" ht="30" customHeight="1" spans="1:7">
      <c r="A3996" s="4" t="s">
        <v>9107</v>
      </c>
      <c r="B3996" s="5" t="s">
        <v>9108</v>
      </c>
      <c r="C3996" s="4" t="s">
        <v>724</v>
      </c>
      <c r="D3996" s="475">
        <v>672677.26</v>
      </c>
      <c r="E3996" s="476">
        <v>0</v>
      </c>
      <c r="F3996" s="6">
        <v>0</v>
      </c>
      <c r="G3996" s="6">
        <v>0.17074</v>
      </c>
    </row>
    <row r="3997" ht="30" customHeight="1" spans="1:7">
      <c r="A3997" s="4" t="s">
        <v>9109</v>
      </c>
      <c r="B3997" s="5" t="s">
        <v>9110</v>
      </c>
      <c r="C3997" s="4" t="s">
        <v>724</v>
      </c>
      <c r="D3997" s="475">
        <v>497502.84</v>
      </c>
      <c r="E3997" s="476">
        <v>0.03814</v>
      </c>
      <c r="F3997" s="6">
        <v>223.3401</v>
      </c>
      <c r="G3997" s="6">
        <v>0.05975</v>
      </c>
    </row>
    <row r="3998" ht="30" customHeight="1" spans="1:7">
      <c r="A3998" s="4" t="s">
        <v>9111</v>
      </c>
      <c r="B3998" s="5" t="s">
        <v>9112</v>
      </c>
      <c r="C3998" s="4" t="s">
        <v>724</v>
      </c>
      <c r="D3998" s="475">
        <v>493151.54</v>
      </c>
      <c r="E3998" s="476">
        <v>0</v>
      </c>
      <c r="F3998" s="6">
        <v>0</v>
      </c>
      <c r="G3998" s="6">
        <v>0.17924</v>
      </c>
    </row>
    <row r="3999" ht="30" customHeight="1" spans="1:7">
      <c r="A3999" s="4" t="s">
        <v>9113</v>
      </c>
      <c r="B3999" s="5" t="s">
        <v>9114</v>
      </c>
      <c r="C3999" s="4" t="s">
        <v>724</v>
      </c>
      <c r="D3999" s="475">
        <v>522274.72</v>
      </c>
      <c r="E3999" s="476">
        <v>0.03814</v>
      </c>
      <c r="F3999" s="6">
        <v>234.4855</v>
      </c>
      <c r="G3999" s="6">
        <v>0.05691</v>
      </c>
    </row>
    <row r="4000" ht="30" customHeight="1" spans="1:7">
      <c r="A4000" s="4" t="s">
        <v>9115</v>
      </c>
      <c r="B4000" s="5" t="s">
        <v>9116</v>
      </c>
      <c r="C4000" s="4" t="s">
        <v>724</v>
      </c>
      <c r="D4000" s="475">
        <v>517705.5</v>
      </c>
      <c r="E4000" s="476">
        <v>0</v>
      </c>
      <c r="F4000" s="6">
        <v>0</v>
      </c>
      <c r="G4000" s="6">
        <v>0.17074</v>
      </c>
    </row>
    <row r="4001" ht="30" customHeight="1" spans="1:7">
      <c r="A4001" s="4" t="s">
        <v>9117</v>
      </c>
      <c r="B4001" s="5" t="s">
        <v>9118</v>
      </c>
      <c r="C4001" s="4" t="s">
        <v>724</v>
      </c>
      <c r="D4001" s="475">
        <v>849732.1</v>
      </c>
      <c r="E4001" s="476">
        <v>0.03814</v>
      </c>
      <c r="F4001" s="6">
        <v>223.3401</v>
      </c>
      <c r="G4001" s="6">
        <v>0.05975</v>
      </c>
    </row>
    <row r="4002" ht="30" customHeight="1" spans="1:7">
      <c r="A4002" s="4" t="s">
        <v>9119</v>
      </c>
      <c r="B4002" s="5" t="s">
        <v>9120</v>
      </c>
      <c r="C4002" s="4" t="s">
        <v>724</v>
      </c>
      <c r="D4002" s="475">
        <v>843181.36</v>
      </c>
      <c r="E4002" s="476">
        <v>0</v>
      </c>
      <c r="F4002" s="6">
        <v>0</v>
      </c>
      <c r="G4002" s="6">
        <v>0.17924</v>
      </c>
    </row>
    <row r="4003" ht="30" customHeight="1" spans="1:7">
      <c r="A4003" s="4" t="s">
        <v>9121</v>
      </c>
      <c r="B4003" s="5" t="s">
        <v>9122</v>
      </c>
      <c r="C4003" s="4" t="s">
        <v>724</v>
      </c>
      <c r="D4003" s="475">
        <v>892041.5</v>
      </c>
      <c r="E4003" s="476">
        <v>0.03814</v>
      </c>
      <c r="F4003" s="6">
        <v>234.4855</v>
      </c>
      <c r="G4003" s="6">
        <v>0.05691</v>
      </c>
    </row>
    <row r="4004" ht="30" customHeight="1" spans="1:7">
      <c r="A4004" s="4" t="s">
        <v>9123</v>
      </c>
      <c r="B4004" s="5" t="s">
        <v>9124</v>
      </c>
      <c r="C4004" s="4" t="s">
        <v>724</v>
      </c>
      <c r="D4004" s="475">
        <v>885163.31</v>
      </c>
      <c r="E4004" s="476">
        <v>0</v>
      </c>
      <c r="F4004" s="6">
        <v>0</v>
      </c>
      <c r="G4004" s="6">
        <v>0.17074</v>
      </c>
    </row>
    <row r="4005" ht="15.75" customHeight="1" spans="1:7">
      <c r="A4005" s="4" t="s">
        <v>9125</v>
      </c>
      <c r="B4005" s="5" t="s">
        <v>9126</v>
      </c>
      <c r="C4005" s="4" t="s">
        <v>82</v>
      </c>
      <c r="D4005" s="475">
        <v>631.06</v>
      </c>
      <c r="E4005" s="476">
        <v>0.03814</v>
      </c>
      <c r="F4005" s="6">
        <v>0.8718</v>
      </c>
      <c r="G4005" s="6">
        <v>15.91</v>
      </c>
    </row>
    <row r="4006" ht="15.75" customHeight="1" spans="1:7">
      <c r="A4006" s="4" t="s">
        <v>9127</v>
      </c>
      <c r="B4006" s="5" t="s">
        <v>9128</v>
      </c>
      <c r="C4006" s="4" t="s">
        <v>82</v>
      </c>
      <c r="D4006" s="475">
        <v>687</v>
      </c>
      <c r="E4006" s="476">
        <v>0.03814</v>
      </c>
      <c r="F4006" s="6">
        <v>0.8718</v>
      </c>
      <c r="G4006" s="6">
        <v>15.91</v>
      </c>
    </row>
    <row r="4007" ht="15.75" customHeight="1" spans="1:7">
      <c r="A4007" s="4" t="s">
        <v>9129</v>
      </c>
      <c r="B4007" s="5" t="s">
        <v>9130</v>
      </c>
      <c r="C4007" s="4" t="s">
        <v>82</v>
      </c>
      <c r="D4007" s="475">
        <v>738.88</v>
      </c>
      <c r="E4007" s="476">
        <v>0.03814</v>
      </c>
      <c r="F4007" s="6">
        <v>0.8718</v>
      </c>
      <c r="G4007" s="6">
        <v>15.91</v>
      </c>
    </row>
    <row r="4008" ht="15.75" customHeight="1" spans="1:7">
      <c r="A4008" s="4" t="s">
        <v>9131</v>
      </c>
      <c r="B4008" s="5" t="s">
        <v>9132</v>
      </c>
      <c r="C4008" s="4" t="s">
        <v>82</v>
      </c>
      <c r="D4008" s="475">
        <v>727.82</v>
      </c>
      <c r="E4008" s="476">
        <v>0.03814</v>
      </c>
      <c r="F4008" s="6">
        <v>0.8718</v>
      </c>
      <c r="G4008" s="6">
        <v>15.91</v>
      </c>
    </row>
    <row r="4009" ht="15.75" customHeight="1" spans="1:7">
      <c r="A4009" s="4" t="s">
        <v>9133</v>
      </c>
      <c r="B4009" s="5" t="s">
        <v>9134</v>
      </c>
      <c r="C4009" s="4" t="s">
        <v>82</v>
      </c>
      <c r="D4009" s="475">
        <v>483.49</v>
      </c>
      <c r="E4009" s="476">
        <v>0.03814</v>
      </c>
      <c r="F4009" s="6">
        <v>0.7199</v>
      </c>
      <c r="G4009" s="6">
        <v>5</v>
      </c>
    </row>
    <row r="4010" ht="15.75" customHeight="1" spans="1:7">
      <c r="A4010" s="4" t="s">
        <v>9135</v>
      </c>
      <c r="B4010" s="5" t="s">
        <v>9136</v>
      </c>
      <c r="C4010" s="4" t="s">
        <v>724</v>
      </c>
      <c r="D4010" s="475">
        <v>783886.39</v>
      </c>
      <c r="E4010" s="476">
        <v>0.03814</v>
      </c>
      <c r="F4010" s="6">
        <v>223.3401</v>
      </c>
      <c r="G4010" s="6">
        <v>0.05975</v>
      </c>
    </row>
    <row r="4011" ht="15.75" customHeight="1" spans="1:7">
      <c r="A4011" s="4" t="s">
        <v>9137</v>
      </c>
      <c r="B4011" s="5" t="s">
        <v>9138</v>
      </c>
      <c r="C4011" s="4" t="s">
        <v>724</v>
      </c>
      <c r="D4011" s="475">
        <v>822917.32</v>
      </c>
      <c r="E4011" s="476">
        <v>0.03814</v>
      </c>
      <c r="F4011" s="6">
        <v>234.4855</v>
      </c>
      <c r="G4011" s="6">
        <v>0.05691</v>
      </c>
    </row>
    <row r="4012" ht="15.75" customHeight="1" spans="1:7">
      <c r="A4012" s="4" t="s">
        <v>9139</v>
      </c>
      <c r="B4012" s="5" t="s">
        <v>9140</v>
      </c>
      <c r="C4012" s="4" t="s">
        <v>82</v>
      </c>
      <c r="D4012" s="475">
        <v>191.3</v>
      </c>
      <c r="E4012" s="476">
        <v>0.03814</v>
      </c>
      <c r="F4012" s="6">
        <v>0.5999</v>
      </c>
      <c r="G4012" s="6">
        <v>6</v>
      </c>
    </row>
    <row r="4013" ht="15.75" customHeight="1" spans="1:7">
      <c r="A4013" s="4" t="s">
        <v>9141</v>
      </c>
      <c r="B4013" s="5" t="s">
        <v>9142</v>
      </c>
      <c r="C4013" s="4" t="s">
        <v>724</v>
      </c>
      <c r="D4013" s="475">
        <v>302244.7</v>
      </c>
      <c r="E4013" s="476">
        <v>0.03814</v>
      </c>
      <c r="F4013" s="6">
        <v>223.3401</v>
      </c>
      <c r="G4013" s="6">
        <v>0.05975</v>
      </c>
    </row>
    <row r="4014" ht="15.75" customHeight="1" spans="1:7">
      <c r="A4014" s="4" t="s">
        <v>9143</v>
      </c>
      <c r="B4014" s="5" t="s">
        <v>9144</v>
      </c>
      <c r="C4014" s="4" t="s">
        <v>724</v>
      </c>
      <c r="D4014" s="475">
        <v>317294.68</v>
      </c>
      <c r="E4014" s="476">
        <v>0.03814</v>
      </c>
      <c r="F4014" s="6">
        <v>234.4855</v>
      </c>
      <c r="G4014" s="6">
        <v>0.05691</v>
      </c>
    </row>
    <row r="4015" ht="15.75" customHeight="1" spans="1:7">
      <c r="A4015" s="4" t="s">
        <v>9145</v>
      </c>
      <c r="B4015" s="5" t="s">
        <v>9146</v>
      </c>
      <c r="C4015" s="4" t="s">
        <v>99</v>
      </c>
      <c r="D4015" s="475">
        <v>166.06</v>
      </c>
      <c r="E4015" s="476">
        <v>0.04722</v>
      </c>
      <c r="F4015" s="6">
        <v>0.4202</v>
      </c>
      <c r="G4015" s="6">
        <v>25.46</v>
      </c>
    </row>
    <row r="4016" ht="15.75" customHeight="1" spans="1:7">
      <c r="A4016" s="4" t="s">
        <v>9147</v>
      </c>
      <c r="B4016" s="5" t="s">
        <v>9148</v>
      </c>
      <c r="C4016" s="4" t="s">
        <v>82</v>
      </c>
      <c r="D4016" s="475">
        <v>91997.2</v>
      </c>
      <c r="E4016" s="476">
        <v>0.03632</v>
      </c>
      <c r="F4016" s="6">
        <v>10.0314</v>
      </c>
      <c r="G4016" s="6">
        <v>0.25</v>
      </c>
    </row>
    <row r="4017" ht="15.75" customHeight="1" spans="1:7">
      <c r="A4017" s="4" t="s">
        <v>9149</v>
      </c>
      <c r="B4017" s="5" t="s">
        <v>9150</v>
      </c>
      <c r="C4017" s="4" t="s">
        <v>724</v>
      </c>
      <c r="D4017" s="475">
        <v>237.67</v>
      </c>
      <c r="E4017" s="476">
        <v>0</v>
      </c>
      <c r="F4017" s="6">
        <v>0</v>
      </c>
      <c r="G4017" s="6">
        <v>0.664</v>
      </c>
    </row>
    <row r="4018" ht="15.75" customHeight="1" spans="1:7">
      <c r="A4018" s="4" t="s">
        <v>9151</v>
      </c>
      <c r="B4018" s="5" t="s">
        <v>9152</v>
      </c>
      <c r="C4018" s="4" t="s">
        <v>724</v>
      </c>
      <c r="D4018" s="475">
        <v>1467.01</v>
      </c>
      <c r="E4018" s="476">
        <v>0.03632</v>
      </c>
      <c r="F4018" s="6">
        <v>51.4145</v>
      </c>
      <c r="G4018" s="6">
        <v>0.5</v>
      </c>
    </row>
    <row r="4019" ht="15.75" customHeight="1" spans="1:7">
      <c r="A4019" s="4" t="s">
        <v>9153</v>
      </c>
      <c r="B4019" s="5" t="s">
        <v>9154</v>
      </c>
      <c r="C4019" s="4" t="s">
        <v>724</v>
      </c>
      <c r="D4019" s="475">
        <v>1988.29</v>
      </c>
      <c r="E4019" s="476">
        <v>0</v>
      </c>
      <c r="F4019" s="6">
        <v>0</v>
      </c>
      <c r="G4019" s="6">
        <v>0.1494</v>
      </c>
    </row>
    <row r="4020" ht="15.75" customHeight="1" spans="1:7">
      <c r="A4020" s="4" t="s">
        <v>9155</v>
      </c>
      <c r="B4020" s="5" t="s">
        <v>9156</v>
      </c>
      <c r="C4020" s="4" t="s">
        <v>82</v>
      </c>
      <c r="D4020" s="475">
        <v>1598.49</v>
      </c>
      <c r="E4020" s="476">
        <v>0.03632</v>
      </c>
      <c r="F4020" s="6">
        <v>4.5316</v>
      </c>
      <c r="G4020" s="6">
        <v>0.86954</v>
      </c>
    </row>
    <row r="4021" ht="15.75" customHeight="1" spans="1:7">
      <c r="A4021" s="4" t="s">
        <v>9157</v>
      </c>
      <c r="B4021" s="5" t="s">
        <v>9158</v>
      </c>
      <c r="C4021" s="4" t="s">
        <v>82</v>
      </c>
      <c r="D4021" s="475">
        <v>1594.28</v>
      </c>
      <c r="E4021" s="476">
        <v>0.03632</v>
      </c>
      <c r="F4021" s="6">
        <v>4.6982</v>
      </c>
      <c r="G4021" s="6">
        <v>0.83871</v>
      </c>
    </row>
    <row r="4022" ht="15.75" customHeight="1" spans="1:7">
      <c r="A4022" s="4" t="s">
        <v>9159</v>
      </c>
      <c r="B4022" s="5" t="s">
        <v>9160</v>
      </c>
      <c r="C4022" s="4" t="s">
        <v>82</v>
      </c>
      <c r="D4022" s="475">
        <v>1664.35</v>
      </c>
      <c r="E4022" s="476">
        <v>0.03632</v>
      </c>
      <c r="F4022" s="6">
        <v>4.8028</v>
      </c>
      <c r="G4022" s="6">
        <v>0.82043</v>
      </c>
    </row>
    <row r="4023" ht="15.75" customHeight="1" spans="1:7">
      <c r="A4023" s="4" t="s">
        <v>9161</v>
      </c>
      <c r="B4023" s="5" t="s">
        <v>9162</v>
      </c>
      <c r="C4023" s="4" t="s">
        <v>82</v>
      </c>
      <c r="D4023" s="475">
        <v>1611.83</v>
      </c>
      <c r="E4023" s="476">
        <v>0.03632</v>
      </c>
      <c r="F4023" s="6">
        <v>4.7621</v>
      </c>
      <c r="G4023" s="6">
        <v>0.82744</v>
      </c>
    </row>
    <row r="4024" ht="30" customHeight="1" spans="1:7">
      <c r="A4024" s="4" t="s">
        <v>9163</v>
      </c>
      <c r="B4024" s="5" t="s">
        <v>9164</v>
      </c>
      <c r="C4024" s="4" t="s">
        <v>82</v>
      </c>
      <c r="D4024" s="475">
        <v>274.17</v>
      </c>
      <c r="E4024" s="476">
        <v>0</v>
      </c>
      <c r="F4024" s="6">
        <v>0</v>
      </c>
      <c r="G4024" s="6">
        <v>4.15</v>
      </c>
    </row>
    <row r="4025" ht="30" customHeight="1" spans="1:7">
      <c r="A4025" s="4" t="s">
        <v>9165</v>
      </c>
      <c r="B4025" s="5" t="s">
        <v>9166</v>
      </c>
      <c r="C4025" s="4" t="s">
        <v>82</v>
      </c>
      <c r="D4025" s="475">
        <v>226.9</v>
      </c>
      <c r="E4025" s="476">
        <v>0.03632</v>
      </c>
      <c r="F4025" s="6">
        <v>4.003</v>
      </c>
      <c r="G4025" s="6">
        <v>4.15</v>
      </c>
    </row>
    <row r="4026" ht="30" customHeight="1" spans="1:7">
      <c r="A4026" s="4" t="s">
        <v>9167</v>
      </c>
      <c r="B4026" s="5" t="s">
        <v>9168</v>
      </c>
      <c r="C4026" s="4" t="s">
        <v>82</v>
      </c>
      <c r="D4026" s="475">
        <v>233.15</v>
      </c>
      <c r="E4026" s="476">
        <v>0.03632</v>
      </c>
      <c r="F4026" s="6">
        <v>4.079</v>
      </c>
      <c r="G4026" s="6">
        <v>4.15</v>
      </c>
    </row>
    <row r="4027" ht="30" customHeight="1" spans="1:7">
      <c r="A4027" s="4" t="s">
        <v>9169</v>
      </c>
      <c r="B4027" s="5" t="s">
        <v>9170</v>
      </c>
      <c r="C4027" s="4" t="s">
        <v>724</v>
      </c>
      <c r="D4027" s="475">
        <v>1083675.26</v>
      </c>
      <c r="E4027" s="476">
        <v>0.03814</v>
      </c>
      <c r="F4027" s="6">
        <v>135.8822</v>
      </c>
      <c r="G4027" s="6">
        <v>0.2</v>
      </c>
    </row>
    <row r="4028" ht="30" customHeight="1" spans="1:7">
      <c r="A4028" s="4" t="s">
        <v>9171</v>
      </c>
      <c r="B4028" s="5" t="s">
        <v>9172</v>
      </c>
      <c r="C4028" s="4" t="s">
        <v>724</v>
      </c>
      <c r="D4028" s="475">
        <v>1089608.67</v>
      </c>
      <c r="E4028" s="476">
        <v>0.03814</v>
      </c>
      <c r="F4028" s="6">
        <v>140.3814</v>
      </c>
      <c r="G4028" s="6">
        <v>0.2</v>
      </c>
    </row>
    <row r="4029" ht="30" customHeight="1" spans="1:7">
      <c r="A4029" s="4" t="s">
        <v>9173</v>
      </c>
      <c r="B4029" s="5" t="s">
        <v>9174</v>
      </c>
      <c r="C4029" s="4" t="s">
        <v>724</v>
      </c>
      <c r="D4029" s="475">
        <v>1625696.74</v>
      </c>
      <c r="E4029" s="476">
        <v>0.03814</v>
      </c>
      <c r="F4029" s="6">
        <v>210.5774</v>
      </c>
      <c r="G4029" s="6">
        <v>0.13333</v>
      </c>
    </row>
    <row r="4030" ht="30" customHeight="1" spans="1:7">
      <c r="A4030" s="4" t="s">
        <v>9175</v>
      </c>
      <c r="B4030" s="5" t="s">
        <v>9176</v>
      </c>
      <c r="C4030" s="4" t="s">
        <v>724</v>
      </c>
      <c r="D4030" s="475">
        <v>1634596.85</v>
      </c>
      <c r="E4030" s="476">
        <v>0.03814</v>
      </c>
      <c r="F4030" s="6">
        <v>217.3265</v>
      </c>
      <c r="G4030" s="6">
        <v>0.13333</v>
      </c>
    </row>
    <row r="4031" ht="30" customHeight="1" spans="1:7">
      <c r="A4031" s="4" t="s">
        <v>9177</v>
      </c>
      <c r="B4031" s="5" t="s">
        <v>9178</v>
      </c>
      <c r="C4031" s="4" t="s">
        <v>724</v>
      </c>
      <c r="D4031" s="475">
        <v>1348845.07</v>
      </c>
      <c r="E4031" s="476">
        <v>0.03814</v>
      </c>
      <c r="F4031" s="6">
        <v>253.8204</v>
      </c>
      <c r="G4031" s="6">
        <v>0.083</v>
      </c>
    </row>
    <row r="4032" ht="30" customHeight="1" spans="1:7">
      <c r="A4032" s="4" t="s">
        <v>9179</v>
      </c>
      <c r="B4032" s="5" t="s">
        <v>9180</v>
      </c>
      <c r="C4032" s="4" t="s">
        <v>724</v>
      </c>
      <c r="D4032" s="475">
        <v>1367737.73</v>
      </c>
      <c r="E4032" s="476">
        <v>0.03814</v>
      </c>
      <c r="F4032" s="6">
        <v>255.1524</v>
      </c>
      <c r="G4032" s="6">
        <v>0.07904</v>
      </c>
    </row>
    <row r="4033" ht="30" customHeight="1" spans="1:7">
      <c r="A4033" s="4" t="s">
        <v>9181</v>
      </c>
      <c r="B4033" s="5" t="s">
        <v>9182</v>
      </c>
      <c r="C4033" s="4" t="s">
        <v>724</v>
      </c>
      <c r="D4033" s="475">
        <v>2023270.55</v>
      </c>
      <c r="E4033" s="476">
        <v>0.03814</v>
      </c>
      <c r="F4033" s="6">
        <v>380.8224</v>
      </c>
      <c r="G4033" s="6">
        <v>0.05532</v>
      </c>
    </row>
    <row r="4034" ht="30" customHeight="1" spans="1:7">
      <c r="A4034" s="4" t="s">
        <v>9183</v>
      </c>
      <c r="B4034" s="5" t="s">
        <v>9184</v>
      </c>
      <c r="C4034" s="4" t="s">
        <v>724</v>
      </c>
      <c r="D4034" s="475">
        <v>2051609.72</v>
      </c>
      <c r="E4034" s="476">
        <v>0.03814</v>
      </c>
      <c r="F4034" s="6">
        <v>382.8255</v>
      </c>
      <c r="G4034" s="6">
        <v>0.05268</v>
      </c>
    </row>
    <row r="4035" ht="15.75" customHeight="1" spans="1:7">
      <c r="A4035" s="4" t="s">
        <v>9185</v>
      </c>
      <c r="B4035" s="5" t="s">
        <v>9186</v>
      </c>
      <c r="C4035" s="4" t="s">
        <v>82</v>
      </c>
      <c r="D4035" s="475">
        <v>49777.26</v>
      </c>
      <c r="E4035" s="476">
        <v>0</v>
      </c>
      <c r="F4035" s="6">
        <v>0</v>
      </c>
      <c r="G4035" s="6">
        <v>1</v>
      </c>
    </row>
    <row r="4036" ht="30" customHeight="1" spans="1:7">
      <c r="A4036" s="4" t="s">
        <v>9187</v>
      </c>
      <c r="B4036" s="5" t="s">
        <v>9188</v>
      </c>
      <c r="C4036" s="4" t="s">
        <v>724</v>
      </c>
      <c r="D4036" s="475">
        <v>969743.27</v>
      </c>
      <c r="E4036" s="476">
        <v>0.03814</v>
      </c>
      <c r="F4036" s="6">
        <v>91.0087</v>
      </c>
      <c r="G4036" s="6">
        <v>0.19775</v>
      </c>
    </row>
    <row r="4037" ht="30" customHeight="1" spans="1:7">
      <c r="A4037" s="4" t="s">
        <v>9189</v>
      </c>
      <c r="B4037" s="5" t="s">
        <v>9190</v>
      </c>
      <c r="C4037" s="4" t="s">
        <v>724</v>
      </c>
      <c r="D4037" s="475">
        <v>1454495.91</v>
      </c>
      <c r="E4037" s="476">
        <v>0.03814</v>
      </c>
      <c r="F4037" s="6">
        <v>136.5165</v>
      </c>
      <c r="G4037" s="6">
        <v>0.13183</v>
      </c>
    </row>
    <row r="4038" ht="30" customHeight="1" spans="1:7">
      <c r="A4038" s="4" t="s">
        <v>9191</v>
      </c>
      <c r="B4038" s="5" t="s">
        <v>9192</v>
      </c>
      <c r="C4038" s="4" t="s">
        <v>724</v>
      </c>
      <c r="D4038" s="475">
        <v>1463387.03</v>
      </c>
      <c r="E4038" s="476">
        <v>0.03814</v>
      </c>
      <c r="F4038" s="6">
        <v>142.9352</v>
      </c>
      <c r="G4038" s="6">
        <v>0.12591</v>
      </c>
    </row>
    <row r="4039" ht="30" customHeight="1" spans="1:7">
      <c r="A4039" s="4" t="s">
        <v>9193</v>
      </c>
      <c r="B4039" s="5" t="s">
        <v>9194</v>
      </c>
      <c r="C4039" s="4" t="s">
        <v>724</v>
      </c>
      <c r="D4039" s="475">
        <v>1445510.98</v>
      </c>
      <c r="E4039" s="476">
        <v>0.03814</v>
      </c>
      <c r="F4039" s="6">
        <v>167.088</v>
      </c>
      <c r="G4039" s="6">
        <v>0.083</v>
      </c>
    </row>
    <row r="4040" ht="30" customHeight="1" spans="1:7">
      <c r="A4040" s="4" t="s">
        <v>9195</v>
      </c>
      <c r="B4040" s="5" t="s">
        <v>9196</v>
      </c>
      <c r="C4040" s="4" t="s">
        <v>724</v>
      </c>
      <c r="D4040" s="475">
        <v>1233225.65</v>
      </c>
      <c r="E4040" s="476">
        <v>0.03814</v>
      </c>
      <c r="F4040" s="6">
        <v>145.4049</v>
      </c>
      <c r="G4040" s="6">
        <v>0.083</v>
      </c>
    </row>
    <row r="4041" ht="30" customHeight="1" spans="1:7">
      <c r="A4041" s="4" t="s">
        <v>9197</v>
      </c>
      <c r="B4041" s="5" t="s">
        <v>9198</v>
      </c>
      <c r="C4041" s="4" t="s">
        <v>724</v>
      </c>
      <c r="D4041" s="475">
        <v>1475445.43</v>
      </c>
      <c r="E4041" s="476">
        <v>0.03814</v>
      </c>
      <c r="F4041" s="6">
        <v>186.8441</v>
      </c>
      <c r="G4041" s="6">
        <v>0.07904</v>
      </c>
    </row>
    <row r="4042" ht="30" customHeight="1" spans="1:7">
      <c r="A4042" s="4" t="s">
        <v>9199</v>
      </c>
      <c r="B4042" s="5" t="s">
        <v>9200</v>
      </c>
      <c r="C4042" s="4" t="s">
        <v>724</v>
      </c>
      <c r="D4042" s="475">
        <v>1252590.23</v>
      </c>
      <c r="E4042" s="476">
        <v>0.03814</v>
      </c>
      <c r="F4042" s="6">
        <v>164.0746</v>
      </c>
      <c r="G4042" s="6">
        <v>0.07904</v>
      </c>
    </row>
    <row r="4043" ht="30" customHeight="1" spans="1:7">
      <c r="A4043" s="4" t="s">
        <v>9201</v>
      </c>
      <c r="B4043" s="5" t="s">
        <v>9202</v>
      </c>
      <c r="C4043" s="4" t="s">
        <v>724</v>
      </c>
      <c r="D4043" s="475">
        <v>2169034.98</v>
      </c>
      <c r="E4043" s="476">
        <v>0.03814</v>
      </c>
      <c r="F4043" s="6">
        <v>283.2249</v>
      </c>
      <c r="G4043" s="6">
        <v>0.05532</v>
      </c>
    </row>
    <row r="4044" ht="30" customHeight="1" spans="1:7">
      <c r="A4044" s="4" t="s">
        <v>9203</v>
      </c>
      <c r="B4044" s="5" t="s">
        <v>9204</v>
      </c>
      <c r="C4044" s="4" t="s">
        <v>724</v>
      </c>
      <c r="D4044" s="475">
        <v>2213981.38</v>
      </c>
      <c r="E4044" s="476">
        <v>0.03814</v>
      </c>
      <c r="F4044" s="6">
        <v>314.4998</v>
      </c>
      <c r="G4044" s="6">
        <v>0.05268</v>
      </c>
    </row>
    <row r="4045" ht="15.75" customHeight="1" spans="1:7">
      <c r="A4045" s="4" t="s">
        <v>9205</v>
      </c>
      <c r="B4045" s="5" t="s">
        <v>9206</v>
      </c>
      <c r="C4045" s="4" t="s">
        <v>82</v>
      </c>
      <c r="D4045" s="475">
        <v>99828.68</v>
      </c>
      <c r="E4045" s="476">
        <v>0</v>
      </c>
      <c r="F4045" s="6">
        <v>0</v>
      </c>
      <c r="G4045" s="6">
        <v>1</v>
      </c>
    </row>
    <row r="4046" ht="30" customHeight="1" spans="1:7">
      <c r="A4046" s="4" t="s">
        <v>9207</v>
      </c>
      <c r="B4046" s="5" t="s">
        <v>9208</v>
      </c>
      <c r="C4046" s="4" t="s">
        <v>724</v>
      </c>
      <c r="D4046" s="475">
        <v>963880.36</v>
      </c>
      <c r="E4046" s="476">
        <v>0.03814</v>
      </c>
      <c r="F4046" s="6">
        <v>88.5329</v>
      </c>
      <c r="G4046" s="6">
        <v>0.20328</v>
      </c>
    </row>
    <row r="4047" ht="30" customHeight="1" spans="1:7">
      <c r="A4047" s="4" t="s">
        <v>9209</v>
      </c>
      <c r="B4047" s="5" t="s">
        <v>9210</v>
      </c>
      <c r="C4047" s="4" t="s">
        <v>724</v>
      </c>
      <c r="D4047" s="475">
        <v>969808.01</v>
      </c>
      <c r="E4047" s="476">
        <v>0.03814</v>
      </c>
      <c r="F4047" s="6">
        <v>92.8205</v>
      </c>
      <c r="G4047" s="6">
        <v>0.19389</v>
      </c>
    </row>
    <row r="4048" ht="30" customHeight="1" spans="1:7">
      <c r="A4048" s="4" t="s">
        <v>9211</v>
      </c>
      <c r="B4048" s="5" t="s">
        <v>9212</v>
      </c>
      <c r="C4048" s="4" t="s">
        <v>724</v>
      </c>
      <c r="D4048" s="475">
        <v>1445702.21</v>
      </c>
      <c r="E4048" s="476">
        <v>0.03814</v>
      </c>
      <c r="F4048" s="6">
        <v>132.7994</v>
      </c>
      <c r="G4048" s="6">
        <v>0.13552</v>
      </c>
    </row>
    <row r="4049" ht="30" customHeight="1" spans="1:7">
      <c r="A4049" s="4" t="s">
        <v>9213</v>
      </c>
      <c r="B4049" s="5" t="s">
        <v>9214</v>
      </c>
      <c r="C4049" s="4" t="s">
        <v>724</v>
      </c>
      <c r="D4049" s="475">
        <v>1454593.68</v>
      </c>
      <c r="E4049" s="476">
        <v>0.03814</v>
      </c>
      <c r="F4049" s="6">
        <v>139.2308</v>
      </c>
      <c r="G4049" s="6">
        <v>0.12926</v>
      </c>
    </row>
    <row r="4050" ht="30" customHeight="1" spans="1:7">
      <c r="A4050" s="4" t="s">
        <v>9215</v>
      </c>
      <c r="B4050" s="5" t="s">
        <v>9216</v>
      </c>
      <c r="C4050" s="4" t="s">
        <v>724</v>
      </c>
      <c r="D4050" s="475">
        <v>1439715.46</v>
      </c>
      <c r="E4050" s="476">
        <v>0.03814</v>
      </c>
      <c r="F4050" s="6">
        <v>167.088</v>
      </c>
      <c r="G4050" s="6">
        <v>0.083</v>
      </c>
    </row>
    <row r="4051" ht="30" customHeight="1" spans="1:7">
      <c r="A4051" s="4" t="s">
        <v>9217</v>
      </c>
      <c r="B4051" s="5" t="s">
        <v>9218</v>
      </c>
      <c r="C4051" s="4" t="s">
        <v>724</v>
      </c>
      <c r="D4051" s="475">
        <v>1227430.14</v>
      </c>
      <c r="E4051" s="476">
        <v>0.03814</v>
      </c>
      <c r="F4051" s="6">
        <v>145.4049</v>
      </c>
      <c r="G4051" s="6">
        <v>0.083</v>
      </c>
    </row>
    <row r="4052" ht="30" customHeight="1" spans="1:7">
      <c r="A4052" s="4" t="s">
        <v>9219</v>
      </c>
      <c r="B4052" s="5" t="s">
        <v>9220</v>
      </c>
      <c r="C4052" s="4" t="s">
        <v>724</v>
      </c>
      <c r="D4052" s="475">
        <v>1469649.92</v>
      </c>
      <c r="E4052" s="476">
        <v>0.03814</v>
      </c>
      <c r="F4052" s="6">
        <v>186.8441</v>
      </c>
      <c r="G4052" s="6">
        <v>0.07904</v>
      </c>
    </row>
    <row r="4053" ht="30" customHeight="1" spans="1:7">
      <c r="A4053" s="4" t="s">
        <v>9221</v>
      </c>
      <c r="B4053" s="5" t="s">
        <v>9222</v>
      </c>
      <c r="C4053" s="4" t="s">
        <v>724</v>
      </c>
      <c r="D4053" s="475">
        <v>1246794.71</v>
      </c>
      <c r="E4053" s="476">
        <v>0.03814</v>
      </c>
      <c r="F4053" s="6">
        <v>164.0746</v>
      </c>
      <c r="G4053" s="6">
        <v>0.07904</v>
      </c>
    </row>
    <row r="4054" ht="30" customHeight="1" spans="1:7">
      <c r="A4054" s="4" t="s">
        <v>9223</v>
      </c>
      <c r="B4054" s="5" t="s">
        <v>9224</v>
      </c>
      <c r="C4054" s="4" t="s">
        <v>724</v>
      </c>
      <c r="D4054" s="475">
        <v>2160342.46</v>
      </c>
      <c r="E4054" s="476">
        <v>0.03814</v>
      </c>
      <c r="F4054" s="6">
        <v>283.2249</v>
      </c>
      <c r="G4054" s="6">
        <v>0.05532</v>
      </c>
    </row>
    <row r="4055" ht="30" customHeight="1" spans="1:7">
      <c r="A4055" s="4" t="s">
        <v>9225</v>
      </c>
      <c r="B4055" s="5" t="s">
        <v>9226</v>
      </c>
      <c r="C4055" s="4" t="s">
        <v>724</v>
      </c>
      <c r="D4055" s="475">
        <v>2205288.85</v>
      </c>
      <c r="E4055" s="476">
        <v>0.03814</v>
      </c>
      <c r="F4055" s="6">
        <v>314.4998</v>
      </c>
      <c r="G4055" s="6">
        <v>0.05268</v>
      </c>
    </row>
    <row r="4056" ht="30" customHeight="1" spans="1:7">
      <c r="A4056" s="4" t="s">
        <v>9227</v>
      </c>
      <c r="B4056" s="5" t="s">
        <v>9228</v>
      </c>
      <c r="C4056" s="4" t="s">
        <v>724</v>
      </c>
      <c r="D4056" s="475">
        <v>1437340.65</v>
      </c>
      <c r="E4056" s="476">
        <v>0.03814</v>
      </c>
      <c r="F4056" s="6">
        <v>158.3784</v>
      </c>
      <c r="G4056" s="6">
        <v>0.2</v>
      </c>
    </row>
    <row r="4057" ht="30" customHeight="1" spans="1:7">
      <c r="A4057" s="4" t="s">
        <v>9229</v>
      </c>
      <c r="B4057" s="5" t="s">
        <v>9230</v>
      </c>
      <c r="C4057" s="4" t="s">
        <v>724</v>
      </c>
      <c r="D4057" s="475">
        <v>1443029.12</v>
      </c>
      <c r="E4057" s="476">
        <v>0.03814</v>
      </c>
      <c r="F4057" s="6">
        <v>153.8792</v>
      </c>
      <c r="G4057" s="6">
        <v>0.2</v>
      </c>
    </row>
    <row r="4058" ht="30" customHeight="1" spans="1:7">
      <c r="A4058" s="4" t="s">
        <v>9231</v>
      </c>
      <c r="B4058" s="5" t="s">
        <v>9232</v>
      </c>
      <c r="C4058" s="4" t="s">
        <v>724</v>
      </c>
      <c r="D4058" s="475">
        <v>2153956.9</v>
      </c>
      <c r="E4058" s="476">
        <v>0.03814</v>
      </c>
      <c r="F4058" s="6">
        <v>162.8777</v>
      </c>
      <c r="G4058" s="6">
        <v>0.2</v>
      </c>
    </row>
    <row r="4059" ht="30" customHeight="1" spans="1:7">
      <c r="A4059" s="4" t="s">
        <v>9233</v>
      </c>
      <c r="B4059" s="5" t="s">
        <v>9234</v>
      </c>
      <c r="C4059" s="4" t="s">
        <v>724</v>
      </c>
      <c r="D4059" s="475">
        <v>2165278.65</v>
      </c>
      <c r="E4059" s="476">
        <v>0.03814</v>
      </c>
      <c r="F4059" s="6">
        <v>257.8206</v>
      </c>
      <c r="G4059" s="6">
        <v>0.13333</v>
      </c>
    </row>
    <row r="4060" ht="30" customHeight="1" spans="1:7">
      <c r="A4060" s="4" t="s">
        <v>9235</v>
      </c>
      <c r="B4060" s="5" t="s">
        <v>9236</v>
      </c>
      <c r="C4060" s="4" t="s">
        <v>724</v>
      </c>
      <c r="D4060" s="475">
        <v>1795445.81</v>
      </c>
      <c r="E4060" s="476">
        <v>0.03814</v>
      </c>
      <c r="F4060" s="6">
        <v>264.662</v>
      </c>
      <c r="G4060" s="6">
        <v>0.083</v>
      </c>
    </row>
    <row r="4061" ht="30" customHeight="1" spans="1:7">
      <c r="A4061" s="4" t="s">
        <v>9237</v>
      </c>
      <c r="B4061" s="5" t="s">
        <v>9238</v>
      </c>
      <c r="C4061" s="4" t="s">
        <v>724</v>
      </c>
      <c r="D4061" s="475">
        <v>1819306.19</v>
      </c>
      <c r="E4061" s="476">
        <v>0.03814</v>
      </c>
      <c r="F4061" s="6">
        <v>277.9218</v>
      </c>
      <c r="G4061" s="6">
        <v>0.07904</v>
      </c>
    </row>
    <row r="4062" ht="30" customHeight="1" spans="1:7">
      <c r="A4062" s="4" t="s">
        <v>9239</v>
      </c>
      <c r="B4062" s="5" t="s">
        <v>9240</v>
      </c>
      <c r="C4062" s="4" t="s">
        <v>724</v>
      </c>
      <c r="D4062" s="475">
        <v>2693171.77</v>
      </c>
      <c r="E4062" s="476">
        <v>0.03814</v>
      </c>
      <c r="F4062" s="6">
        <v>397.0886</v>
      </c>
      <c r="G4062" s="6">
        <v>0.05532</v>
      </c>
    </row>
    <row r="4063" ht="30" customHeight="1" spans="1:7">
      <c r="A4063" s="4" t="s">
        <v>9241</v>
      </c>
      <c r="B4063" s="5" t="s">
        <v>9242</v>
      </c>
      <c r="C4063" s="4" t="s">
        <v>724</v>
      </c>
      <c r="D4063" s="475">
        <v>2728962.66</v>
      </c>
      <c r="E4063" s="476">
        <v>0.03814</v>
      </c>
      <c r="F4063" s="6">
        <v>416.9883</v>
      </c>
      <c r="G4063" s="6">
        <v>0.05268</v>
      </c>
    </row>
    <row r="4064" ht="15.75" customHeight="1" spans="1:7">
      <c r="A4064" s="4" t="s">
        <v>9243</v>
      </c>
      <c r="B4064" s="5" t="s">
        <v>9244</v>
      </c>
      <c r="C4064" s="4" t="s">
        <v>82</v>
      </c>
      <c r="D4064" s="475">
        <v>69618.96</v>
      </c>
      <c r="E4064" s="476">
        <v>0</v>
      </c>
      <c r="F4064" s="6">
        <v>0</v>
      </c>
      <c r="G4064" s="6">
        <v>1</v>
      </c>
    </row>
    <row r="4065" ht="30" customHeight="1" spans="1:7">
      <c r="A4065" s="4" t="s">
        <v>9245</v>
      </c>
      <c r="B4065" s="5" t="s">
        <v>9246</v>
      </c>
      <c r="C4065" s="4" t="s">
        <v>724</v>
      </c>
      <c r="D4065" s="475">
        <v>1302594.25</v>
      </c>
      <c r="E4065" s="476">
        <v>0.03814</v>
      </c>
      <c r="F4065" s="6">
        <v>91.0087</v>
      </c>
      <c r="G4065" s="6">
        <v>0.19775</v>
      </c>
    </row>
    <row r="4066" ht="30" customHeight="1" spans="1:7">
      <c r="A4066" s="4" t="s">
        <v>9247</v>
      </c>
      <c r="B4066" s="5" t="s">
        <v>9248</v>
      </c>
      <c r="C4066" s="4" t="s">
        <v>724</v>
      </c>
      <c r="D4066" s="475">
        <v>1308521.79</v>
      </c>
      <c r="E4066" s="476">
        <v>0.03814</v>
      </c>
      <c r="F4066" s="6">
        <v>95.2926</v>
      </c>
      <c r="G4066" s="6">
        <v>0.18886</v>
      </c>
    </row>
    <row r="4067" ht="30" customHeight="1" spans="1:7">
      <c r="A4067" s="4" t="s">
        <v>9249</v>
      </c>
      <c r="B4067" s="5" t="s">
        <v>9250</v>
      </c>
      <c r="C4067" s="4" t="s">
        <v>724</v>
      </c>
      <c r="D4067" s="475">
        <v>1953772.28</v>
      </c>
      <c r="E4067" s="476">
        <v>0.03814</v>
      </c>
      <c r="F4067" s="6">
        <v>136.5165</v>
      </c>
      <c r="G4067" s="6">
        <v>0.13183</v>
      </c>
    </row>
    <row r="4068" ht="30" customHeight="1" spans="1:7">
      <c r="A4068" s="4" t="s">
        <v>9251</v>
      </c>
      <c r="B4068" s="5" t="s">
        <v>9252</v>
      </c>
      <c r="C4068" s="4" t="s">
        <v>724</v>
      </c>
      <c r="D4068" s="475">
        <v>1962663.4</v>
      </c>
      <c r="E4068" s="476">
        <v>0.03814</v>
      </c>
      <c r="F4068" s="6">
        <v>142.9352</v>
      </c>
      <c r="G4068" s="6">
        <v>0.12591</v>
      </c>
    </row>
    <row r="4069" ht="30" customHeight="1" spans="1:7">
      <c r="A4069" s="4" t="s">
        <v>9253</v>
      </c>
      <c r="B4069" s="5" t="s">
        <v>9254</v>
      </c>
      <c r="C4069" s="4" t="s">
        <v>724</v>
      </c>
      <c r="D4069" s="475">
        <v>1827432.6</v>
      </c>
      <c r="E4069" s="476">
        <v>0.03814</v>
      </c>
      <c r="F4069" s="6">
        <v>167.088</v>
      </c>
      <c r="G4069" s="6">
        <v>0.083</v>
      </c>
    </row>
    <row r="4070" ht="30" customHeight="1" spans="1:7">
      <c r="A4070" s="4" t="s">
        <v>9255</v>
      </c>
      <c r="B4070" s="5" t="s">
        <v>9256</v>
      </c>
      <c r="C4070" s="4" t="s">
        <v>724</v>
      </c>
      <c r="D4070" s="475">
        <v>1659329.22</v>
      </c>
      <c r="E4070" s="476">
        <v>0.03814</v>
      </c>
      <c r="F4070" s="6">
        <v>145.4049</v>
      </c>
      <c r="G4070" s="6">
        <v>0.083</v>
      </c>
    </row>
    <row r="4071" ht="30" customHeight="1" spans="1:7">
      <c r="A4071" s="4" t="s">
        <v>9257</v>
      </c>
      <c r="B4071" s="5" t="s">
        <v>9258</v>
      </c>
      <c r="C4071" s="4" t="s">
        <v>724</v>
      </c>
      <c r="D4071" s="475">
        <v>1859810.29</v>
      </c>
      <c r="E4071" s="476">
        <v>0.03814</v>
      </c>
      <c r="F4071" s="6">
        <v>186.8441</v>
      </c>
      <c r="G4071" s="6">
        <v>0.07904</v>
      </c>
    </row>
    <row r="4072" ht="30" customHeight="1" spans="1:7">
      <c r="A4072" s="4" t="s">
        <v>9259</v>
      </c>
      <c r="B4072" s="5" t="s">
        <v>9260</v>
      </c>
      <c r="C4072" s="4" t="s">
        <v>724</v>
      </c>
      <c r="D4072" s="475">
        <v>1683336.85</v>
      </c>
      <c r="E4072" s="476">
        <v>0.03814</v>
      </c>
      <c r="F4072" s="6">
        <v>164.0746</v>
      </c>
      <c r="G4072" s="6">
        <v>0.07904</v>
      </c>
    </row>
    <row r="4073" ht="30" customHeight="1" spans="1:7">
      <c r="A4073" s="4" t="s">
        <v>9261</v>
      </c>
      <c r="B4073" s="5" t="s">
        <v>9262</v>
      </c>
      <c r="C4073" s="4" t="s">
        <v>724</v>
      </c>
      <c r="D4073" s="475">
        <v>2741917.32</v>
      </c>
      <c r="E4073" s="476">
        <v>0.03814</v>
      </c>
      <c r="F4073" s="6">
        <v>283.2249</v>
      </c>
      <c r="G4073" s="6">
        <v>0.05532</v>
      </c>
    </row>
    <row r="4074" ht="30" customHeight="1" spans="1:7">
      <c r="A4074" s="4" t="s">
        <v>9263</v>
      </c>
      <c r="B4074" s="5" t="s">
        <v>9264</v>
      </c>
      <c r="C4074" s="4" t="s">
        <v>724</v>
      </c>
      <c r="D4074" s="475">
        <v>2790528.56</v>
      </c>
      <c r="E4074" s="476">
        <v>0.03814</v>
      </c>
      <c r="F4074" s="6">
        <v>314.4998</v>
      </c>
      <c r="G4074" s="6">
        <v>0.05268</v>
      </c>
    </row>
    <row r="4075" ht="15.75" customHeight="1" spans="1:7">
      <c r="A4075" s="4" t="s">
        <v>9265</v>
      </c>
      <c r="B4075" s="5" t="s">
        <v>9266</v>
      </c>
      <c r="C4075" s="4" t="s">
        <v>82</v>
      </c>
      <c r="D4075" s="475">
        <v>139512.08</v>
      </c>
      <c r="E4075" s="476">
        <v>0</v>
      </c>
      <c r="F4075" s="6">
        <v>0</v>
      </c>
      <c r="G4075" s="6">
        <v>1</v>
      </c>
    </row>
    <row r="4076" ht="30" customHeight="1" spans="1:7">
      <c r="A4076" s="4" t="s">
        <v>9267</v>
      </c>
      <c r="B4076" s="5" t="s">
        <v>9268</v>
      </c>
      <c r="C4076" s="4" t="s">
        <v>724</v>
      </c>
      <c r="D4076" s="475">
        <v>1295654</v>
      </c>
      <c r="E4076" s="476">
        <v>0.03814</v>
      </c>
      <c r="F4076" s="6">
        <v>88.5329</v>
      </c>
      <c r="G4076" s="6">
        <v>0.20328</v>
      </c>
    </row>
    <row r="4077" ht="30" customHeight="1" spans="1:7">
      <c r="A4077" s="4" t="s">
        <v>9269</v>
      </c>
      <c r="B4077" s="5" t="s">
        <v>9270</v>
      </c>
      <c r="C4077" s="4" t="s">
        <v>724</v>
      </c>
      <c r="D4077" s="475">
        <v>1301581.64</v>
      </c>
      <c r="E4077" s="476">
        <v>0.03814</v>
      </c>
      <c r="F4077" s="6">
        <v>92.8205</v>
      </c>
      <c r="G4077" s="6">
        <v>0.19389</v>
      </c>
    </row>
    <row r="4078" ht="30" customHeight="1" spans="1:7">
      <c r="A4078" s="4" t="s">
        <v>9271</v>
      </c>
      <c r="B4078" s="5" t="s">
        <v>9272</v>
      </c>
      <c r="C4078" s="4" t="s">
        <v>724</v>
      </c>
      <c r="D4078" s="475">
        <v>1943362.86</v>
      </c>
      <c r="E4078" s="476">
        <v>0.03814</v>
      </c>
      <c r="F4078" s="6">
        <v>132.7994</v>
      </c>
      <c r="G4078" s="6">
        <v>0.13552</v>
      </c>
    </row>
    <row r="4079" ht="30" customHeight="1" spans="1:7">
      <c r="A4079" s="4" t="s">
        <v>9273</v>
      </c>
      <c r="B4079" s="5" t="s">
        <v>9274</v>
      </c>
      <c r="C4079" s="4" t="s">
        <v>724</v>
      </c>
      <c r="D4079" s="475">
        <v>1952254.33</v>
      </c>
      <c r="E4079" s="476">
        <v>0.03814</v>
      </c>
      <c r="F4079" s="6">
        <v>139.2308</v>
      </c>
      <c r="G4079" s="6">
        <v>0.12926</v>
      </c>
    </row>
    <row r="4080" ht="30" customHeight="1" spans="1:7">
      <c r="A4080" s="4" t="s">
        <v>9275</v>
      </c>
      <c r="B4080" s="5" t="s">
        <v>9276</v>
      </c>
      <c r="C4080" s="4" t="s">
        <v>724</v>
      </c>
      <c r="D4080" s="475">
        <v>1820559.74</v>
      </c>
      <c r="E4080" s="476">
        <v>0.03814</v>
      </c>
      <c r="F4080" s="6">
        <v>167.088</v>
      </c>
      <c r="G4080" s="6">
        <v>0.083</v>
      </c>
    </row>
    <row r="4081" ht="30" customHeight="1" spans="1:7">
      <c r="A4081" s="4" t="s">
        <v>9277</v>
      </c>
      <c r="B4081" s="5" t="s">
        <v>9278</v>
      </c>
      <c r="C4081" s="4" t="s">
        <v>724</v>
      </c>
      <c r="D4081" s="475">
        <v>1652456.36</v>
      </c>
      <c r="E4081" s="476">
        <v>0.03814</v>
      </c>
      <c r="F4081" s="6">
        <v>145.4049</v>
      </c>
      <c r="G4081" s="6">
        <v>0.083</v>
      </c>
    </row>
    <row r="4082" ht="30" customHeight="1" spans="1:7">
      <c r="A4082" s="4" t="s">
        <v>9279</v>
      </c>
      <c r="B4082" s="5" t="s">
        <v>9280</v>
      </c>
      <c r="C4082" s="4" t="s">
        <v>724</v>
      </c>
      <c r="D4082" s="475">
        <v>1852937.43</v>
      </c>
      <c r="E4082" s="476">
        <v>0.03814</v>
      </c>
      <c r="F4082" s="6">
        <v>186.8441</v>
      </c>
      <c r="G4082" s="6">
        <v>0.07904</v>
      </c>
    </row>
    <row r="4083" ht="30" customHeight="1" spans="1:7">
      <c r="A4083" s="4" t="s">
        <v>9281</v>
      </c>
      <c r="B4083" s="5" t="s">
        <v>9282</v>
      </c>
      <c r="C4083" s="4" t="s">
        <v>724</v>
      </c>
      <c r="D4083" s="475">
        <v>1676463.99</v>
      </c>
      <c r="E4083" s="476">
        <v>0.03814</v>
      </c>
      <c r="F4083" s="6">
        <v>164.0746</v>
      </c>
      <c r="G4083" s="6">
        <v>0.07904</v>
      </c>
    </row>
    <row r="4084" ht="30" customHeight="1" spans="1:7">
      <c r="A4084" s="4" t="s">
        <v>9283</v>
      </c>
      <c r="B4084" s="5" t="s">
        <v>9284</v>
      </c>
      <c r="C4084" s="4" t="s">
        <v>724</v>
      </c>
      <c r="D4084" s="475">
        <v>2731609.07</v>
      </c>
      <c r="E4084" s="476">
        <v>0.03814</v>
      </c>
      <c r="F4084" s="6">
        <v>283.2249</v>
      </c>
      <c r="G4084" s="6">
        <v>0.05532</v>
      </c>
    </row>
    <row r="4085" ht="30" customHeight="1" spans="1:7">
      <c r="A4085" s="4" t="s">
        <v>9285</v>
      </c>
      <c r="B4085" s="5" t="s">
        <v>9286</v>
      </c>
      <c r="C4085" s="4" t="s">
        <v>724</v>
      </c>
      <c r="D4085" s="475">
        <v>2780220.31</v>
      </c>
      <c r="E4085" s="476">
        <v>0.03814</v>
      </c>
      <c r="F4085" s="6">
        <v>314.4998</v>
      </c>
      <c r="G4085" s="6">
        <v>0.05268</v>
      </c>
    </row>
    <row r="4086" ht="30" customHeight="1" spans="1:7">
      <c r="A4086" s="4" t="s">
        <v>9287</v>
      </c>
      <c r="B4086" s="5" t="s">
        <v>9288</v>
      </c>
      <c r="C4086" s="4" t="s">
        <v>724</v>
      </c>
      <c r="D4086" s="475">
        <v>1741944.55</v>
      </c>
      <c r="E4086" s="476">
        <v>0.03814</v>
      </c>
      <c r="F4086" s="6">
        <v>224.0755</v>
      </c>
      <c r="G4086" s="6">
        <v>0.13333</v>
      </c>
    </row>
    <row r="4087" ht="30" customHeight="1" spans="1:7">
      <c r="A4087" s="4" t="s">
        <v>9289</v>
      </c>
      <c r="B4087" s="5" t="s">
        <v>9290</v>
      </c>
      <c r="C4087" s="4" t="s">
        <v>724</v>
      </c>
      <c r="D4087" s="475">
        <v>1745823.73</v>
      </c>
      <c r="E4087" s="476">
        <v>0.03814</v>
      </c>
      <c r="F4087" s="6">
        <v>153.8792</v>
      </c>
      <c r="G4087" s="6">
        <v>0.2</v>
      </c>
    </row>
    <row r="4088" ht="30" customHeight="1" spans="1:7">
      <c r="A4088" s="4" t="s">
        <v>9291</v>
      </c>
      <c r="B4088" s="5" t="s">
        <v>9292</v>
      </c>
      <c r="C4088" s="4" t="s">
        <v>724</v>
      </c>
      <c r="D4088" s="475">
        <v>2608393.74</v>
      </c>
      <c r="E4088" s="476">
        <v>0.03814</v>
      </c>
      <c r="F4088" s="6">
        <v>171.8761</v>
      </c>
      <c r="G4088" s="6">
        <v>0.2</v>
      </c>
    </row>
    <row r="4089" ht="30" customHeight="1" spans="1:7">
      <c r="A4089" s="4" t="s">
        <v>9293</v>
      </c>
      <c r="B4089" s="5" t="s">
        <v>9294</v>
      </c>
      <c r="C4089" s="4" t="s">
        <v>724</v>
      </c>
      <c r="D4089" s="475">
        <v>2616865.22</v>
      </c>
      <c r="E4089" s="476">
        <v>0.03814</v>
      </c>
      <c r="F4089" s="6">
        <v>162.8777</v>
      </c>
      <c r="G4089" s="6">
        <v>0.2</v>
      </c>
    </row>
    <row r="4090" ht="30" customHeight="1" spans="1:7">
      <c r="A4090" s="4" t="s">
        <v>9295</v>
      </c>
      <c r="B4090" s="5" t="s">
        <v>9296</v>
      </c>
      <c r="C4090" s="4" t="s">
        <v>724</v>
      </c>
      <c r="D4090" s="475">
        <v>2184726.55</v>
      </c>
      <c r="E4090" s="476">
        <v>0.03814</v>
      </c>
      <c r="F4090" s="6">
        <v>264.662</v>
      </c>
      <c r="G4090" s="6">
        <v>0.083</v>
      </c>
    </row>
    <row r="4091" ht="30" customHeight="1" spans="1:7">
      <c r="A4091" s="4" t="s">
        <v>9297</v>
      </c>
      <c r="B4091" s="5" t="s">
        <v>9298</v>
      </c>
      <c r="C4091" s="4" t="s">
        <v>724</v>
      </c>
      <c r="D4091" s="475">
        <v>2212893.07</v>
      </c>
      <c r="E4091" s="476">
        <v>0.03814</v>
      </c>
      <c r="F4091" s="6">
        <v>277.9218</v>
      </c>
      <c r="G4091" s="6">
        <v>0.07904</v>
      </c>
    </row>
    <row r="4092" ht="30" customHeight="1" spans="1:7">
      <c r="A4092" s="4" t="s">
        <v>9299</v>
      </c>
      <c r="B4092" s="5" t="s">
        <v>9300</v>
      </c>
      <c r="C4092" s="4" t="s">
        <v>724</v>
      </c>
      <c r="D4092" s="475">
        <v>3277092.87</v>
      </c>
      <c r="E4092" s="476">
        <v>0.03814</v>
      </c>
      <c r="F4092" s="6">
        <v>397.0886</v>
      </c>
      <c r="G4092" s="6">
        <v>0.05532</v>
      </c>
    </row>
    <row r="4093" ht="30" customHeight="1" spans="1:7">
      <c r="A4093" s="4" t="s">
        <v>9301</v>
      </c>
      <c r="B4093" s="5" t="s">
        <v>9302</v>
      </c>
      <c r="C4093" s="4" t="s">
        <v>724</v>
      </c>
      <c r="D4093" s="475">
        <v>3319342.98</v>
      </c>
      <c r="E4093" s="476">
        <v>0.03814</v>
      </c>
      <c r="F4093" s="6">
        <v>416.9883</v>
      </c>
      <c r="G4093" s="6">
        <v>0.05268</v>
      </c>
    </row>
    <row r="4094" ht="15.75" customHeight="1" spans="1:7">
      <c r="A4094" s="4" t="s">
        <v>9303</v>
      </c>
      <c r="B4094" s="5" t="s">
        <v>9304</v>
      </c>
      <c r="C4094" s="4" t="s">
        <v>82</v>
      </c>
      <c r="D4094" s="475">
        <v>86265.28</v>
      </c>
      <c r="E4094" s="476">
        <v>0</v>
      </c>
      <c r="F4094" s="6">
        <v>0</v>
      </c>
      <c r="G4094" s="6">
        <v>1</v>
      </c>
    </row>
    <row r="4095" ht="30" customHeight="1" spans="1:7">
      <c r="A4095" s="4" t="s">
        <v>9305</v>
      </c>
      <c r="B4095" s="5" t="s">
        <v>9306</v>
      </c>
      <c r="C4095" s="4" t="s">
        <v>724</v>
      </c>
      <c r="D4095" s="475">
        <v>1582484.87</v>
      </c>
      <c r="E4095" s="476">
        <v>0.03814</v>
      </c>
      <c r="F4095" s="6">
        <v>91.0087</v>
      </c>
      <c r="G4095" s="6">
        <v>0.19775</v>
      </c>
    </row>
    <row r="4096" ht="30" customHeight="1" spans="1:7">
      <c r="A4096" s="4" t="s">
        <v>9307</v>
      </c>
      <c r="B4096" s="5" t="s">
        <v>9308</v>
      </c>
      <c r="C4096" s="4" t="s">
        <v>724</v>
      </c>
      <c r="D4096" s="475">
        <v>1588412.41</v>
      </c>
      <c r="E4096" s="476">
        <v>0.03814</v>
      </c>
      <c r="F4096" s="6">
        <v>95.2926</v>
      </c>
      <c r="G4096" s="6">
        <v>0.18886</v>
      </c>
    </row>
    <row r="4097" ht="30" customHeight="1" spans="1:7">
      <c r="A4097" s="4" t="s">
        <v>9309</v>
      </c>
      <c r="B4097" s="5" t="s">
        <v>9310</v>
      </c>
      <c r="C4097" s="4" t="s">
        <v>724</v>
      </c>
      <c r="D4097" s="475">
        <v>2373608.13</v>
      </c>
      <c r="E4097" s="476">
        <v>0.03814</v>
      </c>
      <c r="F4097" s="6">
        <v>136.5165</v>
      </c>
      <c r="G4097" s="6">
        <v>0.13183</v>
      </c>
    </row>
    <row r="4098" ht="30" customHeight="1" spans="1:7">
      <c r="A4098" s="4" t="s">
        <v>9311</v>
      </c>
      <c r="B4098" s="5" t="s">
        <v>9312</v>
      </c>
      <c r="C4098" s="4" t="s">
        <v>724</v>
      </c>
      <c r="D4098" s="475">
        <v>2382499.25</v>
      </c>
      <c r="E4098" s="476">
        <v>0.03814</v>
      </c>
      <c r="F4098" s="6">
        <v>142.9352</v>
      </c>
      <c r="G4098" s="6">
        <v>0.12591</v>
      </c>
    </row>
    <row r="4099" ht="30" customHeight="1" spans="1:7">
      <c r="A4099" s="4" t="s">
        <v>9313</v>
      </c>
      <c r="B4099" s="5" t="s">
        <v>9314</v>
      </c>
      <c r="C4099" s="4" t="s">
        <v>724</v>
      </c>
      <c r="D4099" s="475">
        <v>2141045.91</v>
      </c>
      <c r="E4099" s="476">
        <v>0.03814</v>
      </c>
      <c r="F4099" s="6">
        <v>167.088</v>
      </c>
      <c r="G4099" s="6">
        <v>0.083</v>
      </c>
    </row>
    <row r="4100" ht="30" customHeight="1" spans="1:7">
      <c r="A4100" s="4" t="s">
        <v>9315</v>
      </c>
      <c r="B4100" s="5" t="s">
        <v>9316</v>
      </c>
      <c r="C4100" s="4" t="s">
        <v>724</v>
      </c>
      <c r="D4100" s="475">
        <v>2025705.97</v>
      </c>
      <c r="E4100" s="476">
        <v>0.03814</v>
      </c>
      <c r="F4100" s="6">
        <v>145.4049</v>
      </c>
      <c r="G4100" s="6">
        <v>0.083</v>
      </c>
    </row>
    <row r="4101" ht="30" customHeight="1" spans="1:7">
      <c r="A4101" s="4" t="s">
        <v>9317</v>
      </c>
      <c r="B4101" s="5" t="s">
        <v>9318</v>
      </c>
      <c r="C4101" s="4" t="s">
        <v>724</v>
      </c>
      <c r="D4101" s="475">
        <v>2175102.65</v>
      </c>
      <c r="E4101" s="476">
        <v>0.03814</v>
      </c>
      <c r="F4101" s="6">
        <v>186.8441</v>
      </c>
      <c r="G4101" s="6">
        <v>0.07904</v>
      </c>
    </row>
    <row r="4102" ht="30" customHeight="1" spans="1:7">
      <c r="A4102" s="4" t="s">
        <v>9319</v>
      </c>
      <c r="B4102" s="5" t="s">
        <v>9320</v>
      </c>
      <c r="C4102" s="4" t="s">
        <v>724</v>
      </c>
      <c r="D4102" s="475">
        <v>2054019.75</v>
      </c>
      <c r="E4102" s="476">
        <v>0.03814</v>
      </c>
      <c r="F4102" s="6">
        <v>164.0746</v>
      </c>
      <c r="G4102" s="6">
        <v>0.07904</v>
      </c>
    </row>
    <row r="4103" ht="30" customHeight="1" spans="1:7">
      <c r="A4103" s="4" t="s">
        <v>9321</v>
      </c>
      <c r="B4103" s="5" t="s">
        <v>9322</v>
      </c>
      <c r="C4103" s="4" t="s">
        <v>724</v>
      </c>
      <c r="D4103" s="475">
        <v>3212337.19</v>
      </c>
      <c r="E4103" s="476">
        <v>0.03814</v>
      </c>
      <c r="F4103" s="6">
        <v>283.2249</v>
      </c>
      <c r="G4103" s="6">
        <v>0.05532</v>
      </c>
    </row>
    <row r="4104" ht="30" customHeight="1" spans="1:7">
      <c r="A4104" s="4" t="s">
        <v>9323</v>
      </c>
      <c r="B4104" s="5" t="s">
        <v>9324</v>
      </c>
      <c r="C4104" s="4" t="s">
        <v>724</v>
      </c>
      <c r="D4104" s="475">
        <v>3263467.01</v>
      </c>
      <c r="E4104" s="476">
        <v>0.03814</v>
      </c>
      <c r="F4104" s="6">
        <v>314.4998</v>
      </c>
      <c r="G4104" s="6">
        <v>0.05268</v>
      </c>
    </row>
    <row r="4105" ht="15.75" customHeight="1" spans="1:7">
      <c r="A4105" s="4" t="s">
        <v>9325</v>
      </c>
      <c r="B4105" s="5" t="s">
        <v>9326</v>
      </c>
      <c r="C4105" s="4" t="s">
        <v>82</v>
      </c>
      <c r="D4105" s="475">
        <v>172804.74</v>
      </c>
      <c r="E4105" s="476">
        <v>0</v>
      </c>
      <c r="F4105" s="6">
        <v>0</v>
      </c>
      <c r="G4105" s="6">
        <v>1</v>
      </c>
    </row>
    <row r="4106" ht="30" customHeight="1" spans="1:7">
      <c r="A4106" s="4" t="s">
        <v>9327</v>
      </c>
      <c r="B4106" s="5" t="s">
        <v>9328</v>
      </c>
      <c r="C4106" s="4" t="s">
        <v>724</v>
      </c>
      <c r="D4106" s="475">
        <v>1574323.11</v>
      </c>
      <c r="E4106" s="476">
        <v>0.03814</v>
      </c>
      <c r="F4106" s="6">
        <v>88.5329</v>
      </c>
      <c r="G4106" s="6">
        <v>0.20328</v>
      </c>
    </row>
    <row r="4107" ht="30" customHeight="1" spans="1:7">
      <c r="A4107" s="4" t="s">
        <v>9329</v>
      </c>
      <c r="B4107" s="5" t="s">
        <v>9330</v>
      </c>
      <c r="C4107" s="4" t="s">
        <v>724</v>
      </c>
      <c r="D4107" s="475">
        <v>1580250.75</v>
      </c>
      <c r="E4107" s="476">
        <v>0.03814</v>
      </c>
      <c r="F4107" s="6">
        <v>92.8205</v>
      </c>
      <c r="G4107" s="6">
        <v>0.19389</v>
      </c>
    </row>
    <row r="4108" ht="30" customHeight="1" spans="1:7">
      <c r="A4108" s="4" t="s">
        <v>9331</v>
      </c>
      <c r="B4108" s="5" t="s">
        <v>9332</v>
      </c>
      <c r="C4108" s="4" t="s">
        <v>724</v>
      </c>
      <c r="D4108" s="475">
        <v>2361366.69</v>
      </c>
      <c r="E4108" s="476">
        <v>0.03814</v>
      </c>
      <c r="F4108" s="6">
        <v>132.7994</v>
      </c>
      <c r="G4108" s="6">
        <v>0.13552</v>
      </c>
    </row>
    <row r="4109" ht="30" customHeight="1" spans="1:7">
      <c r="A4109" s="4" t="s">
        <v>9333</v>
      </c>
      <c r="B4109" s="5" t="s">
        <v>9334</v>
      </c>
      <c r="C4109" s="4" t="s">
        <v>724</v>
      </c>
      <c r="D4109" s="475">
        <v>2370258.16</v>
      </c>
      <c r="E4109" s="476">
        <v>0.03814</v>
      </c>
      <c r="F4109" s="6">
        <v>139.2308</v>
      </c>
      <c r="G4109" s="6">
        <v>0.12926</v>
      </c>
    </row>
    <row r="4110" ht="30" customHeight="1" spans="1:7">
      <c r="A4110" s="4" t="s">
        <v>9335</v>
      </c>
      <c r="B4110" s="5" t="s">
        <v>9336</v>
      </c>
      <c r="C4110" s="4" t="s">
        <v>724</v>
      </c>
      <c r="D4110" s="475">
        <v>2132951.53</v>
      </c>
      <c r="E4110" s="476">
        <v>0.03814</v>
      </c>
      <c r="F4110" s="6">
        <v>167.088</v>
      </c>
      <c r="G4110" s="6">
        <v>0.083</v>
      </c>
    </row>
    <row r="4111" ht="30" customHeight="1" spans="1:7">
      <c r="A4111" s="4" t="s">
        <v>9337</v>
      </c>
      <c r="B4111" s="5" t="s">
        <v>9338</v>
      </c>
      <c r="C4111" s="4" t="s">
        <v>724</v>
      </c>
      <c r="D4111" s="475">
        <v>2017611.6</v>
      </c>
      <c r="E4111" s="476">
        <v>0.03814</v>
      </c>
      <c r="F4111" s="6">
        <v>145.4049</v>
      </c>
      <c r="G4111" s="6">
        <v>0.083</v>
      </c>
    </row>
    <row r="4112" ht="30" customHeight="1" spans="1:7">
      <c r="A4112" s="4" t="s">
        <v>9339</v>
      </c>
      <c r="B4112" s="5" t="s">
        <v>9340</v>
      </c>
      <c r="C4112" s="4" t="s">
        <v>724</v>
      </c>
      <c r="D4112" s="475">
        <v>2167008.27</v>
      </c>
      <c r="E4112" s="476">
        <v>0.03814</v>
      </c>
      <c r="F4112" s="6">
        <v>186.8441</v>
      </c>
      <c r="G4112" s="6">
        <v>0.07904</v>
      </c>
    </row>
    <row r="4113" ht="30" customHeight="1" spans="1:7">
      <c r="A4113" s="4" t="s">
        <v>9341</v>
      </c>
      <c r="B4113" s="5" t="s">
        <v>9342</v>
      </c>
      <c r="C4113" s="4" t="s">
        <v>724</v>
      </c>
      <c r="D4113" s="475">
        <v>2045925.37</v>
      </c>
      <c r="E4113" s="476">
        <v>0.03814</v>
      </c>
      <c r="F4113" s="6">
        <v>164.0746</v>
      </c>
      <c r="G4113" s="6">
        <v>0.07904</v>
      </c>
    </row>
    <row r="4114" ht="30" customHeight="1" spans="1:7">
      <c r="A4114" s="4" t="s">
        <v>9343</v>
      </c>
      <c r="B4114" s="5" t="s">
        <v>9344</v>
      </c>
      <c r="C4114" s="4" t="s">
        <v>724</v>
      </c>
      <c r="D4114" s="475">
        <v>3200196.93</v>
      </c>
      <c r="E4114" s="476">
        <v>0.03814</v>
      </c>
      <c r="F4114" s="6">
        <v>283.2249</v>
      </c>
      <c r="G4114" s="6">
        <v>0.05532</v>
      </c>
    </row>
    <row r="4115" ht="30" customHeight="1" spans="1:7">
      <c r="A4115" s="4" t="s">
        <v>9345</v>
      </c>
      <c r="B4115" s="5" t="s">
        <v>9346</v>
      </c>
      <c r="C4115" s="4" t="s">
        <v>724</v>
      </c>
      <c r="D4115" s="475">
        <v>3251326.75</v>
      </c>
      <c r="E4115" s="476">
        <v>0.03814</v>
      </c>
      <c r="F4115" s="6">
        <v>314.4998</v>
      </c>
      <c r="G4115" s="6">
        <v>0.05268</v>
      </c>
    </row>
    <row r="4116" ht="30" customHeight="1" spans="1:7">
      <c r="A4116" s="4" t="s">
        <v>9347</v>
      </c>
      <c r="B4116" s="5" t="s">
        <v>9348</v>
      </c>
      <c r="C4116" s="4" t="s">
        <v>724</v>
      </c>
      <c r="D4116" s="475">
        <v>1576606.47</v>
      </c>
      <c r="E4116" s="476">
        <v>0.03814</v>
      </c>
      <c r="F4116" s="6">
        <v>224.0755</v>
      </c>
      <c r="G4116" s="6">
        <v>0.13333</v>
      </c>
    </row>
    <row r="4117" ht="30" customHeight="1" spans="1:7">
      <c r="A4117" s="4" t="s">
        <v>9349</v>
      </c>
      <c r="B4117" s="5" t="s">
        <v>9350</v>
      </c>
      <c r="C4117" s="4" t="s">
        <v>724</v>
      </c>
      <c r="D4117" s="475">
        <v>1580608.11</v>
      </c>
      <c r="E4117" s="476">
        <v>0.03814</v>
      </c>
      <c r="F4117" s="6">
        <v>158.3784</v>
      </c>
      <c r="G4117" s="6">
        <v>0.2</v>
      </c>
    </row>
    <row r="4118" ht="30" customHeight="1" spans="1:7">
      <c r="A4118" s="4" t="s">
        <v>9351</v>
      </c>
      <c r="B4118" s="5" t="s">
        <v>9352</v>
      </c>
      <c r="C4118" s="4" t="s">
        <v>724</v>
      </c>
      <c r="D4118" s="475">
        <v>2362747.03</v>
      </c>
      <c r="E4118" s="476">
        <v>0.03814</v>
      </c>
      <c r="F4118" s="6">
        <v>257.8206</v>
      </c>
      <c r="G4118" s="6">
        <v>0.13333</v>
      </c>
    </row>
    <row r="4119" ht="30" customHeight="1" spans="1:7">
      <c r="A4119" s="4" t="s">
        <v>9353</v>
      </c>
      <c r="B4119" s="5" t="s">
        <v>9354</v>
      </c>
      <c r="C4119" s="4" t="s">
        <v>724</v>
      </c>
      <c r="D4119" s="475">
        <v>2369103.03</v>
      </c>
      <c r="E4119" s="476">
        <v>0.03814</v>
      </c>
      <c r="F4119" s="6">
        <v>171.8761</v>
      </c>
      <c r="G4119" s="6">
        <v>0.2</v>
      </c>
    </row>
    <row r="4120" ht="30" customHeight="1" spans="1:7">
      <c r="A4120" s="4" t="s">
        <v>9355</v>
      </c>
      <c r="B4120" s="5" t="s">
        <v>9356</v>
      </c>
      <c r="C4120" s="4" t="s">
        <v>724</v>
      </c>
      <c r="D4120" s="475">
        <v>2000949.46</v>
      </c>
      <c r="E4120" s="476">
        <v>0.03814</v>
      </c>
      <c r="F4120" s="6">
        <v>264.662</v>
      </c>
      <c r="G4120" s="6">
        <v>0.083</v>
      </c>
    </row>
    <row r="4121" ht="30" customHeight="1" spans="1:7">
      <c r="A4121" s="4" t="s">
        <v>9357</v>
      </c>
      <c r="B4121" s="5" t="s">
        <v>9358</v>
      </c>
      <c r="C4121" s="4" t="s">
        <v>724</v>
      </c>
      <c r="D4121" s="475">
        <v>2028197.9</v>
      </c>
      <c r="E4121" s="476">
        <v>0.03814</v>
      </c>
      <c r="F4121" s="6">
        <v>277.9218</v>
      </c>
      <c r="G4121" s="6">
        <v>0.07904</v>
      </c>
    </row>
    <row r="4122" ht="30" customHeight="1" spans="1:7">
      <c r="A4122" s="4" t="s">
        <v>9359</v>
      </c>
      <c r="B4122" s="5" t="s">
        <v>9360</v>
      </c>
      <c r="C4122" s="4" t="s">
        <v>724</v>
      </c>
      <c r="D4122" s="475">
        <v>3001427.24</v>
      </c>
      <c r="E4122" s="476">
        <v>0.03814</v>
      </c>
      <c r="F4122" s="6">
        <v>397.0886</v>
      </c>
      <c r="G4122" s="6">
        <v>0.05532</v>
      </c>
    </row>
    <row r="4123" ht="30" customHeight="1" spans="1:7">
      <c r="A4123" s="4" t="s">
        <v>9361</v>
      </c>
      <c r="B4123" s="5" t="s">
        <v>9362</v>
      </c>
      <c r="C4123" s="4" t="s">
        <v>724</v>
      </c>
      <c r="D4123" s="475">
        <v>3042300.22</v>
      </c>
      <c r="E4123" s="476">
        <v>0.03814</v>
      </c>
      <c r="F4123" s="6">
        <v>416.9883</v>
      </c>
      <c r="G4123" s="6">
        <v>0.05268</v>
      </c>
    </row>
    <row r="4124" ht="15.75" customHeight="1" spans="1:7">
      <c r="A4124" s="4" t="s">
        <v>9363</v>
      </c>
      <c r="B4124" s="5" t="s">
        <v>9364</v>
      </c>
      <c r="C4124" s="4" t="s">
        <v>82</v>
      </c>
      <c r="D4124" s="475">
        <v>77309.99</v>
      </c>
      <c r="E4124" s="476">
        <v>0</v>
      </c>
      <c r="F4124" s="6">
        <v>0</v>
      </c>
      <c r="G4124" s="6">
        <v>1</v>
      </c>
    </row>
    <row r="4125" ht="30" customHeight="1" spans="1:7">
      <c r="A4125" s="4" t="s">
        <v>9365</v>
      </c>
      <c r="B4125" s="5" t="s">
        <v>9366</v>
      </c>
      <c r="C4125" s="4" t="s">
        <v>724</v>
      </c>
      <c r="D4125" s="475">
        <v>1431679.42</v>
      </c>
      <c r="E4125" s="476">
        <v>0.03814</v>
      </c>
      <c r="F4125" s="6">
        <v>91.0087</v>
      </c>
      <c r="G4125" s="6">
        <v>0.19775</v>
      </c>
    </row>
    <row r="4126" ht="30" customHeight="1" spans="1:7">
      <c r="A4126" s="4" t="s">
        <v>9367</v>
      </c>
      <c r="B4126" s="5" t="s">
        <v>9368</v>
      </c>
      <c r="C4126" s="4" t="s">
        <v>724</v>
      </c>
      <c r="D4126" s="475">
        <v>1437606.97</v>
      </c>
      <c r="E4126" s="476">
        <v>0.03814</v>
      </c>
      <c r="F4126" s="6">
        <v>95.2926</v>
      </c>
      <c r="G4126" s="6">
        <v>0.18886</v>
      </c>
    </row>
    <row r="4127" ht="30" customHeight="1" spans="1:7">
      <c r="A4127" s="4" t="s">
        <v>9369</v>
      </c>
      <c r="B4127" s="5" t="s">
        <v>9370</v>
      </c>
      <c r="C4127" s="4" t="s">
        <v>724</v>
      </c>
      <c r="D4127" s="475">
        <v>2147400</v>
      </c>
      <c r="E4127" s="476">
        <v>0.03814</v>
      </c>
      <c r="F4127" s="6">
        <v>136.5165</v>
      </c>
      <c r="G4127" s="6">
        <v>0.13183</v>
      </c>
    </row>
    <row r="4128" ht="30" customHeight="1" spans="1:7">
      <c r="A4128" s="4" t="s">
        <v>9371</v>
      </c>
      <c r="B4128" s="5" t="s">
        <v>9372</v>
      </c>
      <c r="C4128" s="4" t="s">
        <v>724</v>
      </c>
      <c r="D4128" s="475">
        <v>2156291.12</v>
      </c>
      <c r="E4128" s="476">
        <v>0.03814</v>
      </c>
      <c r="F4128" s="6">
        <v>142.9352</v>
      </c>
      <c r="G4128" s="6">
        <v>0.12591</v>
      </c>
    </row>
    <row r="4129" ht="30" customHeight="1" spans="1:7">
      <c r="A4129" s="4" t="s">
        <v>9373</v>
      </c>
      <c r="B4129" s="5" t="s">
        <v>9374</v>
      </c>
      <c r="C4129" s="4" t="s">
        <v>724</v>
      </c>
      <c r="D4129" s="475">
        <v>1967081.41</v>
      </c>
      <c r="E4129" s="476">
        <v>0.03814</v>
      </c>
      <c r="F4129" s="6">
        <v>167.088</v>
      </c>
      <c r="G4129" s="6">
        <v>0.083</v>
      </c>
    </row>
    <row r="4130" ht="30" customHeight="1" spans="1:7">
      <c r="A4130" s="4" t="s">
        <v>9375</v>
      </c>
      <c r="B4130" s="5" t="s">
        <v>9376</v>
      </c>
      <c r="C4130" s="4" t="s">
        <v>724</v>
      </c>
      <c r="D4130" s="475">
        <v>1856461.51</v>
      </c>
      <c r="E4130" s="476">
        <v>0.03814</v>
      </c>
      <c r="F4130" s="6">
        <v>145.4049</v>
      </c>
      <c r="G4130" s="6">
        <v>0.083</v>
      </c>
    </row>
    <row r="4131" ht="30" customHeight="1" spans="1:7">
      <c r="A4131" s="4" t="s">
        <v>9377</v>
      </c>
      <c r="B4131" s="5" t="s">
        <v>9378</v>
      </c>
      <c r="C4131" s="4" t="s">
        <v>724</v>
      </c>
      <c r="D4131" s="475">
        <v>1999985.06</v>
      </c>
      <c r="E4131" s="476">
        <v>0.03814</v>
      </c>
      <c r="F4131" s="6">
        <v>186.8441</v>
      </c>
      <c r="G4131" s="6">
        <v>0.07904</v>
      </c>
    </row>
    <row r="4132" ht="30" customHeight="1" spans="1:7">
      <c r="A4132" s="4" t="s">
        <v>9379</v>
      </c>
      <c r="B4132" s="5" t="s">
        <v>9380</v>
      </c>
      <c r="C4132" s="4" t="s">
        <v>724</v>
      </c>
      <c r="D4132" s="475">
        <v>1883857.21</v>
      </c>
      <c r="E4132" s="476">
        <v>0.03814</v>
      </c>
      <c r="F4132" s="6">
        <v>164.0746</v>
      </c>
      <c r="G4132" s="6">
        <v>0.07904</v>
      </c>
    </row>
    <row r="4133" ht="30" customHeight="1" spans="1:7">
      <c r="A4133" s="4" t="s">
        <v>9381</v>
      </c>
      <c r="B4133" s="5" t="s">
        <v>9382</v>
      </c>
      <c r="C4133" s="4" t="s">
        <v>724</v>
      </c>
      <c r="D4133" s="475">
        <v>2951390.49</v>
      </c>
      <c r="E4133" s="476">
        <v>0.03814</v>
      </c>
      <c r="F4133" s="6">
        <v>283.2249</v>
      </c>
      <c r="G4133" s="6">
        <v>0.05532</v>
      </c>
    </row>
    <row r="4134" ht="30" customHeight="1" spans="1:7">
      <c r="A4134" s="4" t="s">
        <v>9383</v>
      </c>
      <c r="B4134" s="5" t="s">
        <v>9384</v>
      </c>
      <c r="C4134" s="4" t="s">
        <v>724</v>
      </c>
      <c r="D4134" s="475">
        <v>3000790.68</v>
      </c>
      <c r="E4134" s="476">
        <v>0.03814</v>
      </c>
      <c r="F4134" s="6">
        <v>314.4998</v>
      </c>
      <c r="G4134" s="6">
        <v>0.05268</v>
      </c>
    </row>
    <row r="4135" ht="15.75" customHeight="1" spans="1:7">
      <c r="A4135" s="4" t="s">
        <v>9385</v>
      </c>
      <c r="B4135" s="5" t="s">
        <v>9386</v>
      </c>
      <c r="C4135" s="4" t="s">
        <v>82</v>
      </c>
      <c r="D4135" s="475">
        <v>154894.15</v>
      </c>
      <c r="E4135" s="476">
        <v>0</v>
      </c>
      <c r="F4135" s="6">
        <v>0</v>
      </c>
      <c r="G4135" s="6">
        <v>1</v>
      </c>
    </row>
    <row r="4136" ht="30" customHeight="1" spans="1:7">
      <c r="A4136" s="4" t="s">
        <v>9387</v>
      </c>
      <c r="B4136" s="5" t="s">
        <v>9388</v>
      </c>
      <c r="C4136" s="4" t="s">
        <v>724</v>
      </c>
      <c r="D4136" s="475">
        <v>1424293.63</v>
      </c>
      <c r="E4136" s="476">
        <v>0.03814</v>
      </c>
      <c r="F4136" s="6">
        <v>88.5329</v>
      </c>
      <c r="G4136" s="6">
        <v>0.20328</v>
      </c>
    </row>
    <row r="4137" ht="30" customHeight="1" spans="1:7">
      <c r="A4137" s="4" t="s">
        <v>9389</v>
      </c>
      <c r="B4137" s="5" t="s">
        <v>9390</v>
      </c>
      <c r="C4137" s="4" t="s">
        <v>724</v>
      </c>
      <c r="D4137" s="475">
        <v>1430221.28</v>
      </c>
      <c r="E4137" s="476">
        <v>0.03814</v>
      </c>
      <c r="F4137" s="6">
        <v>92.8205</v>
      </c>
      <c r="G4137" s="6">
        <v>0.19389</v>
      </c>
    </row>
    <row r="4138" ht="30" customHeight="1" spans="1:7">
      <c r="A4138" s="4" t="s">
        <v>9391</v>
      </c>
      <c r="B4138" s="5" t="s">
        <v>9392</v>
      </c>
      <c r="C4138" s="4" t="s">
        <v>724</v>
      </c>
      <c r="D4138" s="475">
        <v>2136322.39</v>
      </c>
      <c r="E4138" s="476">
        <v>0.03814</v>
      </c>
      <c r="F4138" s="6">
        <v>132.7994</v>
      </c>
      <c r="G4138" s="6">
        <v>0.13552</v>
      </c>
    </row>
    <row r="4139" ht="30" customHeight="1" spans="1:7">
      <c r="A4139" s="4" t="s">
        <v>9393</v>
      </c>
      <c r="B4139" s="5" t="s">
        <v>9394</v>
      </c>
      <c r="C4139" s="4" t="s">
        <v>724</v>
      </c>
      <c r="D4139" s="475">
        <v>2145213.86</v>
      </c>
      <c r="E4139" s="476">
        <v>0.03814</v>
      </c>
      <c r="F4139" s="6">
        <v>139.2308</v>
      </c>
      <c r="G4139" s="6">
        <v>0.12926</v>
      </c>
    </row>
    <row r="4140" ht="30" customHeight="1" spans="1:7">
      <c r="A4140" s="4" t="s">
        <v>9395</v>
      </c>
      <c r="B4140" s="5" t="s">
        <v>9396</v>
      </c>
      <c r="C4140" s="4" t="s">
        <v>724</v>
      </c>
      <c r="D4140" s="475">
        <v>1959763.01</v>
      </c>
      <c r="E4140" s="476">
        <v>0.03814</v>
      </c>
      <c r="F4140" s="6">
        <v>167.088</v>
      </c>
      <c r="G4140" s="6">
        <v>0.083</v>
      </c>
    </row>
    <row r="4141" ht="30" customHeight="1" spans="1:7">
      <c r="A4141" s="4" t="s">
        <v>9397</v>
      </c>
      <c r="B4141" s="5" t="s">
        <v>9398</v>
      </c>
      <c r="C4141" s="4" t="s">
        <v>724</v>
      </c>
      <c r="D4141" s="475">
        <v>1849143.11</v>
      </c>
      <c r="E4141" s="476">
        <v>0.03814</v>
      </c>
      <c r="F4141" s="6">
        <v>145.4049</v>
      </c>
      <c r="G4141" s="6">
        <v>0.083</v>
      </c>
    </row>
    <row r="4142" ht="30" customHeight="1" spans="1:7">
      <c r="A4142" s="4" t="s">
        <v>9399</v>
      </c>
      <c r="B4142" s="5" t="s">
        <v>9400</v>
      </c>
      <c r="C4142" s="4" t="s">
        <v>724</v>
      </c>
      <c r="D4142" s="475">
        <v>1992666.66</v>
      </c>
      <c r="E4142" s="476">
        <v>0.03814</v>
      </c>
      <c r="F4142" s="6">
        <v>186.8441</v>
      </c>
      <c r="G4142" s="6">
        <v>0.07904</v>
      </c>
    </row>
    <row r="4143" ht="30" customHeight="1" spans="1:7">
      <c r="A4143" s="4" t="s">
        <v>9401</v>
      </c>
      <c r="B4143" s="5" t="s">
        <v>9402</v>
      </c>
      <c r="C4143" s="4" t="s">
        <v>724</v>
      </c>
      <c r="D4143" s="475">
        <v>1876538.81</v>
      </c>
      <c r="E4143" s="476">
        <v>0.03814</v>
      </c>
      <c r="F4143" s="6">
        <v>164.0746</v>
      </c>
      <c r="G4143" s="6">
        <v>0.07904</v>
      </c>
    </row>
    <row r="4144" ht="30" customHeight="1" spans="1:7">
      <c r="A4144" s="4" t="s">
        <v>9403</v>
      </c>
      <c r="B4144" s="5" t="s">
        <v>9404</v>
      </c>
      <c r="C4144" s="4" t="s">
        <v>724</v>
      </c>
      <c r="D4144" s="475">
        <v>2940414.06</v>
      </c>
      <c r="E4144" s="476">
        <v>0.03814</v>
      </c>
      <c r="F4144" s="6">
        <v>283.2249</v>
      </c>
      <c r="G4144" s="6">
        <v>0.05532</v>
      </c>
    </row>
    <row r="4145" ht="30" customHeight="1" spans="1:7">
      <c r="A4145" s="4" t="s">
        <v>9405</v>
      </c>
      <c r="B4145" s="5" t="s">
        <v>9406</v>
      </c>
      <c r="C4145" s="4" t="s">
        <v>724</v>
      </c>
      <c r="D4145" s="475">
        <v>2989814.24</v>
      </c>
      <c r="E4145" s="476">
        <v>0.03814</v>
      </c>
      <c r="F4145" s="6">
        <v>314.4998</v>
      </c>
      <c r="G4145" s="6">
        <v>0.05268</v>
      </c>
    </row>
    <row r="4146" ht="15.75" customHeight="1" spans="1:7">
      <c r="A4146" s="4" t="s">
        <v>9407</v>
      </c>
      <c r="B4146" s="5" t="s">
        <v>9408</v>
      </c>
      <c r="C4146" s="4" t="s">
        <v>7</v>
      </c>
      <c r="D4146" s="475">
        <v>312.17</v>
      </c>
      <c r="E4146" s="476">
        <v>0</v>
      </c>
      <c r="F4146" s="6">
        <v>0</v>
      </c>
      <c r="G4146" s="6">
        <v>14.38</v>
      </c>
    </row>
    <row r="4147" ht="15.75" customHeight="1" spans="1:7">
      <c r="A4147" s="4" t="s">
        <v>9409</v>
      </c>
      <c r="B4147" s="5" t="s">
        <v>9410</v>
      </c>
      <c r="C4147" s="4" t="s">
        <v>7</v>
      </c>
      <c r="D4147" s="475">
        <v>511.9</v>
      </c>
      <c r="E4147" s="476">
        <v>0</v>
      </c>
      <c r="F4147" s="6">
        <v>0</v>
      </c>
      <c r="G4147" s="6">
        <v>11.91</v>
      </c>
    </row>
    <row r="4148" ht="15.75" customHeight="1" spans="1:7">
      <c r="A4148" s="4" t="s">
        <v>9411</v>
      </c>
      <c r="B4148" s="5" t="s">
        <v>9412</v>
      </c>
      <c r="C4148" s="4" t="s">
        <v>7</v>
      </c>
      <c r="D4148" s="475">
        <v>29.88</v>
      </c>
      <c r="E4148" s="476">
        <v>0</v>
      </c>
      <c r="F4148" s="6">
        <v>0</v>
      </c>
      <c r="G4148" s="6">
        <v>3.246</v>
      </c>
    </row>
    <row r="4149" ht="30" customHeight="1" spans="1:7">
      <c r="A4149" s="4" t="s">
        <v>9413</v>
      </c>
      <c r="B4149" s="5" t="s">
        <v>9414</v>
      </c>
      <c r="C4149" s="4" t="s">
        <v>7</v>
      </c>
      <c r="D4149" s="475">
        <v>19.18</v>
      </c>
      <c r="E4149" s="476">
        <v>0</v>
      </c>
      <c r="F4149" s="6">
        <v>0</v>
      </c>
      <c r="G4149" s="6">
        <v>1</v>
      </c>
    </row>
    <row r="4150" ht="15.75" customHeight="1" spans="1:7">
      <c r="A4150" s="4" t="s">
        <v>9415</v>
      </c>
      <c r="B4150" s="5" t="s">
        <v>9416</v>
      </c>
      <c r="C4150" s="4" t="s">
        <v>7</v>
      </c>
      <c r="D4150" s="475">
        <v>13.76</v>
      </c>
      <c r="E4150" s="476">
        <v>0</v>
      </c>
      <c r="F4150" s="6">
        <v>0</v>
      </c>
      <c r="G4150" s="6">
        <v>16.74</v>
      </c>
    </row>
    <row r="4151" ht="30" customHeight="1" spans="1:7">
      <c r="A4151" s="4" t="s">
        <v>9417</v>
      </c>
      <c r="B4151" s="5" t="s">
        <v>9418</v>
      </c>
      <c r="C4151" s="4" t="s">
        <v>7</v>
      </c>
      <c r="D4151" s="475">
        <v>10.54</v>
      </c>
      <c r="E4151" s="476">
        <v>0</v>
      </c>
      <c r="F4151" s="6">
        <v>0</v>
      </c>
      <c r="G4151" s="6">
        <v>1</v>
      </c>
    </row>
    <row r="4152" ht="15.75" customHeight="1" spans="1:7">
      <c r="A4152" s="4" t="s">
        <v>9419</v>
      </c>
      <c r="B4152" s="5" t="s">
        <v>9420</v>
      </c>
      <c r="C4152" s="4" t="s">
        <v>7</v>
      </c>
      <c r="D4152" s="475">
        <v>27.74</v>
      </c>
      <c r="E4152" s="476">
        <v>0</v>
      </c>
      <c r="F4152" s="6">
        <v>0</v>
      </c>
      <c r="G4152" s="6">
        <v>10.62</v>
      </c>
    </row>
    <row r="4153" ht="30" customHeight="1" spans="1:7">
      <c r="A4153" s="4" t="s">
        <v>9421</v>
      </c>
      <c r="B4153" s="5" t="s">
        <v>9422</v>
      </c>
      <c r="C4153" s="4" t="s">
        <v>7</v>
      </c>
      <c r="D4153" s="475">
        <v>15.51</v>
      </c>
      <c r="E4153" s="476">
        <v>0</v>
      </c>
      <c r="F4153" s="6">
        <v>0</v>
      </c>
      <c r="G4153" s="6">
        <v>1</v>
      </c>
    </row>
    <row r="4154" ht="30" customHeight="1" spans="1:7">
      <c r="A4154" s="4" t="s">
        <v>9423</v>
      </c>
      <c r="B4154" s="5" t="s">
        <v>9424</v>
      </c>
      <c r="C4154" s="4" t="s">
        <v>7</v>
      </c>
      <c r="D4154" s="475">
        <v>18.35</v>
      </c>
      <c r="E4154" s="476">
        <v>0</v>
      </c>
      <c r="F4154" s="6">
        <v>0</v>
      </c>
      <c r="G4154" s="6">
        <v>1</v>
      </c>
    </row>
    <row r="4155" ht="15.75" customHeight="1" spans="1:7">
      <c r="A4155" s="4" t="s">
        <v>9425</v>
      </c>
      <c r="B4155" s="5" t="s">
        <v>9426</v>
      </c>
      <c r="C4155" s="4" t="s">
        <v>7</v>
      </c>
      <c r="D4155" s="475">
        <v>12.04</v>
      </c>
      <c r="E4155" s="476">
        <v>0</v>
      </c>
      <c r="F4155" s="6">
        <v>0</v>
      </c>
      <c r="G4155" s="6">
        <v>1</v>
      </c>
    </row>
    <row r="4156" ht="15.75" customHeight="1" spans="1:7">
      <c r="A4156" s="4" t="s">
        <v>9427</v>
      </c>
      <c r="B4156" s="5" t="s">
        <v>9428</v>
      </c>
      <c r="C4156" s="4" t="s">
        <v>7</v>
      </c>
      <c r="D4156" s="475">
        <v>15.75</v>
      </c>
      <c r="E4156" s="476">
        <v>0</v>
      </c>
      <c r="F4156" s="6">
        <v>0</v>
      </c>
      <c r="G4156" s="6">
        <v>1</v>
      </c>
    </row>
    <row r="4157" ht="15.75" customHeight="1" spans="1:7">
      <c r="A4157" s="4" t="s">
        <v>9429</v>
      </c>
      <c r="B4157" s="5" t="s">
        <v>9430</v>
      </c>
      <c r="C4157" s="4" t="s">
        <v>7</v>
      </c>
      <c r="D4157" s="475">
        <v>11.44</v>
      </c>
      <c r="E4157" s="476">
        <v>0</v>
      </c>
      <c r="F4157" s="6">
        <v>0</v>
      </c>
      <c r="G4157" s="6">
        <v>1</v>
      </c>
    </row>
    <row r="4158" ht="15.75" customHeight="1" spans="1:7">
      <c r="A4158" s="4" t="s">
        <v>9431</v>
      </c>
      <c r="B4158" s="5" t="s">
        <v>9432</v>
      </c>
      <c r="C4158" s="4" t="s">
        <v>7</v>
      </c>
      <c r="D4158" s="475">
        <v>39.77</v>
      </c>
      <c r="E4158" s="476">
        <v>0</v>
      </c>
      <c r="F4158" s="6">
        <v>0</v>
      </c>
      <c r="G4158" s="6">
        <v>1</v>
      </c>
    </row>
    <row r="4159" ht="15.75" customHeight="1" spans="1:7">
      <c r="A4159" s="4" t="s">
        <v>9433</v>
      </c>
      <c r="B4159" s="5" t="s">
        <v>9434</v>
      </c>
      <c r="C4159" s="4" t="s">
        <v>7</v>
      </c>
      <c r="D4159" s="475">
        <v>10.75</v>
      </c>
      <c r="E4159" s="476">
        <v>0</v>
      </c>
      <c r="F4159" s="6">
        <v>0</v>
      </c>
      <c r="G4159" s="6">
        <v>1</v>
      </c>
    </row>
    <row r="4160" ht="15.75" customHeight="1" spans="1:7">
      <c r="A4160" s="4" t="s">
        <v>9435</v>
      </c>
      <c r="B4160" s="5" t="s">
        <v>9436</v>
      </c>
      <c r="C4160" s="4" t="s">
        <v>7</v>
      </c>
      <c r="D4160" s="475">
        <v>122.45</v>
      </c>
      <c r="E4160" s="476">
        <v>0</v>
      </c>
      <c r="F4160" s="6">
        <v>0</v>
      </c>
      <c r="G4160" s="6">
        <v>1</v>
      </c>
    </row>
    <row r="4161" ht="15.75" customHeight="1" spans="1:7">
      <c r="A4161" s="4" t="s">
        <v>9437</v>
      </c>
      <c r="B4161" s="5" t="s">
        <v>9438</v>
      </c>
      <c r="C4161" s="4" t="s">
        <v>7</v>
      </c>
      <c r="D4161" s="475">
        <v>117.26</v>
      </c>
      <c r="E4161" s="476">
        <v>0</v>
      </c>
      <c r="F4161" s="6">
        <v>0</v>
      </c>
      <c r="G4161" s="6">
        <v>1</v>
      </c>
    </row>
    <row r="4162" ht="15.75" customHeight="1" spans="1:7">
      <c r="A4162" s="4" t="s">
        <v>9439</v>
      </c>
      <c r="B4162" s="5" t="s">
        <v>9440</v>
      </c>
      <c r="C4162" s="4" t="s">
        <v>7</v>
      </c>
      <c r="D4162" s="475">
        <v>134.54</v>
      </c>
      <c r="E4162" s="476">
        <v>0</v>
      </c>
      <c r="F4162" s="6">
        <v>0</v>
      </c>
      <c r="G4162" s="6">
        <v>1</v>
      </c>
    </row>
    <row r="4163" ht="15.75" customHeight="1" spans="1:7">
      <c r="A4163" s="4" t="s">
        <v>9441</v>
      </c>
      <c r="B4163" s="5" t="s">
        <v>9442</v>
      </c>
      <c r="C4163" s="4" t="s">
        <v>7</v>
      </c>
      <c r="D4163" s="475">
        <v>91.28</v>
      </c>
      <c r="E4163" s="476">
        <v>0</v>
      </c>
      <c r="F4163" s="6">
        <v>0</v>
      </c>
      <c r="G4163" s="6">
        <v>1</v>
      </c>
    </row>
    <row r="4164" ht="15.75" customHeight="1" spans="1:7">
      <c r="A4164" s="4" t="s">
        <v>9443</v>
      </c>
      <c r="B4164" s="5" t="s">
        <v>9444</v>
      </c>
      <c r="C4164" s="4" t="s">
        <v>7</v>
      </c>
      <c r="D4164" s="475">
        <v>78.5</v>
      </c>
      <c r="E4164" s="476">
        <v>0</v>
      </c>
      <c r="F4164" s="6">
        <v>0</v>
      </c>
      <c r="G4164" s="6">
        <v>1</v>
      </c>
    </row>
    <row r="4165" ht="15.75" customHeight="1" spans="1:7">
      <c r="A4165" s="4" t="s">
        <v>9445</v>
      </c>
      <c r="B4165" s="5" t="s">
        <v>9446</v>
      </c>
      <c r="C4165" s="4" t="s">
        <v>7</v>
      </c>
      <c r="D4165" s="475">
        <v>143.2</v>
      </c>
      <c r="E4165" s="476">
        <v>0</v>
      </c>
      <c r="F4165" s="6">
        <v>0</v>
      </c>
      <c r="G4165" s="6">
        <v>1</v>
      </c>
    </row>
    <row r="4166" ht="15.75" customHeight="1" spans="1:7">
      <c r="A4166" s="4" t="s">
        <v>9447</v>
      </c>
      <c r="B4166" s="5" t="s">
        <v>9448</v>
      </c>
      <c r="C4166" s="4" t="s">
        <v>7</v>
      </c>
      <c r="D4166" s="475">
        <v>95.83</v>
      </c>
      <c r="E4166" s="476">
        <v>0</v>
      </c>
      <c r="F4166" s="6">
        <v>0</v>
      </c>
      <c r="G4166" s="6">
        <v>1</v>
      </c>
    </row>
    <row r="4167" ht="15.75" customHeight="1" spans="1:7">
      <c r="A4167" s="4" t="s">
        <v>9449</v>
      </c>
      <c r="B4167" s="5" t="s">
        <v>9450</v>
      </c>
      <c r="C4167" s="4" t="s">
        <v>7</v>
      </c>
      <c r="D4167" s="475">
        <v>81.68</v>
      </c>
      <c r="E4167" s="476">
        <v>0</v>
      </c>
      <c r="F4167" s="6">
        <v>0</v>
      </c>
      <c r="G4167" s="6">
        <v>1</v>
      </c>
    </row>
    <row r="4168" ht="15.75" customHeight="1" spans="1:7">
      <c r="A4168" s="4" t="s">
        <v>9451</v>
      </c>
      <c r="B4168" s="5" t="s">
        <v>9452</v>
      </c>
      <c r="C4168" s="4" t="s">
        <v>7</v>
      </c>
      <c r="D4168" s="475">
        <v>150.85</v>
      </c>
      <c r="E4168" s="476">
        <v>0</v>
      </c>
      <c r="F4168" s="6">
        <v>0</v>
      </c>
      <c r="G4168" s="6">
        <v>1</v>
      </c>
    </row>
    <row r="4169" ht="15.75" customHeight="1" spans="1:7">
      <c r="A4169" s="4" t="s">
        <v>9453</v>
      </c>
      <c r="B4169" s="5" t="s">
        <v>9454</v>
      </c>
      <c r="C4169" s="4" t="s">
        <v>7</v>
      </c>
      <c r="D4169" s="475">
        <v>99.85</v>
      </c>
      <c r="E4169" s="476">
        <v>0</v>
      </c>
      <c r="F4169" s="6">
        <v>0</v>
      </c>
      <c r="G4169" s="6">
        <v>1</v>
      </c>
    </row>
    <row r="4170" ht="15.75" customHeight="1" spans="1:7">
      <c r="A4170" s="4" t="s">
        <v>9455</v>
      </c>
      <c r="B4170" s="5" t="s">
        <v>9456</v>
      </c>
      <c r="C4170" s="4" t="s">
        <v>7</v>
      </c>
      <c r="D4170" s="475">
        <v>84.49</v>
      </c>
      <c r="E4170" s="476">
        <v>0</v>
      </c>
      <c r="F4170" s="6">
        <v>0</v>
      </c>
      <c r="G4170" s="6">
        <v>1</v>
      </c>
    </row>
    <row r="4171" ht="15.75" customHeight="1" spans="1:7">
      <c r="A4171" s="4" t="s">
        <v>9457</v>
      </c>
      <c r="B4171" s="5" t="s">
        <v>9458</v>
      </c>
      <c r="C4171" s="4" t="s">
        <v>7</v>
      </c>
      <c r="D4171" s="475">
        <v>125.4</v>
      </c>
      <c r="E4171" s="476">
        <v>0</v>
      </c>
      <c r="F4171" s="6">
        <v>0</v>
      </c>
      <c r="G4171" s="6">
        <v>1</v>
      </c>
    </row>
    <row r="4172" ht="15.75" customHeight="1" spans="1:7">
      <c r="A4172" s="4" t="s">
        <v>9459</v>
      </c>
      <c r="B4172" s="5" t="s">
        <v>9460</v>
      </c>
      <c r="C4172" s="4" t="s">
        <v>7</v>
      </c>
      <c r="D4172" s="475">
        <v>86.53</v>
      </c>
      <c r="E4172" s="476">
        <v>0</v>
      </c>
      <c r="F4172" s="6">
        <v>0</v>
      </c>
      <c r="G4172" s="6">
        <v>1</v>
      </c>
    </row>
    <row r="4173" ht="15.75" customHeight="1" spans="1:7">
      <c r="A4173" s="4" t="s">
        <v>9461</v>
      </c>
      <c r="B4173" s="5" t="s">
        <v>9462</v>
      </c>
      <c r="C4173" s="4" t="s">
        <v>7</v>
      </c>
      <c r="D4173" s="475">
        <v>75.2</v>
      </c>
      <c r="E4173" s="476">
        <v>0</v>
      </c>
      <c r="F4173" s="6">
        <v>0</v>
      </c>
      <c r="G4173" s="6">
        <v>1</v>
      </c>
    </row>
    <row r="4174" ht="15.75" customHeight="1" spans="1:7">
      <c r="A4174" s="4" t="s">
        <v>9463</v>
      </c>
      <c r="B4174" s="5" t="s">
        <v>9464</v>
      </c>
      <c r="C4174" s="4" t="s">
        <v>7</v>
      </c>
      <c r="D4174" s="475">
        <v>127.62</v>
      </c>
      <c r="E4174" s="476">
        <v>0</v>
      </c>
      <c r="F4174" s="6">
        <v>0</v>
      </c>
      <c r="G4174" s="6">
        <v>1</v>
      </c>
    </row>
    <row r="4175" ht="15.75" customHeight="1" spans="1:7">
      <c r="A4175" s="4" t="s">
        <v>9465</v>
      </c>
      <c r="B4175" s="5" t="s">
        <v>9466</v>
      </c>
      <c r="C4175" s="4" t="s">
        <v>7</v>
      </c>
      <c r="D4175" s="475">
        <v>87.7</v>
      </c>
      <c r="E4175" s="476">
        <v>0</v>
      </c>
      <c r="F4175" s="6">
        <v>0</v>
      </c>
      <c r="G4175" s="6">
        <v>1</v>
      </c>
    </row>
    <row r="4176" ht="15.75" customHeight="1" spans="1:7">
      <c r="A4176" s="4" t="s">
        <v>9467</v>
      </c>
      <c r="B4176" s="5" t="s">
        <v>9468</v>
      </c>
      <c r="C4176" s="4" t="s">
        <v>7</v>
      </c>
      <c r="D4176" s="475">
        <v>76.02</v>
      </c>
      <c r="E4176" s="476">
        <v>0</v>
      </c>
      <c r="F4176" s="6">
        <v>0</v>
      </c>
      <c r="G4176" s="6">
        <v>1</v>
      </c>
    </row>
    <row r="4177" ht="15.75" customHeight="1" spans="1:7">
      <c r="A4177" s="4" t="s">
        <v>9469</v>
      </c>
      <c r="B4177" s="5" t="s">
        <v>9470</v>
      </c>
      <c r="C4177" s="4" t="s">
        <v>7</v>
      </c>
      <c r="D4177" s="475">
        <v>129.77</v>
      </c>
      <c r="E4177" s="476">
        <v>0</v>
      </c>
      <c r="F4177" s="6">
        <v>0</v>
      </c>
      <c r="G4177" s="6">
        <v>1</v>
      </c>
    </row>
    <row r="4178" ht="15.75" customHeight="1" spans="1:7">
      <c r="A4178" s="4" t="s">
        <v>9471</v>
      </c>
      <c r="B4178" s="5" t="s">
        <v>9472</v>
      </c>
      <c r="C4178" s="4" t="s">
        <v>7</v>
      </c>
      <c r="D4178" s="475">
        <v>88.82</v>
      </c>
      <c r="E4178" s="476">
        <v>0</v>
      </c>
      <c r="F4178" s="6">
        <v>0</v>
      </c>
      <c r="G4178" s="6">
        <v>1</v>
      </c>
    </row>
    <row r="4179" ht="15.75" customHeight="1" spans="1:7">
      <c r="A4179" s="4" t="s">
        <v>9473</v>
      </c>
      <c r="B4179" s="5" t="s">
        <v>9474</v>
      </c>
      <c r="C4179" s="4" t="s">
        <v>7</v>
      </c>
      <c r="D4179" s="475">
        <v>76.81</v>
      </c>
      <c r="E4179" s="476">
        <v>0</v>
      </c>
      <c r="F4179" s="6">
        <v>0</v>
      </c>
      <c r="G4179" s="6">
        <v>1</v>
      </c>
    </row>
    <row r="4180" ht="15.75" customHeight="1" spans="1:7">
      <c r="A4180" s="4" t="s">
        <v>9475</v>
      </c>
      <c r="B4180" s="5" t="s">
        <v>9476</v>
      </c>
      <c r="C4180" s="4" t="s">
        <v>7</v>
      </c>
      <c r="D4180" s="475">
        <v>152.32</v>
      </c>
      <c r="E4180" s="476">
        <v>0</v>
      </c>
      <c r="F4180" s="6">
        <v>0</v>
      </c>
      <c r="G4180" s="6">
        <v>1</v>
      </c>
    </row>
    <row r="4181" ht="15.75" customHeight="1" spans="1:7">
      <c r="A4181" s="4" t="s">
        <v>9477</v>
      </c>
      <c r="B4181" s="5" t="s">
        <v>9478</v>
      </c>
      <c r="C4181" s="4" t="s">
        <v>7</v>
      </c>
      <c r="D4181" s="475">
        <v>108.5</v>
      </c>
      <c r="E4181" s="476">
        <v>0</v>
      </c>
      <c r="F4181" s="6">
        <v>0</v>
      </c>
      <c r="G4181" s="6">
        <v>1</v>
      </c>
    </row>
    <row r="4182" ht="15.75" customHeight="1" spans="1:7">
      <c r="A4182" s="4" t="s">
        <v>9479</v>
      </c>
      <c r="B4182" s="5" t="s">
        <v>9480</v>
      </c>
      <c r="C4182" s="4" t="s">
        <v>7</v>
      </c>
      <c r="D4182" s="475">
        <v>95.85</v>
      </c>
      <c r="E4182" s="476">
        <v>0</v>
      </c>
      <c r="F4182" s="6">
        <v>0</v>
      </c>
      <c r="G4182" s="6">
        <v>1</v>
      </c>
    </row>
    <row r="4183" ht="15.75" customHeight="1" spans="1:7">
      <c r="A4183" s="4" t="s">
        <v>9481</v>
      </c>
      <c r="B4183" s="5" t="s">
        <v>9482</v>
      </c>
      <c r="C4183" s="4" t="s">
        <v>7</v>
      </c>
      <c r="D4183" s="475">
        <v>74.94</v>
      </c>
      <c r="E4183" s="476">
        <v>0</v>
      </c>
      <c r="F4183" s="6">
        <v>0</v>
      </c>
      <c r="G4183" s="6">
        <v>1</v>
      </c>
    </row>
    <row r="4184" ht="15.75" customHeight="1" spans="1:7">
      <c r="A4184" s="4" t="s">
        <v>9483</v>
      </c>
      <c r="B4184" s="5" t="s">
        <v>9484</v>
      </c>
      <c r="C4184" s="4" t="s">
        <v>7</v>
      </c>
      <c r="D4184" s="475">
        <v>39.1</v>
      </c>
      <c r="E4184" s="476">
        <v>0</v>
      </c>
      <c r="F4184" s="6">
        <v>0</v>
      </c>
      <c r="G4184" s="6">
        <v>1</v>
      </c>
    </row>
    <row r="4185" ht="30" customHeight="1" spans="1:7">
      <c r="A4185" s="4" t="s">
        <v>9485</v>
      </c>
      <c r="B4185" s="5" t="s">
        <v>9486</v>
      </c>
      <c r="C4185" s="4" t="s">
        <v>7</v>
      </c>
      <c r="D4185" s="475">
        <v>113.81</v>
      </c>
      <c r="E4185" s="476">
        <v>0</v>
      </c>
      <c r="F4185" s="6">
        <v>0</v>
      </c>
      <c r="G4185" s="6">
        <v>1</v>
      </c>
    </row>
    <row r="4186" ht="15.75" customHeight="1" spans="1:7">
      <c r="A4186" s="4" t="s">
        <v>9487</v>
      </c>
      <c r="B4186" s="5" t="s">
        <v>9488</v>
      </c>
      <c r="C4186" s="4" t="s">
        <v>9</v>
      </c>
      <c r="D4186" s="475">
        <v>4.41</v>
      </c>
      <c r="E4186" s="476">
        <v>0</v>
      </c>
      <c r="F4186" s="6">
        <v>0</v>
      </c>
      <c r="G4186" s="6">
        <v>100</v>
      </c>
    </row>
    <row r="4187" ht="15.75" customHeight="1" spans="1:7">
      <c r="A4187" s="4" t="s">
        <v>9489</v>
      </c>
      <c r="B4187" s="5" t="s">
        <v>9490</v>
      </c>
      <c r="C4187" s="4" t="s">
        <v>9</v>
      </c>
      <c r="D4187" s="475">
        <v>3.25</v>
      </c>
      <c r="E4187" s="476">
        <v>0</v>
      </c>
      <c r="F4187" s="6">
        <v>0</v>
      </c>
      <c r="G4187" s="6">
        <v>100</v>
      </c>
    </row>
    <row r="4188" ht="15.75" customHeight="1" spans="1:7">
      <c r="A4188" s="4" t="s">
        <v>9491</v>
      </c>
      <c r="B4188" s="5" t="s">
        <v>9492</v>
      </c>
      <c r="C4188" s="4" t="s">
        <v>9</v>
      </c>
      <c r="D4188" s="475">
        <v>3.64</v>
      </c>
      <c r="E4188" s="476">
        <v>0</v>
      </c>
      <c r="F4188" s="6">
        <v>0</v>
      </c>
      <c r="G4188" s="6">
        <v>100</v>
      </c>
    </row>
    <row r="4189" ht="15.75" customHeight="1" spans="1:7">
      <c r="A4189" s="4" t="s">
        <v>9493</v>
      </c>
      <c r="B4189" s="5" t="s">
        <v>9494</v>
      </c>
      <c r="C4189" s="4" t="s">
        <v>99</v>
      </c>
      <c r="D4189" s="475">
        <v>890.71</v>
      </c>
      <c r="E4189" s="476">
        <v>0.13329</v>
      </c>
      <c r="F4189" s="6">
        <v>12.218</v>
      </c>
      <c r="G4189" s="6">
        <v>4.2</v>
      </c>
    </row>
    <row r="4190" ht="15.75" customHeight="1" spans="1:7">
      <c r="A4190" s="4" t="s">
        <v>9495</v>
      </c>
      <c r="B4190" s="5" t="s">
        <v>9496</v>
      </c>
      <c r="C4190" s="4" t="s">
        <v>99</v>
      </c>
      <c r="D4190" s="475">
        <v>807.15</v>
      </c>
      <c r="E4190" s="476">
        <v>0.13329</v>
      </c>
      <c r="F4190" s="6">
        <v>12.218</v>
      </c>
      <c r="G4190" s="6">
        <v>4.2</v>
      </c>
    </row>
    <row r="4191" ht="15.75" customHeight="1" spans="1:7">
      <c r="A4191" s="4" t="s">
        <v>9497</v>
      </c>
      <c r="B4191" s="5" t="s">
        <v>9498</v>
      </c>
      <c r="C4191" s="4" t="s">
        <v>99</v>
      </c>
      <c r="D4191" s="475">
        <v>750.82</v>
      </c>
      <c r="E4191" s="476">
        <v>0.13329</v>
      </c>
      <c r="F4191" s="6">
        <v>12.218</v>
      </c>
      <c r="G4191" s="6">
        <v>4.2</v>
      </c>
    </row>
    <row r="4192" ht="15.75" customHeight="1" spans="1:7">
      <c r="A4192" s="4" t="s">
        <v>9499</v>
      </c>
      <c r="B4192" s="5" t="s">
        <v>9500</v>
      </c>
      <c r="C4192" s="4" t="s">
        <v>99</v>
      </c>
      <c r="D4192" s="475">
        <v>667.25</v>
      </c>
      <c r="E4192" s="476">
        <v>0.13329</v>
      </c>
      <c r="F4192" s="6">
        <v>12.218</v>
      </c>
      <c r="G4192" s="6">
        <v>4.2</v>
      </c>
    </row>
    <row r="4193" ht="15.75" customHeight="1" spans="1:7">
      <c r="A4193" s="4" t="s">
        <v>9501</v>
      </c>
      <c r="B4193" s="5" t="s">
        <v>9502</v>
      </c>
      <c r="C4193" s="4" t="s">
        <v>99</v>
      </c>
      <c r="D4193" s="475">
        <v>691.55</v>
      </c>
      <c r="E4193" s="476">
        <v>0.13329</v>
      </c>
      <c r="F4193" s="6">
        <v>11.4035</v>
      </c>
      <c r="G4193" s="6">
        <v>4.5</v>
      </c>
    </row>
    <row r="4194" ht="15.75" customHeight="1" spans="1:7">
      <c r="A4194" s="4" t="s">
        <v>9503</v>
      </c>
      <c r="B4194" s="5" t="s">
        <v>9504</v>
      </c>
      <c r="C4194" s="4" t="s">
        <v>99</v>
      </c>
      <c r="D4194" s="475">
        <v>607.98</v>
      </c>
      <c r="E4194" s="476">
        <v>0.13329</v>
      </c>
      <c r="F4194" s="6">
        <v>11.4035</v>
      </c>
      <c r="G4194" s="6">
        <v>4.5</v>
      </c>
    </row>
    <row r="4195" ht="15.75" customHeight="1" spans="1:7">
      <c r="A4195" s="4" t="s">
        <v>9505</v>
      </c>
      <c r="B4195" s="5" t="s">
        <v>9506</v>
      </c>
      <c r="C4195" s="4" t="s">
        <v>99</v>
      </c>
      <c r="D4195" s="475">
        <v>627.35</v>
      </c>
      <c r="E4195" s="476">
        <v>0.13329</v>
      </c>
      <c r="F4195" s="6">
        <v>11.4035</v>
      </c>
      <c r="G4195" s="6">
        <v>4.5</v>
      </c>
    </row>
    <row r="4196" ht="15.75" customHeight="1" spans="1:7">
      <c r="A4196" s="4" t="s">
        <v>9507</v>
      </c>
      <c r="B4196" s="5" t="s">
        <v>9508</v>
      </c>
      <c r="C4196" s="4" t="s">
        <v>99</v>
      </c>
      <c r="D4196" s="475">
        <v>543.78</v>
      </c>
      <c r="E4196" s="476">
        <v>0.13329</v>
      </c>
      <c r="F4196" s="6">
        <v>11.4035</v>
      </c>
      <c r="G4196" s="6">
        <v>4.5</v>
      </c>
    </row>
    <row r="4197" ht="15.75" customHeight="1" spans="1:7">
      <c r="A4197" s="4" t="s">
        <v>9509</v>
      </c>
      <c r="B4197" s="5" t="s">
        <v>9510</v>
      </c>
      <c r="C4197" s="4" t="s">
        <v>7</v>
      </c>
      <c r="D4197" s="475">
        <v>215.66</v>
      </c>
      <c r="E4197" s="476">
        <v>0.13329</v>
      </c>
      <c r="F4197" s="6">
        <v>3.421</v>
      </c>
      <c r="G4197" s="6">
        <v>15</v>
      </c>
    </row>
    <row r="4198" ht="15.75" customHeight="1" spans="1:7">
      <c r="A4198" s="4" t="s">
        <v>9511</v>
      </c>
      <c r="B4198" s="5" t="s">
        <v>9512</v>
      </c>
      <c r="C4198" s="4" t="s">
        <v>7</v>
      </c>
      <c r="D4198" s="475">
        <v>201.45</v>
      </c>
      <c r="E4198" s="476">
        <v>0.13329</v>
      </c>
      <c r="F4198" s="6">
        <v>3.421</v>
      </c>
      <c r="G4198" s="6">
        <v>15</v>
      </c>
    </row>
    <row r="4199" ht="15.75" customHeight="1" spans="1:7">
      <c r="A4199" s="4" t="s">
        <v>9513</v>
      </c>
      <c r="B4199" s="5" t="s">
        <v>9514</v>
      </c>
      <c r="C4199" s="4" t="s">
        <v>7</v>
      </c>
      <c r="D4199" s="475">
        <v>241.12</v>
      </c>
      <c r="E4199" s="476">
        <v>0.13329</v>
      </c>
      <c r="F4199" s="6">
        <v>4.1053</v>
      </c>
      <c r="G4199" s="6">
        <v>12.5</v>
      </c>
    </row>
    <row r="4200" ht="15.75" customHeight="1" spans="1:7">
      <c r="A4200" s="4" t="s">
        <v>9515</v>
      </c>
      <c r="B4200" s="5" t="s">
        <v>9516</v>
      </c>
      <c r="C4200" s="4" t="s">
        <v>7</v>
      </c>
      <c r="D4200" s="475">
        <v>221.9</v>
      </c>
      <c r="E4200" s="476">
        <v>0.13329</v>
      </c>
      <c r="F4200" s="6">
        <v>4.1053</v>
      </c>
      <c r="G4200" s="6">
        <v>12.5</v>
      </c>
    </row>
    <row r="4201" ht="15.75" customHeight="1" spans="1:7">
      <c r="A4201" s="4" t="s">
        <v>9517</v>
      </c>
      <c r="B4201" s="5" t="s">
        <v>9518</v>
      </c>
      <c r="C4201" s="4" t="s">
        <v>7</v>
      </c>
      <c r="D4201" s="475">
        <v>281.79</v>
      </c>
      <c r="E4201" s="476">
        <v>0.13329</v>
      </c>
      <c r="F4201" s="6">
        <v>4.6651</v>
      </c>
      <c r="G4201" s="6">
        <v>11</v>
      </c>
    </row>
    <row r="4202" ht="15.75" customHeight="1" spans="1:7">
      <c r="A4202" s="4" t="s">
        <v>9519</v>
      </c>
      <c r="B4202" s="5" t="s">
        <v>9520</v>
      </c>
      <c r="C4202" s="4" t="s">
        <v>7</v>
      </c>
      <c r="D4202" s="475">
        <v>256.72</v>
      </c>
      <c r="E4202" s="476">
        <v>0.13329</v>
      </c>
      <c r="F4202" s="6">
        <v>4.6651</v>
      </c>
      <c r="G4202" s="6">
        <v>11</v>
      </c>
    </row>
    <row r="4203" ht="15.75" customHeight="1" spans="1:7">
      <c r="A4203" s="4" t="s">
        <v>9521</v>
      </c>
      <c r="B4203" s="5" t="s">
        <v>9522</v>
      </c>
      <c r="C4203" s="4" t="s">
        <v>99</v>
      </c>
      <c r="D4203" s="475">
        <v>696.51</v>
      </c>
      <c r="E4203" s="476">
        <v>0.13329</v>
      </c>
      <c r="F4203" s="6">
        <v>10.7986</v>
      </c>
      <c r="G4203" s="6">
        <v>6</v>
      </c>
    </row>
    <row r="4204" ht="15.75" customHeight="1" spans="1:7">
      <c r="A4204" s="4" t="s">
        <v>9523</v>
      </c>
      <c r="B4204" s="5" t="s">
        <v>9524</v>
      </c>
      <c r="C4204" s="4" t="s">
        <v>99</v>
      </c>
      <c r="D4204" s="475">
        <v>612.94</v>
      </c>
      <c r="E4204" s="476">
        <v>0.13329</v>
      </c>
      <c r="F4204" s="6">
        <v>10.7986</v>
      </c>
      <c r="G4204" s="6">
        <v>6</v>
      </c>
    </row>
    <row r="4205" ht="15.75" customHeight="1" spans="1:7">
      <c r="A4205" s="4" t="s">
        <v>9525</v>
      </c>
      <c r="B4205" s="5" t="s">
        <v>9526</v>
      </c>
      <c r="C4205" s="4" t="s">
        <v>99</v>
      </c>
      <c r="D4205" s="475">
        <v>30.74</v>
      </c>
      <c r="E4205" s="476">
        <v>0</v>
      </c>
      <c r="F4205" s="6">
        <v>0</v>
      </c>
      <c r="G4205" s="6">
        <v>77.49</v>
      </c>
    </row>
    <row r="4206" ht="30" customHeight="1" spans="1:7">
      <c r="A4206" s="4" t="s">
        <v>9527</v>
      </c>
      <c r="B4206" s="5" t="s">
        <v>9528</v>
      </c>
      <c r="C4206" s="4" t="s">
        <v>99</v>
      </c>
      <c r="D4206" s="475">
        <v>32.09</v>
      </c>
      <c r="E4206" s="476">
        <v>0</v>
      </c>
      <c r="F4206" s="6">
        <v>0</v>
      </c>
      <c r="G4206" s="6">
        <v>77.49</v>
      </c>
    </row>
    <row r="4207" ht="30" customHeight="1" spans="1:7">
      <c r="A4207" s="4" t="s">
        <v>9529</v>
      </c>
      <c r="B4207" s="5" t="s">
        <v>9530</v>
      </c>
      <c r="C4207" s="4" t="s">
        <v>99</v>
      </c>
      <c r="D4207" s="475">
        <v>32.28</v>
      </c>
      <c r="E4207" s="476">
        <v>0</v>
      </c>
      <c r="F4207" s="6">
        <v>0</v>
      </c>
      <c r="G4207" s="6">
        <v>77.49</v>
      </c>
    </row>
    <row r="4208" ht="30" customHeight="1" spans="1:7">
      <c r="A4208" s="4" t="s">
        <v>9531</v>
      </c>
      <c r="B4208" s="5" t="s">
        <v>9532</v>
      </c>
      <c r="C4208" s="4" t="s">
        <v>99</v>
      </c>
      <c r="D4208" s="475">
        <v>32.48</v>
      </c>
      <c r="E4208" s="476">
        <v>0</v>
      </c>
      <c r="F4208" s="6">
        <v>0</v>
      </c>
      <c r="G4208" s="6">
        <v>77.49</v>
      </c>
    </row>
    <row r="4209" ht="30" customHeight="1" spans="1:7">
      <c r="A4209" s="4" t="s">
        <v>9533</v>
      </c>
      <c r="B4209" s="5" t="s">
        <v>9534</v>
      </c>
      <c r="C4209" s="4" t="s">
        <v>99</v>
      </c>
      <c r="D4209" s="475">
        <v>32.86</v>
      </c>
      <c r="E4209" s="476">
        <v>0</v>
      </c>
      <c r="F4209" s="6">
        <v>0</v>
      </c>
      <c r="G4209" s="6">
        <v>77.49</v>
      </c>
    </row>
    <row r="4210" ht="30" customHeight="1" spans="1:7">
      <c r="A4210" s="4" t="s">
        <v>9535</v>
      </c>
      <c r="B4210" s="5" t="s">
        <v>9536</v>
      </c>
      <c r="C4210" s="4" t="s">
        <v>99</v>
      </c>
      <c r="D4210" s="475">
        <v>33.24</v>
      </c>
      <c r="E4210" s="476">
        <v>0</v>
      </c>
      <c r="F4210" s="6">
        <v>0</v>
      </c>
      <c r="G4210" s="6">
        <v>77.49</v>
      </c>
    </row>
    <row r="4211" ht="30" customHeight="1" spans="1:7">
      <c r="A4211" s="4" t="s">
        <v>9537</v>
      </c>
      <c r="B4211" s="5" t="s">
        <v>9538</v>
      </c>
      <c r="C4211" s="4" t="s">
        <v>99</v>
      </c>
      <c r="D4211" s="475">
        <v>33.44</v>
      </c>
      <c r="E4211" s="476">
        <v>0</v>
      </c>
      <c r="F4211" s="6">
        <v>0</v>
      </c>
      <c r="G4211" s="6">
        <v>77.49</v>
      </c>
    </row>
    <row r="4212" ht="15.75" customHeight="1" spans="1:7">
      <c r="A4212" s="4" t="s">
        <v>9539</v>
      </c>
      <c r="B4212" s="5" t="s">
        <v>9540</v>
      </c>
      <c r="C4212" s="4" t="s">
        <v>99</v>
      </c>
      <c r="D4212" s="475">
        <v>33.63</v>
      </c>
      <c r="E4212" s="476">
        <v>0</v>
      </c>
      <c r="F4212" s="6">
        <v>0</v>
      </c>
      <c r="G4212" s="6">
        <v>77.49</v>
      </c>
    </row>
    <row r="4213" ht="15.75" customHeight="1" spans="1:7">
      <c r="A4213" s="4" t="s">
        <v>9541</v>
      </c>
      <c r="B4213" s="5" t="s">
        <v>9542</v>
      </c>
      <c r="C4213" s="4" t="s">
        <v>99</v>
      </c>
      <c r="D4213" s="475">
        <v>31.13</v>
      </c>
      <c r="E4213" s="476">
        <v>0</v>
      </c>
      <c r="F4213" s="6">
        <v>0</v>
      </c>
      <c r="G4213" s="6">
        <v>77.49</v>
      </c>
    </row>
    <row r="4214" ht="15.75" customHeight="1" spans="1:7">
      <c r="A4214" s="4" t="s">
        <v>9543</v>
      </c>
      <c r="B4214" s="5" t="s">
        <v>9544</v>
      </c>
      <c r="C4214" s="4" t="s">
        <v>99</v>
      </c>
      <c r="D4214" s="475">
        <v>31.51</v>
      </c>
      <c r="E4214" s="476">
        <v>0</v>
      </c>
      <c r="F4214" s="6">
        <v>0</v>
      </c>
      <c r="G4214" s="6">
        <v>77.49</v>
      </c>
    </row>
    <row r="4215" ht="15.75" customHeight="1" spans="1:7">
      <c r="A4215" s="4" t="s">
        <v>9545</v>
      </c>
      <c r="B4215" s="5" t="s">
        <v>9546</v>
      </c>
      <c r="C4215" s="4" t="s">
        <v>99</v>
      </c>
      <c r="D4215" s="475">
        <v>31.71</v>
      </c>
      <c r="E4215" s="476">
        <v>0</v>
      </c>
      <c r="F4215" s="6">
        <v>0</v>
      </c>
      <c r="G4215" s="6">
        <v>77.49</v>
      </c>
    </row>
    <row r="4216" ht="30" customHeight="1" spans="1:7">
      <c r="A4216" s="4" t="s">
        <v>9547</v>
      </c>
      <c r="B4216" s="5" t="s">
        <v>9548</v>
      </c>
      <c r="C4216" s="4" t="s">
        <v>99</v>
      </c>
      <c r="D4216" s="475">
        <v>57.04</v>
      </c>
      <c r="E4216" s="476">
        <v>0.04367</v>
      </c>
      <c r="F4216" s="6">
        <v>0.9681</v>
      </c>
      <c r="G4216" s="6">
        <v>41.23</v>
      </c>
    </row>
    <row r="4217" ht="30" customHeight="1" spans="1:7">
      <c r="A4217" s="4" t="s">
        <v>9549</v>
      </c>
      <c r="B4217" s="5" t="s">
        <v>9550</v>
      </c>
      <c r="C4217" s="4" t="s">
        <v>99</v>
      </c>
      <c r="D4217" s="475">
        <v>57.72</v>
      </c>
      <c r="E4217" s="476">
        <v>0.04367</v>
      </c>
      <c r="F4217" s="6">
        <v>0.9681</v>
      </c>
      <c r="G4217" s="6">
        <v>41.23</v>
      </c>
    </row>
    <row r="4218" ht="30" customHeight="1" spans="1:7">
      <c r="A4218" s="4" t="s">
        <v>9551</v>
      </c>
      <c r="B4218" s="5" t="s">
        <v>9552</v>
      </c>
      <c r="C4218" s="4" t="s">
        <v>99</v>
      </c>
      <c r="D4218" s="475">
        <v>61.05</v>
      </c>
      <c r="E4218" s="476">
        <v>0.04367</v>
      </c>
      <c r="F4218" s="6">
        <v>1.0747</v>
      </c>
      <c r="G4218" s="6">
        <v>41.23</v>
      </c>
    </row>
    <row r="4219" ht="30" customHeight="1" spans="1:7">
      <c r="A4219" s="4" t="s">
        <v>9553</v>
      </c>
      <c r="B4219" s="5" t="s">
        <v>9554</v>
      </c>
      <c r="C4219" s="4" t="s">
        <v>99</v>
      </c>
      <c r="D4219" s="475">
        <v>61.72</v>
      </c>
      <c r="E4219" s="476">
        <v>0.04367</v>
      </c>
      <c r="F4219" s="6">
        <v>1.0747</v>
      </c>
      <c r="G4219" s="6">
        <v>41.23</v>
      </c>
    </row>
    <row r="4220" ht="30" customHeight="1" spans="1:7">
      <c r="A4220" s="4" t="s">
        <v>9555</v>
      </c>
      <c r="B4220" s="5" t="s">
        <v>9556</v>
      </c>
      <c r="C4220" s="4" t="s">
        <v>99</v>
      </c>
      <c r="D4220" s="475">
        <v>62.4</v>
      </c>
      <c r="E4220" s="476">
        <v>0.04367</v>
      </c>
      <c r="F4220" s="6">
        <v>1.0747</v>
      </c>
      <c r="G4220" s="6">
        <v>41.23</v>
      </c>
    </row>
    <row r="4221" ht="30" customHeight="1" spans="1:7">
      <c r="A4221" s="4" t="s">
        <v>9557</v>
      </c>
      <c r="B4221" s="5" t="s">
        <v>9558</v>
      </c>
      <c r="C4221" s="4" t="s">
        <v>99</v>
      </c>
      <c r="D4221" s="475">
        <v>63.58</v>
      </c>
      <c r="E4221" s="476">
        <v>0.04367</v>
      </c>
      <c r="F4221" s="6">
        <v>1.0747</v>
      </c>
      <c r="G4221" s="6">
        <v>41.23</v>
      </c>
    </row>
    <row r="4222" ht="30" customHeight="1" spans="1:7">
      <c r="A4222" s="4" t="s">
        <v>9559</v>
      </c>
      <c r="B4222" s="5" t="s">
        <v>9560</v>
      </c>
      <c r="C4222" s="4" t="s">
        <v>99</v>
      </c>
      <c r="D4222" s="475">
        <v>65.6</v>
      </c>
      <c r="E4222" s="476">
        <v>0.04367</v>
      </c>
      <c r="F4222" s="6">
        <v>1.0747</v>
      </c>
      <c r="G4222" s="6">
        <v>41.23</v>
      </c>
    </row>
    <row r="4223" ht="30" customHeight="1" spans="1:7">
      <c r="A4223" s="4" t="s">
        <v>9561</v>
      </c>
      <c r="B4223" s="5" t="s">
        <v>9562</v>
      </c>
      <c r="C4223" s="4" t="s">
        <v>99</v>
      </c>
      <c r="D4223" s="475">
        <v>69.32</v>
      </c>
      <c r="E4223" s="476">
        <v>0.04367</v>
      </c>
      <c r="F4223" s="6">
        <v>1.1812</v>
      </c>
      <c r="G4223" s="6">
        <v>41.23</v>
      </c>
    </row>
    <row r="4224" ht="30" customHeight="1" spans="1:7">
      <c r="A4224" s="4" t="s">
        <v>9563</v>
      </c>
      <c r="B4224" s="5" t="s">
        <v>9564</v>
      </c>
      <c r="C4224" s="4" t="s">
        <v>99</v>
      </c>
      <c r="D4224" s="475">
        <v>54.8</v>
      </c>
      <c r="E4224" s="476">
        <v>0.04367</v>
      </c>
      <c r="F4224" s="6">
        <v>0.9681</v>
      </c>
      <c r="G4224" s="6">
        <v>41.23</v>
      </c>
    </row>
    <row r="4225" ht="30" customHeight="1" spans="1:7">
      <c r="A4225" s="4" t="s">
        <v>9565</v>
      </c>
      <c r="B4225" s="5" t="s">
        <v>9566</v>
      </c>
      <c r="C4225" s="4" t="s">
        <v>99</v>
      </c>
      <c r="D4225" s="475">
        <v>55.25</v>
      </c>
      <c r="E4225" s="476">
        <v>0.04367</v>
      </c>
      <c r="F4225" s="6">
        <v>0.9681</v>
      </c>
      <c r="G4225" s="6">
        <v>41.23</v>
      </c>
    </row>
    <row r="4226" ht="30" customHeight="1" spans="1:7">
      <c r="A4226" s="4" t="s">
        <v>9567</v>
      </c>
      <c r="B4226" s="5" t="s">
        <v>9568</v>
      </c>
      <c r="C4226" s="4" t="s">
        <v>99</v>
      </c>
      <c r="D4226" s="475">
        <v>55.7</v>
      </c>
      <c r="E4226" s="476">
        <v>0.04367</v>
      </c>
      <c r="F4226" s="6">
        <v>0.9681</v>
      </c>
      <c r="G4226" s="6">
        <v>41.23</v>
      </c>
    </row>
    <row r="4227" ht="30" customHeight="1" spans="1:7">
      <c r="A4227" s="4" t="s">
        <v>9569</v>
      </c>
      <c r="B4227" s="5" t="s">
        <v>9570</v>
      </c>
      <c r="C4227" s="4" t="s">
        <v>99</v>
      </c>
      <c r="D4227" s="475">
        <v>56.15</v>
      </c>
      <c r="E4227" s="476">
        <v>0.04367</v>
      </c>
      <c r="F4227" s="6">
        <v>0.9681</v>
      </c>
      <c r="G4227" s="6">
        <v>41.23</v>
      </c>
    </row>
    <row r="4228" ht="30" customHeight="1" spans="1:7">
      <c r="A4228" s="4" t="s">
        <v>9571</v>
      </c>
      <c r="B4228" s="5" t="s">
        <v>9572</v>
      </c>
      <c r="C4228" s="4" t="s">
        <v>99</v>
      </c>
      <c r="D4228" s="475">
        <v>56.59</v>
      </c>
      <c r="E4228" s="476">
        <v>0.04367</v>
      </c>
      <c r="F4228" s="6">
        <v>0.9681</v>
      </c>
      <c r="G4228" s="6">
        <v>41.23</v>
      </c>
    </row>
    <row r="4229" ht="30" customHeight="1" spans="1:7">
      <c r="A4229" s="4" t="s">
        <v>9573</v>
      </c>
      <c r="B4229" s="5" t="s">
        <v>9574</v>
      </c>
      <c r="C4229" s="4" t="s">
        <v>99</v>
      </c>
      <c r="D4229" s="475">
        <v>57.38</v>
      </c>
      <c r="E4229" s="476">
        <v>0.04367</v>
      </c>
      <c r="F4229" s="6">
        <v>0.9681</v>
      </c>
      <c r="G4229" s="6">
        <v>41.23</v>
      </c>
    </row>
    <row r="4230" ht="30" customHeight="1" spans="1:7">
      <c r="A4230" s="4" t="s">
        <v>9575</v>
      </c>
      <c r="B4230" s="5" t="s">
        <v>9576</v>
      </c>
      <c r="C4230" s="4" t="s">
        <v>99</v>
      </c>
      <c r="D4230" s="475">
        <v>61.22</v>
      </c>
      <c r="E4230" s="476">
        <v>0.04367</v>
      </c>
      <c r="F4230" s="6">
        <v>1.0747</v>
      </c>
      <c r="G4230" s="6">
        <v>41.23</v>
      </c>
    </row>
    <row r="4231" ht="30" customHeight="1" spans="1:7">
      <c r="A4231" s="4" t="s">
        <v>9577</v>
      </c>
      <c r="B4231" s="5" t="s">
        <v>9578</v>
      </c>
      <c r="C4231" s="4" t="s">
        <v>99</v>
      </c>
      <c r="D4231" s="475">
        <v>61.89</v>
      </c>
      <c r="E4231" s="476">
        <v>0.04367</v>
      </c>
      <c r="F4231" s="6">
        <v>1.0747</v>
      </c>
      <c r="G4231" s="6">
        <v>41.23</v>
      </c>
    </row>
    <row r="4232" ht="30" customHeight="1" spans="1:7">
      <c r="A4232" s="4" t="s">
        <v>9579</v>
      </c>
      <c r="B4232" s="5" t="s">
        <v>9580</v>
      </c>
      <c r="C4232" s="4" t="s">
        <v>99</v>
      </c>
      <c r="D4232" s="475">
        <v>53.04</v>
      </c>
      <c r="E4232" s="476">
        <v>0</v>
      </c>
      <c r="F4232" s="6">
        <v>0</v>
      </c>
      <c r="G4232" s="6">
        <v>41.23</v>
      </c>
    </row>
    <row r="4233" ht="30" customHeight="1" spans="1:7">
      <c r="A4233" s="4" t="s">
        <v>9581</v>
      </c>
      <c r="B4233" s="5" t="s">
        <v>9582</v>
      </c>
      <c r="C4233" s="4" t="s">
        <v>99</v>
      </c>
      <c r="D4233" s="475">
        <v>53.49</v>
      </c>
      <c r="E4233" s="476">
        <v>0</v>
      </c>
      <c r="F4233" s="6">
        <v>0</v>
      </c>
      <c r="G4233" s="6">
        <v>41.23</v>
      </c>
    </row>
    <row r="4234" ht="30" customHeight="1" spans="1:7">
      <c r="A4234" s="4" t="s">
        <v>9583</v>
      </c>
      <c r="B4234" s="5" t="s">
        <v>9584</v>
      </c>
      <c r="C4234" s="4" t="s">
        <v>99</v>
      </c>
      <c r="D4234" s="475">
        <v>53.83</v>
      </c>
      <c r="E4234" s="476">
        <v>0</v>
      </c>
      <c r="F4234" s="6">
        <v>0</v>
      </c>
      <c r="G4234" s="6">
        <v>41.23</v>
      </c>
    </row>
    <row r="4235" ht="30" customHeight="1" spans="1:7">
      <c r="A4235" s="4" t="s">
        <v>9585</v>
      </c>
      <c r="B4235" s="5" t="s">
        <v>9586</v>
      </c>
      <c r="C4235" s="4" t="s">
        <v>99</v>
      </c>
      <c r="D4235" s="475">
        <v>54.17</v>
      </c>
      <c r="E4235" s="476">
        <v>0</v>
      </c>
      <c r="F4235" s="6">
        <v>0</v>
      </c>
      <c r="G4235" s="6">
        <v>41.23</v>
      </c>
    </row>
    <row r="4236" ht="30" customHeight="1" spans="1:7">
      <c r="A4236" s="4" t="s">
        <v>9587</v>
      </c>
      <c r="B4236" s="5" t="s">
        <v>9588</v>
      </c>
      <c r="C4236" s="4" t="s">
        <v>99</v>
      </c>
      <c r="D4236" s="475">
        <v>54.62</v>
      </c>
      <c r="E4236" s="476">
        <v>0</v>
      </c>
      <c r="F4236" s="6">
        <v>0</v>
      </c>
      <c r="G4236" s="6">
        <v>41.23</v>
      </c>
    </row>
    <row r="4237" ht="30" customHeight="1" spans="1:7">
      <c r="A4237" s="4" t="s">
        <v>9589</v>
      </c>
      <c r="B4237" s="5" t="s">
        <v>9590</v>
      </c>
      <c r="C4237" s="4" t="s">
        <v>99</v>
      </c>
      <c r="D4237" s="475">
        <v>55.29</v>
      </c>
      <c r="E4237" s="476">
        <v>0</v>
      </c>
      <c r="F4237" s="6">
        <v>0</v>
      </c>
      <c r="G4237" s="6">
        <v>41.23</v>
      </c>
    </row>
    <row r="4238" ht="30" customHeight="1" spans="1:7">
      <c r="A4238" s="4" t="s">
        <v>9591</v>
      </c>
      <c r="B4238" s="5" t="s">
        <v>9592</v>
      </c>
      <c r="C4238" s="4" t="s">
        <v>99</v>
      </c>
      <c r="D4238" s="475">
        <v>56.3</v>
      </c>
      <c r="E4238" s="476">
        <v>0</v>
      </c>
      <c r="F4238" s="6">
        <v>0</v>
      </c>
      <c r="G4238" s="6">
        <v>41.23</v>
      </c>
    </row>
    <row r="4239" ht="30" customHeight="1" spans="1:7">
      <c r="A4239" s="4" t="s">
        <v>9593</v>
      </c>
      <c r="B4239" s="5" t="s">
        <v>9594</v>
      </c>
      <c r="C4239" s="4" t="s">
        <v>99</v>
      </c>
      <c r="D4239" s="475">
        <v>56.86</v>
      </c>
      <c r="E4239" s="476">
        <v>0</v>
      </c>
      <c r="F4239" s="6">
        <v>0</v>
      </c>
      <c r="G4239" s="6">
        <v>41.23</v>
      </c>
    </row>
    <row r="4240" ht="30" customHeight="1" spans="1:7">
      <c r="A4240" s="4" t="s">
        <v>9595</v>
      </c>
      <c r="B4240" s="5" t="s">
        <v>9596</v>
      </c>
      <c r="C4240" s="4" t="s">
        <v>99</v>
      </c>
      <c r="D4240" s="475">
        <v>51.52</v>
      </c>
      <c r="E4240" s="476">
        <v>0.04367</v>
      </c>
      <c r="F4240" s="6">
        <v>0.7892</v>
      </c>
      <c r="G4240" s="6">
        <v>41.23</v>
      </c>
    </row>
    <row r="4241" ht="30" customHeight="1" spans="1:7">
      <c r="A4241" s="4" t="s">
        <v>9597</v>
      </c>
      <c r="B4241" s="5" t="s">
        <v>9598</v>
      </c>
      <c r="C4241" s="4" t="s">
        <v>99</v>
      </c>
      <c r="D4241" s="475">
        <v>54.68</v>
      </c>
      <c r="E4241" s="476">
        <v>0.04367</v>
      </c>
      <c r="F4241" s="6">
        <v>0.8957</v>
      </c>
      <c r="G4241" s="6">
        <v>41.23</v>
      </c>
    </row>
    <row r="4242" ht="30" customHeight="1" spans="1:7">
      <c r="A4242" s="4" t="s">
        <v>9599</v>
      </c>
      <c r="B4242" s="5" t="s">
        <v>9600</v>
      </c>
      <c r="C4242" s="4" t="s">
        <v>99</v>
      </c>
      <c r="D4242" s="475">
        <v>55.53</v>
      </c>
      <c r="E4242" s="476">
        <v>0.04367</v>
      </c>
      <c r="F4242" s="6">
        <v>0.8957</v>
      </c>
      <c r="G4242" s="6">
        <v>41.23</v>
      </c>
    </row>
    <row r="4243" ht="30" customHeight="1" spans="1:7">
      <c r="A4243" s="4" t="s">
        <v>9601</v>
      </c>
      <c r="B4243" s="5" t="s">
        <v>9602</v>
      </c>
      <c r="C4243" s="4" t="s">
        <v>99</v>
      </c>
      <c r="D4243" s="475">
        <v>56.2</v>
      </c>
      <c r="E4243" s="476">
        <v>0.04367</v>
      </c>
      <c r="F4243" s="6">
        <v>0.8957</v>
      </c>
      <c r="G4243" s="6">
        <v>41.23</v>
      </c>
    </row>
    <row r="4244" ht="30" customHeight="1" spans="1:7">
      <c r="A4244" s="4" t="s">
        <v>9603</v>
      </c>
      <c r="B4244" s="5" t="s">
        <v>9604</v>
      </c>
      <c r="C4244" s="4" t="s">
        <v>99</v>
      </c>
      <c r="D4244" s="475">
        <v>56.87</v>
      </c>
      <c r="E4244" s="476">
        <v>0.04367</v>
      </c>
      <c r="F4244" s="6">
        <v>0.8957</v>
      </c>
      <c r="G4244" s="6">
        <v>41.23</v>
      </c>
    </row>
    <row r="4245" ht="30" customHeight="1" spans="1:7">
      <c r="A4245" s="4" t="s">
        <v>9605</v>
      </c>
      <c r="B4245" s="5" t="s">
        <v>9606</v>
      </c>
      <c r="C4245" s="4" t="s">
        <v>99</v>
      </c>
      <c r="D4245" s="475">
        <v>58.05</v>
      </c>
      <c r="E4245" s="476">
        <v>0.04367</v>
      </c>
      <c r="F4245" s="6">
        <v>0.8957</v>
      </c>
      <c r="G4245" s="6">
        <v>41.23</v>
      </c>
    </row>
    <row r="4246" ht="30" customHeight="1" spans="1:7">
      <c r="A4246" s="4" t="s">
        <v>9607</v>
      </c>
      <c r="B4246" s="5" t="s">
        <v>9608</v>
      </c>
      <c r="C4246" s="4" t="s">
        <v>99</v>
      </c>
      <c r="D4246" s="475">
        <v>60.07</v>
      </c>
      <c r="E4246" s="476">
        <v>0.04367</v>
      </c>
      <c r="F4246" s="6">
        <v>0.8957</v>
      </c>
      <c r="G4246" s="6">
        <v>41.23</v>
      </c>
    </row>
    <row r="4247" ht="30" customHeight="1" spans="1:7">
      <c r="A4247" s="4" t="s">
        <v>9609</v>
      </c>
      <c r="B4247" s="5" t="s">
        <v>9610</v>
      </c>
      <c r="C4247" s="4" t="s">
        <v>99</v>
      </c>
      <c r="D4247" s="475">
        <v>63.69</v>
      </c>
      <c r="E4247" s="476">
        <v>0.04367</v>
      </c>
      <c r="F4247" s="6">
        <v>1.0023</v>
      </c>
      <c r="G4247" s="6">
        <v>41.23</v>
      </c>
    </row>
    <row r="4248" ht="30" customHeight="1" spans="1:7">
      <c r="A4248" s="4" t="s">
        <v>9611</v>
      </c>
      <c r="B4248" s="5" t="s">
        <v>9612</v>
      </c>
      <c r="C4248" s="4" t="s">
        <v>99</v>
      </c>
      <c r="D4248" s="475">
        <v>49.27</v>
      </c>
      <c r="E4248" s="476">
        <v>0.04367</v>
      </c>
      <c r="F4248" s="6">
        <v>0.7892</v>
      </c>
      <c r="G4248" s="6">
        <v>41.23</v>
      </c>
    </row>
    <row r="4249" ht="30" customHeight="1" spans="1:7">
      <c r="A4249" s="4" t="s">
        <v>9613</v>
      </c>
      <c r="B4249" s="5" t="s">
        <v>9614</v>
      </c>
      <c r="C4249" s="4" t="s">
        <v>99</v>
      </c>
      <c r="D4249" s="475">
        <v>49.72</v>
      </c>
      <c r="E4249" s="476">
        <v>0.04367</v>
      </c>
      <c r="F4249" s="6">
        <v>0.7892</v>
      </c>
      <c r="G4249" s="6">
        <v>41.23</v>
      </c>
    </row>
    <row r="4250" ht="30" customHeight="1" spans="1:7">
      <c r="A4250" s="4" t="s">
        <v>9615</v>
      </c>
      <c r="B4250" s="5" t="s">
        <v>9616</v>
      </c>
      <c r="C4250" s="4" t="s">
        <v>99</v>
      </c>
      <c r="D4250" s="475">
        <v>50.17</v>
      </c>
      <c r="E4250" s="476">
        <v>0.04367</v>
      </c>
      <c r="F4250" s="6">
        <v>0.7892</v>
      </c>
      <c r="G4250" s="6">
        <v>41.23</v>
      </c>
    </row>
    <row r="4251" ht="30" customHeight="1" spans="1:7">
      <c r="A4251" s="4" t="s">
        <v>9617</v>
      </c>
      <c r="B4251" s="5" t="s">
        <v>9618</v>
      </c>
      <c r="C4251" s="4" t="s">
        <v>99</v>
      </c>
      <c r="D4251" s="475">
        <v>50.62</v>
      </c>
      <c r="E4251" s="476">
        <v>0.04367</v>
      </c>
      <c r="F4251" s="6">
        <v>0.7892</v>
      </c>
      <c r="G4251" s="6">
        <v>41.23</v>
      </c>
    </row>
    <row r="4252" ht="30" customHeight="1" spans="1:7">
      <c r="A4252" s="4" t="s">
        <v>9619</v>
      </c>
      <c r="B4252" s="5" t="s">
        <v>9620</v>
      </c>
      <c r="C4252" s="4" t="s">
        <v>99</v>
      </c>
      <c r="D4252" s="475">
        <v>51.07</v>
      </c>
      <c r="E4252" s="476">
        <v>0.04367</v>
      </c>
      <c r="F4252" s="6">
        <v>0.7892</v>
      </c>
      <c r="G4252" s="6">
        <v>41.23</v>
      </c>
    </row>
    <row r="4253" ht="30" customHeight="1" spans="1:7">
      <c r="A4253" s="4" t="s">
        <v>9621</v>
      </c>
      <c r="B4253" s="5" t="s">
        <v>9622</v>
      </c>
      <c r="C4253" s="4" t="s">
        <v>99</v>
      </c>
      <c r="D4253" s="475">
        <v>51.86</v>
      </c>
      <c r="E4253" s="476">
        <v>0.04367</v>
      </c>
      <c r="F4253" s="6">
        <v>0.7892</v>
      </c>
      <c r="G4253" s="6">
        <v>41.23</v>
      </c>
    </row>
    <row r="4254" ht="30" customHeight="1" spans="1:7">
      <c r="A4254" s="4" t="s">
        <v>9623</v>
      </c>
      <c r="B4254" s="5" t="s">
        <v>9624</v>
      </c>
      <c r="C4254" s="4" t="s">
        <v>99</v>
      </c>
      <c r="D4254" s="475">
        <v>55.69</v>
      </c>
      <c r="E4254" s="476">
        <v>0.04367</v>
      </c>
      <c r="F4254" s="6">
        <v>0.8957</v>
      </c>
      <c r="G4254" s="6">
        <v>41.23</v>
      </c>
    </row>
    <row r="4255" ht="30" customHeight="1" spans="1:7">
      <c r="A4255" s="4" t="s">
        <v>9625</v>
      </c>
      <c r="B4255" s="5" t="s">
        <v>9626</v>
      </c>
      <c r="C4255" s="4" t="s">
        <v>99</v>
      </c>
      <c r="D4255" s="475">
        <v>56.37</v>
      </c>
      <c r="E4255" s="476">
        <v>0.04367</v>
      </c>
      <c r="F4255" s="6">
        <v>0.8957</v>
      </c>
      <c r="G4255" s="6">
        <v>41.23</v>
      </c>
    </row>
    <row r="4256" ht="30" customHeight="1" spans="1:7">
      <c r="A4256" s="4" t="s">
        <v>9627</v>
      </c>
      <c r="B4256" s="5" t="s">
        <v>9628</v>
      </c>
      <c r="C4256" s="4" t="s">
        <v>99</v>
      </c>
      <c r="D4256" s="475">
        <v>47.7</v>
      </c>
      <c r="E4256" s="476">
        <v>0</v>
      </c>
      <c r="F4256" s="6">
        <v>0</v>
      </c>
      <c r="G4256" s="6">
        <v>41.23</v>
      </c>
    </row>
    <row r="4257" ht="30" customHeight="1" spans="1:7">
      <c r="A4257" s="4" t="s">
        <v>9629</v>
      </c>
      <c r="B4257" s="5" t="s">
        <v>9630</v>
      </c>
      <c r="C4257" s="4" t="s">
        <v>99</v>
      </c>
      <c r="D4257" s="475">
        <v>48.15</v>
      </c>
      <c r="E4257" s="476">
        <v>0</v>
      </c>
      <c r="F4257" s="6">
        <v>0</v>
      </c>
      <c r="G4257" s="6">
        <v>41.23</v>
      </c>
    </row>
    <row r="4258" ht="30" customHeight="1" spans="1:7">
      <c r="A4258" s="4" t="s">
        <v>9631</v>
      </c>
      <c r="B4258" s="5" t="s">
        <v>9632</v>
      </c>
      <c r="C4258" s="4" t="s">
        <v>99</v>
      </c>
      <c r="D4258" s="475">
        <v>48.49</v>
      </c>
      <c r="E4258" s="476">
        <v>0</v>
      </c>
      <c r="F4258" s="6">
        <v>0</v>
      </c>
      <c r="G4258" s="6">
        <v>41.23</v>
      </c>
    </row>
    <row r="4259" ht="30" customHeight="1" spans="1:7">
      <c r="A4259" s="4" t="s">
        <v>9633</v>
      </c>
      <c r="B4259" s="5" t="s">
        <v>9634</v>
      </c>
      <c r="C4259" s="4" t="s">
        <v>99</v>
      </c>
      <c r="D4259" s="475">
        <v>48.82</v>
      </c>
      <c r="E4259" s="476">
        <v>0</v>
      </c>
      <c r="F4259" s="6">
        <v>0</v>
      </c>
      <c r="G4259" s="6">
        <v>41.23</v>
      </c>
    </row>
    <row r="4260" ht="30" customHeight="1" spans="1:7">
      <c r="A4260" s="4" t="s">
        <v>9635</v>
      </c>
      <c r="B4260" s="5" t="s">
        <v>9636</v>
      </c>
      <c r="C4260" s="4" t="s">
        <v>99</v>
      </c>
      <c r="D4260" s="475">
        <v>49.16</v>
      </c>
      <c r="E4260" s="476">
        <v>0</v>
      </c>
      <c r="F4260" s="6">
        <v>0</v>
      </c>
      <c r="G4260" s="6">
        <v>41.23</v>
      </c>
    </row>
    <row r="4261" ht="30" customHeight="1" spans="1:7">
      <c r="A4261" s="4" t="s">
        <v>9637</v>
      </c>
      <c r="B4261" s="5" t="s">
        <v>9638</v>
      </c>
      <c r="C4261" s="4" t="s">
        <v>99</v>
      </c>
      <c r="D4261" s="475">
        <v>49.83</v>
      </c>
      <c r="E4261" s="476">
        <v>0</v>
      </c>
      <c r="F4261" s="6">
        <v>0</v>
      </c>
      <c r="G4261" s="6">
        <v>41.23</v>
      </c>
    </row>
    <row r="4262" ht="30" customHeight="1" spans="1:7">
      <c r="A4262" s="4" t="s">
        <v>9639</v>
      </c>
      <c r="B4262" s="5" t="s">
        <v>9640</v>
      </c>
      <c r="C4262" s="4" t="s">
        <v>99</v>
      </c>
      <c r="D4262" s="475">
        <v>50.96</v>
      </c>
      <c r="E4262" s="476">
        <v>0</v>
      </c>
      <c r="F4262" s="6">
        <v>0</v>
      </c>
      <c r="G4262" s="6">
        <v>41.23</v>
      </c>
    </row>
    <row r="4263" ht="30" customHeight="1" spans="1:7">
      <c r="A4263" s="4" t="s">
        <v>9641</v>
      </c>
      <c r="B4263" s="5" t="s">
        <v>9642</v>
      </c>
      <c r="C4263" s="4" t="s">
        <v>99</v>
      </c>
      <c r="D4263" s="475">
        <v>53.96</v>
      </c>
      <c r="E4263" s="476">
        <v>0</v>
      </c>
      <c r="F4263" s="6">
        <v>0</v>
      </c>
      <c r="G4263" s="6">
        <v>41.23</v>
      </c>
    </row>
    <row r="4264" ht="15.75" customHeight="1" spans="1:7">
      <c r="A4264" s="4" t="s">
        <v>9643</v>
      </c>
      <c r="B4264" s="5" t="s">
        <v>9644</v>
      </c>
      <c r="C4264" s="4" t="s">
        <v>99</v>
      </c>
      <c r="D4264" s="475">
        <v>15.05</v>
      </c>
      <c r="E4264" s="476">
        <v>0</v>
      </c>
      <c r="F4264" s="6">
        <v>0</v>
      </c>
      <c r="G4264" s="6">
        <v>72.03</v>
      </c>
    </row>
    <row r="4265" ht="15.75" customHeight="1" spans="1:7">
      <c r="A4265" s="4" t="s">
        <v>9645</v>
      </c>
      <c r="B4265" s="5" t="s">
        <v>9646</v>
      </c>
      <c r="C4265" s="4" t="s">
        <v>99</v>
      </c>
      <c r="D4265" s="475">
        <v>4.88</v>
      </c>
      <c r="E4265" s="476">
        <v>0</v>
      </c>
      <c r="F4265" s="6">
        <v>0</v>
      </c>
      <c r="G4265" s="6">
        <v>77.49</v>
      </c>
    </row>
    <row r="4266" ht="15.75" customHeight="1" spans="1:7">
      <c r="A4266" s="4" t="s">
        <v>9647</v>
      </c>
      <c r="B4266" s="5" t="s">
        <v>9648</v>
      </c>
      <c r="C4266" s="4" t="s">
        <v>82</v>
      </c>
      <c r="D4266" s="475">
        <v>2272.48</v>
      </c>
      <c r="E4266" s="476">
        <v>0</v>
      </c>
      <c r="F4266" s="6">
        <v>0</v>
      </c>
      <c r="G4266" s="6">
        <v>1</v>
      </c>
    </row>
    <row r="4267" ht="15.75" customHeight="1" spans="1:7">
      <c r="A4267" s="4" t="s">
        <v>9649</v>
      </c>
      <c r="B4267" s="5" t="s">
        <v>9650</v>
      </c>
      <c r="C4267" s="4" t="s">
        <v>82</v>
      </c>
      <c r="D4267" s="475">
        <v>1767.1</v>
      </c>
      <c r="E4267" s="476">
        <v>0</v>
      </c>
      <c r="F4267" s="6">
        <v>0</v>
      </c>
      <c r="G4267" s="6">
        <v>1</v>
      </c>
    </row>
    <row r="4268" ht="15.75" customHeight="1" spans="1:7">
      <c r="A4268" s="4" t="s">
        <v>9651</v>
      </c>
      <c r="B4268" s="5" t="s">
        <v>9652</v>
      </c>
      <c r="C4268" s="4" t="s">
        <v>82</v>
      </c>
      <c r="D4268" s="475">
        <v>2485.25</v>
      </c>
      <c r="E4268" s="476">
        <v>0</v>
      </c>
      <c r="F4268" s="6">
        <v>0</v>
      </c>
      <c r="G4268" s="6">
        <v>1</v>
      </c>
    </row>
    <row r="4269" ht="15.75" customHeight="1" spans="1:7">
      <c r="A4269" s="4" t="s">
        <v>9653</v>
      </c>
      <c r="B4269" s="5" t="s">
        <v>9654</v>
      </c>
      <c r="C4269" s="4" t="s">
        <v>82</v>
      </c>
      <c r="D4269" s="475">
        <v>1929.33</v>
      </c>
      <c r="E4269" s="476">
        <v>0</v>
      </c>
      <c r="F4269" s="6">
        <v>0</v>
      </c>
      <c r="G4269" s="6">
        <v>1</v>
      </c>
    </row>
    <row r="4270" ht="15.75" customHeight="1" spans="1:7">
      <c r="A4270" s="4" t="s">
        <v>9655</v>
      </c>
      <c r="B4270" s="5" t="s">
        <v>9656</v>
      </c>
      <c r="C4270" s="4" t="s">
        <v>82</v>
      </c>
      <c r="D4270" s="475">
        <v>2707.5</v>
      </c>
      <c r="E4270" s="476">
        <v>0</v>
      </c>
      <c r="F4270" s="6">
        <v>0</v>
      </c>
      <c r="G4270" s="6">
        <v>1</v>
      </c>
    </row>
    <row r="4271" ht="15.75" customHeight="1" spans="1:7">
      <c r="A4271" s="4" t="s">
        <v>9657</v>
      </c>
      <c r="B4271" s="5" t="s">
        <v>9658</v>
      </c>
      <c r="C4271" s="4" t="s">
        <v>82</v>
      </c>
      <c r="D4271" s="475">
        <v>2101.05</v>
      </c>
      <c r="E4271" s="476">
        <v>0</v>
      </c>
      <c r="F4271" s="6">
        <v>0</v>
      </c>
      <c r="G4271" s="6">
        <v>1</v>
      </c>
    </row>
    <row r="4272" ht="15.75" customHeight="1" spans="1:7">
      <c r="A4272" s="4" t="s">
        <v>9659</v>
      </c>
      <c r="B4272" s="5" t="s">
        <v>9660</v>
      </c>
      <c r="C4272" s="4" t="s">
        <v>82</v>
      </c>
      <c r="D4272" s="475">
        <v>1818.09</v>
      </c>
      <c r="E4272" s="476">
        <v>0</v>
      </c>
      <c r="F4272" s="6">
        <v>0</v>
      </c>
      <c r="G4272" s="6">
        <v>1</v>
      </c>
    </row>
    <row r="4273" ht="15.75" customHeight="1" spans="1:7">
      <c r="A4273" s="4" t="s">
        <v>9661</v>
      </c>
      <c r="B4273" s="5" t="s">
        <v>9662</v>
      </c>
      <c r="C4273" s="4" t="s">
        <v>82</v>
      </c>
      <c r="D4273" s="475">
        <v>1413.79</v>
      </c>
      <c r="E4273" s="476">
        <v>0</v>
      </c>
      <c r="F4273" s="6">
        <v>0</v>
      </c>
      <c r="G4273" s="6">
        <v>1</v>
      </c>
    </row>
    <row r="4274" ht="15.75" customHeight="1" spans="1:7">
      <c r="A4274" s="4" t="s">
        <v>9663</v>
      </c>
      <c r="B4274" s="5" t="s">
        <v>9664</v>
      </c>
      <c r="C4274" s="4" t="s">
        <v>82</v>
      </c>
      <c r="D4274" s="475">
        <v>2031.74</v>
      </c>
      <c r="E4274" s="476">
        <v>0</v>
      </c>
      <c r="F4274" s="6">
        <v>0</v>
      </c>
      <c r="G4274" s="6">
        <v>1</v>
      </c>
    </row>
    <row r="4275" ht="15.75" customHeight="1" spans="1:7">
      <c r="A4275" s="4" t="s">
        <v>9665</v>
      </c>
      <c r="B4275" s="5" t="s">
        <v>9666</v>
      </c>
      <c r="C4275" s="4" t="s">
        <v>82</v>
      </c>
      <c r="D4275" s="475">
        <v>1576.9</v>
      </c>
      <c r="E4275" s="476">
        <v>0</v>
      </c>
      <c r="F4275" s="6">
        <v>0</v>
      </c>
      <c r="G4275" s="6">
        <v>1</v>
      </c>
    </row>
    <row r="4276" ht="15.75" customHeight="1" spans="1:7">
      <c r="A4276" s="4" t="s">
        <v>9667</v>
      </c>
      <c r="B4276" s="5" t="s">
        <v>9668</v>
      </c>
      <c r="C4276" s="4" t="s">
        <v>82</v>
      </c>
      <c r="D4276" s="475">
        <v>2235.95</v>
      </c>
      <c r="E4276" s="476">
        <v>0</v>
      </c>
      <c r="F4276" s="6">
        <v>0</v>
      </c>
      <c r="G4276" s="6">
        <v>1</v>
      </c>
    </row>
    <row r="4277" ht="15.75" customHeight="1" spans="1:7">
      <c r="A4277" s="4" t="s">
        <v>9669</v>
      </c>
      <c r="B4277" s="5" t="s">
        <v>9670</v>
      </c>
      <c r="C4277" s="4" t="s">
        <v>82</v>
      </c>
      <c r="D4277" s="475">
        <v>1730.58</v>
      </c>
      <c r="E4277" s="476">
        <v>0</v>
      </c>
      <c r="F4277" s="6">
        <v>0</v>
      </c>
      <c r="G4277" s="6">
        <v>1</v>
      </c>
    </row>
    <row r="4278" ht="15.75" customHeight="1" spans="1:7">
      <c r="A4278" s="4" t="s">
        <v>9671</v>
      </c>
      <c r="B4278" s="5" t="s">
        <v>9672</v>
      </c>
      <c r="C4278" s="4" t="s">
        <v>82</v>
      </c>
      <c r="D4278" s="475">
        <v>2451.71</v>
      </c>
      <c r="E4278" s="476">
        <v>0</v>
      </c>
      <c r="F4278" s="6">
        <v>0</v>
      </c>
      <c r="G4278" s="6">
        <v>1</v>
      </c>
    </row>
    <row r="4279" ht="15.75" customHeight="1" spans="1:7">
      <c r="A4279" s="4" t="s">
        <v>9673</v>
      </c>
      <c r="B4279" s="5" t="s">
        <v>9674</v>
      </c>
      <c r="C4279" s="4" t="s">
        <v>82</v>
      </c>
      <c r="D4279" s="475">
        <v>1895.8</v>
      </c>
      <c r="E4279" s="476">
        <v>0</v>
      </c>
      <c r="F4279" s="6">
        <v>0</v>
      </c>
      <c r="G4279" s="6">
        <v>1</v>
      </c>
    </row>
    <row r="4280" ht="15.75" customHeight="1" spans="1:7">
      <c r="A4280" s="4" t="s">
        <v>9675</v>
      </c>
      <c r="B4280" s="5" t="s">
        <v>9676</v>
      </c>
      <c r="C4280" s="4" t="s">
        <v>82</v>
      </c>
      <c r="D4280" s="475">
        <v>2667.02</v>
      </c>
      <c r="E4280" s="476">
        <v>0</v>
      </c>
      <c r="F4280" s="6">
        <v>0</v>
      </c>
      <c r="G4280" s="6">
        <v>1</v>
      </c>
    </row>
    <row r="4281" ht="15.75" customHeight="1" spans="1:7">
      <c r="A4281" s="4" t="s">
        <v>9677</v>
      </c>
      <c r="B4281" s="5" t="s">
        <v>9678</v>
      </c>
      <c r="C4281" s="4" t="s">
        <v>82</v>
      </c>
      <c r="D4281" s="475">
        <v>2060.57</v>
      </c>
      <c r="E4281" s="476">
        <v>0</v>
      </c>
      <c r="F4281" s="6">
        <v>0</v>
      </c>
      <c r="G4281" s="6">
        <v>1</v>
      </c>
    </row>
    <row r="4282" ht="15.75" customHeight="1" spans="1:7">
      <c r="A4282" s="4" t="s">
        <v>9679</v>
      </c>
      <c r="B4282" s="5" t="s">
        <v>9680</v>
      </c>
      <c r="C4282" s="4" t="s">
        <v>82</v>
      </c>
      <c r="D4282" s="475">
        <v>1802.84</v>
      </c>
      <c r="E4282" s="476">
        <v>0</v>
      </c>
      <c r="F4282" s="6">
        <v>0</v>
      </c>
      <c r="G4282" s="6">
        <v>1</v>
      </c>
    </row>
    <row r="4283" ht="15.75" customHeight="1" spans="1:7">
      <c r="A4283" s="4" t="s">
        <v>9681</v>
      </c>
      <c r="B4283" s="5" t="s">
        <v>9682</v>
      </c>
      <c r="C4283" s="4" t="s">
        <v>82</v>
      </c>
      <c r="D4283" s="475">
        <v>1398.54</v>
      </c>
      <c r="E4283" s="476">
        <v>0</v>
      </c>
      <c r="F4283" s="6">
        <v>0</v>
      </c>
      <c r="G4283" s="6">
        <v>1</v>
      </c>
    </row>
    <row r="4284" ht="15.75" customHeight="1" spans="1:7">
      <c r="A4284" s="4" t="s">
        <v>9683</v>
      </c>
      <c r="B4284" s="5" t="s">
        <v>9684</v>
      </c>
      <c r="C4284" s="4" t="s">
        <v>82</v>
      </c>
      <c r="D4284" s="475">
        <v>2019.69</v>
      </c>
      <c r="E4284" s="476">
        <v>0</v>
      </c>
      <c r="F4284" s="6">
        <v>0</v>
      </c>
      <c r="G4284" s="6">
        <v>1</v>
      </c>
    </row>
    <row r="4285" ht="15.75" customHeight="1" spans="1:7">
      <c r="A4285" s="4" t="s">
        <v>9685</v>
      </c>
      <c r="B4285" s="5" t="s">
        <v>9686</v>
      </c>
      <c r="C4285" s="4" t="s">
        <v>82</v>
      </c>
      <c r="D4285" s="475">
        <v>1564.85</v>
      </c>
      <c r="E4285" s="476">
        <v>0</v>
      </c>
      <c r="F4285" s="6">
        <v>0</v>
      </c>
      <c r="G4285" s="6">
        <v>1</v>
      </c>
    </row>
    <row r="4286" ht="15.75" customHeight="1" spans="1:7">
      <c r="A4286" s="4" t="s">
        <v>9687</v>
      </c>
      <c r="B4286" s="5" t="s">
        <v>9688</v>
      </c>
      <c r="C4286" s="4" t="s">
        <v>82</v>
      </c>
      <c r="D4286" s="475">
        <v>166.44</v>
      </c>
      <c r="E4286" s="476">
        <v>0</v>
      </c>
      <c r="F4286" s="6">
        <v>0</v>
      </c>
      <c r="G4286" s="6">
        <v>9.96</v>
      </c>
    </row>
    <row r="4287" ht="15.75" customHeight="1" spans="1:7">
      <c r="A4287" s="4" t="s">
        <v>9689</v>
      </c>
      <c r="B4287" s="5" t="s">
        <v>9690</v>
      </c>
      <c r="C4287" s="4" t="s">
        <v>99</v>
      </c>
      <c r="D4287" s="475">
        <v>2.05</v>
      </c>
      <c r="E4287" s="476">
        <v>0.03632</v>
      </c>
      <c r="F4287" s="6">
        <v>0.072</v>
      </c>
      <c r="G4287" s="6">
        <v>37</v>
      </c>
    </row>
    <row r="4288" ht="15.75" customHeight="1" spans="1:7">
      <c r="A4288" s="4" t="s">
        <v>9691</v>
      </c>
      <c r="B4288" s="5" t="s">
        <v>9692</v>
      </c>
      <c r="C4288" s="4" t="s">
        <v>99</v>
      </c>
      <c r="D4288" s="475">
        <v>1.03</v>
      </c>
      <c r="E4288" s="476">
        <v>0.03632</v>
      </c>
      <c r="F4288" s="6">
        <v>0.036</v>
      </c>
      <c r="G4288" s="6">
        <v>74</v>
      </c>
    </row>
    <row r="4289" ht="15.75" customHeight="1" spans="1:7">
      <c r="A4289" s="4" t="s">
        <v>9693</v>
      </c>
      <c r="B4289" s="5" t="s">
        <v>9694</v>
      </c>
      <c r="C4289" s="4" t="s">
        <v>9</v>
      </c>
      <c r="D4289" s="475">
        <v>1094.91</v>
      </c>
      <c r="E4289" s="476">
        <v>0.03632</v>
      </c>
      <c r="F4289" s="6">
        <v>2.0792</v>
      </c>
      <c r="G4289" s="6">
        <v>4.74</v>
      </c>
    </row>
    <row r="4290" ht="15.75" customHeight="1" spans="1:7">
      <c r="A4290" s="4" t="s">
        <v>9695</v>
      </c>
      <c r="B4290" s="5" t="s">
        <v>9696</v>
      </c>
      <c r="C4290" s="4" t="s">
        <v>9</v>
      </c>
      <c r="D4290" s="475">
        <v>896.67</v>
      </c>
      <c r="E4290" s="476">
        <v>0.03632</v>
      </c>
      <c r="F4290" s="6">
        <v>1.6818</v>
      </c>
      <c r="G4290" s="6">
        <v>5.86</v>
      </c>
    </row>
    <row r="4291" ht="15.75" customHeight="1" spans="1:7">
      <c r="A4291" s="4" t="s">
        <v>9697</v>
      </c>
      <c r="B4291" s="5" t="s">
        <v>9698</v>
      </c>
      <c r="C4291" s="4" t="s">
        <v>9</v>
      </c>
      <c r="D4291" s="475">
        <v>549.26</v>
      </c>
      <c r="E4291" s="476">
        <v>0.03632</v>
      </c>
      <c r="F4291" s="6">
        <v>2.0792</v>
      </c>
      <c r="G4291" s="6">
        <v>4.74</v>
      </c>
    </row>
    <row r="4292" ht="15.75" customHeight="1" spans="1:7">
      <c r="A4292" s="4" t="s">
        <v>9699</v>
      </c>
      <c r="B4292" s="5" t="s">
        <v>9700</v>
      </c>
      <c r="C4292" s="4" t="s">
        <v>9</v>
      </c>
      <c r="D4292" s="475">
        <v>388.31</v>
      </c>
      <c r="E4292" s="476">
        <v>0.03632</v>
      </c>
      <c r="F4292" s="6">
        <v>1.3354</v>
      </c>
      <c r="G4292" s="6">
        <v>7.38</v>
      </c>
    </row>
    <row r="4293" ht="15.75" customHeight="1" spans="1:7">
      <c r="A4293" s="4" t="s">
        <v>9701</v>
      </c>
      <c r="B4293" s="5" t="s">
        <v>9702</v>
      </c>
      <c r="C4293" s="4" t="s">
        <v>9</v>
      </c>
      <c r="D4293" s="475">
        <v>344.32</v>
      </c>
      <c r="E4293" s="476">
        <v>0</v>
      </c>
      <c r="F4293" s="6">
        <v>0</v>
      </c>
      <c r="G4293" s="6">
        <v>75</v>
      </c>
    </row>
    <row r="4294" ht="15.75" customHeight="1" spans="1:7">
      <c r="A4294" s="4" t="s">
        <v>9703</v>
      </c>
      <c r="B4294" s="5" t="s">
        <v>9704</v>
      </c>
      <c r="C4294" s="4" t="s">
        <v>9</v>
      </c>
      <c r="D4294" s="475">
        <v>256.89</v>
      </c>
      <c r="E4294" s="476">
        <v>0</v>
      </c>
      <c r="F4294" s="6">
        <v>0</v>
      </c>
      <c r="G4294" s="6">
        <v>75</v>
      </c>
    </row>
    <row r="4295" ht="15.75" customHeight="1" spans="1:7">
      <c r="A4295" s="4" t="s">
        <v>9705</v>
      </c>
      <c r="B4295" s="5" t="s">
        <v>9706</v>
      </c>
      <c r="C4295" s="4" t="s">
        <v>9</v>
      </c>
      <c r="D4295" s="475">
        <v>72.91</v>
      </c>
      <c r="E4295" s="476">
        <v>0</v>
      </c>
      <c r="F4295" s="6">
        <v>0</v>
      </c>
      <c r="G4295" s="6">
        <v>1</v>
      </c>
    </row>
    <row r="4296" ht="15.75" customHeight="1" spans="1:7">
      <c r="A4296" s="4" t="s">
        <v>9707</v>
      </c>
      <c r="B4296" s="5" t="s">
        <v>9708</v>
      </c>
      <c r="C4296" s="4" t="s">
        <v>9</v>
      </c>
      <c r="D4296" s="475">
        <v>73.35</v>
      </c>
      <c r="E4296" s="476">
        <v>0</v>
      </c>
      <c r="F4296" s="6">
        <v>0</v>
      </c>
      <c r="G4296" s="6">
        <v>1</v>
      </c>
    </row>
    <row r="4297" ht="15.75" customHeight="1" spans="1:7">
      <c r="A4297" s="4" t="s">
        <v>9709</v>
      </c>
      <c r="B4297" s="5" t="s">
        <v>9710</v>
      </c>
      <c r="C4297" s="4" t="s">
        <v>9</v>
      </c>
      <c r="D4297" s="475">
        <v>104.17</v>
      </c>
      <c r="E4297" s="476">
        <v>0.03814</v>
      </c>
      <c r="F4297" s="6">
        <v>0.6252</v>
      </c>
      <c r="G4297" s="6">
        <v>39.38</v>
      </c>
    </row>
    <row r="4298" ht="15.75" customHeight="1" spans="1:7">
      <c r="A4298" s="4" t="s">
        <v>9711</v>
      </c>
      <c r="B4298" s="5" t="s">
        <v>9712</v>
      </c>
      <c r="C4298" s="4" t="s">
        <v>9</v>
      </c>
      <c r="D4298" s="475">
        <v>102.31</v>
      </c>
      <c r="E4298" s="476">
        <v>0.03814</v>
      </c>
      <c r="F4298" s="6">
        <v>0.6026</v>
      </c>
      <c r="G4298" s="6">
        <v>40.86</v>
      </c>
    </row>
    <row r="4299" ht="15.75" customHeight="1" spans="1:7">
      <c r="A4299" s="4" t="s">
        <v>9713</v>
      </c>
      <c r="B4299" s="5" t="s">
        <v>9714</v>
      </c>
      <c r="C4299" s="4" t="s">
        <v>9</v>
      </c>
      <c r="D4299" s="475">
        <v>297.51</v>
      </c>
      <c r="E4299" s="476">
        <v>0</v>
      </c>
      <c r="F4299" s="6">
        <v>0</v>
      </c>
      <c r="G4299" s="6">
        <v>75</v>
      </c>
    </row>
    <row r="4300" ht="15.75" customHeight="1" spans="1:7">
      <c r="A4300" s="4" t="s">
        <v>9715</v>
      </c>
      <c r="B4300" s="5" t="s">
        <v>9716</v>
      </c>
      <c r="C4300" s="4" t="s">
        <v>9</v>
      </c>
      <c r="D4300" s="475">
        <v>216.94</v>
      </c>
      <c r="E4300" s="476">
        <v>0</v>
      </c>
      <c r="F4300" s="6">
        <v>0</v>
      </c>
      <c r="G4300" s="6">
        <v>75</v>
      </c>
    </row>
    <row r="4301" ht="15.75" customHeight="1" spans="1:7">
      <c r="A4301" s="4" t="s">
        <v>9717</v>
      </c>
      <c r="B4301" s="5" t="s">
        <v>9718</v>
      </c>
      <c r="C4301" s="4" t="s">
        <v>9</v>
      </c>
      <c r="D4301" s="475">
        <v>72.51</v>
      </c>
      <c r="E4301" s="476">
        <v>0</v>
      </c>
      <c r="F4301" s="6">
        <v>0</v>
      </c>
      <c r="G4301" s="6">
        <v>1</v>
      </c>
    </row>
    <row r="4302" ht="15.75" customHeight="1" spans="1:7">
      <c r="A4302" s="4" t="s">
        <v>9719</v>
      </c>
      <c r="B4302" s="5" t="s">
        <v>9720</v>
      </c>
      <c r="C4302" s="4" t="s">
        <v>9</v>
      </c>
      <c r="D4302" s="475">
        <v>72.73</v>
      </c>
      <c r="E4302" s="476">
        <v>0</v>
      </c>
      <c r="F4302" s="6">
        <v>0</v>
      </c>
      <c r="G4302" s="6">
        <v>1</v>
      </c>
    </row>
    <row r="4303" ht="15.75" customHeight="1" spans="1:7">
      <c r="A4303" s="4" t="s">
        <v>9721</v>
      </c>
      <c r="B4303" s="5" t="s">
        <v>9722</v>
      </c>
      <c r="C4303" s="4" t="s">
        <v>9</v>
      </c>
      <c r="D4303" s="475">
        <v>92.93</v>
      </c>
      <c r="E4303" s="476">
        <v>0.03814</v>
      </c>
      <c r="F4303" s="6">
        <v>0.4881</v>
      </c>
      <c r="G4303" s="6">
        <v>50.44</v>
      </c>
    </row>
    <row r="4304" ht="15.75" customHeight="1" spans="1:7">
      <c r="A4304" s="4" t="s">
        <v>9723</v>
      </c>
      <c r="B4304" s="5" t="s">
        <v>9724</v>
      </c>
      <c r="C4304" s="4" t="s">
        <v>9</v>
      </c>
      <c r="D4304" s="475">
        <v>88.41</v>
      </c>
      <c r="E4304" s="476">
        <v>0.03814</v>
      </c>
      <c r="F4304" s="6">
        <v>0.4329</v>
      </c>
      <c r="G4304" s="6">
        <v>56.87</v>
      </c>
    </row>
    <row r="4305" ht="30" customHeight="1" spans="1:7">
      <c r="A4305" s="4" t="s">
        <v>9725</v>
      </c>
      <c r="B4305" s="5" t="s">
        <v>9726</v>
      </c>
      <c r="C4305" s="4" t="s">
        <v>9</v>
      </c>
      <c r="D4305" s="475">
        <v>36.75</v>
      </c>
      <c r="E4305" s="476">
        <v>0.03632</v>
      </c>
      <c r="F4305" s="6">
        <v>0.5715</v>
      </c>
      <c r="G4305" s="6">
        <v>15</v>
      </c>
    </row>
    <row r="4306" ht="30" customHeight="1" spans="1:7">
      <c r="A4306" s="4" t="s">
        <v>9727</v>
      </c>
      <c r="B4306" s="5" t="s">
        <v>9728</v>
      </c>
      <c r="C4306" s="4" t="s">
        <v>9</v>
      </c>
      <c r="D4306" s="475">
        <v>35.44</v>
      </c>
      <c r="E4306" s="476">
        <v>0.03632</v>
      </c>
      <c r="F4306" s="6">
        <v>0.5715</v>
      </c>
      <c r="G4306" s="6">
        <v>15</v>
      </c>
    </row>
    <row r="4307" ht="30" customHeight="1" spans="1:7">
      <c r="A4307" s="4" t="s">
        <v>9729</v>
      </c>
      <c r="B4307" s="5" t="s">
        <v>9730</v>
      </c>
      <c r="C4307" s="4" t="s">
        <v>9</v>
      </c>
      <c r="D4307" s="475">
        <v>30.28</v>
      </c>
      <c r="E4307" s="476">
        <v>0.03632</v>
      </c>
      <c r="F4307" s="6">
        <v>0.5715</v>
      </c>
      <c r="G4307" s="6">
        <v>15</v>
      </c>
    </row>
    <row r="4308" ht="30" customHeight="1" spans="1:7">
      <c r="A4308" s="4" t="s">
        <v>9731</v>
      </c>
      <c r="B4308" s="5" t="s">
        <v>9732</v>
      </c>
      <c r="C4308" s="4" t="s">
        <v>9</v>
      </c>
      <c r="D4308" s="475">
        <v>29.71</v>
      </c>
      <c r="E4308" s="476">
        <v>0.03632</v>
      </c>
      <c r="F4308" s="6">
        <v>0.5715</v>
      </c>
      <c r="G4308" s="6">
        <v>15</v>
      </c>
    </row>
    <row r="4309" ht="15.75" customHeight="1" spans="1:7">
      <c r="A4309" s="4" t="s">
        <v>9733</v>
      </c>
      <c r="B4309" s="5" t="s">
        <v>9734</v>
      </c>
      <c r="C4309" s="4" t="s">
        <v>9</v>
      </c>
      <c r="D4309" s="475">
        <v>28.36</v>
      </c>
      <c r="E4309" s="476">
        <v>0.03632</v>
      </c>
      <c r="F4309" s="6">
        <v>0.3429</v>
      </c>
      <c r="G4309" s="6">
        <v>10</v>
      </c>
    </row>
    <row r="4310" ht="15.75" customHeight="1" spans="1:7">
      <c r="A4310" s="4" t="s">
        <v>9735</v>
      </c>
      <c r="B4310" s="5" t="s">
        <v>9736</v>
      </c>
      <c r="C4310" s="4" t="s">
        <v>9</v>
      </c>
      <c r="D4310" s="475">
        <v>26.48</v>
      </c>
      <c r="E4310" s="476">
        <v>0.03632</v>
      </c>
      <c r="F4310" s="6">
        <v>0.3429</v>
      </c>
      <c r="G4310" s="6">
        <v>10</v>
      </c>
    </row>
    <row r="4311" ht="15.75" customHeight="1" spans="1:7">
      <c r="A4311" s="4" t="s">
        <v>9737</v>
      </c>
      <c r="B4311" s="5" t="s">
        <v>9738</v>
      </c>
      <c r="C4311" s="4" t="s">
        <v>9</v>
      </c>
      <c r="D4311" s="475">
        <v>337.08</v>
      </c>
      <c r="E4311" s="476">
        <v>0.03632</v>
      </c>
      <c r="F4311" s="6">
        <v>0.2276</v>
      </c>
      <c r="G4311" s="6">
        <v>32.48</v>
      </c>
    </row>
    <row r="4312" ht="15.75" customHeight="1" spans="1:7">
      <c r="A4312" s="4" t="s">
        <v>9739</v>
      </c>
      <c r="B4312" s="5" t="s">
        <v>9740</v>
      </c>
      <c r="C4312" s="4" t="s">
        <v>9</v>
      </c>
      <c r="D4312" s="475">
        <v>249.65</v>
      </c>
      <c r="E4312" s="476">
        <v>0.03632</v>
      </c>
      <c r="F4312" s="6">
        <v>0.2276</v>
      </c>
      <c r="G4312" s="6">
        <v>32.48</v>
      </c>
    </row>
    <row r="4313" ht="15.75" customHeight="1" spans="1:7">
      <c r="A4313" s="4" t="s">
        <v>9741</v>
      </c>
      <c r="B4313" s="5" t="s">
        <v>9742</v>
      </c>
      <c r="C4313" s="4" t="s">
        <v>9</v>
      </c>
      <c r="D4313" s="475">
        <v>290.27</v>
      </c>
      <c r="E4313" s="476">
        <v>0.03632</v>
      </c>
      <c r="F4313" s="6">
        <v>0.2276</v>
      </c>
      <c r="G4313" s="6">
        <v>32.48</v>
      </c>
    </row>
    <row r="4314" ht="15.75" customHeight="1" spans="1:7">
      <c r="A4314" s="4" t="s">
        <v>9743</v>
      </c>
      <c r="B4314" s="5" t="s">
        <v>9744</v>
      </c>
      <c r="C4314" s="4" t="s">
        <v>9</v>
      </c>
      <c r="D4314" s="475">
        <v>209.7</v>
      </c>
      <c r="E4314" s="476">
        <v>0.03632</v>
      </c>
      <c r="F4314" s="6">
        <v>0.2276</v>
      </c>
      <c r="G4314" s="6">
        <v>32.48</v>
      </c>
    </row>
    <row r="4315" ht="15.75" customHeight="1" spans="1:7">
      <c r="A4315" s="4" t="s">
        <v>9745</v>
      </c>
      <c r="B4315" s="5" t="s">
        <v>9746</v>
      </c>
      <c r="C4315" s="4" t="s">
        <v>9</v>
      </c>
      <c r="D4315" s="475">
        <v>1002.84</v>
      </c>
      <c r="E4315" s="476">
        <v>0.03632</v>
      </c>
      <c r="F4315" s="6">
        <v>0.3463</v>
      </c>
      <c r="G4315" s="6">
        <v>28.46</v>
      </c>
    </row>
    <row r="4316" ht="15.75" customHeight="1" spans="1:7">
      <c r="A4316" s="4" t="s">
        <v>9747</v>
      </c>
      <c r="B4316" s="5" t="s">
        <v>9748</v>
      </c>
      <c r="C4316" s="4" t="s">
        <v>9</v>
      </c>
      <c r="D4316" s="475">
        <v>820.46</v>
      </c>
      <c r="E4316" s="476">
        <v>0.03632</v>
      </c>
      <c r="F4316" s="6">
        <v>0.2474</v>
      </c>
      <c r="G4316" s="6">
        <v>39.84</v>
      </c>
    </row>
    <row r="4317" ht="15.75" customHeight="1" spans="1:7">
      <c r="A4317" s="4" t="s">
        <v>9749</v>
      </c>
      <c r="B4317" s="5" t="s">
        <v>9750</v>
      </c>
      <c r="C4317" s="4" t="s">
        <v>9</v>
      </c>
      <c r="D4317" s="475">
        <v>457.19</v>
      </c>
      <c r="E4317" s="476">
        <v>0.03632</v>
      </c>
      <c r="F4317" s="6">
        <v>0.3463</v>
      </c>
      <c r="G4317" s="6">
        <v>28.46</v>
      </c>
    </row>
    <row r="4318" ht="15.75" customHeight="1" spans="1:7">
      <c r="A4318" s="4" t="s">
        <v>9751</v>
      </c>
      <c r="B4318" s="5" t="s">
        <v>9752</v>
      </c>
      <c r="C4318" s="4" t="s">
        <v>9</v>
      </c>
      <c r="D4318" s="475">
        <v>325.25</v>
      </c>
      <c r="E4318" s="476">
        <v>0.03632</v>
      </c>
      <c r="F4318" s="6">
        <v>0.1484</v>
      </c>
      <c r="G4318" s="6">
        <v>66.4</v>
      </c>
    </row>
    <row r="4319" ht="15.75" customHeight="1" spans="1:7">
      <c r="A4319" s="4" t="s">
        <v>9753</v>
      </c>
      <c r="B4319" s="5" t="s">
        <v>9754</v>
      </c>
      <c r="C4319" s="4" t="s">
        <v>82</v>
      </c>
      <c r="D4319" s="475">
        <v>54.09</v>
      </c>
      <c r="E4319" s="476">
        <v>0.03632</v>
      </c>
      <c r="F4319" s="6">
        <v>0.0464</v>
      </c>
      <c r="G4319" s="6">
        <v>77.53</v>
      </c>
    </row>
    <row r="4320" ht="15.75" customHeight="1" spans="1:7">
      <c r="A4320" s="4" t="s">
        <v>9755</v>
      </c>
      <c r="B4320" s="5" t="s">
        <v>9756</v>
      </c>
      <c r="C4320" s="4" t="s">
        <v>82</v>
      </c>
      <c r="D4320" s="475">
        <v>48.49</v>
      </c>
      <c r="E4320" s="476">
        <v>0.03632</v>
      </c>
      <c r="F4320" s="6">
        <v>0.0464</v>
      </c>
      <c r="G4320" s="6">
        <v>77.53</v>
      </c>
    </row>
    <row r="4321" ht="15.75" customHeight="1" spans="1:7">
      <c r="A4321" s="4" t="s">
        <v>9757</v>
      </c>
      <c r="B4321" s="5" t="s">
        <v>9758</v>
      </c>
      <c r="C4321" s="4" t="s">
        <v>82</v>
      </c>
      <c r="D4321" s="475">
        <v>32.21</v>
      </c>
      <c r="E4321" s="476">
        <v>0.03632</v>
      </c>
      <c r="F4321" s="6">
        <v>0.0201</v>
      </c>
      <c r="G4321" s="6">
        <v>179.1</v>
      </c>
    </row>
    <row r="4322" ht="15.75" customHeight="1" spans="1:7">
      <c r="A4322" s="4" t="s">
        <v>9759</v>
      </c>
      <c r="B4322" s="5" t="s">
        <v>9760</v>
      </c>
      <c r="C4322" s="4" t="s">
        <v>82</v>
      </c>
      <c r="D4322" s="475">
        <v>29.79</v>
      </c>
      <c r="E4322" s="476">
        <v>0.03632</v>
      </c>
      <c r="F4322" s="6">
        <v>0.0201</v>
      </c>
      <c r="G4322" s="6">
        <v>179.1</v>
      </c>
    </row>
    <row r="4323" ht="15.75" customHeight="1" spans="1:7">
      <c r="A4323" s="4" t="s">
        <v>9761</v>
      </c>
      <c r="B4323" s="5" t="s">
        <v>9762</v>
      </c>
      <c r="C4323" s="4" t="s">
        <v>82</v>
      </c>
      <c r="D4323" s="475">
        <v>35.43</v>
      </c>
      <c r="E4323" s="476">
        <v>0.03632</v>
      </c>
      <c r="F4323" s="6">
        <v>0.0238</v>
      </c>
      <c r="G4323" s="6">
        <v>151.04</v>
      </c>
    </row>
    <row r="4324" ht="15.75" customHeight="1" spans="1:7">
      <c r="A4324" s="4" t="s">
        <v>9763</v>
      </c>
      <c r="B4324" s="5" t="s">
        <v>9764</v>
      </c>
      <c r="C4324" s="4" t="s">
        <v>82</v>
      </c>
      <c r="D4324" s="475">
        <v>32.56</v>
      </c>
      <c r="E4324" s="476">
        <v>0.03632</v>
      </c>
      <c r="F4324" s="6">
        <v>0.0238</v>
      </c>
      <c r="G4324" s="6">
        <v>151.04</v>
      </c>
    </row>
    <row r="4325" ht="15.75" customHeight="1" spans="1:7">
      <c r="A4325" s="4" t="s">
        <v>9765</v>
      </c>
      <c r="B4325" s="5" t="s">
        <v>9766</v>
      </c>
      <c r="C4325" s="4" t="s">
        <v>82</v>
      </c>
      <c r="D4325" s="475">
        <v>22.41</v>
      </c>
      <c r="E4325" s="476">
        <v>0.03632</v>
      </c>
      <c r="F4325" s="6">
        <v>0.0103</v>
      </c>
      <c r="G4325" s="6">
        <v>348.92</v>
      </c>
    </row>
    <row r="4326" ht="15.75" customHeight="1" spans="1:7">
      <c r="A4326" s="4" t="s">
        <v>9767</v>
      </c>
      <c r="B4326" s="5" t="s">
        <v>9768</v>
      </c>
      <c r="C4326" s="4" t="s">
        <v>82</v>
      </c>
      <c r="D4326" s="475">
        <v>21.17</v>
      </c>
      <c r="E4326" s="476">
        <v>0.03632</v>
      </c>
      <c r="F4326" s="6">
        <v>0.0103</v>
      </c>
      <c r="G4326" s="6">
        <v>348.92</v>
      </c>
    </row>
    <row r="4327" ht="30" customHeight="1" spans="1:7">
      <c r="A4327" s="4" t="s">
        <v>9769</v>
      </c>
      <c r="B4327" s="5" t="s">
        <v>9770</v>
      </c>
      <c r="C4327" s="4" t="s">
        <v>82</v>
      </c>
      <c r="D4327" s="475">
        <v>341566.63</v>
      </c>
      <c r="E4327" s="476">
        <v>0.03632</v>
      </c>
      <c r="F4327" s="6">
        <v>19.3815</v>
      </c>
      <c r="G4327" s="6">
        <v>0.33333</v>
      </c>
    </row>
    <row r="4328" ht="30" customHeight="1" spans="1:7">
      <c r="A4328" s="4" t="s">
        <v>9771</v>
      </c>
      <c r="B4328" s="5" t="s">
        <v>9772</v>
      </c>
      <c r="C4328" s="4" t="s">
        <v>82</v>
      </c>
      <c r="D4328" s="475">
        <v>343874.19</v>
      </c>
      <c r="E4328" s="476">
        <v>0.03632</v>
      </c>
      <c r="F4328" s="6">
        <v>19.3815</v>
      </c>
      <c r="G4328" s="6">
        <v>0.33333</v>
      </c>
    </row>
    <row r="4329" ht="30" customHeight="1" spans="1:7">
      <c r="A4329" s="4" t="s">
        <v>9773</v>
      </c>
      <c r="B4329" s="5" t="s">
        <v>9774</v>
      </c>
      <c r="C4329" s="4" t="s">
        <v>82</v>
      </c>
      <c r="D4329" s="475">
        <v>345428.84</v>
      </c>
      <c r="E4329" s="476">
        <v>0.03632</v>
      </c>
      <c r="F4329" s="6">
        <v>19.3815</v>
      </c>
      <c r="G4329" s="6">
        <v>0.33333</v>
      </c>
    </row>
    <row r="4330" ht="30" customHeight="1" spans="1:7">
      <c r="A4330" s="4" t="s">
        <v>9775</v>
      </c>
      <c r="B4330" s="5" t="s">
        <v>9776</v>
      </c>
      <c r="C4330" s="4" t="s">
        <v>82</v>
      </c>
      <c r="D4330" s="475">
        <v>354346.43</v>
      </c>
      <c r="E4330" s="476">
        <v>0.03632</v>
      </c>
      <c r="F4330" s="6">
        <v>19.3815</v>
      </c>
      <c r="G4330" s="6">
        <v>0.33333</v>
      </c>
    </row>
    <row r="4331" ht="30" customHeight="1" spans="1:7">
      <c r="A4331" s="4" t="s">
        <v>9777</v>
      </c>
      <c r="B4331" s="5" t="s">
        <v>9778</v>
      </c>
      <c r="C4331" s="4" t="s">
        <v>82</v>
      </c>
      <c r="D4331" s="475">
        <v>363078.95</v>
      </c>
      <c r="E4331" s="476">
        <v>0.03632</v>
      </c>
      <c r="F4331" s="6">
        <v>19.3815</v>
      </c>
      <c r="G4331" s="6">
        <v>0.33333</v>
      </c>
    </row>
    <row r="4332" ht="30" customHeight="1" spans="1:7">
      <c r="A4332" s="4" t="s">
        <v>9779</v>
      </c>
      <c r="B4332" s="5" t="s">
        <v>9780</v>
      </c>
      <c r="C4332" s="4" t="s">
        <v>82</v>
      </c>
      <c r="D4332" s="475">
        <v>276320.93</v>
      </c>
      <c r="E4332" s="476">
        <v>0.03632</v>
      </c>
      <c r="F4332" s="6">
        <v>19.3815</v>
      </c>
      <c r="G4332" s="6">
        <v>0.33333</v>
      </c>
    </row>
    <row r="4333" ht="30" customHeight="1" spans="1:7">
      <c r="A4333" s="4" t="s">
        <v>9781</v>
      </c>
      <c r="B4333" s="5" t="s">
        <v>9782</v>
      </c>
      <c r="C4333" s="4" t="s">
        <v>82</v>
      </c>
      <c r="D4333" s="475">
        <v>290460.9</v>
      </c>
      <c r="E4333" s="476">
        <v>0.03632</v>
      </c>
      <c r="F4333" s="6">
        <v>19.3815</v>
      </c>
      <c r="G4333" s="6">
        <v>0.33333</v>
      </c>
    </row>
    <row r="4334" ht="30" customHeight="1" spans="1:7">
      <c r="A4334" s="4" t="s">
        <v>9783</v>
      </c>
      <c r="B4334" s="5" t="s">
        <v>9784</v>
      </c>
      <c r="C4334" s="4" t="s">
        <v>82</v>
      </c>
      <c r="D4334" s="475">
        <v>308995.61</v>
      </c>
      <c r="E4334" s="476">
        <v>0.03632</v>
      </c>
      <c r="F4334" s="6">
        <v>19.3815</v>
      </c>
      <c r="G4334" s="6">
        <v>0.33333</v>
      </c>
    </row>
    <row r="4335" ht="30" customHeight="1" spans="1:7">
      <c r="A4335" s="4" t="s">
        <v>9785</v>
      </c>
      <c r="B4335" s="5" t="s">
        <v>9786</v>
      </c>
      <c r="C4335" s="4" t="s">
        <v>82</v>
      </c>
      <c r="D4335" s="475">
        <v>322536.11</v>
      </c>
      <c r="E4335" s="476">
        <v>0.03632</v>
      </c>
      <c r="F4335" s="6">
        <v>19.3815</v>
      </c>
      <c r="G4335" s="6">
        <v>0.33333</v>
      </c>
    </row>
    <row r="4336" ht="30" customHeight="1" spans="1:7">
      <c r="A4336" s="4" t="s">
        <v>9787</v>
      </c>
      <c r="B4336" s="5" t="s">
        <v>9788</v>
      </c>
      <c r="C4336" s="4" t="s">
        <v>82</v>
      </c>
      <c r="D4336" s="475">
        <v>335311.12</v>
      </c>
      <c r="E4336" s="476">
        <v>0.03632</v>
      </c>
      <c r="F4336" s="6">
        <v>19.3815</v>
      </c>
      <c r="G4336" s="6">
        <v>0.33333</v>
      </c>
    </row>
    <row r="4337" ht="30" customHeight="1" spans="1:7">
      <c r="A4337" s="4" t="s">
        <v>9789</v>
      </c>
      <c r="B4337" s="5" t="s">
        <v>9790</v>
      </c>
      <c r="C4337" s="4" t="s">
        <v>82</v>
      </c>
      <c r="D4337" s="475">
        <v>234463.02</v>
      </c>
      <c r="E4337" s="476">
        <v>0.03632</v>
      </c>
      <c r="F4337" s="6">
        <v>19.3815</v>
      </c>
      <c r="G4337" s="6">
        <v>0.33333</v>
      </c>
    </row>
    <row r="4338" ht="30" customHeight="1" spans="1:7">
      <c r="A4338" s="4" t="s">
        <v>9791</v>
      </c>
      <c r="B4338" s="5" t="s">
        <v>9792</v>
      </c>
      <c r="C4338" s="4" t="s">
        <v>82</v>
      </c>
      <c r="D4338" s="475">
        <v>225353.09</v>
      </c>
      <c r="E4338" s="476">
        <v>0.03632</v>
      </c>
      <c r="F4338" s="6">
        <v>19.3815</v>
      </c>
      <c r="G4338" s="6">
        <v>0.33333</v>
      </c>
    </row>
    <row r="4339" ht="15.75" customHeight="1" spans="1:7">
      <c r="A4339" s="4" t="s">
        <v>9793</v>
      </c>
      <c r="B4339" s="5" t="s">
        <v>9794</v>
      </c>
      <c r="C4339" s="4" t="s">
        <v>82</v>
      </c>
      <c r="D4339" s="475">
        <v>6882.41</v>
      </c>
      <c r="E4339" s="476">
        <v>0.03632</v>
      </c>
      <c r="F4339" s="6">
        <v>2.1804</v>
      </c>
      <c r="G4339" s="6">
        <v>4.52</v>
      </c>
    </row>
    <row r="4340" ht="15.75" customHeight="1" spans="1:7">
      <c r="A4340" s="4" t="s">
        <v>9795</v>
      </c>
      <c r="B4340" s="5" t="s">
        <v>9796</v>
      </c>
      <c r="C4340" s="4" t="s">
        <v>9</v>
      </c>
      <c r="D4340" s="475">
        <v>26.09</v>
      </c>
      <c r="E4340" s="476">
        <v>0.03632</v>
      </c>
      <c r="F4340" s="6">
        <v>0.7072</v>
      </c>
      <c r="G4340" s="6">
        <v>12</v>
      </c>
    </row>
    <row r="4341" ht="15.75" customHeight="1" spans="1:7">
      <c r="A4341" s="4" t="s">
        <v>9797</v>
      </c>
      <c r="B4341" s="5" t="s">
        <v>9798</v>
      </c>
      <c r="C4341" s="4" t="s">
        <v>82</v>
      </c>
      <c r="D4341" s="475">
        <v>15135.63</v>
      </c>
      <c r="E4341" s="476">
        <v>0.04722</v>
      </c>
      <c r="F4341" s="6">
        <v>12.813</v>
      </c>
      <c r="G4341" s="6">
        <v>1</v>
      </c>
    </row>
    <row r="4342" ht="15.75" customHeight="1" spans="1:7">
      <c r="A4342" s="4" t="s">
        <v>9799</v>
      </c>
      <c r="B4342" s="5" t="s">
        <v>9800</v>
      </c>
      <c r="C4342" s="4" t="s">
        <v>82</v>
      </c>
      <c r="D4342" s="475">
        <v>439.93</v>
      </c>
      <c r="E4342" s="476">
        <v>0.03632</v>
      </c>
      <c r="F4342" s="6">
        <v>1.103</v>
      </c>
      <c r="G4342" s="6">
        <v>2</v>
      </c>
    </row>
    <row r="4343" ht="15.75" customHeight="1" spans="1:7">
      <c r="A4343" s="4" t="s">
        <v>9801</v>
      </c>
      <c r="B4343" s="5" t="s">
        <v>9802</v>
      </c>
      <c r="C4343" s="4" t="s">
        <v>82</v>
      </c>
      <c r="D4343" s="475">
        <v>529.33</v>
      </c>
      <c r="E4343" s="476">
        <v>0.03632</v>
      </c>
      <c r="F4343" s="6">
        <v>1.103</v>
      </c>
      <c r="G4343" s="6">
        <v>2</v>
      </c>
    </row>
    <row r="4344" ht="15.75" customHeight="1" spans="1:7">
      <c r="A4344" s="4" t="s">
        <v>9803</v>
      </c>
      <c r="B4344" s="5" t="s">
        <v>9804</v>
      </c>
      <c r="C4344" s="4" t="s">
        <v>9</v>
      </c>
      <c r="D4344" s="475">
        <v>316.93</v>
      </c>
      <c r="E4344" s="476">
        <v>0</v>
      </c>
      <c r="F4344" s="6">
        <v>0</v>
      </c>
      <c r="G4344" s="6">
        <v>1</v>
      </c>
    </row>
    <row r="4345" ht="15.75" customHeight="1" spans="1:7">
      <c r="A4345" s="4" t="s">
        <v>9805</v>
      </c>
      <c r="B4345" s="5" t="s">
        <v>9806</v>
      </c>
      <c r="C4345" s="4" t="s">
        <v>9</v>
      </c>
      <c r="D4345" s="475">
        <v>321.03</v>
      </c>
      <c r="E4345" s="476">
        <v>0</v>
      </c>
      <c r="F4345" s="6">
        <v>0</v>
      </c>
      <c r="G4345" s="6">
        <v>1</v>
      </c>
    </row>
    <row r="4346" ht="15.75" customHeight="1" spans="1:7">
      <c r="A4346" s="4" t="s">
        <v>9807</v>
      </c>
      <c r="B4346" s="5" t="s">
        <v>9808</v>
      </c>
      <c r="C4346" s="4" t="s">
        <v>9</v>
      </c>
      <c r="D4346" s="475">
        <v>341.28</v>
      </c>
      <c r="E4346" s="476">
        <v>0.03814</v>
      </c>
      <c r="F4346" s="6">
        <v>0.5152</v>
      </c>
      <c r="G4346" s="6">
        <v>47.79</v>
      </c>
    </row>
    <row r="4347" ht="15.75" customHeight="1" spans="1:7">
      <c r="A4347" s="4" t="s">
        <v>9809</v>
      </c>
      <c r="B4347" s="5" t="s">
        <v>9810</v>
      </c>
      <c r="C4347" s="4" t="s">
        <v>9</v>
      </c>
      <c r="D4347" s="475">
        <v>342.45</v>
      </c>
      <c r="E4347" s="476">
        <v>0.03814</v>
      </c>
      <c r="F4347" s="6">
        <v>0.485</v>
      </c>
      <c r="G4347" s="6">
        <v>50.77</v>
      </c>
    </row>
    <row r="4348" ht="15.75" customHeight="1" spans="1:7">
      <c r="A4348" s="4" t="s">
        <v>9811</v>
      </c>
      <c r="B4348" s="5" t="s">
        <v>9812</v>
      </c>
      <c r="C4348" s="4" t="s">
        <v>9</v>
      </c>
      <c r="D4348" s="475">
        <v>295.53</v>
      </c>
      <c r="E4348" s="476">
        <v>0</v>
      </c>
      <c r="F4348" s="6">
        <v>0</v>
      </c>
      <c r="G4348" s="6">
        <v>1</v>
      </c>
    </row>
    <row r="4349" ht="15.75" customHeight="1" spans="1:7">
      <c r="A4349" s="4" t="s">
        <v>9813</v>
      </c>
      <c r="B4349" s="5" t="s">
        <v>9814</v>
      </c>
      <c r="C4349" s="4" t="s">
        <v>9</v>
      </c>
      <c r="D4349" s="475">
        <v>294.21</v>
      </c>
      <c r="E4349" s="476">
        <v>0</v>
      </c>
      <c r="F4349" s="6">
        <v>0</v>
      </c>
      <c r="G4349" s="6">
        <v>1</v>
      </c>
    </row>
    <row r="4350" ht="15.75" customHeight="1" spans="1:7">
      <c r="A4350" s="4" t="s">
        <v>9815</v>
      </c>
      <c r="B4350" s="5" t="s">
        <v>9816</v>
      </c>
      <c r="C4350" s="4" t="s">
        <v>9</v>
      </c>
      <c r="D4350" s="475">
        <v>311.98</v>
      </c>
      <c r="E4350" s="476">
        <v>0.03814</v>
      </c>
      <c r="F4350" s="6">
        <v>0.4139</v>
      </c>
      <c r="G4350" s="6">
        <v>59.49</v>
      </c>
    </row>
    <row r="4351" ht="15.75" customHeight="1" spans="1:7">
      <c r="A4351" s="4" t="s">
        <v>9817</v>
      </c>
      <c r="B4351" s="5" t="s">
        <v>9818</v>
      </c>
      <c r="C4351" s="4" t="s">
        <v>9</v>
      </c>
      <c r="D4351" s="475">
        <v>305.98</v>
      </c>
      <c r="E4351" s="476">
        <v>0.03814</v>
      </c>
      <c r="F4351" s="6">
        <v>0.3596</v>
      </c>
      <c r="G4351" s="6">
        <v>68.47</v>
      </c>
    </row>
    <row r="4352" ht="15.75" customHeight="1" spans="1:7">
      <c r="A4352" s="4" t="s">
        <v>9819</v>
      </c>
      <c r="B4352" s="5" t="s">
        <v>9820</v>
      </c>
      <c r="C4352" s="4" t="s">
        <v>82</v>
      </c>
      <c r="D4352" s="475">
        <v>69.04</v>
      </c>
      <c r="E4352" s="476">
        <v>0</v>
      </c>
      <c r="F4352" s="6">
        <v>0</v>
      </c>
      <c r="G4352" s="6">
        <v>1.4519</v>
      </c>
    </row>
    <row r="4353" ht="15.75" customHeight="1" spans="1:7">
      <c r="A4353" s="4" t="s">
        <v>9821</v>
      </c>
      <c r="B4353" s="5" t="s">
        <v>9822</v>
      </c>
      <c r="C4353" s="4" t="s">
        <v>7</v>
      </c>
      <c r="D4353" s="475">
        <v>25.38</v>
      </c>
      <c r="E4353" s="476">
        <v>0.03814</v>
      </c>
      <c r="F4353" s="6">
        <v>0.4103</v>
      </c>
      <c r="G4353" s="6">
        <v>2.59375</v>
      </c>
    </row>
    <row r="4354" ht="15.75" customHeight="1" spans="1:7">
      <c r="A4354" s="4" t="s">
        <v>9823</v>
      </c>
      <c r="B4354" s="5" t="s">
        <v>9824</v>
      </c>
      <c r="C4354" s="4" t="s">
        <v>146</v>
      </c>
      <c r="D4354" s="475">
        <v>203721.09</v>
      </c>
      <c r="E4354" s="476">
        <v>0</v>
      </c>
      <c r="F4354" s="6">
        <v>0</v>
      </c>
      <c r="G4354" s="6">
        <v>1</v>
      </c>
    </row>
    <row r="4355" ht="15.75" customHeight="1" spans="1:7">
      <c r="A4355" s="4" t="s">
        <v>9825</v>
      </c>
      <c r="B4355" s="5" t="s">
        <v>9826</v>
      </c>
      <c r="C4355" s="4" t="s">
        <v>146</v>
      </c>
      <c r="D4355" s="475">
        <v>213983.45</v>
      </c>
      <c r="E4355" s="476">
        <v>0</v>
      </c>
      <c r="F4355" s="6">
        <v>0</v>
      </c>
      <c r="G4355" s="6">
        <v>1</v>
      </c>
    </row>
    <row r="4356" ht="15.75" customHeight="1" spans="1:7">
      <c r="A4356" s="4" t="s">
        <v>9827</v>
      </c>
      <c r="B4356" s="5" t="s">
        <v>9828</v>
      </c>
      <c r="C4356" s="4" t="s">
        <v>146</v>
      </c>
      <c r="D4356" s="475">
        <v>288293.4</v>
      </c>
      <c r="E4356" s="476">
        <v>0</v>
      </c>
      <c r="F4356" s="6">
        <v>0</v>
      </c>
      <c r="G4356" s="6">
        <v>1</v>
      </c>
    </row>
    <row r="4357" ht="15.75" customHeight="1" spans="1:7">
      <c r="A4357" s="4" t="s">
        <v>9829</v>
      </c>
      <c r="B4357" s="5" t="s">
        <v>9830</v>
      </c>
      <c r="C4357" s="4" t="s">
        <v>146</v>
      </c>
      <c r="D4357" s="475">
        <v>41894.3</v>
      </c>
      <c r="E4357" s="476">
        <v>0</v>
      </c>
      <c r="F4357" s="6">
        <v>0</v>
      </c>
      <c r="G4357" s="6">
        <v>1</v>
      </c>
    </row>
    <row r="4358" ht="15.75" customHeight="1" spans="1:7">
      <c r="A4358" s="4" t="s">
        <v>9831</v>
      </c>
      <c r="B4358" s="5" t="s">
        <v>9832</v>
      </c>
      <c r="C4358" s="4" t="s">
        <v>82</v>
      </c>
      <c r="D4358" s="475">
        <v>8.2</v>
      </c>
      <c r="E4358" s="476">
        <v>0.03632</v>
      </c>
      <c r="F4358" s="6">
        <v>0.0782</v>
      </c>
      <c r="G4358" s="6">
        <v>13.07</v>
      </c>
    </row>
    <row r="4359" ht="15.75" customHeight="1" spans="1:7">
      <c r="A4359" s="4" t="s">
        <v>9833</v>
      </c>
      <c r="B4359" s="5" t="s">
        <v>9834</v>
      </c>
      <c r="C4359" s="4" t="s">
        <v>82</v>
      </c>
      <c r="D4359" s="475">
        <v>12.86</v>
      </c>
      <c r="E4359" s="476">
        <v>0.03632</v>
      </c>
      <c r="F4359" s="6">
        <v>0.079</v>
      </c>
      <c r="G4359" s="6">
        <v>12.94</v>
      </c>
    </row>
    <row r="4360" ht="15.75" customHeight="1" spans="1:7">
      <c r="A4360" s="4" t="s">
        <v>9835</v>
      </c>
      <c r="B4360" s="5" t="s">
        <v>9836</v>
      </c>
      <c r="C4360" s="4" t="s">
        <v>82</v>
      </c>
      <c r="D4360" s="475">
        <v>17.88</v>
      </c>
      <c r="E4360" s="476">
        <v>0.03632</v>
      </c>
      <c r="F4360" s="6">
        <v>0.081</v>
      </c>
      <c r="G4360" s="6">
        <v>12.61</v>
      </c>
    </row>
    <row r="4361" ht="15.75" customHeight="1" spans="1:7">
      <c r="A4361" s="4" t="s">
        <v>9837</v>
      </c>
      <c r="B4361" s="5" t="s">
        <v>9838</v>
      </c>
      <c r="C4361" s="4" t="s">
        <v>82</v>
      </c>
      <c r="D4361" s="475">
        <v>3.37</v>
      </c>
      <c r="E4361" s="476">
        <v>0.03632</v>
      </c>
      <c r="F4361" s="6">
        <v>0.0747</v>
      </c>
      <c r="G4361" s="6">
        <v>13.32</v>
      </c>
    </row>
    <row r="4362" ht="15.75" customHeight="1" spans="1:7">
      <c r="A4362" s="4" t="s">
        <v>9839</v>
      </c>
      <c r="B4362" s="5" t="s">
        <v>9840</v>
      </c>
      <c r="C4362" s="4" t="s">
        <v>82</v>
      </c>
      <c r="D4362" s="475">
        <v>4.48</v>
      </c>
      <c r="E4362" s="476">
        <v>0.03632</v>
      </c>
      <c r="F4362" s="6">
        <v>0.075</v>
      </c>
      <c r="G4362" s="6">
        <v>13.28</v>
      </c>
    </row>
    <row r="4363" ht="15.75" customHeight="1" spans="1:7">
      <c r="A4363" s="4" t="s">
        <v>9841</v>
      </c>
      <c r="B4363" s="5" t="s">
        <v>9842</v>
      </c>
      <c r="C4363" s="4" t="s">
        <v>9</v>
      </c>
      <c r="D4363" s="475">
        <v>9.75</v>
      </c>
      <c r="E4363" s="476">
        <v>0.03632</v>
      </c>
      <c r="F4363" s="6">
        <v>0.2972</v>
      </c>
      <c r="G4363" s="6">
        <v>2.9</v>
      </c>
    </row>
    <row r="4364" ht="15.75" customHeight="1" spans="1:7">
      <c r="A4364" s="4" t="s">
        <v>9843</v>
      </c>
      <c r="B4364" s="5" t="s">
        <v>9844</v>
      </c>
      <c r="C4364" s="4" t="s">
        <v>9</v>
      </c>
      <c r="D4364" s="475">
        <v>14.02</v>
      </c>
      <c r="E4364" s="476">
        <v>0.03632</v>
      </c>
      <c r="F4364" s="6">
        <v>0.4306</v>
      </c>
      <c r="G4364" s="6">
        <v>2</v>
      </c>
    </row>
    <row r="4365" ht="15.75" customHeight="1" spans="1:7">
      <c r="A4365" s="4" t="s">
        <v>9845</v>
      </c>
      <c r="B4365" s="5" t="s">
        <v>9846</v>
      </c>
      <c r="C4365" s="4" t="s">
        <v>9</v>
      </c>
      <c r="D4365" s="475">
        <v>5.71</v>
      </c>
      <c r="E4365" s="476">
        <v>0.03632</v>
      </c>
      <c r="F4365" s="6">
        <v>0.1725</v>
      </c>
      <c r="G4365" s="6">
        <v>5</v>
      </c>
    </row>
    <row r="4366" ht="15.75" customHeight="1" spans="1:7">
      <c r="A4366" s="4" t="s">
        <v>9847</v>
      </c>
      <c r="B4366" s="5" t="s">
        <v>9848</v>
      </c>
      <c r="C4366" s="4" t="s">
        <v>9</v>
      </c>
      <c r="D4366" s="475">
        <v>7.48</v>
      </c>
      <c r="E4366" s="476">
        <v>0.03632</v>
      </c>
      <c r="F4366" s="6">
        <v>0.2269</v>
      </c>
      <c r="G4366" s="6">
        <v>3.8</v>
      </c>
    </row>
    <row r="4367" ht="15.75" customHeight="1" spans="1:7">
      <c r="A4367" s="4" t="s">
        <v>9849</v>
      </c>
      <c r="B4367" s="5" t="s">
        <v>9850</v>
      </c>
      <c r="C4367" s="4" t="s">
        <v>99</v>
      </c>
      <c r="D4367" s="475">
        <v>720.81</v>
      </c>
      <c r="E4367" s="476">
        <v>0.03632</v>
      </c>
      <c r="F4367" s="6">
        <v>8.5144</v>
      </c>
      <c r="G4367" s="6">
        <v>0.73052</v>
      </c>
    </row>
    <row r="4368" ht="15.75" customHeight="1" spans="1:7">
      <c r="A4368" s="4" t="s">
        <v>9851</v>
      </c>
      <c r="B4368" s="5" t="s">
        <v>9852</v>
      </c>
      <c r="C4368" s="4" t="s">
        <v>82</v>
      </c>
      <c r="D4368" s="475">
        <v>88.1</v>
      </c>
      <c r="E4368" s="476">
        <v>0.03632</v>
      </c>
      <c r="F4368" s="6">
        <v>2.8187</v>
      </c>
      <c r="G4368" s="6">
        <v>1.4502</v>
      </c>
    </row>
    <row r="4369" ht="15.75" customHeight="1" spans="1:7">
      <c r="A4369" s="4" t="s">
        <v>9853</v>
      </c>
      <c r="B4369" s="5" t="s">
        <v>9854</v>
      </c>
      <c r="C4369" s="4" t="s">
        <v>82</v>
      </c>
      <c r="D4369" s="475">
        <v>119.51</v>
      </c>
      <c r="E4369" s="476">
        <v>0.03632</v>
      </c>
      <c r="F4369" s="6">
        <v>3.6752</v>
      </c>
      <c r="G4369" s="6">
        <v>1.18854</v>
      </c>
    </row>
    <row r="4370" ht="15.75" customHeight="1" spans="1:7">
      <c r="A4370" s="4" t="s">
        <v>9855</v>
      </c>
      <c r="B4370" s="5" t="s">
        <v>9856</v>
      </c>
      <c r="C4370" s="4" t="s">
        <v>82</v>
      </c>
      <c r="D4370" s="475">
        <v>99.02</v>
      </c>
      <c r="E4370" s="476">
        <v>0.03632</v>
      </c>
      <c r="F4370" s="6">
        <v>3.1397</v>
      </c>
      <c r="G4370" s="6">
        <v>1.32095</v>
      </c>
    </row>
    <row r="4371" ht="15.75" customHeight="1" spans="1:7">
      <c r="A4371" s="4" t="s">
        <v>9857</v>
      </c>
      <c r="B4371" s="5" t="s">
        <v>9858</v>
      </c>
      <c r="C4371" s="4" t="s">
        <v>82</v>
      </c>
      <c r="D4371" s="475">
        <v>118.22</v>
      </c>
      <c r="E4371" s="476">
        <v>0.03632</v>
      </c>
      <c r="F4371" s="6">
        <v>3.669</v>
      </c>
      <c r="G4371" s="6">
        <v>1.17176</v>
      </c>
    </row>
    <row r="4372" ht="15.75" customHeight="1" spans="1:7">
      <c r="A4372" s="4" t="s">
        <v>9859</v>
      </c>
      <c r="B4372" s="5" t="s">
        <v>9860</v>
      </c>
      <c r="C4372" s="4" t="s">
        <v>9</v>
      </c>
      <c r="D4372" s="475">
        <v>172.58</v>
      </c>
      <c r="E4372" s="476">
        <v>0.03632</v>
      </c>
      <c r="F4372" s="6">
        <v>3.1582</v>
      </c>
      <c r="G4372" s="6">
        <v>1</v>
      </c>
    </row>
    <row r="4373" ht="15.75" customHeight="1" spans="1:7">
      <c r="A4373" s="4" t="s">
        <v>9861</v>
      </c>
      <c r="B4373" s="5" t="s">
        <v>9862</v>
      </c>
      <c r="C4373" s="4" t="s">
        <v>82</v>
      </c>
      <c r="D4373" s="475">
        <v>177554.63</v>
      </c>
      <c r="E4373" s="476">
        <v>0</v>
      </c>
      <c r="F4373" s="6">
        <v>0</v>
      </c>
      <c r="G4373" s="6">
        <v>0.03929</v>
      </c>
    </row>
    <row r="4374" ht="15.75" customHeight="1" spans="1:7">
      <c r="A4374" s="4" t="s">
        <v>9863</v>
      </c>
      <c r="B4374" s="5" t="s">
        <v>9864</v>
      </c>
      <c r="C4374" s="4" t="s">
        <v>82</v>
      </c>
      <c r="D4374" s="475">
        <v>252859.55</v>
      </c>
      <c r="E4374" s="476">
        <v>0</v>
      </c>
      <c r="F4374" s="6">
        <v>0</v>
      </c>
      <c r="G4374" s="6">
        <v>0.02994</v>
      </c>
    </row>
    <row r="4375" ht="15.75" customHeight="1" spans="1:7">
      <c r="A4375" s="4" t="s">
        <v>9865</v>
      </c>
      <c r="B4375" s="5" t="s">
        <v>9866</v>
      </c>
      <c r="C4375" s="4" t="s">
        <v>82</v>
      </c>
      <c r="D4375" s="475">
        <v>316184.3</v>
      </c>
      <c r="E4375" s="476">
        <v>0</v>
      </c>
      <c r="F4375" s="6">
        <v>0</v>
      </c>
      <c r="G4375" s="6">
        <v>0.02353</v>
      </c>
    </row>
    <row r="4376" ht="15.75" customHeight="1" spans="1:7">
      <c r="A4376" s="4" t="s">
        <v>9867</v>
      </c>
      <c r="B4376" s="5" t="s">
        <v>9868</v>
      </c>
      <c r="C4376" s="4" t="s">
        <v>82</v>
      </c>
      <c r="D4376" s="475">
        <v>425627.94</v>
      </c>
      <c r="E4376" s="476">
        <v>0</v>
      </c>
      <c r="F4376" s="6">
        <v>0</v>
      </c>
      <c r="G4376" s="6">
        <v>0.01921</v>
      </c>
    </row>
    <row r="4377" ht="15.75" customHeight="1" spans="1:7">
      <c r="A4377" s="4" t="s">
        <v>9869</v>
      </c>
      <c r="B4377" s="5" t="s">
        <v>9870</v>
      </c>
      <c r="C4377" s="4" t="s">
        <v>82</v>
      </c>
      <c r="D4377" s="475">
        <v>490448.61</v>
      </c>
      <c r="E4377" s="476">
        <v>0</v>
      </c>
      <c r="F4377" s="6">
        <v>0</v>
      </c>
      <c r="G4377" s="6">
        <v>0.01691</v>
      </c>
    </row>
    <row r="4378" ht="15.75" customHeight="1" spans="1:7">
      <c r="A4378" s="4" t="s">
        <v>9871</v>
      </c>
      <c r="B4378" s="5" t="s">
        <v>9872</v>
      </c>
      <c r="C4378" s="4" t="s">
        <v>82</v>
      </c>
      <c r="D4378" s="475">
        <v>12136.83</v>
      </c>
      <c r="E4378" s="476">
        <v>0.03632</v>
      </c>
      <c r="F4378" s="6">
        <v>299.542</v>
      </c>
      <c r="G4378" s="6">
        <v>0.02083</v>
      </c>
    </row>
    <row r="4379" ht="15.75" customHeight="1" spans="1:7">
      <c r="A4379" s="4" t="s">
        <v>9873</v>
      </c>
      <c r="B4379" s="5" t="s">
        <v>9874</v>
      </c>
      <c r="C4379" s="4" t="s">
        <v>104</v>
      </c>
      <c r="D4379" s="475">
        <v>145.66</v>
      </c>
      <c r="E4379" s="476">
        <v>0.03632</v>
      </c>
      <c r="F4379" s="6">
        <v>4.8701</v>
      </c>
      <c r="G4379" s="6">
        <v>1</v>
      </c>
    </row>
    <row r="4380" ht="15.75" customHeight="1" spans="1:7">
      <c r="A4380" s="4" t="s">
        <v>9875</v>
      </c>
      <c r="B4380" s="5" t="s">
        <v>9876</v>
      </c>
      <c r="C4380" s="4" t="s">
        <v>9</v>
      </c>
      <c r="D4380" s="475">
        <v>102.18</v>
      </c>
      <c r="E4380" s="476">
        <v>0.03632</v>
      </c>
      <c r="F4380" s="6">
        <v>0.1437</v>
      </c>
      <c r="G4380" s="6">
        <v>24.9</v>
      </c>
    </row>
    <row r="4381" ht="15.75" customHeight="1" spans="1:7">
      <c r="A4381" s="4" t="s">
        <v>9877</v>
      </c>
      <c r="B4381" s="5" t="s">
        <v>9878</v>
      </c>
      <c r="C4381" s="4" t="s">
        <v>9</v>
      </c>
      <c r="D4381" s="475">
        <v>95.61</v>
      </c>
      <c r="E4381" s="476">
        <v>0.03632</v>
      </c>
      <c r="F4381" s="6">
        <v>0.1437</v>
      </c>
      <c r="G4381" s="6">
        <v>24.9</v>
      </c>
    </row>
    <row r="4382" ht="15.75" customHeight="1" spans="1:7">
      <c r="A4382" s="4" t="s">
        <v>9879</v>
      </c>
      <c r="B4382" s="5" t="s">
        <v>9880</v>
      </c>
      <c r="C4382" s="4" t="s">
        <v>9</v>
      </c>
      <c r="D4382" s="475">
        <v>762.98</v>
      </c>
      <c r="E4382" s="476">
        <v>0.03632</v>
      </c>
      <c r="F4382" s="6">
        <v>0.119</v>
      </c>
      <c r="G4382" s="6">
        <v>1</v>
      </c>
    </row>
    <row r="4383" ht="15.75" customHeight="1" spans="1:7">
      <c r="A4383" s="4" t="s">
        <v>9881</v>
      </c>
      <c r="B4383" s="5" t="s">
        <v>9882</v>
      </c>
      <c r="C4383" s="4" t="s">
        <v>99</v>
      </c>
      <c r="D4383" s="475">
        <v>1165.5</v>
      </c>
      <c r="E4383" s="476">
        <v>0.03632</v>
      </c>
      <c r="F4383" s="6">
        <v>2.5431</v>
      </c>
      <c r="G4383" s="6">
        <v>0.8964</v>
      </c>
    </row>
    <row r="4384" ht="15.75" customHeight="1" spans="1:7">
      <c r="A4384" s="4" t="s">
        <v>9883</v>
      </c>
      <c r="B4384" s="5" t="s">
        <v>9884</v>
      </c>
      <c r="C4384" s="4" t="s">
        <v>9885</v>
      </c>
      <c r="D4384" s="475">
        <v>65.63</v>
      </c>
      <c r="E4384" s="476">
        <v>0.03814</v>
      </c>
      <c r="F4384" s="6">
        <v>0.9431</v>
      </c>
      <c r="G4384" s="6">
        <v>6.972</v>
      </c>
    </row>
    <row r="4385" ht="15.75" customHeight="1" spans="1:7">
      <c r="A4385" s="4" t="s">
        <v>9886</v>
      </c>
      <c r="B4385" s="5" t="s">
        <v>9887</v>
      </c>
      <c r="C4385" s="4" t="s">
        <v>82</v>
      </c>
      <c r="D4385" s="475">
        <v>14684.24</v>
      </c>
      <c r="E4385" s="476">
        <v>0.03814</v>
      </c>
      <c r="F4385" s="6">
        <v>321.1162</v>
      </c>
      <c r="G4385" s="6">
        <v>0.18444</v>
      </c>
    </row>
    <row r="4386" ht="15.75" customHeight="1" spans="1:7">
      <c r="A4386" s="4" t="s">
        <v>9888</v>
      </c>
      <c r="B4386" s="5" t="s">
        <v>9889</v>
      </c>
      <c r="C4386" s="4" t="s">
        <v>82</v>
      </c>
      <c r="D4386" s="475">
        <v>8565.33</v>
      </c>
      <c r="E4386" s="476">
        <v>0.03814</v>
      </c>
      <c r="F4386" s="6">
        <v>177.4657</v>
      </c>
      <c r="G4386" s="6">
        <v>0.83</v>
      </c>
    </row>
    <row r="4387" ht="15.75" customHeight="1" spans="1:7">
      <c r="A4387" s="4" t="s">
        <v>9890</v>
      </c>
      <c r="B4387" s="5" t="s">
        <v>9891</v>
      </c>
      <c r="C4387" s="4" t="s">
        <v>82</v>
      </c>
      <c r="D4387" s="475">
        <v>4826.62</v>
      </c>
      <c r="E4387" s="476">
        <v>0.03814</v>
      </c>
      <c r="F4387" s="6">
        <v>99.685</v>
      </c>
      <c r="G4387" s="6">
        <v>1.0375</v>
      </c>
    </row>
    <row r="4388" ht="15.75" customHeight="1" spans="1:7">
      <c r="A4388" s="4" t="s">
        <v>9892</v>
      </c>
      <c r="B4388" s="5" t="s">
        <v>9893</v>
      </c>
      <c r="C4388" s="4" t="s">
        <v>82</v>
      </c>
      <c r="D4388" s="475">
        <v>7708.82</v>
      </c>
      <c r="E4388" s="476">
        <v>0.03814</v>
      </c>
      <c r="F4388" s="6">
        <v>159.7195</v>
      </c>
      <c r="G4388" s="6">
        <v>0.92222</v>
      </c>
    </row>
    <row r="4389" ht="15.75" customHeight="1" spans="1:7">
      <c r="A4389" s="4" t="s">
        <v>9894</v>
      </c>
      <c r="B4389" s="5" t="s">
        <v>9895</v>
      </c>
      <c r="C4389" s="4" t="s">
        <v>82</v>
      </c>
      <c r="D4389" s="475">
        <v>3514.73</v>
      </c>
      <c r="E4389" s="476">
        <v>0.03814</v>
      </c>
      <c r="F4389" s="6">
        <v>46.5904</v>
      </c>
      <c r="G4389" s="6">
        <v>0.27667</v>
      </c>
    </row>
    <row r="4390" ht="15.75" customHeight="1" spans="1:7">
      <c r="A4390" s="4" t="s">
        <v>9896</v>
      </c>
      <c r="B4390" s="5" t="s">
        <v>9897</v>
      </c>
      <c r="C4390" s="4" t="s">
        <v>82</v>
      </c>
      <c r="D4390" s="475">
        <v>5964.19</v>
      </c>
      <c r="E4390" s="476">
        <v>0.03814</v>
      </c>
      <c r="F4390" s="6">
        <v>127.9617</v>
      </c>
      <c r="G4390" s="6">
        <v>0.27667</v>
      </c>
    </row>
    <row r="4391" ht="15.75" customHeight="1" spans="1:7">
      <c r="A4391" s="4" t="s">
        <v>9898</v>
      </c>
      <c r="B4391" s="5" t="s">
        <v>131</v>
      </c>
      <c r="C4391" s="4" t="s">
        <v>82</v>
      </c>
      <c r="D4391" s="475">
        <v>4223.3</v>
      </c>
      <c r="E4391" s="476">
        <v>0.03814</v>
      </c>
      <c r="F4391" s="6">
        <v>87.2247</v>
      </c>
      <c r="G4391" s="6">
        <v>1.18571</v>
      </c>
    </row>
    <row r="4392" ht="15.75" customHeight="1" spans="1:7">
      <c r="A4392" s="4" t="s">
        <v>9899</v>
      </c>
      <c r="B4392" s="5" t="s">
        <v>9900</v>
      </c>
      <c r="C4392" s="4" t="s">
        <v>82</v>
      </c>
      <c r="D4392" s="475">
        <v>162.67</v>
      </c>
      <c r="E4392" s="476">
        <v>0.03632</v>
      </c>
      <c r="F4392" s="6">
        <v>5.1794</v>
      </c>
      <c r="G4392" s="6">
        <v>1.12548</v>
      </c>
    </row>
    <row r="4393" ht="15.75" customHeight="1" spans="1:7">
      <c r="A4393" s="4" t="s">
        <v>9901</v>
      </c>
      <c r="B4393" s="5" t="s">
        <v>9902</v>
      </c>
      <c r="C4393" s="4" t="s">
        <v>99</v>
      </c>
      <c r="D4393" s="475">
        <v>153.3</v>
      </c>
      <c r="E4393" s="476">
        <v>0.04367</v>
      </c>
      <c r="F4393" s="6">
        <v>0.6089</v>
      </c>
      <c r="G4393" s="6">
        <v>3.0384</v>
      </c>
    </row>
    <row r="4394" ht="15.75" customHeight="1" spans="1:7">
      <c r="A4394" s="4" t="s">
        <v>9903</v>
      </c>
      <c r="B4394" s="5" t="s">
        <v>9904</v>
      </c>
      <c r="C4394" s="4" t="s">
        <v>9</v>
      </c>
      <c r="D4394" s="475">
        <v>7.05</v>
      </c>
      <c r="E4394" s="476">
        <v>0.03632</v>
      </c>
      <c r="F4394" s="6">
        <v>0.2209</v>
      </c>
      <c r="G4394" s="6">
        <v>22.51</v>
      </c>
    </row>
    <row r="4395" ht="15.75" customHeight="1" spans="1:7">
      <c r="A4395" s="4" t="s">
        <v>9905</v>
      </c>
      <c r="B4395" s="5" t="s">
        <v>9906</v>
      </c>
      <c r="C4395" s="4" t="s">
        <v>7</v>
      </c>
      <c r="D4395" s="475">
        <v>9.83</v>
      </c>
      <c r="E4395" s="476">
        <v>0.03632</v>
      </c>
      <c r="F4395" s="6">
        <v>0.1387</v>
      </c>
      <c r="G4395" s="6">
        <v>9.96</v>
      </c>
    </row>
    <row r="4396" ht="15.75" customHeight="1" spans="1:7">
      <c r="A4396" s="4" t="s">
        <v>9907</v>
      </c>
      <c r="B4396" s="5" t="s">
        <v>9908</v>
      </c>
      <c r="C4396" s="4" t="s">
        <v>7</v>
      </c>
      <c r="D4396" s="475">
        <v>2.82</v>
      </c>
      <c r="E4396" s="476">
        <v>0.03632</v>
      </c>
      <c r="F4396" s="6">
        <v>0.0884</v>
      </c>
      <c r="G4396" s="6">
        <v>56.27</v>
      </c>
    </row>
    <row r="4397" ht="30" customHeight="1" spans="1:7">
      <c r="A4397" s="4" t="s">
        <v>9909</v>
      </c>
      <c r="B4397" s="5" t="s">
        <v>9910</v>
      </c>
      <c r="C4397" s="4" t="s">
        <v>9</v>
      </c>
      <c r="D4397" s="475">
        <v>188.64</v>
      </c>
      <c r="E4397" s="476">
        <v>0.03814</v>
      </c>
      <c r="F4397" s="6">
        <v>0.3016</v>
      </c>
      <c r="G4397" s="6">
        <v>9.96</v>
      </c>
    </row>
    <row r="4398" ht="15.75" customHeight="1" spans="1:7">
      <c r="A4398" s="4" t="s">
        <v>9911</v>
      </c>
      <c r="B4398" s="5" t="s">
        <v>9912</v>
      </c>
      <c r="C4398" s="4" t="s">
        <v>7</v>
      </c>
      <c r="D4398" s="475">
        <v>4.92</v>
      </c>
      <c r="E4398" s="476">
        <v>0.03814</v>
      </c>
      <c r="F4398" s="6">
        <v>0.18</v>
      </c>
      <c r="G4398" s="6">
        <v>5</v>
      </c>
    </row>
    <row r="4399" ht="15.75" customHeight="1" spans="1:7">
      <c r="A4399" s="4" t="s">
        <v>9913</v>
      </c>
      <c r="B4399" s="5" t="s">
        <v>9914</v>
      </c>
      <c r="C4399" s="4" t="s">
        <v>82</v>
      </c>
      <c r="D4399" s="475">
        <v>6391.53</v>
      </c>
      <c r="E4399" s="476">
        <v>0.03632</v>
      </c>
      <c r="F4399" s="6">
        <v>8.6557</v>
      </c>
      <c r="G4399" s="6">
        <v>0.22</v>
      </c>
    </row>
    <row r="4400" ht="15.75" customHeight="1" spans="1:7">
      <c r="A4400" s="4" t="s">
        <v>9915</v>
      </c>
      <c r="B4400" s="5" t="s">
        <v>9916</v>
      </c>
      <c r="C4400" s="4" t="s">
        <v>82</v>
      </c>
      <c r="D4400" s="475">
        <v>3392.84</v>
      </c>
      <c r="E4400" s="476">
        <v>0.03632</v>
      </c>
      <c r="F4400" s="6">
        <v>4.5339</v>
      </c>
      <c r="G4400" s="6">
        <v>0.42</v>
      </c>
    </row>
    <row r="4401" ht="30" customHeight="1" spans="1:7">
      <c r="A4401" s="4" t="s">
        <v>9917</v>
      </c>
      <c r="B4401" s="5" t="s">
        <v>111</v>
      </c>
      <c r="C4401" s="4" t="s">
        <v>99</v>
      </c>
      <c r="D4401" s="475">
        <v>19.98</v>
      </c>
      <c r="E4401" s="476">
        <v>0.03632</v>
      </c>
      <c r="F4401" s="6">
        <v>0.5147</v>
      </c>
      <c r="G4401" s="6">
        <v>4.28571</v>
      </c>
    </row>
    <row r="4402" ht="30" customHeight="1" spans="1:7">
      <c r="A4402" s="4" t="s">
        <v>9918</v>
      </c>
      <c r="B4402" s="5" t="s">
        <v>9919</v>
      </c>
      <c r="C4402" s="4" t="s">
        <v>99</v>
      </c>
      <c r="D4402" s="475">
        <v>12.4</v>
      </c>
      <c r="E4402" s="476">
        <v>0.03632</v>
      </c>
      <c r="F4402" s="6">
        <v>0.3217</v>
      </c>
      <c r="G4402" s="6">
        <v>6.85714</v>
      </c>
    </row>
    <row r="4403" ht="30" customHeight="1" spans="1:7">
      <c r="A4403" s="4" t="s">
        <v>9920</v>
      </c>
      <c r="B4403" s="5" t="s">
        <v>9921</v>
      </c>
      <c r="C4403" s="4" t="s">
        <v>99</v>
      </c>
      <c r="D4403" s="475">
        <v>46.58</v>
      </c>
      <c r="E4403" s="476">
        <v>0.03632</v>
      </c>
      <c r="F4403" s="6">
        <v>1.0295</v>
      </c>
      <c r="G4403" s="6">
        <v>2.14286</v>
      </c>
    </row>
    <row r="4404" ht="15.75" customHeight="1" spans="1:7">
      <c r="A4404" s="4" t="s">
        <v>9922</v>
      </c>
      <c r="B4404" s="5" t="s">
        <v>9923</v>
      </c>
      <c r="C4404" s="4" t="s">
        <v>99</v>
      </c>
      <c r="D4404" s="475">
        <v>72.12</v>
      </c>
      <c r="E4404" s="476">
        <v>0.03632</v>
      </c>
      <c r="F4404" s="6">
        <v>1.3598</v>
      </c>
      <c r="G4404" s="6">
        <v>1.5</v>
      </c>
    </row>
    <row r="4405" ht="15.75" customHeight="1" spans="1:7">
      <c r="A4405" s="4" t="s">
        <v>9924</v>
      </c>
      <c r="B4405" s="5" t="s">
        <v>9925</v>
      </c>
      <c r="C4405" s="4" t="s">
        <v>99</v>
      </c>
      <c r="D4405" s="475">
        <v>64.48</v>
      </c>
      <c r="E4405" s="476">
        <v>0.03632</v>
      </c>
      <c r="F4405" s="6">
        <v>1.0198</v>
      </c>
      <c r="G4405" s="6">
        <v>2</v>
      </c>
    </row>
    <row r="4406" ht="30" customHeight="1" spans="1:7">
      <c r="A4406" s="4" t="s">
        <v>9926</v>
      </c>
      <c r="B4406" s="5" t="s">
        <v>9927</v>
      </c>
      <c r="C4406" s="4" t="s">
        <v>7</v>
      </c>
      <c r="D4406" s="475">
        <v>63.07</v>
      </c>
      <c r="E4406" s="476">
        <v>0.03632</v>
      </c>
      <c r="F4406" s="6">
        <v>1.1345</v>
      </c>
      <c r="G4406" s="6">
        <v>6.144</v>
      </c>
    </row>
    <row r="4407" ht="15.75" customHeight="1" spans="1:7">
      <c r="A4407" s="4" t="s">
        <v>9928</v>
      </c>
      <c r="B4407" s="5" t="s">
        <v>9929</v>
      </c>
      <c r="C4407" s="4" t="s">
        <v>104</v>
      </c>
      <c r="D4407" s="475">
        <v>1220.83</v>
      </c>
      <c r="E4407" s="476">
        <v>0</v>
      </c>
      <c r="F4407" s="6">
        <v>0</v>
      </c>
      <c r="G4407" s="6">
        <v>1</v>
      </c>
    </row>
    <row r="4408" ht="15.75" customHeight="1" spans="1:7">
      <c r="A4408" s="4" t="s">
        <v>9930</v>
      </c>
      <c r="B4408" s="5" t="s">
        <v>9931</v>
      </c>
      <c r="C4408" s="4" t="s">
        <v>82</v>
      </c>
      <c r="D4408" s="475">
        <v>99.26</v>
      </c>
      <c r="E4408" s="476">
        <v>0.03814</v>
      </c>
      <c r="F4408" s="6">
        <v>1.0149</v>
      </c>
      <c r="G4408" s="6">
        <v>2</v>
      </c>
    </row>
    <row r="4409" ht="15.75" customHeight="1" spans="1:7">
      <c r="A4409" s="4" t="s">
        <v>9932</v>
      </c>
      <c r="B4409" s="5" t="s">
        <v>9933</v>
      </c>
      <c r="C4409" s="4" t="s">
        <v>82</v>
      </c>
      <c r="D4409" s="475">
        <v>94.31</v>
      </c>
      <c r="E4409" s="476">
        <v>0.03814</v>
      </c>
      <c r="F4409" s="6">
        <v>1.0149</v>
      </c>
      <c r="G4409" s="6">
        <v>2</v>
      </c>
    </row>
    <row r="4410" ht="15.75" customHeight="1" spans="1:7">
      <c r="A4410" s="4" t="s">
        <v>9934</v>
      </c>
      <c r="B4410" s="5" t="s">
        <v>9935</v>
      </c>
      <c r="C4410" s="4" t="s">
        <v>9</v>
      </c>
      <c r="D4410" s="475">
        <v>140.01</v>
      </c>
      <c r="E4410" s="476">
        <v>0.03814</v>
      </c>
      <c r="F4410" s="6">
        <v>0.7695</v>
      </c>
      <c r="G4410" s="6">
        <v>5</v>
      </c>
    </row>
    <row r="4411" ht="15.75" customHeight="1" spans="1:7">
      <c r="A4411" s="4" t="s">
        <v>9936</v>
      </c>
      <c r="B4411" s="5" t="s">
        <v>9937</v>
      </c>
      <c r="C4411" s="4" t="s">
        <v>9</v>
      </c>
      <c r="D4411" s="475">
        <v>133.44</v>
      </c>
      <c r="E4411" s="476">
        <v>0.03814</v>
      </c>
      <c r="F4411" s="6">
        <v>0.7695</v>
      </c>
      <c r="G4411" s="6">
        <v>5</v>
      </c>
    </row>
    <row r="4412" ht="15.75" customHeight="1" spans="1:7">
      <c r="A4412" s="4" t="s">
        <v>9938</v>
      </c>
      <c r="B4412" s="5" t="s">
        <v>9939</v>
      </c>
      <c r="C4412" s="4" t="s">
        <v>7</v>
      </c>
      <c r="D4412" s="475">
        <v>76.95</v>
      </c>
      <c r="E4412" s="476">
        <v>0</v>
      </c>
      <c r="F4412" s="6">
        <v>0</v>
      </c>
      <c r="G4412" s="6">
        <v>1</v>
      </c>
    </row>
    <row r="4413" ht="15.75" customHeight="1" spans="1:7">
      <c r="A4413" s="4" t="s">
        <v>9940</v>
      </c>
      <c r="B4413" s="5" t="s">
        <v>9941</v>
      </c>
      <c r="C4413" s="4" t="s">
        <v>7</v>
      </c>
      <c r="D4413" s="475">
        <v>70.7</v>
      </c>
      <c r="E4413" s="476">
        <v>0</v>
      </c>
      <c r="F4413" s="6">
        <v>0</v>
      </c>
      <c r="G4413" s="6">
        <v>1</v>
      </c>
    </row>
    <row r="4414" ht="15.75" customHeight="1" spans="1:7">
      <c r="A4414" s="4" t="s">
        <v>9942</v>
      </c>
      <c r="B4414" s="5" t="s">
        <v>9943</v>
      </c>
      <c r="C4414" s="4" t="s">
        <v>7</v>
      </c>
      <c r="D4414" s="475">
        <v>25.34</v>
      </c>
      <c r="E4414" s="476">
        <v>0.03632</v>
      </c>
      <c r="F4414" s="6">
        <v>0.2843</v>
      </c>
      <c r="G4414" s="6">
        <v>3.34896</v>
      </c>
    </row>
    <row r="4415" ht="15.75" customHeight="1" spans="1:7">
      <c r="A4415" s="4" t="s">
        <v>9944</v>
      </c>
      <c r="B4415" s="5" t="s">
        <v>9945</v>
      </c>
      <c r="C4415" s="4" t="s">
        <v>99</v>
      </c>
      <c r="D4415" s="475">
        <v>893</v>
      </c>
      <c r="E4415" s="476">
        <v>0.03632</v>
      </c>
      <c r="F4415" s="6">
        <v>13.4317</v>
      </c>
      <c r="G4415" s="6">
        <v>0.83</v>
      </c>
    </row>
    <row r="4416" ht="15.75" customHeight="1" spans="1:7">
      <c r="A4416" s="4" t="s">
        <v>9946</v>
      </c>
      <c r="B4416" s="5" t="s">
        <v>9947</v>
      </c>
      <c r="C4416" s="4" t="s">
        <v>9</v>
      </c>
      <c r="D4416" s="475">
        <v>69.46</v>
      </c>
      <c r="E4416" s="476">
        <v>0</v>
      </c>
      <c r="F4416" s="6">
        <v>0</v>
      </c>
      <c r="G4416" s="6">
        <v>1</v>
      </c>
    </row>
    <row r="4417" ht="15.75" customHeight="1" spans="1:7">
      <c r="A4417" s="4" t="s">
        <v>9948</v>
      </c>
      <c r="B4417" s="5" t="s">
        <v>9949</v>
      </c>
      <c r="C4417" s="4" t="s">
        <v>9</v>
      </c>
      <c r="D4417" s="475">
        <v>35.54</v>
      </c>
      <c r="E4417" s="476">
        <v>0</v>
      </c>
      <c r="F4417" s="6">
        <v>0</v>
      </c>
      <c r="G4417" s="6">
        <v>1</v>
      </c>
    </row>
    <row r="4418" ht="15.75" customHeight="1" spans="1:7">
      <c r="A4418" s="4" t="s">
        <v>9950</v>
      </c>
      <c r="B4418" s="5" t="s">
        <v>9951</v>
      </c>
      <c r="C4418" s="4" t="s">
        <v>9885</v>
      </c>
      <c r="D4418" s="475">
        <v>194.89</v>
      </c>
      <c r="E4418" s="476">
        <v>0.11638</v>
      </c>
      <c r="F4418" s="6">
        <v>0.8131</v>
      </c>
      <c r="G4418" s="6">
        <v>99.6</v>
      </c>
    </row>
    <row r="4419" ht="15.75" customHeight="1" spans="1:7">
      <c r="A4419" s="4" t="s">
        <v>9952</v>
      </c>
      <c r="B4419" s="5" t="s">
        <v>9953</v>
      </c>
      <c r="C4419" s="4" t="s">
        <v>9885</v>
      </c>
      <c r="D4419" s="475">
        <v>134.2</v>
      </c>
      <c r="E4419" s="476">
        <v>0.11638</v>
      </c>
      <c r="F4419" s="6">
        <v>0.8131</v>
      </c>
      <c r="G4419" s="6">
        <v>99.6</v>
      </c>
    </row>
    <row r="4420" ht="15.75" customHeight="1" spans="1:7">
      <c r="A4420" s="4" t="s">
        <v>9954</v>
      </c>
      <c r="B4420" s="5" t="s">
        <v>9955</v>
      </c>
      <c r="C4420" s="4" t="s">
        <v>9885</v>
      </c>
      <c r="D4420" s="475">
        <v>186.41</v>
      </c>
      <c r="E4420" s="476">
        <v>0.11638</v>
      </c>
      <c r="F4420" s="6">
        <v>0.8131</v>
      </c>
      <c r="G4420" s="6">
        <v>99.6</v>
      </c>
    </row>
    <row r="4421" ht="15.75" customHeight="1" spans="1:7">
      <c r="A4421" s="4" t="s">
        <v>9956</v>
      </c>
      <c r="B4421" s="5" t="s">
        <v>9957</v>
      </c>
      <c r="C4421" s="4" t="s">
        <v>9885</v>
      </c>
      <c r="D4421" s="475">
        <v>124.4</v>
      </c>
      <c r="E4421" s="476">
        <v>0.11638</v>
      </c>
      <c r="F4421" s="6">
        <v>0.8131</v>
      </c>
      <c r="G4421" s="6">
        <v>99.6</v>
      </c>
    </row>
    <row r="4422" ht="15.75" customHeight="1" spans="1:7">
      <c r="A4422" s="4" t="s">
        <v>9958</v>
      </c>
      <c r="B4422" s="5" t="s">
        <v>9959</v>
      </c>
      <c r="C4422" s="4" t="s">
        <v>9885</v>
      </c>
      <c r="D4422" s="475">
        <v>188.88</v>
      </c>
      <c r="E4422" s="476">
        <v>0.11638</v>
      </c>
      <c r="F4422" s="6">
        <v>0.8131</v>
      </c>
      <c r="G4422" s="6">
        <v>99.6</v>
      </c>
    </row>
    <row r="4423" ht="15.75" customHeight="1" spans="1:7">
      <c r="A4423" s="4" t="s">
        <v>9960</v>
      </c>
      <c r="B4423" s="5" t="s">
        <v>9961</v>
      </c>
      <c r="C4423" s="4" t="s">
        <v>9885</v>
      </c>
      <c r="D4423" s="475">
        <v>125.12</v>
      </c>
      <c r="E4423" s="476">
        <v>0.11638</v>
      </c>
      <c r="F4423" s="6">
        <v>0.8131</v>
      </c>
      <c r="G4423" s="6">
        <v>99.6</v>
      </c>
    </row>
    <row r="4424" ht="15.75" customHeight="1" spans="1:7">
      <c r="A4424" s="4" t="s">
        <v>9962</v>
      </c>
      <c r="B4424" s="5" t="s">
        <v>9963</v>
      </c>
      <c r="C4424" s="4" t="s">
        <v>9885</v>
      </c>
      <c r="D4424" s="475">
        <v>193.61</v>
      </c>
      <c r="E4424" s="476">
        <v>0.11638</v>
      </c>
      <c r="F4424" s="6">
        <v>0.8131</v>
      </c>
      <c r="G4424" s="6">
        <v>99.6</v>
      </c>
    </row>
    <row r="4425" ht="15.75" customHeight="1" spans="1:7">
      <c r="A4425" s="4" t="s">
        <v>9964</v>
      </c>
      <c r="B4425" s="5" t="s">
        <v>9965</v>
      </c>
      <c r="C4425" s="4" t="s">
        <v>9885</v>
      </c>
      <c r="D4425" s="475">
        <v>130.98</v>
      </c>
      <c r="E4425" s="476">
        <v>0.11638</v>
      </c>
      <c r="F4425" s="6">
        <v>0.8131</v>
      </c>
      <c r="G4425" s="6">
        <v>99.6</v>
      </c>
    </row>
    <row r="4426" ht="15.75" customHeight="1" spans="1:7">
      <c r="A4426" s="4" t="s">
        <v>9966</v>
      </c>
      <c r="B4426" s="5" t="s">
        <v>9967</v>
      </c>
      <c r="C4426" s="4" t="s">
        <v>9885</v>
      </c>
      <c r="D4426" s="475">
        <v>196.67</v>
      </c>
      <c r="E4426" s="476">
        <v>0.11638</v>
      </c>
      <c r="F4426" s="6">
        <v>0.8131</v>
      </c>
      <c r="G4426" s="6">
        <v>99.6</v>
      </c>
    </row>
    <row r="4427" ht="15.75" customHeight="1" spans="1:7">
      <c r="A4427" s="4" t="s">
        <v>9968</v>
      </c>
      <c r="B4427" s="5" t="s">
        <v>9969</v>
      </c>
      <c r="C4427" s="4" t="s">
        <v>9885</v>
      </c>
      <c r="D4427" s="475">
        <v>134.85</v>
      </c>
      <c r="E4427" s="476">
        <v>0.11638</v>
      </c>
      <c r="F4427" s="6">
        <v>0.8131</v>
      </c>
      <c r="G4427" s="6">
        <v>99.6</v>
      </c>
    </row>
    <row r="4428" ht="15.75" customHeight="1" spans="1:7">
      <c r="A4428" s="4" t="s">
        <v>9970</v>
      </c>
      <c r="B4428" s="5" t="s">
        <v>9971</v>
      </c>
      <c r="C4428" s="4" t="s">
        <v>99</v>
      </c>
      <c r="D4428" s="475">
        <v>17.09</v>
      </c>
      <c r="E4428" s="476">
        <v>0.14409</v>
      </c>
      <c r="F4428" s="6">
        <v>0.7645</v>
      </c>
      <c r="G4428" s="6">
        <v>112.13</v>
      </c>
    </row>
    <row r="4429" ht="15.75" customHeight="1" spans="1:7">
      <c r="A4429" s="4" t="s">
        <v>9972</v>
      </c>
      <c r="B4429" s="5" t="s">
        <v>9973</v>
      </c>
      <c r="C4429" s="4" t="s">
        <v>99</v>
      </c>
      <c r="D4429" s="475">
        <v>71.37</v>
      </c>
      <c r="E4429" s="476">
        <v>0.14409</v>
      </c>
      <c r="F4429" s="6">
        <v>0.9306</v>
      </c>
      <c r="G4429" s="6">
        <v>120.7</v>
      </c>
    </row>
    <row r="4430" ht="15.75" customHeight="1" spans="1:7">
      <c r="A4430" s="4" t="s">
        <v>9974</v>
      </c>
      <c r="B4430" s="5" t="s">
        <v>9975</v>
      </c>
      <c r="C4430" s="4" t="s">
        <v>99</v>
      </c>
      <c r="D4430" s="475">
        <v>65.18</v>
      </c>
      <c r="E4430" s="476">
        <v>0.14409</v>
      </c>
      <c r="F4430" s="6">
        <v>0.923</v>
      </c>
      <c r="G4430" s="6">
        <v>150.88</v>
      </c>
    </row>
    <row r="4431" ht="15.75" customHeight="1" spans="1:7">
      <c r="A4431" s="4" t="s">
        <v>9976</v>
      </c>
      <c r="B4431" s="5" t="s">
        <v>9977</v>
      </c>
      <c r="C4431" s="4" t="s">
        <v>99</v>
      </c>
      <c r="D4431" s="475">
        <v>81.64</v>
      </c>
      <c r="E4431" s="476">
        <v>0.14409</v>
      </c>
      <c r="F4431" s="6">
        <v>0.9618</v>
      </c>
      <c r="G4431" s="6">
        <v>150.88</v>
      </c>
    </row>
    <row r="4432" ht="15.75" customHeight="1" spans="1:7">
      <c r="A4432" s="4" t="s">
        <v>9978</v>
      </c>
      <c r="B4432" s="5" t="s">
        <v>9979</v>
      </c>
      <c r="C4432" s="4" t="s">
        <v>99</v>
      </c>
      <c r="D4432" s="475">
        <v>17.98</v>
      </c>
      <c r="E4432" s="476">
        <v>0.14409</v>
      </c>
      <c r="F4432" s="6">
        <v>0.8102</v>
      </c>
      <c r="G4432" s="6">
        <v>150.88</v>
      </c>
    </row>
    <row r="4433" ht="30" customHeight="1" spans="1:7">
      <c r="A4433" s="4" t="s">
        <v>9980</v>
      </c>
      <c r="B4433" s="5" t="s">
        <v>9981</v>
      </c>
      <c r="C4433" s="4" t="s">
        <v>99</v>
      </c>
      <c r="D4433" s="475">
        <v>41.01</v>
      </c>
      <c r="E4433" s="476">
        <v>0.14409</v>
      </c>
      <c r="F4433" s="6">
        <v>0.9306</v>
      </c>
      <c r="G4433" s="6">
        <v>120.7</v>
      </c>
    </row>
    <row r="4434" ht="15.75" customHeight="1" spans="1:7">
      <c r="A4434" s="4" t="s">
        <v>9982</v>
      </c>
      <c r="B4434" s="5" t="s">
        <v>9983</v>
      </c>
      <c r="C4434" s="4" t="s">
        <v>99</v>
      </c>
      <c r="D4434" s="475">
        <v>217.8</v>
      </c>
      <c r="E4434" s="476">
        <v>0.14409</v>
      </c>
      <c r="F4434" s="6">
        <v>0.6792</v>
      </c>
      <c r="G4434" s="6">
        <v>113.18</v>
      </c>
    </row>
    <row r="4435" ht="15.75" customHeight="1" spans="1:7">
      <c r="A4435" s="4" t="s">
        <v>9984</v>
      </c>
      <c r="B4435" s="5" t="s">
        <v>9985</v>
      </c>
      <c r="C4435" s="4" t="s">
        <v>99</v>
      </c>
      <c r="D4435" s="475">
        <v>121.26</v>
      </c>
      <c r="E4435" s="476">
        <v>0.14409</v>
      </c>
      <c r="F4435" s="6">
        <v>0.6792</v>
      </c>
      <c r="G4435" s="6">
        <v>113.18</v>
      </c>
    </row>
    <row r="4436" ht="15.75" customHeight="1" spans="1:7">
      <c r="A4436" s="4" t="s">
        <v>9986</v>
      </c>
      <c r="B4436" s="5" t="s">
        <v>9987</v>
      </c>
      <c r="C4436" s="4" t="s">
        <v>99</v>
      </c>
      <c r="D4436" s="475">
        <v>219.12</v>
      </c>
      <c r="E4436" s="476">
        <v>0.14409</v>
      </c>
      <c r="F4436" s="6">
        <v>0.7712</v>
      </c>
      <c r="G4436" s="6">
        <v>113.18</v>
      </c>
    </row>
    <row r="4437" ht="15.75" customHeight="1" spans="1:7">
      <c r="A4437" s="4" t="s">
        <v>9988</v>
      </c>
      <c r="B4437" s="5" t="s">
        <v>9989</v>
      </c>
      <c r="C4437" s="4" t="s">
        <v>99</v>
      </c>
      <c r="D4437" s="475">
        <v>122.58</v>
      </c>
      <c r="E4437" s="476">
        <v>0.14409</v>
      </c>
      <c r="F4437" s="6">
        <v>0.7712</v>
      </c>
      <c r="G4437" s="6">
        <v>113.18</v>
      </c>
    </row>
    <row r="4438" ht="15.75" customHeight="1" spans="1:7">
      <c r="A4438" s="4" t="s">
        <v>9990</v>
      </c>
      <c r="B4438" s="5" t="s">
        <v>9991</v>
      </c>
      <c r="C4438" s="4" t="s">
        <v>99</v>
      </c>
      <c r="D4438" s="475">
        <v>263.64</v>
      </c>
      <c r="E4438" s="476">
        <v>0.14409</v>
      </c>
      <c r="F4438" s="6">
        <v>0.6792</v>
      </c>
      <c r="G4438" s="6">
        <v>113.18</v>
      </c>
    </row>
    <row r="4439" ht="15.75" customHeight="1" spans="1:7">
      <c r="A4439" s="4" t="s">
        <v>9992</v>
      </c>
      <c r="B4439" s="5" t="s">
        <v>9993</v>
      </c>
      <c r="C4439" s="4" t="s">
        <v>99</v>
      </c>
      <c r="D4439" s="475">
        <v>169.24</v>
      </c>
      <c r="E4439" s="476">
        <v>0.14409</v>
      </c>
      <c r="F4439" s="6">
        <v>0.6792</v>
      </c>
      <c r="G4439" s="6">
        <v>113.18</v>
      </c>
    </row>
    <row r="4440" ht="15.75" customHeight="1" spans="1:7">
      <c r="A4440" s="4" t="s">
        <v>9994</v>
      </c>
      <c r="B4440" s="5" t="s">
        <v>9995</v>
      </c>
      <c r="C4440" s="4" t="s">
        <v>99</v>
      </c>
      <c r="D4440" s="475">
        <v>264.96</v>
      </c>
      <c r="E4440" s="476">
        <v>0.14409</v>
      </c>
      <c r="F4440" s="6">
        <v>0.7712</v>
      </c>
      <c r="G4440" s="6">
        <v>113.18</v>
      </c>
    </row>
    <row r="4441" ht="15.75" customHeight="1" spans="1:7">
      <c r="A4441" s="4" t="s">
        <v>9996</v>
      </c>
      <c r="B4441" s="5" t="s">
        <v>9997</v>
      </c>
      <c r="C4441" s="4" t="s">
        <v>99</v>
      </c>
      <c r="D4441" s="475">
        <v>170.56</v>
      </c>
      <c r="E4441" s="476">
        <v>0.14409</v>
      </c>
      <c r="F4441" s="6">
        <v>0.7712</v>
      </c>
      <c r="G4441" s="6">
        <v>113.18</v>
      </c>
    </row>
    <row r="4442" ht="15.75" customHeight="1" spans="1:7">
      <c r="A4442" s="4" t="s">
        <v>9998</v>
      </c>
      <c r="B4442" s="5" t="s">
        <v>9999</v>
      </c>
      <c r="C4442" s="4" t="s">
        <v>99</v>
      </c>
      <c r="D4442" s="475">
        <v>192.81</v>
      </c>
      <c r="E4442" s="476">
        <v>0.14409</v>
      </c>
      <c r="F4442" s="6">
        <v>1.3528</v>
      </c>
      <c r="G4442" s="6">
        <v>84.62</v>
      </c>
    </row>
    <row r="4443" ht="15.75" customHeight="1" spans="1:7">
      <c r="A4443" s="4" t="s">
        <v>10000</v>
      </c>
      <c r="B4443" s="5" t="s">
        <v>10001</v>
      </c>
      <c r="C4443" s="4" t="s">
        <v>99</v>
      </c>
      <c r="D4443" s="475">
        <v>107.36</v>
      </c>
      <c r="E4443" s="476">
        <v>0.14409</v>
      </c>
      <c r="F4443" s="6">
        <v>1.3528</v>
      </c>
      <c r="G4443" s="6">
        <v>84.62</v>
      </c>
    </row>
    <row r="4444" ht="15.75" customHeight="1" spans="1:7">
      <c r="A4444" s="4" t="s">
        <v>10002</v>
      </c>
      <c r="B4444" s="5" t="s">
        <v>10003</v>
      </c>
      <c r="C4444" s="4" t="s">
        <v>99</v>
      </c>
      <c r="D4444" s="475">
        <v>182.99</v>
      </c>
      <c r="E4444" s="476">
        <v>0.14409</v>
      </c>
      <c r="F4444" s="6">
        <v>0.7239</v>
      </c>
      <c r="G4444" s="6">
        <v>84.62</v>
      </c>
    </row>
    <row r="4445" ht="15.75" customHeight="1" spans="1:7">
      <c r="A4445" s="4" t="s">
        <v>10004</v>
      </c>
      <c r="B4445" s="5" t="s">
        <v>10005</v>
      </c>
      <c r="C4445" s="4" t="s">
        <v>99</v>
      </c>
      <c r="D4445" s="475">
        <v>97.54</v>
      </c>
      <c r="E4445" s="476">
        <v>0.14409</v>
      </c>
      <c r="F4445" s="6">
        <v>0.7239</v>
      </c>
      <c r="G4445" s="6">
        <v>84.62</v>
      </c>
    </row>
    <row r="4446" ht="15.75" customHeight="1" spans="1:7">
      <c r="A4446" s="4" t="s">
        <v>10006</v>
      </c>
      <c r="B4446" s="5" t="s">
        <v>10007</v>
      </c>
      <c r="C4446" s="4" t="s">
        <v>99</v>
      </c>
      <c r="D4446" s="475">
        <v>116.24</v>
      </c>
      <c r="E4446" s="476">
        <v>0.14409</v>
      </c>
      <c r="F4446" s="6">
        <v>0.628</v>
      </c>
      <c r="G4446" s="6">
        <v>120.7</v>
      </c>
    </row>
    <row r="4447" ht="15.75" customHeight="1" spans="1:7">
      <c r="A4447" s="4" t="s">
        <v>10008</v>
      </c>
      <c r="B4447" s="5" t="s">
        <v>10009</v>
      </c>
      <c r="C4447" s="4" t="s">
        <v>99</v>
      </c>
      <c r="D4447" s="475">
        <v>124.15</v>
      </c>
      <c r="E4447" s="476">
        <v>0.14409</v>
      </c>
      <c r="F4447" s="6">
        <v>0.6809</v>
      </c>
      <c r="G4447" s="6">
        <v>150.88</v>
      </c>
    </row>
    <row r="4448" ht="30" customHeight="1" spans="1:7">
      <c r="A4448" s="4" t="s">
        <v>10010</v>
      </c>
      <c r="B4448" s="5" t="s">
        <v>10011</v>
      </c>
      <c r="C4448" s="4" t="s">
        <v>99</v>
      </c>
      <c r="D4448" s="475">
        <v>132.57</v>
      </c>
      <c r="E4448" s="476">
        <v>0.14409</v>
      </c>
      <c r="F4448" s="6">
        <v>0.9306</v>
      </c>
      <c r="G4448" s="6">
        <v>120.7</v>
      </c>
    </row>
    <row r="4449" ht="30" customHeight="1" spans="1:7">
      <c r="A4449" s="4" t="s">
        <v>10012</v>
      </c>
      <c r="B4449" s="5" t="s">
        <v>10013</v>
      </c>
      <c r="C4449" s="4" t="s">
        <v>99</v>
      </c>
      <c r="D4449" s="475">
        <v>104.4</v>
      </c>
      <c r="E4449" s="476">
        <v>0.14409</v>
      </c>
      <c r="F4449" s="6">
        <v>0.9306</v>
      </c>
      <c r="G4449" s="6">
        <v>120.7</v>
      </c>
    </row>
    <row r="4450" ht="30" customHeight="1" spans="1:7">
      <c r="A4450" s="4" t="s">
        <v>10014</v>
      </c>
      <c r="B4450" s="5" t="s">
        <v>10015</v>
      </c>
      <c r="C4450" s="4" t="s">
        <v>99</v>
      </c>
      <c r="D4450" s="475">
        <v>87.92</v>
      </c>
      <c r="E4450" s="476">
        <v>0.14409</v>
      </c>
      <c r="F4450" s="6">
        <v>0.9306</v>
      </c>
      <c r="G4450" s="6">
        <v>120.7</v>
      </c>
    </row>
    <row r="4451" ht="30" customHeight="1" spans="1:7">
      <c r="A4451" s="4" t="s">
        <v>10016</v>
      </c>
      <c r="B4451" s="5" t="s">
        <v>10017</v>
      </c>
      <c r="C4451" s="4" t="s">
        <v>99</v>
      </c>
      <c r="D4451" s="475">
        <v>58.87</v>
      </c>
      <c r="E4451" s="476">
        <v>0.14409</v>
      </c>
      <c r="F4451" s="6">
        <v>0.9306</v>
      </c>
      <c r="G4451" s="6">
        <v>120.7</v>
      </c>
    </row>
    <row r="4452" ht="30" customHeight="1" spans="1:7">
      <c r="A4452" s="4" t="s">
        <v>10018</v>
      </c>
      <c r="B4452" s="5" t="s">
        <v>10019</v>
      </c>
      <c r="C4452" s="4" t="s">
        <v>99</v>
      </c>
      <c r="D4452" s="475">
        <v>70.48</v>
      </c>
      <c r="E4452" s="476">
        <v>0.14409</v>
      </c>
      <c r="F4452" s="6">
        <v>0.8102</v>
      </c>
      <c r="G4452" s="6">
        <v>150.88</v>
      </c>
    </row>
    <row r="4453" ht="30" customHeight="1" spans="1:7">
      <c r="A4453" s="4" t="s">
        <v>10020</v>
      </c>
      <c r="B4453" s="5" t="s">
        <v>10021</v>
      </c>
      <c r="C4453" s="4" t="s">
        <v>99</v>
      </c>
      <c r="D4453" s="475">
        <v>41.44</v>
      </c>
      <c r="E4453" s="476">
        <v>0.14409</v>
      </c>
      <c r="F4453" s="6">
        <v>0.8102</v>
      </c>
      <c r="G4453" s="6">
        <v>150.88</v>
      </c>
    </row>
    <row r="4454" ht="30" customHeight="1" spans="1:7">
      <c r="A4454" s="4" t="s">
        <v>10022</v>
      </c>
      <c r="B4454" s="5" t="s">
        <v>10023</v>
      </c>
      <c r="C4454" s="4" t="s">
        <v>99</v>
      </c>
      <c r="D4454" s="475">
        <v>46.67</v>
      </c>
      <c r="E4454" s="476">
        <v>0.14409</v>
      </c>
      <c r="F4454" s="6">
        <v>0.628</v>
      </c>
      <c r="G4454" s="6">
        <v>120.7</v>
      </c>
    </row>
    <row r="4455" ht="30" customHeight="1" spans="1:7">
      <c r="A4455" s="4" t="s">
        <v>10024</v>
      </c>
      <c r="B4455" s="5" t="s">
        <v>10025</v>
      </c>
      <c r="C4455" s="4" t="s">
        <v>99</v>
      </c>
      <c r="D4455" s="475">
        <v>29.13</v>
      </c>
      <c r="E4455" s="476">
        <v>0.14409</v>
      </c>
      <c r="F4455" s="6">
        <v>0.8102</v>
      </c>
      <c r="G4455" s="6">
        <v>150.88</v>
      </c>
    </row>
    <row r="4456" ht="15.75" customHeight="1" spans="1:7">
      <c r="A4456" s="4" t="s">
        <v>10026</v>
      </c>
      <c r="B4456" s="5" t="s">
        <v>10027</v>
      </c>
      <c r="C4456" s="4" t="s">
        <v>9885</v>
      </c>
      <c r="D4456" s="475">
        <v>185.91</v>
      </c>
      <c r="E4456" s="476">
        <v>0.11638</v>
      </c>
      <c r="F4456" s="6">
        <v>0.8131</v>
      </c>
      <c r="G4456" s="6">
        <v>99.6</v>
      </c>
    </row>
    <row r="4457" ht="15.75" customHeight="1" spans="1:7">
      <c r="A4457" s="4" t="s">
        <v>10028</v>
      </c>
      <c r="B4457" s="5" t="s">
        <v>10029</v>
      </c>
      <c r="C4457" s="4" t="s">
        <v>9885</v>
      </c>
      <c r="D4457" s="475">
        <v>143.14</v>
      </c>
      <c r="E4457" s="476">
        <v>0.11638</v>
      </c>
      <c r="F4457" s="6">
        <v>0.8131</v>
      </c>
      <c r="G4457" s="6">
        <v>99.6</v>
      </c>
    </row>
    <row r="4458" ht="15.75" customHeight="1" spans="1:7">
      <c r="A4458" s="4" t="s">
        <v>10030</v>
      </c>
      <c r="B4458" s="5" t="s">
        <v>10031</v>
      </c>
      <c r="C4458" s="4" t="s">
        <v>9885</v>
      </c>
      <c r="D4458" s="475">
        <v>21.27</v>
      </c>
      <c r="E4458" s="476">
        <v>0.11638</v>
      </c>
      <c r="F4458" s="6">
        <v>0.8131</v>
      </c>
      <c r="G4458" s="6">
        <v>99.6</v>
      </c>
    </row>
    <row r="4459" ht="15.75" customHeight="1" spans="1:7">
      <c r="A4459" s="4" t="s">
        <v>10032</v>
      </c>
      <c r="B4459" s="5" t="s">
        <v>10033</v>
      </c>
      <c r="C4459" s="4" t="s">
        <v>9885</v>
      </c>
      <c r="D4459" s="475">
        <v>185.27</v>
      </c>
      <c r="E4459" s="476">
        <v>0.11638</v>
      </c>
      <c r="F4459" s="6">
        <v>0.8131</v>
      </c>
      <c r="G4459" s="6">
        <v>99.6</v>
      </c>
    </row>
    <row r="4460" ht="15.75" customHeight="1" spans="1:7">
      <c r="A4460" s="4" t="s">
        <v>10034</v>
      </c>
      <c r="B4460" s="5" t="s">
        <v>10035</v>
      </c>
      <c r="C4460" s="4" t="s">
        <v>9885</v>
      </c>
      <c r="D4460" s="475">
        <v>143.36</v>
      </c>
      <c r="E4460" s="476">
        <v>0.11638</v>
      </c>
      <c r="F4460" s="6">
        <v>0.8131</v>
      </c>
      <c r="G4460" s="6">
        <v>99.6</v>
      </c>
    </row>
    <row r="4461" ht="15.75" customHeight="1" spans="1:7">
      <c r="A4461" s="4" t="s">
        <v>10036</v>
      </c>
      <c r="B4461" s="5" t="s">
        <v>10037</v>
      </c>
      <c r="C4461" s="4" t="s">
        <v>9885</v>
      </c>
      <c r="D4461" s="475">
        <v>21.85</v>
      </c>
      <c r="E4461" s="476">
        <v>0.11638</v>
      </c>
      <c r="F4461" s="6">
        <v>0.8131</v>
      </c>
      <c r="G4461" s="6">
        <v>99.6</v>
      </c>
    </row>
    <row r="4462" ht="15.75" customHeight="1" spans="1:7">
      <c r="A4462" s="4" t="s">
        <v>10038</v>
      </c>
      <c r="B4462" s="5" t="s">
        <v>10039</v>
      </c>
      <c r="C4462" s="4" t="s">
        <v>9885</v>
      </c>
      <c r="D4462" s="475">
        <v>183.78</v>
      </c>
      <c r="E4462" s="476">
        <v>0.11638</v>
      </c>
      <c r="F4462" s="6">
        <v>0.8131</v>
      </c>
      <c r="G4462" s="6">
        <v>99.6</v>
      </c>
    </row>
    <row r="4463" ht="15.75" customHeight="1" spans="1:7">
      <c r="A4463" s="4" t="s">
        <v>10040</v>
      </c>
      <c r="B4463" s="5" t="s">
        <v>10041</v>
      </c>
      <c r="C4463" s="4" t="s">
        <v>9885</v>
      </c>
      <c r="D4463" s="475">
        <v>142.98</v>
      </c>
      <c r="E4463" s="476">
        <v>0.11638</v>
      </c>
      <c r="F4463" s="6">
        <v>0.8131</v>
      </c>
      <c r="G4463" s="6">
        <v>99.6</v>
      </c>
    </row>
    <row r="4464" ht="15.75" customHeight="1" spans="1:7">
      <c r="A4464" s="4" t="s">
        <v>10042</v>
      </c>
      <c r="B4464" s="5" t="s">
        <v>10043</v>
      </c>
      <c r="C4464" s="4" t="s">
        <v>9885</v>
      </c>
      <c r="D4464" s="475">
        <v>21.85</v>
      </c>
      <c r="E4464" s="476">
        <v>0.11638</v>
      </c>
      <c r="F4464" s="6">
        <v>0.8131</v>
      </c>
      <c r="G4464" s="6">
        <v>99.6</v>
      </c>
    </row>
    <row r="4465" ht="15.75" customHeight="1" spans="1:7">
      <c r="A4465" s="4" t="s">
        <v>10044</v>
      </c>
      <c r="B4465" s="5" t="s">
        <v>10045</v>
      </c>
      <c r="C4465" s="4" t="s">
        <v>9885</v>
      </c>
      <c r="D4465" s="475">
        <v>182.6</v>
      </c>
      <c r="E4465" s="476">
        <v>0.11638</v>
      </c>
      <c r="F4465" s="6">
        <v>0.8131</v>
      </c>
      <c r="G4465" s="6">
        <v>99.6</v>
      </c>
    </row>
    <row r="4466" ht="15.75" customHeight="1" spans="1:7">
      <c r="A4466" s="4" t="s">
        <v>10046</v>
      </c>
      <c r="B4466" s="5" t="s">
        <v>10047</v>
      </c>
      <c r="C4466" s="4" t="s">
        <v>9885</v>
      </c>
      <c r="D4466" s="475">
        <v>143.02</v>
      </c>
      <c r="E4466" s="476">
        <v>0.11638</v>
      </c>
      <c r="F4466" s="6">
        <v>0.8131</v>
      </c>
      <c r="G4466" s="6">
        <v>99.6</v>
      </c>
    </row>
    <row r="4467" ht="15.75" customHeight="1" spans="1:7">
      <c r="A4467" s="4" t="s">
        <v>10048</v>
      </c>
      <c r="B4467" s="5" t="s">
        <v>10049</v>
      </c>
      <c r="C4467" s="4" t="s">
        <v>9885</v>
      </c>
      <c r="D4467" s="475">
        <v>21.85</v>
      </c>
      <c r="E4467" s="476">
        <v>0.11638</v>
      </c>
      <c r="F4467" s="6">
        <v>0.8131</v>
      </c>
      <c r="G4467" s="6">
        <v>99.6</v>
      </c>
    </row>
    <row r="4468" ht="15.75" customHeight="1" spans="1:7">
      <c r="A4468" s="4" t="s">
        <v>10050</v>
      </c>
      <c r="B4468" s="5" t="s">
        <v>10051</v>
      </c>
      <c r="C4468" s="4" t="s">
        <v>9885</v>
      </c>
      <c r="D4468" s="475">
        <v>197.59</v>
      </c>
      <c r="E4468" s="476">
        <v>0.11638</v>
      </c>
      <c r="F4468" s="6">
        <v>0.8131</v>
      </c>
      <c r="G4468" s="6">
        <v>99.6</v>
      </c>
    </row>
    <row r="4469" ht="15.75" customHeight="1" spans="1:7">
      <c r="A4469" s="4" t="s">
        <v>10052</v>
      </c>
      <c r="B4469" s="5" t="s">
        <v>10053</v>
      </c>
      <c r="C4469" s="4" t="s">
        <v>9885</v>
      </c>
      <c r="D4469" s="475">
        <v>146.44</v>
      </c>
      <c r="E4469" s="476">
        <v>0.11638</v>
      </c>
      <c r="F4469" s="6">
        <v>0.8131</v>
      </c>
      <c r="G4469" s="6">
        <v>99.6</v>
      </c>
    </row>
    <row r="4470" ht="15.75" customHeight="1" spans="1:7">
      <c r="A4470" s="4" t="s">
        <v>10054</v>
      </c>
      <c r="B4470" s="5" t="s">
        <v>10055</v>
      </c>
      <c r="C4470" s="4" t="s">
        <v>9885</v>
      </c>
      <c r="D4470" s="475">
        <v>199.88</v>
      </c>
      <c r="E4470" s="476">
        <v>0.11638</v>
      </c>
      <c r="F4470" s="6">
        <v>0.8131</v>
      </c>
      <c r="G4470" s="6">
        <v>99.6</v>
      </c>
    </row>
    <row r="4471" ht="15.75" customHeight="1" spans="1:7">
      <c r="A4471" s="4" t="s">
        <v>10056</v>
      </c>
      <c r="B4471" s="5" t="s">
        <v>10057</v>
      </c>
      <c r="C4471" s="4" t="s">
        <v>9885</v>
      </c>
      <c r="D4471" s="475">
        <v>148.41</v>
      </c>
      <c r="E4471" s="476">
        <v>0.11638</v>
      </c>
      <c r="F4471" s="6">
        <v>0.8131</v>
      </c>
      <c r="G4471" s="6">
        <v>99.6</v>
      </c>
    </row>
    <row r="4472" ht="15.75" customHeight="1" spans="1:7">
      <c r="A4472" s="4" t="s">
        <v>10058</v>
      </c>
      <c r="B4472" s="5" t="s">
        <v>10059</v>
      </c>
      <c r="C4472" s="4" t="s">
        <v>9885</v>
      </c>
      <c r="D4472" s="475">
        <v>204.13</v>
      </c>
      <c r="E4472" s="476">
        <v>0.11638</v>
      </c>
      <c r="F4472" s="6">
        <v>0.8131</v>
      </c>
      <c r="G4472" s="6">
        <v>99.6</v>
      </c>
    </row>
    <row r="4473" ht="15.75" customHeight="1" spans="1:7">
      <c r="A4473" s="4" t="s">
        <v>10060</v>
      </c>
      <c r="B4473" s="5" t="s">
        <v>10061</v>
      </c>
      <c r="C4473" s="4" t="s">
        <v>9885</v>
      </c>
      <c r="D4473" s="475">
        <v>149.48</v>
      </c>
      <c r="E4473" s="476">
        <v>0.11638</v>
      </c>
      <c r="F4473" s="6">
        <v>0.8131</v>
      </c>
      <c r="G4473" s="6">
        <v>99.6</v>
      </c>
    </row>
    <row r="4474" ht="15.75" customHeight="1" spans="1:7">
      <c r="A4474" s="4" t="s">
        <v>10062</v>
      </c>
      <c r="B4474" s="5" t="s">
        <v>10063</v>
      </c>
      <c r="C4474" s="4" t="s">
        <v>9885</v>
      </c>
      <c r="D4474" s="475">
        <v>240.33</v>
      </c>
      <c r="E4474" s="476">
        <v>0.11638</v>
      </c>
      <c r="F4474" s="6">
        <v>0.9566</v>
      </c>
      <c r="G4474" s="6">
        <v>84.66</v>
      </c>
    </row>
    <row r="4475" ht="15.75" customHeight="1" spans="1:7">
      <c r="A4475" s="4" t="s">
        <v>10064</v>
      </c>
      <c r="B4475" s="5" t="s">
        <v>10065</v>
      </c>
      <c r="C4475" s="4" t="s">
        <v>9885</v>
      </c>
      <c r="D4475" s="475">
        <v>200.27</v>
      </c>
      <c r="E4475" s="476">
        <v>0.11638</v>
      </c>
      <c r="F4475" s="6">
        <v>0.9566</v>
      </c>
      <c r="G4475" s="6">
        <v>84.66</v>
      </c>
    </row>
    <row r="4476" ht="15.75" customHeight="1" spans="1:7">
      <c r="A4476" s="4" t="s">
        <v>10066</v>
      </c>
      <c r="B4476" s="5" t="s">
        <v>10067</v>
      </c>
      <c r="C4476" s="4" t="s">
        <v>9885</v>
      </c>
      <c r="D4476" s="475">
        <v>242.92</v>
      </c>
      <c r="E4476" s="476">
        <v>0.11638</v>
      </c>
      <c r="F4476" s="6">
        <v>0.9566</v>
      </c>
      <c r="G4476" s="6">
        <v>84.66</v>
      </c>
    </row>
    <row r="4477" ht="15.75" customHeight="1" spans="1:7">
      <c r="A4477" s="4" t="s">
        <v>10068</v>
      </c>
      <c r="B4477" s="5" t="s">
        <v>10069</v>
      </c>
      <c r="C4477" s="4" t="s">
        <v>9885</v>
      </c>
      <c r="D4477" s="475">
        <v>203.7</v>
      </c>
      <c r="E4477" s="476">
        <v>0.11638</v>
      </c>
      <c r="F4477" s="6">
        <v>0.9566</v>
      </c>
      <c r="G4477" s="6">
        <v>84.66</v>
      </c>
    </row>
    <row r="4478" ht="15.75" customHeight="1" spans="1:7">
      <c r="A4478" s="4" t="s">
        <v>10070</v>
      </c>
      <c r="B4478" s="5" t="s">
        <v>10071</v>
      </c>
      <c r="C4478" s="4" t="s">
        <v>9885</v>
      </c>
      <c r="D4478" s="475">
        <v>243</v>
      </c>
      <c r="E4478" s="476">
        <v>0.11638</v>
      </c>
      <c r="F4478" s="6">
        <v>0.9566</v>
      </c>
      <c r="G4478" s="6">
        <v>84.66</v>
      </c>
    </row>
    <row r="4479" ht="15.75" customHeight="1" spans="1:7">
      <c r="A4479" s="4" t="s">
        <v>10072</v>
      </c>
      <c r="B4479" s="5" t="s">
        <v>10073</v>
      </c>
      <c r="C4479" s="4" t="s">
        <v>9885</v>
      </c>
      <c r="D4479" s="475">
        <v>205.41</v>
      </c>
      <c r="E4479" s="476">
        <v>0.11638</v>
      </c>
      <c r="F4479" s="6">
        <v>0.9566</v>
      </c>
      <c r="G4479" s="6">
        <v>84.66</v>
      </c>
    </row>
    <row r="4480" ht="15.75" customHeight="1" spans="1:7">
      <c r="A4480" s="4" t="s">
        <v>10074</v>
      </c>
      <c r="B4480" s="5" t="s">
        <v>10075</v>
      </c>
      <c r="C4480" s="4" t="s">
        <v>9885</v>
      </c>
      <c r="D4480" s="475">
        <v>240.68</v>
      </c>
      <c r="E4480" s="476">
        <v>0.11638</v>
      </c>
      <c r="F4480" s="6">
        <v>0.9417</v>
      </c>
      <c r="G4480" s="6">
        <v>84.66</v>
      </c>
    </row>
    <row r="4481" ht="15.75" customHeight="1" spans="1:7">
      <c r="A4481" s="4" t="s">
        <v>10076</v>
      </c>
      <c r="B4481" s="5" t="s">
        <v>10077</v>
      </c>
      <c r="C4481" s="4" t="s">
        <v>9885</v>
      </c>
      <c r="D4481" s="475">
        <v>200.18</v>
      </c>
      <c r="E4481" s="476">
        <v>0.11638</v>
      </c>
      <c r="F4481" s="6">
        <v>0.9417</v>
      </c>
      <c r="G4481" s="6">
        <v>84.66</v>
      </c>
    </row>
    <row r="4482" ht="15.75" customHeight="1" spans="1:7">
      <c r="A4482" s="4" t="s">
        <v>10078</v>
      </c>
      <c r="B4482" s="5" t="s">
        <v>10079</v>
      </c>
      <c r="C4482" s="4" t="s">
        <v>9885</v>
      </c>
      <c r="D4482" s="475">
        <v>177.3</v>
      </c>
      <c r="E4482" s="476">
        <v>0.11638</v>
      </c>
      <c r="F4482" s="6">
        <v>0.8131</v>
      </c>
      <c r="G4482" s="6">
        <v>99.6</v>
      </c>
    </row>
    <row r="4483" ht="15.75" customHeight="1" spans="1:7">
      <c r="A4483" s="4" t="s">
        <v>10080</v>
      </c>
      <c r="B4483" s="5" t="s">
        <v>10081</v>
      </c>
      <c r="C4483" s="4" t="s">
        <v>9885</v>
      </c>
      <c r="D4483" s="475">
        <v>149.19</v>
      </c>
      <c r="E4483" s="476">
        <v>0.11638</v>
      </c>
      <c r="F4483" s="6">
        <v>0.8131</v>
      </c>
      <c r="G4483" s="6">
        <v>99.6</v>
      </c>
    </row>
    <row r="4484" ht="15.75" customHeight="1" spans="1:7">
      <c r="A4484" s="4" t="s">
        <v>10082</v>
      </c>
      <c r="B4484" s="5" t="s">
        <v>10083</v>
      </c>
      <c r="C4484" s="4" t="s">
        <v>7</v>
      </c>
      <c r="D4484" s="475">
        <v>0.32</v>
      </c>
      <c r="E4484" s="476">
        <v>0.14409</v>
      </c>
      <c r="F4484" s="6">
        <v>0.0197</v>
      </c>
      <c r="G4484" s="6">
        <v>1800</v>
      </c>
    </row>
    <row r="4485" ht="15.75" customHeight="1" spans="1:7">
      <c r="A4485" s="4" t="s">
        <v>10084</v>
      </c>
      <c r="B4485" s="5" t="s">
        <v>10085</v>
      </c>
      <c r="C4485" s="4" t="s">
        <v>7</v>
      </c>
      <c r="D4485" s="475">
        <v>0.49</v>
      </c>
      <c r="E4485" s="476">
        <v>0.11638</v>
      </c>
      <c r="F4485" s="6">
        <v>0.0244</v>
      </c>
      <c r="G4485" s="6">
        <v>1173.91</v>
      </c>
    </row>
    <row r="4486" ht="15.75" customHeight="1" spans="1:7">
      <c r="A4486" s="4" t="s">
        <v>10086</v>
      </c>
      <c r="B4486" s="5" t="s">
        <v>10087</v>
      </c>
      <c r="C4486" s="4" t="s">
        <v>7</v>
      </c>
      <c r="D4486" s="475">
        <v>2.41</v>
      </c>
      <c r="E4486" s="476">
        <v>0.11084</v>
      </c>
      <c r="F4486" s="6">
        <v>0.021</v>
      </c>
      <c r="G4486" s="6">
        <v>124.5</v>
      </c>
    </row>
    <row r="4487" ht="15.75" customHeight="1" spans="1:7">
      <c r="A4487" s="4" t="s">
        <v>10088</v>
      </c>
      <c r="B4487" s="5" t="s">
        <v>10089</v>
      </c>
      <c r="C4487" s="4" t="s">
        <v>7</v>
      </c>
      <c r="D4487" s="475">
        <v>2.41</v>
      </c>
      <c r="E4487" s="476">
        <v>0.11084</v>
      </c>
      <c r="F4487" s="6">
        <v>0.021</v>
      </c>
      <c r="G4487" s="6">
        <v>622.5</v>
      </c>
    </row>
    <row r="4488" ht="30" customHeight="1" spans="1:7">
      <c r="A4488" s="4" t="s">
        <v>10090</v>
      </c>
      <c r="B4488" s="5" t="s">
        <v>10091</v>
      </c>
      <c r="C4488" s="4" t="s">
        <v>7</v>
      </c>
      <c r="D4488" s="475">
        <v>13.49</v>
      </c>
      <c r="E4488" s="476">
        <v>0</v>
      </c>
      <c r="F4488" s="6">
        <v>0</v>
      </c>
      <c r="G4488" s="6">
        <v>1</v>
      </c>
    </row>
    <row r="4489" ht="15.75" customHeight="1" spans="1:7">
      <c r="A4489" s="4" t="s">
        <v>10092</v>
      </c>
      <c r="B4489" s="5" t="s">
        <v>10093</v>
      </c>
      <c r="C4489" s="4" t="s">
        <v>99</v>
      </c>
      <c r="D4489" s="475">
        <v>1.64</v>
      </c>
      <c r="E4489" s="476">
        <v>0.13329</v>
      </c>
      <c r="F4489" s="6">
        <v>0.1007</v>
      </c>
      <c r="G4489" s="6">
        <v>230.19</v>
      </c>
    </row>
    <row r="4490" ht="15.75" customHeight="1" spans="1:7">
      <c r="A4490" s="4" t="s">
        <v>10094</v>
      </c>
      <c r="B4490" s="5" t="s">
        <v>10095</v>
      </c>
      <c r="C4490" s="4" t="s">
        <v>99</v>
      </c>
      <c r="D4490" s="475">
        <v>6.02</v>
      </c>
      <c r="E4490" s="476">
        <v>0.13329</v>
      </c>
      <c r="F4490" s="6">
        <v>0.355</v>
      </c>
      <c r="G4490" s="6">
        <v>243.82</v>
      </c>
    </row>
    <row r="4491" ht="15.75" customHeight="1" spans="1:7">
      <c r="A4491" s="4" t="s">
        <v>10096</v>
      </c>
      <c r="B4491" s="5" t="s">
        <v>10097</v>
      </c>
      <c r="C4491" s="4" t="s">
        <v>99</v>
      </c>
      <c r="D4491" s="475">
        <v>7.61</v>
      </c>
      <c r="E4491" s="476">
        <v>0.13329</v>
      </c>
      <c r="F4491" s="6">
        <v>0.5233</v>
      </c>
      <c r="G4491" s="6">
        <v>123.34</v>
      </c>
    </row>
    <row r="4492" ht="15.75" customHeight="1" spans="1:7">
      <c r="A4492" s="4" t="s">
        <v>10098</v>
      </c>
      <c r="B4492" s="5" t="s">
        <v>10099</v>
      </c>
      <c r="C4492" s="4" t="s">
        <v>99</v>
      </c>
      <c r="D4492" s="475">
        <v>15.64</v>
      </c>
      <c r="E4492" s="476">
        <v>0.14409</v>
      </c>
      <c r="F4492" s="6">
        <v>0.6371</v>
      </c>
      <c r="G4492" s="6">
        <v>134.56</v>
      </c>
    </row>
    <row r="4493" ht="15.75" customHeight="1" spans="1:7">
      <c r="A4493" s="4" t="s">
        <v>10100</v>
      </c>
      <c r="B4493" s="5" t="s">
        <v>10101</v>
      </c>
      <c r="C4493" s="4" t="s">
        <v>7</v>
      </c>
      <c r="D4493" s="475">
        <v>43.98</v>
      </c>
      <c r="E4493" s="476">
        <v>0.14409</v>
      </c>
      <c r="F4493" s="6">
        <v>0.0131</v>
      </c>
      <c r="G4493" s="6">
        <v>520</v>
      </c>
    </row>
    <row r="4494" ht="15.75" customHeight="1" spans="1:7">
      <c r="A4494" s="4" t="s">
        <v>10102</v>
      </c>
      <c r="B4494" s="5" t="s">
        <v>10103</v>
      </c>
      <c r="C4494" s="4" t="s">
        <v>7</v>
      </c>
      <c r="D4494" s="475">
        <v>8.03</v>
      </c>
      <c r="E4494" s="476">
        <v>0.11084</v>
      </c>
      <c r="F4494" s="6">
        <v>0.0763</v>
      </c>
      <c r="G4494" s="6">
        <v>102.86</v>
      </c>
    </row>
    <row r="4495" ht="15.75" customHeight="1" spans="1:7">
      <c r="A4495" s="4" t="s">
        <v>10104</v>
      </c>
      <c r="B4495" s="5" t="s">
        <v>10105</v>
      </c>
      <c r="C4495" s="4" t="s">
        <v>7</v>
      </c>
      <c r="D4495" s="475">
        <v>0.57</v>
      </c>
      <c r="E4495" s="476">
        <v>0.14409</v>
      </c>
      <c r="F4495" s="6">
        <v>0.0375</v>
      </c>
      <c r="G4495" s="6">
        <v>1125</v>
      </c>
    </row>
    <row r="4496" ht="15.75" customHeight="1" spans="1:7">
      <c r="A4496" s="4" t="s">
        <v>10106</v>
      </c>
      <c r="B4496" s="5" t="s">
        <v>10107</v>
      </c>
      <c r="C4496" s="4" t="s">
        <v>7</v>
      </c>
      <c r="D4496" s="475">
        <v>0.61</v>
      </c>
      <c r="E4496" s="476">
        <v>0.14409</v>
      </c>
      <c r="F4496" s="6">
        <v>0.0407</v>
      </c>
      <c r="G4496" s="6">
        <v>1038.46</v>
      </c>
    </row>
    <row r="4497" ht="15.75" customHeight="1" spans="1:7">
      <c r="A4497" s="4" t="s">
        <v>10108</v>
      </c>
      <c r="B4497" s="5" t="s">
        <v>10109</v>
      </c>
      <c r="C4497" s="4" t="s">
        <v>7</v>
      </c>
      <c r="D4497" s="475">
        <v>0.98</v>
      </c>
      <c r="E4497" s="476">
        <v>0.11638</v>
      </c>
      <c r="F4497" s="6">
        <v>0.0343</v>
      </c>
      <c r="G4497" s="6">
        <v>2990.99</v>
      </c>
    </row>
    <row r="4498" ht="15.75" customHeight="1" spans="1:7">
      <c r="A4498" s="4" t="s">
        <v>10110</v>
      </c>
      <c r="B4498" s="5" t="s">
        <v>10111</v>
      </c>
      <c r="C4498" s="4" t="s">
        <v>7</v>
      </c>
      <c r="D4498" s="475">
        <v>0.73</v>
      </c>
      <c r="E4498" s="476">
        <v>0.11638</v>
      </c>
      <c r="F4498" s="6">
        <v>0.0343</v>
      </c>
      <c r="G4498" s="6">
        <v>2990.99</v>
      </c>
    </row>
    <row r="4499" ht="15.75" customHeight="1" spans="1:7">
      <c r="A4499" s="4" t="s">
        <v>10112</v>
      </c>
      <c r="B4499" s="5" t="s">
        <v>10113</v>
      </c>
      <c r="C4499" s="4" t="s">
        <v>7</v>
      </c>
      <c r="D4499" s="475">
        <v>0.69</v>
      </c>
      <c r="E4499" s="476">
        <v>0.11638</v>
      </c>
      <c r="F4499" s="6">
        <v>0.0241</v>
      </c>
      <c r="G4499" s="6">
        <v>4265.52</v>
      </c>
    </row>
    <row r="4500" ht="15.75" customHeight="1" spans="1:7">
      <c r="A4500" s="4" t="s">
        <v>10114</v>
      </c>
      <c r="B4500" s="5" t="s">
        <v>10115</v>
      </c>
      <c r="C4500" s="4" t="s">
        <v>7</v>
      </c>
      <c r="D4500" s="475">
        <v>0.5</v>
      </c>
      <c r="E4500" s="476">
        <v>0.11638</v>
      </c>
      <c r="F4500" s="6">
        <v>0.0241</v>
      </c>
      <c r="G4500" s="6">
        <v>4265.52</v>
      </c>
    </row>
    <row r="4501" ht="15.75" customHeight="1" spans="1:7">
      <c r="A4501" s="4" t="s">
        <v>10116</v>
      </c>
      <c r="B4501" s="5" t="s">
        <v>10117</v>
      </c>
      <c r="C4501" s="4" t="s">
        <v>7</v>
      </c>
      <c r="D4501" s="475">
        <v>1.27</v>
      </c>
      <c r="E4501" s="476">
        <v>0.11638</v>
      </c>
      <c r="F4501" s="6">
        <v>0.0447</v>
      </c>
      <c r="G4501" s="6">
        <v>2297.58</v>
      </c>
    </row>
    <row r="4502" ht="15.75" customHeight="1" spans="1:7">
      <c r="A4502" s="4" t="s">
        <v>10118</v>
      </c>
      <c r="B4502" s="5" t="s">
        <v>10119</v>
      </c>
      <c r="C4502" s="4" t="s">
        <v>7</v>
      </c>
      <c r="D4502" s="475">
        <v>0.95</v>
      </c>
      <c r="E4502" s="476">
        <v>0.11638</v>
      </c>
      <c r="F4502" s="6">
        <v>0.0447</v>
      </c>
      <c r="G4502" s="6">
        <v>2297.58</v>
      </c>
    </row>
    <row r="4503" ht="15.75" customHeight="1" spans="1:7">
      <c r="A4503" s="4" t="s">
        <v>10120</v>
      </c>
      <c r="B4503" s="5" t="s">
        <v>10121</v>
      </c>
      <c r="C4503" s="4" t="s">
        <v>99</v>
      </c>
      <c r="D4503" s="475">
        <v>232.65</v>
      </c>
      <c r="E4503" s="476">
        <v>0.11638</v>
      </c>
      <c r="F4503" s="6">
        <v>4.325</v>
      </c>
      <c r="G4503" s="6">
        <v>23.4</v>
      </c>
    </row>
    <row r="4504" ht="15.75" customHeight="1" spans="1:7">
      <c r="A4504" s="4" t="s">
        <v>10122</v>
      </c>
      <c r="B4504" s="5" t="s">
        <v>10123</v>
      </c>
      <c r="C4504" s="4" t="s">
        <v>99</v>
      </c>
      <c r="D4504" s="475">
        <v>148.34</v>
      </c>
      <c r="E4504" s="476">
        <v>0.11638</v>
      </c>
      <c r="F4504" s="6">
        <v>4.325</v>
      </c>
      <c r="G4504" s="6">
        <v>23.4</v>
      </c>
    </row>
    <row r="4505" ht="15.75" customHeight="1" spans="1:7">
      <c r="A4505" s="4" t="s">
        <v>10124</v>
      </c>
      <c r="B4505" s="5" t="s">
        <v>10125</v>
      </c>
      <c r="C4505" s="4" t="s">
        <v>99</v>
      </c>
      <c r="D4505" s="475">
        <v>233.57</v>
      </c>
      <c r="E4505" s="476">
        <v>0.11638</v>
      </c>
      <c r="F4505" s="6">
        <v>4.4079</v>
      </c>
      <c r="G4505" s="6">
        <v>22.96</v>
      </c>
    </row>
    <row r="4506" ht="15.75" customHeight="1" spans="1:7">
      <c r="A4506" s="4" t="s">
        <v>10126</v>
      </c>
      <c r="B4506" s="5" t="s">
        <v>10127</v>
      </c>
      <c r="C4506" s="4" t="s">
        <v>99</v>
      </c>
      <c r="D4506" s="475">
        <v>149.25</v>
      </c>
      <c r="E4506" s="476">
        <v>0.11638</v>
      </c>
      <c r="F4506" s="6">
        <v>4.4079</v>
      </c>
      <c r="G4506" s="6">
        <v>22.96</v>
      </c>
    </row>
    <row r="4507" ht="15.75" customHeight="1" spans="1:7">
      <c r="A4507" s="4" t="s">
        <v>10128</v>
      </c>
      <c r="B4507" s="5" t="s">
        <v>10129</v>
      </c>
      <c r="C4507" s="4" t="s">
        <v>99</v>
      </c>
      <c r="D4507" s="475">
        <v>237.11</v>
      </c>
      <c r="E4507" s="476">
        <v>0.11638</v>
      </c>
      <c r="F4507" s="6">
        <v>4.492</v>
      </c>
      <c r="G4507" s="6">
        <v>22.53</v>
      </c>
    </row>
    <row r="4508" ht="15.75" customHeight="1" spans="1:7">
      <c r="A4508" s="4" t="s">
        <v>10130</v>
      </c>
      <c r="B4508" s="5" t="s">
        <v>10131</v>
      </c>
      <c r="C4508" s="4" t="s">
        <v>99</v>
      </c>
      <c r="D4508" s="475">
        <v>150.27</v>
      </c>
      <c r="E4508" s="476">
        <v>0.11638</v>
      </c>
      <c r="F4508" s="6">
        <v>4.492</v>
      </c>
      <c r="G4508" s="6">
        <v>22.53</v>
      </c>
    </row>
    <row r="4509" ht="15.75" customHeight="1" spans="1:7">
      <c r="A4509" s="4" t="s">
        <v>10132</v>
      </c>
      <c r="B4509" s="5" t="s">
        <v>10133</v>
      </c>
      <c r="C4509" s="4" t="s">
        <v>99</v>
      </c>
      <c r="D4509" s="475">
        <v>238.1</v>
      </c>
      <c r="E4509" s="476">
        <v>0.11638</v>
      </c>
      <c r="F4509" s="6">
        <v>4.5363</v>
      </c>
      <c r="G4509" s="6">
        <v>22.31</v>
      </c>
    </row>
    <row r="4510" ht="15.75" customHeight="1" spans="1:7">
      <c r="A4510" s="4" t="s">
        <v>10134</v>
      </c>
      <c r="B4510" s="5" t="s">
        <v>10135</v>
      </c>
      <c r="C4510" s="4" t="s">
        <v>99</v>
      </c>
      <c r="D4510" s="475">
        <v>150.7</v>
      </c>
      <c r="E4510" s="476">
        <v>0.11638</v>
      </c>
      <c r="F4510" s="6">
        <v>4.5363</v>
      </c>
      <c r="G4510" s="6">
        <v>22.31</v>
      </c>
    </row>
    <row r="4511" ht="15.75" customHeight="1" spans="1:7">
      <c r="A4511" s="4" t="s">
        <v>10136</v>
      </c>
      <c r="B4511" s="5" t="s">
        <v>10137</v>
      </c>
      <c r="C4511" s="4" t="s">
        <v>99</v>
      </c>
      <c r="D4511" s="475">
        <v>258.32</v>
      </c>
      <c r="E4511" s="476">
        <v>0.11638</v>
      </c>
      <c r="F4511" s="6">
        <v>6.747</v>
      </c>
      <c r="G4511" s="6">
        <v>15</v>
      </c>
    </row>
    <row r="4512" ht="15.75" customHeight="1" spans="1:7">
      <c r="A4512" s="4" t="s">
        <v>10138</v>
      </c>
      <c r="B4512" s="5" t="s">
        <v>10139</v>
      </c>
      <c r="C4512" s="4" t="s">
        <v>99</v>
      </c>
      <c r="D4512" s="475">
        <v>176.8</v>
      </c>
      <c r="E4512" s="476">
        <v>0.11638</v>
      </c>
      <c r="F4512" s="6">
        <v>6.747</v>
      </c>
      <c r="G4512" s="6">
        <v>15</v>
      </c>
    </row>
    <row r="4513" ht="15.75" customHeight="1" spans="1:7">
      <c r="A4513" s="4" t="s">
        <v>10140</v>
      </c>
      <c r="B4513" s="5" t="s">
        <v>10141</v>
      </c>
      <c r="C4513" s="4" t="s">
        <v>7</v>
      </c>
      <c r="D4513" s="475">
        <v>5.43</v>
      </c>
      <c r="E4513" s="476">
        <v>0</v>
      </c>
      <c r="F4513" s="6">
        <v>0</v>
      </c>
      <c r="G4513" s="6">
        <v>3503.43</v>
      </c>
    </row>
    <row r="4514" ht="15.75" customHeight="1" spans="1:7">
      <c r="A4514" s="4" t="s">
        <v>10142</v>
      </c>
      <c r="B4514" s="5" t="s">
        <v>10143</v>
      </c>
      <c r="C4514" s="4" t="s">
        <v>7</v>
      </c>
      <c r="D4514" s="475">
        <v>2.1</v>
      </c>
      <c r="E4514" s="476">
        <v>0.14409</v>
      </c>
      <c r="F4514" s="6">
        <v>0.0131</v>
      </c>
      <c r="G4514" s="6">
        <v>520</v>
      </c>
    </row>
    <row r="4515" ht="15.75" customHeight="1" spans="1:7">
      <c r="A4515" s="4" t="s">
        <v>10144</v>
      </c>
      <c r="B4515" s="5" t="s">
        <v>10145</v>
      </c>
      <c r="C4515" s="4" t="s">
        <v>9885</v>
      </c>
      <c r="D4515" s="475">
        <v>187.29</v>
      </c>
      <c r="E4515" s="476">
        <v>0.11638</v>
      </c>
      <c r="F4515" s="6">
        <v>0.8131</v>
      </c>
      <c r="G4515" s="6">
        <v>99.6</v>
      </c>
    </row>
    <row r="4516" ht="15.75" customHeight="1" spans="1:7">
      <c r="A4516" s="4" t="s">
        <v>10146</v>
      </c>
      <c r="B4516" s="5" t="s">
        <v>10147</v>
      </c>
      <c r="C4516" s="4" t="s">
        <v>9885</v>
      </c>
      <c r="D4516" s="475">
        <v>150.29</v>
      </c>
      <c r="E4516" s="476">
        <v>0.11638</v>
      </c>
      <c r="F4516" s="6">
        <v>0.8131</v>
      </c>
      <c r="G4516" s="6">
        <v>99.6</v>
      </c>
    </row>
    <row r="4517" ht="15.75" customHeight="1" spans="1:7">
      <c r="A4517" s="4" t="s">
        <v>10148</v>
      </c>
      <c r="B4517" s="5" t="s">
        <v>10149</v>
      </c>
      <c r="C4517" s="4" t="s">
        <v>7</v>
      </c>
      <c r="D4517" s="475">
        <v>2.57</v>
      </c>
      <c r="E4517" s="476">
        <v>0.11638</v>
      </c>
      <c r="F4517" s="6">
        <v>0.0825</v>
      </c>
      <c r="G4517" s="6">
        <v>1245</v>
      </c>
    </row>
    <row r="4518" ht="15.75" customHeight="1" spans="1:7">
      <c r="A4518" s="4" t="s">
        <v>10150</v>
      </c>
      <c r="B4518" s="5" t="s">
        <v>10151</v>
      </c>
      <c r="C4518" s="4" t="s">
        <v>7</v>
      </c>
      <c r="D4518" s="475">
        <v>2.1</v>
      </c>
      <c r="E4518" s="476">
        <v>0.11638</v>
      </c>
      <c r="F4518" s="6">
        <v>0.0825</v>
      </c>
      <c r="G4518" s="6">
        <v>1245</v>
      </c>
    </row>
    <row r="4519" ht="15.75" customHeight="1" spans="1:7">
      <c r="A4519" s="4" t="s">
        <v>10152</v>
      </c>
      <c r="B4519" s="5" t="s">
        <v>10153</v>
      </c>
      <c r="C4519" s="4" t="s">
        <v>7</v>
      </c>
      <c r="D4519" s="475">
        <v>5</v>
      </c>
      <c r="E4519" s="476">
        <v>0.11638</v>
      </c>
      <c r="F4519" s="6">
        <v>0.1547</v>
      </c>
      <c r="G4519" s="6">
        <v>664</v>
      </c>
    </row>
    <row r="4520" ht="15.75" customHeight="1" spans="1:7">
      <c r="A4520" s="4" t="s">
        <v>10154</v>
      </c>
      <c r="B4520" s="5" t="s">
        <v>10155</v>
      </c>
      <c r="C4520" s="4" t="s">
        <v>7</v>
      </c>
      <c r="D4520" s="475">
        <v>4.1</v>
      </c>
      <c r="E4520" s="476">
        <v>0.11638</v>
      </c>
      <c r="F4520" s="6">
        <v>0.1547</v>
      </c>
      <c r="G4520" s="6">
        <v>664</v>
      </c>
    </row>
    <row r="4521" ht="15.75" customHeight="1" spans="1:7">
      <c r="A4521" s="4" t="s">
        <v>10156</v>
      </c>
      <c r="B4521" s="5" t="s">
        <v>10157</v>
      </c>
      <c r="C4521" s="4" t="s">
        <v>7</v>
      </c>
      <c r="D4521" s="475">
        <v>6.67</v>
      </c>
      <c r="E4521" s="476">
        <v>0.11638</v>
      </c>
      <c r="F4521" s="6">
        <v>0.2063</v>
      </c>
      <c r="G4521" s="6">
        <v>498</v>
      </c>
    </row>
    <row r="4522" ht="15.75" customHeight="1" spans="1:7">
      <c r="A4522" s="4" t="s">
        <v>10158</v>
      </c>
      <c r="B4522" s="5" t="s">
        <v>10159</v>
      </c>
      <c r="C4522" s="4" t="s">
        <v>7</v>
      </c>
      <c r="D4522" s="475">
        <v>5.47</v>
      </c>
      <c r="E4522" s="476">
        <v>0.11638</v>
      </c>
      <c r="F4522" s="6">
        <v>0.2063</v>
      </c>
      <c r="G4522" s="6">
        <v>498</v>
      </c>
    </row>
    <row r="4523" ht="15.75" customHeight="1" spans="1:7">
      <c r="A4523" s="4" t="s">
        <v>10160</v>
      </c>
      <c r="B4523" s="5" t="s">
        <v>10161</v>
      </c>
      <c r="C4523" s="4" t="s">
        <v>99</v>
      </c>
      <c r="D4523" s="475">
        <v>599</v>
      </c>
      <c r="E4523" s="476">
        <v>0.11638</v>
      </c>
      <c r="F4523" s="6">
        <v>3.9894</v>
      </c>
      <c r="G4523" s="6">
        <v>6.64</v>
      </c>
    </row>
    <row r="4524" ht="15.75" customHeight="1" spans="1:7">
      <c r="A4524" s="4" t="s">
        <v>10162</v>
      </c>
      <c r="B4524" s="5" t="s">
        <v>10163</v>
      </c>
      <c r="C4524" s="4" t="s">
        <v>99</v>
      </c>
      <c r="D4524" s="475">
        <v>482.98</v>
      </c>
      <c r="E4524" s="476">
        <v>0.11638</v>
      </c>
      <c r="F4524" s="6">
        <v>3.9894</v>
      </c>
      <c r="G4524" s="6">
        <v>6.64</v>
      </c>
    </row>
    <row r="4525" ht="15.75" customHeight="1" spans="1:7">
      <c r="A4525" s="4" t="s">
        <v>10164</v>
      </c>
      <c r="B4525" s="5" t="s">
        <v>10165</v>
      </c>
      <c r="C4525" s="4" t="s">
        <v>99</v>
      </c>
      <c r="D4525" s="475">
        <v>414.23</v>
      </c>
      <c r="E4525" s="476">
        <v>0.11638</v>
      </c>
      <c r="F4525" s="6">
        <v>0.6879</v>
      </c>
      <c r="G4525" s="6">
        <v>124.5</v>
      </c>
    </row>
    <row r="4526" ht="15.75" customHeight="1" spans="1:7">
      <c r="A4526" s="4" t="s">
        <v>10166</v>
      </c>
      <c r="B4526" s="5" t="s">
        <v>10167</v>
      </c>
      <c r="C4526" s="4" t="s">
        <v>99</v>
      </c>
      <c r="D4526" s="475">
        <v>310.95</v>
      </c>
      <c r="E4526" s="476">
        <v>0.11638</v>
      </c>
      <c r="F4526" s="6">
        <v>0.6879</v>
      </c>
      <c r="G4526" s="6">
        <v>124.5</v>
      </c>
    </row>
    <row r="4527" ht="15.75" customHeight="1" spans="1:7">
      <c r="A4527" s="4" t="s">
        <v>10168</v>
      </c>
      <c r="B4527" s="5" t="s">
        <v>10169</v>
      </c>
      <c r="C4527" s="4" t="s">
        <v>99</v>
      </c>
      <c r="D4527" s="475">
        <v>429.83</v>
      </c>
      <c r="E4527" s="476">
        <v>0.11638</v>
      </c>
      <c r="F4527" s="6">
        <v>1.4997</v>
      </c>
      <c r="G4527" s="6">
        <v>124.5</v>
      </c>
    </row>
    <row r="4528" ht="15.75" customHeight="1" spans="1:7">
      <c r="A4528" s="4" t="s">
        <v>10170</v>
      </c>
      <c r="B4528" s="5" t="s">
        <v>10171</v>
      </c>
      <c r="C4528" s="4" t="s">
        <v>99</v>
      </c>
      <c r="D4528" s="475">
        <v>326.55</v>
      </c>
      <c r="E4528" s="476">
        <v>0.11638</v>
      </c>
      <c r="F4528" s="6">
        <v>1.4997</v>
      </c>
      <c r="G4528" s="6">
        <v>124.5</v>
      </c>
    </row>
    <row r="4529" ht="15.75" customHeight="1" spans="1:7">
      <c r="A4529" s="4" t="s">
        <v>10172</v>
      </c>
      <c r="B4529" s="5" t="s">
        <v>10173</v>
      </c>
      <c r="C4529" s="4" t="s">
        <v>99</v>
      </c>
      <c r="D4529" s="475">
        <v>332.03</v>
      </c>
      <c r="E4529" s="476">
        <v>0.11638</v>
      </c>
      <c r="F4529" s="6">
        <v>0.4686</v>
      </c>
      <c r="G4529" s="6">
        <v>124.5</v>
      </c>
    </row>
    <row r="4530" ht="15.75" customHeight="1" spans="1:7">
      <c r="A4530" s="4" t="s">
        <v>10174</v>
      </c>
      <c r="B4530" s="5" t="s">
        <v>10175</v>
      </c>
      <c r="C4530" s="4" t="s">
        <v>99</v>
      </c>
      <c r="D4530" s="475">
        <v>237.8</v>
      </c>
      <c r="E4530" s="476">
        <v>0.11638</v>
      </c>
      <c r="F4530" s="6">
        <v>0.4686</v>
      </c>
      <c r="G4530" s="6">
        <v>124.5</v>
      </c>
    </row>
    <row r="4531" ht="15.75" customHeight="1" spans="1:7">
      <c r="A4531" s="4" t="s">
        <v>10176</v>
      </c>
      <c r="B4531" s="5" t="s">
        <v>10177</v>
      </c>
      <c r="C4531" s="4" t="s">
        <v>7</v>
      </c>
      <c r="D4531" s="475">
        <v>0.42</v>
      </c>
      <c r="E4531" s="476">
        <v>0.14409</v>
      </c>
      <c r="F4531" s="6">
        <v>0.0282</v>
      </c>
      <c r="G4531" s="6">
        <v>1500</v>
      </c>
    </row>
    <row r="4532" ht="15.75" customHeight="1" spans="1:7">
      <c r="A4532" s="4" t="s">
        <v>10178</v>
      </c>
      <c r="B4532" s="5" t="s">
        <v>10179</v>
      </c>
      <c r="C4532" s="4" t="s">
        <v>7</v>
      </c>
      <c r="D4532" s="475">
        <v>0.42</v>
      </c>
      <c r="E4532" s="476">
        <v>0.14409</v>
      </c>
      <c r="F4532" s="6">
        <v>0.0282</v>
      </c>
      <c r="G4532" s="6">
        <v>1500</v>
      </c>
    </row>
    <row r="4533" ht="15.75" customHeight="1" spans="1:7">
      <c r="A4533" s="4" t="s">
        <v>10180</v>
      </c>
      <c r="B4533" s="5" t="s">
        <v>10181</v>
      </c>
      <c r="C4533" s="4" t="s">
        <v>99</v>
      </c>
      <c r="D4533" s="475">
        <v>325.73</v>
      </c>
      <c r="E4533" s="476">
        <v>0.11638</v>
      </c>
      <c r="F4533" s="6">
        <v>3.7405</v>
      </c>
      <c r="G4533" s="6">
        <v>21.65</v>
      </c>
    </row>
    <row r="4534" ht="15.75" customHeight="1" spans="1:7">
      <c r="A4534" s="4" t="s">
        <v>10182</v>
      </c>
      <c r="B4534" s="5" t="s">
        <v>10183</v>
      </c>
      <c r="C4534" s="4" t="s">
        <v>99</v>
      </c>
      <c r="D4534" s="475">
        <v>212.34</v>
      </c>
      <c r="E4534" s="476">
        <v>0.11638</v>
      </c>
      <c r="F4534" s="6">
        <v>3.7405</v>
      </c>
      <c r="G4534" s="6">
        <v>21.65</v>
      </c>
    </row>
    <row r="4535" ht="15.75" customHeight="1" spans="1:7">
      <c r="A4535" s="4" t="s">
        <v>10184</v>
      </c>
      <c r="B4535" s="5" t="s">
        <v>10185</v>
      </c>
      <c r="C4535" s="4" t="s">
        <v>99</v>
      </c>
      <c r="D4535" s="475">
        <v>326.43</v>
      </c>
      <c r="E4535" s="476">
        <v>0.11638</v>
      </c>
      <c r="F4535" s="6">
        <v>3.7405</v>
      </c>
      <c r="G4535" s="6">
        <v>21.65</v>
      </c>
    </row>
    <row r="4536" ht="15.75" customHeight="1" spans="1:7">
      <c r="A4536" s="4" t="s">
        <v>10186</v>
      </c>
      <c r="B4536" s="5" t="s">
        <v>10187</v>
      </c>
      <c r="C4536" s="4" t="s">
        <v>99</v>
      </c>
      <c r="D4536" s="475">
        <v>209.12</v>
      </c>
      <c r="E4536" s="476">
        <v>0.11638</v>
      </c>
      <c r="F4536" s="6">
        <v>3.7405</v>
      </c>
      <c r="G4536" s="6">
        <v>21.65</v>
      </c>
    </row>
    <row r="4537" ht="15.75" customHeight="1" spans="1:7">
      <c r="A4537" s="4" t="s">
        <v>10188</v>
      </c>
      <c r="B4537" s="5" t="s">
        <v>10189</v>
      </c>
      <c r="C4537" s="4" t="s">
        <v>99</v>
      </c>
      <c r="D4537" s="475">
        <v>336.17</v>
      </c>
      <c r="E4537" s="476">
        <v>0.11638</v>
      </c>
      <c r="F4537" s="6">
        <v>3.7405</v>
      </c>
      <c r="G4537" s="6">
        <v>21.65</v>
      </c>
    </row>
    <row r="4538" ht="15.75" customHeight="1" spans="1:7">
      <c r="A4538" s="4" t="s">
        <v>10190</v>
      </c>
      <c r="B4538" s="5" t="s">
        <v>10191</v>
      </c>
      <c r="C4538" s="4" t="s">
        <v>99</v>
      </c>
      <c r="D4538" s="475">
        <v>221.36</v>
      </c>
      <c r="E4538" s="476">
        <v>0.11638</v>
      </c>
      <c r="F4538" s="6">
        <v>3.7405</v>
      </c>
      <c r="G4538" s="6">
        <v>21.65</v>
      </c>
    </row>
    <row r="4539" ht="15.75" customHeight="1" spans="1:7">
      <c r="A4539" s="4" t="s">
        <v>10192</v>
      </c>
      <c r="B4539" s="5" t="s">
        <v>10193</v>
      </c>
      <c r="C4539" s="4" t="s">
        <v>99</v>
      </c>
      <c r="D4539" s="475">
        <v>337.04</v>
      </c>
      <c r="E4539" s="476">
        <v>0.11638</v>
      </c>
      <c r="F4539" s="6">
        <v>3.7405</v>
      </c>
      <c r="G4539" s="6">
        <v>21.65</v>
      </c>
    </row>
    <row r="4540" ht="15.75" customHeight="1" spans="1:7">
      <c r="A4540" s="4" t="s">
        <v>10194</v>
      </c>
      <c r="B4540" s="5" t="s">
        <v>10195</v>
      </c>
      <c r="C4540" s="4" t="s">
        <v>99</v>
      </c>
      <c r="D4540" s="475">
        <v>218.14</v>
      </c>
      <c r="E4540" s="476">
        <v>0.11638</v>
      </c>
      <c r="F4540" s="6">
        <v>3.7405</v>
      </c>
      <c r="G4540" s="6">
        <v>21.65</v>
      </c>
    </row>
    <row r="4541" ht="15.75" customHeight="1" spans="1:7">
      <c r="A4541" s="4" t="s">
        <v>10196</v>
      </c>
      <c r="B4541" s="5" t="s">
        <v>10197</v>
      </c>
      <c r="C4541" s="4" t="s">
        <v>99</v>
      </c>
      <c r="D4541" s="475">
        <v>325.73</v>
      </c>
      <c r="E4541" s="476">
        <v>0.11638</v>
      </c>
      <c r="F4541" s="6">
        <v>3.7405</v>
      </c>
      <c r="G4541" s="6">
        <v>21.65</v>
      </c>
    </row>
    <row r="4542" ht="15.75" customHeight="1" spans="1:7">
      <c r="A4542" s="4" t="s">
        <v>10198</v>
      </c>
      <c r="B4542" s="5" t="s">
        <v>10199</v>
      </c>
      <c r="C4542" s="4" t="s">
        <v>99</v>
      </c>
      <c r="D4542" s="475">
        <v>212.34</v>
      </c>
      <c r="E4542" s="476">
        <v>0.11638</v>
      </c>
      <c r="F4542" s="6">
        <v>3.7405</v>
      </c>
      <c r="G4542" s="6">
        <v>21.65</v>
      </c>
    </row>
    <row r="4543" ht="15.75" customHeight="1" spans="1:7">
      <c r="A4543" s="4" t="s">
        <v>10200</v>
      </c>
      <c r="B4543" s="5" t="s">
        <v>10201</v>
      </c>
      <c r="C4543" s="4" t="s">
        <v>99</v>
      </c>
      <c r="D4543" s="475">
        <v>326.43</v>
      </c>
      <c r="E4543" s="476">
        <v>0.11638</v>
      </c>
      <c r="F4543" s="6">
        <v>3.7405</v>
      </c>
      <c r="G4543" s="6">
        <v>21.65</v>
      </c>
    </row>
    <row r="4544" ht="15.75" customHeight="1" spans="1:7">
      <c r="A4544" s="4" t="s">
        <v>10202</v>
      </c>
      <c r="B4544" s="5" t="s">
        <v>10203</v>
      </c>
      <c r="C4544" s="4" t="s">
        <v>99</v>
      </c>
      <c r="D4544" s="475">
        <v>209.12</v>
      </c>
      <c r="E4544" s="476">
        <v>0.11638</v>
      </c>
      <c r="F4544" s="6">
        <v>3.7405</v>
      </c>
      <c r="G4544" s="6">
        <v>21.65</v>
      </c>
    </row>
    <row r="4545" ht="15.75" customHeight="1" spans="1:7">
      <c r="A4545" s="4" t="s">
        <v>10204</v>
      </c>
      <c r="B4545" s="5" t="s">
        <v>10205</v>
      </c>
      <c r="C4545" s="4" t="s">
        <v>99</v>
      </c>
      <c r="D4545" s="475">
        <v>335.1</v>
      </c>
      <c r="E4545" s="476">
        <v>0.11638</v>
      </c>
      <c r="F4545" s="6">
        <v>3.7405</v>
      </c>
      <c r="G4545" s="6">
        <v>21.65</v>
      </c>
    </row>
    <row r="4546" ht="15.75" customHeight="1" spans="1:7">
      <c r="A4546" s="4" t="s">
        <v>10206</v>
      </c>
      <c r="B4546" s="5" t="s">
        <v>10207</v>
      </c>
      <c r="C4546" s="4" t="s">
        <v>99</v>
      </c>
      <c r="D4546" s="475">
        <v>220.84</v>
      </c>
      <c r="E4546" s="476">
        <v>0.11638</v>
      </c>
      <c r="F4546" s="6">
        <v>3.7405</v>
      </c>
      <c r="G4546" s="6">
        <v>21.65</v>
      </c>
    </row>
    <row r="4547" ht="15.75" customHeight="1" spans="1:7">
      <c r="A4547" s="4" t="s">
        <v>10208</v>
      </c>
      <c r="B4547" s="5" t="s">
        <v>10209</v>
      </c>
      <c r="C4547" s="4" t="s">
        <v>99</v>
      </c>
      <c r="D4547" s="475">
        <v>335.97</v>
      </c>
      <c r="E4547" s="476">
        <v>0.11638</v>
      </c>
      <c r="F4547" s="6">
        <v>3.7405</v>
      </c>
      <c r="G4547" s="6">
        <v>21.65</v>
      </c>
    </row>
    <row r="4548" ht="15.75" customHeight="1" spans="1:7">
      <c r="A4548" s="4" t="s">
        <v>10210</v>
      </c>
      <c r="B4548" s="5" t="s">
        <v>10211</v>
      </c>
      <c r="C4548" s="4" t="s">
        <v>99</v>
      </c>
      <c r="D4548" s="475">
        <v>217.63</v>
      </c>
      <c r="E4548" s="476">
        <v>0.11638</v>
      </c>
      <c r="F4548" s="6">
        <v>3.7405</v>
      </c>
      <c r="G4548" s="6">
        <v>21.65</v>
      </c>
    </row>
    <row r="4549" ht="15.75" customHeight="1" spans="1:7">
      <c r="A4549" s="4" t="s">
        <v>10212</v>
      </c>
      <c r="B4549" s="5" t="s">
        <v>10213</v>
      </c>
      <c r="C4549" s="4" t="s">
        <v>9885</v>
      </c>
      <c r="D4549" s="475">
        <v>196.03</v>
      </c>
      <c r="E4549" s="476">
        <v>0.11638</v>
      </c>
      <c r="F4549" s="6">
        <v>0.8005</v>
      </c>
      <c r="G4549" s="6">
        <v>99.6</v>
      </c>
    </row>
    <row r="4550" ht="15.75" customHeight="1" spans="1:7">
      <c r="A4550" s="4" t="s">
        <v>10214</v>
      </c>
      <c r="B4550" s="5" t="s">
        <v>10215</v>
      </c>
      <c r="C4550" s="4" t="s">
        <v>9885</v>
      </c>
      <c r="D4550" s="475">
        <v>146.01</v>
      </c>
      <c r="E4550" s="476">
        <v>0.11638</v>
      </c>
      <c r="F4550" s="6">
        <v>0.8005</v>
      </c>
      <c r="G4550" s="6">
        <v>99.6</v>
      </c>
    </row>
    <row r="4551" ht="15.75" customHeight="1" spans="1:7">
      <c r="A4551" s="4" t="s">
        <v>10216</v>
      </c>
      <c r="B4551" s="5" t="s">
        <v>10217</v>
      </c>
      <c r="C4551" s="4" t="s">
        <v>9885</v>
      </c>
      <c r="D4551" s="475">
        <v>189.45</v>
      </c>
      <c r="E4551" s="476">
        <v>0.11638</v>
      </c>
      <c r="F4551" s="6">
        <v>0.8005</v>
      </c>
      <c r="G4551" s="6">
        <v>99.6</v>
      </c>
    </row>
    <row r="4552" ht="15.75" customHeight="1" spans="1:7">
      <c r="A4552" s="4" t="s">
        <v>10218</v>
      </c>
      <c r="B4552" s="5" t="s">
        <v>10219</v>
      </c>
      <c r="C4552" s="4" t="s">
        <v>9885</v>
      </c>
      <c r="D4552" s="475">
        <v>137.97</v>
      </c>
      <c r="E4552" s="476">
        <v>0.11638</v>
      </c>
      <c r="F4552" s="6">
        <v>0.8005</v>
      </c>
      <c r="G4552" s="6">
        <v>99.6</v>
      </c>
    </row>
    <row r="4553" ht="15.75" customHeight="1" spans="1:7">
      <c r="A4553" s="4" t="s">
        <v>10220</v>
      </c>
      <c r="B4553" s="5" t="s">
        <v>10221</v>
      </c>
      <c r="C4553" s="4" t="s">
        <v>9885</v>
      </c>
      <c r="D4553" s="475">
        <v>196.74</v>
      </c>
      <c r="E4553" s="476">
        <v>0.11638</v>
      </c>
      <c r="F4553" s="6">
        <v>0.8005</v>
      </c>
      <c r="G4553" s="6">
        <v>99.6</v>
      </c>
    </row>
    <row r="4554" ht="15.75" customHeight="1" spans="1:7">
      <c r="A4554" s="4" t="s">
        <v>10222</v>
      </c>
      <c r="B4554" s="5" t="s">
        <v>10223</v>
      </c>
      <c r="C4554" s="4" t="s">
        <v>9885</v>
      </c>
      <c r="D4554" s="475">
        <v>143.83</v>
      </c>
      <c r="E4554" s="476">
        <v>0.11638</v>
      </c>
      <c r="F4554" s="6">
        <v>0.8005</v>
      </c>
      <c r="G4554" s="6">
        <v>99.6</v>
      </c>
    </row>
    <row r="4555" ht="15.75" customHeight="1" spans="1:7">
      <c r="A4555" s="4" t="s">
        <v>10224</v>
      </c>
      <c r="B4555" s="5" t="s">
        <v>10225</v>
      </c>
      <c r="C4555" s="4" t="s">
        <v>9885</v>
      </c>
      <c r="D4555" s="475">
        <v>198.49</v>
      </c>
      <c r="E4555" s="476">
        <v>0.11638</v>
      </c>
      <c r="F4555" s="6">
        <v>0.8005</v>
      </c>
      <c r="G4555" s="6">
        <v>99.6</v>
      </c>
    </row>
    <row r="4556" ht="15.75" customHeight="1" spans="1:7">
      <c r="A4556" s="4" t="s">
        <v>10226</v>
      </c>
      <c r="B4556" s="5" t="s">
        <v>10227</v>
      </c>
      <c r="C4556" s="4" t="s">
        <v>9885</v>
      </c>
      <c r="D4556" s="475">
        <v>150.13</v>
      </c>
      <c r="E4556" s="476">
        <v>0.11638</v>
      </c>
      <c r="F4556" s="6">
        <v>0.8005</v>
      </c>
      <c r="G4556" s="6">
        <v>99.6</v>
      </c>
    </row>
    <row r="4557" ht="15.75" customHeight="1" spans="1:7">
      <c r="A4557" s="4" t="s">
        <v>10228</v>
      </c>
      <c r="B4557" s="5" t="s">
        <v>10229</v>
      </c>
      <c r="C4557" s="4" t="s">
        <v>9885</v>
      </c>
      <c r="D4557" s="475">
        <v>198.28</v>
      </c>
      <c r="E4557" s="476">
        <v>0.11638</v>
      </c>
      <c r="F4557" s="6">
        <v>0.8005</v>
      </c>
      <c r="G4557" s="6">
        <v>99.6</v>
      </c>
    </row>
    <row r="4558" ht="15.75" customHeight="1" spans="1:7">
      <c r="A4558" s="4" t="s">
        <v>10230</v>
      </c>
      <c r="B4558" s="5" t="s">
        <v>10231</v>
      </c>
      <c r="C4558" s="4" t="s">
        <v>9885</v>
      </c>
      <c r="D4558" s="475">
        <v>149.71</v>
      </c>
      <c r="E4558" s="476">
        <v>0.11638</v>
      </c>
      <c r="F4558" s="6">
        <v>0.8005</v>
      </c>
      <c r="G4558" s="6">
        <v>99.6</v>
      </c>
    </row>
    <row r="4559" ht="15.75" customHeight="1" spans="1:7">
      <c r="A4559" s="4" t="s">
        <v>10232</v>
      </c>
      <c r="B4559" s="5" t="s">
        <v>10233</v>
      </c>
      <c r="C4559" s="4" t="s">
        <v>99</v>
      </c>
      <c r="D4559" s="475">
        <v>99.82</v>
      </c>
      <c r="E4559" s="476">
        <v>0.11638</v>
      </c>
      <c r="F4559" s="6">
        <v>2.7326</v>
      </c>
      <c r="G4559" s="6">
        <v>90.84</v>
      </c>
    </row>
    <row r="4560" ht="30" customHeight="1" spans="1:7">
      <c r="A4560" s="4" t="s">
        <v>10234</v>
      </c>
      <c r="B4560" s="5" t="s">
        <v>10235</v>
      </c>
      <c r="C4560" s="4" t="s">
        <v>99</v>
      </c>
      <c r="D4560" s="475">
        <v>137.31</v>
      </c>
      <c r="E4560" s="476">
        <v>0.11638</v>
      </c>
      <c r="F4560" s="6">
        <v>2.9258</v>
      </c>
      <c r="G4560" s="6">
        <v>90.84</v>
      </c>
    </row>
    <row r="4561" ht="30" customHeight="1" spans="1:7">
      <c r="A4561" s="4" t="s">
        <v>10236</v>
      </c>
      <c r="B4561" s="5" t="s">
        <v>10237</v>
      </c>
      <c r="C4561" s="4" t="s">
        <v>99</v>
      </c>
      <c r="D4561" s="475">
        <v>119.71</v>
      </c>
      <c r="E4561" s="476">
        <v>0.11638</v>
      </c>
      <c r="F4561" s="6">
        <v>2.9258</v>
      </c>
      <c r="G4561" s="6">
        <v>90.84</v>
      </c>
    </row>
    <row r="4562" ht="15.75" customHeight="1" spans="1:7">
      <c r="A4562" s="4" t="s">
        <v>10238</v>
      </c>
      <c r="B4562" s="5" t="s">
        <v>10239</v>
      </c>
      <c r="C4562" s="4" t="s">
        <v>99</v>
      </c>
      <c r="D4562" s="475">
        <v>95.85</v>
      </c>
      <c r="E4562" s="476">
        <v>0.11638</v>
      </c>
      <c r="F4562" s="6">
        <v>2.7225</v>
      </c>
      <c r="G4562" s="6">
        <v>90.84</v>
      </c>
    </row>
    <row r="4563" ht="15.75" customHeight="1" spans="1:7">
      <c r="A4563" s="4" t="s">
        <v>10240</v>
      </c>
      <c r="B4563" s="5" t="s">
        <v>10241</v>
      </c>
      <c r="C4563" s="4" t="s">
        <v>99</v>
      </c>
      <c r="D4563" s="475">
        <v>78.25</v>
      </c>
      <c r="E4563" s="476">
        <v>0.11638</v>
      </c>
      <c r="F4563" s="6">
        <v>2.7225</v>
      </c>
      <c r="G4563" s="6">
        <v>90.84</v>
      </c>
    </row>
    <row r="4564" ht="15.75" customHeight="1" spans="1:7">
      <c r="A4564" s="4" t="s">
        <v>10242</v>
      </c>
      <c r="B4564" s="5" t="s">
        <v>10243</v>
      </c>
      <c r="C4564" s="4" t="s">
        <v>99</v>
      </c>
      <c r="D4564" s="475">
        <v>81.4</v>
      </c>
      <c r="E4564" s="476">
        <v>0.11638</v>
      </c>
      <c r="F4564" s="6">
        <v>2.9581</v>
      </c>
      <c r="G4564" s="6">
        <v>90.84</v>
      </c>
    </row>
    <row r="4565" ht="30" customHeight="1" spans="1:7">
      <c r="A4565" s="4" t="s">
        <v>10244</v>
      </c>
      <c r="B4565" s="5" t="s">
        <v>10245</v>
      </c>
      <c r="C4565" s="4" t="s">
        <v>99</v>
      </c>
      <c r="D4565" s="475">
        <v>109.13</v>
      </c>
      <c r="E4565" s="476">
        <v>0.11638</v>
      </c>
      <c r="F4565" s="6">
        <v>3.1513</v>
      </c>
      <c r="G4565" s="6">
        <v>90.84</v>
      </c>
    </row>
    <row r="4566" ht="30" customHeight="1" spans="1:7">
      <c r="A4566" s="4" t="s">
        <v>10246</v>
      </c>
      <c r="B4566" s="5" t="s">
        <v>10247</v>
      </c>
      <c r="C4566" s="4" t="s">
        <v>99</v>
      </c>
      <c r="D4566" s="475">
        <v>173.85</v>
      </c>
      <c r="E4566" s="476">
        <v>0.11638</v>
      </c>
      <c r="F4566" s="6">
        <v>0.8716</v>
      </c>
      <c r="G4566" s="6">
        <v>86.61</v>
      </c>
    </row>
    <row r="4567" ht="30" customHeight="1" spans="1:7">
      <c r="A4567" s="4" t="s">
        <v>10248</v>
      </c>
      <c r="B4567" s="5" t="s">
        <v>10249</v>
      </c>
      <c r="C4567" s="4" t="s">
        <v>99</v>
      </c>
      <c r="D4567" s="475">
        <v>141.95</v>
      </c>
      <c r="E4567" s="476">
        <v>0.11638</v>
      </c>
      <c r="F4567" s="6">
        <v>0.8716</v>
      </c>
      <c r="G4567" s="6">
        <v>86.61</v>
      </c>
    </row>
    <row r="4568" ht="15.75" customHeight="1" spans="1:7">
      <c r="A4568" s="4" t="s">
        <v>10250</v>
      </c>
      <c r="B4568" s="5" t="s">
        <v>10251</v>
      </c>
      <c r="C4568" s="4" t="s">
        <v>99</v>
      </c>
      <c r="D4568" s="475">
        <v>58.36</v>
      </c>
      <c r="E4568" s="476">
        <v>0.11638</v>
      </c>
      <c r="F4568" s="6">
        <v>2.5294</v>
      </c>
      <c r="G4568" s="6">
        <v>90.84</v>
      </c>
    </row>
    <row r="4569" ht="15.75" customHeight="1" spans="1:7">
      <c r="A4569" s="4" t="s">
        <v>10252</v>
      </c>
      <c r="B4569" s="5" t="s">
        <v>10253</v>
      </c>
      <c r="C4569" s="4" t="s">
        <v>99</v>
      </c>
      <c r="D4569" s="475">
        <v>82.41</v>
      </c>
      <c r="E4569" s="476">
        <v>0.14409</v>
      </c>
      <c r="F4569" s="6">
        <v>2.6548</v>
      </c>
      <c r="G4569" s="6">
        <v>119.52</v>
      </c>
    </row>
    <row r="4570" ht="15.75" customHeight="1" spans="1:7">
      <c r="A4570" s="4" t="s">
        <v>10254</v>
      </c>
      <c r="B4570" s="5" t="s">
        <v>10255</v>
      </c>
      <c r="C4570" s="4" t="s">
        <v>99</v>
      </c>
      <c r="D4570" s="475">
        <v>101.9</v>
      </c>
      <c r="E4570" s="476">
        <v>0.14409</v>
      </c>
      <c r="F4570" s="6">
        <v>2.6453</v>
      </c>
      <c r="G4570" s="6">
        <v>119.52</v>
      </c>
    </row>
    <row r="4571" ht="15.75" customHeight="1" spans="1:7">
      <c r="A4571" s="4" t="s">
        <v>10256</v>
      </c>
      <c r="B4571" s="5" t="s">
        <v>10257</v>
      </c>
      <c r="C4571" s="4" t="s">
        <v>99</v>
      </c>
      <c r="D4571" s="475">
        <v>72.87</v>
      </c>
      <c r="E4571" s="476">
        <v>0.14409</v>
      </c>
      <c r="F4571" s="6">
        <v>2.6453</v>
      </c>
      <c r="G4571" s="6">
        <v>119.52</v>
      </c>
    </row>
    <row r="4572" ht="15.75" customHeight="1" spans="1:7">
      <c r="A4572" s="4" t="s">
        <v>10258</v>
      </c>
      <c r="B4572" s="5" t="s">
        <v>10259</v>
      </c>
      <c r="C4572" s="4" t="s">
        <v>99</v>
      </c>
      <c r="D4572" s="475">
        <v>18.01</v>
      </c>
      <c r="E4572" s="476">
        <v>0.14409</v>
      </c>
      <c r="F4572" s="6">
        <v>1.1584</v>
      </c>
      <c r="G4572" s="6">
        <v>123.62</v>
      </c>
    </row>
    <row r="4573" ht="15.75" customHeight="1" spans="1:7">
      <c r="A4573" s="4" t="s">
        <v>10260</v>
      </c>
      <c r="B4573" s="5" t="s">
        <v>10261</v>
      </c>
      <c r="C4573" s="4" t="s">
        <v>99</v>
      </c>
      <c r="D4573" s="475">
        <v>13.7</v>
      </c>
      <c r="E4573" s="476">
        <v>0.14409</v>
      </c>
      <c r="F4573" s="6">
        <v>0.9513</v>
      </c>
      <c r="G4573" s="6">
        <v>112.13</v>
      </c>
    </row>
    <row r="4574" ht="15.75" customHeight="1" spans="1:7">
      <c r="A4574" s="4" t="s">
        <v>10262</v>
      </c>
      <c r="B4574" s="5" t="s">
        <v>10263</v>
      </c>
      <c r="C4574" s="4" t="s">
        <v>99</v>
      </c>
      <c r="D4574" s="475">
        <v>15.64</v>
      </c>
      <c r="E4574" s="476">
        <v>0.14409</v>
      </c>
      <c r="F4574" s="6">
        <v>0.6371</v>
      </c>
      <c r="G4574" s="6">
        <v>134.56</v>
      </c>
    </row>
    <row r="4575" ht="15.75" customHeight="1" spans="1:7">
      <c r="A4575" s="4" t="s">
        <v>10264</v>
      </c>
      <c r="B4575" s="5" t="s">
        <v>10265</v>
      </c>
      <c r="C4575" s="4" t="s">
        <v>99</v>
      </c>
      <c r="D4575" s="475">
        <v>54.71</v>
      </c>
      <c r="E4575" s="476">
        <v>0.14409</v>
      </c>
      <c r="F4575" s="6">
        <v>0.9618</v>
      </c>
      <c r="G4575" s="6">
        <v>150.88</v>
      </c>
    </row>
    <row r="4576" ht="15.75" customHeight="1" spans="1:7">
      <c r="A4576" s="4" t="s">
        <v>10266</v>
      </c>
      <c r="B4576" s="5" t="s">
        <v>10267</v>
      </c>
      <c r="C4576" s="4" t="s">
        <v>7</v>
      </c>
      <c r="D4576" s="475">
        <v>1.85</v>
      </c>
      <c r="E4576" s="476">
        <v>0.13329</v>
      </c>
      <c r="F4576" s="6">
        <v>0.1179</v>
      </c>
      <c r="G4576" s="6">
        <v>672.8</v>
      </c>
    </row>
    <row r="4577" ht="15.75" customHeight="1" spans="1:7">
      <c r="A4577" s="4" t="s">
        <v>10268</v>
      </c>
      <c r="B4577" s="5" t="s">
        <v>10269</v>
      </c>
      <c r="C4577" s="4" t="s">
        <v>7</v>
      </c>
      <c r="D4577" s="475">
        <v>2.15</v>
      </c>
      <c r="E4577" s="476">
        <v>0.13329</v>
      </c>
      <c r="F4577" s="6">
        <v>0.119</v>
      </c>
      <c r="G4577" s="6">
        <v>2151.36</v>
      </c>
    </row>
    <row r="4578" ht="15.75" customHeight="1" spans="1:7">
      <c r="A4578" s="4" t="s">
        <v>10270</v>
      </c>
      <c r="B4578" s="5" t="s">
        <v>10271</v>
      </c>
      <c r="C4578" s="4" t="s">
        <v>9</v>
      </c>
      <c r="D4578" s="475">
        <v>21.76</v>
      </c>
      <c r="E4578" s="476">
        <v>0.11638</v>
      </c>
      <c r="F4578" s="6">
        <v>0.9819</v>
      </c>
      <c r="G4578" s="6">
        <v>41.5</v>
      </c>
    </row>
    <row r="4579" ht="15.75" customHeight="1" spans="1:7">
      <c r="A4579" s="4" t="s">
        <v>10272</v>
      </c>
      <c r="B4579" s="5" t="s">
        <v>10273</v>
      </c>
      <c r="C4579" s="4" t="s">
        <v>99</v>
      </c>
      <c r="D4579" s="475">
        <v>485.87</v>
      </c>
      <c r="E4579" s="476">
        <v>0.14409</v>
      </c>
      <c r="F4579" s="6">
        <v>7.8995</v>
      </c>
      <c r="G4579" s="6">
        <v>6.64</v>
      </c>
    </row>
    <row r="4580" ht="15.75" customHeight="1" spans="1:7">
      <c r="A4580" s="4" t="s">
        <v>10274</v>
      </c>
      <c r="B4580" s="5" t="s">
        <v>10275</v>
      </c>
      <c r="C4580" s="4" t="s">
        <v>99</v>
      </c>
      <c r="D4580" s="475">
        <v>359.8</v>
      </c>
      <c r="E4580" s="476">
        <v>0.14409</v>
      </c>
      <c r="F4580" s="6">
        <v>7.8995</v>
      </c>
      <c r="G4580" s="6">
        <v>6.64</v>
      </c>
    </row>
    <row r="4581" ht="15.75" customHeight="1" spans="1:7">
      <c r="A4581" s="4" t="s">
        <v>10276</v>
      </c>
      <c r="B4581" s="5" t="s">
        <v>10277</v>
      </c>
      <c r="C4581" s="4" t="s">
        <v>99</v>
      </c>
      <c r="D4581" s="475">
        <v>282.12</v>
      </c>
      <c r="E4581" s="476">
        <v>0.14409</v>
      </c>
      <c r="F4581" s="6">
        <v>0.5801</v>
      </c>
      <c r="G4581" s="6">
        <v>124.5</v>
      </c>
    </row>
    <row r="4582" ht="15.75" customHeight="1" spans="1:7">
      <c r="A4582" s="4" t="s">
        <v>10278</v>
      </c>
      <c r="B4582" s="5" t="s">
        <v>10279</v>
      </c>
      <c r="C4582" s="4" t="s">
        <v>99</v>
      </c>
      <c r="D4582" s="475">
        <v>183.61</v>
      </c>
      <c r="E4582" s="476">
        <v>0.14409</v>
      </c>
      <c r="F4582" s="6">
        <v>0.5801</v>
      </c>
      <c r="G4582" s="6">
        <v>124.5</v>
      </c>
    </row>
    <row r="4583" ht="15.75" customHeight="1" spans="1:7">
      <c r="A4583" s="4" t="s">
        <v>10280</v>
      </c>
      <c r="B4583" s="5" t="s">
        <v>10281</v>
      </c>
      <c r="C4583" s="4" t="s">
        <v>99</v>
      </c>
      <c r="D4583" s="475">
        <v>15.64</v>
      </c>
      <c r="E4583" s="476">
        <v>0.14409</v>
      </c>
      <c r="F4583" s="6">
        <v>0.6371</v>
      </c>
      <c r="G4583" s="6">
        <v>134.56</v>
      </c>
    </row>
    <row r="4584" ht="15.75" customHeight="1" spans="1:7">
      <c r="A4584" s="4" t="s">
        <v>10282</v>
      </c>
      <c r="B4584" s="5" t="s">
        <v>10283</v>
      </c>
      <c r="C4584" s="4" t="s">
        <v>99</v>
      </c>
      <c r="D4584" s="475">
        <v>68.54</v>
      </c>
      <c r="E4584" s="476">
        <v>0.14409</v>
      </c>
      <c r="F4584" s="6">
        <v>0.628</v>
      </c>
      <c r="G4584" s="6">
        <v>120.7</v>
      </c>
    </row>
    <row r="4585" ht="15.75" customHeight="1" spans="1:7">
      <c r="A4585" s="4" t="s">
        <v>10284</v>
      </c>
      <c r="B4585" s="5" t="s">
        <v>10285</v>
      </c>
      <c r="C4585" s="4" t="s">
        <v>99</v>
      </c>
      <c r="D4585" s="475">
        <v>64.76</v>
      </c>
      <c r="E4585" s="476">
        <v>0.14409</v>
      </c>
      <c r="F4585" s="6">
        <v>0.923</v>
      </c>
      <c r="G4585" s="6">
        <v>150.88</v>
      </c>
    </row>
    <row r="4586" ht="15.75" customHeight="1" spans="1:7">
      <c r="A4586" s="4" t="s">
        <v>10286</v>
      </c>
      <c r="B4586" s="5" t="s">
        <v>10287</v>
      </c>
      <c r="C4586" s="4" t="s">
        <v>99</v>
      </c>
      <c r="D4586" s="475">
        <v>79.3</v>
      </c>
      <c r="E4586" s="476">
        <v>0.14409</v>
      </c>
      <c r="F4586" s="6">
        <v>0.7197</v>
      </c>
      <c r="G4586" s="6">
        <v>150.88</v>
      </c>
    </row>
    <row r="4587" ht="15.75" customHeight="1" spans="1:7">
      <c r="A4587" s="4" t="s">
        <v>10288</v>
      </c>
      <c r="B4587" s="5" t="s">
        <v>10289</v>
      </c>
      <c r="C4587" s="4" t="s">
        <v>99</v>
      </c>
      <c r="D4587" s="475">
        <v>17.56</v>
      </c>
      <c r="E4587" s="476">
        <v>0.14409</v>
      </c>
      <c r="F4587" s="6">
        <v>0.8102</v>
      </c>
      <c r="G4587" s="6">
        <v>150.88</v>
      </c>
    </row>
    <row r="4588" ht="30" customHeight="1" spans="1:7">
      <c r="A4588" s="4" t="s">
        <v>10290</v>
      </c>
      <c r="B4588" s="5" t="s">
        <v>10291</v>
      </c>
      <c r="C4588" s="4" t="s">
        <v>99</v>
      </c>
      <c r="D4588" s="475">
        <v>38.18</v>
      </c>
      <c r="E4588" s="476">
        <v>0.14409</v>
      </c>
      <c r="F4588" s="6">
        <v>0.628</v>
      </c>
      <c r="G4588" s="6">
        <v>120.7</v>
      </c>
    </row>
    <row r="4589" ht="15.75" customHeight="1" spans="1:7">
      <c r="A4589" s="4" t="s">
        <v>10292</v>
      </c>
      <c r="B4589" s="5" t="s">
        <v>10293</v>
      </c>
      <c r="C4589" s="4" t="s">
        <v>7</v>
      </c>
      <c r="D4589" s="475">
        <v>6.74</v>
      </c>
      <c r="E4589" s="476">
        <v>0.11638</v>
      </c>
      <c r="F4589" s="6">
        <v>0.246</v>
      </c>
      <c r="G4589" s="6">
        <v>283.02</v>
      </c>
    </row>
    <row r="4590" ht="15.75" customHeight="1" spans="1:7">
      <c r="A4590" s="4" t="s">
        <v>10294</v>
      </c>
      <c r="B4590" s="5" t="s">
        <v>10295</v>
      </c>
      <c r="C4590" s="4" t="s">
        <v>7</v>
      </c>
      <c r="D4590" s="475">
        <v>5.14</v>
      </c>
      <c r="E4590" s="476">
        <v>0.11638</v>
      </c>
      <c r="F4590" s="6">
        <v>0.246</v>
      </c>
      <c r="G4590" s="6">
        <v>283.02</v>
      </c>
    </row>
    <row r="4591" ht="15.75" customHeight="1" spans="1:7">
      <c r="A4591" s="4" t="s">
        <v>10296</v>
      </c>
      <c r="B4591" s="5" t="s">
        <v>10297</v>
      </c>
      <c r="C4591" s="4" t="s">
        <v>7</v>
      </c>
      <c r="D4591" s="475">
        <v>6.74</v>
      </c>
      <c r="E4591" s="476">
        <v>0.11638</v>
      </c>
      <c r="F4591" s="6">
        <v>0.246</v>
      </c>
      <c r="G4591" s="6">
        <v>283.02</v>
      </c>
    </row>
    <row r="4592" ht="15.75" customHeight="1" spans="1:7">
      <c r="A4592" s="4" t="s">
        <v>10298</v>
      </c>
      <c r="B4592" s="5" t="s">
        <v>10299</v>
      </c>
      <c r="C4592" s="4" t="s">
        <v>7</v>
      </c>
      <c r="D4592" s="475">
        <v>5.14</v>
      </c>
      <c r="E4592" s="476">
        <v>0.11638</v>
      </c>
      <c r="F4592" s="6">
        <v>0.246</v>
      </c>
      <c r="G4592" s="6">
        <v>283.02</v>
      </c>
    </row>
    <row r="4593" ht="15.75" customHeight="1" spans="1:7">
      <c r="A4593" s="4" t="s">
        <v>10300</v>
      </c>
      <c r="B4593" s="5" t="s">
        <v>10301</v>
      </c>
      <c r="C4593" s="4" t="s">
        <v>7</v>
      </c>
      <c r="D4593" s="475">
        <v>5.11</v>
      </c>
      <c r="E4593" s="476">
        <v>0.11638</v>
      </c>
      <c r="F4593" s="6">
        <v>0.1289</v>
      </c>
      <c r="G4593" s="6">
        <v>540</v>
      </c>
    </row>
    <row r="4594" ht="15.75" customHeight="1" spans="1:7">
      <c r="A4594" s="4" t="s">
        <v>10302</v>
      </c>
      <c r="B4594" s="5" t="s">
        <v>10303</v>
      </c>
      <c r="C4594" s="4" t="s">
        <v>7</v>
      </c>
      <c r="D4594" s="475">
        <v>3.51</v>
      </c>
      <c r="E4594" s="476">
        <v>0.11638</v>
      </c>
      <c r="F4594" s="6">
        <v>0.1289</v>
      </c>
      <c r="G4594" s="6">
        <v>540</v>
      </c>
    </row>
    <row r="4595" ht="15.75" customHeight="1" spans="1:7">
      <c r="A4595" s="4" t="s">
        <v>10304</v>
      </c>
      <c r="B4595" s="5" t="s">
        <v>10305</v>
      </c>
      <c r="C4595" s="4" t="s">
        <v>7</v>
      </c>
      <c r="D4595" s="475">
        <v>5.11</v>
      </c>
      <c r="E4595" s="476">
        <v>0.11638</v>
      </c>
      <c r="F4595" s="6">
        <v>0.1289</v>
      </c>
      <c r="G4595" s="6">
        <v>540</v>
      </c>
    </row>
    <row r="4596" ht="15.75" customHeight="1" spans="1:7">
      <c r="A4596" s="4" t="s">
        <v>10306</v>
      </c>
      <c r="B4596" s="5" t="s">
        <v>10307</v>
      </c>
      <c r="C4596" s="4" t="s">
        <v>7</v>
      </c>
      <c r="D4596" s="475">
        <v>3.51</v>
      </c>
      <c r="E4596" s="476">
        <v>0.11638</v>
      </c>
      <c r="F4596" s="6">
        <v>0.1289</v>
      </c>
      <c r="G4596" s="6">
        <v>540</v>
      </c>
    </row>
    <row r="4597" ht="15.75" customHeight="1" spans="1:7">
      <c r="A4597" s="4" t="s">
        <v>10308</v>
      </c>
      <c r="B4597" s="5" t="s">
        <v>10309</v>
      </c>
      <c r="C4597" s="4" t="s">
        <v>7</v>
      </c>
      <c r="D4597" s="475">
        <v>6</v>
      </c>
      <c r="E4597" s="476">
        <v>0.11638</v>
      </c>
      <c r="F4597" s="6">
        <v>0.1924</v>
      </c>
      <c r="G4597" s="6">
        <v>361.93</v>
      </c>
    </row>
    <row r="4598" ht="15.75" customHeight="1" spans="1:7">
      <c r="A4598" s="4" t="s">
        <v>10310</v>
      </c>
      <c r="B4598" s="5" t="s">
        <v>10311</v>
      </c>
      <c r="C4598" s="4" t="s">
        <v>7</v>
      </c>
      <c r="D4598" s="475">
        <v>4.39</v>
      </c>
      <c r="E4598" s="476">
        <v>0.11638</v>
      </c>
      <c r="F4598" s="6">
        <v>0.1924</v>
      </c>
      <c r="G4598" s="6">
        <v>361.93</v>
      </c>
    </row>
    <row r="4599" ht="15.75" customHeight="1" spans="1:7">
      <c r="A4599" s="4" t="s">
        <v>10312</v>
      </c>
      <c r="B4599" s="5" t="s">
        <v>10313</v>
      </c>
      <c r="C4599" s="4" t="s">
        <v>7</v>
      </c>
      <c r="D4599" s="475">
        <v>6</v>
      </c>
      <c r="E4599" s="476">
        <v>0.11638</v>
      </c>
      <c r="F4599" s="6">
        <v>0.1924</v>
      </c>
      <c r="G4599" s="6">
        <v>361.93</v>
      </c>
    </row>
    <row r="4600" ht="15.75" customHeight="1" spans="1:7">
      <c r="A4600" s="4" t="s">
        <v>10314</v>
      </c>
      <c r="B4600" s="5" t="s">
        <v>10315</v>
      </c>
      <c r="C4600" s="4" t="s">
        <v>7</v>
      </c>
      <c r="D4600" s="475">
        <v>4.39</v>
      </c>
      <c r="E4600" s="476">
        <v>0.11638</v>
      </c>
      <c r="F4600" s="6">
        <v>0.1924</v>
      </c>
      <c r="G4600" s="6">
        <v>361.93</v>
      </c>
    </row>
    <row r="4601" ht="15.75" customHeight="1" spans="1:7">
      <c r="A4601" s="4" t="s">
        <v>10316</v>
      </c>
      <c r="B4601" s="5" t="s">
        <v>10317</v>
      </c>
      <c r="C4601" s="4" t="s">
        <v>7</v>
      </c>
      <c r="D4601" s="475">
        <v>2.41</v>
      </c>
      <c r="E4601" s="476">
        <v>0.11638</v>
      </c>
      <c r="F4601" s="6">
        <v>0.1001</v>
      </c>
      <c r="G4601" s="6">
        <v>695.88</v>
      </c>
    </row>
    <row r="4602" ht="15.75" customHeight="1" spans="1:7">
      <c r="A4602" s="4" t="s">
        <v>10318</v>
      </c>
      <c r="B4602" s="5" t="s">
        <v>10319</v>
      </c>
      <c r="C4602" s="4" t="s">
        <v>7</v>
      </c>
      <c r="D4602" s="475">
        <v>1.91</v>
      </c>
      <c r="E4602" s="476">
        <v>0.11638</v>
      </c>
      <c r="F4602" s="6">
        <v>0.1001</v>
      </c>
      <c r="G4602" s="6">
        <v>695.88</v>
      </c>
    </row>
    <row r="4603" ht="15.75" customHeight="1" spans="1:7">
      <c r="A4603" s="4" t="s">
        <v>10320</v>
      </c>
      <c r="B4603" s="5" t="s">
        <v>10321</v>
      </c>
      <c r="C4603" s="4" t="s">
        <v>7</v>
      </c>
      <c r="D4603" s="475">
        <v>2.41</v>
      </c>
      <c r="E4603" s="476">
        <v>0.11638</v>
      </c>
      <c r="F4603" s="6">
        <v>0.1001</v>
      </c>
      <c r="G4603" s="6">
        <v>695.88</v>
      </c>
    </row>
    <row r="4604" ht="15.75" customHeight="1" spans="1:7">
      <c r="A4604" s="4" t="s">
        <v>10322</v>
      </c>
      <c r="B4604" s="5" t="s">
        <v>10323</v>
      </c>
      <c r="C4604" s="4" t="s">
        <v>7</v>
      </c>
      <c r="D4604" s="475">
        <v>1.91</v>
      </c>
      <c r="E4604" s="476">
        <v>0.11638</v>
      </c>
      <c r="F4604" s="6">
        <v>0.1001</v>
      </c>
      <c r="G4604" s="6">
        <v>695.88</v>
      </c>
    </row>
    <row r="4605" ht="15.75" customHeight="1" spans="1:7">
      <c r="A4605" s="4" t="s">
        <v>10324</v>
      </c>
      <c r="B4605" s="5" t="s">
        <v>10325</v>
      </c>
      <c r="C4605" s="4" t="s">
        <v>7</v>
      </c>
      <c r="D4605" s="475">
        <v>1.74</v>
      </c>
      <c r="E4605" s="476">
        <v>0.11638</v>
      </c>
      <c r="F4605" s="6">
        <v>0.0516</v>
      </c>
      <c r="G4605" s="6">
        <v>1350</v>
      </c>
    </row>
    <row r="4606" ht="15.75" customHeight="1" spans="1:7">
      <c r="A4606" s="4" t="s">
        <v>10326</v>
      </c>
      <c r="B4606" s="5" t="s">
        <v>10327</v>
      </c>
      <c r="C4606" s="4" t="s">
        <v>7</v>
      </c>
      <c r="D4606" s="475">
        <v>1.24</v>
      </c>
      <c r="E4606" s="476">
        <v>0.11638</v>
      </c>
      <c r="F4606" s="6">
        <v>0.0516</v>
      </c>
      <c r="G4606" s="6">
        <v>1350</v>
      </c>
    </row>
    <row r="4607" ht="15.75" customHeight="1" spans="1:7">
      <c r="A4607" s="4" t="s">
        <v>10328</v>
      </c>
      <c r="B4607" s="5" t="s">
        <v>10329</v>
      </c>
      <c r="C4607" s="4" t="s">
        <v>7</v>
      </c>
      <c r="D4607" s="475">
        <v>1.74</v>
      </c>
      <c r="E4607" s="476">
        <v>0.11638</v>
      </c>
      <c r="F4607" s="6">
        <v>0.0516</v>
      </c>
      <c r="G4607" s="6">
        <v>1350</v>
      </c>
    </row>
    <row r="4608" ht="15.75" customHeight="1" spans="1:7">
      <c r="A4608" s="4" t="s">
        <v>10330</v>
      </c>
      <c r="B4608" s="5" t="s">
        <v>10331</v>
      </c>
      <c r="C4608" s="4" t="s">
        <v>7</v>
      </c>
      <c r="D4608" s="475">
        <v>1.24</v>
      </c>
      <c r="E4608" s="476">
        <v>0.11638</v>
      </c>
      <c r="F4608" s="6">
        <v>0.0516</v>
      </c>
      <c r="G4608" s="6">
        <v>1350</v>
      </c>
    </row>
    <row r="4609" ht="15.75" customHeight="1" spans="1:7">
      <c r="A4609" s="4" t="s">
        <v>10332</v>
      </c>
      <c r="B4609" s="5" t="s">
        <v>10333</v>
      </c>
      <c r="C4609" s="4" t="s">
        <v>7</v>
      </c>
      <c r="D4609" s="475">
        <v>2.09</v>
      </c>
      <c r="E4609" s="476">
        <v>0.11638</v>
      </c>
      <c r="F4609" s="6">
        <v>0.0768</v>
      </c>
      <c r="G4609" s="6">
        <v>906.04</v>
      </c>
    </row>
    <row r="4610" ht="15.75" customHeight="1" spans="1:7">
      <c r="A4610" s="4" t="s">
        <v>10334</v>
      </c>
      <c r="B4610" s="5" t="s">
        <v>10335</v>
      </c>
      <c r="C4610" s="4" t="s">
        <v>7</v>
      </c>
      <c r="D4610" s="475">
        <v>1.59</v>
      </c>
      <c r="E4610" s="476">
        <v>0.11638</v>
      </c>
      <c r="F4610" s="6">
        <v>0.0768</v>
      </c>
      <c r="G4610" s="6">
        <v>906.04</v>
      </c>
    </row>
    <row r="4611" ht="15.75" customHeight="1" spans="1:7">
      <c r="A4611" s="4" t="s">
        <v>10336</v>
      </c>
      <c r="B4611" s="5" t="s">
        <v>10337</v>
      </c>
      <c r="C4611" s="4" t="s">
        <v>7</v>
      </c>
      <c r="D4611" s="475">
        <v>2.09</v>
      </c>
      <c r="E4611" s="476">
        <v>0.11638</v>
      </c>
      <c r="F4611" s="6">
        <v>0.0768</v>
      </c>
      <c r="G4611" s="6">
        <v>906.04</v>
      </c>
    </row>
    <row r="4612" ht="15.75" customHeight="1" spans="1:7">
      <c r="A4612" s="4" t="s">
        <v>10338</v>
      </c>
      <c r="B4612" s="5" t="s">
        <v>10339</v>
      </c>
      <c r="C4612" s="4" t="s">
        <v>7</v>
      </c>
      <c r="D4612" s="475">
        <v>1.59</v>
      </c>
      <c r="E4612" s="476">
        <v>0.11638</v>
      </c>
      <c r="F4612" s="6">
        <v>0.0768</v>
      </c>
      <c r="G4612" s="6">
        <v>906.04</v>
      </c>
    </row>
    <row r="4613" ht="15.75" customHeight="1" spans="1:7">
      <c r="A4613" s="4" t="s">
        <v>10340</v>
      </c>
      <c r="B4613" s="5" t="s">
        <v>10341</v>
      </c>
      <c r="C4613" s="4" t="s">
        <v>7</v>
      </c>
      <c r="D4613" s="475">
        <v>7.32</v>
      </c>
      <c r="E4613" s="476">
        <v>0.11638</v>
      </c>
      <c r="F4613" s="6">
        <v>0.246</v>
      </c>
      <c r="G4613" s="6">
        <v>283.02</v>
      </c>
    </row>
    <row r="4614" ht="15.75" customHeight="1" spans="1:7">
      <c r="A4614" s="4" t="s">
        <v>10342</v>
      </c>
      <c r="B4614" s="5" t="s">
        <v>10343</v>
      </c>
      <c r="C4614" s="4" t="s">
        <v>7</v>
      </c>
      <c r="D4614" s="475">
        <v>5.55</v>
      </c>
      <c r="E4614" s="476">
        <v>0.11638</v>
      </c>
      <c r="F4614" s="6">
        <v>0.246</v>
      </c>
      <c r="G4614" s="6">
        <v>283.02</v>
      </c>
    </row>
    <row r="4615" ht="15.75" customHeight="1" spans="1:7">
      <c r="A4615" s="4" t="s">
        <v>10344</v>
      </c>
      <c r="B4615" s="5" t="s">
        <v>10345</v>
      </c>
      <c r="C4615" s="4" t="s">
        <v>7</v>
      </c>
      <c r="D4615" s="475">
        <v>7.32</v>
      </c>
      <c r="E4615" s="476">
        <v>0.11638</v>
      </c>
      <c r="F4615" s="6">
        <v>0.246</v>
      </c>
      <c r="G4615" s="6">
        <v>283.02</v>
      </c>
    </row>
    <row r="4616" ht="15.75" customHeight="1" spans="1:7">
      <c r="A4616" s="4" t="s">
        <v>10346</v>
      </c>
      <c r="B4616" s="5" t="s">
        <v>10347</v>
      </c>
      <c r="C4616" s="4" t="s">
        <v>7</v>
      </c>
      <c r="D4616" s="475">
        <v>5.55</v>
      </c>
      <c r="E4616" s="476">
        <v>0.11638</v>
      </c>
      <c r="F4616" s="6">
        <v>0.246</v>
      </c>
      <c r="G4616" s="6">
        <v>283.02</v>
      </c>
    </row>
    <row r="4617" ht="15.75" customHeight="1" spans="1:7">
      <c r="A4617" s="4" t="s">
        <v>10348</v>
      </c>
      <c r="B4617" s="5" t="s">
        <v>10349</v>
      </c>
      <c r="C4617" s="4" t="s">
        <v>7</v>
      </c>
      <c r="D4617" s="475">
        <v>5.7</v>
      </c>
      <c r="E4617" s="476">
        <v>0.11638</v>
      </c>
      <c r="F4617" s="6">
        <v>0.1289</v>
      </c>
      <c r="G4617" s="6">
        <v>540</v>
      </c>
    </row>
    <row r="4618" ht="15.75" customHeight="1" spans="1:7">
      <c r="A4618" s="4" t="s">
        <v>10350</v>
      </c>
      <c r="B4618" s="5" t="s">
        <v>10351</v>
      </c>
      <c r="C4618" s="4" t="s">
        <v>7</v>
      </c>
      <c r="D4618" s="475">
        <v>3.93</v>
      </c>
      <c r="E4618" s="476">
        <v>0.11638</v>
      </c>
      <c r="F4618" s="6">
        <v>0.1289</v>
      </c>
      <c r="G4618" s="6">
        <v>540</v>
      </c>
    </row>
    <row r="4619" ht="15.75" customHeight="1" spans="1:7">
      <c r="A4619" s="4" t="s">
        <v>10352</v>
      </c>
      <c r="B4619" s="5" t="s">
        <v>10353</v>
      </c>
      <c r="C4619" s="4" t="s">
        <v>7</v>
      </c>
      <c r="D4619" s="475">
        <v>5.7</v>
      </c>
      <c r="E4619" s="476">
        <v>0.11638</v>
      </c>
      <c r="F4619" s="6">
        <v>0.1289</v>
      </c>
      <c r="G4619" s="6">
        <v>540</v>
      </c>
    </row>
    <row r="4620" ht="15.75" customHeight="1" spans="1:7">
      <c r="A4620" s="4" t="s">
        <v>10354</v>
      </c>
      <c r="B4620" s="5" t="s">
        <v>10355</v>
      </c>
      <c r="C4620" s="4" t="s">
        <v>7</v>
      </c>
      <c r="D4620" s="475">
        <v>3.93</v>
      </c>
      <c r="E4620" s="476">
        <v>0.11638</v>
      </c>
      <c r="F4620" s="6">
        <v>0.1289</v>
      </c>
      <c r="G4620" s="6">
        <v>540</v>
      </c>
    </row>
    <row r="4621" ht="15.75" customHeight="1" spans="1:7">
      <c r="A4621" s="4" t="s">
        <v>10356</v>
      </c>
      <c r="B4621" s="5" t="s">
        <v>10357</v>
      </c>
      <c r="C4621" s="4" t="s">
        <v>7</v>
      </c>
      <c r="D4621" s="475">
        <v>6.58</v>
      </c>
      <c r="E4621" s="476">
        <v>0.11638</v>
      </c>
      <c r="F4621" s="6">
        <v>0.1924</v>
      </c>
      <c r="G4621" s="6">
        <v>361.93</v>
      </c>
    </row>
    <row r="4622" ht="15.75" customHeight="1" spans="1:7">
      <c r="A4622" s="4" t="s">
        <v>10358</v>
      </c>
      <c r="B4622" s="5" t="s">
        <v>10359</v>
      </c>
      <c r="C4622" s="4" t="s">
        <v>7</v>
      </c>
      <c r="D4622" s="475">
        <v>4.81</v>
      </c>
      <c r="E4622" s="476">
        <v>0.11638</v>
      </c>
      <c r="F4622" s="6">
        <v>0.1924</v>
      </c>
      <c r="G4622" s="6">
        <v>361.93</v>
      </c>
    </row>
    <row r="4623" ht="15.75" customHeight="1" spans="1:7">
      <c r="A4623" s="4" t="s">
        <v>10360</v>
      </c>
      <c r="B4623" s="5" t="s">
        <v>10361</v>
      </c>
      <c r="C4623" s="4" t="s">
        <v>7</v>
      </c>
      <c r="D4623" s="475">
        <v>6.58</v>
      </c>
      <c r="E4623" s="476">
        <v>0.11638</v>
      </c>
      <c r="F4623" s="6">
        <v>0.1924</v>
      </c>
      <c r="G4623" s="6">
        <v>361.93</v>
      </c>
    </row>
    <row r="4624" ht="15.75" customHeight="1" spans="1:7">
      <c r="A4624" s="4" t="s">
        <v>10362</v>
      </c>
      <c r="B4624" s="5" t="s">
        <v>10363</v>
      </c>
      <c r="C4624" s="4" t="s">
        <v>7</v>
      </c>
      <c r="D4624" s="475">
        <v>4.81</v>
      </c>
      <c r="E4624" s="476">
        <v>0.11638</v>
      </c>
      <c r="F4624" s="6">
        <v>0.1924</v>
      </c>
      <c r="G4624" s="6">
        <v>361.93</v>
      </c>
    </row>
    <row r="4625" ht="15.75" customHeight="1" spans="1:7">
      <c r="A4625" s="4" t="s">
        <v>10364</v>
      </c>
      <c r="B4625" s="5" t="s">
        <v>10365</v>
      </c>
      <c r="C4625" s="4" t="s">
        <v>7</v>
      </c>
      <c r="D4625" s="475">
        <v>0.39</v>
      </c>
      <c r="E4625" s="476">
        <v>0</v>
      </c>
      <c r="F4625" s="6">
        <v>0</v>
      </c>
      <c r="G4625" s="6">
        <v>996</v>
      </c>
    </row>
    <row r="4626" ht="15.75" customHeight="1" spans="1:7">
      <c r="A4626" s="4" t="s">
        <v>10366</v>
      </c>
      <c r="B4626" s="5" t="s">
        <v>10367</v>
      </c>
      <c r="C4626" s="4" t="s">
        <v>7</v>
      </c>
      <c r="D4626" s="475">
        <v>0.08</v>
      </c>
      <c r="E4626" s="476">
        <v>0.14409</v>
      </c>
      <c r="F4626" s="6">
        <v>0.0047</v>
      </c>
      <c r="G4626" s="6">
        <v>2430.24</v>
      </c>
    </row>
    <row r="4627" ht="15.75" customHeight="1" spans="1:7">
      <c r="A4627" s="4" t="s">
        <v>10368</v>
      </c>
      <c r="B4627" s="5" t="s">
        <v>10369</v>
      </c>
      <c r="C4627" s="4" t="s">
        <v>82</v>
      </c>
      <c r="D4627" s="475">
        <v>14579.53</v>
      </c>
      <c r="E4627" s="476">
        <v>0</v>
      </c>
      <c r="F4627" s="6">
        <v>0</v>
      </c>
      <c r="G4627" s="6">
        <v>0.21079</v>
      </c>
    </row>
    <row r="4628" ht="15.75" customHeight="1" spans="1:7">
      <c r="A4628" s="4" t="s">
        <v>10370</v>
      </c>
      <c r="B4628" s="5" t="s">
        <v>10371</v>
      </c>
      <c r="C4628" s="4" t="s">
        <v>82</v>
      </c>
      <c r="D4628" s="475">
        <v>19235.35</v>
      </c>
      <c r="E4628" s="476">
        <v>0</v>
      </c>
      <c r="F4628" s="6">
        <v>0</v>
      </c>
      <c r="G4628" s="6">
        <v>0.20096</v>
      </c>
    </row>
    <row r="4629" ht="15.75" customHeight="1" spans="1:7">
      <c r="A4629" s="4" t="s">
        <v>10372</v>
      </c>
      <c r="B4629" s="5" t="s">
        <v>10373</v>
      </c>
      <c r="C4629" s="4" t="s">
        <v>82</v>
      </c>
      <c r="D4629" s="475">
        <v>21979.9</v>
      </c>
      <c r="E4629" s="476">
        <v>0</v>
      </c>
      <c r="F4629" s="6">
        <v>0</v>
      </c>
      <c r="G4629" s="6">
        <v>0.1972</v>
      </c>
    </row>
    <row r="4630" ht="15.75" customHeight="1" spans="1:7">
      <c r="A4630" s="4" t="s">
        <v>10374</v>
      </c>
      <c r="B4630" s="5" t="s">
        <v>10375</v>
      </c>
      <c r="C4630" s="4" t="s">
        <v>82</v>
      </c>
      <c r="D4630" s="475">
        <v>32781.86</v>
      </c>
      <c r="E4630" s="476">
        <v>0</v>
      </c>
      <c r="F4630" s="6">
        <v>0</v>
      </c>
      <c r="G4630" s="6">
        <v>0.1932</v>
      </c>
    </row>
    <row r="4631" ht="15.75" customHeight="1" spans="1:7">
      <c r="A4631" s="4" t="s">
        <v>10376</v>
      </c>
      <c r="B4631" s="5" t="s">
        <v>10377</v>
      </c>
      <c r="C4631" s="4" t="s">
        <v>82</v>
      </c>
      <c r="D4631" s="475">
        <v>36467.16</v>
      </c>
      <c r="E4631" s="476">
        <v>0</v>
      </c>
      <c r="F4631" s="6">
        <v>0</v>
      </c>
      <c r="G4631" s="6">
        <v>0.18185</v>
      </c>
    </row>
    <row r="4632" ht="15.75" customHeight="1" spans="1:7">
      <c r="A4632" s="4" t="s">
        <v>10378</v>
      </c>
      <c r="B4632" s="5" t="s">
        <v>10379</v>
      </c>
      <c r="C4632" s="4" t="s">
        <v>82</v>
      </c>
      <c r="D4632" s="475">
        <v>42153.76</v>
      </c>
      <c r="E4632" s="476">
        <v>0</v>
      </c>
      <c r="F4632" s="6">
        <v>0</v>
      </c>
      <c r="G4632" s="6">
        <v>0.17355</v>
      </c>
    </row>
    <row r="4633" ht="15.75" customHeight="1" spans="1:7">
      <c r="A4633" s="4" t="s">
        <v>10380</v>
      </c>
      <c r="B4633" s="5" t="s">
        <v>10381</v>
      </c>
      <c r="C4633" s="4" t="s">
        <v>82</v>
      </c>
      <c r="D4633" s="475">
        <v>53118.25</v>
      </c>
      <c r="E4633" s="476">
        <v>0</v>
      </c>
      <c r="F4633" s="6">
        <v>0</v>
      </c>
      <c r="G4633" s="6">
        <v>0.16562</v>
      </c>
    </row>
    <row r="4634" ht="15.75" customHeight="1" spans="1:7">
      <c r="A4634" s="4" t="s">
        <v>10382</v>
      </c>
      <c r="B4634" s="5" t="s">
        <v>10383</v>
      </c>
      <c r="C4634" s="4" t="s">
        <v>82</v>
      </c>
      <c r="D4634" s="475">
        <v>58576.05</v>
      </c>
      <c r="E4634" s="476">
        <v>0</v>
      </c>
      <c r="F4634" s="6">
        <v>0</v>
      </c>
      <c r="G4634" s="6">
        <v>0.15349</v>
      </c>
    </row>
    <row r="4635" ht="15.75" customHeight="1" spans="1:7">
      <c r="A4635" s="4" t="s">
        <v>10384</v>
      </c>
      <c r="B4635" s="5" t="s">
        <v>10385</v>
      </c>
      <c r="C4635" s="4" t="s">
        <v>82</v>
      </c>
      <c r="D4635" s="475">
        <v>69790.97</v>
      </c>
      <c r="E4635" s="476">
        <v>0</v>
      </c>
      <c r="F4635" s="6">
        <v>0</v>
      </c>
      <c r="G4635" s="6">
        <v>0.14533</v>
      </c>
    </row>
    <row r="4636" ht="15.75" customHeight="1" spans="1:7">
      <c r="A4636" s="4" t="s">
        <v>10386</v>
      </c>
      <c r="B4636" s="5" t="s">
        <v>10387</v>
      </c>
      <c r="C4636" s="4" t="s">
        <v>82</v>
      </c>
      <c r="D4636" s="475">
        <v>81192.78</v>
      </c>
      <c r="E4636" s="476">
        <v>0</v>
      </c>
      <c r="F4636" s="6">
        <v>0</v>
      </c>
      <c r="G4636" s="6">
        <v>0.13774</v>
      </c>
    </row>
    <row r="4637" ht="15.75" customHeight="1" spans="1:7">
      <c r="A4637" s="4" t="s">
        <v>10388</v>
      </c>
      <c r="B4637" s="5" t="s">
        <v>10389</v>
      </c>
      <c r="C4637" s="4" t="s">
        <v>82</v>
      </c>
      <c r="D4637" s="475">
        <v>86491.01</v>
      </c>
      <c r="E4637" s="476">
        <v>0</v>
      </c>
      <c r="F4637" s="6">
        <v>0</v>
      </c>
      <c r="G4637" s="6">
        <v>0.13293</v>
      </c>
    </row>
    <row r="4638" ht="15.75" customHeight="1" spans="1:7">
      <c r="A4638" s="4" t="s">
        <v>10390</v>
      </c>
      <c r="B4638" s="5" t="s">
        <v>10391</v>
      </c>
      <c r="C4638" s="4" t="s">
        <v>82</v>
      </c>
      <c r="D4638" s="475">
        <v>25516.95</v>
      </c>
      <c r="E4638" s="476">
        <v>0.03632</v>
      </c>
      <c r="F4638" s="6">
        <v>34.0703</v>
      </c>
      <c r="G4638" s="6">
        <v>0.1368</v>
      </c>
    </row>
    <row r="4639" ht="15.75" customHeight="1" spans="1:7">
      <c r="A4639" s="4" t="s">
        <v>10392</v>
      </c>
      <c r="B4639" s="5" t="s">
        <v>10393</v>
      </c>
      <c r="C4639" s="4" t="s">
        <v>82</v>
      </c>
      <c r="D4639" s="475">
        <v>33403.66</v>
      </c>
      <c r="E4639" s="476">
        <v>0.03632</v>
      </c>
      <c r="F4639" s="6">
        <v>35.9427</v>
      </c>
      <c r="G4639" s="6">
        <v>0.13011</v>
      </c>
    </row>
    <row r="4640" ht="15.75" customHeight="1" spans="1:7">
      <c r="A4640" s="4" t="s">
        <v>10394</v>
      </c>
      <c r="B4640" s="5" t="s">
        <v>10395</v>
      </c>
      <c r="C4640" s="4" t="s">
        <v>82</v>
      </c>
      <c r="D4640" s="475">
        <v>34329.08</v>
      </c>
      <c r="E4640" s="476">
        <v>0.03632</v>
      </c>
      <c r="F4640" s="6">
        <v>36.9876</v>
      </c>
      <c r="G4640" s="6">
        <v>0.12684</v>
      </c>
    </row>
    <row r="4641" ht="15.75" customHeight="1" spans="1:7">
      <c r="A4641" s="4" t="s">
        <v>10396</v>
      </c>
      <c r="B4641" s="5" t="s">
        <v>10397</v>
      </c>
      <c r="C4641" s="4" t="s">
        <v>82</v>
      </c>
      <c r="D4641" s="475">
        <v>49294.41</v>
      </c>
      <c r="E4641" s="476">
        <v>0.03632</v>
      </c>
      <c r="F4641" s="6">
        <v>38.737</v>
      </c>
      <c r="G4641" s="6">
        <v>0.12209</v>
      </c>
    </row>
    <row r="4642" ht="15.75" customHeight="1" spans="1:7">
      <c r="A4642" s="4" t="s">
        <v>10398</v>
      </c>
      <c r="B4642" s="5" t="s">
        <v>10399</v>
      </c>
      <c r="C4642" s="4" t="s">
        <v>82</v>
      </c>
      <c r="D4642" s="475">
        <v>62380.17</v>
      </c>
      <c r="E4642" s="476">
        <v>0.03632</v>
      </c>
      <c r="F4642" s="6">
        <v>41.2704</v>
      </c>
      <c r="G4642" s="6">
        <v>0.11467</v>
      </c>
    </row>
    <row r="4643" ht="15.75" customHeight="1" spans="1:7">
      <c r="A4643" s="4" t="s">
        <v>10400</v>
      </c>
      <c r="B4643" s="5" t="s">
        <v>10401</v>
      </c>
      <c r="C4643" s="4" t="s">
        <v>82</v>
      </c>
      <c r="D4643" s="475">
        <v>73970.3</v>
      </c>
      <c r="E4643" s="476">
        <v>0.03632</v>
      </c>
      <c r="F4643" s="6">
        <v>45.9533</v>
      </c>
      <c r="G4643" s="6">
        <v>0.105</v>
      </c>
    </row>
    <row r="4644" ht="15.75" customHeight="1" spans="1:7">
      <c r="A4644" s="4" t="s">
        <v>10402</v>
      </c>
      <c r="B4644" s="5" t="s">
        <v>10403</v>
      </c>
      <c r="C4644" s="4" t="s">
        <v>82</v>
      </c>
      <c r="D4644" s="475">
        <v>92120.29</v>
      </c>
      <c r="E4644" s="476">
        <v>0.03632</v>
      </c>
      <c r="F4644" s="6">
        <v>49.2619</v>
      </c>
      <c r="G4644" s="6">
        <v>0.09849</v>
      </c>
    </row>
    <row r="4645" ht="15.75" customHeight="1" spans="1:7">
      <c r="A4645" s="4" t="s">
        <v>10404</v>
      </c>
      <c r="B4645" s="5" t="s">
        <v>10405</v>
      </c>
      <c r="C4645" s="4" t="s">
        <v>82</v>
      </c>
      <c r="D4645" s="475">
        <v>102271.32</v>
      </c>
      <c r="E4645" s="476">
        <v>0.03632</v>
      </c>
      <c r="F4645" s="6">
        <v>57.2223</v>
      </c>
      <c r="G4645" s="6">
        <v>0.08883</v>
      </c>
    </row>
    <row r="4646" ht="15.75" customHeight="1" spans="1:7">
      <c r="A4646" s="4" t="s">
        <v>10406</v>
      </c>
      <c r="B4646" s="5" t="s">
        <v>10407</v>
      </c>
      <c r="C4646" s="4" t="s">
        <v>82</v>
      </c>
      <c r="D4646" s="475">
        <v>121678.19</v>
      </c>
      <c r="E4646" s="476">
        <v>0.03632</v>
      </c>
      <c r="F4646" s="6">
        <v>62.5957</v>
      </c>
      <c r="G4646" s="6">
        <v>0.08195</v>
      </c>
    </row>
    <row r="4647" ht="15.75" customHeight="1" spans="1:7">
      <c r="A4647" s="4" t="s">
        <v>10408</v>
      </c>
      <c r="B4647" s="5" t="s">
        <v>10409</v>
      </c>
      <c r="C4647" s="4" t="s">
        <v>82</v>
      </c>
      <c r="D4647" s="475">
        <v>141460.6</v>
      </c>
      <c r="E4647" s="476">
        <v>0.03632</v>
      </c>
      <c r="F4647" s="6">
        <v>69.0737</v>
      </c>
      <c r="G4647" s="6">
        <v>0.07536</v>
      </c>
    </row>
    <row r="4648" ht="15.75" customHeight="1" spans="1:7">
      <c r="A4648" s="4" t="s">
        <v>10410</v>
      </c>
      <c r="B4648" s="5" t="s">
        <v>10411</v>
      </c>
      <c r="C4648" s="4" t="s">
        <v>82</v>
      </c>
      <c r="D4648" s="475">
        <v>151045.26</v>
      </c>
      <c r="E4648" s="476">
        <v>0.03632</v>
      </c>
      <c r="F4648" s="6">
        <v>74.1565</v>
      </c>
      <c r="G4648" s="6">
        <v>0.07075</v>
      </c>
    </row>
    <row r="4649" ht="15.75" customHeight="1" spans="1:7">
      <c r="A4649" s="4" t="s">
        <v>10412</v>
      </c>
      <c r="B4649" s="5" t="s">
        <v>10413</v>
      </c>
      <c r="C4649" s="4" t="s">
        <v>101</v>
      </c>
      <c r="D4649" s="475">
        <v>28.17</v>
      </c>
      <c r="E4649" s="476">
        <v>0.03632</v>
      </c>
      <c r="F4649" s="6">
        <v>0.0793</v>
      </c>
      <c r="G4649" s="6">
        <v>123.84</v>
      </c>
    </row>
    <row r="4650" ht="30" customHeight="1" spans="1:7">
      <c r="A4650" s="4" t="s">
        <v>10414</v>
      </c>
      <c r="B4650" s="5" t="s">
        <v>10415</v>
      </c>
      <c r="C4650" s="4" t="s">
        <v>82</v>
      </c>
      <c r="D4650" s="475">
        <v>2796.73</v>
      </c>
      <c r="E4650" s="476">
        <v>0.03632</v>
      </c>
      <c r="F4650" s="6">
        <v>67.7611</v>
      </c>
      <c r="G4650" s="6">
        <v>0.10375</v>
      </c>
    </row>
    <row r="4651" ht="15.75" customHeight="1" spans="1:7">
      <c r="A4651" s="4" t="s">
        <v>10416</v>
      </c>
      <c r="B4651" s="5" t="s">
        <v>10417</v>
      </c>
      <c r="C4651" s="4" t="s">
        <v>82</v>
      </c>
      <c r="D4651" s="475">
        <v>14029.65</v>
      </c>
      <c r="E4651" s="476">
        <v>0.03632</v>
      </c>
      <c r="F4651" s="6">
        <v>285.9176</v>
      </c>
      <c r="G4651" s="6">
        <v>0.0415</v>
      </c>
    </row>
    <row r="4652" ht="15.75" customHeight="1" spans="1:7">
      <c r="A4652" s="4" t="s">
        <v>10418</v>
      </c>
      <c r="B4652" s="5" t="s">
        <v>10419</v>
      </c>
      <c r="C4652" s="4" t="s">
        <v>104</v>
      </c>
      <c r="D4652" s="475">
        <v>128.98</v>
      </c>
      <c r="E4652" s="476">
        <v>0</v>
      </c>
      <c r="F4652" s="6">
        <v>0</v>
      </c>
      <c r="G4652" s="6">
        <v>1</v>
      </c>
    </row>
    <row r="4653" ht="15.75" customHeight="1" spans="1:7">
      <c r="A4653" s="4" t="s">
        <v>10420</v>
      </c>
      <c r="B4653" s="5" t="s">
        <v>10421</v>
      </c>
      <c r="C4653" s="4" t="s">
        <v>82</v>
      </c>
      <c r="D4653" s="475">
        <v>31308.67</v>
      </c>
      <c r="E4653" s="476">
        <v>0.03632</v>
      </c>
      <c r="F4653" s="6">
        <v>685.7165</v>
      </c>
      <c r="G4653" s="6">
        <v>0.02075</v>
      </c>
    </row>
    <row r="4654" ht="15.75" customHeight="1" spans="1:7">
      <c r="A4654" s="4" t="s">
        <v>10422</v>
      </c>
      <c r="B4654" s="5" t="s">
        <v>10423</v>
      </c>
      <c r="C4654" s="4" t="s">
        <v>82</v>
      </c>
      <c r="D4654" s="475">
        <v>13062.21</v>
      </c>
      <c r="E4654" s="476">
        <v>0.03632</v>
      </c>
      <c r="F4654" s="6">
        <v>276.017</v>
      </c>
      <c r="G4654" s="6">
        <v>0.05188</v>
      </c>
    </row>
    <row r="4655" ht="15.75" customHeight="1" spans="1:7">
      <c r="A4655" s="4" t="s">
        <v>10424</v>
      </c>
      <c r="B4655" s="5" t="s">
        <v>10425</v>
      </c>
      <c r="C4655" s="4" t="s">
        <v>104</v>
      </c>
      <c r="D4655" s="475">
        <v>537.21</v>
      </c>
      <c r="E4655" s="476">
        <v>0</v>
      </c>
      <c r="F4655" s="6">
        <v>0</v>
      </c>
      <c r="G4655" s="6">
        <v>1</v>
      </c>
    </row>
    <row r="4656" ht="15.75" customHeight="1" spans="1:7">
      <c r="A4656" s="4" t="s">
        <v>10426</v>
      </c>
      <c r="B4656" s="5" t="s">
        <v>10427</v>
      </c>
      <c r="C4656" s="4" t="s">
        <v>9</v>
      </c>
      <c r="D4656" s="475">
        <v>1601.51</v>
      </c>
      <c r="E4656" s="476">
        <v>0.03632</v>
      </c>
      <c r="F4656" s="6">
        <v>3.1116</v>
      </c>
      <c r="G4656" s="6">
        <v>1.25</v>
      </c>
    </row>
    <row r="4657" ht="15.75" customHeight="1" spans="1:7">
      <c r="A4657" s="4" t="s">
        <v>10428</v>
      </c>
      <c r="B4657" s="5" t="s">
        <v>10429</v>
      </c>
      <c r="C4657" s="4" t="s">
        <v>9</v>
      </c>
      <c r="D4657" s="475">
        <v>1808.8</v>
      </c>
      <c r="E4657" s="476">
        <v>0.03632</v>
      </c>
      <c r="F4657" s="6">
        <v>3.2413</v>
      </c>
      <c r="G4657" s="6">
        <v>1.2</v>
      </c>
    </row>
    <row r="4658" ht="15.75" customHeight="1" spans="1:7">
      <c r="A4658" s="4" t="s">
        <v>10430</v>
      </c>
      <c r="B4658" s="5" t="s">
        <v>10431</v>
      </c>
      <c r="C4658" s="4" t="s">
        <v>9</v>
      </c>
      <c r="D4658" s="475">
        <v>2094.75</v>
      </c>
      <c r="E4658" s="476">
        <v>0.03632</v>
      </c>
      <c r="F4658" s="6">
        <v>3.3061</v>
      </c>
      <c r="G4658" s="6">
        <v>1.17647</v>
      </c>
    </row>
    <row r="4659" ht="15.75" customHeight="1" spans="1:7">
      <c r="A4659" s="4" t="s">
        <v>10432</v>
      </c>
      <c r="B4659" s="5" t="s">
        <v>10433</v>
      </c>
      <c r="C4659" s="4" t="s">
        <v>9</v>
      </c>
      <c r="D4659" s="475">
        <v>2354.37</v>
      </c>
      <c r="E4659" s="476">
        <v>0.03632</v>
      </c>
      <c r="F4659" s="6">
        <v>3.5006</v>
      </c>
      <c r="G4659" s="6">
        <v>1.11111</v>
      </c>
    </row>
    <row r="4660" ht="15.75" customHeight="1" spans="1:7">
      <c r="A4660" s="4" t="s">
        <v>10434</v>
      </c>
      <c r="B4660" s="5" t="s">
        <v>10435</v>
      </c>
      <c r="C4660" s="4" t="s">
        <v>9</v>
      </c>
      <c r="D4660" s="475">
        <v>2358.44</v>
      </c>
      <c r="E4660" s="476">
        <v>0.03632</v>
      </c>
      <c r="F4660" s="6">
        <v>3.5654</v>
      </c>
      <c r="G4660" s="6">
        <v>1.09091</v>
      </c>
    </row>
    <row r="4661" ht="15.75" customHeight="1" spans="1:7">
      <c r="A4661" s="4" t="s">
        <v>10436</v>
      </c>
      <c r="B4661" s="5" t="s">
        <v>10437</v>
      </c>
      <c r="C4661" s="4" t="s">
        <v>9</v>
      </c>
      <c r="D4661" s="475">
        <v>2934.65</v>
      </c>
      <c r="E4661" s="476">
        <v>0.03632</v>
      </c>
      <c r="F4661" s="6">
        <v>3.695</v>
      </c>
      <c r="G4661" s="6">
        <v>1.05263</v>
      </c>
    </row>
    <row r="4662" ht="15.75" customHeight="1" spans="1:7">
      <c r="A4662" s="4" t="s">
        <v>10438</v>
      </c>
      <c r="B4662" s="5" t="s">
        <v>10439</v>
      </c>
      <c r="C4662" s="4" t="s">
        <v>9</v>
      </c>
      <c r="D4662" s="475">
        <v>2944.96</v>
      </c>
      <c r="E4662" s="476">
        <v>0.03632</v>
      </c>
      <c r="F4662" s="6">
        <v>3.8895</v>
      </c>
      <c r="G4662" s="6">
        <v>1</v>
      </c>
    </row>
    <row r="4663" ht="15.75" customHeight="1" spans="1:7">
      <c r="A4663" s="4" t="s">
        <v>10440</v>
      </c>
      <c r="B4663" s="5" t="s">
        <v>10441</v>
      </c>
      <c r="C4663" s="4" t="s">
        <v>9</v>
      </c>
      <c r="D4663" s="475">
        <v>2946.9</v>
      </c>
      <c r="E4663" s="476">
        <v>0.03632</v>
      </c>
      <c r="F4663" s="6">
        <v>3.9543</v>
      </c>
      <c r="G4663" s="6">
        <v>0.98361</v>
      </c>
    </row>
    <row r="4664" ht="15.75" customHeight="1" spans="1:7">
      <c r="A4664" s="4" t="s">
        <v>10442</v>
      </c>
      <c r="B4664" s="5" t="s">
        <v>10443</v>
      </c>
      <c r="C4664" s="4" t="s">
        <v>9</v>
      </c>
      <c r="D4664" s="475">
        <v>3392.11</v>
      </c>
      <c r="E4664" s="476">
        <v>0.03632</v>
      </c>
      <c r="F4664" s="6">
        <v>4.1488</v>
      </c>
      <c r="G4664" s="6">
        <v>0.9375</v>
      </c>
    </row>
    <row r="4665" ht="15.75" customHeight="1" spans="1:7">
      <c r="A4665" s="4" t="s">
        <v>10444</v>
      </c>
      <c r="B4665" s="5" t="s">
        <v>10445</v>
      </c>
      <c r="C4665" s="4" t="s">
        <v>9</v>
      </c>
      <c r="D4665" s="475">
        <v>3833.63</v>
      </c>
      <c r="E4665" s="476">
        <v>0.03632</v>
      </c>
      <c r="F4665" s="6">
        <v>4.3433</v>
      </c>
      <c r="G4665" s="6">
        <v>0.89552</v>
      </c>
    </row>
    <row r="4666" ht="15.75" customHeight="1" spans="1:7">
      <c r="A4666" s="4" t="s">
        <v>10446</v>
      </c>
      <c r="B4666" s="5" t="s">
        <v>10447</v>
      </c>
      <c r="C4666" s="4" t="s">
        <v>9</v>
      </c>
      <c r="D4666" s="475">
        <v>3840.34</v>
      </c>
      <c r="E4666" s="476">
        <v>0.03632</v>
      </c>
      <c r="F4666" s="6">
        <v>4.4081</v>
      </c>
      <c r="G4666" s="6">
        <v>0.88235</v>
      </c>
    </row>
    <row r="4667" ht="15.75" customHeight="1" spans="1:7">
      <c r="A4667" s="4" t="s">
        <v>10448</v>
      </c>
      <c r="B4667" s="5" t="s">
        <v>10449</v>
      </c>
      <c r="C4667" s="4" t="s">
        <v>9</v>
      </c>
      <c r="D4667" s="475">
        <v>2627.15</v>
      </c>
      <c r="E4667" s="476">
        <v>0.03632</v>
      </c>
      <c r="F4667" s="6">
        <v>1.7721</v>
      </c>
      <c r="G4667" s="6">
        <v>2.30769</v>
      </c>
    </row>
    <row r="4668" ht="15.75" customHeight="1" spans="1:7">
      <c r="A4668" s="4" t="s">
        <v>10450</v>
      </c>
      <c r="B4668" s="5" t="s">
        <v>10451</v>
      </c>
      <c r="C4668" s="4" t="s">
        <v>9</v>
      </c>
      <c r="D4668" s="475">
        <v>3038.19</v>
      </c>
      <c r="E4668" s="476">
        <v>0.03632</v>
      </c>
      <c r="F4668" s="6">
        <v>1.8811</v>
      </c>
      <c r="G4668" s="6">
        <v>2.17391</v>
      </c>
    </row>
    <row r="4669" ht="15.75" customHeight="1" spans="1:7">
      <c r="A4669" s="4" t="s">
        <v>10452</v>
      </c>
      <c r="B4669" s="5" t="s">
        <v>10453</v>
      </c>
      <c r="C4669" s="4" t="s">
        <v>9</v>
      </c>
      <c r="D4669" s="475">
        <v>3969.26</v>
      </c>
      <c r="E4669" s="476">
        <v>0.03632</v>
      </c>
      <c r="F4669" s="6">
        <v>1.922</v>
      </c>
      <c r="G4669" s="6">
        <v>2.12766</v>
      </c>
    </row>
    <row r="4670" ht="15.75" customHeight="1" spans="1:7">
      <c r="A4670" s="4" t="s">
        <v>10454</v>
      </c>
      <c r="B4670" s="5" t="s">
        <v>10455</v>
      </c>
      <c r="C4670" s="4" t="s">
        <v>9</v>
      </c>
      <c r="D4670" s="475">
        <v>5113.13</v>
      </c>
      <c r="E4670" s="476">
        <v>0.03632</v>
      </c>
      <c r="F4670" s="6">
        <v>2.0311</v>
      </c>
      <c r="G4670" s="6">
        <v>2.01342</v>
      </c>
    </row>
    <row r="4671" ht="15.75" customHeight="1" spans="1:7">
      <c r="A4671" s="4" t="s">
        <v>10456</v>
      </c>
      <c r="B4671" s="5" t="s">
        <v>10457</v>
      </c>
      <c r="C4671" s="4" t="s">
        <v>9</v>
      </c>
      <c r="D4671" s="475">
        <v>5423.71</v>
      </c>
      <c r="E4671" s="476">
        <v>0.03632</v>
      </c>
      <c r="F4671" s="6">
        <v>2.0992</v>
      </c>
      <c r="G4671" s="6">
        <v>1.94805</v>
      </c>
    </row>
    <row r="4672" ht="15.75" customHeight="1" spans="1:7">
      <c r="A4672" s="4" t="s">
        <v>10458</v>
      </c>
      <c r="B4672" s="5" t="s">
        <v>10459</v>
      </c>
      <c r="C4672" s="4" t="s">
        <v>9</v>
      </c>
      <c r="D4672" s="475">
        <v>7146.5</v>
      </c>
      <c r="E4672" s="476">
        <v>0.03632</v>
      </c>
      <c r="F4672" s="6">
        <v>2.1947</v>
      </c>
      <c r="G4672" s="6">
        <v>1.86335</v>
      </c>
    </row>
    <row r="4673" ht="15.75" customHeight="1" spans="1:7">
      <c r="A4673" s="4" t="s">
        <v>10460</v>
      </c>
      <c r="B4673" s="5" t="s">
        <v>10461</v>
      </c>
      <c r="C4673" s="4" t="s">
        <v>9</v>
      </c>
      <c r="D4673" s="475">
        <v>9018.24</v>
      </c>
      <c r="E4673" s="476">
        <v>0.03632</v>
      </c>
      <c r="F4673" s="6">
        <v>2.3583</v>
      </c>
      <c r="G4673" s="6">
        <v>1.7341</v>
      </c>
    </row>
    <row r="4674" ht="15.75" customHeight="1" spans="1:7">
      <c r="A4674" s="4" t="s">
        <v>10462</v>
      </c>
      <c r="B4674" s="5" t="s">
        <v>10463</v>
      </c>
      <c r="C4674" s="4" t="s">
        <v>9</v>
      </c>
      <c r="D4674" s="475">
        <v>9021.21</v>
      </c>
      <c r="E4674" s="476">
        <v>0.03632</v>
      </c>
      <c r="F4674" s="6">
        <v>2.4537</v>
      </c>
      <c r="G4674" s="6">
        <v>1.66667</v>
      </c>
    </row>
    <row r="4675" ht="15.75" customHeight="1" spans="1:7">
      <c r="A4675" s="4" t="s">
        <v>10464</v>
      </c>
      <c r="B4675" s="5" t="s">
        <v>10465</v>
      </c>
      <c r="C4675" s="4" t="s">
        <v>9</v>
      </c>
      <c r="D4675" s="475">
        <v>10503.4</v>
      </c>
      <c r="E4675" s="476">
        <v>0.03632</v>
      </c>
      <c r="F4675" s="6">
        <v>2.6172</v>
      </c>
      <c r="G4675" s="6">
        <v>1.5625</v>
      </c>
    </row>
    <row r="4676" ht="15.75" customHeight="1" spans="1:7">
      <c r="A4676" s="4" t="s">
        <v>10466</v>
      </c>
      <c r="B4676" s="5" t="s">
        <v>10467</v>
      </c>
      <c r="C4676" s="4" t="s">
        <v>9</v>
      </c>
      <c r="D4676" s="475">
        <v>11967.3</v>
      </c>
      <c r="E4676" s="476">
        <v>0.03632</v>
      </c>
      <c r="F4676" s="6">
        <v>2.7945</v>
      </c>
      <c r="G4676" s="6">
        <v>1.46341</v>
      </c>
    </row>
    <row r="4677" ht="15.75" customHeight="1" spans="1:7">
      <c r="A4677" s="4" t="s">
        <v>10468</v>
      </c>
      <c r="B4677" s="5" t="s">
        <v>10469</v>
      </c>
      <c r="C4677" s="4" t="s">
        <v>9</v>
      </c>
      <c r="D4677" s="475">
        <v>12003.13</v>
      </c>
      <c r="E4677" s="476">
        <v>0.03632</v>
      </c>
      <c r="F4677" s="6">
        <v>2.8899</v>
      </c>
      <c r="G4677" s="6">
        <v>1.41509</v>
      </c>
    </row>
    <row r="4678" ht="15.75" customHeight="1" spans="1:7">
      <c r="A4678" s="4" t="s">
        <v>10470</v>
      </c>
      <c r="B4678" s="5" t="s">
        <v>10471</v>
      </c>
      <c r="C4678" s="4" t="s">
        <v>9</v>
      </c>
      <c r="D4678" s="475">
        <v>1232.85</v>
      </c>
      <c r="E4678" s="476">
        <v>0.03632</v>
      </c>
      <c r="F4678" s="6">
        <v>1.7721</v>
      </c>
      <c r="G4678" s="6">
        <v>2.30769</v>
      </c>
    </row>
    <row r="4679" ht="15.75" customHeight="1" spans="1:7">
      <c r="A4679" s="4" t="s">
        <v>10472</v>
      </c>
      <c r="B4679" s="5" t="s">
        <v>10473</v>
      </c>
      <c r="C4679" s="4" t="s">
        <v>9</v>
      </c>
      <c r="D4679" s="475">
        <v>1421.48</v>
      </c>
      <c r="E4679" s="476">
        <v>0.03632</v>
      </c>
      <c r="F4679" s="6">
        <v>1.8811</v>
      </c>
      <c r="G4679" s="6">
        <v>2.17391</v>
      </c>
    </row>
    <row r="4680" ht="15.75" customHeight="1" spans="1:7">
      <c r="A4680" s="4" t="s">
        <v>10474</v>
      </c>
      <c r="B4680" s="5" t="s">
        <v>10475</v>
      </c>
      <c r="C4680" s="4" t="s">
        <v>9</v>
      </c>
      <c r="D4680" s="475">
        <v>1851.53</v>
      </c>
      <c r="E4680" s="476">
        <v>0.03632</v>
      </c>
      <c r="F4680" s="6">
        <v>1.922</v>
      </c>
      <c r="G4680" s="6">
        <v>2.12766</v>
      </c>
    </row>
    <row r="4681" ht="15.75" customHeight="1" spans="1:7">
      <c r="A4681" s="4" t="s">
        <v>10476</v>
      </c>
      <c r="B4681" s="5" t="s">
        <v>10477</v>
      </c>
      <c r="C4681" s="4" t="s">
        <v>9</v>
      </c>
      <c r="D4681" s="475">
        <v>2382.71</v>
      </c>
      <c r="E4681" s="476">
        <v>0.03632</v>
      </c>
      <c r="F4681" s="6">
        <v>2.0311</v>
      </c>
      <c r="G4681" s="6">
        <v>2.01342</v>
      </c>
    </row>
    <row r="4682" ht="15.75" customHeight="1" spans="1:7">
      <c r="A4682" s="4" t="s">
        <v>10478</v>
      </c>
      <c r="B4682" s="5" t="s">
        <v>10479</v>
      </c>
      <c r="C4682" s="4" t="s">
        <v>9</v>
      </c>
      <c r="D4682" s="475">
        <v>2535.1</v>
      </c>
      <c r="E4682" s="476">
        <v>0.03632</v>
      </c>
      <c r="F4682" s="6">
        <v>2.0992</v>
      </c>
      <c r="G4682" s="6">
        <v>1.94805</v>
      </c>
    </row>
    <row r="4683" ht="15.75" customHeight="1" spans="1:7">
      <c r="A4683" s="4" t="s">
        <v>10480</v>
      </c>
      <c r="B4683" s="5" t="s">
        <v>10481</v>
      </c>
      <c r="C4683" s="4" t="s">
        <v>9</v>
      </c>
      <c r="D4683" s="475">
        <v>3323.75</v>
      </c>
      <c r="E4683" s="476">
        <v>0.03632</v>
      </c>
      <c r="F4683" s="6">
        <v>2.1947</v>
      </c>
      <c r="G4683" s="6">
        <v>1.86335</v>
      </c>
    </row>
    <row r="4684" ht="15.75" customHeight="1" spans="1:7">
      <c r="A4684" s="4" t="s">
        <v>10482</v>
      </c>
      <c r="B4684" s="5" t="s">
        <v>10483</v>
      </c>
      <c r="C4684" s="4" t="s">
        <v>9</v>
      </c>
      <c r="D4684" s="475">
        <v>4168.09</v>
      </c>
      <c r="E4684" s="476">
        <v>0.03632</v>
      </c>
      <c r="F4684" s="6">
        <v>2.3583</v>
      </c>
      <c r="G4684" s="6">
        <v>1.7341</v>
      </c>
    </row>
    <row r="4685" ht="15.75" customHeight="1" spans="1:7">
      <c r="A4685" s="4" t="s">
        <v>10484</v>
      </c>
      <c r="B4685" s="5" t="s">
        <v>10485</v>
      </c>
      <c r="C4685" s="4" t="s">
        <v>9</v>
      </c>
      <c r="D4685" s="475">
        <v>4170.83</v>
      </c>
      <c r="E4685" s="476">
        <v>0.03632</v>
      </c>
      <c r="F4685" s="6">
        <v>2.4537</v>
      </c>
      <c r="G4685" s="6">
        <v>1.66667</v>
      </c>
    </row>
    <row r="4686" ht="15.75" customHeight="1" spans="1:7">
      <c r="A4686" s="4" t="s">
        <v>10486</v>
      </c>
      <c r="B4686" s="5" t="s">
        <v>10487</v>
      </c>
      <c r="C4686" s="4" t="s">
        <v>9</v>
      </c>
      <c r="D4686" s="475">
        <v>4884.25</v>
      </c>
      <c r="E4686" s="476">
        <v>0.03632</v>
      </c>
      <c r="F4686" s="6">
        <v>2.6172</v>
      </c>
      <c r="G4686" s="6">
        <v>1.5625</v>
      </c>
    </row>
    <row r="4687" ht="15.75" customHeight="1" spans="1:7">
      <c r="A4687" s="4" t="s">
        <v>10488</v>
      </c>
      <c r="B4687" s="5" t="s">
        <v>10489</v>
      </c>
      <c r="C4687" s="4" t="s">
        <v>9</v>
      </c>
      <c r="D4687" s="475">
        <v>5579.38</v>
      </c>
      <c r="E4687" s="476">
        <v>0.03632</v>
      </c>
      <c r="F4687" s="6">
        <v>2.7945</v>
      </c>
      <c r="G4687" s="6">
        <v>1.46341</v>
      </c>
    </row>
    <row r="4688" ht="15.75" customHeight="1" spans="1:7">
      <c r="A4688" s="4" t="s">
        <v>10490</v>
      </c>
      <c r="B4688" s="5" t="s">
        <v>10491</v>
      </c>
      <c r="C4688" s="4" t="s">
        <v>9</v>
      </c>
      <c r="D4688" s="475">
        <v>5615.09</v>
      </c>
      <c r="E4688" s="476">
        <v>0.03632</v>
      </c>
      <c r="F4688" s="6">
        <v>2.8899</v>
      </c>
      <c r="G4688" s="6">
        <v>1.41509</v>
      </c>
    </row>
    <row r="4689" ht="15.75" customHeight="1" spans="1:7">
      <c r="A4689" s="4" t="s">
        <v>10492</v>
      </c>
      <c r="B4689" s="5" t="s">
        <v>10493</v>
      </c>
      <c r="C4689" s="4" t="s">
        <v>9</v>
      </c>
      <c r="D4689" s="475">
        <v>157.8</v>
      </c>
      <c r="E4689" s="476">
        <v>0.03632</v>
      </c>
      <c r="F4689" s="6">
        <v>1.9877</v>
      </c>
      <c r="G4689" s="6">
        <v>5.2381</v>
      </c>
    </row>
    <row r="4690" ht="15.75" customHeight="1" spans="1:7">
      <c r="A4690" s="4" t="s">
        <v>10494</v>
      </c>
      <c r="B4690" s="5" t="s">
        <v>10495</v>
      </c>
      <c r="C4690" s="4" t="s">
        <v>9</v>
      </c>
      <c r="D4690" s="475">
        <v>194.72</v>
      </c>
      <c r="E4690" s="476">
        <v>0.03632</v>
      </c>
      <c r="F4690" s="6">
        <v>2.0941</v>
      </c>
      <c r="G4690" s="6">
        <v>4.97175</v>
      </c>
    </row>
    <row r="4691" ht="15.75" customHeight="1" spans="1:7">
      <c r="A4691" s="4" t="s">
        <v>10496</v>
      </c>
      <c r="B4691" s="5" t="s">
        <v>10497</v>
      </c>
      <c r="C4691" s="4" t="s">
        <v>9</v>
      </c>
      <c r="D4691" s="475">
        <v>228.27</v>
      </c>
      <c r="E4691" s="476">
        <v>0.03632</v>
      </c>
      <c r="F4691" s="6">
        <v>2.1651</v>
      </c>
      <c r="G4691" s="6">
        <v>4.80874</v>
      </c>
    </row>
    <row r="4692" ht="15.75" customHeight="1" spans="1:7">
      <c r="A4692" s="4" t="s">
        <v>10498</v>
      </c>
      <c r="B4692" s="5" t="s">
        <v>10499</v>
      </c>
      <c r="C4692" s="4" t="s">
        <v>9</v>
      </c>
      <c r="D4692" s="475">
        <v>268.68</v>
      </c>
      <c r="E4692" s="476">
        <v>0.03632</v>
      </c>
      <c r="F4692" s="6">
        <v>2.2598</v>
      </c>
      <c r="G4692" s="6">
        <v>4.60733</v>
      </c>
    </row>
    <row r="4693" ht="15.75" customHeight="1" spans="1:7">
      <c r="A4693" s="4" t="s">
        <v>10500</v>
      </c>
      <c r="B4693" s="5" t="s">
        <v>10501</v>
      </c>
      <c r="C4693" s="4" t="s">
        <v>9</v>
      </c>
      <c r="D4693" s="475">
        <v>311.68</v>
      </c>
      <c r="E4693" s="476">
        <v>0.03632</v>
      </c>
      <c r="F4693" s="6">
        <v>2.3426</v>
      </c>
      <c r="G4693" s="6">
        <v>4.44444</v>
      </c>
    </row>
    <row r="4694" ht="15.75" customHeight="1" spans="1:7">
      <c r="A4694" s="4" t="s">
        <v>10502</v>
      </c>
      <c r="B4694" s="5" t="s">
        <v>10503</v>
      </c>
      <c r="C4694" s="4" t="s">
        <v>9</v>
      </c>
      <c r="D4694" s="475">
        <v>366.62</v>
      </c>
      <c r="E4694" s="476">
        <v>0.03632</v>
      </c>
      <c r="F4694" s="6">
        <v>2.4254</v>
      </c>
      <c r="G4694" s="6">
        <v>4.29268</v>
      </c>
    </row>
    <row r="4695" ht="15.75" customHeight="1" spans="1:7">
      <c r="A4695" s="4" t="s">
        <v>10504</v>
      </c>
      <c r="B4695" s="5" t="s">
        <v>10505</v>
      </c>
      <c r="C4695" s="4" t="s">
        <v>9</v>
      </c>
      <c r="D4695" s="475">
        <v>428.26</v>
      </c>
      <c r="E4695" s="476">
        <v>0.03632</v>
      </c>
      <c r="F4695" s="6">
        <v>2.5437</v>
      </c>
      <c r="G4695" s="6">
        <v>4.09302</v>
      </c>
    </row>
    <row r="4696" ht="15.75" customHeight="1" spans="1:7">
      <c r="A4696" s="4" t="s">
        <v>10506</v>
      </c>
      <c r="B4696" s="5" t="s">
        <v>10507</v>
      </c>
      <c r="C4696" s="4" t="s">
        <v>9</v>
      </c>
      <c r="D4696" s="475">
        <v>458.36</v>
      </c>
      <c r="E4696" s="476">
        <v>0.03632</v>
      </c>
      <c r="F4696" s="6">
        <v>2.6502</v>
      </c>
      <c r="G4696" s="6">
        <v>3.92857</v>
      </c>
    </row>
    <row r="4697" ht="15.75" customHeight="1" spans="1:7">
      <c r="A4697" s="4" t="s">
        <v>10508</v>
      </c>
      <c r="B4697" s="5" t="s">
        <v>10509</v>
      </c>
      <c r="C4697" s="4" t="s">
        <v>9</v>
      </c>
      <c r="D4697" s="475">
        <v>562.82</v>
      </c>
      <c r="E4697" s="476">
        <v>0.03632</v>
      </c>
      <c r="F4697" s="6">
        <v>2.7567</v>
      </c>
      <c r="G4697" s="6">
        <v>3.77682</v>
      </c>
    </row>
    <row r="4698" ht="15.75" customHeight="1" spans="1:7">
      <c r="A4698" s="4" t="s">
        <v>10510</v>
      </c>
      <c r="B4698" s="5" t="s">
        <v>10511</v>
      </c>
      <c r="C4698" s="4" t="s">
        <v>7</v>
      </c>
      <c r="D4698" s="475">
        <v>0.57</v>
      </c>
      <c r="E4698" s="476">
        <v>0.04367</v>
      </c>
      <c r="F4698" s="6">
        <v>0.0032</v>
      </c>
      <c r="G4698" s="6">
        <v>2905</v>
      </c>
    </row>
    <row r="4699" ht="15.75" customHeight="1" spans="1:7">
      <c r="A4699" s="4" t="s">
        <v>10512</v>
      </c>
      <c r="B4699" s="5" t="s">
        <v>10513</v>
      </c>
      <c r="C4699" s="4" t="s">
        <v>7</v>
      </c>
      <c r="D4699" s="475">
        <v>0.4</v>
      </c>
      <c r="E4699" s="476">
        <v>0.03632</v>
      </c>
      <c r="F4699" s="6">
        <v>0.0086</v>
      </c>
      <c r="G4699" s="6">
        <v>100</v>
      </c>
    </row>
    <row r="4700" ht="15.75" customHeight="1" spans="1:7">
      <c r="A4700" s="4" t="s">
        <v>10514</v>
      </c>
      <c r="B4700" s="5" t="s">
        <v>10515</v>
      </c>
      <c r="C4700" s="4" t="s">
        <v>7</v>
      </c>
      <c r="D4700" s="475">
        <v>0.59</v>
      </c>
      <c r="E4700" s="476">
        <v>0.03632</v>
      </c>
      <c r="F4700" s="6">
        <v>0.0086</v>
      </c>
      <c r="G4700" s="6">
        <v>100</v>
      </c>
    </row>
    <row r="4701" ht="15.75" customHeight="1" spans="1:7">
      <c r="A4701" s="4" t="s">
        <v>10516</v>
      </c>
      <c r="B4701" s="5" t="s">
        <v>10517</v>
      </c>
      <c r="C4701" s="4" t="s">
        <v>9</v>
      </c>
      <c r="D4701" s="475">
        <v>41.12</v>
      </c>
      <c r="E4701" s="476">
        <v>0.03632</v>
      </c>
      <c r="F4701" s="6">
        <v>0.2815</v>
      </c>
      <c r="G4701" s="6">
        <v>4</v>
      </c>
    </row>
    <row r="4702" ht="30" customHeight="1" spans="1:7">
      <c r="A4702" s="4" t="s">
        <v>10518</v>
      </c>
      <c r="B4702" s="5" t="s">
        <v>10519</v>
      </c>
      <c r="C4702" s="4" t="s">
        <v>9</v>
      </c>
      <c r="D4702" s="475">
        <v>90.97</v>
      </c>
      <c r="E4702" s="476">
        <v>0.03632</v>
      </c>
      <c r="F4702" s="6">
        <v>0.6702</v>
      </c>
      <c r="G4702" s="6">
        <v>8</v>
      </c>
    </row>
    <row r="4703" ht="15.75" customHeight="1" spans="1:7">
      <c r="A4703" s="4" t="s">
        <v>10520</v>
      </c>
      <c r="B4703" s="5" t="s">
        <v>10521</v>
      </c>
      <c r="C4703" s="4" t="s">
        <v>9</v>
      </c>
      <c r="D4703" s="475">
        <v>34.15</v>
      </c>
      <c r="E4703" s="476">
        <v>0.03632</v>
      </c>
      <c r="F4703" s="6">
        <v>0.1876</v>
      </c>
      <c r="G4703" s="6">
        <v>6</v>
      </c>
    </row>
    <row r="4704" ht="15.75" customHeight="1" spans="1:7">
      <c r="A4704" s="4" t="s">
        <v>10522</v>
      </c>
      <c r="B4704" s="5" t="s">
        <v>10523</v>
      </c>
      <c r="C4704" s="4" t="s">
        <v>7</v>
      </c>
      <c r="D4704" s="475">
        <v>267.87</v>
      </c>
      <c r="E4704" s="476">
        <v>0.04367</v>
      </c>
      <c r="F4704" s="6">
        <v>0.2061</v>
      </c>
      <c r="G4704" s="6">
        <v>5</v>
      </c>
    </row>
    <row r="4705" ht="15.75" customHeight="1" spans="1:7">
      <c r="A4705" s="4" t="s">
        <v>10524</v>
      </c>
      <c r="B4705" s="5" t="s">
        <v>10525</v>
      </c>
      <c r="C4705" s="4" t="s">
        <v>7</v>
      </c>
      <c r="D4705" s="475">
        <v>10.76</v>
      </c>
      <c r="E4705" s="476">
        <v>0.04367</v>
      </c>
      <c r="F4705" s="6">
        <v>0.2061</v>
      </c>
      <c r="G4705" s="6">
        <v>50</v>
      </c>
    </row>
    <row r="4706" ht="15.75" customHeight="1" spans="1:7">
      <c r="A4706" s="4" t="s">
        <v>10526</v>
      </c>
      <c r="B4706" s="5" t="s">
        <v>10527</v>
      </c>
      <c r="C4706" s="4" t="s">
        <v>99</v>
      </c>
      <c r="D4706" s="475">
        <v>2.76</v>
      </c>
      <c r="E4706" s="476">
        <v>0.04367</v>
      </c>
      <c r="F4706" s="6">
        <v>0.0516</v>
      </c>
      <c r="G4706" s="6">
        <v>176.81</v>
      </c>
    </row>
    <row r="4707" ht="15.75" customHeight="1" spans="1:7">
      <c r="A4707" s="4" t="s">
        <v>10528</v>
      </c>
      <c r="B4707" s="5" t="s">
        <v>10529</v>
      </c>
      <c r="C4707" s="4" t="s">
        <v>101</v>
      </c>
      <c r="D4707" s="475">
        <v>13</v>
      </c>
      <c r="E4707" s="476">
        <v>0.04367</v>
      </c>
      <c r="F4707" s="6">
        <v>0.0515</v>
      </c>
      <c r="G4707" s="6">
        <v>20</v>
      </c>
    </row>
    <row r="4708" ht="15.75" customHeight="1" spans="1:7">
      <c r="A4708" s="4" t="s">
        <v>10530</v>
      </c>
      <c r="B4708" s="5" t="s">
        <v>10531</v>
      </c>
      <c r="C4708" s="4" t="s">
        <v>7</v>
      </c>
      <c r="D4708" s="475">
        <v>6.41</v>
      </c>
      <c r="E4708" s="476">
        <v>0.04367</v>
      </c>
      <c r="F4708" s="6">
        <v>0.0373</v>
      </c>
      <c r="G4708" s="6">
        <v>415</v>
      </c>
    </row>
    <row r="4709" ht="15.75" customHeight="1" spans="1:7">
      <c r="A4709" s="4" t="s">
        <v>10532</v>
      </c>
      <c r="B4709" s="5" t="s">
        <v>10533</v>
      </c>
      <c r="C4709" s="4" t="s">
        <v>7</v>
      </c>
      <c r="D4709" s="475">
        <v>0.39</v>
      </c>
      <c r="E4709" s="476">
        <v>0</v>
      </c>
      <c r="F4709" s="6">
        <v>0</v>
      </c>
      <c r="G4709" s="6">
        <v>996</v>
      </c>
    </row>
    <row r="4710" ht="15.75" customHeight="1" spans="1:7">
      <c r="A4710" s="4" t="s">
        <v>10534</v>
      </c>
      <c r="B4710" s="5" t="s">
        <v>10535</v>
      </c>
      <c r="C4710" s="4" t="s">
        <v>7</v>
      </c>
      <c r="D4710" s="475">
        <v>3.4</v>
      </c>
      <c r="E4710" s="476">
        <v>0.04367</v>
      </c>
      <c r="F4710" s="6">
        <v>0.1331</v>
      </c>
      <c r="G4710" s="6">
        <v>100</v>
      </c>
    </row>
    <row r="4711" ht="15.75" customHeight="1" spans="1:7">
      <c r="A4711" s="4" t="s">
        <v>10536</v>
      </c>
      <c r="B4711" s="5" t="s">
        <v>10537</v>
      </c>
      <c r="C4711" s="4" t="s">
        <v>9</v>
      </c>
      <c r="D4711" s="475">
        <v>659.34</v>
      </c>
      <c r="E4711" s="476">
        <v>0.03814</v>
      </c>
      <c r="F4711" s="6">
        <v>3.3647</v>
      </c>
      <c r="G4711" s="6">
        <v>2.5</v>
      </c>
    </row>
    <row r="4712" ht="15.75" customHeight="1" spans="1:7">
      <c r="A4712" s="4" t="s">
        <v>10538</v>
      </c>
      <c r="B4712" s="5" t="s">
        <v>10539</v>
      </c>
      <c r="C4712" s="4" t="s">
        <v>7</v>
      </c>
      <c r="D4712" s="475">
        <v>20.46</v>
      </c>
      <c r="E4712" s="476">
        <v>0.03632</v>
      </c>
      <c r="F4712" s="6">
        <v>0.4156</v>
      </c>
      <c r="G4712" s="6">
        <v>5</v>
      </c>
    </row>
    <row r="4713" ht="15.75" customHeight="1" spans="1:7">
      <c r="A4713" s="4" t="s">
        <v>10540</v>
      </c>
      <c r="B4713" s="5" t="s">
        <v>10541</v>
      </c>
      <c r="C4713" s="4" t="s">
        <v>82</v>
      </c>
      <c r="D4713" s="475">
        <v>34.15</v>
      </c>
      <c r="E4713" s="476">
        <v>0.03632</v>
      </c>
      <c r="F4713" s="6">
        <v>0.1876</v>
      </c>
      <c r="G4713" s="6">
        <v>6</v>
      </c>
    </row>
    <row r="4714" ht="15.75" customHeight="1" spans="1:7">
      <c r="A4714" s="4" t="s">
        <v>10542</v>
      </c>
      <c r="B4714" s="5" t="s">
        <v>10543</v>
      </c>
      <c r="C4714" s="4" t="s">
        <v>82</v>
      </c>
      <c r="D4714" s="475">
        <v>41.12</v>
      </c>
      <c r="E4714" s="476">
        <v>0.03632</v>
      </c>
      <c r="F4714" s="6">
        <v>0.2815</v>
      </c>
      <c r="G4714" s="6">
        <v>4</v>
      </c>
    </row>
    <row r="4715" ht="15.75" customHeight="1" spans="1:7">
      <c r="A4715" s="4" t="s">
        <v>10544</v>
      </c>
      <c r="B4715" s="5" t="s">
        <v>10545</v>
      </c>
      <c r="C4715" s="4" t="s">
        <v>82</v>
      </c>
      <c r="D4715" s="475">
        <v>47.2</v>
      </c>
      <c r="E4715" s="476">
        <v>0.03632</v>
      </c>
      <c r="F4715" s="6">
        <v>0.1608</v>
      </c>
      <c r="G4715" s="6">
        <v>7</v>
      </c>
    </row>
    <row r="4716" ht="15.75" customHeight="1" spans="1:7">
      <c r="A4716" s="4" t="s">
        <v>10546</v>
      </c>
      <c r="B4716" s="5" t="s">
        <v>10547</v>
      </c>
      <c r="C4716" s="4" t="s">
        <v>82</v>
      </c>
      <c r="D4716" s="475">
        <v>105.56</v>
      </c>
      <c r="E4716" s="476">
        <v>0.03632</v>
      </c>
      <c r="F4716" s="6">
        <v>0.2815</v>
      </c>
      <c r="G4716" s="6">
        <v>4</v>
      </c>
    </row>
    <row r="4717" ht="15.75" customHeight="1" spans="1:7">
      <c r="A4717" s="4" t="s">
        <v>10548</v>
      </c>
      <c r="B4717" s="5" t="s">
        <v>10549</v>
      </c>
      <c r="C4717" s="4" t="s">
        <v>82</v>
      </c>
      <c r="D4717" s="475">
        <v>223.38</v>
      </c>
      <c r="E4717" s="476">
        <v>0.03632</v>
      </c>
      <c r="F4717" s="6">
        <v>0.5629</v>
      </c>
      <c r="G4717" s="6">
        <v>2</v>
      </c>
    </row>
    <row r="4718" ht="15.75" customHeight="1" spans="1:7">
      <c r="A4718" s="4" t="s">
        <v>10550</v>
      </c>
      <c r="B4718" s="5" t="s">
        <v>10551</v>
      </c>
      <c r="C4718" s="4" t="s">
        <v>82</v>
      </c>
      <c r="D4718" s="475">
        <v>51.29</v>
      </c>
      <c r="E4718" s="476">
        <v>0.03632</v>
      </c>
      <c r="F4718" s="6">
        <v>0.1608</v>
      </c>
      <c r="G4718" s="6">
        <v>7</v>
      </c>
    </row>
    <row r="4719" ht="15.75" customHeight="1" spans="1:7">
      <c r="A4719" s="4" t="s">
        <v>10552</v>
      </c>
      <c r="B4719" s="5" t="s">
        <v>10553</v>
      </c>
      <c r="C4719" s="4" t="s">
        <v>82</v>
      </c>
      <c r="D4719" s="475">
        <v>80.89</v>
      </c>
      <c r="E4719" s="476">
        <v>0.03632</v>
      </c>
      <c r="F4719" s="6">
        <v>0.2815</v>
      </c>
      <c r="G4719" s="6">
        <v>4</v>
      </c>
    </row>
    <row r="4720" ht="15.75" customHeight="1" spans="1:7">
      <c r="A4720" s="4" t="s">
        <v>10554</v>
      </c>
      <c r="B4720" s="5" t="s">
        <v>10555</v>
      </c>
      <c r="C4720" s="4" t="s">
        <v>82</v>
      </c>
      <c r="D4720" s="475">
        <v>131.15</v>
      </c>
      <c r="E4720" s="476">
        <v>0.03632</v>
      </c>
      <c r="F4720" s="6">
        <v>0.5629</v>
      </c>
      <c r="G4720" s="6">
        <v>2</v>
      </c>
    </row>
    <row r="4721" ht="15.75" customHeight="1" spans="1:7">
      <c r="A4721" s="4" t="s">
        <v>10556</v>
      </c>
      <c r="B4721" s="5" t="s">
        <v>10557</v>
      </c>
      <c r="C4721" s="4" t="s">
        <v>7</v>
      </c>
      <c r="D4721" s="475">
        <v>74.16</v>
      </c>
      <c r="E4721" s="476">
        <v>0.03632</v>
      </c>
      <c r="F4721" s="6">
        <v>0.5629</v>
      </c>
      <c r="G4721" s="6">
        <v>2</v>
      </c>
    </row>
    <row r="4722" ht="15.75" customHeight="1" spans="1:7">
      <c r="A4722" s="4" t="s">
        <v>10558</v>
      </c>
      <c r="B4722" s="5" t="s">
        <v>10559</v>
      </c>
      <c r="C4722" s="4" t="s">
        <v>99</v>
      </c>
      <c r="D4722" s="475">
        <v>402.37</v>
      </c>
      <c r="E4722" s="476">
        <v>0.04367</v>
      </c>
      <c r="F4722" s="6">
        <v>6.1843</v>
      </c>
      <c r="G4722" s="6">
        <v>1</v>
      </c>
    </row>
    <row r="4723" ht="15.75" customHeight="1" spans="1:7">
      <c r="A4723" s="4" t="s">
        <v>10560</v>
      </c>
      <c r="B4723" s="5" t="s">
        <v>10561</v>
      </c>
      <c r="C4723" s="4" t="s">
        <v>7</v>
      </c>
      <c r="D4723" s="475">
        <v>17.86</v>
      </c>
      <c r="E4723" s="476">
        <v>0.04367</v>
      </c>
      <c r="F4723" s="6">
        <v>0.3436</v>
      </c>
      <c r="G4723" s="6">
        <v>3</v>
      </c>
    </row>
    <row r="4724" ht="30" customHeight="1" spans="1:7">
      <c r="A4724" s="4" t="s">
        <v>10562</v>
      </c>
      <c r="B4724" s="5" t="s">
        <v>10563</v>
      </c>
      <c r="C4724" s="4" t="s">
        <v>7</v>
      </c>
      <c r="D4724" s="475">
        <v>10.89</v>
      </c>
      <c r="E4724" s="476">
        <v>0.04367</v>
      </c>
      <c r="F4724" s="6">
        <v>0.1031</v>
      </c>
      <c r="G4724" s="6">
        <v>10</v>
      </c>
    </row>
    <row r="4725" ht="15.75" customHeight="1" spans="1:7">
      <c r="A4725" s="4" t="s">
        <v>10564</v>
      </c>
      <c r="B4725" s="5" t="s">
        <v>10565</v>
      </c>
      <c r="C4725" s="4" t="s">
        <v>99</v>
      </c>
      <c r="D4725" s="475">
        <v>4.34</v>
      </c>
      <c r="E4725" s="476">
        <v>0.04367</v>
      </c>
      <c r="F4725" s="6">
        <v>0.0708</v>
      </c>
      <c r="G4725" s="6">
        <v>336.4</v>
      </c>
    </row>
    <row r="4726" ht="15.75" customHeight="1" spans="1:7">
      <c r="A4726" s="4" t="s">
        <v>10566</v>
      </c>
      <c r="B4726" s="5" t="s">
        <v>10567</v>
      </c>
      <c r="C4726" s="4" t="s">
        <v>7</v>
      </c>
      <c r="D4726" s="475">
        <v>0.08</v>
      </c>
      <c r="E4726" s="476">
        <v>0.04367</v>
      </c>
      <c r="F4726" s="6">
        <v>0.0016</v>
      </c>
      <c r="G4726" s="6">
        <v>4725.08</v>
      </c>
    </row>
    <row r="4727" ht="15.75" customHeight="1" spans="1:7">
      <c r="A4727" s="4" t="s">
        <v>10568</v>
      </c>
      <c r="B4727" s="5" t="s">
        <v>10569</v>
      </c>
      <c r="C4727" s="4" t="s">
        <v>7</v>
      </c>
      <c r="D4727" s="475">
        <v>24.63</v>
      </c>
      <c r="E4727" s="476">
        <v>0.04367</v>
      </c>
      <c r="F4727" s="6">
        <v>1.0307</v>
      </c>
      <c r="G4727" s="6">
        <v>1</v>
      </c>
    </row>
    <row r="4728" ht="15.75" customHeight="1" spans="1:7">
      <c r="A4728" s="4" t="s">
        <v>10570</v>
      </c>
      <c r="B4728" s="5" t="s">
        <v>10571</v>
      </c>
      <c r="C4728" s="4" t="s">
        <v>9</v>
      </c>
      <c r="D4728" s="475">
        <v>67.71</v>
      </c>
      <c r="E4728" s="476">
        <v>0.04367</v>
      </c>
      <c r="F4728" s="6">
        <v>0.0736</v>
      </c>
      <c r="G4728" s="6">
        <v>14</v>
      </c>
    </row>
    <row r="4729" ht="15.75" customHeight="1" spans="1:7">
      <c r="A4729" s="4" t="s">
        <v>10572</v>
      </c>
      <c r="B4729" s="5" t="s">
        <v>10573</v>
      </c>
      <c r="C4729" s="4" t="s">
        <v>7</v>
      </c>
      <c r="D4729" s="475">
        <v>9.01</v>
      </c>
      <c r="E4729" s="476">
        <v>0.04367</v>
      </c>
      <c r="F4729" s="6">
        <v>0.3298</v>
      </c>
      <c r="G4729" s="6">
        <v>25</v>
      </c>
    </row>
    <row r="4730" ht="15.75" customHeight="1" spans="1:7">
      <c r="A4730" s="4" t="s">
        <v>10574</v>
      </c>
      <c r="B4730" s="5" t="s">
        <v>10575</v>
      </c>
      <c r="C4730" s="4" t="s">
        <v>7</v>
      </c>
      <c r="D4730" s="475">
        <v>5.04</v>
      </c>
      <c r="E4730" s="476">
        <v>0.03632</v>
      </c>
      <c r="F4730" s="6">
        <v>0.1372</v>
      </c>
      <c r="G4730" s="6">
        <v>25</v>
      </c>
    </row>
    <row r="4731" ht="15.75" customHeight="1" spans="1:7">
      <c r="A4731" s="4" t="s">
        <v>10576</v>
      </c>
      <c r="B4731" s="5" t="s">
        <v>10577</v>
      </c>
      <c r="C4731" s="4" t="s">
        <v>7</v>
      </c>
      <c r="D4731" s="475">
        <v>0.53</v>
      </c>
      <c r="E4731" s="476">
        <v>0.03632</v>
      </c>
      <c r="F4731" s="6">
        <v>0.0017</v>
      </c>
      <c r="G4731" s="6">
        <v>500</v>
      </c>
    </row>
    <row r="4732" ht="15.75" customHeight="1" spans="1:7">
      <c r="A4732" s="4" t="s">
        <v>10578</v>
      </c>
      <c r="B4732" s="5" t="s">
        <v>10579</v>
      </c>
      <c r="C4732" s="4" t="s">
        <v>82</v>
      </c>
      <c r="D4732" s="475">
        <v>845.94</v>
      </c>
      <c r="E4732" s="476">
        <v>0.03632</v>
      </c>
      <c r="F4732" s="6">
        <v>1.1971</v>
      </c>
      <c r="G4732" s="6">
        <v>4.98</v>
      </c>
    </row>
    <row r="4733" ht="15.75" customHeight="1" spans="1:7">
      <c r="A4733" s="4" t="s">
        <v>10580</v>
      </c>
      <c r="B4733" s="5" t="s">
        <v>10581</v>
      </c>
      <c r="C4733" s="4" t="s">
        <v>82</v>
      </c>
      <c r="D4733" s="475">
        <v>1096.29</v>
      </c>
      <c r="E4733" s="476">
        <v>0.03632</v>
      </c>
      <c r="F4733" s="6">
        <v>1.2397</v>
      </c>
      <c r="G4733" s="6">
        <v>4.98</v>
      </c>
    </row>
    <row r="4734" ht="15.75" customHeight="1" spans="1:7">
      <c r="A4734" s="4" t="s">
        <v>10582</v>
      </c>
      <c r="B4734" s="5" t="s">
        <v>10583</v>
      </c>
      <c r="C4734" s="4" t="s">
        <v>82</v>
      </c>
      <c r="D4734" s="475">
        <v>1007.02</v>
      </c>
      <c r="E4734" s="476">
        <v>0.03632</v>
      </c>
      <c r="F4734" s="6">
        <v>1.3168</v>
      </c>
      <c r="G4734" s="6">
        <v>4.52727</v>
      </c>
    </row>
    <row r="4735" ht="15.75" customHeight="1" spans="1:7">
      <c r="A4735" s="4" t="s">
        <v>10584</v>
      </c>
      <c r="B4735" s="5" t="s">
        <v>10585</v>
      </c>
      <c r="C4735" s="4" t="s">
        <v>82</v>
      </c>
      <c r="D4735" s="475">
        <v>1213.09</v>
      </c>
      <c r="E4735" s="476">
        <v>0.03632</v>
      </c>
      <c r="F4735" s="6">
        <v>1.3658</v>
      </c>
      <c r="G4735" s="6">
        <v>4.52727</v>
      </c>
    </row>
    <row r="4736" ht="15.75" customHeight="1" spans="1:7">
      <c r="A4736" s="4" t="s">
        <v>10586</v>
      </c>
      <c r="B4736" s="5" t="s">
        <v>10587</v>
      </c>
      <c r="C4736" s="4" t="s">
        <v>82</v>
      </c>
      <c r="D4736" s="475">
        <v>1542.23</v>
      </c>
      <c r="E4736" s="476">
        <v>0.03632</v>
      </c>
      <c r="F4736" s="6">
        <v>1.5496</v>
      </c>
      <c r="G4736" s="6">
        <v>3.984</v>
      </c>
    </row>
    <row r="4737" ht="15.75" customHeight="1" spans="1:7">
      <c r="A4737" s="4" t="s">
        <v>10588</v>
      </c>
      <c r="B4737" s="5" t="s">
        <v>10589</v>
      </c>
      <c r="C4737" s="4" t="s">
        <v>82</v>
      </c>
      <c r="D4737" s="475">
        <v>1655.29</v>
      </c>
      <c r="E4737" s="476">
        <v>0.03632</v>
      </c>
      <c r="F4737" s="6">
        <v>1.552</v>
      </c>
      <c r="G4737" s="6">
        <v>3.984</v>
      </c>
    </row>
    <row r="4738" ht="15.75" customHeight="1" spans="1:7">
      <c r="A4738" s="4" t="s">
        <v>10590</v>
      </c>
      <c r="B4738" s="5" t="s">
        <v>10591</v>
      </c>
      <c r="C4738" s="4" t="s">
        <v>82</v>
      </c>
      <c r="D4738" s="475">
        <v>1851.08</v>
      </c>
      <c r="E4738" s="476">
        <v>0.03632</v>
      </c>
      <c r="F4738" s="6">
        <v>1.8003</v>
      </c>
      <c r="G4738" s="6">
        <v>3.43448</v>
      </c>
    </row>
    <row r="4739" ht="15.75" customHeight="1" spans="1:7">
      <c r="A4739" s="4" t="s">
        <v>10592</v>
      </c>
      <c r="B4739" s="5" t="s">
        <v>10593</v>
      </c>
      <c r="C4739" s="4" t="s">
        <v>82</v>
      </c>
      <c r="D4739" s="475">
        <v>2186.38</v>
      </c>
      <c r="E4739" s="476">
        <v>0.03632</v>
      </c>
      <c r="F4739" s="6">
        <v>1.8032</v>
      </c>
      <c r="G4739" s="6">
        <v>3.43448</v>
      </c>
    </row>
    <row r="4740" ht="15.75" customHeight="1" spans="1:7">
      <c r="A4740" s="4" t="s">
        <v>10594</v>
      </c>
      <c r="B4740" s="5" t="s">
        <v>10595</v>
      </c>
      <c r="C4740" s="4" t="s">
        <v>82</v>
      </c>
      <c r="D4740" s="475">
        <v>2442.36</v>
      </c>
      <c r="E4740" s="476">
        <v>0.03632</v>
      </c>
      <c r="F4740" s="6">
        <v>1.9866</v>
      </c>
      <c r="G4740" s="6">
        <v>3.1125</v>
      </c>
    </row>
    <row r="4741" ht="15.75" customHeight="1" spans="1:7">
      <c r="A4741" s="4" t="s">
        <v>10596</v>
      </c>
      <c r="B4741" s="5" t="s">
        <v>10597</v>
      </c>
      <c r="C4741" s="4" t="s">
        <v>82</v>
      </c>
      <c r="D4741" s="475">
        <v>2696.85</v>
      </c>
      <c r="E4741" s="476">
        <v>0.03632</v>
      </c>
      <c r="F4741" s="6">
        <v>1.9898</v>
      </c>
      <c r="G4741" s="6">
        <v>3.1125</v>
      </c>
    </row>
    <row r="4742" ht="15.75" customHeight="1" spans="1:7">
      <c r="A4742" s="4" t="s">
        <v>10598</v>
      </c>
      <c r="B4742" s="5" t="s">
        <v>10599</v>
      </c>
      <c r="C4742" s="4" t="s">
        <v>82</v>
      </c>
      <c r="D4742" s="475">
        <v>2997.81</v>
      </c>
      <c r="E4742" s="476">
        <v>0.03632</v>
      </c>
      <c r="F4742" s="6">
        <v>2.297</v>
      </c>
      <c r="G4742" s="6">
        <v>2.69189</v>
      </c>
    </row>
    <row r="4743" ht="15.75" customHeight="1" spans="1:7">
      <c r="A4743" s="4" t="s">
        <v>10600</v>
      </c>
      <c r="B4743" s="5" t="s">
        <v>10601</v>
      </c>
      <c r="C4743" s="4" t="s">
        <v>82</v>
      </c>
      <c r="D4743" s="475">
        <v>3556.39</v>
      </c>
      <c r="E4743" s="476">
        <v>0.03632</v>
      </c>
      <c r="F4743" s="6">
        <v>2.3007</v>
      </c>
      <c r="G4743" s="6">
        <v>2.69189</v>
      </c>
    </row>
    <row r="4744" ht="15.75" customHeight="1" spans="1:7">
      <c r="A4744" s="4" t="s">
        <v>10602</v>
      </c>
      <c r="B4744" s="5" t="s">
        <v>10603</v>
      </c>
      <c r="C4744" s="4" t="s">
        <v>82</v>
      </c>
      <c r="D4744" s="475">
        <v>3062.61</v>
      </c>
      <c r="E4744" s="476">
        <v>0.03632</v>
      </c>
      <c r="F4744" s="6">
        <v>2.5494</v>
      </c>
      <c r="G4744" s="6">
        <v>2.42927</v>
      </c>
    </row>
    <row r="4745" ht="15.75" customHeight="1" spans="1:7">
      <c r="A4745" s="4" t="s">
        <v>10604</v>
      </c>
      <c r="B4745" s="5" t="s">
        <v>10605</v>
      </c>
      <c r="C4745" s="4" t="s">
        <v>82</v>
      </c>
      <c r="D4745" s="475">
        <v>4760.34</v>
      </c>
      <c r="E4745" s="476">
        <v>0.03632</v>
      </c>
      <c r="F4745" s="6">
        <v>2.6685</v>
      </c>
      <c r="G4745" s="6">
        <v>2.42927</v>
      </c>
    </row>
    <row r="4746" ht="15.75" customHeight="1" spans="1:7">
      <c r="A4746" s="4" t="s">
        <v>10606</v>
      </c>
      <c r="B4746" s="5" t="s">
        <v>10607</v>
      </c>
      <c r="C4746" s="4" t="s">
        <v>82</v>
      </c>
      <c r="D4746" s="475">
        <v>386.43</v>
      </c>
      <c r="E4746" s="476">
        <v>0.03632</v>
      </c>
      <c r="F4746" s="6">
        <v>0.8319</v>
      </c>
      <c r="G4746" s="6">
        <v>7.11429</v>
      </c>
    </row>
    <row r="4747" ht="15.75" customHeight="1" spans="1:7">
      <c r="A4747" s="4" t="s">
        <v>10608</v>
      </c>
      <c r="B4747" s="5" t="s">
        <v>10609</v>
      </c>
      <c r="C4747" s="4" t="s">
        <v>82</v>
      </c>
      <c r="D4747" s="475">
        <v>619.27</v>
      </c>
      <c r="E4747" s="476">
        <v>0.03632</v>
      </c>
      <c r="F4747" s="6">
        <v>0.8319</v>
      </c>
      <c r="G4747" s="6">
        <v>7.11429</v>
      </c>
    </row>
    <row r="4748" ht="15.75" customHeight="1" spans="1:7">
      <c r="A4748" s="4" t="s">
        <v>10610</v>
      </c>
      <c r="B4748" s="5" t="s">
        <v>10611</v>
      </c>
      <c r="C4748" s="4" t="s">
        <v>82</v>
      </c>
      <c r="D4748" s="475">
        <v>524.68</v>
      </c>
      <c r="E4748" s="476">
        <v>0.03632</v>
      </c>
      <c r="F4748" s="6">
        <v>0.9507</v>
      </c>
      <c r="G4748" s="6">
        <v>6.225</v>
      </c>
    </row>
    <row r="4749" ht="15.75" customHeight="1" spans="1:7">
      <c r="A4749" s="4" t="s">
        <v>10612</v>
      </c>
      <c r="B4749" s="5" t="s">
        <v>10613</v>
      </c>
      <c r="C4749" s="4" t="s">
        <v>82</v>
      </c>
      <c r="D4749" s="475">
        <v>630.74</v>
      </c>
      <c r="E4749" s="476">
        <v>0.03632</v>
      </c>
      <c r="F4749" s="6">
        <v>0.9577</v>
      </c>
      <c r="G4749" s="6">
        <v>6.225</v>
      </c>
    </row>
    <row r="4750" ht="15.75" customHeight="1" spans="1:7">
      <c r="A4750" s="4" t="s">
        <v>10614</v>
      </c>
      <c r="B4750" s="5" t="s">
        <v>10615</v>
      </c>
      <c r="C4750" s="4" t="s">
        <v>82</v>
      </c>
      <c r="D4750" s="475">
        <v>570.91</v>
      </c>
      <c r="E4750" s="476">
        <v>0.03632</v>
      </c>
      <c r="F4750" s="6">
        <v>1.0102</v>
      </c>
      <c r="G4750" s="6">
        <v>5.85882</v>
      </c>
    </row>
    <row r="4751" ht="15.75" customHeight="1" spans="1:7">
      <c r="A4751" s="4" t="s">
        <v>10616</v>
      </c>
      <c r="B4751" s="5" t="s">
        <v>10617</v>
      </c>
      <c r="C4751" s="4" t="s">
        <v>82</v>
      </c>
      <c r="D4751" s="475">
        <v>709.7</v>
      </c>
      <c r="E4751" s="476">
        <v>0.03632</v>
      </c>
      <c r="F4751" s="6">
        <v>1.0175</v>
      </c>
      <c r="G4751" s="6">
        <v>5.85882</v>
      </c>
    </row>
    <row r="4752" ht="15.75" customHeight="1" spans="1:7">
      <c r="A4752" s="4" t="s">
        <v>10618</v>
      </c>
      <c r="B4752" s="5" t="s">
        <v>10619</v>
      </c>
      <c r="C4752" s="4" t="s">
        <v>82</v>
      </c>
      <c r="D4752" s="475">
        <v>711.74</v>
      </c>
      <c r="E4752" s="476">
        <v>0.03632</v>
      </c>
      <c r="F4752" s="6">
        <v>1.0774</v>
      </c>
      <c r="G4752" s="6">
        <v>5.53333</v>
      </c>
    </row>
    <row r="4753" ht="15.75" customHeight="1" spans="1:7">
      <c r="A4753" s="4" t="s">
        <v>10620</v>
      </c>
      <c r="B4753" s="5" t="s">
        <v>10621</v>
      </c>
      <c r="C4753" s="4" t="s">
        <v>82</v>
      </c>
      <c r="D4753" s="475">
        <v>987.75</v>
      </c>
      <c r="E4753" s="476">
        <v>0.03632</v>
      </c>
      <c r="F4753" s="6">
        <v>1.0774</v>
      </c>
      <c r="G4753" s="6">
        <v>5.53333</v>
      </c>
    </row>
    <row r="4754" ht="15.75" customHeight="1" spans="1:7">
      <c r="A4754" s="4" t="s">
        <v>10622</v>
      </c>
      <c r="B4754" s="5" t="s">
        <v>10623</v>
      </c>
      <c r="C4754" s="4" t="s">
        <v>82</v>
      </c>
      <c r="D4754" s="475">
        <v>789.48</v>
      </c>
      <c r="E4754" s="476">
        <v>0.03632</v>
      </c>
      <c r="F4754" s="6">
        <v>1.1372</v>
      </c>
      <c r="G4754" s="6">
        <v>5.24211</v>
      </c>
    </row>
    <row r="4755" ht="15.75" customHeight="1" spans="1:7">
      <c r="A4755" s="4" t="s">
        <v>10624</v>
      </c>
      <c r="B4755" s="5" t="s">
        <v>10625</v>
      </c>
      <c r="C4755" s="4" t="s">
        <v>82</v>
      </c>
      <c r="D4755" s="475">
        <v>1026.62</v>
      </c>
      <c r="E4755" s="476">
        <v>0.03632</v>
      </c>
      <c r="F4755" s="6">
        <v>1.1777</v>
      </c>
      <c r="G4755" s="6">
        <v>5.24211</v>
      </c>
    </row>
    <row r="4756" ht="15.75" customHeight="1" spans="1:7">
      <c r="A4756" s="4" t="s">
        <v>10626</v>
      </c>
      <c r="B4756" s="5" t="s">
        <v>10627</v>
      </c>
      <c r="C4756" s="4" t="s">
        <v>82</v>
      </c>
      <c r="D4756" s="475">
        <v>98.77</v>
      </c>
      <c r="E4756" s="476">
        <v>0.03632</v>
      </c>
      <c r="F4756" s="6">
        <v>0.3167</v>
      </c>
      <c r="G4756" s="6">
        <v>12.45</v>
      </c>
    </row>
    <row r="4757" ht="15.75" customHeight="1" spans="1:7">
      <c r="A4757" s="4" t="s">
        <v>10628</v>
      </c>
      <c r="B4757" s="5" t="s">
        <v>10629</v>
      </c>
      <c r="C4757" s="4" t="s">
        <v>82</v>
      </c>
      <c r="D4757" s="475">
        <v>116.67</v>
      </c>
      <c r="E4757" s="476">
        <v>0.03632</v>
      </c>
      <c r="F4757" s="6">
        <v>0.3167</v>
      </c>
      <c r="G4757" s="6">
        <v>12.45</v>
      </c>
    </row>
    <row r="4758" ht="15.75" customHeight="1" spans="1:7">
      <c r="A4758" s="4" t="s">
        <v>10630</v>
      </c>
      <c r="B4758" s="5" t="s">
        <v>10631</v>
      </c>
      <c r="C4758" s="4" t="s">
        <v>82</v>
      </c>
      <c r="D4758" s="475">
        <v>81.79</v>
      </c>
      <c r="E4758" s="476">
        <v>0.03632</v>
      </c>
      <c r="F4758" s="6">
        <v>0.3167</v>
      </c>
      <c r="G4758" s="6">
        <v>12.45</v>
      </c>
    </row>
    <row r="4759" ht="15.75" customHeight="1" spans="1:7">
      <c r="A4759" s="4" t="s">
        <v>10632</v>
      </c>
      <c r="B4759" s="5" t="s">
        <v>10633</v>
      </c>
      <c r="C4759" s="4" t="s">
        <v>82</v>
      </c>
      <c r="D4759" s="475">
        <v>114.43</v>
      </c>
      <c r="E4759" s="476">
        <v>0.03632</v>
      </c>
      <c r="F4759" s="6">
        <v>0.3167</v>
      </c>
      <c r="G4759" s="6">
        <v>12.45</v>
      </c>
    </row>
    <row r="4760" ht="15.75" customHeight="1" spans="1:7">
      <c r="A4760" s="4" t="s">
        <v>10634</v>
      </c>
      <c r="B4760" s="5" t="s">
        <v>10635</v>
      </c>
      <c r="C4760" s="4" t="s">
        <v>82</v>
      </c>
      <c r="D4760" s="475">
        <v>183.05</v>
      </c>
      <c r="E4760" s="476">
        <v>0.03632</v>
      </c>
      <c r="F4760" s="6">
        <v>0.3562</v>
      </c>
      <c r="G4760" s="6">
        <v>11.07</v>
      </c>
    </row>
    <row r="4761" ht="15.75" customHeight="1" spans="1:7">
      <c r="A4761" s="4" t="s">
        <v>10636</v>
      </c>
      <c r="B4761" s="5" t="s">
        <v>10637</v>
      </c>
      <c r="C4761" s="4" t="s">
        <v>82</v>
      </c>
      <c r="D4761" s="475">
        <v>234.41</v>
      </c>
      <c r="E4761" s="476">
        <v>0.03632</v>
      </c>
      <c r="F4761" s="6">
        <v>0.3562</v>
      </c>
      <c r="G4761" s="6">
        <v>11.07</v>
      </c>
    </row>
    <row r="4762" ht="15.75" customHeight="1" spans="1:7">
      <c r="A4762" s="4" t="s">
        <v>10638</v>
      </c>
      <c r="B4762" s="5" t="s">
        <v>10639</v>
      </c>
      <c r="C4762" s="4" t="s">
        <v>82</v>
      </c>
      <c r="D4762" s="475">
        <v>235.98</v>
      </c>
      <c r="E4762" s="476">
        <v>0.03632</v>
      </c>
      <c r="F4762" s="6">
        <v>0.3959</v>
      </c>
      <c r="G4762" s="6">
        <v>9.96</v>
      </c>
    </row>
    <row r="4763" ht="15.75" customHeight="1" spans="1:7">
      <c r="A4763" s="4" t="s">
        <v>10640</v>
      </c>
      <c r="B4763" s="5" t="s">
        <v>10641</v>
      </c>
      <c r="C4763" s="4" t="s">
        <v>82</v>
      </c>
      <c r="D4763" s="475">
        <v>343.56</v>
      </c>
      <c r="E4763" s="476">
        <v>0.03632</v>
      </c>
      <c r="F4763" s="6">
        <v>0.3959</v>
      </c>
      <c r="G4763" s="6">
        <v>9.96</v>
      </c>
    </row>
    <row r="4764" ht="15.75" customHeight="1" spans="1:7">
      <c r="A4764" s="4" t="s">
        <v>10642</v>
      </c>
      <c r="B4764" s="5" t="s">
        <v>10643</v>
      </c>
      <c r="C4764" s="4" t="s">
        <v>82</v>
      </c>
      <c r="D4764" s="475">
        <v>304.65</v>
      </c>
      <c r="E4764" s="476">
        <v>0.03632</v>
      </c>
      <c r="F4764" s="6">
        <v>0.4355</v>
      </c>
      <c r="G4764" s="6">
        <v>9.05455</v>
      </c>
    </row>
    <row r="4765" ht="15.75" customHeight="1" spans="1:7">
      <c r="A4765" s="4" t="s">
        <v>10644</v>
      </c>
      <c r="B4765" s="5" t="s">
        <v>10645</v>
      </c>
      <c r="C4765" s="4" t="s">
        <v>82</v>
      </c>
      <c r="D4765" s="475">
        <v>355.13</v>
      </c>
      <c r="E4765" s="476">
        <v>0.03632</v>
      </c>
      <c r="F4765" s="6">
        <v>0.4355</v>
      </c>
      <c r="G4765" s="6">
        <v>9.05455</v>
      </c>
    </row>
    <row r="4766" ht="15.75" customHeight="1" spans="1:7">
      <c r="A4766" s="4" t="s">
        <v>10646</v>
      </c>
      <c r="B4766" s="5" t="s">
        <v>10647</v>
      </c>
      <c r="C4766" s="4" t="s">
        <v>82</v>
      </c>
      <c r="D4766" s="475">
        <v>141.11</v>
      </c>
      <c r="E4766" s="476">
        <v>0.03632</v>
      </c>
      <c r="F4766" s="6">
        <v>0.2878</v>
      </c>
      <c r="G4766" s="6">
        <v>7.78125</v>
      </c>
    </row>
    <row r="4767" ht="15.75" customHeight="1" spans="1:7">
      <c r="A4767" s="4" t="s">
        <v>10648</v>
      </c>
      <c r="B4767" s="5" t="s">
        <v>10649</v>
      </c>
      <c r="C4767" s="4" t="s">
        <v>82</v>
      </c>
      <c r="D4767" s="475">
        <v>161.5</v>
      </c>
      <c r="E4767" s="476">
        <v>0.03632</v>
      </c>
      <c r="F4767" s="6">
        <v>0.2878</v>
      </c>
      <c r="G4767" s="6">
        <v>7.78125</v>
      </c>
    </row>
    <row r="4768" ht="15.75" customHeight="1" spans="1:7">
      <c r="A4768" s="4" t="s">
        <v>10650</v>
      </c>
      <c r="B4768" s="5" t="s">
        <v>10651</v>
      </c>
      <c r="C4768" s="4" t="s">
        <v>82</v>
      </c>
      <c r="D4768" s="475">
        <v>164.91</v>
      </c>
      <c r="E4768" s="476">
        <v>0.03632</v>
      </c>
      <c r="F4768" s="6">
        <v>0.3238</v>
      </c>
      <c r="G4768" s="6">
        <v>6.91667</v>
      </c>
    </row>
    <row r="4769" ht="15.75" customHeight="1" spans="1:7">
      <c r="A4769" s="4" t="s">
        <v>10652</v>
      </c>
      <c r="B4769" s="5" t="s">
        <v>10653</v>
      </c>
      <c r="C4769" s="4" t="s">
        <v>82</v>
      </c>
      <c r="D4769" s="475">
        <v>155.5</v>
      </c>
      <c r="E4769" s="476">
        <v>0.03632</v>
      </c>
      <c r="F4769" s="6">
        <v>0.3238</v>
      </c>
      <c r="G4769" s="6">
        <v>6.91667</v>
      </c>
    </row>
    <row r="4770" ht="15.75" customHeight="1" spans="1:7">
      <c r="A4770" s="4" t="s">
        <v>10654</v>
      </c>
      <c r="B4770" s="5" t="s">
        <v>10655</v>
      </c>
      <c r="C4770" s="4" t="s">
        <v>82</v>
      </c>
      <c r="D4770" s="475">
        <v>219.73</v>
      </c>
      <c r="E4770" s="476">
        <v>0.03632</v>
      </c>
      <c r="F4770" s="6">
        <v>0.3778</v>
      </c>
      <c r="G4770" s="6">
        <v>5.92857</v>
      </c>
    </row>
    <row r="4771" ht="15.75" customHeight="1" spans="1:7">
      <c r="A4771" s="4" t="s">
        <v>10656</v>
      </c>
      <c r="B4771" s="5" t="s">
        <v>10657</v>
      </c>
      <c r="C4771" s="4" t="s">
        <v>82</v>
      </c>
      <c r="D4771" s="475">
        <v>245.74</v>
      </c>
      <c r="E4771" s="476">
        <v>0.03632</v>
      </c>
      <c r="F4771" s="6">
        <v>0.3778</v>
      </c>
      <c r="G4771" s="6">
        <v>5.92857</v>
      </c>
    </row>
    <row r="4772" ht="15.75" customHeight="1" spans="1:7">
      <c r="A4772" s="4" t="s">
        <v>10658</v>
      </c>
      <c r="B4772" s="5" t="s">
        <v>10659</v>
      </c>
      <c r="C4772" s="4" t="s">
        <v>82</v>
      </c>
      <c r="D4772" s="475">
        <v>270.53</v>
      </c>
      <c r="E4772" s="476">
        <v>0.03632</v>
      </c>
      <c r="F4772" s="6">
        <v>0.4497</v>
      </c>
      <c r="G4772" s="6">
        <v>4.98</v>
      </c>
    </row>
    <row r="4773" ht="15.75" customHeight="1" spans="1:7">
      <c r="A4773" s="4" t="s">
        <v>10660</v>
      </c>
      <c r="B4773" s="5" t="s">
        <v>10661</v>
      </c>
      <c r="C4773" s="4" t="s">
        <v>82</v>
      </c>
      <c r="D4773" s="475">
        <v>273.54</v>
      </c>
      <c r="E4773" s="476">
        <v>0.03632</v>
      </c>
      <c r="F4773" s="6">
        <v>0.4497</v>
      </c>
      <c r="G4773" s="6">
        <v>4.98</v>
      </c>
    </row>
    <row r="4774" ht="15.75" customHeight="1" spans="1:7">
      <c r="A4774" s="4" t="s">
        <v>10662</v>
      </c>
      <c r="B4774" s="5" t="s">
        <v>10663</v>
      </c>
      <c r="C4774" s="4" t="s">
        <v>82</v>
      </c>
      <c r="D4774" s="475">
        <v>316.88</v>
      </c>
      <c r="E4774" s="476">
        <v>0.03632</v>
      </c>
      <c r="F4774" s="6">
        <v>0.5037</v>
      </c>
      <c r="G4774" s="6">
        <v>4.44643</v>
      </c>
    </row>
    <row r="4775" ht="15.75" customHeight="1" spans="1:7">
      <c r="A4775" s="4" t="s">
        <v>10664</v>
      </c>
      <c r="B4775" s="5" t="s">
        <v>10665</v>
      </c>
      <c r="C4775" s="4" t="s">
        <v>82</v>
      </c>
      <c r="D4775" s="475">
        <v>298.89</v>
      </c>
      <c r="E4775" s="476">
        <v>0.03632</v>
      </c>
      <c r="F4775" s="6">
        <v>0.5037</v>
      </c>
      <c r="G4775" s="6">
        <v>4.44643</v>
      </c>
    </row>
    <row r="4776" ht="15.75" customHeight="1" spans="1:7">
      <c r="A4776" s="4" t="s">
        <v>10666</v>
      </c>
      <c r="B4776" s="5" t="s">
        <v>10667</v>
      </c>
      <c r="C4776" s="4" t="s">
        <v>82</v>
      </c>
      <c r="D4776" s="475">
        <v>362.99</v>
      </c>
      <c r="E4776" s="476">
        <v>0.03632</v>
      </c>
      <c r="F4776" s="6">
        <v>0.5936</v>
      </c>
      <c r="G4776" s="6">
        <v>3.77273</v>
      </c>
    </row>
    <row r="4777" ht="15.75" customHeight="1" spans="1:7">
      <c r="A4777" s="4" t="s">
        <v>10668</v>
      </c>
      <c r="B4777" s="5" t="s">
        <v>10669</v>
      </c>
      <c r="C4777" s="4" t="s">
        <v>82</v>
      </c>
      <c r="D4777" s="475">
        <v>364.93</v>
      </c>
      <c r="E4777" s="476">
        <v>0.03632</v>
      </c>
      <c r="F4777" s="6">
        <v>0.5936</v>
      </c>
      <c r="G4777" s="6">
        <v>3.77273</v>
      </c>
    </row>
    <row r="4778" ht="15.75" customHeight="1" spans="1:7">
      <c r="A4778" s="4" t="s">
        <v>10670</v>
      </c>
      <c r="B4778" s="5" t="s">
        <v>10671</v>
      </c>
      <c r="C4778" s="4" t="s">
        <v>82</v>
      </c>
      <c r="D4778" s="475">
        <v>414.55</v>
      </c>
      <c r="E4778" s="476">
        <v>0.03632</v>
      </c>
      <c r="F4778" s="6">
        <v>0.6656</v>
      </c>
      <c r="G4778" s="6">
        <v>3.36486</v>
      </c>
    </row>
    <row r="4779" ht="15.75" customHeight="1" spans="1:7">
      <c r="A4779" s="4" t="s">
        <v>10672</v>
      </c>
      <c r="B4779" s="5" t="s">
        <v>10673</v>
      </c>
      <c r="C4779" s="4" t="s">
        <v>82</v>
      </c>
      <c r="D4779" s="475">
        <v>417.8</v>
      </c>
      <c r="E4779" s="476">
        <v>0.03632</v>
      </c>
      <c r="F4779" s="6">
        <v>0.6656</v>
      </c>
      <c r="G4779" s="6">
        <v>3.36486</v>
      </c>
    </row>
    <row r="4780" ht="15.75" customHeight="1" spans="1:7">
      <c r="A4780" s="4" t="s">
        <v>10674</v>
      </c>
      <c r="B4780" s="5" t="s">
        <v>10675</v>
      </c>
      <c r="C4780" s="4" t="s">
        <v>82</v>
      </c>
      <c r="D4780" s="475">
        <v>66.13</v>
      </c>
      <c r="E4780" s="476">
        <v>0.03632</v>
      </c>
      <c r="F4780" s="6">
        <v>0.1799</v>
      </c>
      <c r="G4780" s="6">
        <v>12.45</v>
      </c>
    </row>
    <row r="4781" ht="15.75" customHeight="1" spans="1:7">
      <c r="A4781" s="4" t="s">
        <v>10676</v>
      </c>
      <c r="B4781" s="5" t="s">
        <v>10677</v>
      </c>
      <c r="C4781" s="4" t="s">
        <v>82</v>
      </c>
      <c r="D4781" s="475">
        <v>66.91</v>
      </c>
      <c r="E4781" s="476">
        <v>0.03632</v>
      </c>
      <c r="F4781" s="6">
        <v>0.1799</v>
      </c>
      <c r="G4781" s="6">
        <v>12.45</v>
      </c>
    </row>
    <row r="4782" ht="15.75" customHeight="1" spans="1:7">
      <c r="A4782" s="4" t="s">
        <v>10678</v>
      </c>
      <c r="B4782" s="5" t="s">
        <v>10679</v>
      </c>
      <c r="C4782" s="4" t="s">
        <v>82</v>
      </c>
      <c r="D4782" s="475">
        <v>92.9</v>
      </c>
      <c r="E4782" s="476">
        <v>0.03632</v>
      </c>
      <c r="F4782" s="6">
        <v>0.2158</v>
      </c>
      <c r="G4782" s="6">
        <v>10.38</v>
      </c>
    </row>
    <row r="4783" ht="15.75" customHeight="1" spans="1:7">
      <c r="A4783" s="4" t="s">
        <v>10680</v>
      </c>
      <c r="B4783" s="5" t="s">
        <v>10681</v>
      </c>
      <c r="C4783" s="4" t="s">
        <v>82</v>
      </c>
      <c r="D4783" s="475">
        <v>85.92</v>
      </c>
      <c r="E4783" s="476">
        <v>0.03632</v>
      </c>
      <c r="F4783" s="6">
        <v>0.2158</v>
      </c>
      <c r="G4783" s="6">
        <v>10.38</v>
      </c>
    </row>
    <row r="4784" ht="15.75" customHeight="1" spans="1:7">
      <c r="A4784" s="4" t="s">
        <v>10682</v>
      </c>
      <c r="B4784" s="5" t="s">
        <v>10683</v>
      </c>
      <c r="C4784" s="4" t="s">
        <v>82</v>
      </c>
      <c r="D4784" s="475">
        <v>112.17</v>
      </c>
      <c r="E4784" s="476">
        <v>0.03632</v>
      </c>
      <c r="F4784" s="6">
        <v>0.2338</v>
      </c>
      <c r="G4784" s="6">
        <v>9.57692</v>
      </c>
    </row>
    <row r="4785" ht="15.75" customHeight="1" spans="1:7">
      <c r="A4785" s="4" t="s">
        <v>10684</v>
      </c>
      <c r="B4785" s="5" t="s">
        <v>10685</v>
      </c>
      <c r="C4785" s="4" t="s">
        <v>82</v>
      </c>
      <c r="D4785" s="475">
        <v>113.74</v>
      </c>
      <c r="E4785" s="476">
        <v>0.03632</v>
      </c>
      <c r="F4785" s="6">
        <v>0.2338</v>
      </c>
      <c r="G4785" s="6">
        <v>9.57692</v>
      </c>
    </row>
    <row r="4786" ht="15.75" customHeight="1" spans="1:7">
      <c r="A4786" s="4" t="s">
        <v>10686</v>
      </c>
      <c r="B4786" s="5" t="s">
        <v>10687</v>
      </c>
      <c r="C4786" s="4" t="s">
        <v>82</v>
      </c>
      <c r="D4786" s="475">
        <v>112.69</v>
      </c>
      <c r="E4786" s="476">
        <v>0.03632</v>
      </c>
      <c r="F4786" s="6">
        <v>0.2518</v>
      </c>
      <c r="G4786" s="6">
        <v>8.89286</v>
      </c>
    </row>
    <row r="4787" ht="15.75" customHeight="1" spans="1:7">
      <c r="A4787" s="4" t="s">
        <v>10688</v>
      </c>
      <c r="B4787" s="5" t="s">
        <v>10689</v>
      </c>
      <c r="C4787" s="4" t="s">
        <v>82</v>
      </c>
      <c r="D4787" s="475">
        <v>114.25</v>
      </c>
      <c r="E4787" s="476">
        <v>0.03632</v>
      </c>
      <c r="F4787" s="6">
        <v>0.2518</v>
      </c>
      <c r="G4787" s="6">
        <v>8.89286</v>
      </c>
    </row>
    <row r="4788" ht="15.75" customHeight="1" spans="1:7">
      <c r="A4788" s="4" t="s">
        <v>10690</v>
      </c>
      <c r="B4788" s="5" t="s">
        <v>10691</v>
      </c>
      <c r="C4788" s="4" t="s">
        <v>82</v>
      </c>
      <c r="D4788" s="475">
        <v>138.74</v>
      </c>
      <c r="E4788" s="476">
        <v>0.03632</v>
      </c>
      <c r="F4788" s="6">
        <v>0.2698</v>
      </c>
      <c r="G4788" s="6">
        <v>8.3</v>
      </c>
    </row>
    <row r="4789" ht="15.75" customHeight="1" spans="1:7">
      <c r="A4789" s="4" t="s">
        <v>10692</v>
      </c>
      <c r="B4789" s="5" t="s">
        <v>10693</v>
      </c>
      <c r="C4789" s="4" t="s">
        <v>82</v>
      </c>
      <c r="D4789" s="475">
        <v>141.19</v>
      </c>
      <c r="E4789" s="476">
        <v>0.03632</v>
      </c>
      <c r="F4789" s="6">
        <v>0.2698</v>
      </c>
      <c r="G4789" s="6">
        <v>8.3</v>
      </c>
    </row>
    <row r="4790" ht="15.75" customHeight="1" spans="1:7">
      <c r="A4790" s="4" t="s">
        <v>10694</v>
      </c>
      <c r="B4790" s="5" t="s">
        <v>10695</v>
      </c>
      <c r="C4790" s="4" t="s">
        <v>82</v>
      </c>
      <c r="D4790" s="475">
        <v>28.52</v>
      </c>
      <c r="E4790" s="476">
        <v>0.03632</v>
      </c>
      <c r="F4790" s="6">
        <v>0.1259</v>
      </c>
      <c r="G4790" s="6">
        <v>17.79</v>
      </c>
    </row>
    <row r="4791" ht="15.75" customHeight="1" spans="1:7">
      <c r="A4791" s="4" t="s">
        <v>10696</v>
      </c>
      <c r="B4791" s="5" t="s">
        <v>10697</v>
      </c>
      <c r="C4791" s="4" t="s">
        <v>82</v>
      </c>
      <c r="D4791" s="475">
        <v>37.39</v>
      </c>
      <c r="E4791" s="476">
        <v>0.03632</v>
      </c>
      <c r="F4791" s="6">
        <v>0.1259</v>
      </c>
      <c r="G4791" s="6">
        <v>17.79</v>
      </c>
    </row>
    <row r="4792" ht="15.75" customHeight="1" spans="1:7">
      <c r="A4792" s="4" t="s">
        <v>10698</v>
      </c>
      <c r="B4792" s="5" t="s">
        <v>10699</v>
      </c>
      <c r="C4792" s="4" t="s">
        <v>82</v>
      </c>
      <c r="D4792" s="475">
        <v>76.13</v>
      </c>
      <c r="E4792" s="476">
        <v>0.03632</v>
      </c>
      <c r="F4792" s="6">
        <v>0.1493</v>
      </c>
      <c r="G4792" s="6">
        <v>15</v>
      </c>
    </row>
    <row r="4793" ht="15.75" customHeight="1" spans="1:7">
      <c r="A4793" s="4" t="s">
        <v>10700</v>
      </c>
      <c r="B4793" s="5" t="s">
        <v>10701</v>
      </c>
      <c r="C4793" s="4" t="s">
        <v>82</v>
      </c>
      <c r="D4793" s="475">
        <v>108.77</v>
      </c>
      <c r="E4793" s="476">
        <v>0.03632</v>
      </c>
      <c r="F4793" s="6">
        <v>0.1493</v>
      </c>
      <c r="G4793" s="6">
        <v>15</v>
      </c>
    </row>
    <row r="4794" ht="15.75" customHeight="1" spans="1:7">
      <c r="A4794" s="4" t="s">
        <v>10702</v>
      </c>
      <c r="B4794" s="5" t="s">
        <v>10703</v>
      </c>
      <c r="C4794" s="4" t="s">
        <v>82</v>
      </c>
      <c r="D4794" s="475">
        <v>34.77</v>
      </c>
      <c r="E4794" s="476">
        <v>0.03632</v>
      </c>
      <c r="F4794" s="6">
        <v>0.1439</v>
      </c>
      <c r="G4794" s="6">
        <v>15.56</v>
      </c>
    </row>
    <row r="4795" ht="15.75" customHeight="1" spans="1:7">
      <c r="A4795" s="4" t="s">
        <v>10704</v>
      </c>
      <c r="B4795" s="5" t="s">
        <v>10705</v>
      </c>
      <c r="C4795" s="4" t="s">
        <v>82</v>
      </c>
      <c r="D4795" s="475">
        <v>44.42</v>
      </c>
      <c r="E4795" s="476">
        <v>0.03632</v>
      </c>
      <c r="F4795" s="6">
        <v>0.1439</v>
      </c>
      <c r="G4795" s="6">
        <v>15.56</v>
      </c>
    </row>
    <row r="4796" ht="15.75" customHeight="1" spans="1:7">
      <c r="A4796" s="4" t="s">
        <v>10706</v>
      </c>
      <c r="B4796" s="5" t="s">
        <v>10707</v>
      </c>
      <c r="C4796" s="4" t="s">
        <v>82</v>
      </c>
      <c r="D4796" s="475">
        <v>64.89</v>
      </c>
      <c r="E4796" s="476">
        <v>0.03632</v>
      </c>
      <c r="F4796" s="6">
        <v>0.1619</v>
      </c>
      <c r="G4796" s="6">
        <v>13.83</v>
      </c>
    </row>
    <row r="4797" ht="15.75" customHeight="1" spans="1:7">
      <c r="A4797" s="4" t="s">
        <v>10708</v>
      </c>
      <c r="B4797" s="5" t="s">
        <v>10709</v>
      </c>
      <c r="C4797" s="4" t="s">
        <v>82</v>
      </c>
      <c r="D4797" s="475">
        <v>66.06</v>
      </c>
      <c r="E4797" s="476">
        <v>0.03632</v>
      </c>
      <c r="F4797" s="6">
        <v>0.1619</v>
      </c>
      <c r="G4797" s="6">
        <v>13.83</v>
      </c>
    </row>
    <row r="4798" ht="15.75" customHeight="1" spans="1:7">
      <c r="A4798" s="4" t="s">
        <v>10710</v>
      </c>
      <c r="B4798" s="5" t="s">
        <v>10711</v>
      </c>
      <c r="C4798" s="4" t="s">
        <v>82</v>
      </c>
      <c r="D4798" s="475">
        <v>70.61</v>
      </c>
      <c r="E4798" s="476">
        <v>0.03632</v>
      </c>
      <c r="F4798" s="6">
        <v>0.1799</v>
      </c>
      <c r="G4798" s="6">
        <v>12.45</v>
      </c>
    </row>
    <row r="4799" ht="15.75" customHeight="1" spans="1:7">
      <c r="A4799" s="4" t="s">
        <v>10712</v>
      </c>
      <c r="B4799" s="5" t="s">
        <v>10713</v>
      </c>
      <c r="C4799" s="4" t="s">
        <v>82</v>
      </c>
      <c r="D4799" s="475">
        <v>68.37</v>
      </c>
      <c r="E4799" s="476">
        <v>0.03632</v>
      </c>
      <c r="F4799" s="6">
        <v>0.1799</v>
      </c>
      <c r="G4799" s="6">
        <v>12.45</v>
      </c>
    </row>
    <row r="4800" ht="15.75" customHeight="1" spans="1:7">
      <c r="A4800" s="4" t="s">
        <v>10714</v>
      </c>
      <c r="B4800" s="5" t="s">
        <v>10715</v>
      </c>
      <c r="C4800" s="4" t="s">
        <v>9</v>
      </c>
      <c r="D4800" s="475">
        <v>24.72</v>
      </c>
      <c r="E4800" s="476">
        <v>0.03632</v>
      </c>
      <c r="F4800" s="6">
        <v>0.3325</v>
      </c>
      <c r="G4800" s="6">
        <v>25.03</v>
      </c>
    </row>
    <row r="4801" ht="15.75" customHeight="1" spans="1:7">
      <c r="A4801" s="4" t="s">
        <v>10716</v>
      </c>
      <c r="B4801" s="5" t="s">
        <v>10717</v>
      </c>
      <c r="C4801" s="4" t="s">
        <v>9</v>
      </c>
      <c r="D4801" s="475">
        <v>24.56</v>
      </c>
      <c r="E4801" s="476">
        <v>0.03632</v>
      </c>
      <c r="F4801" s="6">
        <v>0.3321</v>
      </c>
      <c r="G4801" s="6">
        <v>25.03</v>
      </c>
    </row>
    <row r="4802" ht="15.75" customHeight="1" spans="1:7">
      <c r="A4802" s="4" t="s">
        <v>10718</v>
      </c>
      <c r="B4802" s="5" t="s">
        <v>10719</v>
      </c>
      <c r="C4802" s="4" t="s">
        <v>9</v>
      </c>
      <c r="D4802" s="475">
        <v>28.42</v>
      </c>
      <c r="E4802" s="476">
        <v>0.03632</v>
      </c>
      <c r="F4802" s="6">
        <v>0.3455</v>
      </c>
      <c r="G4802" s="6">
        <v>24.07</v>
      </c>
    </row>
    <row r="4803" ht="15.75" customHeight="1" spans="1:7">
      <c r="A4803" s="4" t="s">
        <v>10720</v>
      </c>
      <c r="B4803" s="5" t="s">
        <v>10721</v>
      </c>
      <c r="C4803" s="4" t="s">
        <v>9</v>
      </c>
      <c r="D4803" s="475">
        <v>29.32</v>
      </c>
      <c r="E4803" s="476">
        <v>0.03632</v>
      </c>
      <c r="F4803" s="6">
        <v>0.3584</v>
      </c>
      <c r="G4803" s="6">
        <v>23.22</v>
      </c>
    </row>
    <row r="4804" ht="15.75" customHeight="1" spans="1:7">
      <c r="A4804" s="4" t="s">
        <v>10722</v>
      </c>
      <c r="B4804" s="5" t="s">
        <v>10723</v>
      </c>
      <c r="C4804" s="4" t="s">
        <v>9</v>
      </c>
      <c r="D4804" s="475">
        <v>25.17</v>
      </c>
      <c r="E4804" s="476">
        <v>0.03632</v>
      </c>
      <c r="F4804" s="6">
        <v>0.3336</v>
      </c>
      <c r="G4804" s="6">
        <v>24.94</v>
      </c>
    </row>
    <row r="4805" ht="15.75" customHeight="1" spans="1:7">
      <c r="A4805" s="4" t="s">
        <v>10724</v>
      </c>
      <c r="B4805" s="5" t="s">
        <v>10725</v>
      </c>
      <c r="C4805" s="4" t="s">
        <v>9</v>
      </c>
      <c r="D4805" s="475">
        <v>24.94</v>
      </c>
      <c r="E4805" s="476">
        <v>0.03632</v>
      </c>
      <c r="F4805" s="6">
        <v>0.333</v>
      </c>
      <c r="G4805" s="6">
        <v>24.94</v>
      </c>
    </row>
    <row r="4806" ht="15.75" customHeight="1" spans="1:7">
      <c r="A4806" s="4" t="s">
        <v>10726</v>
      </c>
      <c r="B4806" s="5" t="s">
        <v>10727</v>
      </c>
      <c r="C4806" s="4" t="s">
        <v>9</v>
      </c>
      <c r="D4806" s="475">
        <v>30.6</v>
      </c>
      <c r="E4806" s="476">
        <v>0.03632</v>
      </c>
      <c r="F4806" s="6">
        <v>0.3597</v>
      </c>
      <c r="G4806" s="6">
        <v>23.13</v>
      </c>
    </row>
    <row r="4807" ht="15.75" customHeight="1" spans="1:7">
      <c r="A4807" s="4" t="s">
        <v>10728</v>
      </c>
      <c r="B4807" s="5" t="s">
        <v>10729</v>
      </c>
      <c r="C4807" s="4" t="s">
        <v>9</v>
      </c>
      <c r="D4807" s="475">
        <v>32.84</v>
      </c>
      <c r="E4807" s="476">
        <v>0.03632</v>
      </c>
      <c r="F4807" s="6">
        <v>0.3755</v>
      </c>
      <c r="G4807" s="6">
        <v>22.18</v>
      </c>
    </row>
    <row r="4808" ht="15.75" customHeight="1" spans="1:7">
      <c r="A4808" s="4" t="s">
        <v>10730</v>
      </c>
      <c r="B4808" s="5" t="s">
        <v>10731</v>
      </c>
      <c r="C4808" s="4" t="s">
        <v>9</v>
      </c>
      <c r="D4808" s="475">
        <v>61.35</v>
      </c>
      <c r="E4808" s="476">
        <v>0.03632</v>
      </c>
      <c r="F4808" s="6">
        <v>0.5362</v>
      </c>
      <c r="G4808" s="6">
        <v>15.87</v>
      </c>
    </row>
    <row r="4809" ht="15.75" customHeight="1" spans="1:7">
      <c r="A4809" s="4" t="s">
        <v>10732</v>
      </c>
      <c r="B4809" s="5" t="s">
        <v>10733</v>
      </c>
      <c r="C4809" s="4" t="s">
        <v>9</v>
      </c>
      <c r="D4809" s="475">
        <v>61.12</v>
      </c>
      <c r="E4809" s="476">
        <v>0.03632</v>
      </c>
      <c r="F4809" s="6">
        <v>0.5356</v>
      </c>
      <c r="G4809" s="6">
        <v>15.87</v>
      </c>
    </row>
    <row r="4810" ht="15.75" customHeight="1" spans="1:7">
      <c r="A4810" s="4" t="s">
        <v>10734</v>
      </c>
      <c r="B4810" s="5" t="s">
        <v>10735</v>
      </c>
      <c r="C4810" s="4" t="s">
        <v>9</v>
      </c>
      <c r="D4810" s="475">
        <v>60.67</v>
      </c>
      <c r="E4810" s="476">
        <v>0.03632</v>
      </c>
      <c r="F4810" s="6">
        <v>0.5343</v>
      </c>
      <c r="G4810" s="6">
        <v>15.87</v>
      </c>
    </row>
    <row r="4811" ht="15.75" customHeight="1" spans="1:7">
      <c r="A4811" s="4" t="s">
        <v>10736</v>
      </c>
      <c r="B4811" s="5" t="s">
        <v>10737</v>
      </c>
      <c r="C4811" s="4" t="s">
        <v>9</v>
      </c>
      <c r="D4811" s="475">
        <v>60.44</v>
      </c>
      <c r="E4811" s="476">
        <v>0.03632</v>
      </c>
      <c r="F4811" s="6">
        <v>0.5337</v>
      </c>
      <c r="G4811" s="6">
        <v>15.87</v>
      </c>
    </row>
    <row r="4812" ht="15.75" customHeight="1" spans="1:7">
      <c r="A4812" s="4" t="s">
        <v>10738</v>
      </c>
      <c r="B4812" s="5" t="s">
        <v>10739</v>
      </c>
      <c r="C4812" s="4" t="s">
        <v>9</v>
      </c>
      <c r="D4812" s="475">
        <v>61.36</v>
      </c>
      <c r="E4812" s="476">
        <v>0.03632</v>
      </c>
      <c r="F4812" s="6">
        <v>0.5363</v>
      </c>
      <c r="G4812" s="6">
        <v>15.87</v>
      </c>
    </row>
    <row r="4813" ht="15.75" customHeight="1" spans="1:7">
      <c r="A4813" s="4" t="s">
        <v>10740</v>
      </c>
      <c r="B4813" s="5" t="s">
        <v>10741</v>
      </c>
      <c r="C4813" s="4" t="s">
        <v>9</v>
      </c>
      <c r="D4813" s="475">
        <v>61.2</v>
      </c>
      <c r="E4813" s="476">
        <v>0.03632</v>
      </c>
      <c r="F4813" s="6">
        <v>0.5358</v>
      </c>
      <c r="G4813" s="6">
        <v>15.87</v>
      </c>
    </row>
    <row r="4814" ht="15.75" customHeight="1" spans="1:7">
      <c r="A4814" s="4" t="s">
        <v>10742</v>
      </c>
      <c r="B4814" s="5" t="s">
        <v>10743</v>
      </c>
      <c r="C4814" s="4" t="s">
        <v>9</v>
      </c>
      <c r="D4814" s="475">
        <v>67.09</v>
      </c>
      <c r="E4814" s="476">
        <v>0.03632</v>
      </c>
      <c r="F4814" s="6">
        <v>0.5506</v>
      </c>
      <c r="G4814" s="6">
        <v>15.5</v>
      </c>
    </row>
    <row r="4815" ht="15.75" customHeight="1" spans="1:7">
      <c r="A4815" s="4" t="s">
        <v>10744</v>
      </c>
      <c r="B4815" s="5" t="s">
        <v>10745</v>
      </c>
      <c r="C4815" s="4" t="s">
        <v>9</v>
      </c>
      <c r="D4815" s="475">
        <v>67.36</v>
      </c>
      <c r="E4815" s="476">
        <v>0.03632</v>
      </c>
      <c r="F4815" s="6">
        <v>0.5514</v>
      </c>
      <c r="G4815" s="6">
        <v>15.5</v>
      </c>
    </row>
    <row r="4816" ht="15.75" customHeight="1" spans="1:7">
      <c r="A4816" s="4" t="s">
        <v>10746</v>
      </c>
      <c r="B4816" s="5" t="s">
        <v>10747</v>
      </c>
      <c r="C4816" s="4" t="s">
        <v>9</v>
      </c>
      <c r="D4816" s="475">
        <v>72.26</v>
      </c>
      <c r="E4816" s="476">
        <v>0.03632</v>
      </c>
      <c r="F4816" s="6">
        <v>0.5674</v>
      </c>
      <c r="G4816" s="6">
        <v>15.15</v>
      </c>
    </row>
    <row r="4817" ht="15.75" customHeight="1" spans="1:7">
      <c r="A4817" s="4" t="s">
        <v>10748</v>
      </c>
      <c r="B4817" s="5" t="s">
        <v>10749</v>
      </c>
      <c r="C4817" s="4" t="s">
        <v>9</v>
      </c>
      <c r="D4817" s="475">
        <v>72.03</v>
      </c>
      <c r="E4817" s="476">
        <v>0.03632</v>
      </c>
      <c r="F4817" s="6">
        <v>0.5667</v>
      </c>
      <c r="G4817" s="6">
        <v>15.15</v>
      </c>
    </row>
    <row r="4818" ht="15.75" customHeight="1" spans="1:7">
      <c r="A4818" s="4" t="s">
        <v>10750</v>
      </c>
      <c r="B4818" s="5" t="s">
        <v>10751</v>
      </c>
      <c r="C4818" s="4" t="s">
        <v>9</v>
      </c>
      <c r="D4818" s="475">
        <v>76.38</v>
      </c>
      <c r="E4818" s="476">
        <v>0.03632</v>
      </c>
      <c r="F4818" s="6">
        <v>0.5823</v>
      </c>
      <c r="G4818" s="6">
        <v>14.81</v>
      </c>
    </row>
    <row r="4819" ht="15.75" customHeight="1" spans="1:7">
      <c r="A4819" s="4" t="s">
        <v>10752</v>
      </c>
      <c r="B4819" s="5" t="s">
        <v>10753</v>
      </c>
      <c r="C4819" s="4" t="s">
        <v>9</v>
      </c>
      <c r="D4819" s="475">
        <v>24.72</v>
      </c>
      <c r="E4819" s="476">
        <v>0.03632</v>
      </c>
      <c r="F4819" s="6">
        <v>0.3494</v>
      </c>
      <c r="G4819" s="6">
        <v>23.81</v>
      </c>
    </row>
    <row r="4820" ht="15.75" customHeight="1" spans="1:7">
      <c r="A4820" s="4" t="s">
        <v>10754</v>
      </c>
      <c r="B4820" s="5" t="s">
        <v>10755</v>
      </c>
      <c r="C4820" s="4" t="s">
        <v>9</v>
      </c>
      <c r="D4820" s="475">
        <v>26.05</v>
      </c>
      <c r="E4820" s="476">
        <v>0.03632</v>
      </c>
      <c r="F4820" s="6">
        <v>0.3626</v>
      </c>
      <c r="G4820" s="6">
        <v>22.99</v>
      </c>
    </row>
    <row r="4821" ht="15.75" customHeight="1" spans="1:7">
      <c r="A4821" s="4" t="s">
        <v>10756</v>
      </c>
      <c r="B4821" s="5" t="s">
        <v>10757</v>
      </c>
      <c r="C4821" s="4" t="s">
        <v>9</v>
      </c>
      <c r="D4821" s="475">
        <v>26.03</v>
      </c>
      <c r="E4821" s="476">
        <v>0.03632</v>
      </c>
      <c r="F4821" s="6">
        <v>0.3625</v>
      </c>
      <c r="G4821" s="6">
        <v>22.99</v>
      </c>
    </row>
    <row r="4822" ht="15.75" customHeight="1" spans="1:7">
      <c r="A4822" s="4" t="s">
        <v>10758</v>
      </c>
      <c r="B4822" s="5" t="s">
        <v>10759</v>
      </c>
      <c r="C4822" s="4" t="s">
        <v>9</v>
      </c>
      <c r="D4822" s="475">
        <v>28.01</v>
      </c>
      <c r="E4822" s="476">
        <v>0.03632</v>
      </c>
      <c r="F4822" s="6">
        <v>0.3755</v>
      </c>
      <c r="G4822" s="6">
        <v>22.22</v>
      </c>
    </row>
    <row r="4823" ht="15.75" customHeight="1" spans="1:7">
      <c r="A4823" s="4" t="s">
        <v>10760</v>
      </c>
      <c r="B4823" s="5" t="s">
        <v>10761</v>
      </c>
      <c r="C4823" s="4" t="s">
        <v>9</v>
      </c>
      <c r="D4823" s="475">
        <v>28.06</v>
      </c>
      <c r="E4823" s="476">
        <v>0.03632</v>
      </c>
      <c r="F4823" s="6">
        <v>0.3756</v>
      </c>
      <c r="G4823" s="6">
        <v>22.22</v>
      </c>
    </row>
    <row r="4824" ht="15.75" customHeight="1" spans="1:7">
      <c r="A4824" s="4" t="s">
        <v>10762</v>
      </c>
      <c r="B4824" s="5" t="s">
        <v>10763</v>
      </c>
      <c r="C4824" s="4" t="s">
        <v>9</v>
      </c>
      <c r="D4824" s="475">
        <v>30.23</v>
      </c>
      <c r="E4824" s="476">
        <v>0.03632</v>
      </c>
      <c r="F4824" s="6">
        <v>0.3883</v>
      </c>
      <c r="G4824" s="6">
        <v>21.51</v>
      </c>
    </row>
    <row r="4825" ht="15.75" customHeight="1" spans="1:7">
      <c r="A4825" s="4" t="s">
        <v>10764</v>
      </c>
      <c r="B4825" s="5" t="s">
        <v>10765</v>
      </c>
      <c r="C4825" s="4" t="s">
        <v>9</v>
      </c>
      <c r="D4825" s="475">
        <v>30.35</v>
      </c>
      <c r="E4825" s="476">
        <v>0.03632</v>
      </c>
      <c r="F4825" s="6">
        <v>0.3886</v>
      </c>
      <c r="G4825" s="6">
        <v>21.51</v>
      </c>
    </row>
    <row r="4826" ht="15.75" customHeight="1" spans="1:7">
      <c r="A4826" s="4" t="s">
        <v>10766</v>
      </c>
      <c r="B4826" s="5" t="s">
        <v>10767</v>
      </c>
      <c r="C4826" s="4" t="s">
        <v>9</v>
      </c>
      <c r="D4826" s="475">
        <v>32.3</v>
      </c>
      <c r="E4826" s="476">
        <v>0.03632</v>
      </c>
      <c r="F4826" s="6">
        <v>0.4015</v>
      </c>
      <c r="G4826" s="6">
        <v>20.83</v>
      </c>
    </row>
    <row r="4827" ht="15.75" customHeight="1" spans="1:7">
      <c r="A4827" s="4" t="s">
        <v>10768</v>
      </c>
      <c r="B4827" s="5" t="s">
        <v>10769</v>
      </c>
      <c r="C4827" s="4" t="s">
        <v>9</v>
      </c>
      <c r="D4827" s="475">
        <v>32.48</v>
      </c>
      <c r="E4827" s="476">
        <v>0.03632</v>
      </c>
      <c r="F4827" s="6">
        <v>0.402</v>
      </c>
      <c r="G4827" s="6">
        <v>20.83</v>
      </c>
    </row>
    <row r="4828" ht="15.75" customHeight="1" spans="1:7">
      <c r="A4828" s="4" t="s">
        <v>10770</v>
      </c>
      <c r="B4828" s="5" t="s">
        <v>10771</v>
      </c>
      <c r="C4828" s="4" t="s">
        <v>9</v>
      </c>
      <c r="D4828" s="475">
        <v>37.52</v>
      </c>
      <c r="E4828" s="476">
        <v>0.03632</v>
      </c>
      <c r="F4828" s="6">
        <v>0.4154</v>
      </c>
      <c r="G4828" s="6">
        <v>20.2</v>
      </c>
    </row>
    <row r="4829" ht="15.75" customHeight="1" spans="1:7">
      <c r="A4829" s="4" t="s">
        <v>10772</v>
      </c>
      <c r="B4829" s="5" t="s">
        <v>10773</v>
      </c>
      <c r="C4829" s="4" t="s">
        <v>9</v>
      </c>
      <c r="D4829" s="475">
        <v>34.78</v>
      </c>
      <c r="E4829" s="476">
        <v>0.03632</v>
      </c>
      <c r="F4829" s="6">
        <v>0.415</v>
      </c>
      <c r="G4829" s="6">
        <v>20.2</v>
      </c>
    </row>
    <row r="4830" ht="15.75" customHeight="1" spans="1:7">
      <c r="A4830" s="4" t="s">
        <v>10774</v>
      </c>
      <c r="B4830" s="5" t="s">
        <v>10775</v>
      </c>
      <c r="C4830" s="4" t="s">
        <v>9</v>
      </c>
      <c r="D4830" s="475">
        <v>38.23</v>
      </c>
      <c r="E4830" s="476">
        <v>0.03632</v>
      </c>
      <c r="F4830" s="6">
        <v>0.4286</v>
      </c>
      <c r="G4830" s="6">
        <v>19.61</v>
      </c>
    </row>
    <row r="4831" ht="15.75" customHeight="1" spans="1:7">
      <c r="A4831" s="4" t="s">
        <v>10776</v>
      </c>
      <c r="B4831" s="5" t="s">
        <v>10777</v>
      </c>
      <c r="C4831" s="4" t="s">
        <v>9</v>
      </c>
      <c r="D4831" s="475">
        <v>38.17</v>
      </c>
      <c r="E4831" s="476">
        <v>0.03632</v>
      </c>
      <c r="F4831" s="6">
        <v>0.4285</v>
      </c>
      <c r="G4831" s="6">
        <v>19.61</v>
      </c>
    </row>
    <row r="4832" ht="15.75" customHeight="1" spans="1:7">
      <c r="A4832" s="4" t="s">
        <v>10778</v>
      </c>
      <c r="B4832" s="5" t="s">
        <v>10779</v>
      </c>
      <c r="C4832" s="4" t="s">
        <v>9</v>
      </c>
      <c r="D4832" s="475">
        <v>40.27</v>
      </c>
      <c r="E4832" s="476">
        <v>0.03632</v>
      </c>
      <c r="F4832" s="6">
        <v>0.4422</v>
      </c>
      <c r="G4832" s="6">
        <v>19.05</v>
      </c>
    </row>
    <row r="4833" ht="15.75" customHeight="1" spans="1:7">
      <c r="A4833" s="4" t="s">
        <v>10780</v>
      </c>
      <c r="B4833" s="5" t="s">
        <v>10781</v>
      </c>
      <c r="C4833" s="4" t="s">
        <v>9</v>
      </c>
      <c r="D4833" s="475">
        <v>40.11</v>
      </c>
      <c r="E4833" s="476">
        <v>0.03632</v>
      </c>
      <c r="F4833" s="6">
        <v>0.4417</v>
      </c>
      <c r="G4833" s="6">
        <v>19.05</v>
      </c>
    </row>
    <row r="4834" ht="15.75" customHeight="1" spans="1:7">
      <c r="A4834" s="4" t="s">
        <v>10782</v>
      </c>
      <c r="B4834" s="5" t="s">
        <v>10783</v>
      </c>
      <c r="C4834" s="4" t="s">
        <v>9</v>
      </c>
      <c r="D4834" s="475">
        <v>39.96</v>
      </c>
      <c r="E4834" s="476">
        <v>0.03632</v>
      </c>
      <c r="F4834" s="6">
        <v>0.4413</v>
      </c>
      <c r="G4834" s="6">
        <v>19.05</v>
      </c>
    </row>
    <row r="4835" ht="15.75" customHeight="1" spans="1:7">
      <c r="A4835" s="4" t="s">
        <v>10784</v>
      </c>
      <c r="B4835" s="5" t="s">
        <v>10785</v>
      </c>
      <c r="C4835" s="4" t="s">
        <v>9</v>
      </c>
      <c r="D4835" s="475">
        <v>40.27</v>
      </c>
      <c r="E4835" s="476">
        <v>0.03632</v>
      </c>
      <c r="F4835" s="6">
        <v>0.4421</v>
      </c>
      <c r="G4835" s="6">
        <v>19.05</v>
      </c>
    </row>
    <row r="4836" ht="15.75" customHeight="1" spans="1:7">
      <c r="A4836" s="4" t="s">
        <v>10786</v>
      </c>
      <c r="B4836" s="5" t="s">
        <v>10787</v>
      </c>
      <c r="C4836" s="4" t="s">
        <v>9</v>
      </c>
      <c r="D4836" s="475">
        <v>40.04</v>
      </c>
      <c r="E4836" s="476">
        <v>0.03632</v>
      </c>
      <c r="F4836" s="6">
        <v>0.4415</v>
      </c>
      <c r="G4836" s="6">
        <v>19.05</v>
      </c>
    </row>
    <row r="4837" ht="15.75" customHeight="1" spans="1:7">
      <c r="A4837" s="4" t="s">
        <v>10788</v>
      </c>
      <c r="B4837" s="5" t="s">
        <v>10789</v>
      </c>
      <c r="C4837" s="4" t="s">
        <v>9</v>
      </c>
      <c r="D4837" s="475">
        <v>42.39</v>
      </c>
      <c r="E4837" s="476">
        <v>0.03632</v>
      </c>
      <c r="F4837" s="6">
        <v>0.4542</v>
      </c>
      <c r="G4837" s="6">
        <v>18.52</v>
      </c>
    </row>
    <row r="4838" ht="15.75" customHeight="1" spans="1:7">
      <c r="A4838" s="4" t="s">
        <v>10790</v>
      </c>
      <c r="B4838" s="5" t="s">
        <v>10791</v>
      </c>
      <c r="C4838" s="4" t="s">
        <v>9</v>
      </c>
      <c r="D4838" s="475">
        <v>42.73</v>
      </c>
      <c r="E4838" s="476">
        <v>0.03632</v>
      </c>
      <c r="F4838" s="6">
        <v>0.4552</v>
      </c>
      <c r="G4838" s="6">
        <v>18.52</v>
      </c>
    </row>
    <row r="4839" ht="15.75" customHeight="1" spans="1:7">
      <c r="A4839" s="4" t="s">
        <v>10792</v>
      </c>
      <c r="B4839" s="5" t="s">
        <v>10793</v>
      </c>
      <c r="C4839" s="4" t="s">
        <v>9</v>
      </c>
      <c r="D4839" s="475">
        <v>44.54</v>
      </c>
      <c r="E4839" s="476">
        <v>0.03632</v>
      </c>
      <c r="F4839" s="6">
        <v>0.4689</v>
      </c>
      <c r="G4839" s="6">
        <v>18.02</v>
      </c>
    </row>
    <row r="4840" ht="15.75" customHeight="1" spans="1:7">
      <c r="A4840" s="4" t="s">
        <v>10794</v>
      </c>
      <c r="B4840" s="5" t="s">
        <v>10795</v>
      </c>
      <c r="C4840" s="4" t="s">
        <v>9</v>
      </c>
      <c r="D4840" s="475">
        <v>44.32</v>
      </c>
      <c r="E4840" s="476">
        <v>0.03632</v>
      </c>
      <c r="F4840" s="6">
        <v>0.4683</v>
      </c>
      <c r="G4840" s="6">
        <v>18.02</v>
      </c>
    </row>
    <row r="4841" ht="15.75" customHeight="1" spans="1:7">
      <c r="A4841" s="4" t="s">
        <v>10796</v>
      </c>
      <c r="B4841" s="5" t="s">
        <v>10797</v>
      </c>
      <c r="C4841" s="4" t="s">
        <v>9</v>
      </c>
      <c r="D4841" s="475">
        <v>44.28</v>
      </c>
      <c r="E4841" s="476">
        <v>0.03632</v>
      </c>
      <c r="F4841" s="6">
        <v>0.4682</v>
      </c>
      <c r="G4841" s="6">
        <v>18.02</v>
      </c>
    </row>
    <row r="4842" ht="15.75" customHeight="1" spans="1:7">
      <c r="A4842" s="4" t="s">
        <v>10798</v>
      </c>
      <c r="B4842" s="5" t="s">
        <v>10799</v>
      </c>
      <c r="C4842" s="4" t="s">
        <v>9</v>
      </c>
      <c r="D4842" s="475">
        <v>43.96</v>
      </c>
      <c r="E4842" s="476">
        <v>0.03632</v>
      </c>
      <c r="F4842" s="6">
        <v>0.4673</v>
      </c>
      <c r="G4842" s="6">
        <v>18.02</v>
      </c>
    </row>
    <row r="4843" ht="15.75" customHeight="1" spans="1:7">
      <c r="A4843" s="4" t="s">
        <v>10800</v>
      </c>
      <c r="B4843" s="5" t="s">
        <v>10801</v>
      </c>
      <c r="C4843" s="4" t="s">
        <v>9</v>
      </c>
      <c r="D4843" s="475">
        <v>47.89</v>
      </c>
      <c r="E4843" s="476">
        <v>0.03632</v>
      </c>
      <c r="F4843" s="6">
        <v>0.4824</v>
      </c>
      <c r="G4843" s="6">
        <v>17.54</v>
      </c>
    </row>
    <row r="4844" ht="15.75" customHeight="1" spans="1:7">
      <c r="A4844" s="4" t="s">
        <v>10802</v>
      </c>
      <c r="B4844" s="5" t="s">
        <v>10803</v>
      </c>
      <c r="C4844" s="4" t="s">
        <v>9</v>
      </c>
      <c r="D4844" s="475">
        <v>47.61</v>
      </c>
      <c r="E4844" s="476">
        <v>0.03632</v>
      </c>
      <c r="F4844" s="6">
        <v>0.4816</v>
      </c>
      <c r="G4844" s="6">
        <v>17.54</v>
      </c>
    </row>
    <row r="4845" ht="15.75" customHeight="1" spans="1:7">
      <c r="A4845" s="4" t="s">
        <v>10804</v>
      </c>
      <c r="B4845" s="5" t="s">
        <v>10805</v>
      </c>
      <c r="C4845" s="4" t="s">
        <v>9</v>
      </c>
      <c r="D4845" s="475">
        <v>47.45</v>
      </c>
      <c r="E4845" s="476">
        <v>0.03632</v>
      </c>
      <c r="F4845" s="6">
        <v>0.4811</v>
      </c>
      <c r="G4845" s="6">
        <v>17.54</v>
      </c>
    </row>
    <row r="4846" ht="15.75" customHeight="1" spans="1:7">
      <c r="A4846" s="4" t="s">
        <v>10806</v>
      </c>
      <c r="B4846" s="5" t="s">
        <v>10807</v>
      </c>
      <c r="C4846" s="4" t="s">
        <v>9</v>
      </c>
      <c r="D4846" s="475">
        <v>50.37</v>
      </c>
      <c r="E4846" s="476">
        <v>0.03632</v>
      </c>
      <c r="F4846" s="6">
        <v>0.4952</v>
      </c>
      <c r="G4846" s="6">
        <v>17.09</v>
      </c>
    </row>
    <row r="4847" ht="15.75" customHeight="1" spans="1:7">
      <c r="A4847" s="4" t="s">
        <v>10808</v>
      </c>
      <c r="B4847" s="5" t="s">
        <v>10809</v>
      </c>
      <c r="C4847" s="4" t="s">
        <v>9</v>
      </c>
      <c r="D4847" s="475">
        <v>50.45</v>
      </c>
      <c r="E4847" s="476">
        <v>0.03632</v>
      </c>
      <c r="F4847" s="6">
        <v>0.4954</v>
      </c>
      <c r="G4847" s="6">
        <v>17.09</v>
      </c>
    </row>
    <row r="4848" ht="15.75" customHeight="1" spans="1:7">
      <c r="A4848" s="4" t="s">
        <v>10810</v>
      </c>
      <c r="B4848" s="5" t="s">
        <v>10811</v>
      </c>
      <c r="C4848" s="4" t="s">
        <v>9</v>
      </c>
      <c r="D4848" s="475">
        <v>50.29</v>
      </c>
      <c r="E4848" s="476">
        <v>0.03632</v>
      </c>
      <c r="F4848" s="6">
        <v>0.4949</v>
      </c>
      <c r="G4848" s="6">
        <v>17.09</v>
      </c>
    </row>
    <row r="4849" ht="15.75" customHeight="1" spans="1:7">
      <c r="A4849" s="4" t="s">
        <v>10812</v>
      </c>
      <c r="B4849" s="5" t="s">
        <v>10813</v>
      </c>
      <c r="C4849" s="4" t="s">
        <v>9</v>
      </c>
      <c r="D4849" s="475">
        <v>49.97</v>
      </c>
      <c r="E4849" s="476">
        <v>0.03632</v>
      </c>
      <c r="F4849" s="6">
        <v>0.4941</v>
      </c>
      <c r="G4849" s="6">
        <v>17.09</v>
      </c>
    </row>
    <row r="4850" ht="15.75" customHeight="1" spans="1:7">
      <c r="A4850" s="4" t="s">
        <v>10814</v>
      </c>
      <c r="B4850" s="5" t="s">
        <v>10815</v>
      </c>
      <c r="C4850" s="4" t="s">
        <v>9</v>
      </c>
      <c r="D4850" s="475">
        <v>49.81</v>
      </c>
      <c r="E4850" s="476">
        <v>0.03632</v>
      </c>
      <c r="F4850" s="6">
        <v>0.4936</v>
      </c>
      <c r="G4850" s="6">
        <v>17.09</v>
      </c>
    </row>
    <row r="4851" ht="15.75" customHeight="1" spans="1:7">
      <c r="A4851" s="4" t="s">
        <v>10816</v>
      </c>
      <c r="B4851" s="5" t="s">
        <v>10817</v>
      </c>
      <c r="C4851" s="4" t="s">
        <v>9</v>
      </c>
      <c r="D4851" s="475">
        <v>55.17</v>
      </c>
      <c r="E4851" s="476">
        <v>0.03632</v>
      </c>
      <c r="F4851" s="6">
        <v>0.5091</v>
      </c>
      <c r="G4851" s="6">
        <v>16.67</v>
      </c>
    </row>
    <row r="4852" ht="15.75" customHeight="1" spans="1:7">
      <c r="A4852" s="4" t="s">
        <v>10818</v>
      </c>
      <c r="B4852" s="5" t="s">
        <v>10819</v>
      </c>
      <c r="C4852" s="4" t="s">
        <v>9</v>
      </c>
      <c r="D4852" s="475">
        <v>54.72</v>
      </c>
      <c r="E4852" s="476">
        <v>0.03632</v>
      </c>
      <c r="F4852" s="6">
        <v>0.5079</v>
      </c>
      <c r="G4852" s="6">
        <v>16.67</v>
      </c>
    </row>
    <row r="4853" ht="15.75" customHeight="1" spans="1:7">
      <c r="A4853" s="4" t="s">
        <v>10820</v>
      </c>
      <c r="B4853" s="5" t="s">
        <v>10821</v>
      </c>
      <c r="C4853" s="4" t="s">
        <v>9</v>
      </c>
      <c r="D4853" s="475">
        <v>54.52</v>
      </c>
      <c r="E4853" s="476">
        <v>0.03632</v>
      </c>
      <c r="F4853" s="6">
        <v>0.5074</v>
      </c>
      <c r="G4853" s="6">
        <v>16.67</v>
      </c>
    </row>
    <row r="4854" ht="15.75" customHeight="1" spans="1:7">
      <c r="A4854" s="4" t="s">
        <v>10822</v>
      </c>
      <c r="B4854" s="5" t="s">
        <v>10823</v>
      </c>
      <c r="C4854" s="4" t="s">
        <v>9</v>
      </c>
      <c r="D4854" s="475">
        <v>54.16</v>
      </c>
      <c r="E4854" s="476">
        <v>0.03632</v>
      </c>
      <c r="F4854" s="6">
        <v>0.5223</v>
      </c>
      <c r="G4854" s="6">
        <v>16.26</v>
      </c>
    </row>
    <row r="4855" ht="15.75" customHeight="1" spans="1:7">
      <c r="A4855" s="4" t="s">
        <v>10824</v>
      </c>
      <c r="B4855" s="5" t="s">
        <v>10825</v>
      </c>
      <c r="C4855" s="4" t="s">
        <v>9</v>
      </c>
      <c r="D4855" s="475">
        <v>53.94</v>
      </c>
      <c r="E4855" s="476">
        <v>0.03632</v>
      </c>
      <c r="F4855" s="6">
        <v>0.5217</v>
      </c>
      <c r="G4855" s="6">
        <v>16.26</v>
      </c>
    </row>
    <row r="4856" ht="15.75" customHeight="1" spans="1:7">
      <c r="A4856" s="4" t="s">
        <v>10826</v>
      </c>
      <c r="B4856" s="5" t="s">
        <v>130</v>
      </c>
      <c r="C4856" s="4" t="s">
        <v>101</v>
      </c>
      <c r="D4856" s="475">
        <v>9.49</v>
      </c>
      <c r="E4856" s="476">
        <v>0.03632</v>
      </c>
      <c r="F4856" s="6">
        <v>0.0138</v>
      </c>
      <c r="G4856" s="6">
        <v>784.86</v>
      </c>
    </row>
    <row r="4857" ht="15.75" customHeight="1" spans="1:7">
      <c r="A4857" s="4" t="s">
        <v>10827</v>
      </c>
      <c r="B4857" s="5" t="s">
        <v>10828</v>
      </c>
      <c r="C4857" s="4" t="s">
        <v>101</v>
      </c>
      <c r="D4857" s="475">
        <v>9.47</v>
      </c>
      <c r="E4857" s="476">
        <v>0.03632</v>
      </c>
      <c r="F4857" s="6">
        <v>0.0134</v>
      </c>
      <c r="G4857" s="6">
        <v>1020.61</v>
      </c>
    </row>
    <row r="4858" ht="15.75" customHeight="1" spans="1:7">
      <c r="A4858" s="4" t="s">
        <v>10829</v>
      </c>
      <c r="B4858" s="5" t="s">
        <v>10830</v>
      </c>
      <c r="C4858" s="4" t="s">
        <v>101</v>
      </c>
      <c r="D4858" s="475">
        <v>14.01</v>
      </c>
      <c r="E4858" s="476">
        <v>0.03632</v>
      </c>
      <c r="F4858" s="6">
        <v>0.0673</v>
      </c>
      <c r="G4858" s="6">
        <v>200</v>
      </c>
    </row>
    <row r="4859" ht="15.75" customHeight="1" spans="1:7">
      <c r="A4859" s="4" t="s">
        <v>10831</v>
      </c>
      <c r="B4859" s="5" t="s">
        <v>10832</v>
      </c>
      <c r="C4859" s="4" t="s">
        <v>101</v>
      </c>
      <c r="D4859" s="475">
        <v>14.01</v>
      </c>
      <c r="E4859" s="476">
        <v>0.03632</v>
      </c>
      <c r="F4859" s="6">
        <v>0.0673</v>
      </c>
      <c r="G4859" s="6">
        <v>200</v>
      </c>
    </row>
    <row r="4860" ht="15.75" customHeight="1" spans="1:7">
      <c r="A4860" s="4" t="s">
        <v>10833</v>
      </c>
      <c r="B4860" s="5" t="s">
        <v>10834</v>
      </c>
      <c r="C4860" s="4" t="s">
        <v>101</v>
      </c>
      <c r="D4860" s="475">
        <v>10.2</v>
      </c>
      <c r="E4860" s="476">
        <v>0</v>
      </c>
      <c r="F4860" s="6">
        <v>0</v>
      </c>
      <c r="G4860" s="6">
        <v>1</v>
      </c>
    </row>
    <row r="4861" ht="15.75" customHeight="1" spans="1:7">
      <c r="A4861" s="4" t="s">
        <v>10835</v>
      </c>
      <c r="B4861" s="5" t="s">
        <v>10836</v>
      </c>
      <c r="C4861" s="4" t="s">
        <v>7</v>
      </c>
      <c r="D4861" s="475">
        <v>140.04</v>
      </c>
      <c r="E4861" s="476">
        <v>0</v>
      </c>
      <c r="F4861" s="6">
        <v>0</v>
      </c>
      <c r="G4861" s="6">
        <v>1</v>
      </c>
    </row>
    <row r="4862" ht="15.75" customHeight="1" spans="1:7">
      <c r="A4862" s="4" t="s">
        <v>10837</v>
      </c>
      <c r="B4862" s="5" t="s">
        <v>10838</v>
      </c>
      <c r="C4862" s="4" t="s">
        <v>99</v>
      </c>
      <c r="D4862" s="475">
        <v>36.95</v>
      </c>
      <c r="E4862" s="476">
        <v>0.04367</v>
      </c>
      <c r="F4862" s="6">
        <v>1.5461</v>
      </c>
      <c r="G4862" s="6">
        <v>0.66667</v>
      </c>
    </row>
    <row r="4863" ht="15.75" customHeight="1" spans="1:7">
      <c r="A4863" s="4" t="s">
        <v>10839</v>
      </c>
      <c r="B4863" s="5" t="s">
        <v>10840</v>
      </c>
      <c r="C4863" s="4" t="s">
        <v>7</v>
      </c>
      <c r="D4863" s="475">
        <v>5.54</v>
      </c>
      <c r="E4863" s="476">
        <v>0.04367</v>
      </c>
      <c r="F4863" s="6">
        <v>0.2319</v>
      </c>
      <c r="G4863" s="6">
        <v>4.44444</v>
      </c>
    </row>
    <row r="4864" ht="15.75" customHeight="1" spans="1:7">
      <c r="A4864" s="4" t="s">
        <v>10841</v>
      </c>
      <c r="B4864" s="5" t="s">
        <v>10842</v>
      </c>
      <c r="C4864" s="4" t="s">
        <v>99</v>
      </c>
      <c r="D4864" s="475">
        <v>13.22</v>
      </c>
      <c r="E4864" s="476">
        <v>0.04367</v>
      </c>
      <c r="F4864" s="6">
        <v>0.3668</v>
      </c>
      <c r="G4864" s="6">
        <v>30</v>
      </c>
    </row>
    <row r="4865" ht="15.75" customHeight="1" spans="1:7">
      <c r="A4865" s="4" t="s">
        <v>10843</v>
      </c>
      <c r="B4865" s="5" t="s">
        <v>10844</v>
      </c>
      <c r="C4865" s="4" t="s">
        <v>99</v>
      </c>
      <c r="D4865" s="475">
        <v>8.17</v>
      </c>
      <c r="E4865" s="476">
        <v>0.04367</v>
      </c>
      <c r="F4865" s="6">
        <v>0.2136</v>
      </c>
      <c r="G4865" s="6">
        <v>71.14</v>
      </c>
    </row>
    <row r="4866" ht="15.75" customHeight="1" spans="1:7">
      <c r="A4866" s="4" t="s">
        <v>10845</v>
      </c>
      <c r="B4866" s="5" t="s">
        <v>10846</v>
      </c>
      <c r="C4866" s="4" t="s">
        <v>99</v>
      </c>
      <c r="D4866" s="475">
        <v>6.8</v>
      </c>
      <c r="E4866" s="476">
        <v>0.04367</v>
      </c>
      <c r="F4866" s="6">
        <v>0.1577</v>
      </c>
      <c r="G4866" s="6">
        <v>104.37</v>
      </c>
    </row>
    <row r="4867" ht="15.75" customHeight="1" spans="1:7">
      <c r="A4867" s="4" t="s">
        <v>10847</v>
      </c>
      <c r="B4867" s="5" t="s">
        <v>10848</v>
      </c>
      <c r="C4867" s="4" t="s">
        <v>99</v>
      </c>
      <c r="D4867" s="475">
        <v>56.52</v>
      </c>
      <c r="E4867" s="476">
        <v>0</v>
      </c>
      <c r="F4867" s="6">
        <v>0</v>
      </c>
      <c r="G4867" s="6">
        <v>66.4</v>
      </c>
    </row>
    <row r="4868" ht="15.75" customHeight="1" spans="1:7">
      <c r="A4868" s="4" t="s">
        <v>10849</v>
      </c>
      <c r="B4868" s="5" t="s">
        <v>10850</v>
      </c>
      <c r="C4868" s="4" t="s">
        <v>7</v>
      </c>
      <c r="D4868" s="475">
        <v>14.79</v>
      </c>
      <c r="E4868" s="476">
        <v>0</v>
      </c>
      <c r="F4868" s="6">
        <v>0</v>
      </c>
      <c r="G4868" s="6">
        <v>15.4</v>
      </c>
    </row>
    <row r="4869" ht="15.75" customHeight="1" spans="1:7">
      <c r="A4869" s="4" t="s">
        <v>10851</v>
      </c>
      <c r="B4869" s="5" t="s">
        <v>10852</v>
      </c>
      <c r="C4869" s="4" t="s">
        <v>7</v>
      </c>
      <c r="D4869" s="475">
        <v>21.84</v>
      </c>
      <c r="E4869" s="476">
        <v>0</v>
      </c>
      <c r="F4869" s="6">
        <v>0</v>
      </c>
      <c r="G4869" s="6">
        <v>10.43</v>
      </c>
    </row>
    <row r="4870" ht="15.75" customHeight="1" spans="1:7">
      <c r="A4870" s="4" t="s">
        <v>10853</v>
      </c>
      <c r="B4870" s="5" t="s">
        <v>10854</v>
      </c>
      <c r="C4870" s="4" t="s">
        <v>99</v>
      </c>
      <c r="D4870" s="475">
        <v>8.05</v>
      </c>
      <c r="E4870" s="476">
        <v>0.04367</v>
      </c>
      <c r="F4870" s="6">
        <v>0.2467</v>
      </c>
      <c r="G4870" s="6">
        <v>4.66875</v>
      </c>
    </row>
    <row r="4871" ht="15.75" customHeight="1" spans="1:7">
      <c r="A4871" s="4" t="s">
        <v>10855</v>
      </c>
      <c r="B4871" s="5" t="s">
        <v>10856</v>
      </c>
      <c r="C4871" s="4" t="s">
        <v>9</v>
      </c>
      <c r="D4871" s="475">
        <v>29.09</v>
      </c>
      <c r="E4871" s="476">
        <v>0.03632</v>
      </c>
      <c r="F4871" s="6">
        <v>0.5442</v>
      </c>
      <c r="G4871" s="6">
        <v>2</v>
      </c>
    </row>
    <row r="4872" ht="15.75" customHeight="1" spans="1:7">
      <c r="A4872" s="4" t="s">
        <v>10857</v>
      </c>
      <c r="B4872" s="5" t="s">
        <v>10858</v>
      </c>
      <c r="C4872" s="4" t="s">
        <v>9</v>
      </c>
      <c r="D4872" s="475">
        <v>27.13</v>
      </c>
      <c r="E4872" s="476">
        <v>0.03632</v>
      </c>
      <c r="F4872" s="6">
        <v>0.5442</v>
      </c>
      <c r="G4872" s="6">
        <v>2</v>
      </c>
    </row>
    <row r="4873" ht="15.75" customHeight="1" spans="1:7">
      <c r="A4873" s="4" t="s">
        <v>10859</v>
      </c>
      <c r="B4873" s="5" t="s">
        <v>10860</v>
      </c>
      <c r="C4873" s="4" t="s">
        <v>9</v>
      </c>
      <c r="D4873" s="475">
        <v>40.35</v>
      </c>
      <c r="E4873" s="476">
        <v>0.03632</v>
      </c>
      <c r="F4873" s="6">
        <v>0.72</v>
      </c>
      <c r="G4873" s="6">
        <v>2</v>
      </c>
    </row>
    <row r="4874" ht="15.75" customHeight="1" spans="1:7">
      <c r="A4874" s="4" t="s">
        <v>10861</v>
      </c>
      <c r="B4874" s="5" t="s">
        <v>10862</v>
      </c>
      <c r="C4874" s="4" t="s">
        <v>9</v>
      </c>
      <c r="D4874" s="475">
        <v>36.81</v>
      </c>
      <c r="E4874" s="476">
        <v>0.03632</v>
      </c>
      <c r="F4874" s="6">
        <v>0.72</v>
      </c>
      <c r="G4874" s="6">
        <v>2</v>
      </c>
    </row>
    <row r="4875" ht="15.75" customHeight="1" spans="1:7">
      <c r="A4875" s="4" t="s">
        <v>10863</v>
      </c>
      <c r="B4875" s="5" t="s">
        <v>10864</v>
      </c>
      <c r="C4875" s="4" t="s">
        <v>9</v>
      </c>
      <c r="D4875" s="475">
        <v>32.31</v>
      </c>
      <c r="E4875" s="476">
        <v>0.03632</v>
      </c>
      <c r="F4875" s="6">
        <v>0.5004</v>
      </c>
      <c r="G4875" s="6">
        <v>2</v>
      </c>
    </row>
    <row r="4876" ht="15.75" customHeight="1" spans="1:7">
      <c r="A4876" s="4" t="s">
        <v>10865</v>
      </c>
      <c r="B4876" s="5" t="s">
        <v>10866</v>
      </c>
      <c r="C4876" s="4" t="s">
        <v>9</v>
      </c>
      <c r="D4876" s="475">
        <v>29.56</v>
      </c>
      <c r="E4876" s="476">
        <v>0.03632</v>
      </c>
      <c r="F4876" s="6">
        <v>0.5004</v>
      </c>
      <c r="G4876" s="6">
        <v>2</v>
      </c>
    </row>
    <row r="4877" ht="15.75" customHeight="1" spans="1:7">
      <c r="A4877" s="4" t="s">
        <v>10867</v>
      </c>
      <c r="B4877" s="5" t="s">
        <v>10868</v>
      </c>
      <c r="C4877" s="4" t="s">
        <v>9</v>
      </c>
      <c r="D4877" s="475">
        <v>42.97</v>
      </c>
      <c r="E4877" s="476">
        <v>0.03632</v>
      </c>
      <c r="F4877" s="6">
        <v>0.698</v>
      </c>
      <c r="G4877" s="6">
        <v>2</v>
      </c>
    </row>
    <row r="4878" ht="15.75" customHeight="1" spans="1:7">
      <c r="A4878" s="4" t="s">
        <v>10869</v>
      </c>
      <c r="B4878" s="5" t="s">
        <v>10870</v>
      </c>
      <c r="C4878" s="4" t="s">
        <v>9</v>
      </c>
      <c r="D4878" s="475">
        <v>39.03</v>
      </c>
      <c r="E4878" s="476">
        <v>0.03632</v>
      </c>
      <c r="F4878" s="6">
        <v>0.698</v>
      </c>
      <c r="G4878" s="6">
        <v>2</v>
      </c>
    </row>
    <row r="4879" ht="15.75" customHeight="1" spans="1:7">
      <c r="A4879" s="4" t="s">
        <v>10871</v>
      </c>
      <c r="B4879" s="5" t="s">
        <v>10872</v>
      </c>
      <c r="C4879" s="4" t="s">
        <v>9</v>
      </c>
      <c r="D4879" s="475">
        <v>61.15</v>
      </c>
      <c r="E4879" s="476">
        <v>0.03632</v>
      </c>
      <c r="F4879" s="6">
        <v>0.8911</v>
      </c>
      <c r="G4879" s="6">
        <v>2</v>
      </c>
    </row>
    <row r="4880" ht="15.75" customHeight="1" spans="1:7">
      <c r="A4880" s="4" t="s">
        <v>10873</v>
      </c>
      <c r="B4880" s="5" t="s">
        <v>10874</v>
      </c>
      <c r="C4880" s="4" t="s">
        <v>9</v>
      </c>
      <c r="D4880" s="475">
        <v>54.07</v>
      </c>
      <c r="E4880" s="476">
        <v>0.03632</v>
      </c>
      <c r="F4880" s="6">
        <v>0.8911</v>
      </c>
      <c r="G4880" s="6">
        <v>2</v>
      </c>
    </row>
    <row r="4881" ht="15.75" customHeight="1" spans="1:7">
      <c r="A4881" s="4" t="s">
        <v>10875</v>
      </c>
      <c r="B4881" s="5" t="s">
        <v>10876</v>
      </c>
      <c r="C4881" s="4" t="s">
        <v>9</v>
      </c>
      <c r="D4881" s="475">
        <v>82.21</v>
      </c>
      <c r="E4881" s="476">
        <v>0.03632</v>
      </c>
      <c r="F4881" s="6">
        <v>1.0626</v>
      </c>
      <c r="G4881" s="6">
        <v>2</v>
      </c>
    </row>
    <row r="4882" ht="15.75" customHeight="1" spans="1:7">
      <c r="A4882" s="4" t="s">
        <v>10877</v>
      </c>
      <c r="B4882" s="5" t="s">
        <v>10878</v>
      </c>
      <c r="C4882" s="4" t="s">
        <v>9</v>
      </c>
      <c r="D4882" s="475">
        <v>71.26</v>
      </c>
      <c r="E4882" s="476">
        <v>0.03632</v>
      </c>
      <c r="F4882" s="6">
        <v>1.0681</v>
      </c>
      <c r="G4882" s="6">
        <v>2</v>
      </c>
    </row>
    <row r="4883" ht="15.75" customHeight="1" spans="1:7">
      <c r="A4883" s="4" t="s">
        <v>10879</v>
      </c>
      <c r="B4883" s="5" t="s">
        <v>10880</v>
      </c>
      <c r="C4883" s="4" t="s">
        <v>9</v>
      </c>
      <c r="D4883" s="475">
        <v>33.54</v>
      </c>
      <c r="E4883" s="476">
        <v>0.03632</v>
      </c>
      <c r="F4883" s="6">
        <v>0.5433</v>
      </c>
      <c r="G4883" s="6">
        <v>2</v>
      </c>
    </row>
    <row r="4884" ht="15.75" customHeight="1" spans="1:7">
      <c r="A4884" s="4" t="s">
        <v>10881</v>
      </c>
      <c r="B4884" s="5" t="s">
        <v>10882</v>
      </c>
      <c r="C4884" s="4" t="s">
        <v>9</v>
      </c>
      <c r="D4884" s="475">
        <v>30.78</v>
      </c>
      <c r="E4884" s="476">
        <v>0.03632</v>
      </c>
      <c r="F4884" s="6">
        <v>0.5433</v>
      </c>
      <c r="G4884" s="6">
        <v>2</v>
      </c>
    </row>
    <row r="4885" ht="15.75" customHeight="1" spans="1:7">
      <c r="A4885" s="4" t="s">
        <v>10883</v>
      </c>
      <c r="B4885" s="5" t="s">
        <v>10884</v>
      </c>
      <c r="C4885" s="4" t="s">
        <v>9</v>
      </c>
      <c r="D4885" s="475">
        <v>44.19</v>
      </c>
      <c r="E4885" s="476">
        <v>0.03632</v>
      </c>
      <c r="F4885" s="6">
        <v>0.7409</v>
      </c>
      <c r="G4885" s="6">
        <v>2</v>
      </c>
    </row>
    <row r="4886" ht="15.75" customHeight="1" spans="1:7">
      <c r="A4886" s="4" t="s">
        <v>10885</v>
      </c>
      <c r="B4886" s="5" t="s">
        <v>10886</v>
      </c>
      <c r="C4886" s="4" t="s">
        <v>9</v>
      </c>
      <c r="D4886" s="475">
        <v>40.26</v>
      </c>
      <c r="E4886" s="476">
        <v>0.03632</v>
      </c>
      <c r="F4886" s="6">
        <v>0.7409</v>
      </c>
      <c r="G4886" s="6">
        <v>2</v>
      </c>
    </row>
    <row r="4887" ht="15.75" customHeight="1" spans="1:7">
      <c r="A4887" s="4" t="s">
        <v>10887</v>
      </c>
      <c r="B4887" s="5" t="s">
        <v>10888</v>
      </c>
      <c r="C4887" s="4" t="s">
        <v>9</v>
      </c>
      <c r="D4887" s="475">
        <v>62.37</v>
      </c>
      <c r="E4887" s="476">
        <v>0.03632</v>
      </c>
      <c r="F4887" s="6">
        <v>0.934</v>
      </c>
      <c r="G4887" s="6">
        <v>2</v>
      </c>
    </row>
    <row r="4888" ht="15.75" customHeight="1" spans="1:7">
      <c r="A4888" s="4" t="s">
        <v>10889</v>
      </c>
      <c r="B4888" s="5" t="s">
        <v>10890</v>
      </c>
      <c r="C4888" s="4" t="s">
        <v>9</v>
      </c>
      <c r="D4888" s="475">
        <v>55.3</v>
      </c>
      <c r="E4888" s="476">
        <v>0.03632</v>
      </c>
      <c r="F4888" s="6">
        <v>0.934</v>
      </c>
      <c r="G4888" s="6">
        <v>2</v>
      </c>
    </row>
    <row r="4889" ht="15.75" customHeight="1" spans="1:7">
      <c r="A4889" s="4" t="s">
        <v>10891</v>
      </c>
      <c r="B4889" s="5" t="s">
        <v>10892</v>
      </c>
      <c r="C4889" s="4" t="s">
        <v>9</v>
      </c>
      <c r="D4889" s="475">
        <v>33.19</v>
      </c>
      <c r="E4889" s="476">
        <v>0.03632</v>
      </c>
      <c r="F4889" s="6">
        <v>0.5433</v>
      </c>
      <c r="G4889" s="6">
        <v>2</v>
      </c>
    </row>
    <row r="4890" ht="15.75" customHeight="1" spans="1:7">
      <c r="A4890" s="4" t="s">
        <v>10893</v>
      </c>
      <c r="B4890" s="5" t="s">
        <v>10894</v>
      </c>
      <c r="C4890" s="4" t="s">
        <v>9</v>
      </c>
      <c r="D4890" s="475">
        <v>31.57</v>
      </c>
      <c r="E4890" s="476">
        <v>0.03632</v>
      </c>
      <c r="F4890" s="6">
        <v>0.5433</v>
      </c>
      <c r="G4890" s="6">
        <v>2</v>
      </c>
    </row>
    <row r="4891" ht="15.75" customHeight="1" spans="1:7">
      <c r="A4891" s="4" t="s">
        <v>10895</v>
      </c>
      <c r="B4891" s="5" t="s">
        <v>10896</v>
      </c>
      <c r="C4891" s="4" t="s">
        <v>9</v>
      </c>
      <c r="D4891" s="475">
        <v>42.81</v>
      </c>
      <c r="E4891" s="476">
        <v>0.03632</v>
      </c>
      <c r="F4891" s="6">
        <v>0.7202</v>
      </c>
      <c r="G4891" s="6">
        <v>2</v>
      </c>
    </row>
    <row r="4892" ht="15.75" customHeight="1" spans="1:7">
      <c r="A4892" s="4" t="s">
        <v>10897</v>
      </c>
      <c r="B4892" s="5" t="s">
        <v>10898</v>
      </c>
      <c r="C4892" s="4" t="s">
        <v>9</v>
      </c>
      <c r="D4892" s="475">
        <v>41.37</v>
      </c>
      <c r="E4892" s="476">
        <v>0.03632</v>
      </c>
      <c r="F4892" s="6">
        <v>0.7409</v>
      </c>
      <c r="G4892" s="6">
        <v>2</v>
      </c>
    </row>
    <row r="4893" ht="15.75" customHeight="1" spans="1:7">
      <c r="A4893" s="4" t="s">
        <v>10899</v>
      </c>
      <c r="B4893" s="5" t="s">
        <v>10900</v>
      </c>
      <c r="C4893" s="4" t="s">
        <v>9</v>
      </c>
      <c r="D4893" s="475">
        <v>60.79</v>
      </c>
      <c r="E4893" s="476">
        <v>0.03632</v>
      </c>
      <c r="F4893" s="6">
        <v>0.9178</v>
      </c>
      <c r="G4893" s="6">
        <v>2</v>
      </c>
    </row>
    <row r="4894" ht="15.75" customHeight="1" spans="1:7">
      <c r="A4894" s="4" t="s">
        <v>10901</v>
      </c>
      <c r="B4894" s="5" t="s">
        <v>10902</v>
      </c>
      <c r="C4894" s="4" t="s">
        <v>9</v>
      </c>
      <c r="D4894" s="475">
        <v>56.61</v>
      </c>
      <c r="E4894" s="476">
        <v>0.03632</v>
      </c>
      <c r="F4894" s="6">
        <v>0.9178</v>
      </c>
      <c r="G4894" s="6">
        <v>2</v>
      </c>
    </row>
    <row r="4895" ht="15.75" customHeight="1" spans="1:7">
      <c r="A4895" s="4" t="s">
        <v>10903</v>
      </c>
      <c r="B4895" s="5" t="s">
        <v>10904</v>
      </c>
      <c r="C4895" s="4" t="s">
        <v>82</v>
      </c>
      <c r="D4895" s="475">
        <v>0.63</v>
      </c>
      <c r="E4895" s="476">
        <v>0</v>
      </c>
      <c r="F4895" s="6">
        <v>0</v>
      </c>
      <c r="G4895" s="6">
        <v>99.6</v>
      </c>
    </row>
    <row r="4896" ht="15.75" customHeight="1" spans="1:7">
      <c r="A4896" s="4" t="s">
        <v>10905</v>
      </c>
      <c r="B4896" s="5" t="s">
        <v>10906</v>
      </c>
      <c r="C4896" s="4" t="s">
        <v>99</v>
      </c>
      <c r="D4896" s="475">
        <v>1492.37</v>
      </c>
      <c r="E4896" s="476">
        <v>0</v>
      </c>
      <c r="F4896" s="6">
        <v>0</v>
      </c>
      <c r="G4896" s="6">
        <v>0.187</v>
      </c>
    </row>
    <row r="4897" ht="15.75" customHeight="1" spans="1:7">
      <c r="A4897" s="4" t="s">
        <v>10907</v>
      </c>
      <c r="B4897" s="5" t="s">
        <v>10908</v>
      </c>
      <c r="C4897" s="4" t="s">
        <v>99</v>
      </c>
      <c r="D4897" s="475">
        <v>210.3</v>
      </c>
      <c r="E4897" s="476">
        <v>0</v>
      </c>
      <c r="F4897" s="6">
        <v>0</v>
      </c>
      <c r="G4897" s="6">
        <v>4.40667</v>
      </c>
    </row>
    <row r="4898" ht="15.75" customHeight="1" spans="1:7">
      <c r="A4898" s="4" t="s">
        <v>10909</v>
      </c>
      <c r="B4898" s="5" t="s">
        <v>10910</v>
      </c>
      <c r="C4898" s="4" t="s">
        <v>99</v>
      </c>
      <c r="D4898" s="475">
        <v>506.57</v>
      </c>
      <c r="E4898" s="476">
        <v>0</v>
      </c>
      <c r="F4898" s="6">
        <v>0</v>
      </c>
      <c r="G4898" s="6">
        <v>0.375</v>
      </c>
    </row>
    <row r="4899" ht="15.75" customHeight="1" spans="1:7">
      <c r="A4899" s="4" t="s">
        <v>10911</v>
      </c>
      <c r="B4899" s="5" t="s">
        <v>10912</v>
      </c>
      <c r="C4899" s="4" t="s">
        <v>99</v>
      </c>
      <c r="D4899" s="475">
        <v>839.7</v>
      </c>
      <c r="E4899" s="476">
        <v>0</v>
      </c>
      <c r="F4899" s="6">
        <v>0</v>
      </c>
      <c r="G4899" s="6">
        <v>0.282</v>
      </c>
    </row>
    <row r="4900" ht="15.75" customHeight="1" spans="1:7">
      <c r="A4900" s="4" t="s">
        <v>10913</v>
      </c>
      <c r="B4900" s="5" t="s">
        <v>10914</v>
      </c>
      <c r="C4900" s="4" t="s">
        <v>99</v>
      </c>
      <c r="D4900" s="475">
        <v>82.11</v>
      </c>
      <c r="E4900" s="476">
        <v>0.04367</v>
      </c>
      <c r="F4900" s="6">
        <v>3.4357</v>
      </c>
      <c r="G4900" s="6">
        <v>0.3</v>
      </c>
    </row>
    <row r="4901" ht="15.75" customHeight="1" spans="1:7">
      <c r="A4901" s="4" t="s">
        <v>10915</v>
      </c>
      <c r="B4901" s="5" t="s">
        <v>10916</v>
      </c>
      <c r="C4901" s="4" t="s">
        <v>99</v>
      </c>
      <c r="D4901" s="475">
        <v>61.58</v>
      </c>
      <c r="E4901" s="476">
        <v>0.04367</v>
      </c>
      <c r="F4901" s="6">
        <v>2.5768</v>
      </c>
      <c r="G4901" s="6">
        <v>0.4</v>
      </c>
    </row>
    <row r="4902" ht="15.75" customHeight="1" spans="1:7">
      <c r="A4902" s="4" t="s">
        <v>10917</v>
      </c>
      <c r="B4902" s="5" t="s">
        <v>10918</v>
      </c>
      <c r="C4902" s="4" t="s">
        <v>99</v>
      </c>
      <c r="D4902" s="475">
        <v>73.9</v>
      </c>
      <c r="E4902" s="476">
        <v>0.04367</v>
      </c>
      <c r="F4902" s="6">
        <v>3.0922</v>
      </c>
      <c r="G4902" s="6">
        <v>0.33333</v>
      </c>
    </row>
    <row r="4903" ht="15.75" customHeight="1" spans="1:7">
      <c r="A4903" s="4" t="s">
        <v>10919</v>
      </c>
      <c r="B4903" s="5" t="s">
        <v>10920</v>
      </c>
      <c r="C4903" s="4" t="s">
        <v>99</v>
      </c>
      <c r="D4903" s="475">
        <v>86.22</v>
      </c>
      <c r="E4903" s="476">
        <v>0.04367</v>
      </c>
      <c r="F4903" s="6">
        <v>3.6076</v>
      </c>
      <c r="G4903" s="6">
        <v>0.28571</v>
      </c>
    </row>
    <row r="4904" ht="15.75" customHeight="1" spans="1:7">
      <c r="A4904" s="4" t="s">
        <v>10921</v>
      </c>
      <c r="B4904" s="5" t="s">
        <v>10922</v>
      </c>
      <c r="C4904" s="4" t="s">
        <v>99</v>
      </c>
      <c r="D4904" s="475">
        <v>49.27</v>
      </c>
      <c r="E4904" s="476">
        <v>0.04367</v>
      </c>
      <c r="F4904" s="6">
        <v>2.0614</v>
      </c>
      <c r="G4904" s="6">
        <v>0.5</v>
      </c>
    </row>
    <row r="4905" ht="15.75" customHeight="1" spans="1:7">
      <c r="A4905" s="4" t="s">
        <v>10923</v>
      </c>
      <c r="B4905" s="5" t="s">
        <v>10924</v>
      </c>
      <c r="C4905" s="4" t="s">
        <v>99</v>
      </c>
      <c r="D4905" s="475">
        <v>86.22</v>
      </c>
      <c r="E4905" s="476">
        <v>0.04367</v>
      </c>
      <c r="F4905" s="6">
        <v>3.6076</v>
      </c>
      <c r="G4905" s="6">
        <v>0.28571</v>
      </c>
    </row>
    <row r="4906" ht="15.75" customHeight="1" spans="1:7">
      <c r="A4906" s="4" t="s">
        <v>10925</v>
      </c>
      <c r="B4906" s="5" t="s">
        <v>10926</v>
      </c>
      <c r="C4906" s="4" t="s">
        <v>99</v>
      </c>
      <c r="D4906" s="475">
        <v>102.64</v>
      </c>
      <c r="E4906" s="476">
        <v>0.04367</v>
      </c>
      <c r="F4906" s="6">
        <v>4.2947</v>
      </c>
      <c r="G4906" s="6">
        <v>0.24</v>
      </c>
    </row>
    <row r="4907" ht="15.75" customHeight="1" spans="1:7">
      <c r="A4907" s="4" t="s">
        <v>10927</v>
      </c>
      <c r="B4907" s="5" t="s">
        <v>10928</v>
      </c>
      <c r="C4907" s="4" t="s">
        <v>99</v>
      </c>
      <c r="D4907" s="475">
        <v>119.06</v>
      </c>
      <c r="E4907" s="476">
        <v>0.04367</v>
      </c>
      <c r="F4907" s="6">
        <v>4.9817</v>
      </c>
      <c r="G4907" s="6">
        <v>0.2069</v>
      </c>
    </row>
    <row r="4908" ht="15.75" customHeight="1" spans="1:7">
      <c r="A4908" s="4" t="s">
        <v>10929</v>
      </c>
      <c r="B4908" s="5" t="s">
        <v>10930</v>
      </c>
      <c r="C4908" s="4" t="s">
        <v>99</v>
      </c>
      <c r="D4908" s="475">
        <v>69.79</v>
      </c>
      <c r="E4908" s="476">
        <v>0.04367</v>
      </c>
      <c r="F4908" s="6">
        <v>2.9204</v>
      </c>
      <c r="G4908" s="6">
        <v>0.35294</v>
      </c>
    </row>
    <row r="4909" ht="15.75" customHeight="1" spans="1:7">
      <c r="A4909" s="4" t="s">
        <v>10931</v>
      </c>
      <c r="B4909" s="5" t="s">
        <v>10932</v>
      </c>
      <c r="C4909" s="4" t="s">
        <v>99</v>
      </c>
      <c r="D4909" s="475">
        <v>7.02</v>
      </c>
      <c r="E4909" s="476">
        <v>0.04367</v>
      </c>
      <c r="F4909" s="6">
        <v>0.1702</v>
      </c>
      <c r="G4909" s="6">
        <v>26</v>
      </c>
    </row>
    <row r="4910" ht="15.75" customHeight="1" spans="1:7">
      <c r="A4910" s="4" t="s">
        <v>10933</v>
      </c>
      <c r="B4910" s="5" t="s">
        <v>10934</v>
      </c>
      <c r="C4910" s="4" t="s">
        <v>99</v>
      </c>
      <c r="D4910" s="475">
        <v>8.78</v>
      </c>
      <c r="E4910" s="476">
        <v>0.04367</v>
      </c>
      <c r="F4910" s="6">
        <v>0.2127</v>
      </c>
      <c r="G4910" s="6">
        <v>20.8</v>
      </c>
    </row>
    <row r="4911" ht="15.75" customHeight="1" spans="1:7">
      <c r="A4911" s="4" t="s">
        <v>10935</v>
      </c>
      <c r="B4911" s="5" t="s">
        <v>10936</v>
      </c>
      <c r="C4911" s="4" t="s">
        <v>82</v>
      </c>
      <c r="D4911" s="475">
        <v>6.29</v>
      </c>
      <c r="E4911" s="476">
        <v>0.03632</v>
      </c>
      <c r="F4911" s="6">
        <v>0.2206</v>
      </c>
      <c r="G4911" s="6">
        <v>10</v>
      </c>
    </row>
    <row r="4912" ht="15.75" customHeight="1" spans="1:7">
      <c r="A4912" s="4" t="s">
        <v>10937</v>
      </c>
      <c r="B4912" s="5" t="s">
        <v>10938</v>
      </c>
      <c r="C4912" s="4" t="s">
        <v>9</v>
      </c>
      <c r="D4912" s="475">
        <v>43.28</v>
      </c>
      <c r="E4912" s="476">
        <v>0</v>
      </c>
      <c r="F4912" s="6">
        <v>0</v>
      </c>
      <c r="G4912" s="6">
        <v>10</v>
      </c>
    </row>
    <row r="4913" ht="15.75" customHeight="1" spans="1:7">
      <c r="A4913" s="4" t="s">
        <v>10939</v>
      </c>
      <c r="B4913" s="5" t="s">
        <v>10940</v>
      </c>
      <c r="C4913" s="4" t="s">
        <v>99</v>
      </c>
      <c r="D4913" s="475">
        <v>23.17</v>
      </c>
      <c r="E4913" s="476">
        <v>0</v>
      </c>
      <c r="F4913" s="6">
        <v>0</v>
      </c>
      <c r="G4913" s="6">
        <v>116.2</v>
      </c>
    </row>
    <row r="4914" ht="15.75" customHeight="1" spans="1:7">
      <c r="A4914" s="4" t="s">
        <v>10941</v>
      </c>
      <c r="B4914" s="5" t="s">
        <v>10942</v>
      </c>
      <c r="C4914" s="4" t="s">
        <v>104</v>
      </c>
      <c r="D4914" s="475">
        <v>293.93</v>
      </c>
      <c r="E4914" s="476">
        <v>0.04367</v>
      </c>
      <c r="F4914" s="6">
        <v>8.6626</v>
      </c>
      <c r="G4914" s="6">
        <v>1</v>
      </c>
    </row>
    <row r="4915" ht="15.75" customHeight="1" spans="1:7">
      <c r="A4915" s="4" t="s">
        <v>10943</v>
      </c>
      <c r="B4915" s="5" t="s">
        <v>10944</v>
      </c>
      <c r="C4915" s="4" t="s">
        <v>104</v>
      </c>
      <c r="D4915" s="475">
        <v>560.74</v>
      </c>
      <c r="E4915" s="476">
        <v>0.04367</v>
      </c>
      <c r="F4915" s="6">
        <v>20.2724</v>
      </c>
      <c r="G4915" s="6">
        <v>1</v>
      </c>
    </row>
    <row r="4916" ht="15.75" customHeight="1" spans="1:7">
      <c r="A4916" s="4" t="s">
        <v>10945</v>
      </c>
      <c r="B4916" s="5" t="s">
        <v>10946</v>
      </c>
      <c r="C4916" s="4" t="s">
        <v>104</v>
      </c>
      <c r="D4916" s="475">
        <v>381.91</v>
      </c>
      <c r="E4916" s="476">
        <v>0.04367</v>
      </c>
      <c r="F4916" s="6">
        <v>15.1591</v>
      </c>
      <c r="G4916" s="6">
        <v>1</v>
      </c>
    </row>
    <row r="4917" ht="15.75" customHeight="1" spans="1:7">
      <c r="A4917" s="4" t="s">
        <v>10947</v>
      </c>
      <c r="B4917" s="5" t="s">
        <v>10948</v>
      </c>
      <c r="C4917" s="4" t="s">
        <v>99</v>
      </c>
      <c r="D4917" s="475">
        <v>96.6</v>
      </c>
      <c r="E4917" s="476">
        <v>0.03632</v>
      </c>
      <c r="F4917" s="6">
        <v>2.5717</v>
      </c>
      <c r="G4917" s="6">
        <v>1</v>
      </c>
    </row>
    <row r="4918" ht="15.75" customHeight="1" spans="1:7">
      <c r="A4918" s="4" t="s">
        <v>10949</v>
      </c>
      <c r="B4918" s="5" t="s">
        <v>10950</v>
      </c>
      <c r="C4918" s="4" t="s">
        <v>7</v>
      </c>
      <c r="D4918" s="475">
        <v>5.73</v>
      </c>
      <c r="E4918" s="476">
        <v>0.04367</v>
      </c>
      <c r="F4918" s="6">
        <v>0.2397</v>
      </c>
      <c r="G4918" s="6">
        <v>4.3</v>
      </c>
    </row>
    <row r="4919" ht="15.75" customHeight="1" spans="1:7">
      <c r="A4919" s="4" t="s">
        <v>10951</v>
      </c>
      <c r="B4919" s="5" t="s">
        <v>10952</v>
      </c>
      <c r="C4919" s="4" t="s">
        <v>99</v>
      </c>
      <c r="D4919" s="475">
        <v>42.9</v>
      </c>
      <c r="E4919" s="476">
        <v>0</v>
      </c>
      <c r="F4919" s="6">
        <v>0</v>
      </c>
      <c r="G4919" s="6">
        <v>66.4</v>
      </c>
    </row>
    <row r="4920" ht="15.75" customHeight="1" spans="1:7">
      <c r="A4920" s="4" t="s">
        <v>10953</v>
      </c>
      <c r="B4920" s="5" t="s">
        <v>10954</v>
      </c>
      <c r="C4920" s="4" t="s">
        <v>7</v>
      </c>
      <c r="D4920" s="475">
        <v>4.93</v>
      </c>
      <c r="E4920" s="476">
        <v>0.04367</v>
      </c>
      <c r="F4920" s="6">
        <v>0.2061</v>
      </c>
      <c r="G4920" s="6">
        <v>5</v>
      </c>
    </row>
    <row r="4921" ht="15.75" customHeight="1" spans="1:7">
      <c r="A4921" s="4" t="s">
        <v>10955</v>
      </c>
      <c r="B4921" s="5" t="s">
        <v>112</v>
      </c>
      <c r="C4921" s="4" t="s">
        <v>99</v>
      </c>
      <c r="D4921" s="475">
        <v>19.99</v>
      </c>
      <c r="E4921" s="476">
        <v>0.04367</v>
      </c>
      <c r="F4921" s="6">
        <v>0.7012</v>
      </c>
      <c r="G4921" s="6">
        <v>3.1125</v>
      </c>
    </row>
    <row r="4922" ht="15.75" customHeight="1" spans="1:7">
      <c r="A4922" s="4" t="s">
        <v>10956</v>
      </c>
      <c r="B4922" s="5" t="s">
        <v>10957</v>
      </c>
      <c r="C4922" s="4" t="s">
        <v>9</v>
      </c>
      <c r="D4922" s="475">
        <v>8.88</v>
      </c>
      <c r="E4922" s="476">
        <v>0</v>
      </c>
      <c r="F4922" s="6">
        <v>0</v>
      </c>
      <c r="G4922" s="6">
        <v>6.08667</v>
      </c>
    </row>
    <row r="4923" ht="15.75" customHeight="1" spans="1:7">
      <c r="A4923" s="4" t="s">
        <v>10958</v>
      </c>
      <c r="B4923" s="5" t="s">
        <v>10959</v>
      </c>
      <c r="C4923" s="4" t="s">
        <v>99</v>
      </c>
      <c r="D4923" s="475">
        <v>1946.91</v>
      </c>
      <c r="E4923" s="476">
        <v>0</v>
      </c>
      <c r="F4923" s="6">
        <v>0</v>
      </c>
      <c r="G4923" s="6">
        <v>0.03132</v>
      </c>
    </row>
    <row r="4924" ht="15.75" customHeight="1" spans="1:7">
      <c r="A4924" s="4" t="s">
        <v>10960</v>
      </c>
      <c r="B4924" s="5" t="s">
        <v>10961</v>
      </c>
      <c r="C4924" s="4" t="s">
        <v>99</v>
      </c>
      <c r="D4924" s="475">
        <v>49.59</v>
      </c>
      <c r="E4924" s="476">
        <v>0</v>
      </c>
      <c r="F4924" s="6">
        <v>0</v>
      </c>
      <c r="G4924" s="6">
        <v>21.41</v>
      </c>
    </row>
    <row r="4925" ht="15.75" customHeight="1" spans="1:7">
      <c r="A4925" s="4" t="s">
        <v>10962</v>
      </c>
      <c r="B4925" s="5" t="s">
        <v>10963</v>
      </c>
      <c r="C4925" s="4" t="s">
        <v>99</v>
      </c>
      <c r="D4925" s="475">
        <v>40.74</v>
      </c>
      <c r="E4925" s="476">
        <v>0</v>
      </c>
      <c r="F4925" s="6">
        <v>0</v>
      </c>
      <c r="G4925" s="6">
        <v>82.45</v>
      </c>
    </row>
    <row r="4926" ht="15.75" customHeight="1" spans="1:7">
      <c r="A4926" s="4" t="s">
        <v>10964</v>
      </c>
      <c r="B4926" s="5" t="s">
        <v>10965</v>
      </c>
      <c r="C4926" s="4" t="s">
        <v>99</v>
      </c>
      <c r="D4926" s="475">
        <v>25.48</v>
      </c>
      <c r="E4926" s="476">
        <v>0</v>
      </c>
      <c r="F4926" s="6">
        <v>0</v>
      </c>
      <c r="G4926" s="6">
        <v>82.45</v>
      </c>
    </row>
    <row r="4927" ht="15.75" customHeight="1" spans="1:7">
      <c r="A4927" s="4" t="s">
        <v>10966</v>
      </c>
      <c r="B4927" s="5" t="s">
        <v>10967</v>
      </c>
      <c r="C4927" s="4" t="s">
        <v>99</v>
      </c>
      <c r="D4927" s="475">
        <v>42.02</v>
      </c>
      <c r="E4927" s="476">
        <v>0.04722</v>
      </c>
      <c r="F4927" s="6">
        <v>1.8947</v>
      </c>
      <c r="G4927" s="6">
        <v>0.58824</v>
      </c>
    </row>
    <row r="4928" ht="15.75" customHeight="1" spans="1:7">
      <c r="A4928" s="4" t="s">
        <v>10968</v>
      </c>
      <c r="B4928" s="5" t="s">
        <v>10969</v>
      </c>
      <c r="C4928" s="4" t="s">
        <v>9</v>
      </c>
      <c r="D4928" s="475">
        <v>48.63</v>
      </c>
      <c r="E4928" s="476">
        <v>0</v>
      </c>
      <c r="F4928" s="6">
        <v>0</v>
      </c>
      <c r="G4928" s="6">
        <v>10</v>
      </c>
    </row>
    <row r="4929" ht="15.75" customHeight="1" spans="1:7">
      <c r="A4929" s="4" t="s">
        <v>10970</v>
      </c>
      <c r="B4929" s="5" t="s">
        <v>10971</v>
      </c>
      <c r="C4929" s="4" t="s">
        <v>82</v>
      </c>
      <c r="D4929" s="475">
        <v>8.08</v>
      </c>
      <c r="E4929" s="476">
        <v>0.03814</v>
      </c>
      <c r="F4929" s="6">
        <v>0.0099</v>
      </c>
      <c r="G4929" s="6">
        <v>90.55</v>
      </c>
    </row>
    <row r="4930" ht="15.75" customHeight="1" spans="1:7">
      <c r="A4930" s="4" t="s">
        <v>10972</v>
      </c>
      <c r="B4930" s="5" t="s">
        <v>10973</v>
      </c>
      <c r="C4930" s="4" t="s">
        <v>82</v>
      </c>
      <c r="D4930" s="475">
        <v>10.95</v>
      </c>
      <c r="E4930" s="476">
        <v>0.03814</v>
      </c>
      <c r="F4930" s="6">
        <v>0.0077</v>
      </c>
      <c r="G4930" s="6">
        <v>119.52</v>
      </c>
    </row>
    <row r="4931" ht="15.75" customHeight="1" spans="1:7">
      <c r="A4931" s="4" t="s">
        <v>10974</v>
      </c>
      <c r="B4931" s="5" t="s">
        <v>10975</v>
      </c>
      <c r="C4931" s="4" t="s">
        <v>7</v>
      </c>
      <c r="D4931" s="475">
        <v>3.63</v>
      </c>
      <c r="E4931" s="476">
        <v>0.03814</v>
      </c>
      <c r="F4931" s="6">
        <v>0.1163</v>
      </c>
      <c r="G4931" s="6">
        <v>100</v>
      </c>
    </row>
    <row r="4932" ht="15.75" customHeight="1" spans="1:7">
      <c r="A4932" s="4" t="s">
        <v>10976</v>
      </c>
      <c r="B4932" s="5" t="s">
        <v>10977</v>
      </c>
      <c r="C4932" s="4" t="s">
        <v>7</v>
      </c>
      <c r="D4932" s="475">
        <v>2.12</v>
      </c>
      <c r="E4932" s="476">
        <v>0.03814</v>
      </c>
      <c r="F4932" s="6">
        <v>0.037</v>
      </c>
      <c r="G4932" s="6">
        <v>155.59</v>
      </c>
    </row>
    <row r="4933" ht="15.75" customHeight="1" spans="1:7">
      <c r="A4933" s="4" t="s">
        <v>10978</v>
      </c>
      <c r="B4933" s="5" t="s">
        <v>10979</v>
      </c>
      <c r="C4933" s="4" t="s">
        <v>7</v>
      </c>
      <c r="D4933" s="475">
        <v>1.15</v>
      </c>
      <c r="E4933" s="476">
        <v>0.03814</v>
      </c>
      <c r="F4933" s="6">
        <v>0.0169</v>
      </c>
      <c r="G4933" s="6">
        <v>1350</v>
      </c>
    </row>
    <row r="4934" ht="15.75" customHeight="1" spans="1:7">
      <c r="A4934" s="4" t="s">
        <v>10980</v>
      </c>
      <c r="B4934" s="5" t="s">
        <v>10981</v>
      </c>
      <c r="C4934" s="4" t="s">
        <v>7</v>
      </c>
      <c r="D4934" s="475">
        <v>0.84</v>
      </c>
      <c r="E4934" s="476">
        <v>0.03814</v>
      </c>
      <c r="F4934" s="6">
        <v>0.0169</v>
      </c>
      <c r="G4934" s="6">
        <v>1350</v>
      </c>
    </row>
    <row r="4935" ht="15.75" customHeight="1" spans="1:7">
      <c r="A4935" s="4" t="s">
        <v>10982</v>
      </c>
      <c r="B4935" s="5" t="s">
        <v>10983</v>
      </c>
      <c r="C4935" s="4" t="s">
        <v>7</v>
      </c>
      <c r="D4935" s="475">
        <v>0.97</v>
      </c>
      <c r="E4935" s="476">
        <v>0.03814</v>
      </c>
      <c r="F4935" s="6">
        <v>0.0169</v>
      </c>
      <c r="G4935" s="6">
        <v>1350</v>
      </c>
    </row>
    <row r="4936" ht="15.75" customHeight="1" spans="1:7">
      <c r="A4936" s="4" t="s">
        <v>10984</v>
      </c>
      <c r="B4936" s="5" t="s">
        <v>10985</v>
      </c>
      <c r="C4936" s="4" t="s">
        <v>7</v>
      </c>
      <c r="D4936" s="475">
        <v>1.18</v>
      </c>
      <c r="E4936" s="476">
        <v>0.03814</v>
      </c>
      <c r="F4936" s="6">
        <v>0.0169</v>
      </c>
      <c r="G4936" s="6">
        <v>1350</v>
      </c>
    </row>
    <row r="4937" ht="15.75" customHeight="1" spans="1:7">
      <c r="A4937" s="4" t="s">
        <v>10986</v>
      </c>
      <c r="B4937" s="5" t="s">
        <v>10987</v>
      </c>
      <c r="C4937" s="4" t="s">
        <v>7</v>
      </c>
      <c r="D4937" s="475">
        <v>0.82</v>
      </c>
      <c r="E4937" s="476">
        <v>0.03632</v>
      </c>
      <c r="F4937" s="6">
        <v>0.0286</v>
      </c>
      <c r="G4937" s="6">
        <v>300</v>
      </c>
    </row>
    <row r="4938" ht="15.75" customHeight="1" spans="1:7">
      <c r="A4938" s="4" t="s">
        <v>10988</v>
      </c>
      <c r="B4938" s="5" t="s">
        <v>10989</v>
      </c>
      <c r="C4938" s="4" t="s">
        <v>7</v>
      </c>
      <c r="D4938" s="475">
        <v>1.3</v>
      </c>
      <c r="E4938" s="476">
        <v>0.03814</v>
      </c>
      <c r="F4938" s="6">
        <v>0.0225</v>
      </c>
      <c r="G4938" s="6">
        <v>450</v>
      </c>
    </row>
    <row r="4939" ht="15.75" customHeight="1" spans="1:7">
      <c r="A4939" s="4" t="s">
        <v>10990</v>
      </c>
      <c r="B4939" s="5" t="s">
        <v>10991</v>
      </c>
      <c r="C4939" s="4" t="s">
        <v>7</v>
      </c>
      <c r="D4939" s="475">
        <v>0.94</v>
      </c>
      <c r="E4939" s="476">
        <v>0.03814</v>
      </c>
      <c r="F4939" s="6">
        <v>0.0225</v>
      </c>
      <c r="G4939" s="6">
        <v>450</v>
      </c>
    </row>
    <row r="4940" ht="15.75" customHeight="1" spans="1:7">
      <c r="A4940" s="4" t="s">
        <v>10992</v>
      </c>
      <c r="B4940" s="5" t="s">
        <v>10993</v>
      </c>
      <c r="C4940" s="4" t="s">
        <v>7</v>
      </c>
      <c r="D4940" s="475">
        <v>1.07</v>
      </c>
      <c r="E4940" s="476">
        <v>0.03814</v>
      </c>
      <c r="F4940" s="6">
        <v>0.0225</v>
      </c>
      <c r="G4940" s="6">
        <v>450</v>
      </c>
    </row>
    <row r="4941" ht="15.75" customHeight="1" spans="1:7">
      <c r="A4941" s="4" t="s">
        <v>10994</v>
      </c>
      <c r="B4941" s="5" t="s">
        <v>10995</v>
      </c>
      <c r="C4941" s="4" t="s">
        <v>7</v>
      </c>
      <c r="D4941" s="475">
        <v>1.28</v>
      </c>
      <c r="E4941" s="476">
        <v>0.03814</v>
      </c>
      <c r="F4941" s="6">
        <v>0.0225</v>
      </c>
      <c r="G4941" s="6">
        <v>450</v>
      </c>
    </row>
    <row r="4942" ht="15.75" customHeight="1" spans="1:7">
      <c r="A4942" s="4" t="s">
        <v>10996</v>
      </c>
      <c r="B4942" s="5" t="s">
        <v>10997</v>
      </c>
      <c r="C4942" s="4" t="s">
        <v>99</v>
      </c>
      <c r="D4942" s="475">
        <v>123.23</v>
      </c>
      <c r="E4942" s="476">
        <v>0.03814</v>
      </c>
      <c r="F4942" s="6">
        <v>4.3707</v>
      </c>
      <c r="G4942" s="6">
        <v>2.25</v>
      </c>
    </row>
    <row r="4943" ht="15.75" customHeight="1" spans="1:7">
      <c r="A4943" s="4" t="s">
        <v>10998</v>
      </c>
      <c r="B4943" s="5" t="s">
        <v>10999</v>
      </c>
      <c r="C4943" s="4" t="s">
        <v>99</v>
      </c>
      <c r="D4943" s="475">
        <v>181.69</v>
      </c>
      <c r="E4943" s="476">
        <v>0</v>
      </c>
      <c r="F4943" s="6">
        <v>0</v>
      </c>
      <c r="G4943" s="6">
        <v>13.14</v>
      </c>
    </row>
    <row r="4944" ht="15.75" customHeight="1" spans="1:7">
      <c r="A4944" s="4" t="s">
        <v>11000</v>
      </c>
      <c r="B4944" s="5" t="s">
        <v>11001</v>
      </c>
      <c r="C4944" s="4" t="s">
        <v>7</v>
      </c>
      <c r="D4944" s="475">
        <v>0.09</v>
      </c>
      <c r="E4944" s="476">
        <v>0</v>
      </c>
      <c r="F4944" s="6">
        <v>0</v>
      </c>
      <c r="G4944" s="6">
        <v>1001.88</v>
      </c>
    </row>
    <row r="4945" ht="15.75" customHeight="1" spans="1:7">
      <c r="A4945" s="4" t="s">
        <v>11002</v>
      </c>
      <c r="B4945" s="5" t="s">
        <v>11003</v>
      </c>
      <c r="C4945" s="4" t="s">
        <v>99</v>
      </c>
      <c r="D4945" s="475">
        <v>16.41</v>
      </c>
      <c r="E4945" s="476">
        <v>0.03632</v>
      </c>
      <c r="F4945" s="6">
        <v>0.5419</v>
      </c>
      <c r="G4945" s="6">
        <v>5.5102</v>
      </c>
    </row>
    <row r="4946" ht="15.75" customHeight="1" spans="1:7">
      <c r="A4946" s="4" t="s">
        <v>11004</v>
      </c>
      <c r="B4946" s="5" t="s">
        <v>11005</v>
      </c>
      <c r="C4946" s="4" t="s">
        <v>99</v>
      </c>
      <c r="D4946" s="475">
        <v>73.51</v>
      </c>
      <c r="E4946" s="476">
        <v>0.03814</v>
      </c>
      <c r="F4946" s="6">
        <v>2.7006</v>
      </c>
      <c r="G4946" s="6">
        <v>1</v>
      </c>
    </row>
    <row r="4947" ht="15.75" customHeight="1" spans="1:7">
      <c r="A4947" s="4" t="s">
        <v>11006</v>
      </c>
      <c r="B4947" s="5" t="s">
        <v>11007</v>
      </c>
      <c r="C4947" s="4" t="s">
        <v>99</v>
      </c>
      <c r="D4947" s="475">
        <v>113.31</v>
      </c>
      <c r="E4947" s="476">
        <v>0</v>
      </c>
      <c r="F4947" s="6">
        <v>0</v>
      </c>
      <c r="G4947" s="6">
        <v>63.45</v>
      </c>
    </row>
    <row r="4948" ht="15.75" customHeight="1" spans="1:7">
      <c r="A4948" s="4" t="s">
        <v>11008</v>
      </c>
      <c r="B4948" s="5" t="s">
        <v>11009</v>
      </c>
      <c r="C4948" s="4" t="s">
        <v>99</v>
      </c>
      <c r="D4948" s="475">
        <v>89.83</v>
      </c>
      <c r="E4948" s="476">
        <v>0</v>
      </c>
      <c r="F4948" s="6">
        <v>0</v>
      </c>
      <c r="G4948" s="6">
        <v>77.9</v>
      </c>
    </row>
    <row r="4949" ht="15.75" customHeight="1" spans="1:7">
      <c r="A4949" s="4" t="s">
        <v>11010</v>
      </c>
      <c r="B4949" s="5" t="s">
        <v>11011</v>
      </c>
      <c r="C4949" s="4" t="s">
        <v>99</v>
      </c>
      <c r="D4949" s="475">
        <v>75.92</v>
      </c>
      <c r="E4949" s="476">
        <v>0</v>
      </c>
      <c r="F4949" s="6">
        <v>0</v>
      </c>
      <c r="G4949" s="6">
        <v>89.69</v>
      </c>
    </row>
    <row r="4950" ht="15.75" customHeight="1" spans="1:7">
      <c r="A4950" s="4" t="s">
        <v>11012</v>
      </c>
      <c r="B4950" s="5" t="s">
        <v>11013</v>
      </c>
      <c r="C4950" s="4" t="s">
        <v>99</v>
      </c>
      <c r="D4950" s="475">
        <v>66.9</v>
      </c>
      <c r="E4950" s="476">
        <v>0</v>
      </c>
      <c r="F4950" s="6">
        <v>0</v>
      </c>
      <c r="G4950" s="6">
        <v>99.14</v>
      </c>
    </row>
    <row r="4951" ht="15.75" customHeight="1" spans="1:7">
      <c r="A4951" s="4" t="s">
        <v>11014</v>
      </c>
      <c r="B4951" s="5" t="s">
        <v>11015</v>
      </c>
      <c r="C4951" s="4" t="s">
        <v>99</v>
      </c>
      <c r="D4951" s="475">
        <v>60.69</v>
      </c>
      <c r="E4951" s="476">
        <v>0</v>
      </c>
      <c r="F4951" s="6">
        <v>0</v>
      </c>
      <c r="G4951" s="6">
        <v>106.53</v>
      </c>
    </row>
    <row r="4952" ht="15.75" customHeight="1" spans="1:7">
      <c r="A4952" s="4" t="s">
        <v>11016</v>
      </c>
      <c r="B4952" s="5" t="s">
        <v>11017</v>
      </c>
      <c r="C4952" s="4" t="s">
        <v>99</v>
      </c>
      <c r="D4952" s="475">
        <v>56.33</v>
      </c>
      <c r="E4952" s="476">
        <v>0</v>
      </c>
      <c r="F4952" s="6">
        <v>0</v>
      </c>
      <c r="G4952" s="6">
        <v>112.1</v>
      </c>
    </row>
    <row r="4953" ht="15.75" customHeight="1" spans="1:7">
      <c r="A4953" s="4" t="s">
        <v>11018</v>
      </c>
      <c r="B4953" s="5" t="s">
        <v>11019</v>
      </c>
      <c r="C4953" s="4" t="s">
        <v>99</v>
      </c>
      <c r="D4953" s="475">
        <v>162.09</v>
      </c>
      <c r="E4953" s="476">
        <v>0</v>
      </c>
      <c r="F4953" s="6">
        <v>0</v>
      </c>
      <c r="G4953" s="6">
        <v>34.69</v>
      </c>
    </row>
    <row r="4954" ht="15.75" customHeight="1" spans="1:7">
      <c r="A4954" s="4" t="s">
        <v>11020</v>
      </c>
      <c r="B4954" s="5" t="s">
        <v>11021</v>
      </c>
      <c r="C4954" s="4" t="s">
        <v>99</v>
      </c>
      <c r="D4954" s="475">
        <v>129.41</v>
      </c>
      <c r="E4954" s="476">
        <v>0</v>
      </c>
      <c r="F4954" s="6">
        <v>0</v>
      </c>
      <c r="G4954" s="6">
        <v>42.59</v>
      </c>
    </row>
    <row r="4955" ht="15.75" customHeight="1" spans="1:7">
      <c r="A4955" s="4" t="s">
        <v>11022</v>
      </c>
      <c r="B4955" s="5" t="s">
        <v>11023</v>
      </c>
      <c r="C4955" s="4" t="s">
        <v>99</v>
      </c>
      <c r="D4955" s="475">
        <v>108.7</v>
      </c>
      <c r="E4955" s="476">
        <v>0</v>
      </c>
      <c r="F4955" s="6">
        <v>0</v>
      </c>
      <c r="G4955" s="6">
        <v>49.03</v>
      </c>
    </row>
    <row r="4956" ht="15.75" customHeight="1" spans="1:7">
      <c r="A4956" s="4" t="s">
        <v>11024</v>
      </c>
      <c r="B4956" s="5" t="s">
        <v>11025</v>
      </c>
      <c r="C4956" s="4" t="s">
        <v>99</v>
      </c>
      <c r="D4956" s="475">
        <v>96.56</v>
      </c>
      <c r="E4956" s="476">
        <v>0</v>
      </c>
      <c r="F4956" s="6">
        <v>0</v>
      </c>
      <c r="G4956" s="6">
        <v>54.2</v>
      </c>
    </row>
    <row r="4957" ht="15.75" customHeight="1" spans="1:7">
      <c r="A4957" s="4" t="s">
        <v>11026</v>
      </c>
      <c r="B4957" s="5" t="s">
        <v>11027</v>
      </c>
      <c r="C4957" s="4" t="s">
        <v>99</v>
      </c>
      <c r="D4957" s="475">
        <v>88.34</v>
      </c>
      <c r="E4957" s="476">
        <v>0</v>
      </c>
      <c r="F4957" s="6">
        <v>0</v>
      </c>
      <c r="G4957" s="6">
        <v>58.24</v>
      </c>
    </row>
    <row r="4958" ht="15.75" customHeight="1" spans="1:7">
      <c r="A4958" s="4" t="s">
        <v>11028</v>
      </c>
      <c r="B4958" s="5" t="s">
        <v>11029</v>
      </c>
      <c r="C4958" s="4" t="s">
        <v>99</v>
      </c>
      <c r="D4958" s="475">
        <v>82.54</v>
      </c>
      <c r="E4958" s="476">
        <v>0</v>
      </c>
      <c r="F4958" s="6">
        <v>0</v>
      </c>
      <c r="G4958" s="6">
        <v>61.28</v>
      </c>
    </row>
    <row r="4959" ht="30" customHeight="1" spans="1:7">
      <c r="A4959" s="4" t="s">
        <v>11030</v>
      </c>
      <c r="B4959" s="5" t="s">
        <v>11031</v>
      </c>
      <c r="C4959" s="4" t="s">
        <v>101</v>
      </c>
      <c r="D4959" s="475">
        <v>278.68</v>
      </c>
      <c r="E4959" s="476">
        <v>0.03814</v>
      </c>
      <c r="F4959" s="6">
        <v>2.8283</v>
      </c>
      <c r="G4959" s="6">
        <v>0.95485</v>
      </c>
    </row>
    <row r="4960" ht="30" customHeight="1" spans="1:7">
      <c r="A4960" s="4" t="s">
        <v>11032</v>
      </c>
      <c r="B4960" s="5" t="s">
        <v>11033</v>
      </c>
      <c r="C4960" s="4" t="s">
        <v>101</v>
      </c>
      <c r="D4960" s="475">
        <v>194.89</v>
      </c>
      <c r="E4960" s="476">
        <v>0.03814</v>
      </c>
      <c r="F4960" s="6">
        <v>0.3841</v>
      </c>
      <c r="G4960" s="6">
        <v>7.78368</v>
      </c>
    </row>
    <row r="4961" ht="15.75" customHeight="1" spans="1:7">
      <c r="A4961" s="4" t="s">
        <v>11034</v>
      </c>
      <c r="B4961" s="5" t="s">
        <v>11035</v>
      </c>
      <c r="C4961" s="4" t="s">
        <v>99</v>
      </c>
      <c r="D4961" s="475">
        <v>24.5</v>
      </c>
      <c r="E4961" s="476">
        <v>0.03814</v>
      </c>
      <c r="F4961" s="6">
        <v>0.9002</v>
      </c>
      <c r="G4961" s="6">
        <v>5</v>
      </c>
    </row>
    <row r="4962" ht="15.75" customHeight="1" spans="1:7">
      <c r="A4962" s="4" t="s">
        <v>11036</v>
      </c>
      <c r="B4962" s="5" t="s">
        <v>11037</v>
      </c>
      <c r="C4962" s="4" t="s">
        <v>9</v>
      </c>
      <c r="D4962" s="475">
        <v>1.63</v>
      </c>
      <c r="E4962" s="476">
        <v>0.03814</v>
      </c>
      <c r="F4962" s="6">
        <v>0.06</v>
      </c>
      <c r="G4962" s="6">
        <v>150</v>
      </c>
    </row>
    <row r="4963" ht="15.75" customHeight="1" spans="1:7">
      <c r="A4963" s="4" t="s">
        <v>11038</v>
      </c>
      <c r="B4963" s="5" t="s">
        <v>11039</v>
      </c>
      <c r="C4963" s="4" t="s">
        <v>7</v>
      </c>
      <c r="D4963" s="475">
        <v>10.49</v>
      </c>
      <c r="E4963" s="476">
        <v>0.03632</v>
      </c>
      <c r="F4963" s="6">
        <v>0.2698</v>
      </c>
      <c r="G4963" s="6">
        <v>22</v>
      </c>
    </row>
    <row r="4964" ht="15.75" customHeight="1" spans="1:7">
      <c r="A4964" s="4" t="s">
        <v>11040</v>
      </c>
      <c r="B4964" s="5" t="s">
        <v>11041</v>
      </c>
      <c r="C4964" s="4" t="s">
        <v>9885</v>
      </c>
      <c r="D4964" s="475">
        <v>249.64</v>
      </c>
      <c r="E4964" s="476">
        <v>0.03814</v>
      </c>
      <c r="F4964" s="6">
        <v>3.3119</v>
      </c>
      <c r="G4964" s="6">
        <v>3.525</v>
      </c>
    </row>
    <row r="4965" ht="15.75" customHeight="1" spans="1:7">
      <c r="A4965" s="4" t="s">
        <v>11042</v>
      </c>
      <c r="B4965" s="5" t="s">
        <v>11043</v>
      </c>
      <c r="C4965" s="4" t="s">
        <v>9885</v>
      </c>
      <c r="D4965" s="475">
        <v>191.44</v>
      </c>
      <c r="E4965" s="476">
        <v>0.03814</v>
      </c>
      <c r="F4965" s="6">
        <v>2.2079</v>
      </c>
      <c r="G4965" s="6">
        <v>5.2875</v>
      </c>
    </row>
    <row r="4966" ht="15.75" customHeight="1" spans="1:7">
      <c r="A4966" s="4" t="s">
        <v>11044</v>
      </c>
      <c r="B4966" s="5" t="s">
        <v>11045</v>
      </c>
      <c r="C4966" s="4" t="s">
        <v>9885</v>
      </c>
      <c r="D4966" s="475">
        <v>73.12</v>
      </c>
      <c r="E4966" s="476">
        <v>0.03814</v>
      </c>
      <c r="F4966" s="6">
        <v>0.1808</v>
      </c>
      <c r="G4966" s="6">
        <v>29.88</v>
      </c>
    </row>
    <row r="4967" ht="15.75" customHeight="1" spans="1:7">
      <c r="A4967" s="4" t="s">
        <v>11046</v>
      </c>
      <c r="B4967" s="5" t="s">
        <v>11047</v>
      </c>
      <c r="C4967" s="4" t="s">
        <v>9</v>
      </c>
      <c r="D4967" s="475">
        <v>4.9</v>
      </c>
      <c r="E4967" s="476">
        <v>0.03814</v>
      </c>
      <c r="F4967" s="6">
        <v>0.18</v>
      </c>
      <c r="G4967" s="6">
        <v>20</v>
      </c>
    </row>
    <row r="4968" ht="15.75" customHeight="1" spans="1:7">
      <c r="A4968" s="4" t="s">
        <v>11048</v>
      </c>
      <c r="B4968" s="5" t="s">
        <v>11049</v>
      </c>
      <c r="C4968" s="4" t="s">
        <v>9</v>
      </c>
      <c r="D4968" s="475">
        <v>0.82</v>
      </c>
      <c r="E4968" s="476">
        <v>0.03814</v>
      </c>
      <c r="F4968" s="6">
        <v>0.03</v>
      </c>
      <c r="G4968" s="6">
        <v>300</v>
      </c>
    </row>
    <row r="4969" ht="15.75" customHeight="1" spans="1:7">
      <c r="A4969" s="4" t="s">
        <v>11050</v>
      </c>
      <c r="B4969" s="5" t="s">
        <v>11051</v>
      </c>
      <c r="C4969" s="4" t="s">
        <v>9</v>
      </c>
      <c r="D4969" s="475">
        <v>4.9</v>
      </c>
      <c r="E4969" s="476">
        <v>0.03814</v>
      </c>
      <c r="F4969" s="6">
        <v>0.18</v>
      </c>
      <c r="G4969" s="6">
        <v>50</v>
      </c>
    </row>
    <row r="4970" ht="15.75" customHeight="1" spans="1:7">
      <c r="A4970" s="4" t="s">
        <v>11052</v>
      </c>
      <c r="B4970" s="5" t="s">
        <v>11053</v>
      </c>
      <c r="C4970" s="4" t="s">
        <v>9</v>
      </c>
      <c r="D4970" s="475">
        <v>1.23</v>
      </c>
      <c r="E4970" s="476">
        <v>0.03814</v>
      </c>
      <c r="F4970" s="6">
        <v>0.045</v>
      </c>
      <c r="G4970" s="6">
        <v>200</v>
      </c>
    </row>
    <row r="4971" ht="15.75" customHeight="1" spans="1:7">
      <c r="A4971" s="4" t="s">
        <v>11054</v>
      </c>
      <c r="B4971" s="5" t="s">
        <v>11055</v>
      </c>
      <c r="C4971" s="4" t="s">
        <v>82</v>
      </c>
      <c r="D4971" s="475">
        <v>4.9</v>
      </c>
      <c r="E4971" s="476">
        <v>0.03814</v>
      </c>
      <c r="F4971" s="6">
        <v>0.18</v>
      </c>
      <c r="G4971" s="6">
        <v>5</v>
      </c>
    </row>
    <row r="4972" ht="15.75" customHeight="1" spans="1:7">
      <c r="A4972" s="4" t="s">
        <v>11056</v>
      </c>
      <c r="B4972" s="5" t="s">
        <v>11057</v>
      </c>
      <c r="C4972" s="4" t="s">
        <v>82</v>
      </c>
      <c r="D4972" s="475">
        <v>3.06</v>
      </c>
      <c r="E4972" s="476">
        <v>0.03814</v>
      </c>
      <c r="F4972" s="6">
        <v>0.1125</v>
      </c>
      <c r="G4972" s="6">
        <v>8</v>
      </c>
    </row>
    <row r="4973" ht="15.75" customHeight="1" spans="1:7">
      <c r="A4973" s="4" t="s">
        <v>11058</v>
      </c>
      <c r="B4973" s="5" t="s">
        <v>11059</v>
      </c>
      <c r="C4973" s="4" t="s">
        <v>9</v>
      </c>
      <c r="D4973" s="475">
        <v>72.89</v>
      </c>
      <c r="E4973" s="476">
        <v>0</v>
      </c>
      <c r="F4973" s="6">
        <v>0</v>
      </c>
      <c r="G4973" s="6">
        <v>6.42216</v>
      </c>
    </row>
    <row r="4974" ht="15.75" customHeight="1" spans="1:7">
      <c r="A4974" s="4" t="s">
        <v>11060</v>
      </c>
      <c r="B4974" s="5" t="s">
        <v>11061</v>
      </c>
      <c r="C4974" s="4" t="s">
        <v>9</v>
      </c>
      <c r="D4974" s="475">
        <v>24.04</v>
      </c>
      <c r="E4974" s="476">
        <v>0</v>
      </c>
      <c r="F4974" s="6">
        <v>0</v>
      </c>
      <c r="G4974" s="6">
        <v>19.47</v>
      </c>
    </row>
    <row r="4975" ht="30" customHeight="1" spans="1:7">
      <c r="A4975" s="4" t="s">
        <v>11062</v>
      </c>
      <c r="B4975" s="5" t="s">
        <v>11063</v>
      </c>
      <c r="C4975" s="4" t="s">
        <v>9</v>
      </c>
      <c r="D4975" s="475">
        <v>2.84</v>
      </c>
      <c r="E4975" s="476">
        <v>0</v>
      </c>
      <c r="F4975" s="6">
        <v>0</v>
      </c>
      <c r="G4975" s="6">
        <v>82.5</v>
      </c>
    </row>
    <row r="4976" ht="15.75" customHeight="1" spans="1:7">
      <c r="A4976" s="4" t="s">
        <v>11064</v>
      </c>
      <c r="B4976" s="5" t="s">
        <v>11065</v>
      </c>
      <c r="C4976" s="4" t="s">
        <v>9</v>
      </c>
      <c r="D4976" s="475">
        <v>68.52</v>
      </c>
      <c r="E4976" s="476">
        <v>0.03632</v>
      </c>
      <c r="F4976" s="6">
        <v>0.9702</v>
      </c>
      <c r="G4976" s="6">
        <v>5</v>
      </c>
    </row>
    <row r="4977" ht="15.75" customHeight="1" spans="1:7">
      <c r="A4977" s="4" t="s">
        <v>11066</v>
      </c>
      <c r="B4977" s="5" t="s">
        <v>11067</v>
      </c>
      <c r="C4977" s="4" t="s">
        <v>9</v>
      </c>
      <c r="D4977" s="475">
        <v>48.11</v>
      </c>
      <c r="E4977" s="476">
        <v>0.03632</v>
      </c>
      <c r="F4977" s="6">
        <v>0.9702</v>
      </c>
      <c r="G4977" s="6">
        <v>5</v>
      </c>
    </row>
    <row r="4978" ht="15.75" customHeight="1" spans="1:7">
      <c r="A4978" s="4" t="s">
        <v>11068</v>
      </c>
      <c r="B4978" s="5" t="s">
        <v>11069</v>
      </c>
      <c r="C4978" s="4" t="s">
        <v>82</v>
      </c>
      <c r="D4978" s="475">
        <v>8.22</v>
      </c>
      <c r="E4978" s="476">
        <v>0.03632</v>
      </c>
      <c r="F4978" s="6">
        <v>0.2857</v>
      </c>
      <c r="G4978" s="6">
        <v>3</v>
      </c>
    </row>
    <row r="4979" ht="15.75" customHeight="1" spans="1:7">
      <c r="A4979" s="4" t="s">
        <v>11070</v>
      </c>
      <c r="B4979" s="5" t="s">
        <v>11071</v>
      </c>
      <c r="C4979" s="4" t="s">
        <v>9</v>
      </c>
      <c r="D4979" s="475">
        <v>4.91</v>
      </c>
      <c r="E4979" s="476">
        <v>0.03632</v>
      </c>
      <c r="F4979" s="6">
        <v>0.1714</v>
      </c>
      <c r="G4979" s="6">
        <v>5</v>
      </c>
    </row>
    <row r="4980" ht="15.75" customHeight="1" spans="1:7">
      <c r="A4980" s="4" t="s">
        <v>11072</v>
      </c>
      <c r="B4980" s="5" t="s">
        <v>11073</v>
      </c>
      <c r="C4980" s="4" t="s">
        <v>99</v>
      </c>
      <c r="D4980" s="475">
        <v>24.5</v>
      </c>
      <c r="E4980" s="476">
        <v>0.03814</v>
      </c>
      <c r="F4980" s="6">
        <v>0.9002</v>
      </c>
      <c r="G4980" s="6">
        <v>2</v>
      </c>
    </row>
    <row r="4981" ht="15.75" customHeight="1" spans="1:7">
      <c r="A4981" s="4" t="s">
        <v>11074</v>
      </c>
      <c r="B4981" s="5" t="s">
        <v>11075</v>
      </c>
      <c r="C4981" s="4" t="s">
        <v>7</v>
      </c>
      <c r="D4981" s="475">
        <v>4.9</v>
      </c>
      <c r="E4981" s="476">
        <v>0.03814</v>
      </c>
      <c r="F4981" s="6">
        <v>0.18</v>
      </c>
      <c r="G4981" s="6">
        <v>5</v>
      </c>
    </row>
    <row r="4982" ht="15.75" customHeight="1" spans="1:7">
      <c r="A4982" s="4" t="s">
        <v>11076</v>
      </c>
      <c r="B4982" s="5" t="s">
        <v>11077</v>
      </c>
      <c r="C4982" s="4" t="s">
        <v>7</v>
      </c>
      <c r="D4982" s="475">
        <v>68.55</v>
      </c>
      <c r="E4982" s="476">
        <v>0.03814</v>
      </c>
      <c r="F4982" s="6">
        <v>1.0188</v>
      </c>
      <c r="G4982" s="6">
        <v>5</v>
      </c>
    </row>
    <row r="4983" ht="15.75" customHeight="1" spans="1:7">
      <c r="A4983" s="4" t="s">
        <v>11078</v>
      </c>
      <c r="B4983" s="5" t="s">
        <v>11079</v>
      </c>
      <c r="C4983" s="4" t="s">
        <v>7</v>
      </c>
      <c r="D4983" s="475">
        <v>48.14</v>
      </c>
      <c r="E4983" s="476">
        <v>0.03814</v>
      </c>
      <c r="F4983" s="6">
        <v>1.0188</v>
      </c>
      <c r="G4983" s="6">
        <v>5</v>
      </c>
    </row>
    <row r="4984" ht="30" customHeight="1" spans="1:7">
      <c r="A4984" s="4" t="s">
        <v>11080</v>
      </c>
      <c r="B4984" s="5" t="s">
        <v>11081</v>
      </c>
      <c r="C4984" s="4" t="s">
        <v>9</v>
      </c>
      <c r="D4984" s="475">
        <v>7.61</v>
      </c>
      <c r="E4984" s="476">
        <v>0.03814</v>
      </c>
      <c r="F4984" s="6">
        <v>0.1348</v>
      </c>
      <c r="G4984" s="6">
        <v>37.58</v>
      </c>
    </row>
    <row r="4985" ht="30" customHeight="1" spans="1:7">
      <c r="A4985" s="4" t="s">
        <v>11082</v>
      </c>
      <c r="B4985" s="5" t="s">
        <v>11083</v>
      </c>
      <c r="C4985" s="4" t="s">
        <v>9</v>
      </c>
      <c r="D4985" s="475">
        <v>7.61</v>
      </c>
      <c r="E4985" s="476">
        <v>0.03814</v>
      </c>
      <c r="F4985" s="6">
        <v>0.1348</v>
      </c>
      <c r="G4985" s="6">
        <v>37.58</v>
      </c>
    </row>
    <row r="4986" ht="30" customHeight="1" spans="1:7">
      <c r="A4986" s="4" t="s">
        <v>11084</v>
      </c>
      <c r="B4986" s="5" t="s">
        <v>11085</v>
      </c>
      <c r="C4986" s="4" t="s">
        <v>9</v>
      </c>
      <c r="D4986" s="475">
        <v>32.72</v>
      </c>
      <c r="E4986" s="476">
        <v>0.03814</v>
      </c>
      <c r="F4986" s="6">
        <v>0.1</v>
      </c>
      <c r="G4986" s="6">
        <v>37.58</v>
      </c>
    </row>
    <row r="4987" ht="15.75" customHeight="1" spans="1:7">
      <c r="A4987" s="4" t="s">
        <v>11086</v>
      </c>
      <c r="B4987" s="5" t="s">
        <v>11087</v>
      </c>
      <c r="C4987" s="4" t="s">
        <v>7</v>
      </c>
      <c r="D4987" s="475">
        <v>13.15</v>
      </c>
      <c r="E4987" s="476">
        <v>0.03632</v>
      </c>
      <c r="F4987" s="6">
        <v>0.0994</v>
      </c>
      <c r="G4987" s="6">
        <v>8.964</v>
      </c>
    </row>
    <row r="4988" ht="15.75" customHeight="1" spans="1:7">
      <c r="A4988" s="4" t="s">
        <v>11088</v>
      </c>
      <c r="B4988" s="5" t="s">
        <v>11089</v>
      </c>
      <c r="C4988" s="4" t="s">
        <v>99</v>
      </c>
      <c r="D4988" s="475">
        <v>0</v>
      </c>
      <c r="E4988" s="476">
        <v>0</v>
      </c>
      <c r="F4988" s="6">
        <v>0</v>
      </c>
      <c r="G4988" s="6">
        <v>1</v>
      </c>
    </row>
    <row r="4989" ht="15.75" customHeight="1" spans="1:7">
      <c r="A4989" s="4" t="s">
        <v>11090</v>
      </c>
      <c r="B4989" s="5" t="s">
        <v>11091</v>
      </c>
      <c r="C4989" s="4" t="s">
        <v>99</v>
      </c>
      <c r="D4989" s="475">
        <v>0</v>
      </c>
      <c r="E4989" s="476">
        <v>0</v>
      </c>
      <c r="F4989" s="6">
        <v>0</v>
      </c>
      <c r="G4989" s="6">
        <v>1</v>
      </c>
    </row>
    <row r="4990" ht="15.75" customHeight="1" spans="1:7">
      <c r="A4990" s="4" t="s">
        <v>11092</v>
      </c>
      <c r="B4990" s="5" t="s">
        <v>11093</v>
      </c>
      <c r="C4990" s="4" t="s">
        <v>99</v>
      </c>
      <c r="D4990" s="475">
        <v>358</v>
      </c>
      <c r="E4990" s="476">
        <v>0.03814</v>
      </c>
      <c r="F4990" s="6">
        <v>3.4006</v>
      </c>
      <c r="G4990" s="6">
        <v>2.48276</v>
      </c>
    </row>
    <row r="4991" ht="15.75" customHeight="1" spans="1:7">
      <c r="A4991" s="4" t="s">
        <v>11094</v>
      </c>
      <c r="B4991" s="5" t="s">
        <v>11095</v>
      </c>
      <c r="C4991" s="4" t="s">
        <v>99</v>
      </c>
      <c r="D4991" s="475">
        <v>198.17</v>
      </c>
      <c r="E4991" s="476">
        <v>0.03632</v>
      </c>
      <c r="F4991" s="6">
        <v>3.3224</v>
      </c>
      <c r="G4991" s="6">
        <v>2.025</v>
      </c>
    </row>
    <row r="4992" ht="15.75" customHeight="1" spans="1:7">
      <c r="A4992" s="4" t="s">
        <v>11096</v>
      </c>
      <c r="B4992" s="5" t="s">
        <v>11097</v>
      </c>
      <c r="C4992" s="4" t="s">
        <v>99</v>
      </c>
      <c r="D4992" s="475">
        <v>116.32</v>
      </c>
      <c r="E4992" s="476">
        <v>0.03632</v>
      </c>
      <c r="F4992" s="6">
        <v>1.9501</v>
      </c>
      <c r="G4992" s="6">
        <v>3.45</v>
      </c>
    </row>
    <row r="4993" ht="15.75" customHeight="1" spans="1:7">
      <c r="A4993" s="4" t="s">
        <v>11098</v>
      </c>
      <c r="B4993" s="5" t="s">
        <v>11099</v>
      </c>
      <c r="C4993" s="4" t="s">
        <v>99</v>
      </c>
      <c r="D4993" s="475">
        <v>356.7</v>
      </c>
      <c r="E4993" s="476">
        <v>0.03632</v>
      </c>
      <c r="F4993" s="6">
        <v>5.9804</v>
      </c>
      <c r="G4993" s="6">
        <v>1.125</v>
      </c>
    </row>
    <row r="4994" ht="15.75" customHeight="1" spans="1:7">
      <c r="A4994" s="4" t="s">
        <v>11100</v>
      </c>
      <c r="B4994" s="5" t="s">
        <v>11101</v>
      </c>
      <c r="C4994" s="4" t="s">
        <v>99</v>
      </c>
      <c r="D4994" s="475">
        <v>76.44</v>
      </c>
      <c r="E4994" s="476">
        <v>0.03632</v>
      </c>
      <c r="F4994" s="6">
        <v>1.2815</v>
      </c>
      <c r="G4994" s="6">
        <v>5.25</v>
      </c>
    </row>
    <row r="4995" ht="15.75" customHeight="1" spans="1:7">
      <c r="A4995" s="4" t="s">
        <v>11102</v>
      </c>
      <c r="B4995" s="5" t="s">
        <v>11103</v>
      </c>
      <c r="C4995" s="4" t="s">
        <v>9</v>
      </c>
      <c r="D4995" s="475">
        <v>15.95</v>
      </c>
      <c r="E4995" s="476">
        <v>0.03814</v>
      </c>
      <c r="F4995" s="6">
        <v>0.586</v>
      </c>
      <c r="G4995" s="6">
        <v>5</v>
      </c>
    </row>
    <row r="4996" ht="15.75" customHeight="1" spans="1:7">
      <c r="A4996" s="4" t="s">
        <v>11104</v>
      </c>
      <c r="B4996" s="5" t="s">
        <v>11105</v>
      </c>
      <c r="C4996" s="4" t="s">
        <v>7</v>
      </c>
      <c r="D4996" s="475">
        <v>4.75</v>
      </c>
      <c r="E4996" s="476">
        <v>0.04367</v>
      </c>
      <c r="F4996" s="6">
        <v>0.0951</v>
      </c>
      <c r="G4996" s="6">
        <v>278.25</v>
      </c>
    </row>
    <row r="4997" ht="15.75" customHeight="1" spans="1:7">
      <c r="A4997" s="4" t="s">
        <v>11106</v>
      </c>
      <c r="B4997" s="5" t="s">
        <v>11107</v>
      </c>
      <c r="C4997" s="4" t="s">
        <v>99</v>
      </c>
      <c r="D4997" s="475">
        <v>27.33</v>
      </c>
      <c r="E4997" s="476">
        <v>0.04367</v>
      </c>
      <c r="F4997" s="6">
        <v>0.776</v>
      </c>
      <c r="G4997" s="6">
        <v>2.8125</v>
      </c>
    </row>
    <row r="4998" ht="15.75" customHeight="1" spans="1:7">
      <c r="A4998" s="4" t="s">
        <v>11108</v>
      </c>
      <c r="B4998" s="5" t="s">
        <v>11109</v>
      </c>
      <c r="C4998" s="4" t="s">
        <v>7</v>
      </c>
      <c r="D4998" s="475">
        <v>39.62</v>
      </c>
      <c r="E4998" s="476">
        <v>0.03632</v>
      </c>
      <c r="F4998" s="6">
        <v>1.0598</v>
      </c>
      <c r="G4998" s="6">
        <v>5.6</v>
      </c>
    </row>
    <row r="4999" ht="15.75" customHeight="1" spans="1:7">
      <c r="A4999" s="4" t="s">
        <v>11110</v>
      </c>
      <c r="B4999" s="5" t="s">
        <v>11111</v>
      </c>
      <c r="C4999" s="4" t="s">
        <v>99</v>
      </c>
      <c r="D4999" s="475">
        <v>12.09</v>
      </c>
      <c r="E4999" s="476">
        <v>0.04722</v>
      </c>
      <c r="F4999" s="6">
        <v>0.1506</v>
      </c>
      <c r="G4999" s="6">
        <v>126.63</v>
      </c>
    </row>
    <row r="5000" ht="15.75" customHeight="1" spans="1:7">
      <c r="A5000" s="4" t="s">
        <v>11112</v>
      </c>
      <c r="B5000" s="5" t="s">
        <v>11113</v>
      </c>
      <c r="C5000" s="4" t="s">
        <v>99</v>
      </c>
      <c r="D5000" s="475">
        <v>44.84</v>
      </c>
      <c r="E5000" s="476">
        <v>0.04367</v>
      </c>
      <c r="F5000" s="6">
        <v>1.509</v>
      </c>
      <c r="G5000" s="6">
        <v>2.8125</v>
      </c>
    </row>
    <row r="5001" ht="15.75" customHeight="1" spans="1:7">
      <c r="A5001" s="4" t="s">
        <v>11114</v>
      </c>
      <c r="B5001" s="5" t="s">
        <v>11115</v>
      </c>
      <c r="C5001" s="4" t="s">
        <v>99</v>
      </c>
      <c r="D5001" s="475">
        <v>14.72</v>
      </c>
      <c r="E5001" s="476">
        <v>0.04367</v>
      </c>
      <c r="F5001" s="6">
        <v>0.1985</v>
      </c>
      <c r="G5001" s="6">
        <v>96.9</v>
      </c>
    </row>
    <row r="5002" ht="15.75" customHeight="1" spans="1:7">
      <c r="A5002" s="4" t="s">
        <v>11116</v>
      </c>
      <c r="B5002" s="5" t="s">
        <v>11117</v>
      </c>
      <c r="C5002" s="4" t="s">
        <v>9</v>
      </c>
      <c r="D5002" s="475">
        <v>11.76</v>
      </c>
      <c r="E5002" s="476">
        <v>0.03632</v>
      </c>
      <c r="F5002" s="6">
        <v>0.277</v>
      </c>
      <c r="G5002" s="6">
        <v>40</v>
      </c>
    </row>
    <row r="5003" ht="15.75" customHeight="1" spans="1:7">
      <c r="A5003" s="4" t="s">
        <v>11118</v>
      </c>
      <c r="B5003" s="5" t="s">
        <v>11119</v>
      </c>
      <c r="C5003" s="4" t="s">
        <v>9</v>
      </c>
      <c r="D5003" s="475">
        <v>27.18</v>
      </c>
      <c r="E5003" s="476">
        <v>0.03632</v>
      </c>
      <c r="F5003" s="6">
        <v>0.3693</v>
      </c>
      <c r="G5003" s="6">
        <v>30</v>
      </c>
    </row>
    <row r="5004" ht="15.75" customHeight="1" spans="1:7">
      <c r="A5004" s="4" t="s">
        <v>11120</v>
      </c>
      <c r="B5004" s="5" t="s">
        <v>11121</v>
      </c>
      <c r="C5004" s="4" t="s">
        <v>9</v>
      </c>
      <c r="D5004" s="475">
        <v>25.87</v>
      </c>
      <c r="E5004" s="476">
        <v>0.03632</v>
      </c>
      <c r="F5004" s="6">
        <v>0.3693</v>
      </c>
      <c r="G5004" s="6">
        <v>30</v>
      </c>
    </row>
    <row r="5005" ht="15.75" customHeight="1" spans="1:7">
      <c r="A5005" s="4" t="s">
        <v>11122</v>
      </c>
      <c r="B5005" s="5" t="s">
        <v>11123</v>
      </c>
      <c r="C5005" s="4" t="s">
        <v>9</v>
      </c>
      <c r="D5005" s="475">
        <v>21.28</v>
      </c>
      <c r="E5005" s="476">
        <v>0.03632</v>
      </c>
      <c r="F5005" s="6">
        <v>0.3693</v>
      </c>
      <c r="G5005" s="6">
        <v>30</v>
      </c>
    </row>
    <row r="5006" ht="15.75" customHeight="1" spans="1:7">
      <c r="A5006" s="4" t="s">
        <v>11124</v>
      </c>
      <c r="B5006" s="5" t="s">
        <v>11125</v>
      </c>
      <c r="C5006" s="4" t="s">
        <v>9</v>
      </c>
      <c r="D5006" s="475">
        <v>20.71</v>
      </c>
      <c r="E5006" s="476">
        <v>0.03632</v>
      </c>
      <c r="F5006" s="6">
        <v>0.3693</v>
      </c>
      <c r="G5006" s="6">
        <v>30</v>
      </c>
    </row>
    <row r="5007" ht="15.75" customHeight="1" spans="1:7">
      <c r="A5007" s="4" t="s">
        <v>11126</v>
      </c>
      <c r="B5007" s="5" t="s">
        <v>11127</v>
      </c>
      <c r="C5007" s="4" t="s">
        <v>9</v>
      </c>
      <c r="D5007" s="475">
        <v>8.97</v>
      </c>
      <c r="E5007" s="476">
        <v>0.03632</v>
      </c>
      <c r="F5007" s="6">
        <v>0.1846</v>
      </c>
      <c r="G5007" s="6">
        <v>60</v>
      </c>
    </row>
    <row r="5008" ht="15.75" customHeight="1" spans="1:7">
      <c r="A5008" s="4" t="s">
        <v>11128</v>
      </c>
      <c r="B5008" s="5" t="s">
        <v>11129</v>
      </c>
      <c r="C5008" s="4" t="s">
        <v>9</v>
      </c>
      <c r="D5008" s="475">
        <v>24.46</v>
      </c>
      <c r="E5008" s="476">
        <v>0.03632</v>
      </c>
      <c r="F5008" s="6">
        <v>0.277</v>
      </c>
      <c r="G5008" s="6">
        <v>40</v>
      </c>
    </row>
    <row r="5009" ht="15.75" customHeight="1" spans="1:7">
      <c r="A5009" s="4" t="s">
        <v>11130</v>
      </c>
      <c r="B5009" s="5" t="s">
        <v>11131</v>
      </c>
      <c r="C5009" s="4" t="s">
        <v>9</v>
      </c>
      <c r="D5009" s="475">
        <v>32.57</v>
      </c>
      <c r="E5009" s="476">
        <v>0.03632</v>
      </c>
      <c r="F5009" s="6">
        <v>0.4431</v>
      </c>
      <c r="G5009" s="6">
        <v>25</v>
      </c>
    </row>
    <row r="5010" ht="15.75" customHeight="1" spans="1:7">
      <c r="A5010" s="4" t="s">
        <v>11132</v>
      </c>
      <c r="B5010" s="5" t="s">
        <v>11133</v>
      </c>
      <c r="C5010" s="4" t="s">
        <v>9</v>
      </c>
      <c r="D5010" s="475">
        <v>31.26</v>
      </c>
      <c r="E5010" s="476">
        <v>0.03632</v>
      </c>
      <c r="F5010" s="6">
        <v>0.4431</v>
      </c>
      <c r="G5010" s="6">
        <v>25</v>
      </c>
    </row>
    <row r="5011" ht="15.75" customHeight="1" spans="1:7">
      <c r="A5011" s="4" t="s">
        <v>11134</v>
      </c>
      <c r="B5011" s="5" t="s">
        <v>11135</v>
      </c>
      <c r="C5011" s="4" t="s">
        <v>9</v>
      </c>
      <c r="D5011" s="475">
        <v>32.61</v>
      </c>
      <c r="E5011" s="476">
        <v>0.03632</v>
      </c>
      <c r="F5011" s="6">
        <v>0.6517</v>
      </c>
      <c r="G5011" s="6">
        <v>17</v>
      </c>
    </row>
    <row r="5012" ht="15.75" customHeight="1" spans="1:7">
      <c r="A5012" s="4" t="s">
        <v>11136</v>
      </c>
      <c r="B5012" s="5" t="s">
        <v>11137</v>
      </c>
      <c r="C5012" s="4" t="s">
        <v>9</v>
      </c>
      <c r="D5012" s="475">
        <v>32.04</v>
      </c>
      <c r="E5012" s="476">
        <v>0.03632</v>
      </c>
      <c r="F5012" s="6">
        <v>0.6517</v>
      </c>
      <c r="G5012" s="6">
        <v>17</v>
      </c>
    </row>
    <row r="5013" ht="15.75" customHeight="1" spans="1:7">
      <c r="A5013" s="4" t="s">
        <v>11138</v>
      </c>
      <c r="B5013" s="5" t="s">
        <v>11139</v>
      </c>
      <c r="C5013" s="4" t="s">
        <v>9</v>
      </c>
      <c r="D5013" s="475">
        <v>32.48</v>
      </c>
      <c r="E5013" s="476">
        <v>0.03632</v>
      </c>
      <c r="F5013" s="6">
        <v>0.4431</v>
      </c>
      <c r="G5013" s="6">
        <v>25</v>
      </c>
    </row>
    <row r="5014" ht="15.75" customHeight="1" spans="1:7">
      <c r="A5014" s="4" t="s">
        <v>11140</v>
      </c>
      <c r="B5014" s="5" t="s">
        <v>11141</v>
      </c>
      <c r="C5014" s="4" t="s">
        <v>7</v>
      </c>
      <c r="D5014" s="475">
        <v>0.12</v>
      </c>
      <c r="E5014" s="476">
        <v>0.04367</v>
      </c>
      <c r="F5014" s="6">
        <v>0.0024</v>
      </c>
      <c r="G5014" s="6">
        <v>3053.93</v>
      </c>
    </row>
    <row r="5015" ht="15.75" customHeight="1" spans="1:7">
      <c r="A5015" s="4" t="s">
        <v>11142</v>
      </c>
      <c r="B5015" s="5" t="s">
        <v>11143</v>
      </c>
      <c r="C5015" s="4" t="s">
        <v>7</v>
      </c>
      <c r="D5015" s="475">
        <v>226.6</v>
      </c>
      <c r="E5015" s="476">
        <v>0.03814</v>
      </c>
      <c r="F5015" s="6">
        <v>0.3275</v>
      </c>
      <c r="G5015" s="6">
        <v>13.39</v>
      </c>
    </row>
    <row r="5016" ht="15.75" customHeight="1" spans="1:7">
      <c r="A5016" s="4" t="s">
        <v>11144</v>
      </c>
      <c r="B5016" s="5" t="s">
        <v>11145</v>
      </c>
      <c r="C5016" s="4" t="s">
        <v>7</v>
      </c>
      <c r="D5016" s="475">
        <v>3</v>
      </c>
      <c r="E5016" s="476">
        <v>0.04367</v>
      </c>
      <c r="F5016" s="6">
        <v>0.1052</v>
      </c>
      <c r="G5016" s="6">
        <v>20.75</v>
      </c>
    </row>
    <row r="5017" ht="15.75" customHeight="1" spans="1:7">
      <c r="A5017" s="4" t="s">
        <v>11146</v>
      </c>
      <c r="B5017" s="5" t="s">
        <v>11147</v>
      </c>
      <c r="C5017" s="4" t="s">
        <v>7</v>
      </c>
      <c r="D5017" s="475">
        <v>0.28</v>
      </c>
      <c r="E5017" s="476">
        <v>0.04367</v>
      </c>
      <c r="F5017" s="6">
        <v>0.0053</v>
      </c>
      <c r="G5017" s="6">
        <v>1651.38</v>
      </c>
    </row>
    <row r="5018" ht="15.75" customHeight="1" spans="1:7">
      <c r="A5018" s="4" t="s">
        <v>11148</v>
      </c>
      <c r="B5018" s="5" t="s">
        <v>11149</v>
      </c>
      <c r="C5018" s="4" t="s">
        <v>99</v>
      </c>
      <c r="D5018" s="475">
        <v>441.57</v>
      </c>
      <c r="E5018" s="476">
        <v>0.03814</v>
      </c>
      <c r="F5018" s="6">
        <v>13.585</v>
      </c>
      <c r="G5018" s="6">
        <v>0.55</v>
      </c>
    </row>
    <row r="5019" ht="15.75" customHeight="1" spans="1:7">
      <c r="A5019" s="4" t="s">
        <v>11150</v>
      </c>
      <c r="B5019" s="5" t="s">
        <v>11151</v>
      </c>
      <c r="C5019" s="4" t="s">
        <v>99</v>
      </c>
      <c r="D5019" s="475">
        <v>331.81</v>
      </c>
      <c r="E5019" s="476">
        <v>0.03814</v>
      </c>
      <c r="F5019" s="6">
        <v>8.3314</v>
      </c>
      <c r="G5019" s="6">
        <v>1</v>
      </c>
    </row>
    <row r="5020" ht="15.75" customHeight="1" spans="1:7">
      <c r="A5020" s="4" t="s">
        <v>11152</v>
      </c>
      <c r="B5020" s="5" t="s">
        <v>11153</v>
      </c>
      <c r="C5020" s="4" t="s">
        <v>99</v>
      </c>
      <c r="D5020" s="475">
        <v>441.57</v>
      </c>
      <c r="E5020" s="476">
        <v>0.03814</v>
      </c>
      <c r="F5020" s="6">
        <v>13.585</v>
      </c>
      <c r="G5020" s="6">
        <v>0.55</v>
      </c>
    </row>
    <row r="5021" ht="15.75" customHeight="1" spans="1:7">
      <c r="A5021" s="4" t="s">
        <v>11154</v>
      </c>
      <c r="B5021" s="5" t="s">
        <v>11155</v>
      </c>
      <c r="C5021" s="4" t="s">
        <v>99</v>
      </c>
      <c r="D5021" s="475">
        <v>331.81</v>
      </c>
      <c r="E5021" s="476">
        <v>0.03814</v>
      </c>
      <c r="F5021" s="6">
        <v>8.3314</v>
      </c>
      <c r="G5021" s="6">
        <v>1</v>
      </c>
    </row>
    <row r="5022" ht="15.75" customHeight="1" spans="1:7">
      <c r="A5022" s="4" t="s">
        <v>11156</v>
      </c>
      <c r="B5022" s="5" t="s">
        <v>11157</v>
      </c>
      <c r="C5022" s="4" t="s">
        <v>9885</v>
      </c>
      <c r="D5022" s="475">
        <v>426.82</v>
      </c>
      <c r="E5022" s="476">
        <v>0.03814</v>
      </c>
      <c r="F5022" s="6">
        <v>6.8831</v>
      </c>
      <c r="G5022" s="6">
        <v>0.9</v>
      </c>
    </row>
    <row r="5023" ht="15.75" customHeight="1" spans="1:7">
      <c r="A5023" s="4" t="s">
        <v>11158</v>
      </c>
      <c r="B5023" s="5" t="s">
        <v>11159</v>
      </c>
      <c r="C5023" s="4" t="s">
        <v>9885</v>
      </c>
      <c r="D5023" s="475">
        <v>187.87</v>
      </c>
      <c r="E5023" s="476">
        <v>0.03814</v>
      </c>
      <c r="F5023" s="6">
        <v>6.8705</v>
      </c>
      <c r="G5023" s="6">
        <v>0.26471</v>
      </c>
    </row>
    <row r="5024" ht="15.75" customHeight="1" spans="1:7">
      <c r="A5024" s="4" t="s">
        <v>11160</v>
      </c>
      <c r="B5024" s="5" t="s">
        <v>11161</v>
      </c>
      <c r="C5024" s="4" t="s">
        <v>9885</v>
      </c>
      <c r="D5024" s="475">
        <v>401.21</v>
      </c>
      <c r="E5024" s="476">
        <v>0.03814</v>
      </c>
      <c r="F5024" s="6">
        <v>7.8784</v>
      </c>
      <c r="G5024" s="6">
        <v>0.5625</v>
      </c>
    </row>
    <row r="5025" ht="15.75" customHeight="1" spans="1:7">
      <c r="A5025" s="4" t="s">
        <v>11162</v>
      </c>
      <c r="B5025" s="5" t="s">
        <v>11163</v>
      </c>
      <c r="C5025" s="4" t="s">
        <v>9885</v>
      </c>
      <c r="D5025" s="475">
        <v>54.06</v>
      </c>
      <c r="E5025" s="476">
        <v>0.03814</v>
      </c>
      <c r="F5025" s="6">
        <v>1.4075</v>
      </c>
      <c r="G5025" s="6">
        <v>6.69938</v>
      </c>
    </row>
    <row r="5026" ht="15.75" customHeight="1" spans="1:7">
      <c r="A5026" s="4" t="s">
        <v>11164</v>
      </c>
      <c r="B5026" s="5" t="s">
        <v>11165</v>
      </c>
      <c r="C5026" s="4" t="s">
        <v>9885</v>
      </c>
      <c r="D5026" s="475">
        <v>41.54</v>
      </c>
      <c r="E5026" s="476">
        <v>0.03814</v>
      </c>
      <c r="F5026" s="6">
        <v>0.9549</v>
      </c>
      <c r="G5026" s="6">
        <v>8.9325</v>
      </c>
    </row>
    <row r="5027" ht="15.75" customHeight="1" spans="1:7">
      <c r="A5027" s="4" t="s">
        <v>11166</v>
      </c>
      <c r="B5027" s="5" t="s">
        <v>11167</v>
      </c>
      <c r="C5027" s="4" t="s">
        <v>9885</v>
      </c>
      <c r="D5027" s="475">
        <v>20.88</v>
      </c>
      <c r="E5027" s="476">
        <v>0</v>
      </c>
      <c r="F5027" s="6">
        <v>0</v>
      </c>
      <c r="G5027" s="6">
        <v>15.86</v>
      </c>
    </row>
    <row r="5028" ht="15.75" customHeight="1" spans="1:7">
      <c r="A5028" s="4" t="s">
        <v>11168</v>
      </c>
      <c r="B5028" s="5" t="s">
        <v>11169</v>
      </c>
      <c r="C5028" s="4" t="s">
        <v>9885</v>
      </c>
      <c r="D5028" s="475">
        <v>655.81</v>
      </c>
      <c r="E5028" s="476">
        <v>0.03814</v>
      </c>
      <c r="F5028" s="6">
        <v>13.0608</v>
      </c>
      <c r="G5028" s="6">
        <v>0.75</v>
      </c>
    </row>
    <row r="5029" ht="15.75" customHeight="1" spans="1:7">
      <c r="A5029" s="4" t="s">
        <v>11170</v>
      </c>
      <c r="B5029" s="5" t="s">
        <v>11171</v>
      </c>
      <c r="C5029" s="4" t="s">
        <v>82</v>
      </c>
      <c r="D5029" s="475">
        <v>2146.84</v>
      </c>
      <c r="E5029" s="476">
        <v>0</v>
      </c>
      <c r="F5029" s="6">
        <v>0</v>
      </c>
      <c r="G5029" s="6">
        <v>0.28125</v>
      </c>
    </row>
    <row r="5030" ht="15.75" customHeight="1" spans="1:7">
      <c r="A5030" s="4" t="s">
        <v>11172</v>
      </c>
      <c r="B5030" s="5" t="s">
        <v>11173</v>
      </c>
      <c r="C5030" s="4" t="s">
        <v>82</v>
      </c>
      <c r="D5030" s="475">
        <v>1802.27</v>
      </c>
      <c r="E5030" s="476">
        <v>0</v>
      </c>
      <c r="F5030" s="6">
        <v>0</v>
      </c>
      <c r="G5030" s="6">
        <v>0.375</v>
      </c>
    </row>
    <row r="5031" ht="15.75" customHeight="1" spans="1:7">
      <c r="A5031" s="4" t="s">
        <v>11174</v>
      </c>
      <c r="B5031" s="5" t="s">
        <v>11175</v>
      </c>
      <c r="C5031" s="4" t="s">
        <v>82</v>
      </c>
      <c r="D5031" s="475">
        <v>1946.96</v>
      </c>
      <c r="E5031" s="476">
        <v>0</v>
      </c>
      <c r="F5031" s="6">
        <v>0</v>
      </c>
      <c r="G5031" s="6">
        <v>0.31034</v>
      </c>
    </row>
    <row r="5032" ht="15.75" customHeight="1" spans="1:7">
      <c r="A5032" s="4" t="s">
        <v>11176</v>
      </c>
      <c r="B5032" s="5" t="s">
        <v>11177</v>
      </c>
      <c r="C5032" s="4" t="s">
        <v>82</v>
      </c>
      <c r="D5032" s="475">
        <v>1059.04</v>
      </c>
      <c r="E5032" s="476">
        <v>0</v>
      </c>
      <c r="F5032" s="6">
        <v>0</v>
      </c>
      <c r="G5032" s="6">
        <v>0.5</v>
      </c>
    </row>
    <row r="5033" ht="15.75" customHeight="1" spans="1:7">
      <c r="A5033" s="4" t="s">
        <v>11178</v>
      </c>
      <c r="B5033" s="5" t="s">
        <v>11179</v>
      </c>
      <c r="C5033" s="4" t="s">
        <v>82</v>
      </c>
      <c r="D5033" s="475">
        <v>956.67</v>
      </c>
      <c r="E5033" s="476">
        <v>0</v>
      </c>
      <c r="F5033" s="6">
        <v>0</v>
      </c>
      <c r="G5033" s="6">
        <v>0.45</v>
      </c>
    </row>
    <row r="5034" ht="15.75" customHeight="1" spans="1:7">
      <c r="A5034" s="4" t="s">
        <v>11180</v>
      </c>
      <c r="B5034" s="5" t="s">
        <v>11181</v>
      </c>
      <c r="C5034" s="4" t="s">
        <v>82</v>
      </c>
      <c r="D5034" s="475">
        <v>383.38</v>
      </c>
      <c r="E5034" s="476">
        <v>0</v>
      </c>
      <c r="F5034" s="6">
        <v>0</v>
      </c>
      <c r="G5034" s="6">
        <v>1</v>
      </c>
    </row>
    <row r="5035" ht="15.75" customHeight="1" spans="1:7">
      <c r="A5035" s="4" t="s">
        <v>11182</v>
      </c>
      <c r="B5035" s="5" t="s">
        <v>11183</v>
      </c>
      <c r="C5035" s="4" t="s">
        <v>7</v>
      </c>
      <c r="D5035" s="475">
        <v>22.62</v>
      </c>
      <c r="E5035" s="476">
        <v>0</v>
      </c>
      <c r="F5035" s="6">
        <v>0</v>
      </c>
      <c r="G5035" s="6">
        <v>5</v>
      </c>
    </row>
    <row r="5036" ht="15.75" customHeight="1" spans="1:7">
      <c r="A5036" s="4" t="s">
        <v>11184</v>
      </c>
      <c r="B5036" s="5" t="s">
        <v>11185</v>
      </c>
      <c r="C5036" s="4" t="s">
        <v>9885</v>
      </c>
      <c r="D5036" s="475">
        <v>32.38</v>
      </c>
      <c r="E5036" s="476">
        <v>0</v>
      </c>
      <c r="F5036" s="6">
        <v>0</v>
      </c>
      <c r="G5036" s="6">
        <v>8.34868</v>
      </c>
    </row>
    <row r="5037" ht="15.75" customHeight="1" spans="1:7">
      <c r="A5037" s="4" t="s">
        <v>11186</v>
      </c>
      <c r="B5037" s="5" t="s">
        <v>11187</v>
      </c>
      <c r="C5037" s="4" t="s">
        <v>99</v>
      </c>
      <c r="D5037" s="475">
        <v>18.34</v>
      </c>
      <c r="E5037" s="476">
        <v>0.03632</v>
      </c>
      <c r="F5037" s="6">
        <v>0.6429</v>
      </c>
      <c r="G5037" s="6">
        <v>4</v>
      </c>
    </row>
    <row r="5038" ht="15.75" customHeight="1" spans="1:7">
      <c r="A5038" s="4" t="s">
        <v>11188</v>
      </c>
      <c r="B5038" s="5" t="s">
        <v>11189</v>
      </c>
      <c r="C5038" s="4" t="s">
        <v>99</v>
      </c>
      <c r="D5038" s="475">
        <v>14.68</v>
      </c>
      <c r="E5038" s="476">
        <v>0.03632</v>
      </c>
      <c r="F5038" s="6">
        <v>0.5143</v>
      </c>
      <c r="G5038" s="6">
        <v>5</v>
      </c>
    </row>
    <row r="5039" ht="15.75" customHeight="1" spans="1:7">
      <c r="A5039" s="4" t="s">
        <v>11190</v>
      </c>
      <c r="B5039" s="5" t="s">
        <v>11191</v>
      </c>
      <c r="C5039" s="4" t="s">
        <v>99</v>
      </c>
      <c r="D5039" s="475">
        <v>212.83</v>
      </c>
      <c r="E5039" s="476">
        <v>0.03814</v>
      </c>
      <c r="F5039" s="6">
        <v>5.4012</v>
      </c>
      <c r="G5039" s="6">
        <v>1</v>
      </c>
    </row>
    <row r="5040" ht="15.75" customHeight="1" spans="1:7">
      <c r="A5040" s="4" t="s">
        <v>11192</v>
      </c>
      <c r="B5040" s="5" t="s">
        <v>11193</v>
      </c>
      <c r="C5040" s="4" t="s">
        <v>99</v>
      </c>
      <c r="D5040" s="475">
        <v>337.6</v>
      </c>
      <c r="E5040" s="476">
        <v>0.03814</v>
      </c>
      <c r="F5040" s="6">
        <v>9.002</v>
      </c>
      <c r="G5040" s="6">
        <v>1</v>
      </c>
    </row>
    <row r="5041" ht="15.75" customHeight="1" spans="1:7">
      <c r="A5041" s="4" t="s">
        <v>11194</v>
      </c>
      <c r="B5041" s="5" t="s">
        <v>11195</v>
      </c>
      <c r="C5041" s="4" t="s">
        <v>7</v>
      </c>
      <c r="D5041" s="475">
        <v>4.89</v>
      </c>
      <c r="E5041" s="476">
        <v>0.03632</v>
      </c>
      <c r="F5041" s="6">
        <v>0.1714</v>
      </c>
      <c r="G5041" s="6">
        <v>5</v>
      </c>
    </row>
    <row r="5042" ht="15.75" customHeight="1" spans="1:7">
      <c r="A5042" s="4" t="s">
        <v>11196</v>
      </c>
      <c r="B5042" s="5" t="s">
        <v>11197</v>
      </c>
      <c r="C5042" s="4" t="s">
        <v>9</v>
      </c>
      <c r="D5042" s="475">
        <v>2.45</v>
      </c>
      <c r="E5042" s="476">
        <v>0.03632</v>
      </c>
      <c r="F5042" s="6">
        <v>0.0857</v>
      </c>
      <c r="G5042" s="6">
        <v>10</v>
      </c>
    </row>
    <row r="5043" ht="15.75" customHeight="1" spans="1:7">
      <c r="A5043" s="4" t="s">
        <v>11198</v>
      </c>
      <c r="B5043" s="5" t="s">
        <v>11199</v>
      </c>
      <c r="C5043" s="4" t="s">
        <v>99</v>
      </c>
      <c r="D5043" s="475">
        <v>6.16</v>
      </c>
      <c r="E5043" s="476">
        <v>0</v>
      </c>
      <c r="F5043" s="6">
        <v>0</v>
      </c>
      <c r="G5043" s="6">
        <v>90.3</v>
      </c>
    </row>
    <row r="5044" ht="15.75" customHeight="1" spans="1:7">
      <c r="A5044" s="4" t="s">
        <v>11200</v>
      </c>
      <c r="B5044" s="5" t="s">
        <v>11201</v>
      </c>
      <c r="C5044" s="4" t="s">
        <v>99</v>
      </c>
      <c r="D5044" s="475">
        <v>5.15</v>
      </c>
      <c r="E5044" s="476">
        <v>0</v>
      </c>
      <c r="F5044" s="6">
        <v>0</v>
      </c>
      <c r="G5044" s="6">
        <v>139.32</v>
      </c>
    </row>
    <row r="5045" ht="15.75" customHeight="1" spans="1:7">
      <c r="A5045" s="4" t="s">
        <v>11202</v>
      </c>
      <c r="B5045" s="5" t="s">
        <v>11203</v>
      </c>
      <c r="C5045" s="4" t="s">
        <v>99</v>
      </c>
      <c r="D5045" s="475">
        <v>8.42</v>
      </c>
      <c r="E5045" s="476">
        <v>0.03814</v>
      </c>
      <c r="F5045" s="6">
        <v>0.0404</v>
      </c>
      <c r="G5045" s="6">
        <v>228.21</v>
      </c>
    </row>
    <row r="5046" ht="15.75" customHeight="1" spans="1:7">
      <c r="A5046" s="4" t="s">
        <v>11204</v>
      </c>
      <c r="B5046" s="5" t="s">
        <v>11205</v>
      </c>
      <c r="C5046" s="4" t="s">
        <v>99</v>
      </c>
      <c r="D5046" s="475">
        <v>13.43</v>
      </c>
      <c r="E5046" s="476">
        <v>0</v>
      </c>
      <c r="F5046" s="6">
        <v>0</v>
      </c>
      <c r="G5046" s="6">
        <v>76.5</v>
      </c>
    </row>
    <row r="5047" ht="15.75" customHeight="1" spans="1:7">
      <c r="A5047" s="4" t="s">
        <v>11206</v>
      </c>
      <c r="B5047" s="5" t="s">
        <v>11207</v>
      </c>
      <c r="C5047" s="4" t="s">
        <v>99</v>
      </c>
      <c r="D5047" s="475">
        <v>463.71</v>
      </c>
      <c r="E5047" s="476">
        <v>0.03814</v>
      </c>
      <c r="F5047" s="6">
        <v>7.3255</v>
      </c>
      <c r="G5047" s="6">
        <v>1</v>
      </c>
    </row>
    <row r="5048" ht="15.75" customHeight="1" spans="1:7">
      <c r="A5048" s="4" t="s">
        <v>11208</v>
      </c>
      <c r="B5048" s="5" t="s">
        <v>11209</v>
      </c>
      <c r="C5048" s="4" t="s">
        <v>99</v>
      </c>
      <c r="D5048" s="475">
        <v>1403.46</v>
      </c>
      <c r="E5048" s="476">
        <v>0.03814</v>
      </c>
      <c r="F5048" s="6">
        <v>5.8671</v>
      </c>
      <c r="G5048" s="6">
        <v>0.73894</v>
      </c>
    </row>
    <row r="5049" ht="15.75" customHeight="1" spans="1:7">
      <c r="A5049" s="4" t="s">
        <v>11210</v>
      </c>
      <c r="B5049" s="5" t="s">
        <v>11211</v>
      </c>
      <c r="C5049" s="4" t="s">
        <v>11212</v>
      </c>
      <c r="D5049" s="475">
        <v>836.75</v>
      </c>
      <c r="E5049" s="476">
        <v>0.03632</v>
      </c>
      <c r="F5049" s="6">
        <v>23.2128</v>
      </c>
      <c r="G5049" s="6">
        <v>0.3</v>
      </c>
    </row>
    <row r="5050" ht="15.75" customHeight="1" spans="1:7">
      <c r="A5050" s="4" t="s">
        <v>11213</v>
      </c>
      <c r="B5050" s="5" t="s">
        <v>11214</v>
      </c>
      <c r="C5050" s="4" t="s">
        <v>11212</v>
      </c>
      <c r="D5050" s="475">
        <v>2038.31</v>
      </c>
      <c r="E5050" s="476">
        <v>0.03632</v>
      </c>
      <c r="F5050" s="6">
        <v>71.4369</v>
      </c>
      <c r="G5050" s="6">
        <v>0.12</v>
      </c>
    </row>
    <row r="5051" ht="15.75" customHeight="1" spans="1:7">
      <c r="A5051" s="4" t="s">
        <v>11215</v>
      </c>
      <c r="B5051" s="5" t="s">
        <v>11216</v>
      </c>
      <c r="C5051" s="4" t="s">
        <v>11212</v>
      </c>
      <c r="D5051" s="475">
        <v>4891.95</v>
      </c>
      <c r="E5051" s="476">
        <v>0.03632</v>
      </c>
      <c r="F5051" s="6">
        <v>171.4486</v>
      </c>
      <c r="G5051" s="6">
        <v>0.05</v>
      </c>
    </row>
    <row r="5052" ht="15.75" customHeight="1" spans="1:7">
      <c r="A5052" s="4" t="s">
        <v>11217</v>
      </c>
      <c r="B5052" s="5" t="s">
        <v>11218</v>
      </c>
      <c r="C5052" s="4" t="s">
        <v>11212</v>
      </c>
      <c r="D5052" s="475">
        <v>907.21</v>
      </c>
      <c r="E5052" s="476">
        <v>0</v>
      </c>
      <c r="F5052" s="6">
        <v>0</v>
      </c>
      <c r="G5052" s="6">
        <v>0.3276</v>
      </c>
    </row>
    <row r="5053" ht="15.75" customHeight="1" spans="1:7">
      <c r="A5053" s="4" t="s">
        <v>11219</v>
      </c>
      <c r="B5053" s="5" t="s">
        <v>11220</v>
      </c>
      <c r="C5053" s="4" t="s">
        <v>11212</v>
      </c>
      <c r="D5053" s="475">
        <v>521.76</v>
      </c>
      <c r="E5053" s="476">
        <v>0</v>
      </c>
      <c r="F5053" s="6">
        <v>0</v>
      </c>
      <c r="G5053" s="6">
        <v>0.43875</v>
      </c>
    </row>
    <row r="5054" ht="15.75" customHeight="1" spans="1:7">
      <c r="A5054" s="4" t="s">
        <v>11221</v>
      </c>
      <c r="B5054" s="5" t="s">
        <v>11222</v>
      </c>
      <c r="C5054" s="4" t="s">
        <v>9</v>
      </c>
      <c r="D5054" s="475">
        <v>2.94</v>
      </c>
      <c r="E5054" s="476">
        <v>0.03814</v>
      </c>
      <c r="F5054" s="6">
        <v>0.0728</v>
      </c>
      <c r="G5054" s="6">
        <v>125</v>
      </c>
    </row>
    <row r="5055" ht="30" customHeight="1" spans="1:7">
      <c r="A5055" s="4" t="s">
        <v>11223</v>
      </c>
      <c r="B5055" s="5" t="s">
        <v>11224</v>
      </c>
      <c r="C5055" s="4" t="s">
        <v>101</v>
      </c>
      <c r="D5055" s="475">
        <v>69.32</v>
      </c>
      <c r="E5055" s="476">
        <v>0.03814</v>
      </c>
      <c r="F5055" s="6">
        <v>0.5717</v>
      </c>
      <c r="G5055" s="6">
        <v>3.15846</v>
      </c>
    </row>
    <row r="5056" ht="15.75" customHeight="1" spans="1:7">
      <c r="A5056" s="4" t="s">
        <v>11225</v>
      </c>
      <c r="B5056" s="5" t="s">
        <v>11226</v>
      </c>
      <c r="C5056" s="4" t="s">
        <v>99</v>
      </c>
      <c r="D5056" s="475">
        <v>58.09</v>
      </c>
      <c r="E5056" s="476">
        <v>0</v>
      </c>
      <c r="F5056" s="6">
        <v>0</v>
      </c>
      <c r="G5056" s="6">
        <v>1</v>
      </c>
    </row>
    <row r="5057" ht="15.75" customHeight="1" spans="1:7">
      <c r="A5057" s="4" t="s">
        <v>11227</v>
      </c>
      <c r="B5057" s="5" t="s">
        <v>11228</v>
      </c>
      <c r="C5057" s="4" t="s">
        <v>99</v>
      </c>
      <c r="D5057" s="475">
        <v>51.54</v>
      </c>
      <c r="E5057" s="476">
        <v>0</v>
      </c>
      <c r="F5057" s="6">
        <v>0</v>
      </c>
      <c r="G5057" s="6">
        <v>1</v>
      </c>
    </row>
    <row r="5058" ht="15.75" customHeight="1" spans="1:7">
      <c r="A5058" s="4" t="s">
        <v>11229</v>
      </c>
      <c r="B5058" s="5" t="s">
        <v>11230</v>
      </c>
      <c r="C5058" s="4" t="s">
        <v>99</v>
      </c>
      <c r="D5058" s="475">
        <v>5.21</v>
      </c>
      <c r="E5058" s="476">
        <v>0</v>
      </c>
      <c r="F5058" s="6">
        <v>0</v>
      </c>
      <c r="G5058" s="6">
        <v>1</v>
      </c>
    </row>
    <row r="5059" ht="15.75" customHeight="1" spans="1:7">
      <c r="A5059" s="4" t="s">
        <v>11231</v>
      </c>
      <c r="B5059" s="5" t="s">
        <v>11232</v>
      </c>
      <c r="C5059" s="4" t="s">
        <v>82</v>
      </c>
      <c r="D5059" s="475">
        <v>34.32</v>
      </c>
      <c r="E5059" s="476">
        <v>0.03632</v>
      </c>
      <c r="F5059" s="6">
        <v>0.4396</v>
      </c>
      <c r="G5059" s="6">
        <v>13.5</v>
      </c>
    </row>
    <row r="5060" ht="15.75" customHeight="1" spans="1:7">
      <c r="A5060" s="4" t="s">
        <v>11233</v>
      </c>
      <c r="B5060" s="5" t="s">
        <v>11234</v>
      </c>
      <c r="C5060" s="4" t="s">
        <v>82</v>
      </c>
      <c r="D5060" s="475">
        <v>33.81</v>
      </c>
      <c r="E5060" s="476">
        <v>0.03632</v>
      </c>
      <c r="F5060" s="6">
        <v>0.4396</v>
      </c>
      <c r="G5060" s="6">
        <v>13.5</v>
      </c>
    </row>
    <row r="5061" ht="15.75" customHeight="1" spans="1:7">
      <c r="A5061" s="4" t="s">
        <v>11235</v>
      </c>
      <c r="B5061" s="5" t="s">
        <v>11236</v>
      </c>
      <c r="C5061" s="4" t="s">
        <v>82</v>
      </c>
      <c r="D5061" s="475">
        <v>5574.54</v>
      </c>
      <c r="E5061" s="476">
        <v>0.03632</v>
      </c>
      <c r="F5061" s="6">
        <v>0.0313</v>
      </c>
      <c r="G5061" s="6">
        <v>40</v>
      </c>
    </row>
    <row r="5062" ht="15.75" customHeight="1" spans="1:7">
      <c r="A5062" s="4" t="s">
        <v>11237</v>
      </c>
      <c r="B5062" s="5" t="s">
        <v>11238</v>
      </c>
      <c r="C5062" s="4" t="s">
        <v>82</v>
      </c>
      <c r="D5062" s="475">
        <v>5454.57</v>
      </c>
      <c r="E5062" s="476">
        <v>0.03632</v>
      </c>
      <c r="F5062" s="6">
        <v>0.0313</v>
      </c>
      <c r="G5062" s="6">
        <v>40</v>
      </c>
    </row>
    <row r="5063" ht="15.75" customHeight="1" spans="1:7">
      <c r="A5063" s="4" t="s">
        <v>11239</v>
      </c>
      <c r="B5063" s="5" t="s">
        <v>11240</v>
      </c>
      <c r="C5063" s="4" t="s">
        <v>99</v>
      </c>
      <c r="D5063" s="475">
        <v>496.62</v>
      </c>
      <c r="E5063" s="476">
        <v>0.03814</v>
      </c>
      <c r="F5063" s="6">
        <v>11.7352</v>
      </c>
      <c r="G5063" s="6">
        <v>0.56</v>
      </c>
    </row>
    <row r="5064" ht="15.75" customHeight="1" spans="1:7">
      <c r="A5064" s="4" t="s">
        <v>11241</v>
      </c>
      <c r="B5064" s="5" t="s">
        <v>11242</v>
      </c>
      <c r="C5064" s="4" t="s">
        <v>99</v>
      </c>
      <c r="D5064" s="475">
        <v>448.36</v>
      </c>
      <c r="E5064" s="476">
        <v>0.03814</v>
      </c>
      <c r="F5064" s="6">
        <v>12.9315</v>
      </c>
      <c r="G5064" s="6">
        <v>0.5</v>
      </c>
    </row>
    <row r="5065" ht="15.75" customHeight="1" spans="1:7">
      <c r="A5065" s="4" t="s">
        <v>11243</v>
      </c>
      <c r="B5065" s="5" t="s">
        <v>11244</v>
      </c>
      <c r="C5065" s="4" t="s">
        <v>82</v>
      </c>
      <c r="D5065" s="475">
        <v>491.4</v>
      </c>
      <c r="E5065" s="476">
        <v>0</v>
      </c>
      <c r="F5065" s="6">
        <v>0</v>
      </c>
      <c r="G5065" s="6">
        <v>10.48</v>
      </c>
    </row>
    <row r="5066" ht="15.75" customHeight="1" spans="1:7">
      <c r="A5066" s="4" t="s">
        <v>11245</v>
      </c>
      <c r="B5066" s="5" t="s">
        <v>11246</v>
      </c>
      <c r="C5066" s="4" t="s">
        <v>7</v>
      </c>
      <c r="D5066" s="475">
        <v>13.4</v>
      </c>
      <c r="E5066" s="476">
        <v>0.03814</v>
      </c>
      <c r="F5066" s="6">
        <v>0.0611</v>
      </c>
      <c r="G5066" s="6">
        <v>45</v>
      </c>
    </row>
    <row r="5067" ht="15.75" customHeight="1" spans="1:7">
      <c r="A5067" s="4" t="s">
        <v>11247</v>
      </c>
      <c r="B5067" s="5" t="s">
        <v>11248</v>
      </c>
      <c r="C5067" s="4" t="s">
        <v>9</v>
      </c>
      <c r="D5067" s="475">
        <v>210.02</v>
      </c>
      <c r="E5067" s="476">
        <v>0.03814</v>
      </c>
      <c r="F5067" s="6">
        <v>0.569</v>
      </c>
      <c r="G5067" s="6">
        <v>14.78</v>
      </c>
    </row>
    <row r="5068" ht="15.75" customHeight="1" spans="1:7">
      <c r="A5068" s="4" t="s">
        <v>11249</v>
      </c>
      <c r="B5068" s="5" t="s">
        <v>11250</v>
      </c>
      <c r="C5068" s="4" t="s">
        <v>99</v>
      </c>
      <c r="D5068" s="475">
        <v>34.31</v>
      </c>
      <c r="E5068" s="476">
        <v>0.03632</v>
      </c>
      <c r="F5068" s="6">
        <v>0.2269</v>
      </c>
      <c r="G5068" s="6">
        <v>16.88</v>
      </c>
    </row>
    <row r="5069" ht="30" customHeight="1" spans="1:7">
      <c r="A5069" s="4" t="s">
        <v>11251</v>
      </c>
      <c r="B5069" s="5" t="s">
        <v>11252</v>
      </c>
      <c r="C5069" s="4" t="s">
        <v>11253</v>
      </c>
      <c r="D5069" s="475">
        <v>1.17</v>
      </c>
      <c r="E5069" s="476">
        <v>0</v>
      </c>
      <c r="F5069" s="6">
        <v>0</v>
      </c>
      <c r="G5069" s="6">
        <v>1</v>
      </c>
    </row>
    <row r="5070" ht="15.75" customHeight="1" spans="1:7">
      <c r="A5070" s="4" t="s">
        <v>11254</v>
      </c>
      <c r="B5070" s="5" t="s">
        <v>11255</v>
      </c>
      <c r="C5070" s="4" t="s">
        <v>82</v>
      </c>
      <c r="D5070" s="475">
        <v>20.82</v>
      </c>
      <c r="E5070" s="476">
        <v>0</v>
      </c>
      <c r="F5070" s="6">
        <v>0</v>
      </c>
      <c r="G5070" s="6">
        <v>1</v>
      </c>
    </row>
    <row r="5071" ht="15.75" customHeight="1" spans="1:7">
      <c r="A5071" s="4" t="s">
        <v>11256</v>
      </c>
      <c r="B5071" s="5" t="s">
        <v>11257</v>
      </c>
      <c r="C5071" s="4" t="s">
        <v>82</v>
      </c>
      <c r="D5071" s="475">
        <v>19.85</v>
      </c>
      <c r="E5071" s="476">
        <v>0</v>
      </c>
      <c r="F5071" s="6">
        <v>0</v>
      </c>
      <c r="G5071" s="6">
        <v>1</v>
      </c>
    </row>
    <row r="5072" ht="15.75" customHeight="1" spans="1:7">
      <c r="A5072" s="4" t="s">
        <v>11258</v>
      </c>
      <c r="B5072" s="5" t="s">
        <v>11259</v>
      </c>
      <c r="C5072" s="4" t="s">
        <v>82</v>
      </c>
      <c r="D5072" s="475">
        <v>366.33</v>
      </c>
      <c r="E5072" s="476">
        <v>0</v>
      </c>
      <c r="F5072" s="6">
        <v>0</v>
      </c>
      <c r="G5072" s="6">
        <v>3</v>
      </c>
    </row>
    <row r="5073" ht="30" customHeight="1" spans="1:7">
      <c r="A5073" s="4" t="s">
        <v>11260</v>
      </c>
      <c r="B5073" s="5" t="s">
        <v>11261</v>
      </c>
      <c r="C5073" s="4" t="s">
        <v>11253</v>
      </c>
      <c r="D5073" s="475">
        <v>4.06</v>
      </c>
      <c r="E5073" s="476">
        <v>0</v>
      </c>
      <c r="F5073" s="6">
        <v>0</v>
      </c>
      <c r="G5073" s="6">
        <v>1</v>
      </c>
    </row>
    <row r="5074" ht="15.75" customHeight="1" spans="1:7">
      <c r="A5074" s="4" t="s">
        <v>11262</v>
      </c>
      <c r="B5074" s="5" t="s">
        <v>11263</v>
      </c>
      <c r="C5074" s="4" t="s">
        <v>9</v>
      </c>
      <c r="D5074" s="475">
        <v>314.04</v>
      </c>
      <c r="E5074" s="476">
        <v>0</v>
      </c>
      <c r="F5074" s="6">
        <v>0</v>
      </c>
      <c r="G5074" s="6">
        <v>3.5</v>
      </c>
    </row>
    <row r="5075" ht="30" customHeight="1" spans="1:7">
      <c r="A5075" s="4" t="s">
        <v>11264</v>
      </c>
      <c r="B5075" s="5" t="s">
        <v>11265</v>
      </c>
      <c r="C5075" s="4" t="s">
        <v>11266</v>
      </c>
      <c r="D5075" s="475">
        <v>3.54</v>
      </c>
      <c r="E5075" s="476">
        <v>0</v>
      </c>
      <c r="F5075" s="6">
        <v>0</v>
      </c>
      <c r="G5075" s="6">
        <v>1</v>
      </c>
    </row>
    <row r="5076" ht="15.75" customHeight="1" spans="1:7">
      <c r="A5076" s="4" t="s">
        <v>11267</v>
      </c>
      <c r="B5076" s="5" t="s">
        <v>11268</v>
      </c>
      <c r="C5076" s="4" t="s">
        <v>82</v>
      </c>
      <c r="D5076" s="475">
        <v>607.22</v>
      </c>
      <c r="E5076" s="476">
        <v>0</v>
      </c>
      <c r="F5076" s="6">
        <v>0</v>
      </c>
      <c r="G5076" s="6">
        <v>2.5</v>
      </c>
    </row>
    <row r="5077" ht="30" customHeight="1" spans="1:7">
      <c r="A5077" s="4" t="s">
        <v>11269</v>
      </c>
      <c r="B5077" s="5" t="s">
        <v>11270</v>
      </c>
      <c r="C5077" s="4" t="s">
        <v>11253</v>
      </c>
      <c r="D5077" s="475">
        <v>6.03</v>
      </c>
      <c r="E5077" s="476">
        <v>0</v>
      </c>
      <c r="F5077" s="6">
        <v>0</v>
      </c>
      <c r="G5077" s="6">
        <v>1</v>
      </c>
    </row>
    <row r="5078" ht="15.75" customHeight="1" spans="1:7">
      <c r="A5078" s="4" t="s">
        <v>11271</v>
      </c>
      <c r="B5078" s="5" t="s">
        <v>11272</v>
      </c>
      <c r="C5078" s="4" t="s">
        <v>82</v>
      </c>
      <c r="D5078" s="475">
        <v>872.87</v>
      </c>
      <c r="E5078" s="476">
        <v>0</v>
      </c>
      <c r="F5078" s="6">
        <v>0</v>
      </c>
      <c r="G5078" s="6">
        <v>2</v>
      </c>
    </row>
    <row r="5079" ht="30" customHeight="1" spans="1:7">
      <c r="A5079" s="4" t="s">
        <v>11273</v>
      </c>
      <c r="B5079" s="5" t="s">
        <v>11274</v>
      </c>
      <c r="C5079" s="4" t="s">
        <v>11253</v>
      </c>
      <c r="D5079" s="475">
        <v>8.46</v>
      </c>
      <c r="E5079" s="476">
        <v>0</v>
      </c>
      <c r="F5079" s="6">
        <v>0</v>
      </c>
      <c r="G5079" s="6">
        <v>1</v>
      </c>
    </row>
    <row r="5080" ht="30" customHeight="1" spans="1:7">
      <c r="A5080" s="4" t="s">
        <v>11275</v>
      </c>
      <c r="B5080" s="5" t="s">
        <v>11276</v>
      </c>
      <c r="C5080" s="4" t="s">
        <v>11266</v>
      </c>
      <c r="D5080" s="475">
        <v>1.03</v>
      </c>
      <c r="E5080" s="476">
        <v>0</v>
      </c>
      <c r="F5080" s="6">
        <v>0</v>
      </c>
      <c r="G5080" s="6">
        <v>1</v>
      </c>
    </row>
    <row r="5081" ht="30" customHeight="1" spans="1:7">
      <c r="A5081" s="4" t="s">
        <v>11277</v>
      </c>
      <c r="B5081" s="5" t="s">
        <v>11278</v>
      </c>
      <c r="C5081" s="4" t="s">
        <v>11253</v>
      </c>
      <c r="D5081" s="475">
        <v>12.09</v>
      </c>
      <c r="E5081" s="476">
        <v>0.03632</v>
      </c>
      <c r="F5081" s="6">
        <v>0.1798</v>
      </c>
      <c r="G5081" s="6">
        <v>10</v>
      </c>
    </row>
    <row r="5082" ht="30" customHeight="1" spans="1:7">
      <c r="A5082" s="4" t="s">
        <v>11279</v>
      </c>
      <c r="B5082" s="5" t="s">
        <v>11280</v>
      </c>
      <c r="C5082" s="4" t="s">
        <v>11253</v>
      </c>
      <c r="D5082" s="475">
        <v>7.95</v>
      </c>
      <c r="E5082" s="476">
        <v>0.03632</v>
      </c>
      <c r="F5082" s="6">
        <v>0.1185</v>
      </c>
      <c r="G5082" s="6">
        <v>15</v>
      </c>
    </row>
    <row r="5083" ht="15.75" customHeight="1" spans="1:7">
      <c r="A5083" s="4" t="s">
        <v>11281</v>
      </c>
      <c r="B5083" s="5" t="s">
        <v>11282</v>
      </c>
      <c r="C5083" s="4" t="s">
        <v>82</v>
      </c>
      <c r="D5083" s="475">
        <v>253.27</v>
      </c>
      <c r="E5083" s="476">
        <v>0</v>
      </c>
      <c r="F5083" s="6">
        <v>0</v>
      </c>
      <c r="G5083" s="6">
        <v>2.82694</v>
      </c>
    </row>
    <row r="5084" ht="30" customHeight="1" spans="1:7">
      <c r="A5084" s="4" t="s">
        <v>11283</v>
      </c>
      <c r="B5084" s="5" t="s">
        <v>11284</v>
      </c>
      <c r="C5084" s="4" t="s">
        <v>11253</v>
      </c>
      <c r="D5084" s="475">
        <v>0.82</v>
      </c>
      <c r="E5084" s="476">
        <v>0</v>
      </c>
      <c r="F5084" s="6">
        <v>0</v>
      </c>
      <c r="G5084" s="6">
        <v>1</v>
      </c>
    </row>
    <row r="5085" ht="30" customHeight="1" spans="1:7">
      <c r="A5085" s="4" t="s">
        <v>11285</v>
      </c>
      <c r="B5085" s="5" t="s">
        <v>11286</v>
      </c>
      <c r="C5085" s="4" t="s">
        <v>11253</v>
      </c>
      <c r="D5085" s="475">
        <v>1.95</v>
      </c>
      <c r="E5085" s="476">
        <v>0</v>
      </c>
      <c r="F5085" s="6">
        <v>0</v>
      </c>
      <c r="G5085" s="6">
        <v>1</v>
      </c>
    </row>
    <row r="5086" ht="30" customHeight="1" spans="1:7">
      <c r="A5086" s="4" t="s">
        <v>11287</v>
      </c>
      <c r="B5086" s="5" t="s">
        <v>11288</v>
      </c>
      <c r="C5086" s="4" t="s">
        <v>11253</v>
      </c>
      <c r="D5086" s="475">
        <v>5.36</v>
      </c>
      <c r="E5086" s="476">
        <v>0.03632</v>
      </c>
      <c r="F5086" s="6">
        <v>0.0822</v>
      </c>
      <c r="G5086" s="6">
        <v>20</v>
      </c>
    </row>
    <row r="5087" ht="15.75" customHeight="1" spans="1:7">
      <c r="A5087" s="4" t="s">
        <v>11289</v>
      </c>
      <c r="B5087" s="5" t="s">
        <v>11290</v>
      </c>
      <c r="C5087" s="4" t="s">
        <v>82</v>
      </c>
      <c r="D5087" s="475">
        <v>161.61</v>
      </c>
      <c r="E5087" s="476">
        <v>0.03632</v>
      </c>
      <c r="F5087" s="6">
        <v>0.1743</v>
      </c>
      <c r="G5087" s="6">
        <v>12.51</v>
      </c>
    </row>
    <row r="5088" ht="15.75" customHeight="1" spans="1:7">
      <c r="A5088" s="4" t="s">
        <v>11291</v>
      </c>
      <c r="B5088" s="5" t="s">
        <v>11292</v>
      </c>
      <c r="C5088" s="4" t="s">
        <v>11253</v>
      </c>
      <c r="D5088" s="475">
        <v>0.67</v>
      </c>
      <c r="E5088" s="476">
        <v>0</v>
      </c>
      <c r="F5088" s="6">
        <v>0</v>
      </c>
      <c r="G5088" s="6">
        <v>1</v>
      </c>
    </row>
    <row r="5089" ht="15.75" customHeight="1" spans="1:7">
      <c r="A5089" s="4" t="s">
        <v>11293</v>
      </c>
      <c r="B5089" s="5" t="s">
        <v>11294</v>
      </c>
      <c r="C5089" s="4" t="s">
        <v>7</v>
      </c>
      <c r="D5089" s="475">
        <v>339.44</v>
      </c>
      <c r="E5089" s="476">
        <v>0</v>
      </c>
      <c r="F5089" s="6">
        <v>0</v>
      </c>
      <c r="G5089" s="6">
        <v>2.5</v>
      </c>
    </row>
    <row r="5090" ht="30" customHeight="1" spans="1:7">
      <c r="A5090" s="4" t="s">
        <v>11295</v>
      </c>
      <c r="B5090" s="5" t="s">
        <v>11296</v>
      </c>
      <c r="C5090" s="4" t="s">
        <v>11297</v>
      </c>
      <c r="D5090" s="475">
        <v>8.01</v>
      </c>
      <c r="E5090" s="476">
        <v>0.03632</v>
      </c>
      <c r="F5090" s="6">
        <v>0.16</v>
      </c>
      <c r="G5090" s="6">
        <v>5.35627</v>
      </c>
    </row>
    <row r="5091" ht="15.75" customHeight="1" spans="1:7">
      <c r="A5091" s="4" t="s">
        <v>11298</v>
      </c>
      <c r="B5091" s="5" t="s">
        <v>11299</v>
      </c>
      <c r="C5091" s="4" t="s">
        <v>7</v>
      </c>
      <c r="D5091" s="475">
        <v>39.34</v>
      </c>
      <c r="E5091" s="476">
        <v>0</v>
      </c>
      <c r="F5091" s="6">
        <v>0</v>
      </c>
      <c r="G5091" s="6">
        <v>10</v>
      </c>
    </row>
    <row r="5092" ht="30" customHeight="1" spans="1:7">
      <c r="A5092" s="4" t="s">
        <v>11300</v>
      </c>
      <c r="B5092" s="5" t="s">
        <v>11301</v>
      </c>
      <c r="C5092" s="4" t="s">
        <v>11297</v>
      </c>
      <c r="D5092" s="475">
        <v>0.73</v>
      </c>
      <c r="E5092" s="476">
        <v>0</v>
      </c>
      <c r="F5092" s="6">
        <v>0</v>
      </c>
      <c r="G5092" s="6">
        <v>1</v>
      </c>
    </row>
    <row r="5093" ht="15.75" customHeight="1" spans="1:7">
      <c r="A5093" s="4" t="s">
        <v>11302</v>
      </c>
      <c r="B5093" s="5" t="s">
        <v>11303</v>
      </c>
      <c r="C5093" s="4" t="s">
        <v>7</v>
      </c>
      <c r="D5093" s="475">
        <v>68.77</v>
      </c>
      <c r="E5093" s="476">
        <v>0</v>
      </c>
      <c r="F5093" s="6">
        <v>0</v>
      </c>
      <c r="G5093" s="6">
        <v>10</v>
      </c>
    </row>
    <row r="5094" ht="30" customHeight="1" spans="1:7">
      <c r="A5094" s="4" t="s">
        <v>11304</v>
      </c>
      <c r="B5094" s="5" t="s">
        <v>11305</v>
      </c>
      <c r="C5094" s="4" t="s">
        <v>11297</v>
      </c>
      <c r="D5094" s="475">
        <v>0.83</v>
      </c>
      <c r="E5094" s="476">
        <v>0</v>
      </c>
      <c r="F5094" s="6">
        <v>0</v>
      </c>
      <c r="G5094" s="6">
        <v>1</v>
      </c>
    </row>
    <row r="5095" ht="15.75" customHeight="1" spans="1:7">
      <c r="A5095" s="4" t="s">
        <v>11306</v>
      </c>
      <c r="B5095" s="5" t="s">
        <v>11307</v>
      </c>
      <c r="C5095" s="4" t="s">
        <v>82</v>
      </c>
      <c r="D5095" s="475">
        <v>17.89</v>
      </c>
      <c r="E5095" s="476">
        <v>0</v>
      </c>
      <c r="F5095" s="6">
        <v>0</v>
      </c>
      <c r="G5095" s="6">
        <v>12</v>
      </c>
    </row>
    <row r="5096" ht="15.75" customHeight="1" spans="1:7">
      <c r="A5096" s="4" t="s">
        <v>11308</v>
      </c>
      <c r="B5096" s="5" t="s">
        <v>11309</v>
      </c>
      <c r="C5096" s="4" t="s">
        <v>82</v>
      </c>
      <c r="D5096" s="475">
        <v>17.38</v>
      </c>
      <c r="E5096" s="476">
        <v>0</v>
      </c>
      <c r="F5096" s="6">
        <v>0</v>
      </c>
      <c r="G5096" s="6">
        <v>12</v>
      </c>
    </row>
    <row r="5097" ht="15.75" customHeight="1" spans="1:7">
      <c r="A5097" s="4" t="s">
        <v>11310</v>
      </c>
      <c r="B5097" s="5" t="s">
        <v>11311</v>
      </c>
      <c r="C5097" s="4" t="s">
        <v>9</v>
      </c>
      <c r="D5097" s="475">
        <v>0.14</v>
      </c>
      <c r="E5097" s="476">
        <v>0.03632</v>
      </c>
      <c r="F5097" s="6">
        <v>0.0017</v>
      </c>
      <c r="G5097" s="6">
        <v>500</v>
      </c>
    </row>
    <row r="5098" ht="15.75" customHeight="1" spans="1:7">
      <c r="A5098" s="4" t="s">
        <v>11312</v>
      </c>
      <c r="B5098" s="5" t="s">
        <v>11313</v>
      </c>
      <c r="C5098" s="4" t="s">
        <v>7</v>
      </c>
      <c r="D5098" s="475">
        <v>190.08</v>
      </c>
      <c r="E5098" s="476">
        <v>0.03814</v>
      </c>
      <c r="F5098" s="6">
        <v>0.2531</v>
      </c>
      <c r="G5098" s="6">
        <v>25</v>
      </c>
    </row>
    <row r="5099" ht="30" customHeight="1" spans="1:7">
      <c r="A5099" s="4" t="s">
        <v>11314</v>
      </c>
      <c r="B5099" s="5" t="s">
        <v>11315</v>
      </c>
      <c r="C5099" s="4" t="s">
        <v>11253</v>
      </c>
      <c r="D5099" s="475">
        <v>1.13</v>
      </c>
      <c r="E5099" s="476">
        <v>0</v>
      </c>
      <c r="F5099" s="6">
        <v>0</v>
      </c>
      <c r="G5099" s="6">
        <v>1</v>
      </c>
    </row>
    <row r="5100" ht="15.75" customHeight="1" spans="1:7">
      <c r="A5100" s="4" t="s">
        <v>11316</v>
      </c>
      <c r="B5100" s="5" t="s">
        <v>11317</v>
      </c>
      <c r="C5100" s="4" t="s">
        <v>7</v>
      </c>
      <c r="D5100" s="475">
        <v>20.12</v>
      </c>
      <c r="E5100" s="476">
        <v>0.03814</v>
      </c>
      <c r="F5100" s="6">
        <v>0.0554</v>
      </c>
      <c r="G5100" s="6">
        <v>177.07</v>
      </c>
    </row>
    <row r="5101" ht="15.75" customHeight="1" spans="1:7">
      <c r="A5101" s="4" t="s">
        <v>11318</v>
      </c>
      <c r="B5101" s="5" t="s">
        <v>11319</v>
      </c>
      <c r="C5101" s="4" t="s">
        <v>7</v>
      </c>
      <c r="D5101" s="475">
        <v>27.64</v>
      </c>
      <c r="E5101" s="476">
        <v>0.03814</v>
      </c>
      <c r="F5101" s="6">
        <v>0.0657</v>
      </c>
      <c r="G5101" s="6">
        <v>149.4</v>
      </c>
    </row>
    <row r="5102" ht="15.75" customHeight="1" spans="1:7">
      <c r="A5102" s="4" t="s">
        <v>11320</v>
      </c>
      <c r="B5102" s="5" t="s">
        <v>11321</v>
      </c>
      <c r="C5102" s="4" t="s">
        <v>7</v>
      </c>
      <c r="D5102" s="475">
        <v>12.96</v>
      </c>
      <c r="E5102" s="476">
        <v>0.03814</v>
      </c>
      <c r="F5102" s="6">
        <v>0.0514</v>
      </c>
      <c r="G5102" s="6">
        <v>190.9</v>
      </c>
    </row>
    <row r="5103" ht="15.75" customHeight="1" spans="1:7">
      <c r="A5103" s="4" t="s">
        <v>11322</v>
      </c>
      <c r="B5103" s="5" t="s">
        <v>11323</v>
      </c>
      <c r="C5103" s="4" t="s">
        <v>7</v>
      </c>
      <c r="D5103" s="475">
        <v>15.5</v>
      </c>
      <c r="E5103" s="476">
        <v>0.03814</v>
      </c>
      <c r="F5103" s="6">
        <v>0.0554</v>
      </c>
      <c r="G5103" s="6">
        <v>177.07</v>
      </c>
    </row>
    <row r="5104" ht="15.75" customHeight="1" spans="1:7">
      <c r="A5104" s="4" t="s">
        <v>11324</v>
      </c>
      <c r="B5104" s="5" t="s">
        <v>11325</v>
      </c>
      <c r="C5104" s="4" t="s">
        <v>7</v>
      </c>
      <c r="D5104" s="475">
        <v>18.08</v>
      </c>
      <c r="E5104" s="476">
        <v>0.03814</v>
      </c>
      <c r="F5104" s="6">
        <v>0.0601</v>
      </c>
      <c r="G5104" s="6">
        <v>163.23</v>
      </c>
    </row>
    <row r="5105" ht="15.75" customHeight="1" spans="1:7">
      <c r="A5105" s="4" t="s">
        <v>11326</v>
      </c>
      <c r="B5105" s="5" t="s">
        <v>11327</v>
      </c>
      <c r="C5105" s="4" t="s">
        <v>104</v>
      </c>
      <c r="D5105" s="475">
        <v>24.46</v>
      </c>
      <c r="E5105" s="476">
        <v>0.03632</v>
      </c>
      <c r="F5105" s="6">
        <v>0.8572</v>
      </c>
      <c r="G5105" s="6">
        <v>1</v>
      </c>
    </row>
    <row r="5106" ht="15.75" customHeight="1" spans="1:7">
      <c r="A5106" s="4" t="s">
        <v>11328</v>
      </c>
      <c r="B5106" s="5" t="s">
        <v>11329</v>
      </c>
      <c r="C5106" s="4" t="s">
        <v>104</v>
      </c>
      <c r="D5106" s="475">
        <v>6.62</v>
      </c>
      <c r="E5106" s="476">
        <v>0</v>
      </c>
      <c r="F5106" s="6">
        <v>0</v>
      </c>
      <c r="G5106" s="6">
        <v>1</v>
      </c>
    </row>
    <row r="5107" ht="15.75" customHeight="1" spans="1:7">
      <c r="A5107" s="4" t="s">
        <v>11330</v>
      </c>
      <c r="B5107" s="5" t="s">
        <v>11331</v>
      </c>
      <c r="C5107" s="4" t="s">
        <v>104</v>
      </c>
      <c r="D5107" s="475">
        <v>110.82</v>
      </c>
      <c r="E5107" s="476">
        <v>0</v>
      </c>
      <c r="F5107" s="6">
        <v>0</v>
      </c>
      <c r="G5107" s="6">
        <v>1</v>
      </c>
    </row>
    <row r="5108" ht="15.75" customHeight="1" spans="1:7">
      <c r="A5108" s="4" t="s">
        <v>11332</v>
      </c>
      <c r="B5108" s="5" t="s">
        <v>11333</v>
      </c>
      <c r="C5108" s="4" t="s">
        <v>104</v>
      </c>
      <c r="D5108" s="475">
        <v>27.68</v>
      </c>
      <c r="E5108" s="476">
        <v>0</v>
      </c>
      <c r="F5108" s="6">
        <v>0</v>
      </c>
      <c r="G5108" s="6">
        <v>1</v>
      </c>
    </row>
    <row r="5109" ht="15.75" customHeight="1" spans="1:7">
      <c r="A5109" s="4" t="s">
        <v>11334</v>
      </c>
      <c r="B5109" s="5" t="s">
        <v>11335</v>
      </c>
      <c r="C5109" s="4" t="s">
        <v>7</v>
      </c>
      <c r="D5109" s="475">
        <v>126.2</v>
      </c>
      <c r="E5109" s="476">
        <v>0.03814</v>
      </c>
      <c r="F5109" s="6">
        <v>0.4103</v>
      </c>
      <c r="G5109" s="6">
        <v>60.23</v>
      </c>
    </row>
    <row r="5110" ht="15.75" customHeight="1" spans="1:7">
      <c r="A5110" s="4" t="s">
        <v>11336</v>
      </c>
      <c r="B5110" s="5" t="s">
        <v>11337</v>
      </c>
      <c r="C5110" s="4" t="s">
        <v>7</v>
      </c>
      <c r="D5110" s="475">
        <v>220.16</v>
      </c>
      <c r="E5110" s="476">
        <v>0.03814</v>
      </c>
      <c r="F5110" s="6">
        <v>0.4103</v>
      </c>
      <c r="G5110" s="6">
        <v>60.23</v>
      </c>
    </row>
    <row r="5111" ht="15.75" customHeight="1" spans="1:7">
      <c r="A5111" s="4" t="s">
        <v>11338</v>
      </c>
      <c r="B5111" s="5" t="s">
        <v>11339</v>
      </c>
      <c r="C5111" s="4" t="s">
        <v>7</v>
      </c>
      <c r="D5111" s="475">
        <v>126.2</v>
      </c>
      <c r="E5111" s="476">
        <v>0.03814</v>
      </c>
      <c r="F5111" s="6">
        <v>0.4103</v>
      </c>
      <c r="G5111" s="6">
        <v>60.23</v>
      </c>
    </row>
    <row r="5112" ht="15.75" customHeight="1" spans="1:7">
      <c r="A5112" s="4" t="s">
        <v>11340</v>
      </c>
      <c r="B5112" s="5" t="s">
        <v>11341</v>
      </c>
      <c r="C5112" s="4" t="s">
        <v>7</v>
      </c>
      <c r="D5112" s="475">
        <v>228.33</v>
      </c>
      <c r="E5112" s="476">
        <v>0.03814</v>
      </c>
      <c r="F5112" s="6">
        <v>0.4103</v>
      </c>
      <c r="G5112" s="6">
        <v>60.23</v>
      </c>
    </row>
    <row r="5113" ht="15.75" customHeight="1" spans="1:7">
      <c r="A5113" s="4" t="s">
        <v>11342</v>
      </c>
      <c r="B5113" s="5" t="s">
        <v>11343</v>
      </c>
      <c r="C5113" s="4" t="s">
        <v>7</v>
      </c>
      <c r="D5113" s="475">
        <v>69.05</v>
      </c>
      <c r="E5113" s="476">
        <v>0.03814</v>
      </c>
      <c r="F5113" s="6">
        <v>0.2279</v>
      </c>
      <c r="G5113" s="6">
        <v>108.45</v>
      </c>
    </row>
    <row r="5114" ht="15.75" customHeight="1" spans="1:7">
      <c r="A5114" s="4" t="s">
        <v>11344</v>
      </c>
      <c r="B5114" s="5" t="s">
        <v>11345</v>
      </c>
      <c r="C5114" s="4" t="s">
        <v>7</v>
      </c>
      <c r="D5114" s="475">
        <v>152.34</v>
      </c>
      <c r="E5114" s="476">
        <v>0.03814</v>
      </c>
      <c r="F5114" s="6">
        <v>1.744</v>
      </c>
      <c r="G5114" s="6">
        <v>9.96</v>
      </c>
    </row>
    <row r="5115" ht="15.75" customHeight="1" spans="1:7">
      <c r="A5115" s="4" t="s">
        <v>11346</v>
      </c>
      <c r="B5115" s="5" t="s">
        <v>11347</v>
      </c>
      <c r="C5115" s="4" t="s">
        <v>7</v>
      </c>
      <c r="D5115" s="475">
        <v>178.86</v>
      </c>
      <c r="E5115" s="476">
        <v>0.03814</v>
      </c>
      <c r="F5115" s="6">
        <v>1.744</v>
      </c>
      <c r="G5115" s="6">
        <v>9.96</v>
      </c>
    </row>
    <row r="5116" ht="15.75" customHeight="1" spans="1:7">
      <c r="A5116" s="4" t="s">
        <v>11348</v>
      </c>
      <c r="B5116" s="5" t="s">
        <v>11349</v>
      </c>
      <c r="C5116" s="4" t="s">
        <v>7</v>
      </c>
      <c r="D5116" s="475">
        <v>162.52</v>
      </c>
      <c r="E5116" s="476">
        <v>0.03814</v>
      </c>
      <c r="F5116" s="6">
        <v>1.744</v>
      </c>
      <c r="G5116" s="6">
        <v>9.96</v>
      </c>
    </row>
    <row r="5117" ht="15.75" customHeight="1" spans="1:7">
      <c r="A5117" s="4" t="s">
        <v>11350</v>
      </c>
      <c r="B5117" s="5" t="s">
        <v>11351</v>
      </c>
      <c r="C5117" s="4" t="s">
        <v>7</v>
      </c>
      <c r="D5117" s="475">
        <v>111.86</v>
      </c>
      <c r="E5117" s="476">
        <v>0.03814</v>
      </c>
      <c r="F5117" s="6">
        <v>1.744</v>
      </c>
      <c r="G5117" s="6">
        <v>9.96</v>
      </c>
    </row>
    <row r="5118" ht="15.75" customHeight="1" spans="1:7">
      <c r="A5118" s="4" t="s">
        <v>11352</v>
      </c>
      <c r="B5118" s="5" t="s">
        <v>11353</v>
      </c>
      <c r="C5118" s="4" t="s">
        <v>7</v>
      </c>
      <c r="D5118" s="475">
        <v>98.61</v>
      </c>
      <c r="E5118" s="476">
        <v>0.03814</v>
      </c>
      <c r="F5118" s="6">
        <v>1.744</v>
      </c>
      <c r="G5118" s="6">
        <v>9.96</v>
      </c>
    </row>
    <row r="5119" ht="15.75" customHeight="1" spans="1:7">
      <c r="A5119" s="4" t="s">
        <v>11354</v>
      </c>
      <c r="B5119" s="5" t="s">
        <v>11355</v>
      </c>
      <c r="C5119" s="4" t="s">
        <v>7</v>
      </c>
      <c r="D5119" s="475">
        <v>97.19</v>
      </c>
      <c r="E5119" s="476">
        <v>0.03814</v>
      </c>
      <c r="F5119" s="6">
        <v>1.744</v>
      </c>
      <c r="G5119" s="6">
        <v>9.96</v>
      </c>
    </row>
    <row r="5120" ht="15.75" customHeight="1" spans="1:7">
      <c r="A5120" s="4" t="s">
        <v>11356</v>
      </c>
      <c r="B5120" s="5" t="s">
        <v>11357</v>
      </c>
      <c r="C5120" s="4" t="s">
        <v>7</v>
      </c>
      <c r="D5120" s="475">
        <v>48.15</v>
      </c>
      <c r="E5120" s="476">
        <v>0.03814</v>
      </c>
      <c r="F5120" s="6">
        <v>0.1821</v>
      </c>
      <c r="G5120" s="6">
        <v>95.4</v>
      </c>
    </row>
    <row r="5121" ht="15.75" customHeight="1" spans="1:7">
      <c r="A5121" s="4" t="s">
        <v>11358</v>
      </c>
      <c r="B5121" s="5" t="s">
        <v>11359</v>
      </c>
      <c r="C5121" s="4" t="s">
        <v>7</v>
      </c>
      <c r="D5121" s="475">
        <v>20.44</v>
      </c>
      <c r="E5121" s="476">
        <v>0.03814</v>
      </c>
      <c r="F5121" s="6">
        <v>0.0661</v>
      </c>
      <c r="G5121" s="6">
        <v>177.07</v>
      </c>
    </row>
    <row r="5122" ht="15.75" customHeight="1" spans="1:7">
      <c r="A5122" s="4" t="s">
        <v>11360</v>
      </c>
      <c r="B5122" s="5" t="s">
        <v>11361</v>
      </c>
      <c r="C5122" s="4" t="s">
        <v>7</v>
      </c>
      <c r="D5122" s="475">
        <v>28.01</v>
      </c>
      <c r="E5122" s="476">
        <v>0.03814</v>
      </c>
      <c r="F5122" s="6">
        <v>0.0784</v>
      </c>
      <c r="G5122" s="6">
        <v>149.4</v>
      </c>
    </row>
    <row r="5123" ht="15.75" customHeight="1" spans="1:7">
      <c r="A5123" s="4" t="s">
        <v>11362</v>
      </c>
      <c r="B5123" s="5" t="s">
        <v>138</v>
      </c>
      <c r="C5123" s="4" t="s">
        <v>7</v>
      </c>
      <c r="D5123" s="475">
        <v>13.25</v>
      </c>
      <c r="E5123" s="476">
        <v>0.03814</v>
      </c>
      <c r="F5123" s="6">
        <v>0.0614</v>
      </c>
      <c r="G5123" s="6">
        <v>190.9</v>
      </c>
    </row>
    <row r="5124" ht="15.75" customHeight="1" spans="1:7">
      <c r="A5124" s="4" t="s">
        <v>11363</v>
      </c>
      <c r="B5124" s="5" t="s">
        <v>11364</v>
      </c>
      <c r="C5124" s="4" t="s">
        <v>7</v>
      </c>
      <c r="D5124" s="475">
        <v>15.81</v>
      </c>
      <c r="E5124" s="476">
        <v>0.03814</v>
      </c>
      <c r="F5124" s="6">
        <v>0.0661</v>
      </c>
      <c r="G5124" s="6">
        <v>177.07</v>
      </c>
    </row>
    <row r="5125" ht="15.75" customHeight="1" spans="1:7">
      <c r="A5125" s="4" t="s">
        <v>11365</v>
      </c>
      <c r="B5125" s="5" t="s">
        <v>11366</v>
      </c>
      <c r="C5125" s="4" t="s">
        <v>7</v>
      </c>
      <c r="D5125" s="475">
        <v>18.42</v>
      </c>
      <c r="E5125" s="476">
        <v>0.03814</v>
      </c>
      <c r="F5125" s="6">
        <v>0.0717</v>
      </c>
      <c r="G5125" s="6">
        <v>163.23</v>
      </c>
    </row>
    <row r="5126" ht="15.75" customHeight="1" spans="1:7">
      <c r="A5126" s="4" t="s">
        <v>11367</v>
      </c>
      <c r="B5126" s="5" t="s">
        <v>11368</v>
      </c>
      <c r="C5126" s="4" t="s">
        <v>7</v>
      </c>
      <c r="D5126" s="475">
        <v>60.94</v>
      </c>
      <c r="E5126" s="476">
        <v>0.03814</v>
      </c>
      <c r="F5126" s="6">
        <v>0.4395</v>
      </c>
      <c r="G5126" s="6">
        <v>39.52</v>
      </c>
    </row>
    <row r="5127" ht="15.75" customHeight="1" spans="1:7">
      <c r="A5127" s="4" t="s">
        <v>11369</v>
      </c>
      <c r="B5127" s="5" t="s">
        <v>11370</v>
      </c>
      <c r="C5127" s="4" t="s">
        <v>7</v>
      </c>
      <c r="D5127" s="475">
        <v>96.5</v>
      </c>
      <c r="E5127" s="476">
        <v>0.03814</v>
      </c>
      <c r="F5127" s="6">
        <v>0.4395</v>
      </c>
      <c r="G5127" s="6">
        <v>39.52</v>
      </c>
    </row>
    <row r="5128" ht="15.75" customHeight="1" spans="1:7">
      <c r="A5128" s="4" t="s">
        <v>11371</v>
      </c>
      <c r="B5128" s="5" t="s">
        <v>11372</v>
      </c>
      <c r="C5128" s="4" t="s">
        <v>7</v>
      </c>
      <c r="D5128" s="475">
        <v>36.72</v>
      </c>
      <c r="E5128" s="476">
        <v>0.03814</v>
      </c>
      <c r="F5128" s="6">
        <v>0.3881</v>
      </c>
      <c r="G5128" s="6">
        <v>30.18</v>
      </c>
    </row>
    <row r="5129" ht="15.75" customHeight="1" spans="1:7">
      <c r="A5129" s="4" t="s">
        <v>11373</v>
      </c>
      <c r="B5129" s="5" t="s">
        <v>11374</v>
      </c>
      <c r="C5129" s="4" t="s">
        <v>7</v>
      </c>
      <c r="D5129" s="475">
        <v>43.67</v>
      </c>
      <c r="E5129" s="476">
        <v>0.03814</v>
      </c>
      <c r="F5129" s="6">
        <v>0.3881</v>
      </c>
      <c r="G5129" s="6">
        <v>30.18</v>
      </c>
    </row>
    <row r="5130" ht="15.75" customHeight="1" spans="1:7">
      <c r="A5130" s="4" t="s">
        <v>11375</v>
      </c>
      <c r="B5130" s="5" t="s">
        <v>11376</v>
      </c>
      <c r="C5130" s="4" t="s">
        <v>7</v>
      </c>
      <c r="D5130" s="475">
        <v>29.78</v>
      </c>
      <c r="E5130" s="476">
        <v>0.03814</v>
      </c>
      <c r="F5130" s="6">
        <v>0.3881</v>
      </c>
      <c r="G5130" s="6">
        <v>30.18</v>
      </c>
    </row>
    <row r="5131" ht="15.75" customHeight="1" spans="1:7">
      <c r="A5131" s="4" t="s">
        <v>11377</v>
      </c>
      <c r="B5131" s="5" t="s">
        <v>11378</v>
      </c>
      <c r="C5131" s="4" t="s">
        <v>7</v>
      </c>
      <c r="D5131" s="475">
        <v>32.1</v>
      </c>
      <c r="E5131" s="476">
        <v>0.03814</v>
      </c>
      <c r="F5131" s="6">
        <v>0.3881</v>
      </c>
      <c r="G5131" s="6">
        <v>30.18</v>
      </c>
    </row>
    <row r="5132" ht="15.75" customHeight="1" spans="1:7">
      <c r="A5132" s="4" t="s">
        <v>11379</v>
      </c>
      <c r="B5132" s="5" t="s">
        <v>11380</v>
      </c>
      <c r="C5132" s="4" t="s">
        <v>7</v>
      </c>
      <c r="D5132" s="475">
        <v>34.42</v>
      </c>
      <c r="E5132" s="476">
        <v>0.03814</v>
      </c>
      <c r="F5132" s="6">
        <v>0.3881</v>
      </c>
      <c r="G5132" s="6">
        <v>30.18</v>
      </c>
    </row>
    <row r="5133" ht="15.75" customHeight="1" spans="1:7">
      <c r="A5133" s="4" t="s">
        <v>11381</v>
      </c>
      <c r="B5133" s="5" t="s">
        <v>11382</v>
      </c>
      <c r="C5133" s="4" t="s">
        <v>7</v>
      </c>
      <c r="D5133" s="475">
        <v>16.71</v>
      </c>
      <c r="E5133" s="476">
        <v>0</v>
      </c>
      <c r="F5133" s="6">
        <v>0</v>
      </c>
      <c r="G5133" s="6">
        <v>19.15</v>
      </c>
    </row>
    <row r="5134" ht="15.75" customHeight="1" spans="1:7">
      <c r="A5134" s="4" t="s">
        <v>11383</v>
      </c>
      <c r="B5134" s="5" t="s">
        <v>11384</v>
      </c>
      <c r="C5134" s="4" t="s">
        <v>82</v>
      </c>
      <c r="D5134" s="475">
        <v>283.3</v>
      </c>
      <c r="E5134" s="476">
        <v>0.03632</v>
      </c>
      <c r="F5134" s="6">
        <v>1.8247</v>
      </c>
      <c r="G5134" s="6">
        <v>3</v>
      </c>
    </row>
    <row r="5135" ht="15.75" customHeight="1" spans="1:7">
      <c r="A5135" s="4" t="s">
        <v>11385</v>
      </c>
      <c r="B5135" s="5" t="s">
        <v>11386</v>
      </c>
      <c r="C5135" s="4" t="s">
        <v>82</v>
      </c>
      <c r="D5135" s="475">
        <v>483.03</v>
      </c>
      <c r="E5135" s="476">
        <v>0.03632</v>
      </c>
      <c r="F5135" s="6">
        <v>1.8247</v>
      </c>
      <c r="G5135" s="6">
        <v>3</v>
      </c>
    </row>
    <row r="5136" ht="15.75" customHeight="1" spans="1:7">
      <c r="A5136" s="4" t="s">
        <v>11387</v>
      </c>
      <c r="B5136" s="5" t="s">
        <v>11388</v>
      </c>
      <c r="C5136" s="4" t="s">
        <v>82</v>
      </c>
      <c r="D5136" s="475">
        <v>675.72</v>
      </c>
      <c r="E5136" s="476">
        <v>0.03632</v>
      </c>
      <c r="F5136" s="6">
        <v>1.8247</v>
      </c>
      <c r="G5136" s="6">
        <v>3</v>
      </c>
    </row>
    <row r="5137" ht="15.75" customHeight="1" spans="1:7">
      <c r="A5137" s="4" t="s">
        <v>11389</v>
      </c>
      <c r="B5137" s="5" t="s">
        <v>11390</v>
      </c>
      <c r="C5137" s="4" t="s">
        <v>82</v>
      </c>
      <c r="D5137" s="475">
        <v>1097.92</v>
      </c>
      <c r="E5137" s="476">
        <v>0.03632</v>
      </c>
      <c r="F5137" s="6">
        <v>1.8247</v>
      </c>
      <c r="G5137" s="6">
        <v>3</v>
      </c>
    </row>
    <row r="5138" ht="15.75" customHeight="1" spans="1:7">
      <c r="A5138" s="4" t="s">
        <v>11391</v>
      </c>
      <c r="B5138" s="5" t="s">
        <v>11392</v>
      </c>
      <c r="C5138" s="4" t="s">
        <v>82</v>
      </c>
      <c r="D5138" s="475">
        <v>277.66</v>
      </c>
      <c r="E5138" s="476">
        <v>0.03632</v>
      </c>
      <c r="F5138" s="6">
        <v>1.8247</v>
      </c>
      <c r="G5138" s="6">
        <v>3</v>
      </c>
    </row>
    <row r="5139" ht="15.75" customHeight="1" spans="1:7">
      <c r="A5139" s="4" t="s">
        <v>11393</v>
      </c>
      <c r="B5139" s="5" t="s">
        <v>11394</v>
      </c>
      <c r="C5139" s="4" t="s">
        <v>82</v>
      </c>
      <c r="D5139" s="475">
        <v>472.29</v>
      </c>
      <c r="E5139" s="476">
        <v>0.03632</v>
      </c>
      <c r="F5139" s="6">
        <v>1.8247</v>
      </c>
      <c r="G5139" s="6">
        <v>3</v>
      </c>
    </row>
    <row r="5140" ht="15.75" customHeight="1" spans="1:7">
      <c r="A5140" s="4" t="s">
        <v>11395</v>
      </c>
      <c r="B5140" s="5" t="s">
        <v>11396</v>
      </c>
      <c r="C5140" s="4" t="s">
        <v>82</v>
      </c>
      <c r="D5140" s="475">
        <v>660.05</v>
      </c>
      <c r="E5140" s="476">
        <v>0.03632</v>
      </c>
      <c r="F5140" s="6">
        <v>1.8247</v>
      </c>
      <c r="G5140" s="6">
        <v>3</v>
      </c>
    </row>
    <row r="5141" ht="15.75" customHeight="1" spans="1:7">
      <c r="A5141" s="4" t="s">
        <v>11397</v>
      </c>
      <c r="B5141" s="5" t="s">
        <v>11398</v>
      </c>
      <c r="C5141" s="4" t="s">
        <v>82</v>
      </c>
      <c r="D5141" s="475">
        <v>1075.34</v>
      </c>
      <c r="E5141" s="476">
        <v>0.03632</v>
      </c>
      <c r="F5141" s="6">
        <v>1.8247</v>
      </c>
      <c r="G5141" s="6">
        <v>3</v>
      </c>
    </row>
    <row r="5142" ht="30" customHeight="1" spans="1:7">
      <c r="A5142" s="4" t="s">
        <v>11399</v>
      </c>
      <c r="B5142" s="5" t="s">
        <v>11400</v>
      </c>
      <c r="C5142" s="4" t="s">
        <v>11253</v>
      </c>
      <c r="D5142" s="475">
        <v>4.19</v>
      </c>
      <c r="E5142" s="476">
        <v>0</v>
      </c>
      <c r="F5142" s="6">
        <v>0</v>
      </c>
      <c r="G5142" s="6">
        <v>1</v>
      </c>
    </row>
    <row r="5143" ht="15.75" customHeight="1" spans="1:7">
      <c r="A5143" s="4" t="s">
        <v>11401</v>
      </c>
      <c r="B5143" s="5" t="s">
        <v>11402</v>
      </c>
      <c r="C5143" s="4" t="s">
        <v>82</v>
      </c>
      <c r="D5143" s="475">
        <v>298.88</v>
      </c>
      <c r="E5143" s="476">
        <v>0.03632</v>
      </c>
      <c r="F5143" s="6">
        <v>1.8247</v>
      </c>
      <c r="G5143" s="6">
        <v>3</v>
      </c>
    </row>
    <row r="5144" ht="15.75" customHeight="1" spans="1:7">
      <c r="A5144" s="4" t="s">
        <v>11403</v>
      </c>
      <c r="B5144" s="5" t="s">
        <v>11404</v>
      </c>
      <c r="C5144" s="4" t="s">
        <v>82</v>
      </c>
      <c r="D5144" s="475">
        <v>379.99</v>
      </c>
      <c r="E5144" s="476">
        <v>0.03632</v>
      </c>
      <c r="F5144" s="6">
        <v>1.8247</v>
      </c>
      <c r="G5144" s="6">
        <v>3</v>
      </c>
    </row>
    <row r="5145" ht="15.75" customHeight="1" spans="1:7">
      <c r="A5145" s="4" t="s">
        <v>11405</v>
      </c>
      <c r="B5145" s="5" t="s">
        <v>11406</v>
      </c>
      <c r="C5145" s="4" t="s">
        <v>82</v>
      </c>
      <c r="D5145" s="475">
        <v>289.48</v>
      </c>
      <c r="E5145" s="476">
        <v>0.03632</v>
      </c>
      <c r="F5145" s="6">
        <v>1.8247</v>
      </c>
      <c r="G5145" s="6">
        <v>3</v>
      </c>
    </row>
    <row r="5146" ht="15.75" customHeight="1" spans="1:7">
      <c r="A5146" s="4" t="s">
        <v>11407</v>
      </c>
      <c r="B5146" s="5" t="s">
        <v>11408</v>
      </c>
      <c r="C5146" s="4" t="s">
        <v>82</v>
      </c>
      <c r="D5146" s="475">
        <v>368.24</v>
      </c>
      <c r="E5146" s="476">
        <v>0.03632</v>
      </c>
      <c r="F5146" s="6">
        <v>1.8247</v>
      </c>
      <c r="G5146" s="6">
        <v>3</v>
      </c>
    </row>
    <row r="5147" ht="15.75" customHeight="1" spans="1:7">
      <c r="A5147" s="4" t="s">
        <v>11409</v>
      </c>
      <c r="B5147" s="5" t="s">
        <v>11410</v>
      </c>
      <c r="C5147" s="4" t="s">
        <v>82</v>
      </c>
      <c r="D5147" s="475">
        <v>283.27</v>
      </c>
      <c r="E5147" s="476">
        <v>0.03632</v>
      </c>
      <c r="F5147" s="6">
        <v>1.8247</v>
      </c>
      <c r="G5147" s="6">
        <v>3</v>
      </c>
    </row>
    <row r="5148" ht="15.75" customHeight="1" spans="1:7">
      <c r="A5148" s="4" t="s">
        <v>11411</v>
      </c>
      <c r="B5148" s="5" t="s">
        <v>11412</v>
      </c>
      <c r="C5148" s="4" t="s">
        <v>82</v>
      </c>
      <c r="D5148" s="475">
        <v>483.07</v>
      </c>
      <c r="E5148" s="476">
        <v>0.03632</v>
      </c>
      <c r="F5148" s="6">
        <v>1.8247</v>
      </c>
      <c r="G5148" s="6">
        <v>3</v>
      </c>
    </row>
    <row r="5149" ht="15.75" customHeight="1" spans="1:7">
      <c r="A5149" s="4" t="s">
        <v>11413</v>
      </c>
      <c r="B5149" s="5" t="s">
        <v>11414</v>
      </c>
      <c r="C5149" s="4" t="s">
        <v>82</v>
      </c>
      <c r="D5149" s="475">
        <v>675.72</v>
      </c>
      <c r="E5149" s="476">
        <v>0.03632</v>
      </c>
      <c r="F5149" s="6">
        <v>1.8247</v>
      </c>
      <c r="G5149" s="6">
        <v>3</v>
      </c>
    </row>
    <row r="5150" ht="15.75" customHeight="1" spans="1:7">
      <c r="A5150" s="4" t="s">
        <v>11415</v>
      </c>
      <c r="B5150" s="5" t="s">
        <v>11416</v>
      </c>
      <c r="C5150" s="4" t="s">
        <v>82</v>
      </c>
      <c r="D5150" s="475">
        <v>1097.94</v>
      </c>
      <c r="E5150" s="476">
        <v>0.03632</v>
      </c>
      <c r="F5150" s="6">
        <v>1.8247</v>
      </c>
      <c r="G5150" s="6">
        <v>3</v>
      </c>
    </row>
    <row r="5151" ht="15.75" customHeight="1" spans="1:7">
      <c r="A5151" s="4" t="s">
        <v>11417</v>
      </c>
      <c r="B5151" s="5" t="s">
        <v>11418</v>
      </c>
      <c r="C5151" s="4" t="s">
        <v>82</v>
      </c>
      <c r="D5151" s="475">
        <v>283.33</v>
      </c>
      <c r="E5151" s="476">
        <v>0.03632</v>
      </c>
      <c r="F5151" s="6">
        <v>1.8247</v>
      </c>
      <c r="G5151" s="6">
        <v>3</v>
      </c>
    </row>
    <row r="5152" ht="15.75" customHeight="1" spans="1:7">
      <c r="A5152" s="4" t="s">
        <v>11419</v>
      </c>
      <c r="B5152" s="5" t="s">
        <v>11420</v>
      </c>
      <c r="C5152" s="4" t="s">
        <v>82</v>
      </c>
      <c r="D5152" s="475">
        <v>482.99</v>
      </c>
      <c r="E5152" s="476">
        <v>0.03632</v>
      </c>
      <c r="F5152" s="6">
        <v>1.8247</v>
      </c>
      <c r="G5152" s="6">
        <v>3</v>
      </c>
    </row>
    <row r="5153" ht="15.75" customHeight="1" spans="1:7">
      <c r="A5153" s="4" t="s">
        <v>11421</v>
      </c>
      <c r="B5153" s="5" t="s">
        <v>11422</v>
      </c>
      <c r="C5153" s="4" t="s">
        <v>82</v>
      </c>
      <c r="D5153" s="475">
        <v>675.72</v>
      </c>
      <c r="E5153" s="476">
        <v>0.03632</v>
      </c>
      <c r="F5153" s="6">
        <v>1.8247</v>
      </c>
      <c r="G5153" s="6">
        <v>3</v>
      </c>
    </row>
    <row r="5154" ht="15.75" customHeight="1" spans="1:7">
      <c r="A5154" s="4" t="s">
        <v>11423</v>
      </c>
      <c r="B5154" s="5" t="s">
        <v>11424</v>
      </c>
      <c r="C5154" s="4" t="s">
        <v>82</v>
      </c>
      <c r="D5154" s="475">
        <v>1097.99</v>
      </c>
      <c r="E5154" s="476">
        <v>0.03632</v>
      </c>
      <c r="F5154" s="6">
        <v>1.8247</v>
      </c>
      <c r="G5154" s="6">
        <v>3</v>
      </c>
    </row>
    <row r="5155" ht="15.75" customHeight="1" spans="1:7">
      <c r="A5155" s="4" t="s">
        <v>11425</v>
      </c>
      <c r="B5155" s="5" t="s">
        <v>11426</v>
      </c>
      <c r="C5155" s="4" t="s">
        <v>82</v>
      </c>
      <c r="D5155" s="475">
        <v>196.35</v>
      </c>
      <c r="E5155" s="476">
        <v>0.03632</v>
      </c>
      <c r="F5155" s="6">
        <v>1.8247</v>
      </c>
      <c r="G5155" s="6">
        <v>3</v>
      </c>
    </row>
    <row r="5156" ht="15.75" customHeight="1" spans="1:7">
      <c r="A5156" s="4" t="s">
        <v>11427</v>
      </c>
      <c r="B5156" s="5" t="s">
        <v>11428</v>
      </c>
      <c r="C5156" s="4" t="s">
        <v>82</v>
      </c>
      <c r="D5156" s="475">
        <v>307.81</v>
      </c>
      <c r="E5156" s="476">
        <v>0.03632</v>
      </c>
      <c r="F5156" s="6">
        <v>1.8247</v>
      </c>
      <c r="G5156" s="6">
        <v>3</v>
      </c>
    </row>
    <row r="5157" ht="15.75" customHeight="1" spans="1:7">
      <c r="A5157" s="4" t="s">
        <v>11429</v>
      </c>
      <c r="B5157" s="5" t="s">
        <v>11430</v>
      </c>
      <c r="C5157" s="4" t="s">
        <v>82</v>
      </c>
      <c r="D5157" s="475">
        <v>430.44</v>
      </c>
      <c r="E5157" s="476">
        <v>0.03632</v>
      </c>
      <c r="F5157" s="6">
        <v>1.8247</v>
      </c>
      <c r="G5157" s="6">
        <v>3</v>
      </c>
    </row>
    <row r="5158" ht="15.75" customHeight="1" spans="1:7">
      <c r="A5158" s="4" t="s">
        <v>11431</v>
      </c>
      <c r="B5158" s="5" t="s">
        <v>11432</v>
      </c>
      <c r="C5158" s="4" t="s">
        <v>82</v>
      </c>
      <c r="D5158" s="475">
        <v>637.74</v>
      </c>
      <c r="E5158" s="476">
        <v>0.03632</v>
      </c>
      <c r="F5158" s="6">
        <v>1.8247</v>
      </c>
      <c r="G5158" s="6">
        <v>3</v>
      </c>
    </row>
    <row r="5159" ht="15.75" customHeight="1" spans="1:7">
      <c r="A5159" s="4" t="s">
        <v>11433</v>
      </c>
      <c r="B5159" s="5" t="s">
        <v>11434</v>
      </c>
      <c r="C5159" s="4" t="s">
        <v>82</v>
      </c>
      <c r="D5159" s="475">
        <v>277.63</v>
      </c>
      <c r="E5159" s="476">
        <v>0.03632</v>
      </c>
      <c r="F5159" s="6">
        <v>1.8247</v>
      </c>
      <c r="G5159" s="6">
        <v>3</v>
      </c>
    </row>
    <row r="5160" ht="15.75" customHeight="1" spans="1:7">
      <c r="A5160" s="4" t="s">
        <v>11435</v>
      </c>
      <c r="B5160" s="5" t="s">
        <v>11436</v>
      </c>
      <c r="C5160" s="4" t="s">
        <v>82</v>
      </c>
      <c r="D5160" s="475">
        <v>472.33</v>
      </c>
      <c r="E5160" s="476">
        <v>0.03632</v>
      </c>
      <c r="F5160" s="6">
        <v>1.8247</v>
      </c>
      <c r="G5160" s="6">
        <v>3</v>
      </c>
    </row>
    <row r="5161" ht="15.75" customHeight="1" spans="1:7">
      <c r="A5161" s="4" t="s">
        <v>11437</v>
      </c>
      <c r="B5161" s="5" t="s">
        <v>11438</v>
      </c>
      <c r="C5161" s="4" t="s">
        <v>82</v>
      </c>
      <c r="D5161" s="475">
        <v>660.05</v>
      </c>
      <c r="E5161" s="476">
        <v>0.03632</v>
      </c>
      <c r="F5161" s="6">
        <v>1.8247</v>
      </c>
      <c r="G5161" s="6">
        <v>3</v>
      </c>
    </row>
    <row r="5162" ht="15.75" customHeight="1" spans="1:7">
      <c r="A5162" s="4" t="s">
        <v>11439</v>
      </c>
      <c r="B5162" s="5" t="s">
        <v>11440</v>
      </c>
      <c r="C5162" s="4" t="s">
        <v>82</v>
      </c>
      <c r="D5162" s="475">
        <v>1075.36</v>
      </c>
      <c r="E5162" s="476">
        <v>0.03632</v>
      </c>
      <c r="F5162" s="6">
        <v>1.8247</v>
      </c>
      <c r="G5162" s="6">
        <v>3</v>
      </c>
    </row>
    <row r="5163" ht="15.75" customHeight="1" spans="1:7">
      <c r="A5163" s="4" t="s">
        <v>11441</v>
      </c>
      <c r="B5163" s="5" t="s">
        <v>11442</v>
      </c>
      <c r="C5163" s="4" t="s">
        <v>82</v>
      </c>
      <c r="D5163" s="475">
        <v>277.69</v>
      </c>
      <c r="E5163" s="476">
        <v>0.03632</v>
      </c>
      <c r="F5163" s="6">
        <v>1.8247</v>
      </c>
      <c r="G5163" s="6">
        <v>3</v>
      </c>
    </row>
    <row r="5164" ht="15.75" customHeight="1" spans="1:7">
      <c r="A5164" s="4" t="s">
        <v>11443</v>
      </c>
      <c r="B5164" s="5" t="s">
        <v>11444</v>
      </c>
      <c r="C5164" s="4" t="s">
        <v>82</v>
      </c>
      <c r="D5164" s="475">
        <v>472.25</v>
      </c>
      <c r="E5164" s="476">
        <v>0.03632</v>
      </c>
      <c r="F5164" s="6">
        <v>1.8247</v>
      </c>
      <c r="G5164" s="6">
        <v>3</v>
      </c>
    </row>
    <row r="5165" ht="15.75" customHeight="1" spans="1:7">
      <c r="A5165" s="4" t="s">
        <v>11445</v>
      </c>
      <c r="B5165" s="5" t="s">
        <v>11446</v>
      </c>
      <c r="C5165" s="4" t="s">
        <v>82</v>
      </c>
      <c r="D5165" s="475">
        <v>660.05</v>
      </c>
      <c r="E5165" s="476">
        <v>0.03632</v>
      </c>
      <c r="F5165" s="6">
        <v>1.8247</v>
      </c>
      <c r="G5165" s="6">
        <v>3</v>
      </c>
    </row>
    <row r="5166" ht="15.75" customHeight="1" spans="1:7">
      <c r="A5166" s="4" t="s">
        <v>11447</v>
      </c>
      <c r="B5166" s="5" t="s">
        <v>11448</v>
      </c>
      <c r="C5166" s="4" t="s">
        <v>82</v>
      </c>
      <c r="D5166" s="475">
        <v>1075.41</v>
      </c>
      <c r="E5166" s="476">
        <v>0.03632</v>
      </c>
      <c r="F5166" s="6">
        <v>1.8247</v>
      </c>
      <c r="G5166" s="6">
        <v>3</v>
      </c>
    </row>
    <row r="5167" ht="15.75" customHeight="1" spans="1:7">
      <c r="A5167" s="4" t="s">
        <v>11449</v>
      </c>
      <c r="B5167" s="5" t="s">
        <v>11450</v>
      </c>
      <c r="C5167" s="4" t="s">
        <v>82</v>
      </c>
      <c r="D5167" s="475">
        <v>192.93</v>
      </c>
      <c r="E5167" s="476">
        <v>0.03632</v>
      </c>
      <c r="F5167" s="6">
        <v>1.8247</v>
      </c>
      <c r="G5167" s="6">
        <v>3</v>
      </c>
    </row>
    <row r="5168" ht="15.75" customHeight="1" spans="1:7">
      <c r="A5168" s="4" t="s">
        <v>11451</v>
      </c>
      <c r="B5168" s="5" t="s">
        <v>11452</v>
      </c>
      <c r="C5168" s="4" t="s">
        <v>82</v>
      </c>
      <c r="D5168" s="475">
        <v>301.54</v>
      </c>
      <c r="E5168" s="476">
        <v>0.03632</v>
      </c>
      <c r="F5168" s="6">
        <v>1.8247</v>
      </c>
      <c r="G5168" s="6">
        <v>3</v>
      </c>
    </row>
    <row r="5169" ht="15.75" customHeight="1" spans="1:7">
      <c r="A5169" s="4" t="s">
        <v>11453</v>
      </c>
      <c r="B5169" s="5" t="s">
        <v>11454</v>
      </c>
      <c r="C5169" s="4" t="s">
        <v>82</v>
      </c>
      <c r="D5169" s="475">
        <v>421.04</v>
      </c>
      <c r="E5169" s="476">
        <v>0.03632</v>
      </c>
      <c r="F5169" s="6">
        <v>1.8247</v>
      </c>
      <c r="G5169" s="6">
        <v>3</v>
      </c>
    </row>
    <row r="5170" ht="15.75" customHeight="1" spans="1:7">
      <c r="A5170" s="4" t="s">
        <v>11455</v>
      </c>
      <c r="B5170" s="5" t="s">
        <v>11456</v>
      </c>
      <c r="C5170" s="4" t="s">
        <v>82</v>
      </c>
      <c r="D5170" s="475">
        <v>540.54</v>
      </c>
      <c r="E5170" s="476">
        <v>0.03632</v>
      </c>
      <c r="F5170" s="6">
        <v>1.8247</v>
      </c>
      <c r="G5170" s="6">
        <v>3</v>
      </c>
    </row>
    <row r="5171" ht="30" customHeight="1" spans="1:7">
      <c r="A5171" s="4" t="s">
        <v>11457</v>
      </c>
      <c r="B5171" s="5" t="s">
        <v>11458</v>
      </c>
      <c r="C5171" s="4" t="s">
        <v>11253</v>
      </c>
      <c r="D5171" s="475">
        <v>3.95</v>
      </c>
      <c r="E5171" s="476">
        <v>0</v>
      </c>
      <c r="F5171" s="6">
        <v>0</v>
      </c>
      <c r="G5171" s="6">
        <v>1</v>
      </c>
    </row>
    <row r="5172" ht="30" customHeight="1" spans="1:7">
      <c r="A5172" s="4" t="s">
        <v>11459</v>
      </c>
      <c r="B5172" s="5" t="s">
        <v>11460</v>
      </c>
      <c r="C5172" s="4" t="s">
        <v>11253</v>
      </c>
      <c r="D5172" s="475">
        <v>4</v>
      </c>
      <c r="E5172" s="476">
        <v>0</v>
      </c>
      <c r="F5172" s="6">
        <v>0</v>
      </c>
      <c r="G5172" s="6">
        <v>1</v>
      </c>
    </row>
    <row r="5173" ht="30" customHeight="1" spans="1:7">
      <c r="A5173" s="4" t="s">
        <v>11461</v>
      </c>
      <c r="B5173" s="5" t="s">
        <v>11462</v>
      </c>
      <c r="C5173" s="4" t="s">
        <v>11253</v>
      </c>
      <c r="D5173" s="475">
        <v>3.56</v>
      </c>
      <c r="E5173" s="476">
        <v>0</v>
      </c>
      <c r="F5173" s="6">
        <v>0</v>
      </c>
      <c r="G5173" s="6">
        <v>1</v>
      </c>
    </row>
    <row r="5174" ht="15.75" customHeight="1" spans="1:7">
      <c r="A5174" s="4" t="s">
        <v>11463</v>
      </c>
      <c r="B5174" s="5" t="s">
        <v>11464</v>
      </c>
      <c r="C5174" s="4" t="s">
        <v>82</v>
      </c>
      <c r="D5174" s="475">
        <v>167.61</v>
      </c>
      <c r="E5174" s="476">
        <v>0.03632</v>
      </c>
      <c r="F5174" s="6">
        <v>1.8247</v>
      </c>
      <c r="G5174" s="6">
        <v>3</v>
      </c>
    </row>
    <row r="5175" ht="15.75" customHeight="1" spans="1:7">
      <c r="A5175" s="4" t="s">
        <v>11465</v>
      </c>
      <c r="B5175" s="5" t="s">
        <v>11466</v>
      </c>
      <c r="C5175" s="4" t="s">
        <v>82</v>
      </c>
      <c r="D5175" s="475">
        <v>179.28</v>
      </c>
      <c r="E5175" s="476">
        <v>0.03632</v>
      </c>
      <c r="F5175" s="6">
        <v>1.8247</v>
      </c>
      <c r="G5175" s="6">
        <v>3</v>
      </c>
    </row>
    <row r="5176" ht="15.75" customHeight="1" spans="1:7">
      <c r="A5176" s="4" t="s">
        <v>11467</v>
      </c>
      <c r="B5176" s="5" t="s">
        <v>11468</v>
      </c>
      <c r="C5176" s="4" t="s">
        <v>82</v>
      </c>
      <c r="D5176" s="475">
        <v>163.38</v>
      </c>
      <c r="E5176" s="476">
        <v>0.03632</v>
      </c>
      <c r="F5176" s="6">
        <v>1.8247</v>
      </c>
      <c r="G5176" s="6">
        <v>3</v>
      </c>
    </row>
    <row r="5177" ht="15.75" customHeight="1" spans="1:7">
      <c r="A5177" s="4" t="s">
        <v>11469</v>
      </c>
      <c r="B5177" s="5" t="s">
        <v>11470</v>
      </c>
      <c r="C5177" s="4" t="s">
        <v>82</v>
      </c>
      <c r="D5177" s="475">
        <v>174.58</v>
      </c>
      <c r="E5177" s="476">
        <v>0.03632</v>
      </c>
      <c r="F5177" s="6">
        <v>1.8247</v>
      </c>
      <c r="G5177" s="6">
        <v>3</v>
      </c>
    </row>
    <row r="5178" ht="15.75" customHeight="1" spans="1:7">
      <c r="A5178" s="4" t="s">
        <v>11471</v>
      </c>
      <c r="B5178" s="5" t="s">
        <v>11472</v>
      </c>
      <c r="C5178" s="4" t="s">
        <v>82</v>
      </c>
      <c r="D5178" s="475">
        <v>881.55</v>
      </c>
      <c r="E5178" s="476">
        <v>0.03632</v>
      </c>
      <c r="F5178" s="6">
        <v>2.737</v>
      </c>
      <c r="G5178" s="6">
        <v>2</v>
      </c>
    </row>
    <row r="5179" ht="15.75" customHeight="1" spans="1:7">
      <c r="A5179" s="4" t="s">
        <v>11473</v>
      </c>
      <c r="B5179" s="5" t="s">
        <v>11474</v>
      </c>
      <c r="C5179" s="4" t="s">
        <v>82</v>
      </c>
      <c r="D5179" s="475">
        <v>940.27</v>
      </c>
      <c r="E5179" s="476">
        <v>0.03632</v>
      </c>
      <c r="F5179" s="6">
        <v>2.737</v>
      </c>
      <c r="G5179" s="6">
        <v>2</v>
      </c>
    </row>
    <row r="5180" ht="15.75" customHeight="1" spans="1:7">
      <c r="A5180" s="4" t="s">
        <v>11475</v>
      </c>
      <c r="B5180" s="5" t="s">
        <v>11476</v>
      </c>
      <c r="C5180" s="4" t="s">
        <v>82</v>
      </c>
      <c r="D5180" s="475">
        <v>1068.39</v>
      </c>
      <c r="E5180" s="476">
        <v>0.03632</v>
      </c>
      <c r="F5180" s="6">
        <v>2.737</v>
      </c>
      <c r="G5180" s="6">
        <v>2</v>
      </c>
    </row>
    <row r="5181" ht="15.75" customHeight="1" spans="1:7">
      <c r="A5181" s="4" t="s">
        <v>11477</v>
      </c>
      <c r="B5181" s="5" t="s">
        <v>11478</v>
      </c>
      <c r="C5181" s="4" t="s">
        <v>82</v>
      </c>
      <c r="D5181" s="475">
        <v>1087.09</v>
      </c>
      <c r="E5181" s="476">
        <v>0.03632</v>
      </c>
      <c r="F5181" s="6">
        <v>2.737</v>
      </c>
      <c r="G5181" s="6">
        <v>2</v>
      </c>
    </row>
    <row r="5182" ht="15.75" customHeight="1" spans="1:7">
      <c r="A5182" s="4" t="s">
        <v>11479</v>
      </c>
      <c r="B5182" s="5" t="s">
        <v>11480</v>
      </c>
      <c r="C5182" s="4" t="s">
        <v>82</v>
      </c>
      <c r="D5182" s="475">
        <v>1215.21</v>
      </c>
      <c r="E5182" s="476">
        <v>0.03632</v>
      </c>
      <c r="F5182" s="6">
        <v>2.737</v>
      </c>
      <c r="G5182" s="6">
        <v>2</v>
      </c>
    </row>
    <row r="5183" ht="15.75" customHeight="1" spans="1:7">
      <c r="A5183" s="4" t="s">
        <v>11481</v>
      </c>
      <c r="B5183" s="5" t="s">
        <v>11482</v>
      </c>
      <c r="C5183" s="4" t="s">
        <v>82</v>
      </c>
      <c r="D5183" s="475">
        <v>1866.18</v>
      </c>
      <c r="E5183" s="476">
        <v>0.03632</v>
      </c>
      <c r="F5183" s="6">
        <v>2.737</v>
      </c>
      <c r="G5183" s="6">
        <v>2</v>
      </c>
    </row>
    <row r="5184" ht="15.75" customHeight="1" spans="1:7">
      <c r="A5184" s="4" t="s">
        <v>11483</v>
      </c>
      <c r="B5184" s="5" t="s">
        <v>11484</v>
      </c>
      <c r="C5184" s="4" t="s">
        <v>82</v>
      </c>
      <c r="D5184" s="475">
        <v>1998.3</v>
      </c>
      <c r="E5184" s="476">
        <v>0.03632</v>
      </c>
      <c r="F5184" s="6">
        <v>2.737</v>
      </c>
      <c r="G5184" s="6">
        <v>2</v>
      </c>
    </row>
    <row r="5185" ht="15.75" customHeight="1" spans="1:7">
      <c r="A5185" s="4" t="s">
        <v>11485</v>
      </c>
      <c r="B5185" s="5" t="s">
        <v>11486</v>
      </c>
      <c r="C5185" s="4" t="s">
        <v>82</v>
      </c>
      <c r="D5185" s="475">
        <v>2286.57</v>
      </c>
      <c r="E5185" s="476">
        <v>0.03632</v>
      </c>
      <c r="F5185" s="6">
        <v>2.737</v>
      </c>
      <c r="G5185" s="6">
        <v>2</v>
      </c>
    </row>
    <row r="5186" ht="15.75" customHeight="1" spans="1:7">
      <c r="A5186" s="4" t="s">
        <v>11487</v>
      </c>
      <c r="B5186" s="5" t="s">
        <v>11488</v>
      </c>
      <c r="C5186" s="4" t="s">
        <v>82</v>
      </c>
      <c r="D5186" s="475">
        <v>2328.64</v>
      </c>
      <c r="E5186" s="476">
        <v>0.03632</v>
      </c>
      <c r="F5186" s="6">
        <v>2.737</v>
      </c>
      <c r="G5186" s="6">
        <v>2</v>
      </c>
    </row>
    <row r="5187" ht="15.75" customHeight="1" spans="1:7">
      <c r="A5187" s="4" t="s">
        <v>11489</v>
      </c>
      <c r="B5187" s="5" t="s">
        <v>11490</v>
      </c>
      <c r="C5187" s="4" t="s">
        <v>82</v>
      </c>
      <c r="D5187" s="475">
        <v>2616.91</v>
      </c>
      <c r="E5187" s="476">
        <v>0.03632</v>
      </c>
      <c r="F5187" s="6">
        <v>2.737</v>
      </c>
      <c r="G5187" s="6">
        <v>2</v>
      </c>
    </row>
    <row r="5188" ht="15.75" customHeight="1" spans="1:7">
      <c r="A5188" s="4" t="s">
        <v>11491</v>
      </c>
      <c r="B5188" s="5" t="s">
        <v>11492</v>
      </c>
      <c r="C5188" s="4" t="s">
        <v>82</v>
      </c>
      <c r="D5188" s="475">
        <v>2456.95</v>
      </c>
      <c r="E5188" s="476">
        <v>0.03632</v>
      </c>
      <c r="F5188" s="6">
        <v>2.737</v>
      </c>
      <c r="G5188" s="6">
        <v>2</v>
      </c>
    </row>
    <row r="5189" ht="15.75" customHeight="1" spans="1:7">
      <c r="A5189" s="4" t="s">
        <v>11493</v>
      </c>
      <c r="B5189" s="5" t="s">
        <v>11494</v>
      </c>
      <c r="C5189" s="4" t="s">
        <v>82</v>
      </c>
      <c r="D5189" s="475">
        <v>2633.11</v>
      </c>
      <c r="E5189" s="476">
        <v>0.03632</v>
      </c>
      <c r="F5189" s="6">
        <v>2.737</v>
      </c>
      <c r="G5189" s="6">
        <v>2</v>
      </c>
    </row>
    <row r="5190" ht="15.75" customHeight="1" spans="1:7">
      <c r="A5190" s="4" t="s">
        <v>11495</v>
      </c>
      <c r="B5190" s="5" t="s">
        <v>11496</v>
      </c>
      <c r="C5190" s="4" t="s">
        <v>82</v>
      </c>
      <c r="D5190" s="475">
        <v>3017.47</v>
      </c>
      <c r="E5190" s="476">
        <v>0.03632</v>
      </c>
      <c r="F5190" s="6">
        <v>2.737</v>
      </c>
      <c r="G5190" s="6">
        <v>2</v>
      </c>
    </row>
    <row r="5191" ht="15.75" customHeight="1" spans="1:7">
      <c r="A5191" s="4" t="s">
        <v>11497</v>
      </c>
      <c r="B5191" s="5" t="s">
        <v>11498</v>
      </c>
      <c r="C5191" s="4" t="s">
        <v>82</v>
      </c>
      <c r="D5191" s="475">
        <v>3073.57</v>
      </c>
      <c r="E5191" s="476">
        <v>0.03632</v>
      </c>
      <c r="F5191" s="6">
        <v>2.737</v>
      </c>
      <c r="G5191" s="6">
        <v>2</v>
      </c>
    </row>
    <row r="5192" ht="15.75" customHeight="1" spans="1:7">
      <c r="A5192" s="4" t="s">
        <v>11499</v>
      </c>
      <c r="B5192" s="5" t="s">
        <v>11500</v>
      </c>
      <c r="C5192" s="4" t="s">
        <v>82</v>
      </c>
      <c r="D5192" s="475">
        <v>3457.93</v>
      </c>
      <c r="E5192" s="476">
        <v>0.03632</v>
      </c>
      <c r="F5192" s="6">
        <v>2.737</v>
      </c>
      <c r="G5192" s="6">
        <v>2</v>
      </c>
    </row>
    <row r="5193" ht="15.75" customHeight="1" spans="1:7">
      <c r="A5193" s="4" t="s">
        <v>11501</v>
      </c>
      <c r="B5193" s="5" t="s">
        <v>11502</v>
      </c>
      <c r="C5193" s="4" t="s">
        <v>82</v>
      </c>
      <c r="D5193" s="475">
        <v>3338.51</v>
      </c>
      <c r="E5193" s="476">
        <v>0.03632</v>
      </c>
      <c r="F5193" s="6">
        <v>5.4741</v>
      </c>
      <c r="G5193" s="6">
        <v>1</v>
      </c>
    </row>
    <row r="5194" ht="15.75" customHeight="1" spans="1:7">
      <c r="A5194" s="4" t="s">
        <v>11503</v>
      </c>
      <c r="B5194" s="5" t="s">
        <v>11504</v>
      </c>
      <c r="C5194" s="4" t="s">
        <v>82</v>
      </c>
      <c r="D5194" s="475">
        <v>3573.39</v>
      </c>
      <c r="E5194" s="476">
        <v>0.03632</v>
      </c>
      <c r="F5194" s="6">
        <v>5.4741</v>
      </c>
      <c r="G5194" s="6">
        <v>1</v>
      </c>
    </row>
    <row r="5195" ht="15.75" customHeight="1" spans="1:7">
      <c r="A5195" s="4" t="s">
        <v>11505</v>
      </c>
      <c r="B5195" s="5" t="s">
        <v>11506</v>
      </c>
      <c r="C5195" s="4" t="s">
        <v>82</v>
      </c>
      <c r="D5195" s="475">
        <v>4085.87</v>
      </c>
      <c r="E5195" s="476">
        <v>0.03632</v>
      </c>
      <c r="F5195" s="6">
        <v>5.4741</v>
      </c>
      <c r="G5195" s="6">
        <v>1</v>
      </c>
    </row>
    <row r="5196" ht="15.75" customHeight="1" spans="1:7">
      <c r="A5196" s="4" t="s">
        <v>11507</v>
      </c>
      <c r="B5196" s="5" t="s">
        <v>11508</v>
      </c>
      <c r="C5196" s="4" t="s">
        <v>82</v>
      </c>
      <c r="D5196" s="475">
        <v>4160.67</v>
      </c>
      <c r="E5196" s="476">
        <v>0.03632</v>
      </c>
      <c r="F5196" s="6">
        <v>5.4741</v>
      </c>
      <c r="G5196" s="6">
        <v>1</v>
      </c>
    </row>
    <row r="5197" ht="15.75" customHeight="1" spans="1:7">
      <c r="A5197" s="4" t="s">
        <v>11509</v>
      </c>
      <c r="B5197" s="5" t="s">
        <v>11510</v>
      </c>
      <c r="C5197" s="4" t="s">
        <v>82</v>
      </c>
      <c r="D5197" s="475">
        <v>4673.15</v>
      </c>
      <c r="E5197" s="476">
        <v>0.03632</v>
      </c>
      <c r="F5197" s="6">
        <v>5.4741</v>
      </c>
      <c r="G5197" s="6">
        <v>1</v>
      </c>
    </row>
    <row r="5198" ht="15.75" customHeight="1" spans="1:7">
      <c r="A5198" s="4" t="s">
        <v>11511</v>
      </c>
      <c r="B5198" s="5" t="s">
        <v>11512</v>
      </c>
      <c r="C5198" s="4" t="s">
        <v>82</v>
      </c>
      <c r="D5198" s="475">
        <v>4913.91</v>
      </c>
      <c r="E5198" s="476">
        <v>0.03632</v>
      </c>
      <c r="F5198" s="6">
        <v>5.4741</v>
      </c>
      <c r="G5198" s="6">
        <v>1</v>
      </c>
    </row>
    <row r="5199" ht="15.75" customHeight="1" spans="1:7">
      <c r="A5199" s="4" t="s">
        <v>11513</v>
      </c>
      <c r="B5199" s="5" t="s">
        <v>11514</v>
      </c>
      <c r="C5199" s="4" t="s">
        <v>82</v>
      </c>
      <c r="D5199" s="475">
        <v>5266.23</v>
      </c>
      <c r="E5199" s="476">
        <v>0.03632</v>
      </c>
      <c r="F5199" s="6">
        <v>5.4741</v>
      </c>
      <c r="G5199" s="6">
        <v>1</v>
      </c>
    </row>
    <row r="5200" ht="15.75" customHeight="1" spans="1:7">
      <c r="A5200" s="4" t="s">
        <v>11515</v>
      </c>
      <c r="B5200" s="5" t="s">
        <v>11516</v>
      </c>
      <c r="C5200" s="4" t="s">
        <v>82</v>
      </c>
      <c r="D5200" s="475">
        <v>6034.95</v>
      </c>
      <c r="E5200" s="476">
        <v>0.03632</v>
      </c>
      <c r="F5200" s="6">
        <v>5.4741</v>
      </c>
      <c r="G5200" s="6">
        <v>1</v>
      </c>
    </row>
    <row r="5201" ht="15.75" customHeight="1" spans="1:7">
      <c r="A5201" s="4" t="s">
        <v>11517</v>
      </c>
      <c r="B5201" s="5" t="s">
        <v>11518</v>
      </c>
      <c r="C5201" s="4" t="s">
        <v>82</v>
      </c>
      <c r="D5201" s="475">
        <v>6147.15</v>
      </c>
      <c r="E5201" s="476">
        <v>0.03632</v>
      </c>
      <c r="F5201" s="6">
        <v>5.4741</v>
      </c>
      <c r="G5201" s="6">
        <v>1</v>
      </c>
    </row>
    <row r="5202" ht="15.75" customHeight="1" spans="1:7">
      <c r="A5202" s="4" t="s">
        <v>11519</v>
      </c>
      <c r="B5202" s="5" t="s">
        <v>11520</v>
      </c>
      <c r="C5202" s="4" t="s">
        <v>82</v>
      </c>
      <c r="D5202" s="475">
        <v>6915.87</v>
      </c>
      <c r="E5202" s="476">
        <v>0.03632</v>
      </c>
      <c r="F5202" s="6">
        <v>5.4741</v>
      </c>
      <c r="G5202" s="6">
        <v>1</v>
      </c>
    </row>
    <row r="5203" ht="15.75" customHeight="1" spans="1:7">
      <c r="A5203" s="4" t="s">
        <v>11521</v>
      </c>
      <c r="B5203" s="5" t="s">
        <v>11522</v>
      </c>
      <c r="C5203" s="4" t="s">
        <v>7</v>
      </c>
      <c r="D5203" s="475">
        <v>336.67</v>
      </c>
      <c r="E5203" s="476">
        <v>0.03632</v>
      </c>
      <c r="F5203" s="6">
        <v>1.8247</v>
      </c>
      <c r="G5203" s="6">
        <v>3</v>
      </c>
    </row>
    <row r="5204" ht="15.75" customHeight="1" spans="1:7">
      <c r="A5204" s="4" t="s">
        <v>11523</v>
      </c>
      <c r="B5204" s="5" t="s">
        <v>11524</v>
      </c>
      <c r="C5204" s="4" t="s">
        <v>7</v>
      </c>
      <c r="D5204" s="475">
        <v>456.42</v>
      </c>
      <c r="E5204" s="476">
        <v>0.03632</v>
      </c>
      <c r="F5204" s="6">
        <v>1.8247</v>
      </c>
      <c r="G5204" s="6">
        <v>3</v>
      </c>
    </row>
    <row r="5205" ht="15.75" customHeight="1" spans="1:7">
      <c r="A5205" s="4" t="s">
        <v>11525</v>
      </c>
      <c r="B5205" s="5" t="s">
        <v>11526</v>
      </c>
      <c r="C5205" s="4" t="s">
        <v>7</v>
      </c>
      <c r="D5205" s="475">
        <v>366.03</v>
      </c>
      <c r="E5205" s="476">
        <v>0.03632</v>
      </c>
      <c r="F5205" s="6">
        <v>1.8247</v>
      </c>
      <c r="G5205" s="6">
        <v>3</v>
      </c>
    </row>
    <row r="5206" ht="15.75" customHeight="1" spans="1:7">
      <c r="A5206" s="4" t="s">
        <v>11527</v>
      </c>
      <c r="B5206" s="5" t="s">
        <v>11528</v>
      </c>
      <c r="C5206" s="4" t="s">
        <v>7</v>
      </c>
      <c r="D5206" s="475">
        <v>485.78</v>
      </c>
      <c r="E5206" s="476">
        <v>0.03632</v>
      </c>
      <c r="F5206" s="6">
        <v>1.8247</v>
      </c>
      <c r="G5206" s="6">
        <v>3</v>
      </c>
    </row>
    <row r="5207" ht="15.75" customHeight="1" spans="1:7">
      <c r="A5207" s="4" t="s">
        <v>11529</v>
      </c>
      <c r="B5207" s="5" t="s">
        <v>11530</v>
      </c>
      <c r="C5207" s="4" t="s">
        <v>7</v>
      </c>
      <c r="D5207" s="475">
        <v>439.44</v>
      </c>
      <c r="E5207" s="476">
        <v>0.03632</v>
      </c>
      <c r="F5207" s="6">
        <v>1.8247</v>
      </c>
      <c r="G5207" s="6">
        <v>3</v>
      </c>
    </row>
    <row r="5208" ht="15.75" customHeight="1" spans="1:7">
      <c r="A5208" s="4" t="s">
        <v>11531</v>
      </c>
      <c r="B5208" s="5" t="s">
        <v>11532</v>
      </c>
      <c r="C5208" s="4" t="s">
        <v>7</v>
      </c>
      <c r="D5208" s="475">
        <v>559.19</v>
      </c>
      <c r="E5208" s="476">
        <v>0.03632</v>
      </c>
      <c r="F5208" s="6">
        <v>1.8247</v>
      </c>
      <c r="G5208" s="6">
        <v>3</v>
      </c>
    </row>
    <row r="5209" ht="15.75" customHeight="1" spans="1:7">
      <c r="A5209" s="4" t="s">
        <v>11533</v>
      </c>
      <c r="B5209" s="5" t="s">
        <v>11534</v>
      </c>
      <c r="C5209" s="4" t="s">
        <v>7</v>
      </c>
      <c r="D5209" s="475">
        <v>274.1</v>
      </c>
      <c r="E5209" s="476">
        <v>0</v>
      </c>
      <c r="F5209" s="6">
        <v>0</v>
      </c>
      <c r="G5209" s="6">
        <v>7</v>
      </c>
    </row>
    <row r="5210" ht="15.75" customHeight="1" spans="1:7">
      <c r="A5210" s="4" t="s">
        <v>11535</v>
      </c>
      <c r="B5210" s="5" t="s">
        <v>11536</v>
      </c>
      <c r="C5210" s="4" t="s">
        <v>7</v>
      </c>
      <c r="D5210" s="475">
        <v>393.85</v>
      </c>
      <c r="E5210" s="476">
        <v>0</v>
      </c>
      <c r="F5210" s="6">
        <v>0</v>
      </c>
      <c r="G5210" s="6">
        <v>4</v>
      </c>
    </row>
    <row r="5211" ht="15.75" customHeight="1" spans="1:7">
      <c r="A5211" s="4" t="s">
        <v>11537</v>
      </c>
      <c r="B5211" s="5" t="s">
        <v>11538</v>
      </c>
      <c r="C5211" s="4" t="s">
        <v>7</v>
      </c>
      <c r="D5211" s="475">
        <v>303.46</v>
      </c>
      <c r="E5211" s="476">
        <v>0</v>
      </c>
      <c r="F5211" s="6">
        <v>0</v>
      </c>
      <c r="G5211" s="6">
        <v>7</v>
      </c>
    </row>
    <row r="5212" ht="15.75" customHeight="1" spans="1:7">
      <c r="A5212" s="4" t="s">
        <v>11539</v>
      </c>
      <c r="B5212" s="5" t="s">
        <v>11540</v>
      </c>
      <c r="C5212" s="4" t="s">
        <v>7</v>
      </c>
      <c r="D5212" s="475">
        <v>423.21</v>
      </c>
      <c r="E5212" s="476">
        <v>0</v>
      </c>
      <c r="F5212" s="6">
        <v>0</v>
      </c>
      <c r="G5212" s="6">
        <v>4</v>
      </c>
    </row>
    <row r="5213" ht="15.75" customHeight="1" spans="1:7">
      <c r="A5213" s="4" t="s">
        <v>11541</v>
      </c>
      <c r="B5213" s="5" t="s">
        <v>11542</v>
      </c>
      <c r="C5213" s="4" t="s">
        <v>7</v>
      </c>
      <c r="D5213" s="475">
        <v>389.04</v>
      </c>
      <c r="E5213" s="476">
        <v>0</v>
      </c>
      <c r="F5213" s="6">
        <v>0</v>
      </c>
      <c r="G5213" s="6">
        <v>4</v>
      </c>
    </row>
    <row r="5214" ht="15.75" customHeight="1" spans="1:7">
      <c r="A5214" s="4" t="s">
        <v>11543</v>
      </c>
      <c r="B5214" s="5" t="s">
        <v>11544</v>
      </c>
      <c r="C5214" s="4" t="s">
        <v>7</v>
      </c>
      <c r="D5214" s="475">
        <v>613.15</v>
      </c>
      <c r="E5214" s="476">
        <v>0</v>
      </c>
      <c r="F5214" s="6">
        <v>0</v>
      </c>
      <c r="G5214" s="6">
        <v>4</v>
      </c>
    </row>
    <row r="5215" ht="15.75" customHeight="1" spans="1:7">
      <c r="A5215" s="4" t="s">
        <v>11545</v>
      </c>
      <c r="B5215" s="5" t="s">
        <v>11546</v>
      </c>
      <c r="C5215" s="4" t="s">
        <v>7</v>
      </c>
      <c r="D5215" s="475">
        <v>487.27</v>
      </c>
      <c r="E5215" s="476">
        <v>0</v>
      </c>
      <c r="F5215" s="6">
        <v>0</v>
      </c>
      <c r="G5215" s="6">
        <v>4</v>
      </c>
    </row>
    <row r="5216" ht="15.75" customHeight="1" spans="1:7">
      <c r="A5216" s="4" t="s">
        <v>11547</v>
      </c>
      <c r="B5216" s="5" t="s">
        <v>11548</v>
      </c>
      <c r="C5216" s="4" t="s">
        <v>7</v>
      </c>
      <c r="D5216" s="475">
        <v>376.87</v>
      </c>
      <c r="E5216" s="476">
        <v>0</v>
      </c>
      <c r="F5216" s="6">
        <v>0</v>
      </c>
      <c r="G5216" s="6">
        <v>7</v>
      </c>
    </row>
    <row r="5217" ht="15.75" customHeight="1" spans="1:7">
      <c r="A5217" s="4" t="s">
        <v>11549</v>
      </c>
      <c r="B5217" s="5" t="s">
        <v>11550</v>
      </c>
      <c r="C5217" s="4" t="s">
        <v>7</v>
      </c>
      <c r="D5217" s="475">
        <v>496.62</v>
      </c>
      <c r="E5217" s="476">
        <v>0</v>
      </c>
      <c r="F5217" s="6">
        <v>0</v>
      </c>
      <c r="G5217" s="6">
        <v>4</v>
      </c>
    </row>
    <row r="5218" ht="15.75" customHeight="1" spans="1:7">
      <c r="A5218" s="4" t="s">
        <v>11551</v>
      </c>
      <c r="B5218" s="5" t="s">
        <v>11552</v>
      </c>
      <c r="C5218" s="4" t="s">
        <v>7</v>
      </c>
      <c r="D5218" s="475">
        <v>718.99</v>
      </c>
      <c r="E5218" s="476">
        <v>0</v>
      </c>
      <c r="F5218" s="6">
        <v>0</v>
      </c>
      <c r="G5218" s="6">
        <v>4</v>
      </c>
    </row>
    <row r="5219" ht="15.75" customHeight="1" spans="1:7">
      <c r="A5219" s="4" t="s">
        <v>11553</v>
      </c>
      <c r="B5219" s="5" t="s">
        <v>11554</v>
      </c>
      <c r="C5219" s="4" t="s">
        <v>7</v>
      </c>
      <c r="D5219" s="475">
        <v>560.68</v>
      </c>
      <c r="E5219" s="476">
        <v>0</v>
      </c>
      <c r="F5219" s="6">
        <v>0</v>
      </c>
      <c r="G5219" s="6">
        <v>4</v>
      </c>
    </row>
    <row r="5220" ht="15.75" customHeight="1" spans="1:7">
      <c r="A5220" s="4" t="s">
        <v>11555</v>
      </c>
      <c r="B5220" s="5" t="s">
        <v>11556</v>
      </c>
      <c r="C5220" s="4" t="s">
        <v>82</v>
      </c>
      <c r="D5220" s="475">
        <v>1142.83</v>
      </c>
      <c r="E5220" s="476">
        <v>0.03632</v>
      </c>
      <c r="F5220" s="6">
        <v>2.737</v>
      </c>
      <c r="G5220" s="6">
        <v>2</v>
      </c>
    </row>
    <row r="5221" ht="15.75" customHeight="1" spans="1:7">
      <c r="A5221" s="4" t="s">
        <v>11557</v>
      </c>
      <c r="B5221" s="5" t="s">
        <v>11558</v>
      </c>
      <c r="C5221" s="4" t="s">
        <v>82</v>
      </c>
      <c r="D5221" s="475">
        <v>1201.57</v>
      </c>
      <c r="E5221" s="476">
        <v>0.03632</v>
      </c>
      <c r="F5221" s="6">
        <v>2.737</v>
      </c>
      <c r="G5221" s="6">
        <v>2</v>
      </c>
    </row>
    <row r="5222" ht="15.75" customHeight="1" spans="1:7">
      <c r="A5222" s="4" t="s">
        <v>11559</v>
      </c>
      <c r="B5222" s="5" t="s">
        <v>11560</v>
      </c>
      <c r="C5222" s="4" t="s">
        <v>82</v>
      </c>
      <c r="D5222" s="475">
        <v>1348.39</v>
      </c>
      <c r="E5222" s="476">
        <v>0.03632</v>
      </c>
      <c r="F5222" s="6">
        <v>2.737</v>
      </c>
      <c r="G5222" s="6">
        <v>2</v>
      </c>
    </row>
    <row r="5223" ht="15.75" customHeight="1" spans="1:7">
      <c r="A5223" s="4" t="s">
        <v>11561</v>
      </c>
      <c r="B5223" s="5" t="s">
        <v>11562</v>
      </c>
      <c r="C5223" s="4" t="s">
        <v>82</v>
      </c>
      <c r="D5223" s="475">
        <v>2454.06</v>
      </c>
      <c r="E5223" s="476">
        <v>0.03632</v>
      </c>
      <c r="F5223" s="6">
        <v>2.737</v>
      </c>
      <c r="G5223" s="6">
        <v>2</v>
      </c>
    </row>
    <row r="5224" ht="15.75" customHeight="1" spans="1:7">
      <c r="A5224" s="4" t="s">
        <v>11563</v>
      </c>
      <c r="B5224" s="5" t="s">
        <v>11564</v>
      </c>
      <c r="C5224" s="4" t="s">
        <v>82</v>
      </c>
      <c r="D5224" s="475">
        <v>2586.22</v>
      </c>
      <c r="E5224" s="476">
        <v>0.03632</v>
      </c>
      <c r="F5224" s="6">
        <v>2.737</v>
      </c>
      <c r="G5224" s="6">
        <v>2</v>
      </c>
    </row>
    <row r="5225" ht="15.75" customHeight="1" spans="1:7">
      <c r="A5225" s="4" t="s">
        <v>11565</v>
      </c>
      <c r="B5225" s="5" t="s">
        <v>11566</v>
      </c>
      <c r="C5225" s="4" t="s">
        <v>82</v>
      </c>
      <c r="D5225" s="475">
        <v>2916.57</v>
      </c>
      <c r="E5225" s="476">
        <v>0.03632</v>
      </c>
      <c r="F5225" s="6">
        <v>2.737</v>
      </c>
      <c r="G5225" s="6">
        <v>2</v>
      </c>
    </row>
    <row r="5226" ht="15.75" customHeight="1" spans="1:7">
      <c r="A5226" s="4" t="s">
        <v>11567</v>
      </c>
      <c r="B5226" s="5" t="s">
        <v>11568</v>
      </c>
      <c r="C5226" s="4" t="s">
        <v>82</v>
      </c>
      <c r="D5226" s="475">
        <v>3240.79</v>
      </c>
      <c r="E5226" s="476">
        <v>0.03632</v>
      </c>
      <c r="F5226" s="6">
        <v>2.737</v>
      </c>
      <c r="G5226" s="6">
        <v>2</v>
      </c>
    </row>
    <row r="5227" ht="15.75" customHeight="1" spans="1:7">
      <c r="A5227" s="4" t="s">
        <v>11569</v>
      </c>
      <c r="B5227" s="5" t="s">
        <v>11570</v>
      </c>
      <c r="C5227" s="4" t="s">
        <v>82</v>
      </c>
      <c r="D5227" s="475">
        <v>3417.01</v>
      </c>
      <c r="E5227" s="476">
        <v>0.03632</v>
      </c>
      <c r="F5227" s="6">
        <v>2.737</v>
      </c>
      <c r="G5227" s="6">
        <v>2</v>
      </c>
    </row>
    <row r="5228" ht="15.75" customHeight="1" spans="1:7">
      <c r="A5228" s="4" t="s">
        <v>11571</v>
      </c>
      <c r="B5228" s="5" t="s">
        <v>11572</v>
      </c>
      <c r="C5228" s="4" t="s">
        <v>82</v>
      </c>
      <c r="D5228" s="475">
        <v>3857.47</v>
      </c>
      <c r="E5228" s="476">
        <v>0.03632</v>
      </c>
      <c r="F5228" s="6">
        <v>2.737</v>
      </c>
      <c r="G5228" s="6">
        <v>2</v>
      </c>
    </row>
    <row r="5229" ht="15.75" customHeight="1" spans="1:7">
      <c r="A5229" s="4" t="s">
        <v>11573</v>
      </c>
      <c r="B5229" s="5" t="s">
        <v>11574</v>
      </c>
      <c r="C5229" s="4" t="s">
        <v>82</v>
      </c>
      <c r="D5229" s="475">
        <v>4383.63</v>
      </c>
      <c r="E5229" s="476">
        <v>0.03632</v>
      </c>
      <c r="F5229" s="6">
        <v>5.4741</v>
      </c>
      <c r="G5229" s="6">
        <v>1</v>
      </c>
    </row>
    <row r="5230" ht="15.75" customHeight="1" spans="1:7">
      <c r="A5230" s="4" t="s">
        <v>11575</v>
      </c>
      <c r="B5230" s="5" t="s">
        <v>11576</v>
      </c>
      <c r="C5230" s="4" t="s">
        <v>82</v>
      </c>
      <c r="D5230" s="475">
        <v>4618.59</v>
      </c>
      <c r="E5230" s="476">
        <v>0.03632</v>
      </c>
      <c r="F5230" s="6">
        <v>5.4741</v>
      </c>
      <c r="G5230" s="6">
        <v>1</v>
      </c>
    </row>
    <row r="5231" ht="15.75" customHeight="1" spans="1:7">
      <c r="A5231" s="4" t="s">
        <v>11577</v>
      </c>
      <c r="B5231" s="5" t="s">
        <v>11578</v>
      </c>
      <c r="C5231" s="4" t="s">
        <v>82</v>
      </c>
      <c r="D5231" s="475">
        <v>5205.87</v>
      </c>
      <c r="E5231" s="476">
        <v>0.03632</v>
      </c>
      <c r="F5231" s="6">
        <v>5.4741</v>
      </c>
      <c r="G5231" s="6">
        <v>1</v>
      </c>
    </row>
    <row r="5232" ht="15.75" customHeight="1" spans="1:7">
      <c r="A5232" s="4" t="s">
        <v>11579</v>
      </c>
      <c r="B5232" s="5" t="s">
        <v>11580</v>
      </c>
      <c r="C5232" s="4" t="s">
        <v>82</v>
      </c>
      <c r="D5232" s="475">
        <v>6481.59</v>
      </c>
      <c r="E5232" s="476">
        <v>0.03632</v>
      </c>
      <c r="F5232" s="6">
        <v>5.4741</v>
      </c>
      <c r="G5232" s="6">
        <v>1</v>
      </c>
    </row>
    <row r="5233" ht="15.75" customHeight="1" spans="1:7">
      <c r="A5233" s="4" t="s">
        <v>11581</v>
      </c>
      <c r="B5233" s="5" t="s">
        <v>11582</v>
      </c>
      <c r="C5233" s="4" t="s">
        <v>82</v>
      </c>
      <c r="D5233" s="475">
        <v>6834.03</v>
      </c>
      <c r="E5233" s="476">
        <v>0.03632</v>
      </c>
      <c r="F5233" s="6">
        <v>5.4741</v>
      </c>
      <c r="G5233" s="6">
        <v>1</v>
      </c>
    </row>
    <row r="5234" ht="15.75" customHeight="1" spans="1:7">
      <c r="A5234" s="4" t="s">
        <v>11583</v>
      </c>
      <c r="B5234" s="5" t="s">
        <v>11584</v>
      </c>
      <c r="C5234" s="4" t="s">
        <v>82</v>
      </c>
      <c r="D5234" s="475">
        <v>7714.95</v>
      </c>
      <c r="E5234" s="476">
        <v>0.03632</v>
      </c>
      <c r="F5234" s="6">
        <v>5.4741</v>
      </c>
      <c r="G5234" s="6">
        <v>1</v>
      </c>
    </row>
    <row r="5235" ht="15.75" customHeight="1" spans="1:7">
      <c r="A5235" s="4" t="s">
        <v>11585</v>
      </c>
      <c r="B5235" s="5" t="s">
        <v>11586</v>
      </c>
      <c r="C5235" s="4" t="s">
        <v>7</v>
      </c>
      <c r="D5235" s="475">
        <v>587.06</v>
      </c>
      <c r="E5235" s="476">
        <v>0.03632</v>
      </c>
      <c r="F5235" s="6">
        <v>1.8247</v>
      </c>
      <c r="G5235" s="6">
        <v>3</v>
      </c>
    </row>
    <row r="5236" ht="15.75" customHeight="1" spans="1:7">
      <c r="A5236" s="4" t="s">
        <v>11587</v>
      </c>
      <c r="B5236" s="5" t="s">
        <v>11588</v>
      </c>
      <c r="C5236" s="4" t="s">
        <v>7</v>
      </c>
      <c r="D5236" s="475">
        <v>616.43</v>
      </c>
      <c r="E5236" s="476">
        <v>0.03632</v>
      </c>
      <c r="F5236" s="6">
        <v>1.8247</v>
      </c>
      <c r="G5236" s="6">
        <v>3</v>
      </c>
    </row>
    <row r="5237" ht="15.75" customHeight="1" spans="1:7">
      <c r="A5237" s="4" t="s">
        <v>11589</v>
      </c>
      <c r="B5237" s="5" t="s">
        <v>11590</v>
      </c>
      <c r="C5237" s="4" t="s">
        <v>7</v>
      </c>
      <c r="D5237" s="475">
        <v>689.84</v>
      </c>
      <c r="E5237" s="476">
        <v>0.03632</v>
      </c>
      <c r="F5237" s="6">
        <v>1.8247</v>
      </c>
      <c r="G5237" s="6">
        <v>3</v>
      </c>
    </row>
    <row r="5238" ht="15.75" customHeight="1" spans="1:7">
      <c r="A5238" s="4" t="s">
        <v>11591</v>
      </c>
      <c r="B5238" s="5" t="s">
        <v>11592</v>
      </c>
      <c r="C5238" s="4" t="s">
        <v>7</v>
      </c>
      <c r="D5238" s="475">
        <v>564.38</v>
      </c>
      <c r="E5238" s="476">
        <v>0</v>
      </c>
      <c r="F5238" s="6">
        <v>0</v>
      </c>
      <c r="G5238" s="6">
        <v>2</v>
      </c>
    </row>
    <row r="5239" ht="15.75" customHeight="1" spans="1:7">
      <c r="A5239" s="4" t="s">
        <v>11593</v>
      </c>
      <c r="B5239" s="5" t="s">
        <v>11594</v>
      </c>
      <c r="C5239" s="4" t="s">
        <v>7</v>
      </c>
      <c r="D5239" s="475">
        <v>637.79</v>
      </c>
      <c r="E5239" s="476">
        <v>0</v>
      </c>
      <c r="F5239" s="6">
        <v>0</v>
      </c>
      <c r="G5239" s="6">
        <v>2</v>
      </c>
    </row>
    <row r="5240" ht="15.75" customHeight="1" spans="1:7">
      <c r="A5240" s="4" t="s">
        <v>11595</v>
      </c>
      <c r="B5240" s="5" t="s">
        <v>11596</v>
      </c>
      <c r="C5240" s="4" t="s">
        <v>7</v>
      </c>
      <c r="D5240" s="475">
        <v>701.85</v>
      </c>
      <c r="E5240" s="476">
        <v>0</v>
      </c>
      <c r="F5240" s="6">
        <v>0</v>
      </c>
      <c r="G5240" s="6">
        <v>2</v>
      </c>
    </row>
    <row r="5241" ht="15.75" customHeight="1" spans="1:7">
      <c r="A5241" s="4" t="s">
        <v>11597</v>
      </c>
      <c r="B5241" s="5" t="s">
        <v>11598</v>
      </c>
      <c r="C5241" s="4" t="s">
        <v>7</v>
      </c>
      <c r="D5241" s="475">
        <v>980.94</v>
      </c>
      <c r="E5241" s="476">
        <v>0</v>
      </c>
      <c r="F5241" s="6">
        <v>0</v>
      </c>
      <c r="G5241" s="6">
        <v>2</v>
      </c>
    </row>
    <row r="5242" ht="30" customHeight="1" spans="1:7">
      <c r="A5242" s="4" t="s">
        <v>11599</v>
      </c>
      <c r="B5242" s="5" t="s">
        <v>11600</v>
      </c>
      <c r="C5242" s="4" t="s">
        <v>7</v>
      </c>
      <c r="D5242" s="475">
        <v>929.04</v>
      </c>
      <c r="E5242" s="476">
        <v>0.03632</v>
      </c>
      <c r="F5242" s="6">
        <v>5.4474</v>
      </c>
      <c r="G5242" s="6">
        <v>2</v>
      </c>
    </row>
    <row r="5243" ht="30" customHeight="1" spans="1:7">
      <c r="A5243" s="4" t="s">
        <v>11601</v>
      </c>
      <c r="B5243" s="5" t="s">
        <v>11602</v>
      </c>
      <c r="C5243" s="4" t="s">
        <v>7</v>
      </c>
      <c r="D5243" s="475">
        <v>1002.45</v>
      </c>
      <c r="E5243" s="476">
        <v>0.03632</v>
      </c>
      <c r="F5243" s="6">
        <v>5.4474</v>
      </c>
      <c r="G5243" s="6">
        <v>2</v>
      </c>
    </row>
    <row r="5244" ht="30" customHeight="1" spans="1:7">
      <c r="A5244" s="4" t="s">
        <v>11603</v>
      </c>
      <c r="B5244" s="5" t="s">
        <v>11604</v>
      </c>
      <c r="C5244" s="4" t="s">
        <v>7</v>
      </c>
      <c r="D5244" s="475">
        <v>1066.51</v>
      </c>
      <c r="E5244" s="476">
        <v>0.03632</v>
      </c>
      <c r="F5244" s="6">
        <v>5.4474</v>
      </c>
      <c r="G5244" s="6">
        <v>2</v>
      </c>
    </row>
    <row r="5245" ht="30" customHeight="1" spans="1:7">
      <c r="A5245" s="4" t="s">
        <v>11605</v>
      </c>
      <c r="B5245" s="5" t="s">
        <v>11606</v>
      </c>
      <c r="C5245" s="4" t="s">
        <v>7</v>
      </c>
      <c r="D5245" s="475">
        <v>1345.6</v>
      </c>
      <c r="E5245" s="476">
        <v>0.03632</v>
      </c>
      <c r="F5245" s="6">
        <v>5.4474</v>
      </c>
      <c r="G5245" s="6">
        <v>2</v>
      </c>
    </row>
    <row r="5246" ht="15.75" customHeight="1" spans="1:7">
      <c r="A5246" s="4" t="s">
        <v>11607</v>
      </c>
      <c r="B5246" s="5" t="s">
        <v>11608</v>
      </c>
      <c r="C5246" s="4" t="s">
        <v>7</v>
      </c>
      <c r="D5246" s="475">
        <v>985.39</v>
      </c>
      <c r="E5246" s="476">
        <v>0.03632</v>
      </c>
      <c r="F5246" s="6">
        <v>5.4474</v>
      </c>
      <c r="G5246" s="6">
        <v>2</v>
      </c>
    </row>
    <row r="5247" ht="15.75" customHeight="1" spans="1:7">
      <c r="A5247" s="4" t="s">
        <v>11609</v>
      </c>
      <c r="B5247" s="5" t="s">
        <v>11610</v>
      </c>
      <c r="C5247" s="4" t="s">
        <v>7</v>
      </c>
      <c r="D5247" s="475">
        <v>1058.8</v>
      </c>
      <c r="E5247" s="476">
        <v>0.03632</v>
      </c>
      <c r="F5247" s="6">
        <v>5.4474</v>
      </c>
      <c r="G5247" s="6">
        <v>2</v>
      </c>
    </row>
    <row r="5248" ht="15.75" customHeight="1" spans="1:7">
      <c r="A5248" s="4" t="s">
        <v>11611</v>
      </c>
      <c r="B5248" s="5" t="s">
        <v>11612</v>
      </c>
      <c r="C5248" s="4" t="s">
        <v>7</v>
      </c>
      <c r="D5248" s="475">
        <v>1122.86</v>
      </c>
      <c r="E5248" s="476">
        <v>0.03632</v>
      </c>
      <c r="F5248" s="6">
        <v>5.4474</v>
      </c>
      <c r="G5248" s="6">
        <v>2</v>
      </c>
    </row>
    <row r="5249" ht="15.75" customHeight="1" spans="1:7">
      <c r="A5249" s="4" t="s">
        <v>11613</v>
      </c>
      <c r="B5249" s="5" t="s">
        <v>11614</v>
      </c>
      <c r="C5249" s="4" t="s">
        <v>7</v>
      </c>
      <c r="D5249" s="475">
        <v>620.73</v>
      </c>
      <c r="E5249" s="476">
        <v>0</v>
      </c>
      <c r="F5249" s="6">
        <v>0</v>
      </c>
      <c r="G5249" s="6">
        <v>2</v>
      </c>
    </row>
    <row r="5250" ht="15.75" customHeight="1" spans="1:7">
      <c r="A5250" s="4" t="s">
        <v>11615</v>
      </c>
      <c r="B5250" s="5" t="s">
        <v>11616</v>
      </c>
      <c r="C5250" s="4" t="s">
        <v>7</v>
      </c>
      <c r="D5250" s="475">
        <v>694.14</v>
      </c>
      <c r="E5250" s="476">
        <v>0</v>
      </c>
      <c r="F5250" s="6">
        <v>0</v>
      </c>
      <c r="G5250" s="6">
        <v>2</v>
      </c>
    </row>
    <row r="5251" ht="15.75" customHeight="1" spans="1:7">
      <c r="A5251" s="4" t="s">
        <v>11617</v>
      </c>
      <c r="B5251" s="5" t="s">
        <v>11618</v>
      </c>
      <c r="C5251" s="4" t="s">
        <v>7</v>
      </c>
      <c r="D5251" s="475">
        <v>758.2</v>
      </c>
      <c r="E5251" s="476">
        <v>0</v>
      </c>
      <c r="F5251" s="6">
        <v>0</v>
      </c>
      <c r="G5251" s="6">
        <v>2</v>
      </c>
    </row>
    <row r="5252" ht="15.75" customHeight="1" spans="1:7">
      <c r="A5252" s="4" t="s">
        <v>11619</v>
      </c>
      <c r="B5252" s="5" t="s">
        <v>11620</v>
      </c>
      <c r="C5252" s="4" t="s">
        <v>7</v>
      </c>
      <c r="D5252" s="475">
        <v>378.18</v>
      </c>
      <c r="E5252" s="476">
        <v>0</v>
      </c>
      <c r="F5252" s="6">
        <v>0</v>
      </c>
      <c r="G5252" s="6">
        <v>3</v>
      </c>
    </row>
    <row r="5253" ht="15.75" customHeight="1" spans="1:7">
      <c r="A5253" s="4" t="s">
        <v>11621</v>
      </c>
      <c r="B5253" s="5" t="s">
        <v>11622</v>
      </c>
      <c r="C5253" s="4" t="s">
        <v>7</v>
      </c>
      <c r="D5253" s="475">
        <v>407.54</v>
      </c>
      <c r="E5253" s="476">
        <v>0</v>
      </c>
      <c r="F5253" s="6">
        <v>0</v>
      </c>
      <c r="G5253" s="6">
        <v>3</v>
      </c>
    </row>
    <row r="5254" ht="15.75" customHeight="1" spans="1:7">
      <c r="A5254" s="4" t="s">
        <v>11623</v>
      </c>
      <c r="B5254" s="5" t="s">
        <v>11624</v>
      </c>
      <c r="C5254" s="4" t="s">
        <v>7</v>
      </c>
      <c r="D5254" s="475">
        <v>373.37</v>
      </c>
      <c r="E5254" s="476">
        <v>0</v>
      </c>
      <c r="F5254" s="6">
        <v>0</v>
      </c>
      <c r="G5254" s="6">
        <v>3</v>
      </c>
    </row>
    <row r="5255" ht="15.75" customHeight="1" spans="1:7">
      <c r="A5255" s="4" t="s">
        <v>11625</v>
      </c>
      <c r="B5255" s="5" t="s">
        <v>11626</v>
      </c>
      <c r="C5255" s="4" t="s">
        <v>7</v>
      </c>
      <c r="D5255" s="475">
        <v>597.48</v>
      </c>
      <c r="E5255" s="476">
        <v>0</v>
      </c>
      <c r="F5255" s="6">
        <v>0</v>
      </c>
      <c r="G5255" s="6">
        <v>3</v>
      </c>
    </row>
    <row r="5256" ht="15.75" customHeight="1" spans="1:7">
      <c r="A5256" s="4" t="s">
        <v>11627</v>
      </c>
      <c r="B5256" s="5" t="s">
        <v>11628</v>
      </c>
      <c r="C5256" s="4" t="s">
        <v>7</v>
      </c>
      <c r="D5256" s="475">
        <v>480.95</v>
      </c>
      <c r="E5256" s="476">
        <v>0</v>
      </c>
      <c r="F5256" s="6">
        <v>0</v>
      </c>
      <c r="G5256" s="6">
        <v>3</v>
      </c>
    </row>
    <row r="5257" ht="15.75" customHeight="1" spans="1:7">
      <c r="A5257" s="4" t="s">
        <v>11629</v>
      </c>
      <c r="B5257" s="5" t="s">
        <v>11630</v>
      </c>
      <c r="C5257" s="4" t="s">
        <v>7</v>
      </c>
      <c r="D5257" s="475">
        <v>703.31</v>
      </c>
      <c r="E5257" s="476">
        <v>0</v>
      </c>
      <c r="F5257" s="6">
        <v>0</v>
      </c>
      <c r="G5257" s="6">
        <v>3</v>
      </c>
    </row>
    <row r="5258" ht="15.75" customHeight="1" spans="1:7">
      <c r="A5258" s="4" t="s">
        <v>11631</v>
      </c>
      <c r="B5258" s="5" t="s">
        <v>11632</v>
      </c>
      <c r="C5258" s="4" t="s">
        <v>82</v>
      </c>
      <c r="D5258" s="475">
        <v>850.21</v>
      </c>
      <c r="E5258" s="476">
        <v>0.03632</v>
      </c>
      <c r="F5258" s="6">
        <v>2.737</v>
      </c>
      <c r="G5258" s="6">
        <v>2</v>
      </c>
    </row>
    <row r="5259" ht="15.75" customHeight="1" spans="1:7">
      <c r="A5259" s="4" t="s">
        <v>11633</v>
      </c>
      <c r="B5259" s="5" t="s">
        <v>11634</v>
      </c>
      <c r="C5259" s="4" t="s">
        <v>82</v>
      </c>
      <c r="D5259" s="475">
        <v>908.93</v>
      </c>
      <c r="E5259" s="476">
        <v>0.03632</v>
      </c>
      <c r="F5259" s="6">
        <v>2.737</v>
      </c>
      <c r="G5259" s="6">
        <v>2</v>
      </c>
    </row>
    <row r="5260" ht="15.75" customHeight="1" spans="1:7">
      <c r="A5260" s="4" t="s">
        <v>11635</v>
      </c>
      <c r="B5260" s="5" t="s">
        <v>11636</v>
      </c>
      <c r="C5260" s="4" t="s">
        <v>82</v>
      </c>
      <c r="D5260" s="475">
        <v>1055.75</v>
      </c>
      <c r="E5260" s="476">
        <v>0.03632</v>
      </c>
      <c r="F5260" s="6">
        <v>2.737</v>
      </c>
      <c r="G5260" s="6">
        <v>2</v>
      </c>
    </row>
    <row r="5261" ht="15.75" customHeight="1" spans="1:7">
      <c r="A5261" s="4" t="s">
        <v>11637</v>
      </c>
      <c r="B5261" s="5" t="s">
        <v>11638</v>
      </c>
      <c r="C5261" s="4" t="s">
        <v>82</v>
      </c>
      <c r="D5261" s="475">
        <v>1795.66</v>
      </c>
      <c r="E5261" s="476">
        <v>0.03632</v>
      </c>
      <c r="F5261" s="6">
        <v>2.737</v>
      </c>
      <c r="G5261" s="6">
        <v>2</v>
      </c>
    </row>
    <row r="5262" ht="15.75" customHeight="1" spans="1:7">
      <c r="A5262" s="4" t="s">
        <v>11639</v>
      </c>
      <c r="B5262" s="5" t="s">
        <v>11640</v>
      </c>
      <c r="C5262" s="4" t="s">
        <v>82</v>
      </c>
      <c r="D5262" s="475">
        <v>1927.78</v>
      </c>
      <c r="E5262" s="476">
        <v>0.03632</v>
      </c>
      <c r="F5262" s="6">
        <v>2.737</v>
      </c>
      <c r="G5262" s="6">
        <v>2</v>
      </c>
    </row>
    <row r="5263" ht="15.75" customHeight="1" spans="1:7">
      <c r="A5263" s="4" t="s">
        <v>11641</v>
      </c>
      <c r="B5263" s="5" t="s">
        <v>11642</v>
      </c>
      <c r="C5263" s="4" t="s">
        <v>82</v>
      </c>
      <c r="D5263" s="475">
        <v>2258.13</v>
      </c>
      <c r="E5263" s="476">
        <v>0.03632</v>
      </c>
      <c r="F5263" s="6">
        <v>2.737</v>
      </c>
      <c r="G5263" s="6">
        <v>2</v>
      </c>
    </row>
    <row r="5264" ht="15.75" customHeight="1" spans="1:7">
      <c r="A5264" s="4" t="s">
        <v>11643</v>
      </c>
      <c r="B5264" s="5" t="s">
        <v>11644</v>
      </c>
      <c r="C5264" s="4" t="s">
        <v>82</v>
      </c>
      <c r="D5264" s="475">
        <v>2362.93</v>
      </c>
      <c r="E5264" s="476">
        <v>0.03632</v>
      </c>
      <c r="F5264" s="6">
        <v>2.737</v>
      </c>
      <c r="G5264" s="6">
        <v>2</v>
      </c>
    </row>
    <row r="5265" ht="15.75" customHeight="1" spans="1:7">
      <c r="A5265" s="4" t="s">
        <v>11645</v>
      </c>
      <c r="B5265" s="5" t="s">
        <v>11646</v>
      </c>
      <c r="C5265" s="4" t="s">
        <v>82</v>
      </c>
      <c r="D5265" s="475">
        <v>2539.09</v>
      </c>
      <c r="E5265" s="476">
        <v>0.03632</v>
      </c>
      <c r="F5265" s="6">
        <v>2.737</v>
      </c>
      <c r="G5265" s="6">
        <v>2</v>
      </c>
    </row>
    <row r="5266" ht="15.75" customHeight="1" spans="1:7">
      <c r="A5266" s="4" t="s">
        <v>11647</v>
      </c>
      <c r="B5266" s="5" t="s">
        <v>11648</v>
      </c>
      <c r="C5266" s="4" t="s">
        <v>82</v>
      </c>
      <c r="D5266" s="475">
        <v>2979.55</v>
      </c>
      <c r="E5266" s="476">
        <v>0.03632</v>
      </c>
      <c r="F5266" s="6">
        <v>2.737</v>
      </c>
      <c r="G5266" s="6">
        <v>2</v>
      </c>
    </row>
    <row r="5267" ht="15.75" customHeight="1" spans="1:7">
      <c r="A5267" s="4" t="s">
        <v>11649</v>
      </c>
      <c r="B5267" s="5" t="s">
        <v>11650</v>
      </c>
      <c r="C5267" s="4" t="s">
        <v>82</v>
      </c>
      <c r="D5267" s="475">
        <v>3213.15</v>
      </c>
      <c r="E5267" s="476">
        <v>0.03632</v>
      </c>
      <c r="F5267" s="6">
        <v>5.4741</v>
      </c>
      <c r="G5267" s="6">
        <v>1</v>
      </c>
    </row>
    <row r="5268" ht="15.75" customHeight="1" spans="1:7">
      <c r="A5268" s="4" t="s">
        <v>11651</v>
      </c>
      <c r="B5268" s="5" t="s">
        <v>11652</v>
      </c>
      <c r="C5268" s="4" t="s">
        <v>82</v>
      </c>
      <c r="D5268" s="475">
        <v>3448.03</v>
      </c>
      <c r="E5268" s="476">
        <v>0.03632</v>
      </c>
      <c r="F5268" s="6">
        <v>5.4741</v>
      </c>
      <c r="G5268" s="6">
        <v>1</v>
      </c>
    </row>
    <row r="5269" ht="15.75" customHeight="1" spans="1:7">
      <c r="A5269" s="4" t="s">
        <v>11653</v>
      </c>
      <c r="B5269" s="5" t="s">
        <v>11654</v>
      </c>
      <c r="C5269" s="4" t="s">
        <v>82</v>
      </c>
      <c r="D5269" s="475">
        <v>4035.31</v>
      </c>
      <c r="E5269" s="476">
        <v>0.03632</v>
      </c>
      <c r="F5269" s="6">
        <v>5.4741</v>
      </c>
      <c r="G5269" s="6">
        <v>1</v>
      </c>
    </row>
    <row r="5270" ht="15.75" customHeight="1" spans="1:7">
      <c r="A5270" s="4" t="s">
        <v>11655</v>
      </c>
      <c r="B5270" s="5" t="s">
        <v>11656</v>
      </c>
      <c r="C5270" s="4" t="s">
        <v>82</v>
      </c>
      <c r="D5270" s="475">
        <v>4725.87</v>
      </c>
      <c r="E5270" s="476">
        <v>0.03632</v>
      </c>
      <c r="F5270" s="6">
        <v>5.4741</v>
      </c>
      <c r="G5270" s="6">
        <v>1</v>
      </c>
    </row>
    <row r="5271" ht="15.75" customHeight="1" spans="1:7">
      <c r="A5271" s="4" t="s">
        <v>11657</v>
      </c>
      <c r="B5271" s="5" t="s">
        <v>11658</v>
      </c>
      <c r="C5271" s="4" t="s">
        <v>82</v>
      </c>
      <c r="D5271" s="475">
        <v>5078.19</v>
      </c>
      <c r="E5271" s="476">
        <v>0.03632</v>
      </c>
      <c r="F5271" s="6">
        <v>5.4741</v>
      </c>
      <c r="G5271" s="6">
        <v>1</v>
      </c>
    </row>
    <row r="5272" ht="15.75" customHeight="1" spans="1:7">
      <c r="A5272" s="4" t="s">
        <v>11659</v>
      </c>
      <c r="B5272" s="5" t="s">
        <v>11660</v>
      </c>
      <c r="C5272" s="4" t="s">
        <v>82</v>
      </c>
      <c r="D5272" s="475">
        <v>5959.11</v>
      </c>
      <c r="E5272" s="476">
        <v>0.03632</v>
      </c>
      <c r="F5272" s="6">
        <v>5.4741</v>
      </c>
      <c r="G5272" s="6">
        <v>1</v>
      </c>
    </row>
    <row r="5273" ht="15.75" customHeight="1" spans="1:7">
      <c r="A5273" s="4" t="s">
        <v>11661</v>
      </c>
      <c r="B5273" s="5" t="s">
        <v>11662</v>
      </c>
      <c r="C5273" s="4" t="s">
        <v>7</v>
      </c>
      <c r="D5273" s="475">
        <v>440.75</v>
      </c>
      <c r="E5273" s="476">
        <v>0.03632</v>
      </c>
      <c r="F5273" s="6">
        <v>1.8247</v>
      </c>
      <c r="G5273" s="6">
        <v>3</v>
      </c>
    </row>
    <row r="5274" ht="15.75" customHeight="1" spans="1:7">
      <c r="A5274" s="4" t="s">
        <v>11663</v>
      </c>
      <c r="B5274" s="5" t="s">
        <v>11664</v>
      </c>
      <c r="C5274" s="4" t="s">
        <v>7</v>
      </c>
      <c r="D5274" s="475">
        <v>470.11</v>
      </c>
      <c r="E5274" s="476">
        <v>0.03632</v>
      </c>
      <c r="F5274" s="6">
        <v>1.8247</v>
      </c>
      <c r="G5274" s="6">
        <v>3</v>
      </c>
    </row>
    <row r="5275" ht="15.75" customHeight="1" spans="1:7">
      <c r="A5275" s="4" t="s">
        <v>11665</v>
      </c>
      <c r="B5275" s="5" t="s">
        <v>11666</v>
      </c>
      <c r="C5275" s="4" t="s">
        <v>7</v>
      </c>
      <c r="D5275" s="475">
        <v>543.52</v>
      </c>
      <c r="E5275" s="476">
        <v>0.03632</v>
      </c>
      <c r="F5275" s="6">
        <v>1.8247</v>
      </c>
      <c r="G5275" s="6">
        <v>3</v>
      </c>
    </row>
    <row r="5276" ht="15.75" customHeight="1" spans="1:7">
      <c r="A5276" s="4" t="s">
        <v>11667</v>
      </c>
      <c r="B5276" s="5" t="s">
        <v>11668</v>
      </c>
      <c r="C5276" s="4" t="s">
        <v>7</v>
      </c>
      <c r="D5276" s="475">
        <v>891.84</v>
      </c>
      <c r="E5276" s="476">
        <v>0.03632</v>
      </c>
      <c r="F5276" s="6">
        <v>5.4474</v>
      </c>
      <c r="G5276" s="6">
        <v>2</v>
      </c>
    </row>
    <row r="5277" ht="15.75" customHeight="1" spans="1:7">
      <c r="A5277" s="4" t="s">
        <v>11669</v>
      </c>
      <c r="B5277" s="5" t="s">
        <v>11670</v>
      </c>
      <c r="C5277" s="4" t="s">
        <v>7</v>
      </c>
      <c r="D5277" s="475">
        <v>965.25</v>
      </c>
      <c r="E5277" s="476">
        <v>0.03632</v>
      </c>
      <c r="F5277" s="6">
        <v>5.4474</v>
      </c>
      <c r="G5277" s="6">
        <v>2</v>
      </c>
    </row>
    <row r="5278" ht="15.75" customHeight="1" spans="1:7">
      <c r="A5278" s="4" t="s">
        <v>11671</v>
      </c>
      <c r="B5278" s="5" t="s">
        <v>11672</v>
      </c>
      <c r="C5278" s="4" t="s">
        <v>7</v>
      </c>
      <c r="D5278" s="475">
        <v>1029.31</v>
      </c>
      <c r="E5278" s="476">
        <v>0.03632</v>
      </c>
      <c r="F5278" s="6">
        <v>5.4474</v>
      </c>
      <c r="G5278" s="6">
        <v>2</v>
      </c>
    </row>
    <row r="5279" ht="15.75" customHeight="1" spans="1:7">
      <c r="A5279" s="4" t="s">
        <v>11673</v>
      </c>
      <c r="B5279" s="5" t="s">
        <v>11674</v>
      </c>
      <c r="C5279" s="4" t="s">
        <v>7</v>
      </c>
      <c r="D5279" s="475">
        <v>524.49</v>
      </c>
      <c r="E5279" s="476">
        <v>0</v>
      </c>
      <c r="F5279" s="6">
        <v>0</v>
      </c>
      <c r="G5279" s="6">
        <v>2</v>
      </c>
    </row>
    <row r="5280" ht="15.75" customHeight="1" spans="1:7">
      <c r="A5280" s="4" t="s">
        <v>11675</v>
      </c>
      <c r="B5280" s="5" t="s">
        <v>11676</v>
      </c>
      <c r="C5280" s="4" t="s">
        <v>7</v>
      </c>
      <c r="D5280" s="475">
        <v>553.86</v>
      </c>
      <c r="E5280" s="476">
        <v>0</v>
      </c>
      <c r="F5280" s="6">
        <v>0</v>
      </c>
      <c r="G5280" s="6">
        <v>2</v>
      </c>
    </row>
    <row r="5281" ht="15.75" customHeight="1" spans="1:7">
      <c r="A5281" s="4" t="s">
        <v>11677</v>
      </c>
      <c r="B5281" s="5" t="s">
        <v>11678</v>
      </c>
      <c r="C5281" s="4" t="s">
        <v>7</v>
      </c>
      <c r="D5281" s="475">
        <v>627.27</v>
      </c>
      <c r="E5281" s="476">
        <v>0</v>
      </c>
      <c r="F5281" s="6">
        <v>0</v>
      </c>
      <c r="G5281" s="6">
        <v>2</v>
      </c>
    </row>
    <row r="5282" ht="15.75" customHeight="1" spans="1:7">
      <c r="A5282" s="4" t="s">
        <v>11679</v>
      </c>
      <c r="B5282" s="5" t="s">
        <v>11680</v>
      </c>
      <c r="C5282" s="4" t="s">
        <v>7</v>
      </c>
      <c r="D5282" s="475">
        <v>527.18</v>
      </c>
      <c r="E5282" s="476">
        <v>0</v>
      </c>
      <c r="F5282" s="6">
        <v>0</v>
      </c>
      <c r="G5282" s="6">
        <v>2</v>
      </c>
    </row>
    <row r="5283" ht="15.75" customHeight="1" spans="1:7">
      <c r="A5283" s="4" t="s">
        <v>11681</v>
      </c>
      <c r="B5283" s="5" t="s">
        <v>11682</v>
      </c>
      <c r="C5283" s="4" t="s">
        <v>7</v>
      </c>
      <c r="D5283" s="475">
        <v>600.59</v>
      </c>
      <c r="E5283" s="476">
        <v>0</v>
      </c>
      <c r="F5283" s="6">
        <v>0</v>
      </c>
      <c r="G5283" s="6">
        <v>2</v>
      </c>
    </row>
    <row r="5284" ht="15.75" customHeight="1" spans="1:7">
      <c r="A5284" s="4" t="s">
        <v>11683</v>
      </c>
      <c r="B5284" s="5" t="s">
        <v>11684</v>
      </c>
      <c r="C5284" s="4" t="s">
        <v>7</v>
      </c>
      <c r="D5284" s="475">
        <v>664.65</v>
      </c>
      <c r="E5284" s="476">
        <v>0</v>
      </c>
      <c r="F5284" s="6">
        <v>0</v>
      </c>
      <c r="G5284" s="6">
        <v>2</v>
      </c>
    </row>
    <row r="5285" ht="30" customHeight="1" spans="1:7">
      <c r="A5285" s="4" t="s">
        <v>11685</v>
      </c>
      <c r="B5285" s="5" t="s">
        <v>11686</v>
      </c>
      <c r="C5285" s="4" t="s">
        <v>11253</v>
      </c>
      <c r="D5285" s="475">
        <v>2.03</v>
      </c>
      <c r="E5285" s="476">
        <v>0</v>
      </c>
      <c r="F5285" s="6">
        <v>0</v>
      </c>
      <c r="G5285" s="6">
        <v>1</v>
      </c>
    </row>
    <row r="5286" ht="30" customHeight="1" spans="1:7">
      <c r="A5286" s="4" t="s">
        <v>11687</v>
      </c>
      <c r="B5286" s="5" t="s">
        <v>11688</v>
      </c>
      <c r="C5286" s="4" t="s">
        <v>82</v>
      </c>
      <c r="D5286" s="475">
        <v>104507.58</v>
      </c>
      <c r="E5286" s="476">
        <v>0.03814</v>
      </c>
      <c r="F5286" s="6">
        <v>24.826</v>
      </c>
      <c r="G5286" s="6">
        <v>0.37509</v>
      </c>
    </row>
    <row r="5287" ht="30" customHeight="1" spans="1:7">
      <c r="A5287" s="4" t="s">
        <v>11689</v>
      </c>
      <c r="B5287" s="5" t="s">
        <v>11690</v>
      </c>
      <c r="C5287" s="4" t="s">
        <v>82</v>
      </c>
      <c r="D5287" s="475">
        <v>104507.58</v>
      </c>
      <c r="E5287" s="476">
        <v>0.03814</v>
      </c>
      <c r="F5287" s="6">
        <v>24.826</v>
      </c>
      <c r="G5287" s="6">
        <v>0.37509</v>
      </c>
    </row>
    <row r="5288" ht="30" customHeight="1" spans="1:7">
      <c r="A5288" s="4" t="s">
        <v>11691</v>
      </c>
      <c r="B5288" s="5" t="s">
        <v>11692</v>
      </c>
      <c r="C5288" s="4" t="s">
        <v>82</v>
      </c>
      <c r="D5288" s="475">
        <v>117913.87</v>
      </c>
      <c r="E5288" s="476">
        <v>0.03814</v>
      </c>
      <c r="F5288" s="6">
        <v>24.826</v>
      </c>
      <c r="G5288" s="6">
        <v>0.37509</v>
      </c>
    </row>
    <row r="5289" ht="30" customHeight="1" spans="1:7">
      <c r="A5289" s="4" t="s">
        <v>11693</v>
      </c>
      <c r="B5289" s="5" t="s">
        <v>11694</v>
      </c>
      <c r="C5289" s="4" t="s">
        <v>82</v>
      </c>
      <c r="D5289" s="475">
        <v>117913.87</v>
      </c>
      <c r="E5289" s="476">
        <v>0.03814</v>
      </c>
      <c r="F5289" s="6">
        <v>24.826</v>
      </c>
      <c r="G5289" s="6">
        <v>0.37509</v>
      </c>
    </row>
    <row r="5290" ht="30" customHeight="1" spans="1:7">
      <c r="A5290" s="4" t="s">
        <v>11695</v>
      </c>
      <c r="B5290" s="5" t="s">
        <v>11696</v>
      </c>
      <c r="C5290" s="4" t="s">
        <v>82</v>
      </c>
      <c r="D5290" s="475">
        <v>122238.8</v>
      </c>
      <c r="E5290" s="476">
        <v>0.03814</v>
      </c>
      <c r="F5290" s="6">
        <v>24.826</v>
      </c>
      <c r="G5290" s="6">
        <v>0.37509</v>
      </c>
    </row>
    <row r="5291" ht="30" customHeight="1" spans="1:7">
      <c r="A5291" s="4" t="s">
        <v>11697</v>
      </c>
      <c r="B5291" s="5" t="s">
        <v>11698</v>
      </c>
      <c r="C5291" s="4" t="s">
        <v>82</v>
      </c>
      <c r="D5291" s="475">
        <v>122238.8</v>
      </c>
      <c r="E5291" s="476">
        <v>0.03814</v>
      </c>
      <c r="F5291" s="6">
        <v>24.826</v>
      </c>
      <c r="G5291" s="6">
        <v>0.37509</v>
      </c>
    </row>
    <row r="5292" ht="15.75" customHeight="1" spans="1:7">
      <c r="A5292" s="4" t="s">
        <v>11699</v>
      </c>
      <c r="B5292" s="5" t="s">
        <v>11700</v>
      </c>
      <c r="C5292" s="4" t="s">
        <v>7</v>
      </c>
      <c r="D5292" s="475">
        <v>36.19</v>
      </c>
      <c r="E5292" s="476">
        <v>0</v>
      </c>
      <c r="F5292" s="6">
        <v>0</v>
      </c>
      <c r="G5292" s="6">
        <v>3</v>
      </c>
    </row>
    <row r="5293" ht="15.75" customHeight="1" spans="1:7">
      <c r="A5293" s="4" t="s">
        <v>11701</v>
      </c>
      <c r="B5293" s="5" t="s">
        <v>11702</v>
      </c>
      <c r="C5293" s="4" t="s">
        <v>82</v>
      </c>
      <c r="D5293" s="475">
        <v>373.89</v>
      </c>
      <c r="E5293" s="476">
        <v>0.03632</v>
      </c>
      <c r="F5293" s="6">
        <v>7.0941</v>
      </c>
      <c r="G5293" s="6">
        <v>1.25</v>
      </c>
    </row>
    <row r="5294" ht="15.75" customHeight="1" spans="1:7">
      <c r="A5294" s="4" t="s">
        <v>11703</v>
      </c>
      <c r="B5294" s="5" t="s">
        <v>11704</v>
      </c>
      <c r="C5294" s="4" t="s">
        <v>82</v>
      </c>
      <c r="D5294" s="475">
        <v>265.74</v>
      </c>
      <c r="E5294" s="476">
        <v>0.03632</v>
      </c>
      <c r="F5294" s="6">
        <v>4.8062</v>
      </c>
      <c r="G5294" s="6">
        <v>1.66667</v>
      </c>
    </row>
    <row r="5295" ht="15.75" customHeight="1" spans="1:7">
      <c r="A5295" s="4" t="s">
        <v>11705</v>
      </c>
      <c r="B5295" s="5" t="s">
        <v>11706</v>
      </c>
      <c r="C5295" s="4" t="s">
        <v>82</v>
      </c>
      <c r="D5295" s="475">
        <v>221.45</v>
      </c>
      <c r="E5295" s="476">
        <v>0.03632</v>
      </c>
      <c r="F5295" s="6">
        <v>4.0052</v>
      </c>
      <c r="G5295" s="6">
        <v>2</v>
      </c>
    </row>
    <row r="5296" ht="15.75" customHeight="1" spans="1:7">
      <c r="A5296" s="4" t="s">
        <v>11707</v>
      </c>
      <c r="B5296" s="5" t="s">
        <v>11708</v>
      </c>
      <c r="C5296" s="4" t="s">
        <v>7</v>
      </c>
      <c r="D5296" s="475">
        <v>23.67</v>
      </c>
      <c r="E5296" s="476">
        <v>0.03632</v>
      </c>
      <c r="F5296" s="6">
        <v>0.4808</v>
      </c>
      <c r="G5296" s="6">
        <v>10.56</v>
      </c>
    </row>
    <row r="5297" ht="15.75" customHeight="1" spans="1:7">
      <c r="A5297" s="4" t="s">
        <v>11709</v>
      </c>
      <c r="B5297" s="5" t="s">
        <v>11710</v>
      </c>
      <c r="C5297" s="4" t="s">
        <v>7</v>
      </c>
      <c r="D5297" s="475">
        <v>4.35</v>
      </c>
      <c r="E5297" s="476">
        <v>0.03814</v>
      </c>
      <c r="F5297" s="6">
        <v>0.1201</v>
      </c>
      <c r="G5297" s="6">
        <v>15</v>
      </c>
    </row>
    <row r="5298" ht="15.75" customHeight="1" spans="1:7">
      <c r="A5298" s="4" t="s">
        <v>11711</v>
      </c>
      <c r="B5298" s="5" t="s">
        <v>11712</v>
      </c>
      <c r="C5298" s="4" t="s">
        <v>7</v>
      </c>
      <c r="D5298" s="475">
        <v>4.96</v>
      </c>
      <c r="E5298" s="476">
        <v>0</v>
      </c>
      <c r="F5298" s="6">
        <v>0</v>
      </c>
      <c r="G5298" s="6">
        <v>61.42</v>
      </c>
    </row>
    <row r="5299" ht="15.75" customHeight="1" spans="1:7">
      <c r="A5299" s="4" t="s">
        <v>11713</v>
      </c>
      <c r="B5299" s="5" t="s">
        <v>11714</v>
      </c>
      <c r="C5299" s="4" t="s">
        <v>7</v>
      </c>
      <c r="D5299" s="475">
        <v>79.46</v>
      </c>
      <c r="E5299" s="476">
        <v>0.03632</v>
      </c>
      <c r="F5299" s="6">
        <v>0.5615</v>
      </c>
      <c r="G5299" s="6">
        <v>16.1</v>
      </c>
    </row>
    <row r="5300" ht="15.75" customHeight="1" spans="1:7">
      <c r="A5300" s="4" t="s">
        <v>11715</v>
      </c>
      <c r="B5300" s="5" t="s">
        <v>11716</v>
      </c>
      <c r="C5300" s="4" t="s">
        <v>104</v>
      </c>
      <c r="D5300" s="475">
        <v>3.93</v>
      </c>
      <c r="E5300" s="476">
        <v>0</v>
      </c>
      <c r="F5300" s="6">
        <v>0</v>
      </c>
      <c r="G5300" s="6">
        <v>1</v>
      </c>
    </row>
    <row r="5301" ht="30" customHeight="1" spans="1:7">
      <c r="A5301" s="4" t="s">
        <v>11717</v>
      </c>
      <c r="B5301" s="5" t="s">
        <v>11718</v>
      </c>
      <c r="C5301" s="4" t="s">
        <v>82</v>
      </c>
      <c r="D5301" s="475">
        <v>102653.63</v>
      </c>
      <c r="E5301" s="476">
        <v>0.03814</v>
      </c>
      <c r="F5301" s="6">
        <v>13.4589</v>
      </c>
      <c r="G5301" s="6">
        <v>0.625</v>
      </c>
    </row>
    <row r="5302" ht="30" customHeight="1" spans="1:7">
      <c r="A5302" s="4" t="s">
        <v>11719</v>
      </c>
      <c r="B5302" s="5" t="s">
        <v>11720</v>
      </c>
      <c r="C5302" s="4" t="s">
        <v>82</v>
      </c>
      <c r="D5302" s="475">
        <v>102653.63</v>
      </c>
      <c r="E5302" s="476">
        <v>0.03814</v>
      </c>
      <c r="F5302" s="6">
        <v>13.4589</v>
      </c>
      <c r="G5302" s="6">
        <v>0.625</v>
      </c>
    </row>
    <row r="5303" ht="30" customHeight="1" spans="1:7">
      <c r="A5303" s="4" t="s">
        <v>11721</v>
      </c>
      <c r="B5303" s="5" t="s">
        <v>11722</v>
      </c>
      <c r="C5303" s="4" t="s">
        <v>82</v>
      </c>
      <c r="D5303" s="475">
        <v>117148.82</v>
      </c>
      <c r="E5303" s="476">
        <v>0.03814</v>
      </c>
      <c r="F5303" s="6">
        <v>13.4589</v>
      </c>
      <c r="G5303" s="6">
        <v>0.625</v>
      </c>
    </row>
    <row r="5304" ht="30" customHeight="1" spans="1:7">
      <c r="A5304" s="4" t="s">
        <v>11723</v>
      </c>
      <c r="B5304" s="5" t="s">
        <v>11724</v>
      </c>
      <c r="C5304" s="4" t="s">
        <v>82</v>
      </c>
      <c r="D5304" s="475">
        <v>117148.82</v>
      </c>
      <c r="E5304" s="476">
        <v>0.03814</v>
      </c>
      <c r="F5304" s="6">
        <v>13.4589</v>
      </c>
      <c r="G5304" s="6">
        <v>0.625</v>
      </c>
    </row>
    <row r="5305" ht="30" customHeight="1" spans="1:7">
      <c r="A5305" s="4" t="s">
        <v>11725</v>
      </c>
      <c r="B5305" s="5" t="s">
        <v>11726</v>
      </c>
      <c r="C5305" s="4" t="s">
        <v>82</v>
      </c>
      <c r="D5305" s="475">
        <v>125982.04</v>
      </c>
      <c r="E5305" s="476">
        <v>0.03814</v>
      </c>
      <c r="F5305" s="6">
        <v>13.4589</v>
      </c>
      <c r="G5305" s="6">
        <v>0.625</v>
      </c>
    </row>
    <row r="5306" ht="30" customHeight="1" spans="1:7">
      <c r="A5306" s="4" t="s">
        <v>11727</v>
      </c>
      <c r="B5306" s="5" t="s">
        <v>11728</v>
      </c>
      <c r="C5306" s="4" t="s">
        <v>82</v>
      </c>
      <c r="D5306" s="475">
        <v>125982.04</v>
      </c>
      <c r="E5306" s="476">
        <v>0.03814</v>
      </c>
      <c r="F5306" s="6">
        <v>13.4589</v>
      </c>
      <c r="G5306" s="6">
        <v>0.625</v>
      </c>
    </row>
    <row r="5307" ht="30" customHeight="1" spans="1:7">
      <c r="A5307" s="4" t="s">
        <v>11729</v>
      </c>
      <c r="B5307" s="5" t="s">
        <v>11730</v>
      </c>
      <c r="C5307" s="4" t="s">
        <v>82</v>
      </c>
      <c r="D5307" s="475">
        <v>66732.26</v>
      </c>
      <c r="E5307" s="476">
        <v>0.03814</v>
      </c>
      <c r="F5307" s="6">
        <v>13.4589</v>
      </c>
      <c r="G5307" s="6">
        <v>0.625</v>
      </c>
    </row>
    <row r="5308" ht="30" customHeight="1" spans="1:7">
      <c r="A5308" s="4" t="s">
        <v>11731</v>
      </c>
      <c r="B5308" s="5" t="s">
        <v>11732</v>
      </c>
      <c r="C5308" s="4" t="s">
        <v>82</v>
      </c>
      <c r="D5308" s="475">
        <v>66732.26</v>
      </c>
      <c r="E5308" s="476">
        <v>0.03814</v>
      </c>
      <c r="F5308" s="6">
        <v>13.4589</v>
      </c>
      <c r="G5308" s="6">
        <v>0.625</v>
      </c>
    </row>
    <row r="5309" ht="30" customHeight="1" spans="1:7">
      <c r="A5309" s="4" t="s">
        <v>11733</v>
      </c>
      <c r="B5309" s="5" t="s">
        <v>11734</v>
      </c>
      <c r="C5309" s="4" t="s">
        <v>82</v>
      </c>
      <c r="D5309" s="475">
        <v>69842.03</v>
      </c>
      <c r="E5309" s="476">
        <v>0.03814</v>
      </c>
      <c r="F5309" s="6">
        <v>13.4589</v>
      </c>
      <c r="G5309" s="6">
        <v>0.625</v>
      </c>
    </row>
    <row r="5310" ht="30" customHeight="1" spans="1:7">
      <c r="A5310" s="4" t="s">
        <v>11735</v>
      </c>
      <c r="B5310" s="5" t="s">
        <v>11736</v>
      </c>
      <c r="C5310" s="4" t="s">
        <v>82</v>
      </c>
      <c r="D5310" s="475">
        <v>69842.03</v>
      </c>
      <c r="E5310" s="476">
        <v>0.03814</v>
      </c>
      <c r="F5310" s="6">
        <v>13.4589</v>
      </c>
      <c r="G5310" s="6">
        <v>0.625</v>
      </c>
    </row>
    <row r="5311" ht="30" customHeight="1" spans="1:7">
      <c r="A5311" s="4" t="s">
        <v>11737</v>
      </c>
      <c r="B5311" s="5" t="s">
        <v>11738</v>
      </c>
      <c r="C5311" s="4" t="s">
        <v>82</v>
      </c>
      <c r="D5311" s="475">
        <v>79224.37</v>
      </c>
      <c r="E5311" s="476">
        <v>0.03814</v>
      </c>
      <c r="F5311" s="6">
        <v>13.4589</v>
      </c>
      <c r="G5311" s="6">
        <v>0.625</v>
      </c>
    </row>
    <row r="5312" ht="30" customHeight="1" spans="1:7">
      <c r="A5312" s="4" t="s">
        <v>11739</v>
      </c>
      <c r="B5312" s="5" t="s">
        <v>11740</v>
      </c>
      <c r="C5312" s="4" t="s">
        <v>82</v>
      </c>
      <c r="D5312" s="475">
        <v>79224.37</v>
      </c>
      <c r="E5312" s="476">
        <v>0.03814</v>
      </c>
      <c r="F5312" s="6">
        <v>13.4589</v>
      </c>
      <c r="G5312" s="6">
        <v>0.625</v>
      </c>
    </row>
    <row r="5313" ht="15.75" customHeight="1" spans="1:7">
      <c r="A5313" s="4" t="s">
        <v>11741</v>
      </c>
      <c r="B5313" s="5" t="s">
        <v>11742</v>
      </c>
      <c r="C5313" s="4" t="s">
        <v>104</v>
      </c>
      <c r="D5313" s="475">
        <v>4.23</v>
      </c>
      <c r="E5313" s="476">
        <v>0</v>
      </c>
      <c r="F5313" s="6">
        <v>0</v>
      </c>
      <c r="G5313" s="6">
        <v>1</v>
      </c>
    </row>
    <row r="5314" ht="15.75" customHeight="1" spans="1:7">
      <c r="A5314" s="4" t="s">
        <v>11743</v>
      </c>
      <c r="B5314" s="5" t="s">
        <v>11744</v>
      </c>
      <c r="C5314" s="4" t="s">
        <v>82</v>
      </c>
      <c r="D5314" s="475">
        <v>2751.24</v>
      </c>
      <c r="E5314" s="476">
        <v>0.03632</v>
      </c>
      <c r="F5314" s="6">
        <v>3.5514</v>
      </c>
      <c r="G5314" s="6">
        <v>1.3</v>
      </c>
    </row>
    <row r="5315" ht="15.75" customHeight="1" spans="1:7">
      <c r="A5315" s="4" t="s">
        <v>11745</v>
      </c>
      <c r="B5315" s="5" t="s">
        <v>11746</v>
      </c>
      <c r="C5315" s="4" t="s">
        <v>82</v>
      </c>
      <c r="D5315" s="475">
        <v>3782.91</v>
      </c>
      <c r="E5315" s="476">
        <v>0.03632</v>
      </c>
      <c r="F5315" s="6">
        <v>4.1971</v>
      </c>
      <c r="G5315" s="6">
        <v>1.1</v>
      </c>
    </row>
    <row r="5316" ht="15.75" customHeight="1" spans="1:7">
      <c r="A5316" s="4" t="s">
        <v>11747</v>
      </c>
      <c r="B5316" s="5" t="s">
        <v>11748</v>
      </c>
      <c r="C5316" s="4" t="s">
        <v>82</v>
      </c>
      <c r="D5316" s="475">
        <v>3875.95</v>
      </c>
      <c r="E5316" s="476">
        <v>0.03632</v>
      </c>
      <c r="F5316" s="6">
        <v>5.771</v>
      </c>
      <c r="G5316" s="6">
        <v>0.8</v>
      </c>
    </row>
    <row r="5317" ht="15.75" customHeight="1" spans="1:7">
      <c r="A5317" s="4" t="s">
        <v>11749</v>
      </c>
      <c r="B5317" s="5" t="s">
        <v>11750</v>
      </c>
      <c r="C5317" s="4" t="s">
        <v>82</v>
      </c>
      <c r="D5317" s="475">
        <v>6135.95</v>
      </c>
      <c r="E5317" s="476">
        <v>0.03632</v>
      </c>
      <c r="F5317" s="6">
        <v>7.6947</v>
      </c>
      <c r="G5317" s="6">
        <v>0.6</v>
      </c>
    </row>
    <row r="5318" ht="15.75" customHeight="1" spans="1:7">
      <c r="A5318" s="4" t="s">
        <v>11751</v>
      </c>
      <c r="B5318" s="5" t="s">
        <v>11752</v>
      </c>
      <c r="C5318" s="4" t="s">
        <v>82</v>
      </c>
      <c r="D5318" s="475">
        <v>649.68</v>
      </c>
      <c r="E5318" s="476">
        <v>0.03632</v>
      </c>
      <c r="F5318" s="6">
        <v>1.0992</v>
      </c>
      <c r="G5318" s="6">
        <v>4.2</v>
      </c>
    </row>
    <row r="5319" ht="15.75" customHeight="1" spans="1:7">
      <c r="A5319" s="4" t="s">
        <v>11753</v>
      </c>
      <c r="B5319" s="5" t="s">
        <v>11754</v>
      </c>
      <c r="C5319" s="4" t="s">
        <v>82</v>
      </c>
      <c r="D5319" s="475">
        <v>520.15</v>
      </c>
      <c r="E5319" s="476">
        <v>0.03632</v>
      </c>
      <c r="F5319" s="6">
        <v>1.1261</v>
      </c>
      <c r="G5319" s="6">
        <v>4.1</v>
      </c>
    </row>
    <row r="5320" ht="15.75" customHeight="1" spans="1:7">
      <c r="A5320" s="4" t="s">
        <v>11755</v>
      </c>
      <c r="B5320" s="5" t="s">
        <v>11756</v>
      </c>
      <c r="C5320" s="4" t="s">
        <v>82</v>
      </c>
      <c r="D5320" s="475">
        <v>553.88</v>
      </c>
      <c r="E5320" s="476">
        <v>0.03632</v>
      </c>
      <c r="F5320" s="6">
        <v>1.1838</v>
      </c>
      <c r="G5320" s="6">
        <v>3.9</v>
      </c>
    </row>
    <row r="5321" ht="15.75" customHeight="1" spans="1:7">
      <c r="A5321" s="4" t="s">
        <v>11757</v>
      </c>
      <c r="B5321" s="5" t="s">
        <v>11758</v>
      </c>
      <c r="C5321" s="4" t="s">
        <v>82</v>
      </c>
      <c r="D5321" s="475">
        <v>587.83</v>
      </c>
      <c r="E5321" s="476">
        <v>0.03632</v>
      </c>
      <c r="F5321" s="6">
        <v>1.2478</v>
      </c>
      <c r="G5321" s="6">
        <v>3.7</v>
      </c>
    </row>
    <row r="5322" ht="15.75" customHeight="1" spans="1:7">
      <c r="A5322" s="4" t="s">
        <v>11759</v>
      </c>
      <c r="B5322" s="5" t="s">
        <v>11760</v>
      </c>
      <c r="C5322" s="4" t="s">
        <v>82</v>
      </c>
      <c r="D5322" s="475">
        <v>661.71</v>
      </c>
      <c r="E5322" s="476">
        <v>0.03632</v>
      </c>
      <c r="F5322" s="6">
        <v>1.2825</v>
      </c>
      <c r="G5322" s="6">
        <v>3.6</v>
      </c>
    </row>
    <row r="5323" ht="15.75" customHeight="1" spans="1:7">
      <c r="A5323" s="4" t="s">
        <v>11761</v>
      </c>
      <c r="B5323" s="5" t="s">
        <v>11762</v>
      </c>
      <c r="C5323" s="4" t="s">
        <v>82</v>
      </c>
      <c r="D5323" s="475">
        <v>467.53</v>
      </c>
      <c r="E5323" s="476">
        <v>0.03632</v>
      </c>
      <c r="F5323" s="6">
        <v>0.9823</v>
      </c>
      <c r="G5323" s="6">
        <v>4.7</v>
      </c>
    </row>
    <row r="5324" ht="15.75" customHeight="1" spans="1:7">
      <c r="A5324" s="4" t="s">
        <v>11763</v>
      </c>
      <c r="B5324" s="5" t="s">
        <v>11764</v>
      </c>
      <c r="C5324" s="4" t="s">
        <v>82</v>
      </c>
      <c r="D5324" s="475">
        <v>484.91</v>
      </c>
      <c r="E5324" s="476">
        <v>0.03632</v>
      </c>
      <c r="F5324" s="6">
        <v>1.026</v>
      </c>
      <c r="G5324" s="6">
        <v>4.5</v>
      </c>
    </row>
    <row r="5325" ht="15.75" customHeight="1" spans="1:7">
      <c r="A5325" s="4" t="s">
        <v>11765</v>
      </c>
      <c r="B5325" s="5" t="s">
        <v>11766</v>
      </c>
      <c r="C5325" s="4" t="s">
        <v>82</v>
      </c>
      <c r="D5325" s="475">
        <v>501.58</v>
      </c>
      <c r="E5325" s="476">
        <v>0.03632</v>
      </c>
      <c r="F5325" s="6">
        <v>1.0493</v>
      </c>
      <c r="G5325" s="6">
        <v>4.4</v>
      </c>
    </row>
    <row r="5326" ht="15.75" customHeight="1" spans="1:7">
      <c r="A5326" s="4" t="s">
        <v>11767</v>
      </c>
      <c r="B5326" s="5" t="s">
        <v>11768</v>
      </c>
      <c r="C5326" s="4" t="s">
        <v>82</v>
      </c>
      <c r="D5326" s="475">
        <v>519.2</v>
      </c>
      <c r="E5326" s="476">
        <v>0.03632</v>
      </c>
      <c r="F5326" s="6">
        <v>1.0992</v>
      </c>
      <c r="G5326" s="6">
        <v>4.2</v>
      </c>
    </row>
    <row r="5327" ht="15.75" customHeight="1" spans="1:7">
      <c r="A5327" s="4" t="s">
        <v>11769</v>
      </c>
      <c r="B5327" s="5" t="s">
        <v>11770</v>
      </c>
      <c r="C5327" s="4" t="s">
        <v>82</v>
      </c>
      <c r="D5327" s="475">
        <v>514.34</v>
      </c>
      <c r="E5327" s="476">
        <v>0.03632</v>
      </c>
      <c r="F5327" s="6">
        <v>0.9618</v>
      </c>
      <c r="G5327" s="6">
        <v>4.8</v>
      </c>
    </row>
    <row r="5328" ht="15.75" customHeight="1" spans="1:7">
      <c r="A5328" s="4" t="s">
        <v>11771</v>
      </c>
      <c r="B5328" s="5" t="s">
        <v>11772</v>
      </c>
      <c r="C5328" s="4" t="s">
        <v>82</v>
      </c>
      <c r="D5328" s="475">
        <v>531.66</v>
      </c>
      <c r="E5328" s="476">
        <v>0.03632</v>
      </c>
      <c r="F5328" s="6">
        <v>1.0037</v>
      </c>
      <c r="G5328" s="6">
        <v>4.6</v>
      </c>
    </row>
    <row r="5329" ht="15.75" customHeight="1" spans="1:7">
      <c r="A5329" s="4" t="s">
        <v>11773</v>
      </c>
      <c r="B5329" s="5" t="s">
        <v>11774</v>
      </c>
      <c r="C5329" s="4" t="s">
        <v>82</v>
      </c>
      <c r="D5329" s="475">
        <v>564.14</v>
      </c>
      <c r="E5329" s="476">
        <v>0.03632</v>
      </c>
      <c r="F5329" s="6">
        <v>1.026</v>
      </c>
      <c r="G5329" s="6">
        <v>4.5</v>
      </c>
    </row>
    <row r="5330" ht="15.75" customHeight="1" spans="1:7">
      <c r="A5330" s="4" t="s">
        <v>11775</v>
      </c>
      <c r="B5330" s="5" t="s">
        <v>11776</v>
      </c>
      <c r="C5330" s="4" t="s">
        <v>82</v>
      </c>
      <c r="D5330" s="475">
        <v>637.62</v>
      </c>
      <c r="E5330" s="476">
        <v>0.03632</v>
      </c>
      <c r="F5330" s="6">
        <v>1.0493</v>
      </c>
      <c r="G5330" s="6">
        <v>4.4</v>
      </c>
    </row>
    <row r="5331" ht="15.75" customHeight="1" spans="1:7">
      <c r="A5331" s="4" t="s">
        <v>11777</v>
      </c>
      <c r="B5331" s="5" t="s">
        <v>11778</v>
      </c>
      <c r="C5331" s="4" t="s">
        <v>82</v>
      </c>
      <c r="D5331" s="475">
        <v>1276.4</v>
      </c>
      <c r="E5331" s="476">
        <v>0.03632</v>
      </c>
      <c r="F5331" s="6">
        <v>2.5649</v>
      </c>
      <c r="G5331" s="6">
        <v>1.8</v>
      </c>
    </row>
    <row r="5332" ht="15.75" customHeight="1" spans="1:7">
      <c r="A5332" s="4" t="s">
        <v>11779</v>
      </c>
      <c r="B5332" s="5" t="s">
        <v>11780</v>
      </c>
      <c r="C5332" s="4" t="s">
        <v>82</v>
      </c>
      <c r="D5332" s="475">
        <v>379.19</v>
      </c>
      <c r="E5332" s="476">
        <v>0</v>
      </c>
      <c r="F5332" s="6">
        <v>0</v>
      </c>
      <c r="G5332" s="6">
        <v>1</v>
      </c>
    </row>
    <row r="5333" ht="15.75" customHeight="1" spans="1:7">
      <c r="A5333" s="4" t="s">
        <v>11781</v>
      </c>
      <c r="B5333" s="5" t="s">
        <v>137</v>
      </c>
      <c r="C5333" s="4" t="s">
        <v>82</v>
      </c>
      <c r="D5333" s="475">
        <v>131.99</v>
      </c>
      <c r="E5333" s="476">
        <v>0.03632</v>
      </c>
      <c r="F5333" s="6">
        <v>1.2737</v>
      </c>
      <c r="G5333" s="6">
        <v>4</v>
      </c>
    </row>
    <row r="5334" ht="15.75" customHeight="1" spans="1:7">
      <c r="A5334" s="4" t="s">
        <v>11782</v>
      </c>
      <c r="B5334" s="5" t="s">
        <v>11783</v>
      </c>
      <c r="C5334" s="4" t="s">
        <v>82</v>
      </c>
      <c r="D5334" s="475">
        <v>664.86</v>
      </c>
      <c r="E5334" s="476">
        <v>0.03632</v>
      </c>
      <c r="F5334" s="6">
        <v>0.7695</v>
      </c>
      <c r="G5334" s="6">
        <v>6</v>
      </c>
    </row>
    <row r="5335" ht="15.75" customHeight="1" spans="1:7">
      <c r="A5335" s="4" t="s">
        <v>11784</v>
      </c>
      <c r="B5335" s="5" t="s">
        <v>11785</v>
      </c>
      <c r="C5335" s="4" t="s">
        <v>82</v>
      </c>
      <c r="D5335" s="475">
        <v>1744.67</v>
      </c>
      <c r="E5335" s="476">
        <v>0.03632</v>
      </c>
      <c r="F5335" s="6">
        <v>0.7695</v>
      </c>
      <c r="G5335" s="6">
        <v>6</v>
      </c>
    </row>
    <row r="5336" ht="15.75" customHeight="1" spans="1:7">
      <c r="A5336" s="4" t="s">
        <v>11786</v>
      </c>
      <c r="B5336" s="5" t="s">
        <v>11787</v>
      </c>
      <c r="C5336" s="4" t="s">
        <v>82</v>
      </c>
      <c r="D5336" s="475">
        <v>1057.92</v>
      </c>
      <c r="E5336" s="476">
        <v>0.03632</v>
      </c>
      <c r="F5336" s="6">
        <v>0.7695</v>
      </c>
      <c r="G5336" s="6">
        <v>6</v>
      </c>
    </row>
    <row r="5337" ht="15.75" customHeight="1" spans="1:7">
      <c r="A5337" s="4" t="s">
        <v>11788</v>
      </c>
      <c r="B5337" s="5" t="s">
        <v>11789</v>
      </c>
      <c r="C5337" s="4" t="s">
        <v>82</v>
      </c>
      <c r="D5337" s="475">
        <v>2783.81</v>
      </c>
      <c r="E5337" s="476">
        <v>0.03632</v>
      </c>
      <c r="F5337" s="6">
        <v>0.7695</v>
      </c>
      <c r="G5337" s="6">
        <v>6</v>
      </c>
    </row>
    <row r="5338" ht="15.75" customHeight="1" spans="1:7">
      <c r="A5338" s="4" t="s">
        <v>11790</v>
      </c>
      <c r="B5338" s="5" t="s">
        <v>11791</v>
      </c>
      <c r="C5338" s="4" t="s">
        <v>82</v>
      </c>
      <c r="D5338" s="475">
        <v>35.65</v>
      </c>
      <c r="E5338" s="476">
        <v>0.03814</v>
      </c>
      <c r="F5338" s="6">
        <v>0.2367</v>
      </c>
      <c r="G5338" s="6">
        <v>36</v>
      </c>
    </row>
    <row r="5339" ht="15.75" customHeight="1" spans="1:7">
      <c r="A5339" s="4" t="s">
        <v>11792</v>
      </c>
      <c r="B5339" s="5" t="s">
        <v>11793</v>
      </c>
      <c r="C5339" s="4" t="s">
        <v>82</v>
      </c>
      <c r="D5339" s="475">
        <v>33.82</v>
      </c>
      <c r="E5339" s="476">
        <v>0.03814</v>
      </c>
      <c r="F5339" s="6">
        <v>0.1844</v>
      </c>
      <c r="G5339" s="6">
        <v>40.93</v>
      </c>
    </row>
    <row r="5340" ht="15.75" customHeight="1" spans="1:7">
      <c r="A5340" s="4" t="s">
        <v>11794</v>
      </c>
      <c r="B5340" s="5" t="s">
        <v>11795</v>
      </c>
      <c r="C5340" s="4" t="s">
        <v>82</v>
      </c>
      <c r="D5340" s="475">
        <v>40.37</v>
      </c>
      <c r="E5340" s="476">
        <v>0.03814</v>
      </c>
      <c r="F5340" s="6">
        <v>0.2367</v>
      </c>
      <c r="G5340" s="6">
        <v>36</v>
      </c>
    </row>
    <row r="5341" ht="15.75" customHeight="1" spans="1:7">
      <c r="A5341" s="4" t="s">
        <v>11796</v>
      </c>
      <c r="B5341" s="5" t="s">
        <v>11797</v>
      </c>
      <c r="C5341" s="4" t="s">
        <v>82</v>
      </c>
      <c r="D5341" s="475">
        <v>36.45</v>
      </c>
      <c r="E5341" s="476">
        <v>0.03814</v>
      </c>
      <c r="F5341" s="6">
        <v>0.1844</v>
      </c>
      <c r="G5341" s="6">
        <v>40.93</v>
      </c>
    </row>
    <row r="5342" ht="15.75" customHeight="1" spans="1:7">
      <c r="A5342" s="4" t="s">
        <v>11798</v>
      </c>
      <c r="B5342" s="5" t="s">
        <v>11799</v>
      </c>
      <c r="C5342" s="4" t="s">
        <v>82</v>
      </c>
      <c r="D5342" s="475">
        <v>41.95</v>
      </c>
      <c r="E5342" s="476">
        <v>0.03814</v>
      </c>
      <c r="F5342" s="6">
        <v>0.2367</v>
      </c>
      <c r="G5342" s="6">
        <v>36</v>
      </c>
    </row>
    <row r="5343" ht="15.75" customHeight="1" spans="1:7">
      <c r="A5343" s="4" t="s">
        <v>11800</v>
      </c>
      <c r="B5343" s="5" t="s">
        <v>11801</v>
      </c>
      <c r="C5343" s="4" t="s">
        <v>82</v>
      </c>
      <c r="D5343" s="475">
        <v>37.55</v>
      </c>
      <c r="E5343" s="476">
        <v>0.03814</v>
      </c>
      <c r="F5343" s="6">
        <v>0.1844</v>
      </c>
      <c r="G5343" s="6">
        <v>40.93</v>
      </c>
    </row>
    <row r="5344" ht="15.75" customHeight="1" spans="1:7">
      <c r="A5344" s="4" t="s">
        <v>11802</v>
      </c>
      <c r="B5344" s="5" t="s">
        <v>11803</v>
      </c>
      <c r="C5344" s="4" t="s">
        <v>82</v>
      </c>
      <c r="D5344" s="475">
        <v>42.84</v>
      </c>
      <c r="E5344" s="476">
        <v>0.03814</v>
      </c>
      <c r="F5344" s="6">
        <v>0.2367</v>
      </c>
      <c r="G5344" s="6">
        <v>36</v>
      </c>
    </row>
    <row r="5345" ht="15.75" customHeight="1" spans="1:7">
      <c r="A5345" s="4" t="s">
        <v>11804</v>
      </c>
      <c r="B5345" s="5" t="s">
        <v>11805</v>
      </c>
      <c r="C5345" s="4" t="s">
        <v>82</v>
      </c>
      <c r="D5345" s="475">
        <v>42.01</v>
      </c>
      <c r="E5345" s="476">
        <v>0.03814</v>
      </c>
      <c r="F5345" s="6">
        <v>0.1844</v>
      </c>
      <c r="G5345" s="6">
        <v>40.93</v>
      </c>
    </row>
    <row r="5346" ht="15.75" customHeight="1" spans="1:7">
      <c r="A5346" s="4" t="s">
        <v>11806</v>
      </c>
      <c r="B5346" s="5" t="s">
        <v>11807</v>
      </c>
      <c r="C5346" s="4" t="s">
        <v>82</v>
      </c>
      <c r="D5346" s="475">
        <v>31.28</v>
      </c>
      <c r="E5346" s="476">
        <v>0.03814</v>
      </c>
      <c r="F5346" s="6">
        <v>0.2367</v>
      </c>
      <c r="G5346" s="6">
        <v>36</v>
      </c>
    </row>
    <row r="5347" ht="15.75" customHeight="1" spans="1:7">
      <c r="A5347" s="4" t="s">
        <v>11808</v>
      </c>
      <c r="B5347" s="5" t="s">
        <v>11809</v>
      </c>
      <c r="C5347" s="4" t="s">
        <v>82</v>
      </c>
      <c r="D5347" s="475">
        <v>29.27</v>
      </c>
      <c r="E5347" s="476">
        <v>0.03814</v>
      </c>
      <c r="F5347" s="6">
        <v>0.1844</v>
      </c>
      <c r="G5347" s="6">
        <v>40.93</v>
      </c>
    </row>
    <row r="5348" ht="15.75" customHeight="1" spans="1:7">
      <c r="A5348" s="4" t="s">
        <v>11810</v>
      </c>
      <c r="B5348" s="5" t="s">
        <v>11811</v>
      </c>
      <c r="C5348" s="4" t="s">
        <v>82</v>
      </c>
      <c r="D5348" s="475">
        <v>35.85</v>
      </c>
      <c r="E5348" s="476">
        <v>0.03814</v>
      </c>
      <c r="F5348" s="6">
        <v>0.2367</v>
      </c>
      <c r="G5348" s="6">
        <v>36</v>
      </c>
    </row>
    <row r="5349" ht="15.75" customHeight="1" spans="1:7">
      <c r="A5349" s="4" t="s">
        <v>11812</v>
      </c>
      <c r="B5349" s="5" t="s">
        <v>11813</v>
      </c>
      <c r="C5349" s="4" t="s">
        <v>82</v>
      </c>
      <c r="D5349" s="475">
        <v>33.14</v>
      </c>
      <c r="E5349" s="476">
        <v>0.03814</v>
      </c>
      <c r="F5349" s="6">
        <v>0.1844</v>
      </c>
      <c r="G5349" s="6">
        <v>40.93</v>
      </c>
    </row>
    <row r="5350" ht="15.75" customHeight="1" spans="1:7">
      <c r="A5350" s="4" t="s">
        <v>11814</v>
      </c>
      <c r="B5350" s="5" t="s">
        <v>11815</v>
      </c>
      <c r="C5350" s="4" t="s">
        <v>82</v>
      </c>
      <c r="D5350" s="475">
        <v>36.83</v>
      </c>
      <c r="E5350" s="476">
        <v>0.03814</v>
      </c>
      <c r="F5350" s="6">
        <v>0.2367</v>
      </c>
      <c r="G5350" s="6">
        <v>36</v>
      </c>
    </row>
    <row r="5351" ht="15.75" customHeight="1" spans="1:7">
      <c r="A5351" s="4" t="s">
        <v>11816</v>
      </c>
      <c r="B5351" s="5" t="s">
        <v>11817</v>
      </c>
      <c r="C5351" s="4" t="s">
        <v>82</v>
      </c>
      <c r="D5351" s="475">
        <v>33.69</v>
      </c>
      <c r="E5351" s="476">
        <v>0.03814</v>
      </c>
      <c r="F5351" s="6">
        <v>0.1844</v>
      </c>
      <c r="G5351" s="6">
        <v>40.93</v>
      </c>
    </row>
    <row r="5352" ht="15.75" customHeight="1" spans="1:7">
      <c r="A5352" s="4" t="s">
        <v>11818</v>
      </c>
      <c r="B5352" s="5" t="s">
        <v>11819</v>
      </c>
      <c r="C5352" s="4" t="s">
        <v>82</v>
      </c>
      <c r="D5352" s="475">
        <v>43.62</v>
      </c>
      <c r="E5352" s="476">
        <v>0.03814</v>
      </c>
      <c r="F5352" s="6">
        <v>0.2367</v>
      </c>
      <c r="G5352" s="6">
        <v>36</v>
      </c>
    </row>
    <row r="5353" ht="15.75" customHeight="1" spans="1:7">
      <c r="A5353" s="4" t="s">
        <v>11820</v>
      </c>
      <c r="B5353" s="5" t="s">
        <v>11821</v>
      </c>
      <c r="C5353" s="4" t="s">
        <v>82</v>
      </c>
      <c r="D5353" s="475">
        <v>40.83</v>
      </c>
      <c r="E5353" s="476">
        <v>0.03814</v>
      </c>
      <c r="F5353" s="6">
        <v>0.1844</v>
      </c>
      <c r="G5353" s="6">
        <v>40.93</v>
      </c>
    </row>
    <row r="5354" ht="15.75" customHeight="1" spans="1:7">
      <c r="A5354" s="4" t="s">
        <v>11822</v>
      </c>
      <c r="B5354" s="5" t="s">
        <v>11823</v>
      </c>
      <c r="C5354" s="4" t="s">
        <v>82</v>
      </c>
      <c r="D5354" s="475">
        <v>46.71</v>
      </c>
      <c r="E5354" s="476">
        <v>0.03814</v>
      </c>
      <c r="F5354" s="6">
        <v>0.2367</v>
      </c>
      <c r="G5354" s="6">
        <v>36</v>
      </c>
    </row>
    <row r="5355" ht="15.75" customHeight="1" spans="1:7">
      <c r="A5355" s="4" t="s">
        <v>11824</v>
      </c>
      <c r="B5355" s="5" t="s">
        <v>11825</v>
      </c>
      <c r="C5355" s="4" t="s">
        <v>82</v>
      </c>
      <c r="D5355" s="475">
        <v>42.34</v>
      </c>
      <c r="E5355" s="476">
        <v>0.03814</v>
      </c>
      <c r="F5355" s="6">
        <v>0.1844</v>
      </c>
      <c r="G5355" s="6">
        <v>40.93</v>
      </c>
    </row>
    <row r="5356" ht="15.75" customHeight="1" spans="1:7">
      <c r="A5356" s="4" t="s">
        <v>11826</v>
      </c>
      <c r="B5356" s="5" t="s">
        <v>11827</v>
      </c>
      <c r="C5356" s="4" t="s">
        <v>82</v>
      </c>
      <c r="D5356" s="475">
        <v>53.26</v>
      </c>
      <c r="E5356" s="476">
        <v>0.03814</v>
      </c>
      <c r="F5356" s="6">
        <v>0.2367</v>
      </c>
      <c r="G5356" s="6">
        <v>36</v>
      </c>
    </row>
    <row r="5357" ht="15.75" customHeight="1" spans="1:7">
      <c r="A5357" s="4" t="s">
        <v>11828</v>
      </c>
      <c r="B5357" s="5" t="s">
        <v>11829</v>
      </c>
      <c r="C5357" s="4" t="s">
        <v>82</v>
      </c>
      <c r="D5357" s="475">
        <v>50.5</v>
      </c>
      <c r="E5357" s="476">
        <v>0.03814</v>
      </c>
      <c r="F5357" s="6">
        <v>0.1844</v>
      </c>
      <c r="G5357" s="6">
        <v>40.93</v>
      </c>
    </row>
    <row r="5358" ht="15.75" customHeight="1" spans="1:7">
      <c r="A5358" s="4" t="s">
        <v>11830</v>
      </c>
      <c r="B5358" s="5" t="s">
        <v>11831</v>
      </c>
      <c r="C5358" s="4" t="s">
        <v>82</v>
      </c>
      <c r="D5358" s="475">
        <v>57.74</v>
      </c>
      <c r="E5358" s="476">
        <v>0.03814</v>
      </c>
      <c r="F5358" s="6">
        <v>0.2367</v>
      </c>
      <c r="G5358" s="6">
        <v>36</v>
      </c>
    </row>
    <row r="5359" ht="15.75" customHeight="1" spans="1:7">
      <c r="A5359" s="4" t="s">
        <v>11832</v>
      </c>
      <c r="B5359" s="5" t="s">
        <v>11833</v>
      </c>
      <c r="C5359" s="4" t="s">
        <v>82</v>
      </c>
      <c r="D5359" s="475">
        <v>54.85</v>
      </c>
      <c r="E5359" s="476">
        <v>0.03814</v>
      </c>
      <c r="F5359" s="6">
        <v>0.1844</v>
      </c>
      <c r="G5359" s="6">
        <v>40.93</v>
      </c>
    </row>
    <row r="5360" ht="15.75" customHeight="1" spans="1:7">
      <c r="A5360" s="4" t="s">
        <v>11834</v>
      </c>
      <c r="B5360" s="5" t="s">
        <v>11835</v>
      </c>
      <c r="C5360" s="4" t="s">
        <v>82</v>
      </c>
      <c r="D5360" s="475">
        <v>60.64</v>
      </c>
      <c r="E5360" s="476">
        <v>0.03814</v>
      </c>
      <c r="F5360" s="6">
        <v>0.2367</v>
      </c>
      <c r="G5360" s="6">
        <v>36</v>
      </c>
    </row>
    <row r="5361" ht="15.75" customHeight="1" spans="1:7">
      <c r="A5361" s="4" t="s">
        <v>11836</v>
      </c>
      <c r="B5361" s="5" t="s">
        <v>11837</v>
      </c>
      <c r="C5361" s="4" t="s">
        <v>82</v>
      </c>
      <c r="D5361" s="475">
        <v>57.79</v>
      </c>
      <c r="E5361" s="476">
        <v>0.03814</v>
      </c>
      <c r="F5361" s="6">
        <v>0.1844</v>
      </c>
      <c r="G5361" s="6">
        <v>40.93</v>
      </c>
    </row>
    <row r="5362" ht="15.75" customHeight="1" spans="1:7">
      <c r="A5362" s="4" t="s">
        <v>11838</v>
      </c>
      <c r="B5362" s="5" t="s">
        <v>11839</v>
      </c>
      <c r="C5362" s="4" t="s">
        <v>82</v>
      </c>
      <c r="D5362" s="475">
        <v>45.18</v>
      </c>
      <c r="E5362" s="476">
        <v>0.03814</v>
      </c>
      <c r="F5362" s="6">
        <v>0.2367</v>
      </c>
      <c r="G5362" s="6">
        <v>36</v>
      </c>
    </row>
    <row r="5363" ht="15.75" customHeight="1" spans="1:7">
      <c r="A5363" s="4" t="s">
        <v>11840</v>
      </c>
      <c r="B5363" s="5" t="s">
        <v>11841</v>
      </c>
      <c r="C5363" s="4" t="s">
        <v>82</v>
      </c>
      <c r="D5363" s="475">
        <v>42.4</v>
      </c>
      <c r="E5363" s="476">
        <v>0.03814</v>
      </c>
      <c r="F5363" s="6">
        <v>0.1844</v>
      </c>
      <c r="G5363" s="6">
        <v>40.93</v>
      </c>
    </row>
    <row r="5364" ht="15.75" customHeight="1" spans="1:7">
      <c r="A5364" s="4" t="s">
        <v>11842</v>
      </c>
      <c r="B5364" s="5" t="s">
        <v>11843</v>
      </c>
      <c r="C5364" s="4" t="s">
        <v>82</v>
      </c>
      <c r="D5364" s="475">
        <v>53.64</v>
      </c>
      <c r="E5364" s="476">
        <v>0.03814</v>
      </c>
      <c r="F5364" s="6">
        <v>0.2367</v>
      </c>
      <c r="G5364" s="6">
        <v>36</v>
      </c>
    </row>
    <row r="5365" ht="15.75" customHeight="1" spans="1:7">
      <c r="A5365" s="4" t="s">
        <v>11844</v>
      </c>
      <c r="B5365" s="5" t="s">
        <v>11845</v>
      </c>
      <c r="C5365" s="4" t="s">
        <v>82</v>
      </c>
      <c r="D5365" s="475">
        <v>50.73</v>
      </c>
      <c r="E5365" s="476">
        <v>0.03814</v>
      </c>
      <c r="F5365" s="6">
        <v>0.1844</v>
      </c>
      <c r="G5365" s="6">
        <v>40.93</v>
      </c>
    </row>
    <row r="5366" ht="15.75" customHeight="1" spans="1:7">
      <c r="A5366" s="4" t="s">
        <v>11846</v>
      </c>
      <c r="B5366" s="5" t="s">
        <v>11847</v>
      </c>
      <c r="C5366" s="4" t="s">
        <v>82</v>
      </c>
      <c r="D5366" s="475">
        <v>56.59</v>
      </c>
      <c r="E5366" s="476">
        <v>0.03814</v>
      </c>
      <c r="F5366" s="6">
        <v>0.2367</v>
      </c>
      <c r="G5366" s="6">
        <v>36</v>
      </c>
    </row>
    <row r="5367" ht="15.75" customHeight="1" spans="1:7">
      <c r="A5367" s="4" t="s">
        <v>11848</v>
      </c>
      <c r="B5367" s="5" t="s">
        <v>11849</v>
      </c>
      <c r="C5367" s="4" t="s">
        <v>82</v>
      </c>
      <c r="D5367" s="475">
        <v>53.53</v>
      </c>
      <c r="E5367" s="476">
        <v>0.03814</v>
      </c>
      <c r="F5367" s="6">
        <v>0.1844</v>
      </c>
      <c r="G5367" s="6">
        <v>40.93</v>
      </c>
    </row>
    <row r="5368" ht="15.75" customHeight="1" spans="1:7">
      <c r="A5368" s="4" t="s">
        <v>11850</v>
      </c>
      <c r="B5368" s="5" t="s">
        <v>11851</v>
      </c>
      <c r="C5368" s="4" t="s">
        <v>82</v>
      </c>
      <c r="D5368" s="475">
        <v>59.09</v>
      </c>
      <c r="E5368" s="476">
        <v>0.03814</v>
      </c>
      <c r="F5368" s="6">
        <v>0.2367</v>
      </c>
      <c r="G5368" s="6">
        <v>36</v>
      </c>
    </row>
    <row r="5369" ht="15.75" customHeight="1" spans="1:7">
      <c r="A5369" s="4" t="s">
        <v>11852</v>
      </c>
      <c r="B5369" s="5" t="s">
        <v>11853</v>
      </c>
      <c r="C5369" s="4" t="s">
        <v>82</v>
      </c>
      <c r="D5369" s="475">
        <v>56.29</v>
      </c>
      <c r="E5369" s="476">
        <v>0.03814</v>
      </c>
      <c r="F5369" s="6">
        <v>0.1844</v>
      </c>
      <c r="G5369" s="6">
        <v>40.93</v>
      </c>
    </row>
    <row r="5370" ht="15.75" customHeight="1" spans="1:7">
      <c r="A5370" s="4" t="s">
        <v>11854</v>
      </c>
      <c r="B5370" s="5" t="s">
        <v>11855</v>
      </c>
      <c r="C5370" s="4" t="s">
        <v>82</v>
      </c>
      <c r="D5370" s="475">
        <v>42.44</v>
      </c>
      <c r="E5370" s="476">
        <v>0.03814</v>
      </c>
      <c r="F5370" s="6">
        <v>0.2881</v>
      </c>
      <c r="G5370" s="6">
        <v>29.58</v>
      </c>
    </row>
    <row r="5371" ht="15.75" customHeight="1" spans="1:7">
      <c r="A5371" s="4" t="s">
        <v>11856</v>
      </c>
      <c r="B5371" s="5" t="s">
        <v>11857</v>
      </c>
      <c r="C5371" s="4" t="s">
        <v>82</v>
      </c>
      <c r="D5371" s="475">
        <v>37.42</v>
      </c>
      <c r="E5371" s="476">
        <v>0.03814</v>
      </c>
      <c r="F5371" s="6">
        <v>0.2367</v>
      </c>
      <c r="G5371" s="6">
        <v>36</v>
      </c>
    </row>
    <row r="5372" ht="15.75" customHeight="1" spans="1:7">
      <c r="A5372" s="4" t="s">
        <v>11858</v>
      </c>
      <c r="B5372" s="5" t="s">
        <v>11859</v>
      </c>
      <c r="C5372" s="4" t="s">
        <v>82</v>
      </c>
      <c r="D5372" s="475">
        <v>39.66</v>
      </c>
      <c r="E5372" s="476">
        <v>0.03814</v>
      </c>
      <c r="F5372" s="6">
        <v>0.2881</v>
      </c>
      <c r="G5372" s="6">
        <v>29.58</v>
      </c>
    </row>
    <row r="5373" ht="15.75" customHeight="1" spans="1:7">
      <c r="A5373" s="4" t="s">
        <v>11860</v>
      </c>
      <c r="B5373" s="5" t="s">
        <v>11861</v>
      </c>
      <c r="C5373" s="4" t="s">
        <v>82</v>
      </c>
      <c r="D5373" s="475">
        <v>35.42</v>
      </c>
      <c r="E5373" s="476">
        <v>0.03814</v>
      </c>
      <c r="F5373" s="6">
        <v>0.2367</v>
      </c>
      <c r="G5373" s="6">
        <v>36</v>
      </c>
    </row>
    <row r="5374" ht="15.75" customHeight="1" spans="1:7">
      <c r="A5374" s="4" t="s">
        <v>11862</v>
      </c>
      <c r="B5374" s="5" t="s">
        <v>11863</v>
      </c>
      <c r="C5374" s="4" t="s">
        <v>82</v>
      </c>
      <c r="D5374" s="475">
        <v>77.57</v>
      </c>
      <c r="E5374" s="476">
        <v>0.03814</v>
      </c>
      <c r="F5374" s="6">
        <v>0.2881</v>
      </c>
      <c r="G5374" s="6">
        <v>29.58</v>
      </c>
    </row>
    <row r="5375" ht="15.75" customHeight="1" spans="1:7">
      <c r="A5375" s="4" t="s">
        <v>11864</v>
      </c>
      <c r="B5375" s="5" t="s">
        <v>11865</v>
      </c>
      <c r="C5375" s="4" t="s">
        <v>82</v>
      </c>
      <c r="D5375" s="475">
        <v>74.65</v>
      </c>
      <c r="E5375" s="476">
        <v>0.03814</v>
      </c>
      <c r="F5375" s="6">
        <v>0.2367</v>
      </c>
      <c r="G5375" s="6">
        <v>36</v>
      </c>
    </row>
    <row r="5376" ht="15.75" customHeight="1" spans="1:7">
      <c r="A5376" s="4" t="s">
        <v>11866</v>
      </c>
      <c r="B5376" s="5" t="s">
        <v>11867</v>
      </c>
      <c r="C5376" s="4" t="s">
        <v>82</v>
      </c>
      <c r="D5376" s="475">
        <v>37</v>
      </c>
      <c r="E5376" s="476">
        <v>0.03814</v>
      </c>
      <c r="F5376" s="6">
        <v>0.2881</v>
      </c>
      <c r="G5376" s="6">
        <v>29.58</v>
      </c>
    </row>
    <row r="5377" ht="15.75" customHeight="1" spans="1:7">
      <c r="A5377" s="4" t="s">
        <v>11868</v>
      </c>
      <c r="B5377" s="5" t="s">
        <v>11869</v>
      </c>
      <c r="C5377" s="4" t="s">
        <v>82</v>
      </c>
      <c r="D5377" s="475">
        <v>30.98</v>
      </c>
      <c r="E5377" s="476">
        <v>0.03814</v>
      </c>
      <c r="F5377" s="6">
        <v>0.2367</v>
      </c>
      <c r="G5377" s="6">
        <v>36</v>
      </c>
    </row>
    <row r="5378" ht="15.75" customHeight="1" spans="1:7">
      <c r="A5378" s="4" t="s">
        <v>11870</v>
      </c>
      <c r="B5378" s="5" t="s">
        <v>11871</v>
      </c>
      <c r="C5378" s="4" t="s">
        <v>82</v>
      </c>
      <c r="D5378" s="475">
        <v>36.25</v>
      </c>
      <c r="E5378" s="476">
        <v>0.03814</v>
      </c>
      <c r="F5378" s="6">
        <v>0.2881</v>
      </c>
      <c r="G5378" s="6">
        <v>29.58</v>
      </c>
    </row>
    <row r="5379" ht="15.75" customHeight="1" spans="1:7">
      <c r="A5379" s="4" t="s">
        <v>11872</v>
      </c>
      <c r="B5379" s="5" t="s">
        <v>11873</v>
      </c>
      <c r="C5379" s="4" t="s">
        <v>82</v>
      </c>
      <c r="D5379" s="475">
        <v>30.59</v>
      </c>
      <c r="E5379" s="476">
        <v>0.03814</v>
      </c>
      <c r="F5379" s="6">
        <v>0.2367</v>
      </c>
      <c r="G5379" s="6">
        <v>36</v>
      </c>
    </row>
    <row r="5380" ht="15.75" customHeight="1" spans="1:7">
      <c r="A5380" s="4" t="s">
        <v>11874</v>
      </c>
      <c r="B5380" s="5" t="s">
        <v>11875</v>
      </c>
      <c r="C5380" s="4" t="s">
        <v>82</v>
      </c>
      <c r="D5380" s="475">
        <v>70.58</v>
      </c>
      <c r="E5380" s="476">
        <v>0.03814</v>
      </c>
      <c r="F5380" s="6">
        <v>0.2881</v>
      </c>
      <c r="G5380" s="6">
        <v>29.58</v>
      </c>
    </row>
    <row r="5381" ht="15.75" customHeight="1" spans="1:7">
      <c r="A5381" s="4" t="s">
        <v>11876</v>
      </c>
      <c r="B5381" s="5" t="s">
        <v>11877</v>
      </c>
      <c r="C5381" s="4" t="s">
        <v>82</v>
      </c>
      <c r="D5381" s="475">
        <v>68.27</v>
      </c>
      <c r="E5381" s="476">
        <v>0.03814</v>
      </c>
      <c r="F5381" s="6">
        <v>0.2367</v>
      </c>
      <c r="G5381" s="6">
        <v>36</v>
      </c>
    </row>
    <row r="5382" ht="15.75" customHeight="1" spans="1:7">
      <c r="A5382" s="4" t="s">
        <v>11878</v>
      </c>
      <c r="B5382" s="5" t="s">
        <v>11879</v>
      </c>
      <c r="C5382" s="4" t="s">
        <v>82</v>
      </c>
      <c r="D5382" s="475">
        <v>88.37</v>
      </c>
      <c r="E5382" s="476">
        <v>0.03814</v>
      </c>
      <c r="F5382" s="6">
        <v>0.4306</v>
      </c>
      <c r="G5382" s="6">
        <v>19.79</v>
      </c>
    </row>
    <row r="5383" ht="15.75" customHeight="1" spans="1:7">
      <c r="A5383" s="4" t="s">
        <v>11880</v>
      </c>
      <c r="B5383" s="5" t="s">
        <v>11881</v>
      </c>
      <c r="C5383" s="4" t="s">
        <v>82</v>
      </c>
      <c r="D5383" s="475">
        <v>86.11</v>
      </c>
      <c r="E5383" s="476">
        <v>0.03814</v>
      </c>
      <c r="F5383" s="6">
        <v>0.4306</v>
      </c>
      <c r="G5383" s="6">
        <v>19.79</v>
      </c>
    </row>
    <row r="5384" ht="15.75" customHeight="1" spans="1:7">
      <c r="A5384" s="4" t="s">
        <v>11882</v>
      </c>
      <c r="B5384" s="5" t="s">
        <v>11883</v>
      </c>
      <c r="C5384" s="4" t="s">
        <v>82</v>
      </c>
      <c r="D5384" s="475">
        <v>83.88</v>
      </c>
      <c r="E5384" s="476">
        <v>0.03814</v>
      </c>
      <c r="F5384" s="6">
        <v>0.4306</v>
      </c>
      <c r="G5384" s="6">
        <v>19.79</v>
      </c>
    </row>
    <row r="5385" ht="15.75" customHeight="1" spans="1:7">
      <c r="A5385" s="4" t="s">
        <v>11884</v>
      </c>
      <c r="B5385" s="5" t="s">
        <v>11885</v>
      </c>
      <c r="C5385" s="4" t="s">
        <v>82</v>
      </c>
      <c r="D5385" s="475">
        <v>81.4</v>
      </c>
      <c r="E5385" s="476">
        <v>0.03814</v>
      </c>
      <c r="F5385" s="6">
        <v>0.4306</v>
      </c>
      <c r="G5385" s="6">
        <v>19.79</v>
      </c>
    </row>
    <row r="5386" ht="15.75" customHeight="1" spans="1:7">
      <c r="A5386" s="4" t="s">
        <v>11886</v>
      </c>
      <c r="B5386" s="5" t="s">
        <v>11887</v>
      </c>
      <c r="C5386" s="4" t="s">
        <v>7</v>
      </c>
      <c r="D5386" s="475">
        <v>342.74</v>
      </c>
      <c r="E5386" s="476">
        <v>0.03814</v>
      </c>
      <c r="F5386" s="6">
        <v>0.5273</v>
      </c>
      <c r="G5386" s="6">
        <v>12</v>
      </c>
    </row>
    <row r="5387" ht="15.75" customHeight="1" spans="1:7">
      <c r="A5387" s="4" t="s">
        <v>11888</v>
      </c>
      <c r="B5387" s="5" t="s">
        <v>11889</v>
      </c>
      <c r="C5387" s="4" t="s">
        <v>724</v>
      </c>
      <c r="D5387" s="475">
        <v>149.45</v>
      </c>
      <c r="E5387" s="476">
        <v>0</v>
      </c>
      <c r="F5387" s="6">
        <v>0</v>
      </c>
      <c r="G5387" s="6">
        <v>8.62561</v>
      </c>
    </row>
    <row r="5388" ht="15.75" customHeight="1" spans="1:7">
      <c r="A5388" s="4" t="s">
        <v>11890</v>
      </c>
      <c r="B5388" s="5" t="s">
        <v>11891</v>
      </c>
      <c r="C5388" s="4" t="s">
        <v>82</v>
      </c>
      <c r="D5388" s="475">
        <v>2731.29</v>
      </c>
      <c r="E5388" s="476">
        <v>0</v>
      </c>
      <c r="F5388" s="6">
        <v>0</v>
      </c>
      <c r="G5388" s="6">
        <v>1</v>
      </c>
    </row>
    <row r="5389" ht="15.75" customHeight="1" spans="1:7">
      <c r="A5389" s="4" t="s">
        <v>11892</v>
      </c>
      <c r="B5389" s="5" t="s">
        <v>11893</v>
      </c>
      <c r="C5389" s="4" t="s">
        <v>82</v>
      </c>
      <c r="D5389" s="475">
        <v>3547.38</v>
      </c>
      <c r="E5389" s="476">
        <v>0</v>
      </c>
      <c r="F5389" s="6">
        <v>0</v>
      </c>
      <c r="G5389" s="6">
        <v>1</v>
      </c>
    </row>
    <row r="5390" ht="15.75" customHeight="1" spans="1:7">
      <c r="A5390" s="4" t="s">
        <v>11894</v>
      </c>
      <c r="B5390" s="5" t="s">
        <v>11895</v>
      </c>
      <c r="C5390" s="4" t="s">
        <v>82</v>
      </c>
      <c r="D5390" s="475">
        <v>7054.52</v>
      </c>
      <c r="E5390" s="476">
        <v>0</v>
      </c>
      <c r="F5390" s="6">
        <v>0</v>
      </c>
      <c r="G5390" s="6">
        <v>1</v>
      </c>
    </row>
    <row r="5391" ht="15.75" customHeight="1" spans="1:7">
      <c r="A5391" s="4" t="s">
        <v>11896</v>
      </c>
      <c r="B5391" s="5" t="s">
        <v>11897</v>
      </c>
      <c r="C5391" s="4" t="s">
        <v>82</v>
      </c>
      <c r="D5391" s="475">
        <v>5804.1</v>
      </c>
      <c r="E5391" s="476">
        <v>0</v>
      </c>
      <c r="F5391" s="6">
        <v>0</v>
      </c>
      <c r="G5391" s="6">
        <v>1</v>
      </c>
    </row>
    <row r="5392" ht="15.75" customHeight="1" spans="1:7">
      <c r="A5392" s="4" t="s">
        <v>11898</v>
      </c>
      <c r="B5392" s="5" t="s">
        <v>11899</v>
      </c>
      <c r="C5392" s="4" t="s">
        <v>82</v>
      </c>
      <c r="D5392" s="475">
        <v>819.05</v>
      </c>
      <c r="E5392" s="476">
        <v>0</v>
      </c>
      <c r="F5392" s="6">
        <v>0</v>
      </c>
      <c r="G5392" s="6">
        <v>0.77018</v>
      </c>
    </row>
    <row r="5393" ht="15.75" customHeight="1" spans="1:7">
      <c r="A5393" s="4" t="s">
        <v>11900</v>
      </c>
      <c r="B5393" s="5" t="s">
        <v>11901</v>
      </c>
      <c r="C5393" s="4" t="s">
        <v>82</v>
      </c>
      <c r="D5393" s="475">
        <v>1224.76</v>
      </c>
      <c r="E5393" s="476">
        <v>0</v>
      </c>
      <c r="F5393" s="6">
        <v>0</v>
      </c>
      <c r="G5393" s="6">
        <v>0.68633</v>
      </c>
    </row>
    <row r="5394" ht="15.75" customHeight="1" spans="1:7">
      <c r="A5394" s="4" t="s">
        <v>11902</v>
      </c>
      <c r="B5394" s="5" t="s">
        <v>11903</v>
      </c>
      <c r="C5394" s="4" t="s">
        <v>82</v>
      </c>
      <c r="D5394" s="475">
        <v>548.91</v>
      </c>
      <c r="E5394" s="476">
        <v>0</v>
      </c>
      <c r="F5394" s="6">
        <v>0</v>
      </c>
      <c r="G5394" s="6">
        <v>0.93404</v>
      </c>
    </row>
    <row r="5395" ht="15.75" customHeight="1" spans="1:7">
      <c r="A5395" s="4" t="s">
        <v>11904</v>
      </c>
      <c r="B5395" s="5" t="s">
        <v>11905</v>
      </c>
      <c r="C5395" s="4" t="s">
        <v>82</v>
      </c>
      <c r="D5395" s="475">
        <v>354.77</v>
      </c>
      <c r="E5395" s="476">
        <v>0</v>
      </c>
      <c r="F5395" s="6">
        <v>0</v>
      </c>
      <c r="G5395" s="6">
        <v>1.0196</v>
      </c>
    </row>
    <row r="5396" ht="15.75" customHeight="1" spans="1:7">
      <c r="A5396" s="4" t="s">
        <v>11906</v>
      </c>
      <c r="B5396" s="5" t="s">
        <v>11907</v>
      </c>
      <c r="C5396" s="4" t="s">
        <v>82</v>
      </c>
      <c r="D5396" s="475">
        <v>343.16</v>
      </c>
      <c r="E5396" s="476">
        <v>0</v>
      </c>
      <c r="F5396" s="6">
        <v>0</v>
      </c>
      <c r="G5396" s="6">
        <v>1.10631</v>
      </c>
    </row>
    <row r="5397" ht="30" customHeight="1" spans="1:7">
      <c r="A5397" s="4" t="s">
        <v>11908</v>
      </c>
      <c r="B5397" s="5" t="s">
        <v>11909</v>
      </c>
      <c r="C5397" s="4" t="s">
        <v>82</v>
      </c>
      <c r="D5397" s="475">
        <v>670.34</v>
      </c>
      <c r="E5397" s="476">
        <v>0.04367</v>
      </c>
      <c r="F5397" s="6">
        <v>3.7126</v>
      </c>
      <c r="G5397" s="6">
        <v>1.65</v>
      </c>
    </row>
    <row r="5398" ht="30" customHeight="1" spans="1:7">
      <c r="A5398" s="4" t="s">
        <v>11910</v>
      </c>
      <c r="B5398" s="5" t="s">
        <v>11911</v>
      </c>
      <c r="C5398" s="4" t="s">
        <v>82</v>
      </c>
      <c r="D5398" s="475">
        <v>1361.42</v>
      </c>
      <c r="E5398" s="476">
        <v>0.04367</v>
      </c>
      <c r="F5398" s="6">
        <v>22.5569</v>
      </c>
      <c r="G5398" s="6">
        <v>1.10221</v>
      </c>
    </row>
    <row r="5399" ht="30" customHeight="1" spans="1:7">
      <c r="A5399" s="4" t="s">
        <v>11912</v>
      </c>
      <c r="B5399" s="5" t="s">
        <v>11913</v>
      </c>
      <c r="C5399" s="4" t="s">
        <v>82</v>
      </c>
      <c r="D5399" s="475">
        <v>1181.5</v>
      </c>
      <c r="E5399" s="476">
        <v>0.04367</v>
      </c>
      <c r="F5399" s="6">
        <v>9.4242</v>
      </c>
      <c r="G5399" s="6">
        <v>0.65</v>
      </c>
    </row>
    <row r="5400" ht="30" customHeight="1" spans="1:7">
      <c r="A5400" s="4" t="s">
        <v>11914</v>
      </c>
      <c r="B5400" s="5" t="s">
        <v>11915</v>
      </c>
      <c r="C5400" s="4" t="s">
        <v>82</v>
      </c>
      <c r="D5400" s="475">
        <v>2317.13</v>
      </c>
      <c r="E5400" s="476">
        <v>0.04367</v>
      </c>
      <c r="F5400" s="6">
        <v>45.7383</v>
      </c>
      <c r="G5400" s="6">
        <v>0.54358</v>
      </c>
    </row>
    <row r="5401" ht="30" customHeight="1" spans="1:7">
      <c r="A5401" s="4" t="s">
        <v>11916</v>
      </c>
      <c r="B5401" s="5" t="s">
        <v>11917</v>
      </c>
      <c r="C5401" s="4" t="s">
        <v>82</v>
      </c>
      <c r="D5401" s="475">
        <v>1320.03</v>
      </c>
      <c r="E5401" s="476">
        <v>0.04367</v>
      </c>
      <c r="F5401" s="6">
        <v>10.2095</v>
      </c>
      <c r="G5401" s="6">
        <v>0.6</v>
      </c>
    </row>
    <row r="5402" ht="30" customHeight="1" spans="1:7">
      <c r="A5402" s="4" t="s">
        <v>11918</v>
      </c>
      <c r="B5402" s="5" t="s">
        <v>11919</v>
      </c>
      <c r="C5402" s="4" t="s">
        <v>82</v>
      </c>
      <c r="D5402" s="475">
        <v>2519.45</v>
      </c>
      <c r="E5402" s="476">
        <v>0.04367</v>
      </c>
      <c r="F5402" s="6">
        <v>48.9264</v>
      </c>
      <c r="G5402" s="6">
        <v>0.50816</v>
      </c>
    </row>
    <row r="5403" ht="30" customHeight="1" spans="1:7">
      <c r="A5403" s="4" t="s">
        <v>11920</v>
      </c>
      <c r="B5403" s="5" t="s">
        <v>11921</v>
      </c>
      <c r="C5403" s="4" t="s">
        <v>82</v>
      </c>
      <c r="D5403" s="475">
        <v>2531.82</v>
      </c>
      <c r="E5403" s="476">
        <v>0.04367</v>
      </c>
      <c r="F5403" s="6">
        <v>22.5559</v>
      </c>
      <c r="G5403" s="6">
        <v>1.10226</v>
      </c>
    </row>
    <row r="5404" ht="30" customHeight="1" spans="1:7">
      <c r="A5404" s="4" t="s">
        <v>11922</v>
      </c>
      <c r="B5404" s="5" t="s">
        <v>11923</v>
      </c>
      <c r="C5404" s="4" t="s">
        <v>82</v>
      </c>
      <c r="D5404" s="475">
        <v>1833.73</v>
      </c>
      <c r="E5404" s="476">
        <v>0.04367</v>
      </c>
      <c r="F5404" s="6">
        <v>3.3889</v>
      </c>
      <c r="G5404" s="6">
        <v>1.65</v>
      </c>
    </row>
    <row r="5405" ht="30" customHeight="1" spans="1:7">
      <c r="A5405" s="4" t="s">
        <v>11924</v>
      </c>
      <c r="B5405" s="5" t="s">
        <v>11925</v>
      </c>
      <c r="C5405" s="4" t="s">
        <v>82</v>
      </c>
      <c r="D5405" s="475">
        <v>5666.21</v>
      </c>
      <c r="E5405" s="476">
        <v>0.04367</v>
      </c>
      <c r="F5405" s="6">
        <v>45.7408</v>
      </c>
      <c r="G5405" s="6">
        <v>0.54355</v>
      </c>
    </row>
    <row r="5406" ht="30" customHeight="1" spans="1:7">
      <c r="A5406" s="4" t="s">
        <v>11926</v>
      </c>
      <c r="B5406" s="5" t="s">
        <v>11927</v>
      </c>
      <c r="C5406" s="4" t="s">
        <v>82</v>
      </c>
      <c r="D5406" s="475">
        <v>4509.71</v>
      </c>
      <c r="E5406" s="476">
        <v>0.04367</v>
      </c>
      <c r="F5406" s="6">
        <v>8.6026</v>
      </c>
      <c r="G5406" s="6">
        <v>0.65</v>
      </c>
    </row>
    <row r="5407" ht="30" customHeight="1" spans="1:7">
      <c r="A5407" s="4" t="s">
        <v>11928</v>
      </c>
      <c r="B5407" s="5" t="s">
        <v>11929</v>
      </c>
      <c r="C5407" s="4" t="s">
        <v>82</v>
      </c>
      <c r="D5407" s="475">
        <v>4987.11</v>
      </c>
      <c r="E5407" s="476">
        <v>0.04367</v>
      </c>
      <c r="F5407" s="6">
        <v>9.3194</v>
      </c>
      <c r="G5407" s="6">
        <v>0.6</v>
      </c>
    </row>
    <row r="5408" ht="30" customHeight="1" spans="1:7">
      <c r="A5408" s="4" t="s">
        <v>11930</v>
      </c>
      <c r="B5408" s="5" t="s">
        <v>11931</v>
      </c>
      <c r="C5408" s="4" t="s">
        <v>82</v>
      </c>
      <c r="D5408" s="475">
        <v>6209.09</v>
      </c>
      <c r="E5408" s="476">
        <v>0.04367</v>
      </c>
      <c r="F5408" s="6">
        <v>48.9264</v>
      </c>
      <c r="G5408" s="6">
        <v>0.50816</v>
      </c>
    </row>
    <row r="5409" ht="30" customHeight="1" spans="1:7">
      <c r="A5409" s="4" t="s">
        <v>11932</v>
      </c>
      <c r="B5409" s="5" t="s">
        <v>11933</v>
      </c>
      <c r="C5409" s="4" t="s">
        <v>82</v>
      </c>
      <c r="D5409" s="475">
        <v>4993.34</v>
      </c>
      <c r="E5409" s="476">
        <v>0.04367</v>
      </c>
      <c r="F5409" s="6">
        <v>2.194</v>
      </c>
      <c r="G5409" s="6">
        <v>3</v>
      </c>
    </row>
    <row r="5410" ht="30" customHeight="1" spans="1:7">
      <c r="A5410" s="4" t="s">
        <v>11934</v>
      </c>
      <c r="B5410" s="5" t="s">
        <v>11935</v>
      </c>
      <c r="C5410" s="4" t="s">
        <v>82</v>
      </c>
      <c r="D5410" s="475">
        <v>5572.17</v>
      </c>
      <c r="E5410" s="476">
        <v>0.04367</v>
      </c>
      <c r="F5410" s="6">
        <v>15.7761</v>
      </c>
      <c r="G5410" s="6">
        <v>1.57595</v>
      </c>
    </row>
    <row r="5411" ht="30" customHeight="1" spans="1:7">
      <c r="A5411" s="4" t="s">
        <v>11936</v>
      </c>
      <c r="B5411" s="5" t="s">
        <v>11937</v>
      </c>
      <c r="C5411" s="4" t="s">
        <v>82</v>
      </c>
      <c r="D5411" s="475">
        <v>2468.69</v>
      </c>
      <c r="E5411" s="476">
        <v>0.04367</v>
      </c>
      <c r="F5411" s="6">
        <v>2.194</v>
      </c>
      <c r="G5411" s="6">
        <v>3</v>
      </c>
    </row>
    <row r="5412" ht="30" customHeight="1" spans="1:7">
      <c r="A5412" s="4" t="s">
        <v>11938</v>
      </c>
      <c r="B5412" s="5" t="s">
        <v>11939</v>
      </c>
      <c r="C5412" s="4" t="s">
        <v>82</v>
      </c>
      <c r="D5412" s="475">
        <v>3024.29</v>
      </c>
      <c r="E5412" s="476">
        <v>0.04367</v>
      </c>
      <c r="F5412" s="6">
        <v>15.7761</v>
      </c>
      <c r="G5412" s="6">
        <v>1.57595</v>
      </c>
    </row>
    <row r="5413" ht="30" customHeight="1" spans="1:7">
      <c r="A5413" s="4" t="s">
        <v>11940</v>
      </c>
      <c r="B5413" s="5" t="s">
        <v>11941</v>
      </c>
      <c r="C5413" s="4" t="s">
        <v>82</v>
      </c>
      <c r="D5413" s="475">
        <v>3277.04</v>
      </c>
      <c r="E5413" s="476">
        <v>0.04367</v>
      </c>
      <c r="F5413" s="6">
        <v>2.194</v>
      </c>
      <c r="G5413" s="6">
        <v>3</v>
      </c>
    </row>
    <row r="5414" ht="30" customHeight="1" spans="1:7">
      <c r="A5414" s="4" t="s">
        <v>11942</v>
      </c>
      <c r="B5414" s="5" t="s">
        <v>11943</v>
      </c>
      <c r="C5414" s="4" t="s">
        <v>82</v>
      </c>
      <c r="D5414" s="475">
        <v>3833.08</v>
      </c>
      <c r="E5414" s="476">
        <v>0.04367</v>
      </c>
      <c r="F5414" s="6">
        <v>15.7761</v>
      </c>
      <c r="G5414" s="6">
        <v>1.57595</v>
      </c>
    </row>
    <row r="5415" ht="30" customHeight="1" spans="1:7">
      <c r="A5415" s="4" t="s">
        <v>11944</v>
      </c>
      <c r="B5415" s="5" t="s">
        <v>11945</v>
      </c>
      <c r="C5415" s="4" t="s">
        <v>82</v>
      </c>
      <c r="D5415" s="475">
        <v>210.1</v>
      </c>
      <c r="E5415" s="476">
        <v>0.04367</v>
      </c>
      <c r="F5415" s="6">
        <v>1.9143</v>
      </c>
      <c r="G5415" s="6">
        <v>3.2</v>
      </c>
    </row>
    <row r="5416" ht="30" customHeight="1" spans="1:7">
      <c r="A5416" s="4" t="s">
        <v>11946</v>
      </c>
      <c r="B5416" s="5" t="s">
        <v>11947</v>
      </c>
      <c r="C5416" s="4" t="s">
        <v>82</v>
      </c>
      <c r="D5416" s="475">
        <v>759.25</v>
      </c>
      <c r="E5416" s="476">
        <v>0.04367</v>
      </c>
      <c r="F5416" s="6">
        <v>15.2582</v>
      </c>
      <c r="G5416" s="6">
        <v>1.62945</v>
      </c>
    </row>
    <row r="5417" ht="30" customHeight="1" spans="1:7">
      <c r="A5417" s="4" t="s">
        <v>11948</v>
      </c>
      <c r="B5417" s="5" t="s">
        <v>11949</v>
      </c>
      <c r="C5417" s="4" t="s">
        <v>82</v>
      </c>
      <c r="D5417" s="475">
        <v>356.81</v>
      </c>
      <c r="E5417" s="476">
        <v>0.04367</v>
      </c>
      <c r="F5417" s="6">
        <v>4.9006</v>
      </c>
      <c r="G5417" s="6">
        <v>1.25</v>
      </c>
    </row>
    <row r="5418" ht="30" customHeight="1" spans="1:7">
      <c r="A5418" s="4" t="s">
        <v>11950</v>
      </c>
      <c r="B5418" s="5" t="s">
        <v>11951</v>
      </c>
      <c r="C5418" s="4" t="s">
        <v>82</v>
      </c>
      <c r="D5418" s="475">
        <v>1138.98</v>
      </c>
      <c r="E5418" s="476">
        <v>0.04367</v>
      </c>
      <c r="F5418" s="6">
        <v>27.3785</v>
      </c>
      <c r="G5418" s="6">
        <v>0.9081</v>
      </c>
    </row>
    <row r="5419" ht="30" customHeight="1" spans="1:7">
      <c r="A5419" s="4" t="s">
        <v>11952</v>
      </c>
      <c r="B5419" s="5" t="s">
        <v>11953</v>
      </c>
      <c r="C5419" s="4" t="s">
        <v>82</v>
      </c>
      <c r="D5419" s="475">
        <v>412.12</v>
      </c>
      <c r="E5419" s="476">
        <v>0.04367</v>
      </c>
      <c r="F5419" s="6">
        <v>5.5688</v>
      </c>
      <c r="G5419" s="6">
        <v>1.1</v>
      </c>
    </row>
    <row r="5420" ht="30" customHeight="1" spans="1:7">
      <c r="A5420" s="4" t="s">
        <v>11954</v>
      </c>
      <c r="B5420" s="5" t="s">
        <v>11955</v>
      </c>
      <c r="C5420" s="4" t="s">
        <v>82</v>
      </c>
      <c r="D5420" s="475">
        <v>1249.51</v>
      </c>
      <c r="E5420" s="476">
        <v>0.04367</v>
      </c>
      <c r="F5420" s="6">
        <v>30.0896</v>
      </c>
      <c r="G5420" s="6">
        <v>0.82628</v>
      </c>
    </row>
    <row r="5421" ht="30" customHeight="1" spans="1:7">
      <c r="A5421" s="4" t="s">
        <v>11956</v>
      </c>
      <c r="B5421" s="5" t="s">
        <v>11957</v>
      </c>
      <c r="C5421" s="4" t="s">
        <v>82</v>
      </c>
      <c r="D5421" s="475">
        <v>1328.78</v>
      </c>
      <c r="E5421" s="476">
        <v>0.04367</v>
      </c>
      <c r="F5421" s="6">
        <v>15.2569</v>
      </c>
      <c r="G5421" s="6">
        <v>1.62958</v>
      </c>
    </row>
    <row r="5422" ht="30" customHeight="1" spans="1:7">
      <c r="A5422" s="4" t="s">
        <v>11958</v>
      </c>
      <c r="B5422" s="5" t="s">
        <v>11959</v>
      </c>
      <c r="C5422" s="4" t="s">
        <v>82</v>
      </c>
      <c r="D5422" s="475">
        <v>776.04</v>
      </c>
      <c r="E5422" s="476">
        <v>0.04367</v>
      </c>
      <c r="F5422" s="6">
        <v>1.7474</v>
      </c>
      <c r="G5422" s="6">
        <v>3.2</v>
      </c>
    </row>
    <row r="5423" ht="30" customHeight="1" spans="1:7">
      <c r="A5423" s="4" t="s">
        <v>11960</v>
      </c>
      <c r="B5423" s="5" t="s">
        <v>11961</v>
      </c>
      <c r="C5423" s="4" t="s">
        <v>82</v>
      </c>
      <c r="D5423" s="475">
        <v>2781.38</v>
      </c>
      <c r="E5423" s="476">
        <v>0.04367</v>
      </c>
      <c r="F5423" s="6">
        <v>27.3785</v>
      </c>
      <c r="G5423" s="6">
        <v>0.9081</v>
      </c>
    </row>
    <row r="5424" ht="30" customHeight="1" spans="1:7">
      <c r="A5424" s="4" t="s">
        <v>11962</v>
      </c>
      <c r="B5424" s="5" t="s">
        <v>11963</v>
      </c>
      <c r="C5424" s="4" t="s">
        <v>82</v>
      </c>
      <c r="D5424" s="475">
        <v>1988.42</v>
      </c>
      <c r="E5424" s="476">
        <v>0.04367</v>
      </c>
      <c r="F5424" s="6">
        <v>4.4733</v>
      </c>
      <c r="G5424" s="6">
        <v>1.25</v>
      </c>
    </row>
    <row r="5425" ht="30" customHeight="1" spans="1:7">
      <c r="A5425" s="4" t="s">
        <v>11964</v>
      </c>
      <c r="B5425" s="5" t="s">
        <v>11965</v>
      </c>
      <c r="C5425" s="4" t="s">
        <v>82</v>
      </c>
      <c r="D5425" s="475">
        <v>2209.37</v>
      </c>
      <c r="E5425" s="476">
        <v>0.04367</v>
      </c>
      <c r="F5425" s="6">
        <v>5.0833</v>
      </c>
      <c r="G5425" s="6">
        <v>1.1</v>
      </c>
    </row>
    <row r="5426" ht="30" customHeight="1" spans="1:7">
      <c r="A5426" s="4" t="s">
        <v>11966</v>
      </c>
      <c r="B5426" s="5" t="s">
        <v>11967</v>
      </c>
      <c r="C5426" s="4" t="s">
        <v>82</v>
      </c>
      <c r="D5426" s="475">
        <v>3059.02</v>
      </c>
      <c r="E5426" s="476">
        <v>0.04367</v>
      </c>
      <c r="F5426" s="6">
        <v>30.0896</v>
      </c>
      <c r="G5426" s="6">
        <v>0.82628</v>
      </c>
    </row>
    <row r="5427" ht="30" customHeight="1" spans="1:7">
      <c r="A5427" s="4" t="s">
        <v>11968</v>
      </c>
      <c r="B5427" s="5" t="s">
        <v>11969</v>
      </c>
      <c r="C5427" s="4" t="s">
        <v>82</v>
      </c>
      <c r="D5427" s="475">
        <v>2235.29</v>
      </c>
      <c r="E5427" s="476">
        <v>0.04367</v>
      </c>
      <c r="F5427" s="6">
        <v>1.097</v>
      </c>
      <c r="G5427" s="6">
        <v>6</v>
      </c>
    </row>
    <row r="5428" ht="30" customHeight="1" spans="1:7">
      <c r="A5428" s="4" t="s">
        <v>11970</v>
      </c>
      <c r="B5428" s="5" t="s">
        <v>11971</v>
      </c>
      <c r="C5428" s="4" t="s">
        <v>82</v>
      </c>
      <c r="D5428" s="475">
        <v>2712.58</v>
      </c>
      <c r="E5428" s="476">
        <v>0.04367</v>
      </c>
      <c r="F5428" s="6">
        <v>11.6324</v>
      </c>
      <c r="G5428" s="6">
        <v>2.13734</v>
      </c>
    </row>
    <row r="5429" ht="30" customHeight="1" spans="1:7">
      <c r="A5429" s="4" t="s">
        <v>11972</v>
      </c>
      <c r="B5429" s="5" t="s">
        <v>11973</v>
      </c>
      <c r="C5429" s="4" t="s">
        <v>82</v>
      </c>
      <c r="D5429" s="475">
        <v>1107.59</v>
      </c>
      <c r="E5429" s="476">
        <v>0.04367</v>
      </c>
      <c r="F5429" s="6">
        <v>1.097</v>
      </c>
      <c r="G5429" s="6">
        <v>6</v>
      </c>
    </row>
    <row r="5430" ht="30" customHeight="1" spans="1:7">
      <c r="A5430" s="4" t="s">
        <v>11974</v>
      </c>
      <c r="B5430" s="5" t="s">
        <v>11975</v>
      </c>
      <c r="C5430" s="4" t="s">
        <v>82</v>
      </c>
      <c r="D5430" s="475">
        <v>1583.86</v>
      </c>
      <c r="E5430" s="476">
        <v>0.04367</v>
      </c>
      <c r="F5430" s="6">
        <v>11.6324</v>
      </c>
      <c r="G5430" s="6">
        <v>2.13734</v>
      </c>
    </row>
    <row r="5431" ht="30" customHeight="1" spans="1:7">
      <c r="A5431" s="4" t="s">
        <v>11976</v>
      </c>
      <c r="B5431" s="5" t="s">
        <v>11977</v>
      </c>
      <c r="C5431" s="4" t="s">
        <v>82</v>
      </c>
      <c r="D5431" s="475">
        <v>1399.11</v>
      </c>
      <c r="E5431" s="476">
        <v>0.04367</v>
      </c>
      <c r="F5431" s="6">
        <v>1.097</v>
      </c>
      <c r="G5431" s="6">
        <v>6</v>
      </c>
    </row>
    <row r="5432" ht="30" customHeight="1" spans="1:7">
      <c r="A5432" s="4" t="s">
        <v>11978</v>
      </c>
      <c r="B5432" s="5" t="s">
        <v>11979</v>
      </c>
      <c r="C5432" s="4" t="s">
        <v>82</v>
      </c>
      <c r="D5432" s="475">
        <v>1875.6</v>
      </c>
      <c r="E5432" s="476">
        <v>0.04367</v>
      </c>
      <c r="F5432" s="6">
        <v>11.6324</v>
      </c>
      <c r="G5432" s="6">
        <v>2.13734</v>
      </c>
    </row>
    <row r="5433" ht="15.75" customHeight="1" spans="1:7">
      <c r="A5433" s="4" t="s">
        <v>11980</v>
      </c>
      <c r="B5433" s="5" t="s">
        <v>11981</v>
      </c>
      <c r="C5433" s="4" t="s">
        <v>82</v>
      </c>
      <c r="D5433" s="475">
        <v>797.85</v>
      </c>
      <c r="E5433" s="476">
        <v>0</v>
      </c>
      <c r="F5433" s="6">
        <v>0</v>
      </c>
      <c r="G5433" s="6">
        <v>16.36</v>
      </c>
    </row>
    <row r="5434" ht="15.75" customHeight="1" spans="1:7">
      <c r="A5434" s="4" t="s">
        <v>11982</v>
      </c>
      <c r="B5434" s="5" t="s">
        <v>11983</v>
      </c>
      <c r="C5434" s="4" t="s">
        <v>82</v>
      </c>
      <c r="D5434" s="475">
        <v>482.1</v>
      </c>
      <c r="E5434" s="476">
        <v>0</v>
      </c>
      <c r="F5434" s="6">
        <v>0</v>
      </c>
      <c r="G5434" s="6">
        <v>10</v>
      </c>
    </row>
    <row r="5435" ht="15.75" customHeight="1" spans="1:7">
      <c r="A5435" s="4" t="s">
        <v>11984</v>
      </c>
      <c r="B5435" s="5" t="s">
        <v>11985</v>
      </c>
      <c r="C5435" s="4" t="s">
        <v>9</v>
      </c>
      <c r="D5435" s="475">
        <v>322.22</v>
      </c>
      <c r="E5435" s="476">
        <v>0</v>
      </c>
      <c r="F5435" s="6">
        <v>0</v>
      </c>
      <c r="G5435" s="6">
        <v>124.14</v>
      </c>
    </row>
    <row r="5436" ht="15.75" customHeight="1" spans="1:7">
      <c r="A5436" s="4" t="s">
        <v>11986</v>
      </c>
      <c r="B5436" s="5" t="s">
        <v>11987</v>
      </c>
      <c r="C5436" s="4" t="s">
        <v>9</v>
      </c>
      <c r="D5436" s="475">
        <v>77.82</v>
      </c>
      <c r="E5436" s="476">
        <v>0</v>
      </c>
      <c r="F5436" s="6">
        <v>0</v>
      </c>
      <c r="G5436" s="6">
        <v>124.14</v>
      </c>
    </row>
    <row r="5437" ht="15.75" customHeight="1" spans="1:7">
      <c r="A5437" s="4" t="s">
        <v>11988</v>
      </c>
      <c r="B5437" s="5" t="s">
        <v>11989</v>
      </c>
      <c r="C5437" s="4" t="s">
        <v>9</v>
      </c>
      <c r="D5437" s="475">
        <v>198.49</v>
      </c>
      <c r="E5437" s="476">
        <v>0</v>
      </c>
      <c r="F5437" s="6">
        <v>0</v>
      </c>
      <c r="G5437" s="6">
        <v>124.14</v>
      </c>
    </row>
    <row r="5438" ht="30" customHeight="1" spans="1:7">
      <c r="A5438" s="4" t="s">
        <v>11990</v>
      </c>
      <c r="B5438" s="5" t="s">
        <v>11991</v>
      </c>
      <c r="C5438" s="4" t="s">
        <v>82</v>
      </c>
      <c r="D5438" s="475">
        <v>4992.02</v>
      </c>
      <c r="E5438" s="476">
        <v>0.03632</v>
      </c>
      <c r="F5438" s="6">
        <v>25.6935</v>
      </c>
      <c r="G5438" s="6">
        <v>0.80479</v>
      </c>
    </row>
    <row r="5439" ht="30" customHeight="1" spans="1:7">
      <c r="A5439" s="4" t="s">
        <v>11992</v>
      </c>
      <c r="B5439" s="5" t="s">
        <v>11993</v>
      </c>
      <c r="C5439" s="4" t="s">
        <v>82</v>
      </c>
      <c r="D5439" s="475">
        <v>7066.53</v>
      </c>
      <c r="E5439" s="476">
        <v>0.03632</v>
      </c>
      <c r="F5439" s="6">
        <v>25.6935</v>
      </c>
      <c r="G5439" s="6">
        <v>0.80479</v>
      </c>
    </row>
    <row r="5440" ht="30" customHeight="1" spans="1:7">
      <c r="A5440" s="4" t="s">
        <v>11994</v>
      </c>
      <c r="B5440" s="5" t="s">
        <v>11995</v>
      </c>
      <c r="C5440" s="4" t="s">
        <v>82</v>
      </c>
      <c r="D5440" s="475">
        <v>9644.24</v>
      </c>
      <c r="E5440" s="476">
        <v>0.03632</v>
      </c>
      <c r="F5440" s="6">
        <v>25.6935</v>
      </c>
      <c r="G5440" s="6">
        <v>0.80479</v>
      </c>
    </row>
    <row r="5441" ht="30" customHeight="1" spans="1:7">
      <c r="A5441" s="4" t="s">
        <v>11996</v>
      </c>
      <c r="B5441" s="5" t="s">
        <v>11997</v>
      </c>
      <c r="C5441" s="4" t="s">
        <v>82</v>
      </c>
      <c r="D5441" s="475">
        <v>10984.54</v>
      </c>
      <c r="E5441" s="476">
        <v>0.03632</v>
      </c>
      <c r="F5441" s="6">
        <v>25.6935</v>
      </c>
      <c r="G5441" s="6">
        <v>0.80479</v>
      </c>
    </row>
    <row r="5442" ht="30" customHeight="1" spans="1:7">
      <c r="A5442" s="4" t="s">
        <v>11998</v>
      </c>
      <c r="B5442" s="5" t="s">
        <v>11999</v>
      </c>
      <c r="C5442" s="4" t="s">
        <v>82</v>
      </c>
      <c r="D5442" s="475">
        <v>13567.26</v>
      </c>
      <c r="E5442" s="476">
        <v>0.03632</v>
      </c>
      <c r="F5442" s="6">
        <v>25.6935</v>
      </c>
      <c r="G5442" s="6">
        <v>0.80479</v>
      </c>
    </row>
    <row r="5443" ht="15.75" customHeight="1" spans="1:7">
      <c r="A5443" s="4" t="s">
        <v>12000</v>
      </c>
      <c r="B5443" s="5" t="s">
        <v>12001</v>
      </c>
      <c r="C5443" s="4" t="s">
        <v>82</v>
      </c>
      <c r="D5443" s="475">
        <v>3737.43</v>
      </c>
      <c r="E5443" s="476">
        <v>0</v>
      </c>
      <c r="F5443" s="6">
        <v>0</v>
      </c>
      <c r="G5443" s="6">
        <v>6.92308</v>
      </c>
    </row>
    <row r="5444" ht="15.75" customHeight="1" spans="1:7">
      <c r="A5444" s="4" t="s">
        <v>12002</v>
      </c>
      <c r="B5444" s="5" t="s">
        <v>12003</v>
      </c>
      <c r="C5444" s="4" t="s">
        <v>82</v>
      </c>
      <c r="D5444" s="475">
        <v>5811.93</v>
      </c>
      <c r="E5444" s="476">
        <v>0</v>
      </c>
      <c r="F5444" s="6">
        <v>0</v>
      </c>
      <c r="G5444" s="6">
        <v>6.92308</v>
      </c>
    </row>
    <row r="5445" ht="15.75" customHeight="1" spans="1:7">
      <c r="A5445" s="4" t="s">
        <v>12004</v>
      </c>
      <c r="B5445" s="5" t="s">
        <v>12005</v>
      </c>
      <c r="C5445" s="4" t="s">
        <v>82</v>
      </c>
      <c r="D5445" s="475">
        <v>8389.64</v>
      </c>
      <c r="E5445" s="476">
        <v>0</v>
      </c>
      <c r="F5445" s="6">
        <v>0</v>
      </c>
      <c r="G5445" s="6">
        <v>6.92308</v>
      </c>
    </row>
    <row r="5446" ht="15.75" customHeight="1" spans="1:7">
      <c r="A5446" s="4" t="s">
        <v>12006</v>
      </c>
      <c r="B5446" s="5" t="s">
        <v>12007</v>
      </c>
      <c r="C5446" s="4" t="s">
        <v>82</v>
      </c>
      <c r="D5446" s="475">
        <v>9729.94</v>
      </c>
      <c r="E5446" s="476">
        <v>0</v>
      </c>
      <c r="F5446" s="6">
        <v>0</v>
      </c>
      <c r="G5446" s="6">
        <v>6.92308</v>
      </c>
    </row>
    <row r="5447" ht="15.75" customHeight="1" spans="1:7">
      <c r="A5447" s="4" t="s">
        <v>12008</v>
      </c>
      <c r="B5447" s="5" t="s">
        <v>12009</v>
      </c>
      <c r="C5447" s="4" t="s">
        <v>82</v>
      </c>
      <c r="D5447" s="475">
        <v>12312.67</v>
      </c>
      <c r="E5447" s="476">
        <v>0</v>
      </c>
      <c r="F5447" s="6">
        <v>0</v>
      </c>
      <c r="G5447" s="6">
        <v>6.92308</v>
      </c>
    </row>
    <row r="5448" ht="15.75" customHeight="1" spans="1:7">
      <c r="A5448" s="4" t="s">
        <v>12010</v>
      </c>
      <c r="B5448" s="5" t="s">
        <v>12011</v>
      </c>
      <c r="C5448" s="4" t="s">
        <v>82</v>
      </c>
      <c r="D5448" s="475">
        <v>3682.71</v>
      </c>
      <c r="E5448" s="476">
        <v>0.03632</v>
      </c>
      <c r="F5448" s="6">
        <v>0.1429</v>
      </c>
      <c r="G5448" s="6">
        <v>6</v>
      </c>
    </row>
    <row r="5449" ht="30" customHeight="1" spans="1:7">
      <c r="A5449" s="4" t="s">
        <v>12012</v>
      </c>
      <c r="B5449" s="5" t="s">
        <v>12013</v>
      </c>
      <c r="C5449" s="4" t="s">
        <v>82</v>
      </c>
      <c r="D5449" s="475">
        <v>4831.69</v>
      </c>
      <c r="E5449" s="476">
        <v>0.03632</v>
      </c>
      <c r="F5449" s="6">
        <v>22.0066</v>
      </c>
      <c r="G5449" s="6">
        <v>0.93962</v>
      </c>
    </row>
    <row r="5450" ht="15.75" customHeight="1" spans="1:7">
      <c r="A5450" s="4" t="s">
        <v>12014</v>
      </c>
      <c r="B5450" s="5" t="s">
        <v>12015</v>
      </c>
      <c r="C5450" s="4" t="s">
        <v>82</v>
      </c>
      <c r="D5450" s="475">
        <v>5757.22</v>
      </c>
      <c r="E5450" s="476">
        <v>0.03632</v>
      </c>
      <c r="F5450" s="6">
        <v>0.1429</v>
      </c>
      <c r="G5450" s="6">
        <v>6</v>
      </c>
    </row>
    <row r="5451" ht="30" customHeight="1" spans="1:7">
      <c r="A5451" s="4" t="s">
        <v>12016</v>
      </c>
      <c r="B5451" s="5" t="s">
        <v>12017</v>
      </c>
      <c r="C5451" s="4" t="s">
        <v>82</v>
      </c>
      <c r="D5451" s="475">
        <v>6906.2</v>
      </c>
      <c r="E5451" s="476">
        <v>0.03632</v>
      </c>
      <c r="F5451" s="6">
        <v>22.0066</v>
      </c>
      <c r="G5451" s="6">
        <v>0.93962</v>
      </c>
    </row>
    <row r="5452" ht="15.75" customHeight="1" spans="1:7">
      <c r="A5452" s="4" t="s">
        <v>12018</v>
      </c>
      <c r="B5452" s="5" t="s">
        <v>12019</v>
      </c>
      <c r="C5452" s="4" t="s">
        <v>82</v>
      </c>
      <c r="D5452" s="475">
        <v>8334.93</v>
      </c>
      <c r="E5452" s="476">
        <v>0.03632</v>
      </c>
      <c r="F5452" s="6">
        <v>0.1429</v>
      </c>
      <c r="G5452" s="6">
        <v>6</v>
      </c>
    </row>
    <row r="5453" ht="30" customHeight="1" spans="1:7">
      <c r="A5453" s="4" t="s">
        <v>12020</v>
      </c>
      <c r="B5453" s="5" t="s">
        <v>12021</v>
      </c>
      <c r="C5453" s="4" t="s">
        <v>82</v>
      </c>
      <c r="D5453" s="475">
        <v>9483.91</v>
      </c>
      <c r="E5453" s="476">
        <v>0.03632</v>
      </c>
      <c r="F5453" s="6">
        <v>22.0066</v>
      </c>
      <c r="G5453" s="6">
        <v>0.93962</v>
      </c>
    </row>
    <row r="5454" ht="15.75" customHeight="1" spans="1:7">
      <c r="A5454" s="4" t="s">
        <v>12022</v>
      </c>
      <c r="B5454" s="5" t="s">
        <v>12023</v>
      </c>
      <c r="C5454" s="4" t="s">
        <v>82</v>
      </c>
      <c r="D5454" s="475">
        <v>9675.22</v>
      </c>
      <c r="E5454" s="476">
        <v>0.03632</v>
      </c>
      <c r="F5454" s="6">
        <v>0.1429</v>
      </c>
      <c r="G5454" s="6">
        <v>6</v>
      </c>
    </row>
    <row r="5455" ht="30" customHeight="1" spans="1:7">
      <c r="A5455" s="4" t="s">
        <v>12024</v>
      </c>
      <c r="B5455" s="5" t="s">
        <v>12025</v>
      </c>
      <c r="C5455" s="4" t="s">
        <v>82</v>
      </c>
      <c r="D5455" s="475">
        <v>10824.21</v>
      </c>
      <c r="E5455" s="476">
        <v>0.03632</v>
      </c>
      <c r="F5455" s="6">
        <v>22.0066</v>
      </c>
      <c r="G5455" s="6">
        <v>0.93962</v>
      </c>
    </row>
    <row r="5456" ht="15.75" customHeight="1" spans="1:7">
      <c r="A5456" s="4" t="s">
        <v>12026</v>
      </c>
      <c r="B5456" s="5" t="s">
        <v>12027</v>
      </c>
      <c r="C5456" s="4" t="s">
        <v>82</v>
      </c>
      <c r="D5456" s="475">
        <v>12257.95</v>
      </c>
      <c r="E5456" s="476">
        <v>0.03632</v>
      </c>
      <c r="F5456" s="6">
        <v>0.1429</v>
      </c>
      <c r="G5456" s="6">
        <v>6</v>
      </c>
    </row>
    <row r="5457" ht="30" customHeight="1" spans="1:7">
      <c r="A5457" s="4" t="s">
        <v>12028</v>
      </c>
      <c r="B5457" s="5" t="s">
        <v>12029</v>
      </c>
      <c r="C5457" s="4" t="s">
        <v>82</v>
      </c>
      <c r="D5457" s="475">
        <v>13406.93</v>
      </c>
      <c r="E5457" s="476">
        <v>0.03632</v>
      </c>
      <c r="F5457" s="6">
        <v>22.0066</v>
      </c>
      <c r="G5457" s="6">
        <v>0.93962</v>
      </c>
    </row>
    <row r="5458" ht="15.75" customHeight="1" spans="1:7">
      <c r="A5458" s="4" t="s">
        <v>12030</v>
      </c>
      <c r="B5458" s="5" t="s">
        <v>12031</v>
      </c>
      <c r="C5458" s="4" t="s">
        <v>82</v>
      </c>
      <c r="D5458" s="475">
        <v>87.45</v>
      </c>
      <c r="E5458" s="476">
        <v>0.04367</v>
      </c>
      <c r="F5458" s="6">
        <v>2.194</v>
      </c>
      <c r="G5458" s="6">
        <v>3</v>
      </c>
    </row>
    <row r="5459" ht="15.75" customHeight="1" spans="1:7">
      <c r="A5459" s="4" t="s">
        <v>12032</v>
      </c>
      <c r="B5459" s="5" t="s">
        <v>12033</v>
      </c>
      <c r="C5459" s="4" t="s">
        <v>82</v>
      </c>
      <c r="D5459" s="475">
        <v>616.65</v>
      </c>
      <c r="E5459" s="476">
        <v>0.04367</v>
      </c>
      <c r="F5459" s="6">
        <v>15.7761</v>
      </c>
      <c r="G5459" s="6">
        <v>1.57595</v>
      </c>
    </row>
    <row r="5460" ht="15.75" customHeight="1" spans="1:7">
      <c r="A5460" s="4" t="s">
        <v>12034</v>
      </c>
      <c r="B5460" s="5" t="s">
        <v>12035</v>
      </c>
      <c r="C5460" s="4" t="s">
        <v>82</v>
      </c>
      <c r="D5460" s="475">
        <v>495.29</v>
      </c>
      <c r="E5460" s="476">
        <v>0.03814</v>
      </c>
      <c r="F5460" s="6">
        <v>8.4015</v>
      </c>
      <c r="G5460" s="6">
        <v>0.89408</v>
      </c>
    </row>
    <row r="5461" ht="15.75" customHeight="1" spans="1:7">
      <c r="A5461" s="4" t="s">
        <v>12036</v>
      </c>
      <c r="B5461" s="5" t="s">
        <v>12037</v>
      </c>
      <c r="C5461" s="4" t="s">
        <v>82</v>
      </c>
      <c r="D5461" s="475">
        <v>1747.32</v>
      </c>
      <c r="E5461" s="476">
        <v>0.03814</v>
      </c>
      <c r="F5461" s="6">
        <v>37.3672</v>
      </c>
      <c r="G5461" s="6">
        <v>0.5811</v>
      </c>
    </row>
    <row r="5462" ht="15.75" customHeight="1" spans="1:7">
      <c r="A5462" s="4" t="s">
        <v>12038</v>
      </c>
      <c r="B5462" s="5" t="s">
        <v>12039</v>
      </c>
      <c r="C5462" s="4" t="s">
        <v>82</v>
      </c>
      <c r="D5462" s="475">
        <v>1094</v>
      </c>
      <c r="E5462" s="476">
        <v>0</v>
      </c>
      <c r="F5462" s="6">
        <v>0</v>
      </c>
      <c r="G5462" s="6">
        <v>1.18571</v>
      </c>
    </row>
    <row r="5463" ht="15.75" customHeight="1" spans="1:7">
      <c r="A5463" s="4" t="s">
        <v>12040</v>
      </c>
      <c r="B5463" s="5" t="s">
        <v>12041</v>
      </c>
      <c r="C5463" s="4" t="s">
        <v>7</v>
      </c>
      <c r="D5463" s="475">
        <v>11.03</v>
      </c>
      <c r="E5463" s="476">
        <v>0</v>
      </c>
      <c r="F5463" s="6">
        <v>0</v>
      </c>
      <c r="G5463" s="6">
        <v>45.97</v>
      </c>
    </row>
    <row r="5464" ht="15.75" customHeight="1" spans="1:7">
      <c r="A5464" s="4" t="s">
        <v>12042</v>
      </c>
      <c r="B5464" s="5" t="s">
        <v>12043</v>
      </c>
      <c r="C5464" s="4" t="s">
        <v>7</v>
      </c>
      <c r="D5464" s="475">
        <v>9.69</v>
      </c>
      <c r="E5464" s="476">
        <v>0</v>
      </c>
      <c r="F5464" s="6">
        <v>0</v>
      </c>
      <c r="G5464" s="6">
        <v>45.97</v>
      </c>
    </row>
    <row r="5465" ht="15.75" customHeight="1" spans="1:7">
      <c r="A5465" s="4" t="s">
        <v>12044</v>
      </c>
      <c r="B5465" s="5" t="s">
        <v>12045</v>
      </c>
      <c r="C5465" s="4" t="s">
        <v>7</v>
      </c>
      <c r="D5465" s="475">
        <v>8.54</v>
      </c>
      <c r="E5465" s="476">
        <v>0</v>
      </c>
      <c r="F5465" s="6">
        <v>0</v>
      </c>
      <c r="G5465" s="6">
        <v>45.97</v>
      </c>
    </row>
    <row r="5466" ht="15.75" customHeight="1" spans="1:7">
      <c r="A5466" s="4" t="s">
        <v>12046</v>
      </c>
      <c r="B5466" s="5" t="s">
        <v>12047</v>
      </c>
      <c r="C5466" s="4" t="s">
        <v>82</v>
      </c>
      <c r="D5466" s="475">
        <v>361.98</v>
      </c>
      <c r="E5466" s="476">
        <v>0</v>
      </c>
      <c r="F5466" s="6">
        <v>0</v>
      </c>
      <c r="G5466" s="6">
        <v>1</v>
      </c>
    </row>
    <row r="5467" ht="15.75" customHeight="1" spans="1:7">
      <c r="A5467" s="4" t="s">
        <v>12048</v>
      </c>
      <c r="B5467" s="5" t="s">
        <v>12049</v>
      </c>
      <c r="C5467" s="4" t="s">
        <v>82</v>
      </c>
      <c r="D5467" s="475">
        <v>514.97</v>
      </c>
      <c r="E5467" s="476">
        <v>0</v>
      </c>
      <c r="F5467" s="6">
        <v>0</v>
      </c>
      <c r="G5467" s="6">
        <v>1</v>
      </c>
    </row>
    <row r="5468" ht="15.75" customHeight="1" spans="1:7">
      <c r="A5468" s="4" t="s">
        <v>12050</v>
      </c>
      <c r="B5468" s="5" t="s">
        <v>12051</v>
      </c>
      <c r="C5468" s="4" t="s">
        <v>82</v>
      </c>
      <c r="D5468" s="475">
        <v>212.93</v>
      </c>
      <c r="E5468" s="476">
        <v>0</v>
      </c>
      <c r="F5468" s="6">
        <v>0</v>
      </c>
      <c r="G5468" s="6">
        <v>1</v>
      </c>
    </row>
    <row r="5469" ht="15.75" customHeight="1" spans="1:7">
      <c r="A5469" s="4" t="s">
        <v>12052</v>
      </c>
      <c r="B5469" s="5" t="s">
        <v>12053</v>
      </c>
      <c r="C5469" s="4" t="s">
        <v>82</v>
      </c>
      <c r="D5469" s="475">
        <v>323.81</v>
      </c>
      <c r="E5469" s="476">
        <v>0</v>
      </c>
      <c r="F5469" s="6">
        <v>0</v>
      </c>
      <c r="G5469" s="6">
        <v>1</v>
      </c>
    </row>
    <row r="5470" ht="15.75" customHeight="1" spans="1:7">
      <c r="A5470" s="4" t="s">
        <v>12054</v>
      </c>
      <c r="B5470" s="5" t="s">
        <v>12055</v>
      </c>
      <c r="C5470" s="4" t="s">
        <v>82</v>
      </c>
      <c r="D5470" s="475">
        <v>396.85</v>
      </c>
      <c r="E5470" s="476">
        <v>0</v>
      </c>
      <c r="F5470" s="6">
        <v>0</v>
      </c>
      <c r="G5470" s="6">
        <v>1</v>
      </c>
    </row>
    <row r="5471" ht="15.75" customHeight="1" spans="1:7">
      <c r="A5471" s="4" t="s">
        <v>12056</v>
      </c>
      <c r="B5471" s="5" t="s">
        <v>12057</v>
      </c>
      <c r="C5471" s="4" t="s">
        <v>82</v>
      </c>
      <c r="D5471" s="475">
        <v>708.8</v>
      </c>
      <c r="E5471" s="476">
        <v>0</v>
      </c>
      <c r="F5471" s="6">
        <v>0</v>
      </c>
      <c r="G5471" s="6">
        <v>1</v>
      </c>
    </row>
    <row r="5472" ht="15.75" customHeight="1" spans="1:7">
      <c r="A5472" s="4" t="s">
        <v>12058</v>
      </c>
      <c r="B5472" s="5" t="s">
        <v>12059</v>
      </c>
      <c r="C5472" s="4" t="s">
        <v>82</v>
      </c>
      <c r="D5472" s="475">
        <v>648.23</v>
      </c>
      <c r="E5472" s="476">
        <v>0</v>
      </c>
      <c r="F5472" s="6">
        <v>0</v>
      </c>
      <c r="G5472" s="6">
        <v>1</v>
      </c>
    </row>
    <row r="5473" ht="15.75" customHeight="1" spans="1:7">
      <c r="A5473" s="4" t="s">
        <v>12060</v>
      </c>
      <c r="B5473" s="5" t="s">
        <v>12061</v>
      </c>
      <c r="C5473" s="4" t="s">
        <v>82</v>
      </c>
      <c r="D5473" s="475">
        <v>196.86</v>
      </c>
      <c r="E5473" s="476">
        <v>0</v>
      </c>
      <c r="F5473" s="6">
        <v>0</v>
      </c>
      <c r="G5473" s="6">
        <v>0.95065</v>
      </c>
    </row>
    <row r="5474" ht="15.75" customHeight="1" spans="1:7">
      <c r="A5474" s="4" t="s">
        <v>12062</v>
      </c>
      <c r="B5474" s="5" t="s">
        <v>12063</v>
      </c>
      <c r="C5474" s="4" t="s">
        <v>82</v>
      </c>
      <c r="D5474" s="475">
        <v>293.93</v>
      </c>
      <c r="E5474" s="476">
        <v>0</v>
      </c>
      <c r="F5474" s="6">
        <v>0</v>
      </c>
      <c r="G5474" s="6">
        <v>0.80466</v>
      </c>
    </row>
    <row r="5475" ht="15.75" customHeight="1" spans="1:7">
      <c r="A5475" s="4" t="s">
        <v>12064</v>
      </c>
      <c r="B5475" s="5" t="s">
        <v>12065</v>
      </c>
      <c r="C5475" s="4" t="s">
        <v>82</v>
      </c>
      <c r="D5475" s="475">
        <v>255.57</v>
      </c>
      <c r="E5475" s="476">
        <v>0</v>
      </c>
      <c r="F5475" s="6">
        <v>0</v>
      </c>
      <c r="G5475" s="6">
        <v>0.85947</v>
      </c>
    </row>
    <row r="5476" ht="15.75" customHeight="1" spans="1:7">
      <c r="A5476" s="4" t="s">
        <v>12066</v>
      </c>
      <c r="B5476" s="5" t="s">
        <v>12067</v>
      </c>
      <c r="C5476" s="4" t="s">
        <v>82</v>
      </c>
      <c r="D5476" s="475">
        <v>182.12</v>
      </c>
      <c r="E5476" s="476">
        <v>0</v>
      </c>
      <c r="F5476" s="6">
        <v>0</v>
      </c>
      <c r="G5476" s="6">
        <v>0.91855</v>
      </c>
    </row>
    <row r="5477" ht="15.75" customHeight="1" spans="1:7">
      <c r="A5477" s="4" t="s">
        <v>12068</v>
      </c>
      <c r="B5477" s="5" t="s">
        <v>12069</v>
      </c>
      <c r="C5477" s="4" t="s">
        <v>82</v>
      </c>
      <c r="D5477" s="475">
        <v>158.77</v>
      </c>
      <c r="E5477" s="476">
        <v>0</v>
      </c>
      <c r="F5477" s="6">
        <v>0</v>
      </c>
      <c r="G5477" s="6">
        <v>0.95898</v>
      </c>
    </row>
    <row r="5478" ht="15.75" customHeight="1" spans="1:7">
      <c r="A5478" s="4" t="s">
        <v>12070</v>
      </c>
      <c r="B5478" s="5" t="s">
        <v>12071</v>
      </c>
      <c r="C5478" s="4" t="s">
        <v>82</v>
      </c>
      <c r="D5478" s="475">
        <v>1805.67</v>
      </c>
      <c r="E5478" s="476">
        <v>0</v>
      </c>
      <c r="F5478" s="6">
        <v>0</v>
      </c>
      <c r="G5478" s="6">
        <v>0.74328</v>
      </c>
    </row>
    <row r="5479" ht="15.75" customHeight="1" spans="1:7">
      <c r="A5479" s="4" t="s">
        <v>12072</v>
      </c>
      <c r="B5479" s="5" t="s">
        <v>12073</v>
      </c>
      <c r="C5479" s="4" t="s">
        <v>82</v>
      </c>
      <c r="D5479" s="475">
        <v>1323.73</v>
      </c>
      <c r="E5479" s="476">
        <v>0</v>
      </c>
      <c r="F5479" s="6">
        <v>0</v>
      </c>
      <c r="G5479" s="6">
        <v>0.98614</v>
      </c>
    </row>
    <row r="5480" ht="15.75" customHeight="1" spans="1:7">
      <c r="A5480" s="4" t="s">
        <v>12074</v>
      </c>
      <c r="B5480" s="5" t="s">
        <v>12075</v>
      </c>
      <c r="C5480" s="4" t="s">
        <v>82</v>
      </c>
      <c r="D5480" s="475">
        <v>125.88</v>
      </c>
      <c r="E5480" s="476">
        <v>0.04367</v>
      </c>
      <c r="F5480" s="6">
        <v>4.3879</v>
      </c>
      <c r="G5480" s="6">
        <v>1.5</v>
      </c>
    </row>
    <row r="5481" ht="15.75" customHeight="1" spans="1:7">
      <c r="A5481" s="4" t="s">
        <v>12076</v>
      </c>
      <c r="B5481" s="5" t="s">
        <v>12077</v>
      </c>
      <c r="C5481" s="4" t="s">
        <v>82</v>
      </c>
      <c r="D5481" s="475">
        <v>1233.32</v>
      </c>
      <c r="E5481" s="476">
        <v>0.04367</v>
      </c>
      <c r="F5481" s="6">
        <v>31.5525</v>
      </c>
      <c r="G5481" s="6">
        <v>0.78797</v>
      </c>
    </row>
    <row r="5482" ht="15.75" customHeight="1" spans="1:7">
      <c r="A5482" s="4" t="s">
        <v>12078</v>
      </c>
      <c r="B5482" s="5" t="s">
        <v>12079</v>
      </c>
      <c r="C5482" s="4" t="s">
        <v>82</v>
      </c>
      <c r="D5482" s="475">
        <v>571.68</v>
      </c>
      <c r="E5482" s="476">
        <v>0.03814</v>
      </c>
      <c r="F5482" s="6">
        <v>10.2538</v>
      </c>
      <c r="G5482" s="6">
        <v>0.73257</v>
      </c>
    </row>
    <row r="5483" ht="15.75" customHeight="1" spans="1:7">
      <c r="A5483" s="4" t="s">
        <v>12080</v>
      </c>
      <c r="B5483" s="5" t="s">
        <v>12081</v>
      </c>
      <c r="C5483" s="4" t="s">
        <v>82</v>
      </c>
      <c r="D5483" s="475">
        <v>1933.11</v>
      </c>
      <c r="E5483" s="476">
        <v>0.03814</v>
      </c>
      <c r="F5483" s="6">
        <v>42.6435</v>
      </c>
      <c r="G5483" s="6">
        <v>0.5092</v>
      </c>
    </row>
    <row r="5484" ht="15.75" customHeight="1" spans="1:7">
      <c r="A5484" s="4" t="s">
        <v>12082</v>
      </c>
      <c r="B5484" s="5" t="s">
        <v>12083</v>
      </c>
      <c r="C5484" s="4" t="s">
        <v>99</v>
      </c>
      <c r="D5484" s="475">
        <v>11.42</v>
      </c>
      <c r="E5484" s="476">
        <v>0.13329</v>
      </c>
      <c r="F5484" s="6">
        <v>0.3592</v>
      </c>
      <c r="G5484" s="6">
        <v>216.26</v>
      </c>
    </row>
    <row r="5485" ht="15.75" customHeight="1" spans="1:7">
      <c r="A5485" s="4" t="s">
        <v>12084</v>
      </c>
      <c r="B5485" s="5" t="s">
        <v>12085</v>
      </c>
      <c r="C5485" s="4" t="s">
        <v>99</v>
      </c>
      <c r="D5485" s="475">
        <v>11.42</v>
      </c>
      <c r="E5485" s="476">
        <v>0.13329</v>
      </c>
      <c r="F5485" s="6">
        <v>0.3592</v>
      </c>
      <c r="G5485" s="6">
        <v>216.26</v>
      </c>
    </row>
    <row r="5486" ht="30" customHeight="1" spans="1:7">
      <c r="A5486" s="4" t="s">
        <v>12086</v>
      </c>
      <c r="B5486" s="5" t="s">
        <v>12087</v>
      </c>
      <c r="C5486" s="4" t="s">
        <v>7</v>
      </c>
      <c r="D5486" s="475">
        <v>37.71</v>
      </c>
      <c r="E5486" s="476">
        <v>0</v>
      </c>
      <c r="F5486" s="6">
        <v>0</v>
      </c>
      <c r="G5486" s="6">
        <v>1</v>
      </c>
    </row>
    <row r="5487" ht="15.75" customHeight="1" spans="1:7">
      <c r="A5487" s="4" t="s">
        <v>12088</v>
      </c>
      <c r="B5487" s="5" t="s">
        <v>12089</v>
      </c>
      <c r="C5487" s="4" t="s">
        <v>99</v>
      </c>
      <c r="D5487" s="475">
        <v>1555.65</v>
      </c>
      <c r="E5487" s="476">
        <v>0.11084</v>
      </c>
      <c r="F5487" s="6">
        <v>2.9412</v>
      </c>
      <c r="G5487" s="6">
        <v>4.98</v>
      </c>
    </row>
    <row r="5488" ht="30" customHeight="1" spans="1:7">
      <c r="A5488" s="4" t="s">
        <v>12090</v>
      </c>
      <c r="B5488" s="5" t="s">
        <v>12091</v>
      </c>
      <c r="C5488" s="4" t="s">
        <v>99</v>
      </c>
      <c r="D5488" s="475">
        <v>1436.91</v>
      </c>
      <c r="E5488" s="476">
        <v>0.11084</v>
      </c>
      <c r="F5488" s="6">
        <v>2.9412</v>
      </c>
      <c r="G5488" s="6">
        <v>4.98</v>
      </c>
    </row>
    <row r="5489" ht="15.75" customHeight="1" spans="1:7">
      <c r="A5489" s="4" t="s">
        <v>12092</v>
      </c>
      <c r="B5489" s="5" t="s">
        <v>12093</v>
      </c>
      <c r="C5489" s="4" t="s">
        <v>99</v>
      </c>
      <c r="D5489" s="475">
        <v>1745.7</v>
      </c>
      <c r="E5489" s="476">
        <v>0.11084</v>
      </c>
      <c r="F5489" s="6">
        <v>2.9412</v>
      </c>
      <c r="G5489" s="6">
        <v>4.98</v>
      </c>
    </row>
    <row r="5490" ht="30" customHeight="1" spans="1:7">
      <c r="A5490" s="4" t="s">
        <v>12094</v>
      </c>
      <c r="B5490" s="5" t="s">
        <v>12095</v>
      </c>
      <c r="C5490" s="4" t="s">
        <v>99</v>
      </c>
      <c r="D5490" s="475">
        <v>1626.96</v>
      </c>
      <c r="E5490" s="476">
        <v>0.11084</v>
      </c>
      <c r="F5490" s="6">
        <v>2.9412</v>
      </c>
      <c r="G5490" s="6">
        <v>4.98</v>
      </c>
    </row>
    <row r="5491" ht="15.75" customHeight="1" spans="1:7">
      <c r="A5491" s="4" t="s">
        <v>12096</v>
      </c>
      <c r="B5491" s="5" t="s">
        <v>12097</v>
      </c>
      <c r="C5491" s="4" t="s">
        <v>99</v>
      </c>
      <c r="D5491" s="475">
        <v>1543.47</v>
      </c>
      <c r="E5491" s="476">
        <v>0.11084</v>
      </c>
      <c r="F5491" s="6">
        <v>2.9412</v>
      </c>
      <c r="G5491" s="6">
        <v>4.98</v>
      </c>
    </row>
    <row r="5492" ht="30" customHeight="1" spans="1:7">
      <c r="A5492" s="4" t="s">
        <v>12098</v>
      </c>
      <c r="B5492" s="5" t="s">
        <v>12099</v>
      </c>
      <c r="C5492" s="4" t="s">
        <v>99</v>
      </c>
      <c r="D5492" s="475">
        <v>1424.73</v>
      </c>
      <c r="E5492" s="476">
        <v>0.11084</v>
      </c>
      <c r="F5492" s="6">
        <v>2.9412</v>
      </c>
      <c r="G5492" s="6">
        <v>4.98</v>
      </c>
    </row>
    <row r="5493" ht="30" customHeight="1" spans="1:7">
      <c r="A5493" s="4" t="s">
        <v>12100</v>
      </c>
      <c r="B5493" s="5" t="s">
        <v>12101</v>
      </c>
      <c r="C5493" s="4" t="s">
        <v>7</v>
      </c>
      <c r="D5493" s="475">
        <v>9.39</v>
      </c>
      <c r="E5493" s="476">
        <v>0</v>
      </c>
      <c r="F5493" s="6">
        <v>0</v>
      </c>
      <c r="G5493" s="6">
        <v>10.11</v>
      </c>
    </row>
    <row r="5494" ht="15.75" customHeight="1" spans="1:7">
      <c r="A5494" s="4" t="s">
        <v>12102</v>
      </c>
      <c r="B5494" s="5" t="s">
        <v>12103</v>
      </c>
      <c r="C5494" s="4" t="s">
        <v>7</v>
      </c>
      <c r="D5494" s="475">
        <v>138.21</v>
      </c>
      <c r="E5494" s="476">
        <v>0.13329</v>
      </c>
      <c r="F5494" s="6">
        <v>5.7732</v>
      </c>
      <c r="G5494" s="6">
        <v>3.75</v>
      </c>
    </row>
    <row r="5495" ht="15.75" customHeight="1" spans="1:7">
      <c r="A5495" s="4" t="s">
        <v>12104</v>
      </c>
      <c r="B5495" s="5" t="s">
        <v>12105</v>
      </c>
      <c r="C5495" s="4" t="s">
        <v>7</v>
      </c>
      <c r="D5495" s="475">
        <v>377.21</v>
      </c>
      <c r="E5495" s="476">
        <v>0</v>
      </c>
      <c r="F5495" s="6">
        <v>0</v>
      </c>
      <c r="G5495" s="6">
        <v>1</v>
      </c>
    </row>
    <row r="5496" ht="30" customHeight="1" spans="1:7">
      <c r="A5496" s="4" t="s">
        <v>12106</v>
      </c>
      <c r="B5496" s="5" t="s">
        <v>12107</v>
      </c>
      <c r="C5496" s="4" t="s">
        <v>7</v>
      </c>
      <c r="D5496" s="475">
        <v>360.59</v>
      </c>
      <c r="E5496" s="476">
        <v>0</v>
      </c>
      <c r="F5496" s="6">
        <v>0</v>
      </c>
      <c r="G5496" s="6">
        <v>1</v>
      </c>
    </row>
    <row r="5497" ht="15.75" customHeight="1" spans="1:7">
      <c r="A5497" s="4" t="s">
        <v>12108</v>
      </c>
      <c r="B5497" s="5" t="s">
        <v>12109</v>
      </c>
      <c r="C5497" s="4" t="s">
        <v>7</v>
      </c>
      <c r="D5497" s="475">
        <v>403.82</v>
      </c>
      <c r="E5497" s="476">
        <v>0</v>
      </c>
      <c r="F5497" s="6">
        <v>0</v>
      </c>
      <c r="G5497" s="6">
        <v>1</v>
      </c>
    </row>
    <row r="5498" ht="30" customHeight="1" spans="1:7">
      <c r="A5498" s="4" t="s">
        <v>12110</v>
      </c>
      <c r="B5498" s="5" t="s">
        <v>12111</v>
      </c>
      <c r="C5498" s="4" t="s">
        <v>7</v>
      </c>
      <c r="D5498" s="475">
        <v>387.2</v>
      </c>
      <c r="E5498" s="476">
        <v>0</v>
      </c>
      <c r="F5498" s="6">
        <v>0</v>
      </c>
      <c r="G5498" s="6">
        <v>1</v>
      </c>
    </row>
    <row r="5499" ht="30" customHeight="1" spans="1:7">
      <c r="A5499" s="4" t="s">
        <v>12112</v>
      </c>
      <c r="B5499" s="5" t="s">
        <v>12113</v>
      </c>
      <c r="C5499" s="4" t="s">
        <v>7</v>
      </c>
      <c r="D5499" s="475">
        <v>359.86</v>
      </c>
      <c r="E5499" s="476">
        <v>0</v>
      </c>
      <c r="F5499" s="6">
        <v>0</v>
      </c>
      <c r="G5499" s="6">
        <v>1</v>
      </c>
    </row>
    <row r="5500" ht="30" customHeight="1" spans="1:7">
      <c r="A5500" s="4" t="s">
        <v>12114</v>
      </c>
      <c r="B5500" s="5" t="s">
        <v>12115</v>
      </c>
      <c r="C5500" s="4" t="s">
        <v>7</v>
      </c>
      <c r="D5500" s="475">
        <v>343.23</v>
      </c>
      <c r="E5500" s="476">
        <v>0</v>
      </c>
      <c r="F5500" s="6">
        <v>0</v>
      </c>
      <c r="G5500" s="6">
        <v>1</v>
      </c>
    </row>
    <row r="5501" ht="30" customHeight="1" spans="1:7">
      <c r="A5501" s="4" t="s">
        <v>12116</v>
      </c>
      <c r="B5501" s="5" t="s">
        <v>12117</v>
      </c>
      <c r="C5501" s="4" t="s">
        <v>7</v>
      </c>
      <c r="D5501" s="475">
        <v>386.46</v>
      </c>
      <c r="E5501" s="476">
        <v>0</v>
      </c>
      <c r="F5501" s="6">
        <v>0</v>
      </c>
      <c r="G5501" s="6">
        <v>1</v>
      </c>
    </row>
    <row r="5502" ht="30" customHeight="1" spans="1:7">
      <c r="A5502" s="4" t="s">
        <v>12118</v>
      </c>
      <c r="B5502" s="5" t="s">
        <v>12119</v>
      </c>
      <c r="C5502" s="4" t="s">
        <v>7</v>
      </c>
      <c r="D5502" s="475">
        <v>369.84</v>
      </c>
      <c r="E5502" s="476">
        <v>0</v>
      </c>
      <c r="F5502" s="6">
        <v>0</v>
      </c>
      <c r="G5502" s="6">
        <v>1</v>
      </c>
    </row>
    <row r="5503" ht="15.75" customHeight="1" spans="1:7">
      <c r="A5503" s="4" t="s">
        <v>12120</v>
      </c>
      <c r="B5503" s="5" t="s">
        <v>12121</v>
      </c>
      <c r="C5503" s="4" t="s">
        <v>7</v>
      </c>
      <c r="D5503" s="475">
        <v>364.49</v>
      </c>
      <c r="E5503" s="476">
        <v>0</v>
      </c>
      <c r="F5503" s="6">
        <v>0</v>
      </c>
      <c r="G5503" s="6">
        <v>1</v>
      </c>
    </row>
    <row r="5504" ht="30" customHeight="1" spans="1:7">
      <c r="A5504" s="4" t="s">
        <v>12122</v>
      </c>
      <c r="B5504" s="5" t="s">
        <v>12123</v>
      </c>
      <c r="C5504" s="4" t="s">
        <v>7</v>
      </c>
      <c r="D5504" s="475">
        <v>347.86</v>
      </c>
      <c r="E5504" s="476">
        <v>0</v>
      </c>
      <c r="F5504" s="6">
        <v>0</v>
      </c>
      <c r="G5504" s="6">
        <v>1</v>
      </c>
    </row>
    <row r="5505" ht="15.75" customHeight="1" spans="1:7">
      <c r="A5505" s="4" t="s">
        <v>12124</v>
      </c>
      <c r="B5505" s="5" t="s">
        <v>12125</v>
      </c>
      <c r="C5505" s="4" t="s">
        <v>7</v>
      </c>
      <c r="D5505" s="475">
        <v>391.09</v>
      </c>
      <c r="E5505" s="476">
        <v>0</v>
      </c>
      <c r="F5505" s="6">
        <v>0</v>
      </c>
      <c r="G5505" s="6">
        <v>1</v>
      </c>
    </row>
    <row r="5506" ht="30" customHeight="1" spans="1:7">
      <c r="A5506" s="4" t="s">
        <v>12126</v>
      </c>
      <c r="B5506" s="5" t="s">
        <v>12127</v>
      </c>
      <c r="C5506" s="4" t="s">
        <v>7</v>
      </c>
      <c r="D5506" s="475">
        <v>374.47</v>
      </c>
      <c r="E5506" s="476">
        <v>0</v>
      </c>
      <c r="F5506" s="6">
        <v>0</v>
      </c>
      <c r="G5506" s="6">
        <v>1</v>
      </c>
    </row>
    <row r="5507" ht="15.75" customHeight="1" spans="1:7">
      <c r="A5507" s="4" t="s">
        <v>12128</v>
      </c>
      <c r="B5507" s="5" t="s">
        <v>12129</v>
      </c>
      <c r="C5507" s="4" t="s">
        <v>7</v>
      </c>
      <c r="D5507" s="475">
        <v>362.06</v>
      </c>
      <c r="E5507" s="476">
        <v>0</v>
      </c>
      <c r="F5507" s="6">
        <v>0</v>
      </c>
      <c r="G5507" s="6">
        <v>1</v>
      </c>
    </row>
    <row r="5508" ht="30" customHeight="1" spans="1:7">
      <c r="A5508" s="4" t="s">
        <v>12130</v>
      </c>
      <c r="B5508" s="5" t="s">
        <v>12131</v>
      </c>
      <c r="C5508" s="4" t="s">
        <v>7</v>
      </c>
      <c r="D5508" s="475">
        <v>345.44</v>
      </c>
      <c r="E5508" s="476">
        <v>0</v>
      </c>
      <c r="F5508" s="6">
        <v>0</v>
      </c>
      <c r="G5508" s="6">
        <v>1</v>
      </c>
    </row>
    <row r="5509" ht="15.75" customHeight="1" spans="1:7">
      <c r="A5509" s="4" t="s">
        <v>12132</v>
      </c>
      <c r="B5509" s="5" t="s">
        <v>12133</v>
      </c>
      <c r="C5509" s="4" t="s">
        <v>7</v>
      </c>
      <c r="D5509" s="475">
        <v>388.67</v>
      </c>
      <c r="E5509" s="476">
        <v>0</v>
      </c>
      <c r="F5509" s="6">
        <v>0</v>
      </c>
      <c r="G5509" s="6">
        <v>1</v>
      </c>
    </row>
    <row r="5510" ht="30" customHeight="1" spans="1:7">
      <c r="A5510" s="4" t="s">
        <v>12134</v>
      </c>
      <c r="B5510" s="5" t="s">
        <v>12135</v>
      </c>
      <c r="C5510" s="4" t="s">
        <v>7</v>
      </c>
      <c r="D5510" s="475">
        <v>372.04</v>
      </c>
      <c r="E5510" s="476">
        <v>0</v>
      </c>
      <c r="F5510" s="6">
        <v>0</v>
      </c>
      <c r="G5510" s="6">
        <v>1</v>
      </c>
    </row>
    <row r="5511" ht="15.75" customHeight="1" spans="1:7">
      <c r="A5511" s="4" t="s">
        <v>12136</v>
      </c>
      <c r="B5511" s="5" t="s">
        <v>12137</v>
      </c>
      <c r="C5511" s="4" t="s">
        <v>7</v>
      </c>
      <c r="D5511" s="475">
        <v>360.71</v>
      </c>
      <c r="E5511" s="476">
        <v>0</v>
      </c>
      <c r="F5511" s="6">
        <v>0</v>
      </c>
      <c r="G5511" s="6">
        <v>1</v>
      </c>
    </row>
    <row r="5512" ht="30" customHeight="1" spans="1:7">
      <c r="A5512" s="4" t="s">
        <v>12138</v>
      </c>
      <c r="B5512" s="5" t="s">
        <v>12139</v>
      </c>
      <c r="C5512" s="4" t="s">
        <v>7</v>
      </c>
      <c r="D5512" s="475">
        <v>344.09</v>
      </c>
      <c r="E5512" s="476">
        <v>0</v>
      </c>
      <c r="F5512" s="6">
        <v>0</v>
      </c>
      <c r="G5512" s="6">
        <v>1</v>
      </c>
    </row>
    <row r="5513" ht="15.75" customHeight="1" spans="1:7">
      <c r="A5513" s="4" t="s">
        <v>12140</v>
      </c>
      <c r="B5513" s="5" t="s">
        <v>12141</v>
      </c>
      <c r="C5513" s="4" t="s">
        <v>7</v>
      </c>
      <c r="D5513" s="475">
        <v>387.32</v>
      </c>
      <c r="E5513" s="476">
        <v>0</v>
      </c>
      <c r="F5513" s="6">
        <v>0</v>
      </c>
      <c r="G5513" s="6">
        <v>1</v>
      </c>
    </row>
    <row r="5514" ht="30" customHeight="1" spans="1:7">
      <c r="A5514" s="4" t="s">
        <v>12142</v>
      </c>
      <c r="B5514" s="5" t="s">
        <v>12143</v>
      </c>
      <c r="C5514" s="4" t="s">
        <v>7</v>
      </c>
      <c r="D5514" s="475">
        <v>370.7</v>
      </c>
      <c r="E5514" s="476">
        <v>0</v>
      </c>
      <c r="F5514" s="6">
        <v>0</v>
      </c>
      <c r="G5514" s="6">
        <v>1</v>
      </c>
    </row>
    <row r="5515" ht="15.75" customHeight="1" spans="1:7">
      <c r="A5515" s="4" t="s">
        <v>12144</v>
      </c>
      <c r="B5515" s="5" t="s">
        <v>12145</v>
      </c>
      <c r="C5515" s="4" t="s">
        <v>7</v>
      </c>
      <c r="D5515" s="475">
        <v>375.51</v>
      </c>
      <c r="E5515" s="476">
        <v>0</v>
      </c>
      <c r="F5515" s="6">
        <v>0</v>
      </c>
      <c r="G5515" s="6">
        <v>1</v>
      </c>
    </row>
    <row r="5516" ht="15.75" customHeight="1" spans="1:7">
      <c r="A5516" s="4" t="s">
        <v>12146</v>
      </c>
      <c r="B5516" s="5" t="s">
        <v>12147</v>
      </c>
      <c r="C5516" s="4" t="s">
        <v>7</v>
      </c>
      <c r="D5516" s="475">
        <v>358.88</v>
      </c>
      <c r="E5516" s="476">
        <v>0</v>
      </c>
      <c r="F5516" s="6">
        <v>0</v>
      </c>
      <c r="G5516" s="6">
        <v>1</v>
      </c>
    </row>
    <row r="5517" ht="15.75" customHeight="1" spans="1:7">
      <c r="A5517" s="4" t="s">
        <v>12148</v>
      </c>
      <c r="B5517" s="5" t="s">
        <v>12149</v>
      </c>
      <c r="C5517" s="4" t="s">
        <v>7</v>
      </c>
      <c r="D5517" s="475">
        <v>358.15</v>
      </c>
      <c r="E5517" s="476">
        <v>0</v>
      </c>
      <c r="F5517" s="6">
        <v>0</v>
      </c>
      <c r="G5517" s="6">
        <v>1</v>
      </c>
    </row>
    <row r="5518" ht="30" customHeight="1" spans="1:7">
      <c r="A5518" s="4" t="s">
        <v>12150</v>
      </c>
      <c r="B5518" s="5" t="s">
        <v>12151</v>
      </c>
      <c r="C5518" s="4" t="s">
        <v>7</v>
      </c>
      <c r="D5518" s="475">
        <v>341.53</v>
      </c>
      <c r="E5518" s="476">
        <v>0</v>
      </c>
      <c r="F5518" s="6">
        <v>0</v>
      </c>
      <c r="G5518" s="6">
        <v>1</v>
      </c>
    </row>
    <row r="5519" ht="15.75" customHeight="1" spans="1:7">
      <c r="A5519" s="4" t="s">
        <v>12152</v>
      </c>
      <c r="B5519" s="5" t="s">
        <v>12153</v>
      </c>
      <c r="C5519" s="4" t="s">
        <v>7</v>
      </c>
      <c r="D5519" s="475">
        <v>362.78</v>
      </c>
      <c r="E5519" s="476">
        <v>0</v>
      </c>
      <c r="F5519" s="6">
        <v>0</v>
      </c>
      <c r="G5519" s="6">
        <v>1</v>
      </c>
    </row>
    <row r="5520" ht="15.75" customHeight="1" spans="1:7">
      <c r="A5520" s="4" t="s">
        <v>12154</v>
      </c>
      <c r="B5520" s="5" t="s">
        <v>12155</v>
      </c>
      <c r="C5520" s="4" t="s">
        <v>7</v>
      </c>
      <c r="D5520" s="475">
        <v>346.16</v>
      </c>
      <c r="E5520" s="476">
        <v>0</v>
      </c>
      <c r="F5520" s="6">
        <v>0</v>
      </c>
      <c r="G5520" s="6">
        <v>1</v>
      </c>
    </row>
    <row r="5521" ht="15.75" customHeight="1" spans="1:7">
      <c r="A5521" s="4" t="s">
        <v>12156</v>
      </c>
      <c r="B5521" s="5" t="s">
        <v>12157</v>
      </c>
      <c r="C5521" s="4" t="s">
        <v>7</v>
      </c>
      <c r="D5521" s="475">
        <v>360.36</v>
      </c>
      <c r="E5521" s="476">
        <v>0</v>
      </c>
      <c r="F5521" s="6">
        <v>0</v>
      </c>
      <c r="G5521" s="6">
        <v>1</v>
      </c>
    </row>
    <row r="5522" ht="15.75" customHeight="1" spans="1:7">
      <c r="A5522" s="4" t="s">
        <v>12158</v>
      </c>
      <c r="B5522" s="5" t="s">
        <v>12159</v>
      </c>
      <c r="C5522" s="4" t="s">
        <v>7</v>
      </c>
      <c r="D5522" s="475">
        <v>343.73</v>
      </c>
      <c r="E5522" s="476">
        <v>0</v>
      </c>
      <c r="F5522" s="6">
        <v>0</v>
      </c>
      <c r="G5522" s="6">
        <v>1</v>
      </c>
    </row>
    <row r="5523" ht="15.75" customHeight="1" spans="1:7">
      <c r="A5523" s="4" t="s">
        <v>12160</v>
      </c>
      <c r="B5523" s="5" t="s">
        <v>12161</v>
      </c>
      <c r="C5523" s="4" t="s">
        <v>7</v>
      </c>
      <c r="D5523" s="475">
        <v>359.01</v>
      </c>
      <c r="E5523" s="476">
        <v>0</v>
      </c>
      <c r="F5523" s="6">
        <v>0</v>
      </c>
      <c r="G5523" s="6">
        <v>1</v>
      </c>
    </row>
    <row r="5524" ht="30" customHeight="1" spans="1:7">
      <c r="A5524" s="4" t="s">
        <v>12162</v>
      </c>
      <c r="B5524" s="5" t="s">
        <v>12163</v>
      </c>
      <c r="C5524" s="4" t="s">
        <v>7</v>
      </c>
      <c r="D5524" s="475">
        <v>342.39</v>
      </c>
      <c r="E5524" s="476">
        <v>0</v>
      </c>
      <c r="F5524" s="6">
        <v>0</v>
      </c>
      <c r="G5524" s="6">
        <v>1</v>
      </c>
    </row>
    <row r="5525" ht="15.75" customHeight="1" spans="1:7">
      <c r="A5525" s="4" t="s">
        <v>12164</v>
      </c>
      <c r="B5525" s="5" t="s">
        <v>12165</v>
      </c>
      <c r="C5525" s="4" t="s">
        <v>82</v>
      </c>
      <c r="D5525" s="475">
        <v>9.55</v>
      </c>
      <c r="E5525" s="476">
        <v>0</v>
      </c>
      <c r="F5525" s="6">
        <v>0</v>
      </c>
      <c r="G5525" s="6">
        <v>4</v>
      </c>
    </row>
    <row r="5526" ht="15.75" customHeight="1" spans="1:7">
      <c r="A5526" s="4" t="s">
        <v>12166</v>
      </c>
      <c r="B5526" s="5" t="s">
        <v>12167</v>
      </c>
      <c r="C5526" s="4" t="s">
        <v>7</v>
      </c>
      <c r="D5526" s="475">
        <v>18</v>
      </c>
      <c r="E5526" s="476">
        <v>0.11084</v>
      </c>
      <c r="F5526" s="6">
        <v>0.8551</v>
      </c>
      <c r="G5526" s="6">
        <v>10</v>
      </c>
    </row>
    <row r="5527" ht="15.75" customHeight="1" spans="1:7">
      <c r="A5527" s="4" t="s">
        <v>12168</v>
      </c>
      <c r="B5527" s="5" t="s">
        <v>12169</v>
      </c>
      <c r="C5527" s="4" t="s">
        <v>99</v>
      </c>
      <c r="D5527" s="475">
        <v>123.84</v>
      </c>
      <c r="E5527" s="476">
        <v>0.13329</v>
      </c>
      <c r="F5527" s="6">
        <v>0.1967</v>
      </c>
      <c r="G5527" s="6">
        <v>141.45</v>
      </c>
    </row>
    <row r="5528" ht="15.75" customHeight="1" spans="1:7">
      <c r="A5528" s="4" t="s">
        <v>12170</v>
      </c>
      <c r="B5528" s="5" t="s">
        <v>12171</v>
      </c>
      <c r="C5528" s="4" t="s">
        <v>99</v>
      </c>
      <c r="D5528" s="475">
        <v>17.6</v>
      </c>
      <c r="E5528" s="476">
        <v>0.13329</v>
      </c>
      <c r="F5528" s="6">
        <v>0.1967</v>
      </c>
      <c r="G5528" s="6">
        <v>141.45</v>
      </c>
    </row>
    <row r="5529" ht="15.75" customHeight="1" spans="1:7">
      <c r="A5529" s="4" t="s">
        <v>12172</v>
      </c>
      <c r="B5529" s="5" t="s">
        <v>12173</v>
      </c>
      <c r="C5529" s="4" t="s">
        <v>99</v>
      </c>
      <c r="D5529" s="475">
        <v>6.83</v>
      </c>
      <c r="E5529" s="476">
        <v>0.13329</v>
      </c>
      <c r="F5529" s="6">
        <v>0.4433</v>
      </c>
      <c r="G5529" s="6">
        <v>134.56</v>
      </c>
    </row>
    <row r="5530" ht="15.75" customHeight="1" spans="1:7">
      <c r="A5530" s="4" t="s">
        <v>12174</v>
      </c>
      <c r="B5530" s="5" t="s">
        <v>12175</v>
      </c>
      <c r="C5530" s="4" t="s">
        <v>99</v>
      </c>
      <c r="D5530" s="475">
        <v>5.89</v>
      </c>
      <c r="E5530" s="476">
        <v>0.13329</v>
      </c>
      <c r="F5530" s="6">
        <v>0.3547</v>
      </c>
      <c r="G5530" s="6">
        <v>168.2</v>
      </c>
    </row>
    <row r="5531" ht="15.75" customHeight="1" spans="1:7">
      <c r="A5531" s="4" t="s">
        <v>12176</v>
      </c>
      <c r="B5531" s="5" t="s">
        <v>12177</v>
      </c>
      <c r="C5531" s="4" t="s">
        <v>99</v>
      </c>
      <c r="D5531" s="475">
        <v>43.41</v>
      </c>
      <c r="E5531" s="476">
        <v>0.13329</v>
      </c>
      <c r="F5531" s="6">
        <v>0.3022</v>
      </c>
      <c r="G5531" s="6">
        <v>146.35</v>
      </c>
    </row>
    <row r="5532" ht="15.75" customHeight="1" spans="1:7">
      <c r="A5532" s="4" t="s">
        <v>12178</v>
      </c>
      <c r="B5532" s="5" t="s">
        <v>12179</v>
      </c>
      <c r="C5532" s="4" t="s">
        <v>99</v>
      </c>
      <c r="D5532" s="475">
        <v>22.1</v>
      </c>
      <c r="E5532" s="476">
        <v>0</v>
      </c>
      <c r="F5532" s="6">
        <v>0</v>
      </c>
      <c r="G5532" s="6">
        <v>50.11</v>
      </c>
    </row>
    <row r="5533" ht="15.75" customHeight="1" spans="1:7">
      <c r="A5533" s="4" t="s">
        <v>12180</v>
      </c>
      <c r="B5533" s="5" t="s">
        <v>12181</v>
      </c>
      <c r="C5533" s="4" t="s">
        <v>7</v>
      </c>
      <c r="D5533" s="475">
        <v>0.76</v>
      </c>
      <c r="E5533" s="476">
        <v>0.16487</v>
      </c>
      <c r="F5533" s="6">
        <v>0.0498</v>
      </c>
      <c r="G5533" s="6">
        <v>1532.91</v>
      </c>
    </row>
    <row r="5534" ht="15.75" customHeight="1" spans="1:7">
      <c r="A5534" s="4" t="s">
        <v>12182</v>
      </c>
      <c r="B5534" s="5" t="s">
        <v>12183</v>
      </c>
      <c r="C5534" s="4" t="s">
        <v>99</v>
      </c>
      <c r="D5534" s="475">
        <v>186.09</v>
      </c>
      <c r="E5534" s="476">
        <v>0.13329</v>
      </c>
      <c r="F5534" s="6">
        <v>12.9054</v>
      </c>
      <c r="G5534" s="6">
        <v>0.69167</v>
      </c>
    </row>
    <row r="5535" ht="15.75" customHeight="1" spans="1:7">
      <c r="A5535" s="4" t="s">
        <v>12184</v>
      </c>
      <c r="B5535" s="5" t="s">
        <v>12185</v>
      </c>
      <c r="C5535" s="4" t="s">
        <v>99</v>
      </c>
      <c r="D5535" s="475">
        <v>49.01</v>
      </c>
      <c r="E5535" s="476">
        <v>0</v>
      </c>
      <c r="F5535" s="6">
        <v>0</v>
      </c>
      <c r="G5535" s="6">
        <v>5.7907</v>
      </c>
    </row>
    <row r="5536" ht="15.75" customHeight="1" spans="1:7">
      <c r="A5536" s="4" t="s">
        <v>12186</v>
      </c>
      <c r="B5536" s="5" t="s">
        <v>12187</v>
      </c>
      <c r="C5536" s="4" t="s">
        <v>99</v>
      </c>
      <c r="D5536" s="475">
        <v>394.25</v>
      </c>
      <c r="E5536" s="476">
        <v>0</v>
      </c>
      <c r="F5536" s="6">
        <v>0</v>
      </c>
      <c r="G5536" s="6">
        <v>2.27656</v>
      </c>
    </row>
    <row r="5537" ht="15.75" customHeight="1" spans="1:7">
      <c r="A5537" s="4" t="s">
        <v>12188</v>
      </c>
      <c r="B5537" s="5" t="s">
        <v>12189</v>
      </c>
      <c r="C5537" s="4" t="s">
        <v>82</v>
      </c>
      <c r="D5537" s="475">
        <v>55.91</v>
      </c>
      <c r="E5537" s="476">
        <v>0.16487</v>
      </c>
      <c r="F5537" s="6">
        <v>3.6766</v>
      </c>
      <c r="G5537" s="6">
        <v>20.75</v>
      </c>
    </row>
    <row r="5538" ht="15.75" customHeight="1" spans="1:7">
      <c r="A5538" s="4" t="s">
        <v>12190</v>
      </c>
      <c r="B5538" s="5" t="s">
        <v>12191</v>
      </c>
      <c r="C5538" s="4" t="s">
        <v>82</v>
      </c>
      <c r="D5538" s="475">
        <v>139.79</v>
      </c>
      <c r="E5538" s="476">
        <v>0.16487</v>
      </c>
      <c r="F5538" s="6">
        <v>9.1915</v>
      </c>
      <c r="G5538" s="6">
        <v>8.3</v>
      </c>
    </row>
    <row r="5539" ht="30" customHeight="1" spans="1:7">
      <c r="A5539" s="4" t="s">
        <v>12192</v>
      </c>
      <c r="B5539" s="5" t="s">
        <v>12193</v>
      </c>
      <c r="C5539" s="4" t="s">
        <v>99</v>
      </c>
      <c r="D5539" s="475">
        <v>200.73</v>
      </c>
      <c r="E5539" s="476">
        <v>0</v>
      </c>
      <c r="F5539" s="6">
        <v>0</v>
      </c>
      <c r="G5539" s="6">
        <v>3.5181</v>
      </c>
    </row>
    <row r="5540" ht="30" customHeight="1" spans="1:7">
      <c r="A5540" s="4" t="s">
        <v>12194</v>
      </c>
      <c r="B5540" s="5" t="s">
        <v>12195</v>
      </c>
      <c r="C5540" s="4" t="s">
        <v>99</v>
      </c>
      <c r="D5540" s="475">
        <v>22.59</v>
      </c>
      <c r="E5540" s="476">
        <v>0</v>
      </c>
      <c r="F5540" s="6">
        <v>0</v>
      </c>
      <c r="G5540" s="6">
        <v>30.16</v>
      </c>
    </row>
    <row r="5541" ht="30" customHeight="1" spans="1:7">
      <c r="A5541" s="4" t="s">
        <v>12196</v>
      </c>
      <c r="B5541" s="5" t="s">
        <v>12197</v>
      </c>
      <c r="C5541" s="4" t="s">
        <v>99</v>
      </c>
      <c r="D5541" s="475">
        <v>28.5</v>
      </c>
      <c r="E5541" s="476">
        <v>0</v>
      </c>
      <c r="F5541" s="6">
        <v>0</v>
      </c>
      <c r="G5541" s="6">
        <v>24.01</v>
      </c>
    </row>
    <row r="5542" ht="30" customHeight="1" spans="1:7">
      <c r="A5542" s="4" t="s">
        <v>12198</v>
      </c>
      <c r="B5542" s="5" t="s">
        <v>12199</v>
      </c>
      <c r="C5542" s="4" t="s">
        <v>99</v>
      </c>
      <c r="D5542" s="475">
        <v>52.25</v>
      </c>
      <c r="E5542" s="476">
        <v>0</v>
      </c>
      <c r="F5542" s="6">
        <v>0</v>
      </c>
      <c r="G5542" s="6">
        <v>13.2</v>
      </c>
    </row>
    <row r="5543" ht="30" customHeight="1" spans="1:7">
      <c r="A5543" s="4" t="s">
        <v>12200</v>
      </c>
      <c r="B5543" s="5" t="s">
        <v>12201</v>
      </c>
      <c r="C5543" s="4" t="s">
        <v>99</v>
      </c>
      <c r="D5543" s="475">
        <v>97.34</v>
      </c>
      <c r="E5543" s="476">
        <v>0</v>
      </c>
      <c r="F5543" s="6">
        <v>0</v>
      </c>
      <c r="G5543" s="6">
        <v>7.16129</v>
      </c>
    </row>
    <row r="5544" ht="15.75" customHeight="1" spans="1:7">
      <c r="A5544" s="4" t="s">
        <v>12202</v>
      </c>
      <c r="B5544" s="5" t="s">
        <v>12203</v>
      </c>
      <c r="C5544" s="4" t="s">
        <v>99</v>
      </c>
      <c r="D5544" s="475">
        <v>39.78</v>
      </c>
      <c r="E5544" s="476">
        <v>0</v>
      </c>
      <c r="F5544" s="6">
        <v>0</v>
      </c>
      <c r="G5544" s="6">
        <v>64.84</v>
      </c>
    </row>
    <row r="5545" ht="15.75" customHeight="1" spans="1:7">
      <c r="A5545" s="4" t="s">
        <v>12204</v>
      </c>
      <c r="B5545" s="5" t="s">
        <v>12205</v>
      </c>
      <c r="C5545" s="4" t="s">
        <v>99</v>
      </c>
      <c r="D5545" s="475">
        <v>28.3</v>
      </c>
      <c r="E5545" s="476">
        <v>0</v>
      </c>
      <c r="F5545" s="6">
        <v>0</v>
      </c>
      <c r="G5545" s="6">
        <v>64.84</v>
      </c>
    </row>
    <row r="5546" ht="15.75" customHeight="1" spans="1:7">
      <c r="A5546" s="4" t="s">
        <v>12206</v>
      </c>
      <c r="B5546" s="5" t="s">
        <v>12207</v>
      </c>
      <c r="C5546" s="4" t="s">
        <v>99</v>
      </c>
      <c r="D5546" s="475">
        <v>111.07</v>
      </c>
      <c r="E5546" s="476">
        <v>0</v>
      </c>
      <c r="F5546" s="6">
        <v>0</v>
      </c>
      <c r="G5546" s="6">
        <v>6.35727</v>
      </c>
    </row>
    <row r="5547" ht="15.75" customHeight="1" spans="1:7">
      <c r="A5547" s="4" t="s">
        <v>12208</v>
      </c>
      <c r="B5547" s="5" t="s">
        <v>12209</v>
      </c>
      <c r="C5547" s="4" t="s">
        <v>99</v>
      </c>
      <c r="D5547" s="475">
        <v>13.52</v>
      </c>
      <c r="E5547" s="476">
        <v>0</v>
      </c>
      <c r="F5547" s="6">
        <v>0</v>
      </c>
      <c r="G5547" s="6">
        <v>50.33</v>
      </c>
    </row>
    <row r="5548" ht="15.75" customHeight="1" spans="1:7">
      <c r="A5548" s="4" t="s">
        <v>12210</v>
      </c>
      <c r="B5548" s="5" t="s">
        <v>12211</v>
      </c>
      <c r="C5548" s="4" t="s">
        <v>99</v>
      </c>
      <c r="D5548" s="475">
        <v>16.94</v>
      </c>
      <c r="E5548" s="476">
        <v>0</v>
      </c>
      <c r="F5548" s="6">
        <v>0</v>
      </c>
      <c r="G5548" s="6">
        <v>40.46</v>
      </c>
    </row>
    <row r="5549" ht="15.75" customHeight="1" spans="1:7">
      <c r="A5549" s="4" t="s">
        <v>12212</v>
      </c>
      <c r="B5549" s="5" t="s">
        <v>12213</v>
      </c>
      <c r="C5549" s="4" t="s">
        <v>99</v>
      </c>
      <c r="D5549" s="475">
        <v>30.52</v>
      </c>
      <c r="E5549" s="476">
        <v>0</v>
      </c>
      <c r="F5549" s="6">
        <v>0</v>
      </c>
      <c r="G5549" s="6">
        <v>22.63</v>
      </c>
    </row>
    <row r="5550" ht="15.75" customHeight="1" spans="1:7">
      <c r="A5550" s="4" t="s">
        <v>12214</v>
      </c>
      <c r="B5550" s="5" t="s">
        <v>12215</v>
      </c>
      <c r="C5550" s="4" t="s">
        <v>99</v>
      </c>
      <c r="D5550" s="475">
        <v>55.99</v>
      </c>
      <c r="E5550" s="476">
        <v>0</v>
      </c>
      <c r="F5550" s="6">
        <v>0</v>
      </c>
      <c r="G5550" s="6">
        <v>12.44</v>
      </c>
    </row>
    <row r="5551" ht="15.75" customHeight="1" spans="1:7">
      <c r="A5551" s="4" t="s">
        <v>12216</v>
      </c>
      <c r="B5551" s="5" t="s">
        <v>12217</v>
      </c>
      <c r="C5551" s="4" t="s">
        <v>99</v>
      </c>
      <c r="D5551" s="475">
        <v>7.37</v>
      </c>
      <c r="E5551" s="476">
        <v>0.13329</v>
      </c>
      <c r="F5551" s="6">
        <v>0.5194</v>
      </c>
      <c r="G5551" s="6">
        <v>26</v>
      </c>
    </row>
    <row r="5552" ht="30" customHeight="1" spans="1:7">
      <c r="A5552" s="4" t="s">
        <v>12218</v>
      </c>
      <c r="B5552" s="5" t="s">
        <v>12219</v>
      </c>
      <c r="C5552" s="4" t="s">
        <v>99</v>
      </c>
      <c r="D5552" s="475">
        <v>14.34</v>
      </c>
      <c r="E5552" s="476">
        <v>0.13329</v>
      </c>
      <c r="F5552" s="6">
        <v>0.7016</v>
      </c>
      <c r="G5552" s="6">
        <v>243.82</v>
      </c>
    </row>
    <row r="5553" ht="30" customHeight="1" spans="1:7">
      <c r="A5553" s="4" t="s">
        <v>12220</v>
      </c>
      <c r="B5553" s="5" t="s">
        <v>12221</v>
      </c>
      <c r="C5553" s="4" t="s">
        <v>99</v>
      </c>
      <c r="D5553" s="475">
        <v>8.82</v>
      </c>
      <c r="E5553" s="476">
        <v>0.13329</v>
      </c>
      <c r="F5553" s="6">
        <v>0.3848</v>
      </c>
      <c r="G5553" s="6">
        <v>230.19</v>
      </c>
    </row>
    <row r="5554" ht="30" customHeight="1" spans="1:7">
      <c r="A5554" s="4" t="s">
        <v>12222</v>
      </c>
      <c r="B5554" s="5" t="s">
        <v>12223</v>
      </c>
      <c r="C5554" s="4" t="s">
        <v>99</v>
      </c>
      <c r="D5554" s="475">
        <v>12.96</v>
      </c>
      <c r="E5554" s="476">
        <v>0.13329</v>
      </c>
      <c r="F5554" s="6">
        <v>0.648</v>
      </c>
      <c r="G5554" s="6">
        <v>243.82</v>
      </c>
    </row>
    <row r="5555" ht="30" customHeight="1" spans="1:7">
      <c r="A5555" s="4" t="s">
        <v>12224</v>
      </c>
      <c r="B5555" s="5" t="s">
        <v>12225</v>
      </c>
      <c r="C5555" s="4" t="s">
        <v>99</v>
      </c>
      <c r="D5555" s="475">
        <v>7.43</v>
      </c>
      <c r="E5555" s="476">
        <v>0.13329</v>
      </c>
      <c r="F5555" s="6">
        <v>0.328</v>
      </c>
      <c r="G5555" s="6">
        <v>230.19</v>
      </c>
    </row>
    <row r="5556" ht="30" customHeight="1" spans="1:7">
      <c r="A5556" s="4" t="s">
        <v>12226</v>
      </c>
      <c r="B5556" s="5" t="s">
        <v>12227</v>
      </c>
      <c r="C5556" s="4" t="s">
        <v>99</v>
      </c>
      <c r="D5556" s="475">
        <v>12.96</v>
      </c>
      <c r="E5556" s="476">
        <v>0.13329</v>
      </c>
      <c r="F5556" s="6">
        <v>0.648</v>
      </c>
      <c r="G5556" s="6">
        <v>243.82</v>
      </c>
    </row>
    <row r="5557" ht="30" customHeight="1" spans="1:7">
      <c r="A5557" s="4" t="s">
        <v>12228</v>
      </c>
      <c r="B5557" s="5" t="s">
        <v>12229</v>
      </c>
      <c r="C5557" s="4" t="s">
        <v>99</v>
      </c>
      <c r="D5557" s="475">
        <v>7.93</v>
      </c>
      <c r="E5557" s="476">
        <v>0.13329</v>
      </c>
      <c r="F5557" s="6">
        <v>0.3848</v>
      </c>
      <c r="G5557" s="6">
        <v>230.19</v>
      </c>
    </row>
    <row r="5558" ht="30" customHeight="1" spans="1:7">
      <c r="A5558" s="4" t="s">
        <v>12230</v>
      </c>
      <c r="B5558" s="5" t="s">
        <v>12231</v>
      </c>
      <c r="C5558" s="4" t="s">
        <v>99</v>
      </c>
      <c r="D5558" s="475">
        <v>14.62</v>
      </c>
      <c r="E5558" s="476">
        <v>0.13329</v>
      </c>
      <c r="F5558" s="6">
        <v>0.7016</v>
      </c>
      <c r="G5558" s="6">
        <v>243.82</v>
      </c>
    </row>
    <row r="5559" ht="30" customHeight="1" spans="1:7">
      <c r="A5559" s="4" t="s">
        <v>12232</v>
      </c>
      <c r="B5559" s="5" t="s">
        <v>12233</v>
      </c>
      <c r="C5559" s="4" t="s">
        <v>99</v>
      </c>
      <c r="D5559" s="475">
        <v>9.61</v>
      </c>
      <c r="E5559" s="476">
        <v>0.13329</v>
      </c>
      <c r="F5559" s="6">
        <v>0.4417</v>
      </c>
      <c r="G5559" s="6">
        <v>230.19</v>
      </c>
    </row>
    <row r="5560" ht="30" customHeight="1" spans="1:7">
      <c r="A5560" s="4" t="s">
        <v>12234</v>
      </c>
      <c r="B5560" s="5" t="s">
        <v>12235</v>
      </c>
      <c r="C5560" s="4" t="s">
        <v>99</v>
      </c>
      <c r="D5560" s="475">
        <v>13.14</v>
      </c>
      <c r="E5560" s="476">
        <v>0.13329</v>
      </c>
      <c r="F5560" s="6">
        <v>0.648</v>
      </c>
      <c r="G5560" s="6">
        <v>243.82</v>
      </c>
    </row>
    <row r="5561" ht="30" customHeight="1" spans="1:7">
      <c r="A5561" s="4" t="s">
        <v>12236</v>
      </c>
      <c r="B5561" s="5" t="s">
        <v>12237</v>
      </c>
      <c r="C5561" s="4" t="s">
        <v>99</v>
      </c>
      <c r="D5561" s="475">
        <v>8.08</v>
      </c>
      <c r="E5561" s="476">
        <v>0.13329</v>
      </c>
      <c r="F5561" s="6">
        <v>0.3848</v>
      </c>
      <c r="G5561" s="6">
        <v>230.19</v>
      </c>
    </row>
    <row r="5562" ht="30" customHeight="1" spans="1:7">
      <c r="A5562" s="4" t="s">
        <v>12238</v>
      </c>
      <c r="B5562" s="5" t="s">
        <v>12239</v>
      </c>
      <c r="C5562" s="4" t="s">
        <v>99</v>
      </c>
      <c r="D5562" s="475">
        <v>13.14</v>
      </c>
      <c r="E5562" s="476">
        <v>0.13329</v>
      </c>
      <c r="F5562" s="6">
        <v>0.648</v>
      </c>
      <c r="G5562" s="6">
        <v>243.82</v>
      </c>
    </row>
    <row r="5563" ht="30" customHeight="1" spans="1:7">
      <c r="A5563" s="4" t="s">
        <v>12240</v>
      </c>
      <c r="B5563" s="5" t="s">
        <v>12241</v>
      </c>
      <c r="C5563" s="4" t="s">
        <v>99</v>
      </c>
      <c r="D5563" s="475">
        <v>8.08</v>
      </c>
      <c r="E5563" s="476">
        <v>0.13329</v>
      </c>
      <c r="F5563" s="6">
        <v>0.3848</v>
      </c>
      <c r="G5563" s="6">
        <v>230.19</v>
      </c>
    </row>
    <row r="5564" ht="30" customHeight="1" spans="1:7">
      <c r="A5564" s="4" t="s">
        <v>12242</v>
      </c>
      <c r="B5564" s="5" t="s">
        <v>12243</v>
      </c>
      <c r="C5564" s="4" t="s">
        <v>99</v>
      </c>
      <c r="D5564" s="475">
        <v>14.9</v>
      </c>
      <c r="E5564" s="476">
        <v>0.13329</v>
      </c>
      <c r="F5564" s="6">
        <v>0.7016</v>
      </c>
      <c r="G5564" s="6">
        <v>243.82</v>
      </c>
    </row>
    <row r="5565" ht="30" customHeight="1" spans="1:7">
      <c r="A5565" s="4" t="s">
        <v>12244</v>
      </c>
      <c r="B5565" s="5" t="s">
        <v>12245</v>
      </c>
      <c r="C5565" s="4" t="s">
        <v>99</v>
      </c>
      <c r="D5565" s="475">
        <v>9.84</v>
      </c>
      <c r="E5565" s="476">
        <v>0.13329</v>
      </c>
      <c r="F5565" s="6">
        <v>0.4417</v>
      </c>
      <c r="G5565" s="6">
        <v>230.19</v>
      </c>
    </row>
    <row r="5566" ht="30" customHeight="1" spans="1:7">
      <c r="A5566" s="4" t="s">
        <v>12246</v>
      </c>
      <c r="B5566" s="5" t="s">
        <v>12247</v>
      </c>
      <c r="C5566" s="4" t="s">
        <v>99</v>
      </c>
      <c r="D5566" s="475">
        <v>13.33</v>
      </c>
      <c r="E5566" s="476">
        <v>0.13329</v>
      </c>
      <c r="F5566" s="6">
        <v>0.648</v>
      </c>
      <c r="G5566" s="6">
        <v>243.82</v>
      </c>
    </row>
    <row r="5567" ht="30" customHeight="1" spans="1:7">
      <c r="A5567" s="4" t="s">
        <v>12248</v>
      </c>
      <c r="B5567" s="5" t="s">
        <v>12249</v>
      </c>
      <c r="C5567" s="4" t="s">
        <v>99</v>
      </c>
      <c r="D5567" s="475">
        <v>8.28</v>
      </c>
      <c r="E5567" s="476">
        <v>0.13329</v>
      </c>
      <c r="F5567" s="6">
        <v>0.3848</v>
      </c>
      <c r="G5567" s="6">
        <v>230.19</v>
      </c>
    </row>
    <row r="5568" ht="30" customHeight="1" spans="1:7">
      <c r="A5568" s="4" t="s">
        <v>12250</v>
      </c>
      <c r="B5568" s="5" t="s">
        <v>12251</v>
      </c>
      <c r="C5568" s="4" t="s">
        <v>99</v>
      </c>
      <c r="D5568" s="475">
        <v>13.28</v>
      </c>
      <c r="E5568" s="476">
        <v>0.13329</v>
      </c>
      <c r="F5568" s="6">
        <v>0.648</v>
      </c>
      <c r="G5568" s="6">
        <v>243.82</v>
      </c>
    </row>
    <row r="5569" ht="30" customHeight="1" spans="1:7">
      <c r="A5569" s="4" t="s">
        <v>12252</v>
      </c>
      <c r="B5569" s="5" t="s">
        <v>12253</v>
      </c>
      <c r="C5569" s="4" t="s">
        <v>99</v>
      </c>
      <c r="D5569" s="475">
        <v>8.23</v>
      </c>
      <c r="E5569" s="476">
        <v>0.13329</v>
      </c>
      <c r="F5569" s="6">
        <v>0.3848</v>
      </c>
      <c r="G5569" s="6">
        <v>230.19</v>
      </c>
    </row>
    <row r="5570" ht="30" customHeight="1" spans="1:7">
      <c r="A5570" s="4" t="s">
        <v>12254</v>
      </c>
      <c r="B5570" s="5" t="s">
        <v>12255</v>
      </c>
      <c r="C5570" s="4" t="s">
        <v>99</v>
      </c>
      <c r="D5570" s="475">
        <v>15.18</v>
      </c>
      <c r="E5570" s="476">
        <v>0.13329</v>
      </c>
      <c r="F5570" s="6">
        <v>0.7016</v>
      </c>
      <c r="G5570" s="6">
        <v>243.82</v>
      </c>
    </row>
    <row r="5571" ht="30" customHeight="1" spans="1:7">
      <c r="A5571" s="4" t="s">
        <v>12256</v>
      </c>
      <c r="B5571" s="5" t="s">
        <v>12257</v>
      </c>
      <c r="C5571" s="4" t="s">
        <v>99</v>
      </c>
      <c r="D5571" s="475">
        <v>10.14</v>
      </c>
      <c r="E5571" s="476">
        <v>0.13329</v>
      </c>
      <c r="F5571" s="6">
        <v>0.4417</v>
      </c>
      <c r="G5571" s="6">
        <v>230.19</v>
      </c>
    </row>
    <row r="5572" ht="30" customHeight="1" spans="1:7">
      <c r="A5572" s="4" t="s">
        <v>12258</v>
      </c>
      <c r="B5572" s="5" t="s">
        <v>12259</v>
      </c>
      <c r="C5572" s="4" t="s">
        <v>99</v>
      </c>
      <c r="D5572" s="475">
        <v>13.52</v>
      </c>
      <c r="E5572" s="476">
        <v>0.13329</v>
      </c>
      <c r="F5572" s="6">
        <v>0.648</v>
      </c>
      <c r="G5572" s="6">
        <v>243.82</v>
      </c>
    </row>
    <row r="5573" ht="30" customHeight="1" spans="1:7">
      <c r="A5573" s="4" t="s">
        <v>12260</v>
      </c>
      <c r="B5573" s="5" t="s">
        <v>12261</v>
      </c>
      <c r="C5573" s="4" t="s">
        <v>99</v>
      </c>
      <c r="D5573" s="475">
        <v>8.48</v>
      </c>
      <c r="E5573" s="476">
        <v>0.13329</v>
      </c>
      <c r="F5573" s="6">
        <v>0.3848</v>
      </c>
      <c r="G5573" s="6">
        <v>230.19</v>
      </c>
    </row>
    <row r="5574" ht="30" customHeight="1" spans="1:7">
      <c r="A5574" s="4" t="s">
        <v>12262</v>
      </c>
      <c r="B5574" s="5" t="s">
        <v>12263</v>
      </c>
      <c r="C5574" s="4" t="s">
        <v>99</v>
      </c>
      <c r="D5574" s="475">
        <v>13.47</v>
      </c>
      <c r="E5574" s="476">
        <v>0.13329</v>
      </c>
      <c r="F5574" s="6">
        <v>0.648</v>
      </c>
      <c r="G5574" s="6">
        <v>243.82</v>
      </c>
    </row>
    <row r="5575" ht="30" customHeight="1" spans="1:7">
      <c r="A5575" s="4" t="s">
        <v>12264</v>
      </c>
      <c r="B5575" s="5" t="s">
        <v>12265</v>
      </c>
      <c r="C5575" s="4" t="s">
        <v>99</v>
      </c>
      <c r="D5575" s="475">
        <v>8.43</v>
      </c>
      <c r="E5575" s="476">
        <v>0.13329</v>
      </c>
      <c r="F5575" s="6">
        <v>0.3848</v>
      </c>
      <c r="G5575" s="6">
        <v>230.19</v>
      </c>
    </row>
    <row r="5576" ht="30" customHeight="1" spans="1:7">
      <c r="A5576" s="4" t="s">
        <v>12266</v>
      </c>
      <c r="B5576" s="5" t="s">
        <v>12267</v>
      </c>
      <c r="C5576" s="4" t="s">
        <v>99</v>
      </c>
      <c r="D5576" s="475">
        <v>15.91</v>
      </c>
      <c r="E5576" s="476">
        <v>0.13329</v>
      </c>
      <c r="F5576" s="6">
        <v>0.7553</v>
      </c>
      <c r="G5576" s="6">
        <v>243.82</v>
      </c>
    </row>
    <row r="5577" ht="30" customHeight="1" spans="1:7">
      <c r="A5577" s="4" t="s">
        <v>12268</v>
      </c>
      <c r="B5577" s="5" t="s">
        <v>12269</v>
      </c>
      <c r="C5577" s="4" t="s">
        <v>99</v>
      </c>
      <c r="D5577" s="475">
        <v>10.44</v>
      </c>
      <c r="E5577" s="476">
        <v>0.13329</v>
      </c>
      <c r="F5577" s="6">
        <v>0.4417</v>
      </c>
      <c r="G5577" s="6">
        <v>230.19</v>
      </c>
    </row>
    <row r="5578" ht="30" customHeight="1" spans="1:7">
      <c r="A5578" s="4" t="s">
        <v>12270</v>
      </c>
      <c r="B5578" s="5" t="s">
        <v>12271</v>
      </c>
      <c r="C5578" s="4" t="s">
        <v>99</v>
      </c>
      <c r="D5578" s="475">
        <v>13.71</v>
      </c>
      <c r="E5578" s="476">
        <v>0.13329</v>
      </c>
      <c r="F5578" s="6">
        <v>0.648</v>
      </c>
      <c r="G5578" s="6">
        <v>243.82</v>
      </c>
    </row>
    <row r="5579" ht="30" customHeight="1" spans="1:7">
      <c r="A5579" s="4" t="s">
        <v>12272</v>
      </c>
      <c r="B5579" s="5" t="s">
        <v>12273</v>
      </c>
      <c r="C5579" s="4" t="s">
        <v>99</v>
      </c>
      <c r="D5579" s="475">
        <v>8.63</v>
      </c>
      <c r="E5579" s="476">
        <v>0.13329</v>
      </c>
      <c r="F5579" s="6">
        <v>0.3848</v>
      </c>
      <c r="G5579" s="6">
        <v>230.19</v>
      </c>
    </row>
    <row r="5580" ht="30" customHeight="1" spans="1:7">
      <c r="A5580" s="4" t="s">
        <v>12274</v>
      </c>
      <c r="B5580" s="5" t="s">
        <v>12275</v>
      </c>
      <c r="C5580" s="4" t="s">
        <v>99</v>
      </c>
      <c r="D5580" s="475">
        <v>13.61</v>
      </c>
      <c r="E5580" s="476">
        <v>0.13329</v>
      </c>
      <c r="F5580" s="6">
        <v>0.648</v>
      </c>
      <c r="G5580" s="6">
        <v>243.82</v>
      </c>
    </row>
    <row r="5581" ht="30" customHeight="1" spans="1:7">
      <c r="A5581" s="4" t="s">
        <v>12276</v>
      </c>
      <c r="B5581" s="5" t="s">
        <v>12277</v>
      </c>
      <c r="C5581" s="4" t="s">
        <v>99</v>
      </c>
      <c r="D5581" s="475">
        <v>8.58</v>
      </c>
      <c r="E5581" s="476">
        <v>0.13329</v>
      </c>
      <c r="F5581" s="6">
        <v>0.3848</v>
      </c>
      <c r="G5581" s="6">
        <v>230.19</v>
      </c>
    </row>
    <row r="5582" ht="30" customHeight="1" spans="1:7">
      <c r="A5582" s="4" t="s">
        <v>12278</v>
      </c>
      <c r="B5582" s="5" t="s">
        <v>12279</v>
      </c>
      <c r="C5582" s="4" t="s">
        <v>99</v>
      </c>
      <c r="D5582" s="475">
        <v>16.44</v>
      </c>
      <c r="E5582" s="476">
        <v>0.13329</v>
      </c>
      <c r="F5582" s="6">
        <v>0.7553</v>
      </c>
      <c r="G5582" s="6">
        <v>243.82</v>
      </c>
    </row>
    <row r="5583" ht="30" customHeight="1" spans="1:7">
      <c r="A5583" s="4" t="s">
        <v>12280</v>
      </c>
      <c r="B5583" s="5" t="s">
        <v>12281</v>
      </c>
      <c r="C5583" s="4" t="s">
        <v>99</v>
      </c>
      <c r="D5583" s="475">
        <v>11.42</v>
      </c>
      <c r="E5583" s="476">
        <v>0.13329</v>
      </c>
      <c r="F5583" s="6">
        <v>0.4985</v>
      </c>
      <c r="G5583" s="6">
        <v>230.19</v>
      </c>
    </row>
    <row r="5584" ht="30" customHeight="1" spans="1:7">
      <c r="A5584" s="4" t="s">
        <v>12282</v>
      </c>
      <c r="B5584" s="5" t="s">
        <v>12283</v>
      </c>
      <c r="C5584" s="4" t="s">
        <v>99</v>
      </c>
      <c r="D5584" s="475">
        <v>14.45</v>
      </c>
      <c r="E5584" s="476">
        <v>0.13329</v>
      </c>
      <c r="F5584" s="6">
        <v>0.7016</v>
      </c>
      <c r="G5584" s="6">
        <v>243.82</v>
      </c>
    </row>
    <row r="5585" ht="30" customHeight="1" spans="1:7">
      <c r="A5585" s="4" t="s">
        <v>12284</v>
      </c>
      <c r="B5585" s="5" t="s">
        <v>12285</v>
      </c>
      <c r="C5585" s="4" t="s">
        <v>99</v>
      </c>
      <c r="D5585" s="475">
        <v>8.97</v>
      </c>
      <c r="E5585" s="476">
        <v>0.13329</v>
      </c>
      <c r="F5585" s="6">
        <v>0.3848</v>
      </c>
      <c r="G5585" s="6">
        <v>230.19</v>
      </c>
    </row>
    <row r="5586" ht="30" customHeight="1" spans="1:7">
      <c r="A5586" s="4" t="s">
        <v>12286</v>
      </c>
      <c r="B5586" s="5" t="s">
        <v>12287</v>
      </c>
      <c r="C5586" s="4" t="s">
        <v>99</v>
      </c>
      <c r="D5586" s="475">
        <v>14.4</v>
      </c>
      <c r="E5586" s="476">
        <v>0.13329</v>
      </c>
      <c r="F5586" s="6">
        <v>0.7016</v>
      </c>
      <c r="G5586" s="6">
        <v>243.82</v>
      </c>
    </row>
    <row r="5587" ht="30" customHeight="1" spans="1:7">
      <c r="A5587" s="4" t="s">
        <v>12288</v>
      </c>
      <c r="B5587" s="5" t="s">
        <v>12289</v>
      </c>
      <c r="C5587" s="4" t="s">
        <v>99</v>
      </c>
      <c r="D5587" s="475">
        <v>8.87</v>
      </c>
      <c r="E5587" s="476">
        <v>0.13329</v>
      </c>
      <c r="F5587" s="6">
        <v>0.3848</v>
      </c>
      <c r="G5587" s="6">
        <v>230.19</v>
      </c>
    </row>
    <row r="5588" ht="30" customHeight="1" spans="1:7">
      <c r="A5588" s="4" t="s">
        <v>12290</v>
      </c>
      <c r="B5588" s="5" t="s">
        <v>12291</v>
      </c>
      <c r="C5588" s="4" t="s">
        <v>99</v>
      </c>
      <c r="D5588" s="475">
        <v>17.65</v>
      </c>
      <c r="E5588" s="476">
        <v>0.13329</v>
      </c>
      <c r="F5588" s="6">
        <v>0.8089</v>
      </c>
      <c r="G5588" s="6">
        <v>243.82</v>
      </c>
    </row>
    <row r="5589" ht="30" customHeight="1" spans="1:7">
      <c r="A5589" s="4" t="s">
        <v>12292</v>
      </c>
      <c r="B5589" s="5" t="s">
        <v>12293</v>
      </c>
      <c r="C5589" s="4" t="s">
        <v>99</v>
      </c>
      <c r="D5589" s="475">
        <v>12.66</v>
      </c>
      <c r="E5589" s="476">
        <v>0.13329</v>
      </c>
      <c r="F5589" s="6">
        <v>0.5553</v>
      </c>
      <c r="G5589" s="6">
        <v>230.19</v>
      </c>
    </row>
    <row r="5590" ht="30" customHeight="1" spans="1:7">
      <c r="A5590" s="4" t="s">
        <v>12294</v>
      </c>
      <c r="B5590" s="5" t="s">
        <v>12295</v>
      </c>
      <c r="C5590" s="4" t="s">
        <v>99</v>
      </c>
      <c r="D5590" s="475">
        <v>14.96</v>
      </c>
      <c r="E5590" s="476">
        <v>0.13329</v>
      </c>
      <c r="F5590" s="6">
        <v>0.7016</v>
      </c>
      <c r="G5590" s="6">
        <v>243.82</v>
      </c>
    </row>
    <row r="5591" ht="30" customHeight="1" spans="1:7">
      <c r="A5591" s="4" t="s">
        <v>12296</v>
      </c>
      <c r="B5591" s="5" t="s">
        <v>12297</v>
      </c>
      <c r="C5591" s="4" t="s">
        <v>99</v>
      </c>
      <c r="D5591" s="475">
        <v>9.96</v>
      </c>
      <c r="E5591" s="476">
        <v>0.13329</v>
      </c>
      <c r="F5591" s="6">
        <v>0.4417</v>
      </c>
      <c r="G5591" s="6">
        <v>230.19</v>
      </c>
    </row>
    <row r="5592" ht="30" customHeight="1" spans="1:7">
      <c r="A5592" s="4" t="s">
        <v>12298</v>
      </c>
      <c r="B5592" s="5" t="s">
        <v>12299</v>
      </c>
      <c r="C5592" s="4" t="s">
        <v>99</v>
      </c>
      <c r="D5592" s="475">
        <v>14.85</v>
      </c>
      <c r="E5592" s="476">
        <v>0.13329</v>
      </c>
      <c r="F5592" s="6">
        <v>0.7016</v>
      </c>
      <c r="G5592" s="6">
        <v>243.82</v>
      </c>
    </row>
    <row r="5593" ht="30" customHeight="1" spans="1:7">
      <c r="A5593" s="4" t="s">
        <v>12300</v>
      </c>
      <c r="B5593" s="5" t="s">
        <v>12301</v>
      </c>
      <c r="C5593" s="4" t="s">
        <v>99</v>
      </c>
      <c r="D5593" s="475">
        <v>9.84</v>
      </c>
      <c r="E5593" s="476">
        <v>0.13329</v>
      </c>
      <c r="F5593" s="6">
        <v>0.4417</v>
      </c>
      <c r="G5593" s="6">
        <v>230.19</v>
      </c>
    </row>
    <row r="5594" ht="30" customHeight="1" spans="1:7">
      <c r="A5594" s="4" t="s">
        <v>12302</v>
      </c>
      <c r="B5594" s="5" t="s">
        <v>12303</v>
      </c>
      <c r="C5594" s="4" t="s">
        <v>99</v>
      </c>
      <c r="D5594" s="475">
        <v>12.11</v>
      </c>
      <c r="E5594" s="476">
        <v>0.13329</v>
      </c>
      <c r="F5594" s="6">
        <v>0.5943</v>
      </c>
      <c r="G5594" s="6">
        <v>243.82</v>
      </c>
    </row>
    <row r="5595" ht="30" customHeight="1" spans="1:7">
      <c r="A5595" s="4" t="s">
        <v>12304</v>
      </c>
      <c r="B5595" s="5" t="s">
        <v>12305</v>
      </c>
      <c r="C5595" s="4" t="s">
        <v>99</v>
      </c>
      <c r="D5595" s="475">
        <v>7.03</v>
      </c>
      <c r="E5595" s="476">
        <v>0.13329</v>
      </c>
      <c r="F5595" s="6">
        <v>0.328</v>
      </c>
      <c r="G5595" s="6">
        <v>230.19</v>
      </c>
    </row>
    <row r="5596" ht="30" customHeight="1" spans="1:7">
      <c r="A5596" s="4" t="s">
        <v>12306</v>
      </c>
      <c r="B5596" s="5" t="s">
        <v>12307</v>
      </c>
      <c r="C5596" s="4" t="s">
        <v>99</v>
      </c>
      <c r="D5596" s="475">
        <v>11.66</v>
      </c>
      <c r="E5596" s="476">
        <v>0.13329</v>
      </c>
      <c r="F5596" s="6">
        <v>0.5943</v>
      </c>
      <c r="G5596" s="6">
        <v>243.82</v>
      </c>
    </row>
    <row r="5597" ht="30" customHeight="1" spans="1:7">
      <c r="A5597" s="4" t="s">
        <v>12308</v>
      </c>
      <c r="B5597" s="5" t="s">
        <v>12309</v>
      </c>
      <c r="C5597" s="4" t="s">
        <v>99</v>
      </c>
      <c r="D5597" s="475">
        <v>6.59</v>
      </c>
      <c r="E5597" s="476">
        <v>0.13329</v>
      </c>
      <c r="F5597" s="6">
        <v>0.328</v>
      </c>
      <c r="G5597" s="6">
        <v>230.19</v>
      </c>
    </row>
    <row r="5598" ht="30" customHeight="1" spans="1:7">
      <c r="A5598" s="4" t="s">
        <v>12310</v>
      </c>
      <c r="B5598" s="5" t="s">
        <v>12311</v>
      </c>
      <c r="C5598" s="4" t="s">
        <v>99</v>
      </c>
      <c r="D5598" s="475">
        <v>11.74</v>
      </c>
      <c r="E5598" s="476">
        <v>0.13329</v>
      </c>
      <c r="F5598" s="6">
        <v>0.5943</v>
      </c>
      <c r="G5598" s="6">
        <v>243.82</v>
      </c>
    </row>
    <row r="5599" ht="30" customHeight="1" spans="1:7">
      <c r="A5599" s="4" t="s">
        <v>12312</v>
      </c>
      <c r="B5599" s="5" t="s">
        <v>12313</v>
      </c>
      <c r="C5599" s="4" t="s">
        <v>99</v>
      </c>
      <c r="D5599" s="475">
        <v>6.67</v>
      </c>
      <c r="E5599" s="476">
        <v>0.13329</v>
      </c>
      <c r="F5599" s="6">
        <v>0.328</v>
      </c>
      <c r="G5599" s="6">
        <v>230.19</v>
      </c>
    </row>
    <row r="5600" ht="30" customHeight="1" spans="1:7">
      <c r="A5600" s="4" t="s">
        <v>12314</v>
      </c>
      <c r="B5600" s="5" t="s">
        <v>12315</v>
      </c>
      <c r="C5600" s="4" t="s">
        <v>99</v>
      </c>
      <c r="D5600" s="475">
        <v>12.96</v>
      </c>
      <c r="E5600" s="476">
        <v>0.13329</v>
      </c>
      <c r="F5600" s="6">
        <v>0.648</v>
      </c>
      <c r="G5600" s="6">
        <v>243.82</v>
      </c>
    </row>
    <row r="5601" ht="30" customHeight="1" spans="1:7">
      <c r="A5601" s="4" t="s">
        <v>12316</v>
      </c>
      <c r="B5601" s="5" t="s">
        <v>12317</v>
      </c>
      <c r="C5601" s="4" t="s">
        <v>99</v>
      </c>
      <c r="D5601" s="475">
        <v>7.43</v>
      </c>
      <c r="E5601" s="476">
        <v>0.13329</v>
      </c>
      <c r="F5601" s="6">
        <v>0.328</v>
      </c>
      <c r="G5601" s="6">
        <v>230.19</v>
      </c>
    </row>
    <row r="5602" ht="30" customHeight="1" spans="1:7">
      <c r="A5602" s="4" t="s">
        <v>12318</v>
      </c>
      <c r="B5602" s="5" t="s">
        <v>12319</v>
      </c>
      <c r="C5602" s="4" t="s">
        <v>99</v>
      </c>
      <c r="D5602" s="475">
        <v>11.93</v>
      </c>
      <c r="E5602" s="476">
        <v>0.13329</v>
      </c>
      <c r="F5602" s="6">
        <v>0.5943</v>
      </c>
      <c r="G5602" s="6">
        <v>243.82</v>
      </c>
    </row>
    <row r="5603" ht="30" customHeight="1" spans="1:7">
      <c r="A5603" s="4" t="s">
        <v>12320</v>
      </c>
      <c r="B5603" s="5" t="s">
        <v>12321</v>
      </c>
      <c r="C5603" s="4" t="s">
        <v>99</v>
      </c>
      <c r="D5603" s="475">
        <v>6.83</v>
      </c>
      <c r="E5603" s="476">
        <v>0.13329</v>
      </c>
      <c r="F5603" s="6">
        <v>0.328</v>
      </c>
      <c r="G5603" s="6">
        <v>230.19</v>
      </c>
    </row>
    <row r="5604" ht="30" customHeight="1" spans="1:7">
      <c r="A5604" s="4" t="s">
        <v>12322</v>
      </c>
      <c r="B5604" s="5" t="s">
        <v>12323</v>
      </c>
      <c r="C5604" s="4" t="s">
        <v>99</v>
      </c>
      <c r="D5604" s="475">
        <v>11.96</v>
      </c>
      <c r="E5604" s="476">
        <v>0.13329</v>
      </c>
      <c r="F5604" s="6">
        <v>0.5943</v>
      </c>
      <c r="G5604" s="6">
        <v>243.82</v>
      </c>
    </row>
    <row r="5605" ht="30" customHeight="1" spans="1:7">
      <c r="A5605" s="4" t="s">
        <v>12324</v>
      </c>
      <c r="B5605" s="5" t="s">
        <v>12325</v>
      </c>
      <c r="C5605" s="4" t="s">
        <v>99</v>
      </c>
      <c r="D5605" s="475">
        <v>6.87</v>
      </c>
      <c r="E5605" s="476">
        <v>0.13329</v>
      </c>
      <c r="F5605" s="6">
        <v>0.328</v>
      </c>
      <c r="G5605" s="6">
        <v>230.19</v>
      </c>
    </row>
    <row r="5606" ht="30" customHeight="1" spans="1:7">
      <c r="A5606" s="4" t="s">
        <v>12326</v>
      </c>
      <c r="B5606" s="5" t="s">
        <v>12327</v>
      </c>
      <c r="C5606" s="4" t="s">
        <v>99</v>
      </c>
      <c r="D5606" s="475">
        <v>11.66</v>
      </c>
      <c r="E5606" s="476">
        <v>0.13329</v>
      </c>
      <c r="F5606" s="6">
        <v>0.5943</v>
      </c>
      <c r="G5606" s="6">
        <v>243.82</v>
      </c>
    </row>
    <row r="5607" ht="30" customHeight="1" spans="1:7">
      <c r="A5607" s="4" t="s">
        <v>12328</v>
      </c>
      <c r="B5607" s="5" t="s">
        <v>98</v>
      </c>
      <c r="C5607" s="4" t="s">
        <v>99</v>
      </c>
      <c r="D5607" s="475">
        <v>6.59</v>
      </c>
      <c r="E5607" s="476">
        <v>0.13329</v>
      </c>
      <c r="F5607" s="6">
        <v>0.328</v>
      </c>
      <c r="G5607" s="6">
        <v>230.19</v>
      </c>
    </row>
    <row r="5608" ht="30" customHeight="1" spans="1:7">
      <c r="A5608" s="4" t="s">
        <v>12329</v>
      </c>
      <c r="B5608" s="5" t="s">
        <v>12330</v>
      </c>
      <c r="C5608" s="4" t="s">
        <v>99</v>
      </c>
      <c r="D5608" s="475">
        <v>10.92</v>
      </c>
      <c r="E5608" s="476">
        <v>0.13329</v>
      </c>
      <c r="F5608" s="6">
        <v>0.5407</v>
      </c>
      <c r="G5608" s="6">
        <v>243.82</v>
      </c>
    </row>
    <row r="5609" ht="30" customHeight="1" spans="1:7">
      <c r="A5609" s="4" t="s">
        <v>12331</v>
      </c>
      <c r="B5609" s="5" t="s">
        <v>12332</v>
      </c>
      <c r="C5609" s="4" t="s">
        <v>99</v>
      </c>
      <c r="D5609" s="475">
        <v>5.8</v>
      </c>
      <c r="E5609" s="476">
        <v>0.13329</v>
      </c>
      <c r="F5609" s="6">
        <v>0.2712</v>
      </c>
      <c r="G5609" s="6">
        <v>230.19</v>
      </c>
    </row>
    <row r="5610" ht="30" customHeight="1" spans="1:7">
      <c r="A5610" s="4" t="s">
        <v>12333</v>
      </c>
      <c r="B5610" s="5" t="s">
        <v>12334</v>
      </c>
      <c r="C5610" s="4" t="s">
        <v>99</v>
      </c>
      <c r="D5610" s="475">
        <v>11.48</v>
      </c>
      <c r="E5610" s="476">
        <v>0.13329</v>
      </c>
      <c r="F5610" s="6">
        <v>0.5943</v>
      </c>
      <c r="G5610" s="6">
        <v>243.82</v>
      </c>
    </row>
    <row r="5611" ht="30" customHeight="1" spans="1:7">
      <c r="A5611" s="4" t="s">
        <v>12335</v>
      </c>
      <c r="B5611" s="5" t="s">
        <v>12336</v>
      </c>
      <c r="C5611" s="4" t="s">
        <v>99</v>
      </c>
      <c r="D5611" s="475">
        <v>5.89</v>
      </c>
      <c r="E5611" s="476">
        <v>0.13329</v>
      </c>
      <c r="F5611" s="6">
        <v>0.2712</v>
      </c>
      <c r="G5611" s="6">
        <v>230.19</v>
      </c>
    </row>
    <row r="5612" ht="30" customHeight="1" spans="1:7">
      <c r="A5612" s="4" t="s">
        <v>12337</v>
      </c>
      <c r="B5612" s="5" t="s">
        <v>12338</v>
      </c>
      <c r="C5612" s="4" t="s">
        <v>99</v>
      </c>
      <c r="D5612" s="475">
        <v>13.28</v>
      </c>
      <c r="E5612" s="476">
        <v>0.13329</v>
      </c>
      <c r="F5612" s="6">
        <v>0.648</v>
      </c>
      <c r="G5612" s="6">
        <v>243.82</v>
      </c>
    </row>
    <row r="5613" ht="30" customHeight="1" spans="1:7">
      <c r="A5613" s="4" t="s">
        <v>12339</v>
      </c>
      <c r="B5613" s="5" t="s">
        <v>12340</v>
      </c>
      <c r="C5613" s="4" t="s">
        <v>99</v>
      </c>
      <c r="D5613" s="475">
        <v>8.23</v>
      </c>
      <c r="E5613" s="476">
        <v>0.13329</v>
      </c>
      <c r="F5613" s="6">
        <v>0.3848</v>
      </c>
      <c r="G5613" s="6">
        <v>230.19</v>
      </c>
    </row>
    <row r="5614" ht="30" customHeight="1" spans="1:7">
      <c r="A5614" s="4" t="s">
        <v>12341</v>
      </c>
      <c r="B5614" s="5" t="s">
        <v>12342</v>
      </c>
      <c r="C5614" s="4" t="s">
        <v>99</v>
      </c>
      <c r="D5614" s="475">
        <v>12.11</v>
      </c>
      <c r="E5614" s="476">
        <v>0.13329</v>
      </c>
      <c r="F5614" s="6">
        <v>0.5943</v>
      </c>
      <c r="G5614" s="6">
        <v>243.82</v>
      </c>
    </row>
    <row r="5615" ht="30" customHeight="1" spans="1:7">
      <c r="A5615" s="4" t="s">
        <v>12343</v>
      </c>
      <c r="B5615" s="5" t="s">
        <v>12344</v>
      </c>
      <c r="C5615" s="4" t="s">
        <v>99</v>
      </c>
      <c r="D5615" s="475">
        <v>7.07</v>
      </c>
      <c r="E5615" s="476">
        <v>0.13329</v>
      </c>
      <c r="F5615" s="6">
        <v>0.328</v>
      </c>
      <c r="G5615" s="6">
        <v>230.19</v>
      </c>
    </row>
    <row r="5616" ht="30" customHeight="1" spans="1:7">
      <c r="A5616" s="4" t="s">
        <v>12345</v>
      </c>
      <c r="B5616" s="5" t="s">
        <v>12346</v>
      </c>
      <c r="C5616" s="4" t="s">
        <v>99</v>
      </c>
      <c r="D5616" s="475">
        <v>12.15</v>
      </c>
      <c r="E5616" s="476">
        <v>0.13329</v>
      </c>
      <c r="F5616" s="6">
        <v>0.5943</v>
      </c>
      <c r="G5616" s="6">
        <v>243.82</v>
      </c>
    </row>
    <row r="5617" ht="30" customHeight="1" spans="1:7">
      <c r="A5617" s="4" t="s">
        <v>12347</v>
      </c>
      <c r="B5617" s="5" t="s">
        <v>12348</v>
      </c>
      <c r="C5617" s="4" t="s">
        <v>99</v>
      </c>
      <c r="D5617" s="475">
        <v>7.07</v>
      </c>
      <c r="E5617" s="476">
        <v>0.13329</v>
      </c>
      <c r="F5617" s="6">
        <v>0.328</v>
      </c>
      <c r="G5617" s="6">
        <v>230.19</v>
      </c>
    </row>
    <row r="5618" ht="30" customHeight="1" spans="1:7">
      <c r="A5618" s="4" t="s">
        <v>12349</v>
      </c>
      <c r="B5618" s="5" t="s">
        <v>12350</v>
      </c>
      <c r="C5618" s="4" t="s">
        <v>99</v>
      </c>
      <c r="D5618" s="475">
        <v>13.61</v>
      </c>
      <c r="E5618" s="476">
        <v>0.13329</v>
      </c>
      <c r="F5618" s="6">
        <v>0.648</v>
      </c>
      <c r="G5618" s="6">
        <v>243.82</v>
      </c>
    </row>
    <row r="5619" ht="30" customHeight="1" spans="1:7">
      <c r="A5619" s="4" t="s">
        <v>12351</v>
      </c>
      <c r="B5619" s="5" t="s">
        <v>12352</v>
      </c>
      <c r="C5619" s="4" t="s">
        <v>99</v>
      </c>
      <c r="D5619" s="475">
        <v>8.53</v>
      </c>
      <c r="E5619" s="476">
        <v>0.13329</v>
      </c>
      <c r="F5619" s="6">
        <v>0.3848</v>
      </c>
      <c r="G5619" s="6">
        <v>230.19</v>
      </c>
    </row>
    <row r="5620" ht="30" customHeight="1" spans="1:7">
      <c r="A5620" s="4" t="s">
        <v>12353</v>
      </c>
      <c r="B5620" s="5" t="s">
        <v>12354</v>
      </c>
      <c r="C5620" s="4" t="s">
        <v>99</v>
      </c>
      <c r="D5620" s="475">
        <v>12.34</v>
      </c>
      <c r="E5620" s="476">
        <v>0.13329</v>
      </c>
      <c r="F5620" s="6">
        <v>0.5943</v>
      </c>
      <c r="G5620" s="6">
        <v>243.82</v>
      </c>
    </row>
    <row r="5621" ht="30" customHeight="1" spans="1:7">
      <c r="A5621" s="4" t="s">
        <v>12355</v>
      </c>
      <c r="B5621" s="5" t="s">
        <v>12356</v>
      </c>
      <c r="C5621" s="4" t="s">
        <v>99</v>
      </c>
      <c r="D5621" s="475">
        <v>7.27</v>
      </c>
      <c r="E5621" s="476">
        <v>0.13329</v>
      </c>
      <c r="F5621" s="6">
        <v>0.328</v>
      </c>
      <c r="G5621" s="6">
        <v>230.19</v>
      </c>
    </row>
    <row r="5622" ht="30" customHeight="1" spans="1:7">
      <c r="A5622" s="4" t="s">
        <v>12357</v>
      </c>
      <c r="B5622" s="5" t="s">
        <v>12358</v>
      </c>
      <c r="C5622" s="4" t="s">
        <v>99</v>
      </c>
      <c r="D5622" s="475">
        <v>12.81</v>
      </c>
      <c r="E5622" s="476">
        <v>0.13329</v>
      </c>
      <c r="F5622" s="6">
        <v>0.648</v>
      </c>
      <c r="G5622" s="6">
        <v>243.82</v>
      </c>
    </row>
    <row r="5623" ht="30" customHeight="1" spans="1:7">
      <c r="A5623" s="4" t="s">
        <v>12359</v>
      </c>
      <c r="B5623" s="5" t="s">
        <v>12360</v>
      </c>
      <c r="C5623" s="4" t="s">
        <v>99</v>
      </c>
      <c r="D5623" s="475">
        <v>7.27</v>
      </c>
      <c r="E5623" s="476">
        <v>0.13329</v>
      </c>
      <c r="F5623" s="6">
        <v>0.328</v>
      </c>
      <c r="G5623" s="6">
        <v>230.19</v>
      </c>
    </row>
    <row r="5624" ht="30" customHeight="1" spans="1:7">
      <c r="A5624" s="4" t="s">
        <v>12361</v>
      </c>
      <c r="B5624" s="5" t="s">
        <v>12362</v>
      </c>
      <c r="C5624" s="4" t="s">
        <v>99</v>
      </c>
      <c r="D5624" s="475">
        <v>18.58</v>
      </c>
      <c r="E5624" s="476">
        <v>0.13329</v>
      </c>
      <c r="F5624" s="6">
        <v>0.8626</v>
      </c>
      <c r="G5624" s="6">
        <v>243.82</v>
      </c>
    </row>
    <row r="5625" ht="30" customHeight="1" spans="1:7">
      <c r="A5625" s="4" t="s">
        <v>12363</v>
      </c>
      <c r="B5625" s="5" t="s">
        <v>12364</v>
      </c>
      <c r="C5625" s="4" t="s">
        <v>99</v>
      </c>
      <c r="D5625" s="475">
        <v>13.14</v>
      </c>
      <c r="E5625" s="476">
        <v>0.13329</v>
      </c>
      <c r="F5625" s="6">
        <v>0.5553</v>
      </c>
      <c r="G5625" s="6">
        <v>230.19</v>
      </c>
    </row>
    <row r="5626" ht="30" customHeight="1" spans="1:7">
      <c r="A5626" s="4" t="s">
        <v>12365</v>
      </c>
      <c r="B5626" s="5" t="s">
        <v>12366</v>
      </c>
      <c r="C5626" s="4" t="s">
        <v>99</v>
      </c>
      <c r="D5626" s="475">
        <v>15.24</v>
      </c>
      <c r="E5626" s="476">
        <v>0.13329</v>
      </c>
      <c r="F5626" s="6">
        <v>0.7016</v>
      </c>
      <c r="G5626" s="6">
        <v>243.82</v>
      </c>
    </row>
    <row r="5627" ht="30" customHeight="1" spans="1:7">
      <c r="A5627" s="4" t="s">
        <v>12367</v>
      </c>
      <c r="B5627" s="5" t="s">
        <v>12368</v>
      </c>
      <c r="C5627" s="4" t="s">
        <v>99</v>
      </c>
      <c r="D5627" s="475">
        <v>10.26</v>
      </c>
      <c r="E5627" s="476">
        <v>0.13329</v>
      </c>
      <c r="F5627" s="6">
        <v>0.4417</v>
      </c>
      <c r="G5627" s="6">
        <v>230.19</v>
      </c>
    </row>
    <row r="5628" ht="30" customHeight="1" spans="1:7">
      <c r="A5628" s="4" t="s">
        <v>12369</v>
      </c>
      <c r="B5628" s="5" t="s">
        <v>12370</v>
      </c>
      <c r="C5628" s="4" t="s">
        <v>99</v>
      </c>
      <c r="D5628" s="475">
        <v>15.07</v>
      </c>
      <c r="E5628" s="476">
        <v>0.13329</v>
      </c>
      <c r="F5628" s="6">
        <v>0.7016</v>
      </c>
      <c r="G5628" s="6">
        <v>243.82</v>
      </c>
    </row>
    <row r="5629" ht="30" customHeight="1" spans="1:7">
      <c r="A5629" s="4" t="s">
        <v>12371</v>
      </c>
      <c r="B5629" s="5" t="s">
        <v>12372</v>
      </c>
      <c r="C5629" s="4" t="s">
        <v>99</v>
      </c>
      <c r="D5629" s="475">
        <v>10.08</v>
      </c>
      <c r="E5629" s="476">
        <v>0.13329</v>
      </c>
      <c r="F5629" s="6">
        <v>0.4417</v>
      </c>
      <c r="G5629" s="6">
        <v>230.19</v>
      </c>
    </row>
    <row r="5630" ht="30" customHeight="1" spans="1:7">
      <c r="A5630" s="4" t="s">
        <v>12373</v>
      </c>
      <c r="B5630" s="5" t="s">
        <v>12374</v>
      </c>
      <c r="C5630" s="4" t="s">
        <v>99</v>
      </c>
      <c r="D5630" s="475">
        <v>23.2</v>
      </c>
      <c r="E5630" s="476">
        <v>0.13329</v>
      </c>
      <c r="F5630" s="6">
        <v>1.2098</v>
      </c>
      <c r="G5630" s="6">
        <v>177.32</v>
      </c>
    </row>
    <row r="5631" ht="30" customHeight="1" spans="1:7">
      <c r="A5631" s="4" t="s">
        <v>12375</v>
      </c>
      <c r="B5631" s="5" t="s">
        <v>12376</v>
      </c>
      <c r="C5631" s="4" t="s">
        <v>99</v>
      </c>
      <c r="D5631" s="475">
        <v>12.16</v>
      </c>
      <c r="E5631" s="476">
        <v>0.13329</v>
      </c>
      <c r="F5631" s="6">
        <v>0.5737</v>
      </c>
      <c r="G5631" s="6">
        <v>131.61</v>
      </c>
    </row>
    <row r="5632" ht="30" customHeight="1" spans="1:7">
      <c r="A5632" s="4" t="s">
        <v>12377</v>
      </c>
      <c r="B5632" s="5" t="s">
        <v>12378</v>
      </c>
      <c r="C5632" s="4" t="s">
        <v>99</v>
      </c>
      <c r="D5632" s="475">
        <v>21.58</v>
      </c>
      <c r="E5632" s="476">
        <v>0.13329</v>
      </c>
      <c r="F5632" s="6">
        <v>1.136</v>
      </c>
      <c r="G5632" s="6">
        <v>177.32</v>
      </c>
    </row>
    <row r="5633" ht="30" customHeight="1" spans="1:7">
      <c r="A5633" s="4" t="s">
        <v>12379</v>
      </c>
      <c r="B5633" s="5" t="s">
        <v>12380</v>
      </c>
      <c r="C5633" s="4" t="s">
        <v>99</v>
      </c>
      <c r="D5633" s="475">
        <v>10.36</v>
      </c>
      <c r="E5633" s="476">
        <v>0.13329</v>
      </c>
      <c r="F5633" s="6">
        <v>0.4743</v>
      </c>
      <c r="G5633" s="6">
        <v>131.61</v>
      </c>
    </row>
    <row r="5634" ht="30" customHeight="1" spans="1:7">
      <c r="A5634" s="4" t="s">
        <v>12381</v>
      </c>
      <c r="B5634" s="5" t="s">
        <v>12382</v>
      </c>
      <c r="C5634" s="4" t="s">
        <v>99</v>
      </c>
      <c r="D5634" s="475">
        <v>21.58</v>
      </c>
      <c r="E5634" s="476">
        <v>0.13329</v>
      </c>
      <c r="F5634" s="6">
        <v>1.136</v>
      </c>
      <c r="G5634" s="6">
        <v>177.32</v>
      </c>
    </row>
    <row r="5635" ht="30" customHeight="1" spans="1:7">
      <c r="A5635" s="4" t="s">
        <v>12383</v>
      </c>
      <c r="B5635" s="5" t="s">
        <v>12384</v>
      </c>
      <c r="C5635" s="4" t="s">
        <v>99</v>
      </c>
      <c r="D5635" s="475">
        <v>10.3</v>
      </c>
      <c r="E5635" s="476">
        <v>0.13329</v>
      </c>
      <c r="F5635" s="6">
        <v>0.4743</v>
      </c>
      <c r="G5635" s="6">
        <v>131.61</v>
      </c>
    </row>
    <row r="5636" ht="30" customHeight="1" spans="1:7">
      <c r="A5636" s="4" t="s">
        <v>12385</v>
      </c>
      <c r="B5636" s="5" t="s">
        <v>12386</v>
      </c>
      <c r="C5636" s="4" t="s">
        <v>99</v>
      </c>
      <c r="D5636" s="475">
        <v>23.52</v>
      </c>
      <c r="E5636" s="476">
        <v>0.13329</v>
      </c>
      <c r="F5636" s="6">
        <v>1.2098</v>
      </c>
      <c r="G5636" s="6">
        <v>177.32</v>
      </c>
    </row>
    <row r="5637" ht="30" customHeight="1" spans="1:7">
      <c r="A5637" s="4" t="s">
        <v>12387</v>
      </c>
      <c r="B5637" s="5" t="s">
        <v>12388</v>
      </c>
      <c r="C5637" s="4" t="s">
        <v>99</v>
      </c>
      <c r="D5637" s="475">
        <v>12.5</v>
      </c>
      <c r="E5637" s="476">
        <v>0.13329</v>
      </c>
      <c r="F5637" s="6">
        <v>0.5737</v>
      </c>
      <c r="G5637" s="6">
        <v>131.61</v>
      </c>
    </row>
    <row r="5638" ht="30" customHeight="1" spans="1:7">
      <c r="A5638" s="4" t="s">
        <v>12389</v>
      </c>
      <c r="B5638" s="5" t="s">
        <v>12390</v>
      </c>
      <c r="C5638" s="4" t="s">
        <v>99</v>
      </c>
      <c r="D5638" s="475">
        <v>21.79</v>
      </c>
      <c r="E5638" s="476">
        <v>0.13329</v>
      </c>
      <c r="F5638" s="6">
        <v>1.136</v>
      </c>
      <c r="G5638" s="6">
        <v>177.32</v>
      </c>
    </row>
    <row r="5639" ht="30" customHeight="1" spans="1:7">
      <c r="A5639" s="4" t="s">
        <v>12391</v>
      </c>
      <c r="B5639" s="5" t="s">
        <v>12392</v>
      </c>
      <c r="C5639" s="4" t="s">
        <v>99</v>
      </c>
      <c r="D5639" s="475">
        <v>10.51</v>
      </c>
      <c r="E5639" s="476">
        <v>0.13329</v>
      </c>
      <c r="F5639" s="6">
        <v>0.4743</v>
      </c>
      <c r="G5639" s="6">
        <v>131.61</v>
      </c>
    </row>
    <row r="5640" ht="30" customHeight="1" spans="1:7">
      <c r="A5640" s="4" t="s">
        <v>12393</v>
      </c>
      <c r="B5640" s="5" t="s">
        <v>12394</v>
      </c>
      <c r="C5640" s="4" t="s">
        <v>99</v>
      </c>
      <c r="D5640" s="475">
        <v>21.74</v>
      </c>
      <c r="E5640" s="476">
        <v>0.13329</v>
      </c>
      <c r="F5640" s="6">
        <v>1.136</v>
      </c>
      <c r="G5640" s="6">
        <v>177.32</v>
      </c>
    </row>
    <row r="5641" ht="30" customHeight="1" spans="1:7">
      <c r="A5641" s="4" t="s">
        <v>12395</v>
      </c>
      <c r="B5641" s="5" t="s">
        <v>12396</v>
      </c>
      <c r="C5641" s="4" t="s">
        <v>99</v>
      </c>
      <c r="D5641" s="475">
        <v>10.51</v>
      </c>
      <c r="E5641" s="476">
        <v>0.13329</v>
      </c>
      <c r="F5641" s="6">
        <v>0.4743</v>
      </c>
      <c r="G5641" s="6">
        <v>131.61</v>
      </c>
    </row>
    <row r="5642" ht="30" customHeight="1" spans="1:7">
      <c r="A5642" s="4" t="s">
        <v>12397</v>
      </c>
      <c r="B5642" s="5" t="s">
        <v>12398</v>
      </c>
      <c r="C5642" s="4" t="s">
        <v>99</v>
      </c>
      <c r="D5642" s="475">
        <v>23.85</v>
      </c>
      <c r="E5642" s="476">
        <v>0.13329</v>
      </c>
      <c r="F5642" s="6">
        <v>1.2098</v>
      </c>
      <c r="G5642" s="6">
        <v>177.32</v>
      </c>
    </row>
    <row r="5643" ht="30" customHeight="1" spans="1:7">
      <c r="A5643" s="4" t="s">
        <v>12399</v>
      </c>
      <c r="B5643" s="5" t="s">
        <v>12400</v>
      </c>
      <c r="C5643" s="4" t="s">
        <v>99</v>
      </c>
      <c r="D5643" s="475">
        <v>12.78</v>
      </c>
      <c r="E5643" s="476">
        <v>0.13329</v>
      </c>
      <c r="F5643" s="6">
        <v>0.5737</v>
      </c>
      <c r="G5643" s="6">
        <v>131.61</v>
      </c>
    </row>
    <row r="5644" ht="30" customHeight="1" spans="1:7">
      <c r="A5644" s="4" t="s">
        <v>12401</v>
      </c>
      <c r="B5644" s="5" t="s">
        <v>12402</v>
      </c>
      <c r="C5644" s="4" t="s">
        <v>99</v>
      </c>
      <c r="D5644" s="475">
        <v>21.99</v>
      </c>
      <c r="E5644" s="476">
        <v>0.13329</v>
      </c>
      <c r="F5644" s="6">
        <v>1.136</v>
      </c>
      <c r="G5644" s="6">
        <v>177.32</v>
      </c>
    </row>
    <row r="5645" ht="30" customHeight="1" spans="1:7">
      <c r="A5645" s="4" t="s">
        <v>12403</v>
      </c>
      <c r="B5645" s="5" t="s">
        <v>12404</v>
      </c>
      <c r="C5645" s="4" t="s">
        <v>99</v>
      </c>
      <c r="D5645" s="475">
        <v>11.6</v>
      </c>
      <c r="E5645" s="476">
        <v>0.13329</v>
      </c>
      <c r="F5645" s="6">
        <v>0.5737</v>
      </c>
      <c r="G5645" s="6">
        <v>131.61</v>
      </c>
    </row>
    <row r="5646" ht="30" customHeight="1" spans="1:7">
      <c r="A5646" s="4" t="s">
        <v>12405</v>
      </c>
      <c r="B5646" s="5" t="s">
        <v>12406</v>
      </c>
      <c r="C5646" s="4" t="s">
        <v>99</v>
      </c>
      <c r="D5646" s="475">
        <v>21.94</v>
      </c>
      <c r="E5646" s="476">
        <v>0.13329</v>
      </c>
      <c r="F5646" s="6">
        <v>1.136</v>
      </c>
      <c r="G5646" s="6">
        <v>177.32</v>
      </c>
    </row>
    <row r="5647" ht="30" customHeight="1" spans="1:7">
      <c r="A5647" s="4" t="s">
        <v>12407</v>
      </c>
      <c r="B5647" s="5" t="s">
        <v>12408</v>
      </c>
      <c r="C5647" s="4" t="s">
        <v>99</v>
      </c>
      <c r="D5647" s="475">
        <v>11.53</v>
      </c>
      <c r="E5647" s="476">
        <v>0.13329</v>
      </c>
      <c r="F5647" s="6">
        <v>0.5737</v>
      </c>
      <c r="G5647" s="6">
        <v>131.61</v>
      </c>
    </row>
    <row r="5648" ht="30" customHeight="1" spans="1:7">
      <c r="A5648" s="4" t="s">
        <v>12409</v>
      </c>
      <c r="B5648" s="5" t="s">
        <v>12410</v>
      </c>
      <c r="C5648" s="4" t="s">
        <v>99</v>
      </c>
      <c r="D5648" s="475">
        <v>24.17</v>
      </c>
      <c r="E5648" s="476">
        <v>0.13329</v>
      </c>
      <c r="F5648" s="6">
        <v>1.2098</v>
      </c>
      <c r="G5648" s="6">
        <v>177.32</v>
      </c>
    </row>
    <row r="5649" ht="30" customHeight="1" spans="1:7">
      <c r="A5649" s="4" t="s">
        <v>12411</v>
      </c>
      <c r="B5649" s="5" t="s">
        <v>12412</v>
      </c>
      <c r="C5649" s="4" t="s">
        <v>99</v>
      </c>
      <c r="D5649" s="475">
        <v>13.13</v>
      </c>
      <c r="E5649" s="476">
        <v>0.13329</v>
      </c>
      <c r="F5649" s="6">
        <v>0.5737</v>
      </c>
      <c r="G5649" s="6">
        <v>131.61</v>
      </c>
    </row>
    <row r="5650" ht="30" customHeight="1" spans="1:7">
      <c r="A5650" s="4" t="s">
        <v>12413</v>
      </c>
      <c r="B5650" s="5" t="s">
        <v>12414</v>
      </c>
      <c r="C5650" s="4" t="s">
        <v>99</v>
      </c>
      <c r="D5650" s="475">
        <v>22.2</v>
      </c>
      <c r="E5650" s="476">
        <v>0.13329</v>
      </c>
      <c r="F5650" s="6">
        <v>1.136</v>
      </c>
      <c r="G5650" s="6">
        <v>177.32</v>
      </c>
    </row>
    <row r="5651" ht="30" customHeight="1" spans="1:7">
      <c r="A5651" s="4" t="s">
        <v>12415</v>
      </c>
      <c r="B5651" s="5" t="s">
        <v>12416</v>
      </c>
      <c r="C5651" s="4" t="s">
        <v>99</v>
      </c>
      <c r="D5651" s="475">
        <v>11.81</v>
      </c>
      <c r="E5651" s="476">
        <v>0.13329</v>
      </c>
      <c r="F5651" s="6">
        <v>0.5737</v>
      </c>
      <c r="G5651" s="6">
        <v>131.61</v>
      </c>
    </row>
    <row r="5652" ht="30" customHeight="1" spans="1:7">
      <c r="A5652" s="4" t="s">
        <v>12417</v>
      </c>
      <c r="B5652" s="5" t="s">
        <v>12418</v>
      </c>
      <c r="C5652" s="4" t="s">
        <v>99</v>
      </c>
      <c r="D5652" s="475">
        <v>22.15</v>
      </c>
      <c r="E5652" s="476">
        <v>0.13329</v>
      </c>
      <c r="F5652" s="6">
        <v>1.136</v>
      </c>
      <c r="G5652" s="6">
        <v>177.32</v>
      </c>
    </row>
    <row r="5653" ht="30" customHeight="1" spans="1:7">
      <c r="A5653" s="4" t="s">
        <v>12419</v>
      </c>
      <c r="B5653" s="5" t="s">
        <v>12420</v>
      </c>
      <c r="C5653" s="4" t="s">
        <v>99</v>
      </c>
      <c r="D5653" s="475">
        <v>11.74</v>
      </c>
      <c r="E5653" s="476">
        <v>0.13329</v>
      </c>
      <c r="F5653" s="6">
        <v>0.5737</v>
      </c>
      <c r="G5653" s="6">
        <v>131.61</v>
      </c>
    </row>
    <row r="5654" ht="30" customHeight="1" spans="1:7">
      <c r="A5654" s="4" t="s">
        <v>12421</v>
      </c>
      <c r="B5654" s="5" t="s">
        <v>12422</v>
      </c>
      <c r="C5654" s="4" t="s">
        <v>99</v>
      </c>
      <c r="D5654" s="475">
        <v>25.08</v>
      </c>
      <c r="E5654" s="476">
        <v>0.13329</v>
      </c>
      <c r="F5654" s="6">
        <v>1.2836</v>
      </c>
      <c r="G5654" s="6">
        <v>177.32</v>
      </c>
    </row>
    <row r="5655" ht="30" customHeight="1" spans="1:7">
      <c r="A5655" s="4" t="s">
        <v>12423</v>
      </c>
      <c r="B5655" s="5" t="s">
        <v>12424</v>
      </c>
      <c r="C5655" s="4" t="s">
        <v>99</v>
      </c>
      <c r="D5655" s="475">
        <v>14.31</v>
      </c>
      <c r="E5655" s="476">
        <v>0.13329</v>
      </c>
      <c r="F5655" s="6">
        <v>0.6731</v>
      </c>
      <c r="G5655" s="6">
        <v>131.61</v>
      </c>
    </row>
    <row r="5656" ht="30" customHeight="1" spans="1:7">
      <c r="A5656" s="4" t="s">
        <v>12425</v>
      </c>
      <c r="B5656" s="5" t="s">
        <v>12426</v>
      </c>
      <c r="C5656" s="4" t="s">
        <v>99</v>
      </c>
      <c r="D5656" s="475">
        <v>23.01</v>
      </c>
      <c r="E5656" s="476">
        <v>0.13329</v>
      </c>
      <c r="F5656" s="6">
        <v>1.2098</v>
      </c>
      <c r="G5656" s="6">
        <v>177.32</v>
      </c>
    </row>
    <row r="5657" ht="30" customHeight="1" spans="1:7">
      <c r="A5657" s="4" t="s">
        <v>12427</v>
      </c>
      <c r="B5657" s="5" t="s">
        <v>12428</v>
      </c>
      <c r="C5657" s="4" t="s">
        <v>99</v>
      </c>
      <c r="D5657" s="475">
        <v>11.95</v>
      </c>
      <c r="E5657" s="476">
        <v>0.13329</v>
      </c>
      <c r="F5657" s="6">
        <v>0.5737</v>
      </c>
      <c r="G5657" s="6">
        <v>131.61</v>
      </c>
    </row>
    <row r="5658" ht="30" customHeight="1" spans="1:7">
      <c r="A5658" s="4" t="s">
        <v>12429</v>
      </c>
      <c r="B5658" s="5" t="s">
        <v>12430</v>
      </c>
      <c r="C5658" s="4" t="s">
        <v>99</v>
      </c>
      <c r="D5658" s="475">
        <v>22.94</v>
      </c>
      <c r="E5658" s="476">
        <v>0.13329</v>
      </c>
      <c r="F5658" s="6">
        <v>1.2098</v>
      </c>
      <c r="G5658" s="6">
        <v>177.32</v>
      </c>
    </row>
    <row r="5659" ht="30" customHeight="1" spans="1:7">
      <c r="A5659" s="4" t="s">
        <v>12431</v>
      </c>
      <c r="B5659" s="5" t="s">
        <v>12432</v>
      </c>
      <c r="C5659" s="4" t="s">
        <v>99</v>
      </c>
      <c r="D5659" s="475">
        <v>11.88</v>
      </c>
      <c r="E5659" s="476">
        <v>0.13329</v>
      </c>
      <c r="F5659" s="6">
        <v>0.5737</v>
      </c>
      <c r="G5659" s="6">
        <v>131.61</v>
      </c>
    </row>
    <row r="5660" ht="30" customHeight="1" spans="1:7">
      <c r="A5660" s="4" t="s">
        <v>12433</v>
      </c>
      <c r="B5660" s="5" t="s">
        <v>12434</v>
      </c>
      <c r="C5660" s="4" t="s">
        <v>99</v>
      </c>
      <c r="D5660" s="475">
        <v>25.62</v>
      </c>
      <c r="E5660" s="476">
        <v>0.13329</v>
      </c>
      <c r="F5660" s="6">
        <v>1.2836</v>
      </c>
      <c r="G5660" s="6">
        <v>177.32</v>
      </c>
    </row>
    <row r="5661" ht="30" customHeight="1" spans="1:7">
      <c r="A5661" s="4" t="s">
        <v>12435</v>
      </c>
      <c r="B5661" s="5" t="s">
        <v>12436</v>
      </c>
      <c r="C5661" s="4" t="s">
        <v>99</v>
      </c>
      <c r="D5661" s="475">
        <v>14.83</v>
      </c>
      <c r="E5661" s="476">
        <v>0.13329</v>
      </c>
      <c r="F5661" s="6">
        <v>0.6731</v>
      </c>
      <c r="G5661" s="6">
        <v>131.61</v>
      </c>
    </row>
    <row r="5662" ht="30" customHeight="1" spans="1:7">
      <c r="A5662" s="4" t="s">
        <v>12437</v>
      </c>
      <c r="B5662" s="5" t="s">
        <v>12438</v>
      </c>
      <c r="C5662" s="4" t="s">
        <v>99</v>
      </c>
      <c r="D5662" s="475">
        <v>23.39</v>
      </c>
      <c r="E5662" s="476">
        <v>0.13329</v>
      </c>
      <c r="F5662" s="6">
        <v>1.2098</v>
      </c>
      <c r="G5662" s="6">
        <v>177.32</v>
      </c>
    </row>
    <row r="5663" ht="30" customHeight="1" spans="1:7">
      <c r="A5663" s="4" t="s">
        <v>12439</v>
      </c>
      <c r="B5663" s="5" t="s">
        <v>12440</v>
      </c>
      <c r="C5663" s="4" t="s">
        <v>99</v>
      </c>
      <c r="D5663" s="475">
        <v>12.37</v>
      </c>
      <c r="E5663" s="476">
        <v>0.13329</v>
      </c>
      <c r="F5663" s="6">
        <v>0.5737</v>
      </c>
      <c r="G5663" s="6">
        <v>131.61</v>
      </c>
    </row>
    <row r="5664" ht="30" customHeight="1" spans="1:7">
      <c r="A5664" s="4" t="s">
        <v>12441</v>
      </c>
      <c r="B5664" s="5" t="s">
        <v>12442</v>
      </c>
      <c r="C5664" s="4" t="s">
        <v>99</v>
      </c>
      <c r="D5664" s="475">
        <v>23.27</v>
      </c>
      <c r="E5664" s="476">
        <v>0.13329</v>
      </c>
      <c r="F5664" s="6">
        <v>1.2098</v>
      </c>
      <c r="G5664" s="6">
        <v>177.32</v>
      </c>
    </row>
    <row r="5665" ht="30" customHeight="1" spans="1:7">
      <c r="A5665" s="4" t="s">
        <v>12443</v>
      </c>
      <c r="B5665" s="5" t="s">
        <v>12444</v>
      </c>
      <c r="C5665" s="4" t="s">
        <v>99</v>
      </c>
      <c r="D5665" s="475">
        <v>12.23</v>
      </c>
      <c r="E5665" s="476">
        <v>0.13329</v>
      </c>
      <c r="F5665" s="6">
        <v>0.5737</v>
      </c>
      <c r="G5665" s="6">
        <v>131.61</v>
      </c>
    </row>
    <row r="5666" ht="30" customHeight="1" spans="1:7">
      <c r="A5666" s="4" t="s">
        <v>12445</v>
      </c>
      <c r="B5666" s="5" t="s">
        <v>12446</v>
      </c>
      <c r="C5666" s="4" t="s">
        <v>99</v>
      </c>
      <c r="D5666" s="475">
        <v>27.19</v>
      </c>
      <c r="E5666" s="476">
        <v>0.13329</v>
      </c>
      <c r="F5666" s="6">
        <v>1.3573</v>
      </c>
      <c r="G5666" s="6">
        <v>177.32</v>
      </c>
    </row>
    <row r="5667" ht="30" customHeight="1" spans="1:7">
      <c r="A5667" s="4" t="s">
        <v>12447</v>
      </c>
      <c r="B5667" s="5" t="s">
        <v>12448</v>
      </c>
      <c r="C5667" s="4" t="s">
        <v>99</v>
      </c>
      <c r="D5667" s="475">
        <v>15.7</v>
      </c>
      <c r="E5667" s="476">
        <v>0.13329</v>
      </c>
      <c r="F5667" s="6">
        <v>0.6731</v>
      </c>
      <c r="G5667" s="6">
        <v>131.61</v>
      </c>
    </row>
    <row r="5668" ht="30" customHeight="1" spans="1:7">
      <c r="A5668" s="4" t="s">
        <v>12449</v>
      </c>
      <c r="B5668" s="5" t="s">
        <v>12450</v>
      </c>
      <c r="C5668" s="4" t="s">
        <v>99</v>
      </c>
      <c r="D5668" s="475">
        <v>23.91</v>
      </c>
      <c r="E5668" s="476">
        <v>0.13329</v>
      </c>
      <c r="F5668" s="6">
        <v>1.2098</v>
      </c>
      <c r="G5668" s="6">
        <v>177.32</v>
      </c>
    </row>
    <row r="5669" ht="30" customHeight="1" spans="1:7">
      <c r="A5669" s="4" t="s">
        <v>12451</v>
      </c>
      <c r="B5669" s="5" t="s">
        <v>12452</v>
      </c>
      <c r="C5669" s="4" t="s">
        <v>99</v>
      </c>
      <c r="D5669" s="475">
        <v>12.92</v>
      </c>
      <c r="E5669" s="476">
        <v>0.13329</v>
      </c>
      <c r="F5669" s="6">
        <v>0.5737</v>
      </c>
      <c r="G5669" s="6">
        <v>131.61</v>
      </c>
    </row>
    <row r="5670" ht="30" customHeight="1" spans="1:7">
      <c r="A5670" s="4" t="s">
        <v>12453</v>
      </c>
      <c r="B5670" s="5" t="s">
        <v>12454</v>
      </c>
      <c r="C5670" s="4" t="s">
        <v>99</v>
      </c>
      <c r="D5670" s="475">
        <v>23.78</v>
      </c>
      <c r="E5670" s="476">
        <v>0.13329</v>
      </c>
      <c r="F5670" s="6">
        <v>1.2098</v>
      </c>
      <c r="G5670" s="6">
        <v>177.32</v>
      </c>
    </row>
    <row r="5671" ht="30" customHeight="1" spans="1:7">
      <c r="A5671" s="4" t="s">
        <v>12455</v>
      </c>
      <c r="B5671" s="5" t="s">
        <v>12456</v>
      </c>
      <c r="C5671" s="4" t="s">
        <v>99</v>
      </c>
      <c r="D5671" s="475">
        <v>12.78</v>
      </c>
      <c r="E5671" s="476">
        <v>0.13329</v>
      </c>
      <c r="F5671" s="6">
        <v>0.5737</v>
      </c>
      <c r="G5671" s="6">
        <v>131.61</v>
      </c>
    </row>
    <row r="5672" ht="30" customHeight="1" spans="1:7">
      <c r="A5672" s="4" t="s">
        <v>12457</v>
      </c>
      <c r="B5672" s="5" t="s">
        <v>12458</v>
      </c>
      <c r="C5672" s="4" t="s">
        <v>99</v>
      </c>
      <c r="D5672" s="475">
        <v>21.12</v>
      </c>
      <c r="E5672" s="476">
        <v>0.13329</v>
      </c>
      <c r="F5672" s="6">
        <v>1.136</v>
      </c>
      <c r="G5672" s="6">
        <v>177.32</v>
      </c>
    </row>
    <row r="5673" ht="30" customHeight="1" spans="1:7">
      <c r="A5673" s="4" t="s">
        <v>12459</v>
      </c>
      <c r="B5673" s="5" t="s">
        <v>12460</v>
      </c>
      <c r="C5673" s="4" t="s">
        <v>99</v>
      </c>
      <c r="D5673" s="475">
        <v>9.89</v>
      </c>
      <c r="E5673" s="476">
        <v>0.13329</v>
      </c>
      <c r="F5673" s="6">
        <v>0.4743</v>
      </c>
      <c r="G5673" s="6">
        <v>131.61</v>
      </c>
    </row>
    <row r="5674" ht="30" customHeight="1" spans="1:7">
      <c r="A5674" s="4" t="s">
        <v>12461</v>
      </c>
      <c r="B5674" s="5" t="s">
        <v>12462</v>
      </c>
      <c r="C5674" s="4" t="s">
        <v>99</v>
      </c>
      <c r="D5674" s="475">
        <v>19.99</v>
      </c>
      <c r="E5674" s="476">
        <v>0.13329</v>
      </c>
      <c r="F5674" s="6">
        <v>1.0623</v>
      </c>
      <c r="G5674" s="6">
        <v>177.32</v>
      </c>
    </row>
    <row r="5675" ht="30" customHeight="1" spans="1:7">
      <c r="A5675" s="4" t="s">
        <v>12463</v>
      </c>
      <c r="B5675" s="5" t="s">
        <v>12464</v>
      </c>
      <c r="C5675" s="4" t="s">
        <v>99</v>
      </c>
      <c r="D5675" s="475">
        <v>9.37</v>
      </c>
      <c r="E5675" s="476">
        <v>0.13329</v>
      </c>
      <c r="F5675" s="6">
        <v>0.4743</v>
      </c>
      <c r="G5675" s="6">
        <v>131.61</v>
      </c>
    </row>
    <row r="5676" ht="30" customHeight="1" spans="1:7">
      <c r="A5676" s="4" t="s">
        <v>12465</v>
      </c>
      <c r="B5676" s="5" t="s">
        <v>12466</v>
      </c>
      <c r="C5676" s="4" t="s">
        <v>99</v>
      </c>
      <c r="D5676" s="475">
        <v>20.06</v>
      </c>
      <c r="E5676" s="476">
        <v>0.13329</v>
      </c>
      <c r="F5676" s="6">
        <v>1.0623</v>
      </c>
      <c r="G5676" s="6">
        <v>177.32</v>
      </c>
    </row>
    <row r="5677" ht="30" customHeight="1" spans="1:7">
      <c r="A5677" s="4" t="s">
        <v>12467</v>
      </c>
      <c r="B5677" s="5" t="s">
        <v>12468</v>
      </c>
      <c r="C5677" s="4" t="s">
        <v>99</v>
      </c>
      <c r="D5677" s="475">
        <v>9.47</v>
      </c>
      <c r="E5677" s="476">
        <v>0.13329</v>
      </c>
      <c r="F5677" s="6">
        <v>0.4743</v>
      </c>
      <c r="G5677" s="6">
        <v>131.61</v>
      </c>
    </row>
    <row r="5678" ht="30" customHeight="1" spans="1:7">
      <c r="A5678" s="4" t="s">
        <v>12469</v>
      </c>
      <c r="B5678" s="5" t="s">
        <v>12470</v>
      </c>
      <c r="C5678" s="4" t="s">
        <v>99</v>
      </c>
      <c r="D5678" s="475">
        <v>21.53</v>
      </c>
      <c r="E5678" s="476">
        <v>0.13329</v>
      </c>
      <c r="F5678" s="6">
        <v>1.136</v>
      </c>
      <c r="G5678" s="6">
        <v>177.32</v>
      </c>
    </row>
    <row r="5679" ht="30" customHeight="1" spans="1:7">
      <c r="A5679" s="4" t="s">
        <v>12471</v>
      </c>
      <c r="B5679" s="5" t="s">
        <v>12472</v>
      </c>
      <c r="C5679" s="4" t="s">
        <v>99</v>
      </c>
      <c r="D5679" s="475">
        <v>10.3</v>
      </c>
      <c r="E5679" s="476">
        <v>0.13329</v>
      </c>
      <c r="F5679" s="6">
        <v>0.4743</v>
      </c>
      <c r="G5679" s="6">
        <v>131.61</v>
      </c>
    </row>
    <row r="5680" ht="30" customHeight="1" spans="1:7">
      <c r="A5680" s="4" t="s">
        <v>12473</v>
      </c>
      <c r="B5680" s="5" t="s">
        <v>12474</v>
      </c>
      <c r="C5680" s="4" t="s">
        <v>99</v>
      </c>
      <c r="D5680" s="475">
        <v>20.3</v>
      </c>
      <c r="E5680" s="476">
        <v>0.13329</v>
      </c>
      <c r="F5680" s="6">
        <v>1.0623</v>
      </c>
      <c r="G5680" s="6">
        <v>177.32</v>
      </c>
    </row>
    <row r="5681" ht="30" customHeight="1" spans="1:7">
      <c r="A5681" s="4" t="s">
        <v>12475</v>
      </c>
      <c r="B5681" s="5" t="s">
        <v>12476</v>
      </c>
      <c r="C5681" s="4" t="s">
        <v>99</v>
      </c>
      <c r="D5681" s="475">
        <v>9.68</v>
      </c>
      <c r="E5681" s="476">
        <v>0.13329</v>
      </c>
      <c r="F5681" s="6">
        <v>0.4743</v>
      </c>
      <c r="G5681" s="6">
        <v>131.61</v>
      </c>
    </row>
    <row r="5682" ht="30" customHeight="1" spans="1:7">
      <c r="A5682" s="4" t="s">
        <v>12477</v>
      </c>
      <c r="B5682" s="5" t="s">
        <v>12478</v>
      </c>
      <c r="C5682" s="4" t="s">
        <v>99</v>
      </c>
      <c r="D5682" s="475">
        <v>20.96</v>
      </c>
      <c r="E5682" s="476">
        <v>0.13329</v>
      </c>
      <c r="F5682" s="6">
        <v>1.136</v>
      </c>
      <c r="G5682" s="6">
        <v>177.32</v>
      </c>
    </row>
    <row r="5683" ht="30" customHeight="1" spans="1:7">
      <c r="A5683" s="4" t="s">
        <v>12479</v>
      </c>
      <c r="B5683" s="5" t="s">
        <v>12480</v>
      </c>
      <c r="C5683" s="4" t="s">
        <v>99</v>
      </c>
      <c r="D5683" s="475">
        <v>9.73</v>
      </c>
      <c r="E5683" s="476">
        <v>0.13329</v>
      </c>
      <c r="F5683" s="6">
        <v>0.4743</v>
      </c>
      <c r="G5683" s="6">
        <v>131.61</v>
      </c>
    </row>
    <row r="5684" ht="30" customHeight="1" spans="1:7">
      <c r="A5684" s="4" t="s">
        <v>12481</v>
      </c>
      <c r="B5684" s="5" t="s">
        <v>12482</v>
      </c>
      <c r="C5684" s="4" t="s">
        <v>99</v>
      </c>
      <c r="D5684" s="475">
        <v>19.99</v>
      </c>
      <c r="E5684" s="476">
        <v>0.13329</v>
      </c>
      <c r="F5684" s="6">
        <v>1.0623</v>
      </c>
      <c r="G5684" s="6">
        <v>177.32</v>
      </c>
    </row>
    <row r="5685" ht="30" customHeight="1" spans="1:7">
      <c r="A5685" s="4" t="s">
        <v>12483</v>
      </c>
      <c r="B5685" s="5" t="s">
        <v>12484</v>
      </c>
      <c r="C5685" s="4" t="s">
        <v>99</v>
      </c>
      <c r="D5685" s="475">
        <v>9.37</v>
      </c>
      <c r="E5685" s="476">
        <v>0.13329</v>
      </c>
      <c r="F5685" s="6">
        <v>0.4743</v>
      </c>
      <c r="G5685" s="6">
        <v>131.61</v>
      </c>
    </row>
    <row r="5686" ht="30" customHeight="1" spans="1:7">
      <c r="A5686" s="4" t="s">
        <v>12485</v>
      </c>
      <c r="B5686" s="5" t="s">
        <v>12486</v>
      </c>
      <c r="C5686" s="4" t="s">
        <v>99</v>
      </c>
      <c r="D5686" s="475">
        <v>19.68</v>
      </c>
      <c r="E5686" s="476">
        <v>0.13329</v>
      </c>
      <c r="F5686" s="6">
        <v>1.0623</v>
      </c>
      <c r="G5686" s="6">
        <v>177.32</v>
      </c>
    </row>
    <row r="5687" ht="30" customHeight="1" spans="1:7">
      <c r="A5687" s="4" t="s">
        <v>12487</v>
      </c>
      <c r="B5687" s="5" t="s">
        <v>12488</v>
      </c>
      <c r="C5687" s="4" t="s">
        <v>99</v>
      </c>
      <c r="D5687" s="475">
        <v>9.05</v>
      </c>
      <c r="E5687" s="476">
        <v>0.13329</v>
      </c>
      <c r="F5687" s="6">
        <v>0.4743</v>
      </c>
      <c r="G5687" s="6">
        <v>131.61</v>
      </c>
    </row>
    <row r="5688" ht="30" customHeight="1" spans="1:7">
      <c r="A5688" s="4" t="s">
        <v>12489</v>
      </c>
      <c r="B5688" s="5" t="s">
        <v>12490</v>
      </c>
      <c r="C5688" s="4" t="s">
        <v>99</v>
      </c>
      <c r="D5688" s="475">
        <v>19.79</v>
      </c>
      <c r="E5688" s="476">
        <v>0.13329</v>
      </c>
      <c r="F5688" s="6">
        <v>1.0623</v>
      </c>
      <c r="G5688" s="6">
        <v>177.32</v>
      </c>
    </row>
    <row r="5689" ht="30" customHeight="1" spans="1:7">
      <c r="A5689" s="4" t="s">
        <v>12491</v>
      </c>
      <c r="B5689" s="5" t="s">
        <v>12492</v>
      </c>
      <c r="C5689" s="4" t="s">
        <v>99</v>
      </c>
      <c r="D5689" s="475">
        <v>9.16</v>
      </c>
      <c r="E5689" s="476">
        <v>0.13329</v>
      </c>
      <c r="F5689" s="6">
        <v>0.4743</v>
      </c>
      <c r="G5689" s="6">
        <v>131.61</v>
      </c>
    </row>
    <row r="5690" ht="15.75" customHeight="1" spans="1:7">
      <c r="A5690" s="4" t="s">
        <v>12493</v>
      </c>
      <c r="B5690" s="5" t="s">
        <v>12494</v>
      </c>
      <c r="C5690" s="4" t="s">
        <v>99</v>
      </c>
      <c r="D5690" s="475">
        <v>10.27</v>
      </c>
      <c r="E5690" s="476">
        <v>0.13329</v>
      </c>
      <c r="F5690" s="6">
        <v>0.5487</v>
      </c>
      <c r="G5690" s="6">
        <v>209.71</v>
      </c>
    </row>
    <row r="5691" ht="30" customHeight="1" spans="1:7">
      <c r="A5691" s="4" t="s">
        <v>12495</v>
      </c>
      <c r="B5691" s="5" t="s">
        <v>12496</v>
      </c>
      <c r="C5691" s="4" t="s">
        <v>99</v>
      </c>
      <c r="D5691" s="475">
        <v>21.94</v>
      </c>
      <c r="E5691" s="476">
        <v>0.13329</v>
      </c>
      <c r="F5691" s="6">
        <v>1.136</v>
      </c>
      <c r="G5691" s="6">
        <v>177.32</v>
      </c>
    </row>
    <row r="5692" ht="30" customHeight="1" spans="1:7">
      <c r="A5692" s="4" t="s">
        <v>12497</v>
      </c>
      <c r="B5692" s="5" t="s">
        <v>12498</v>
      </c>
      <c r="C5692" s="4" t="s">
        <v>99</v>
      </c>
      <c r="D5692" s="475">
        <v>11.53</v>
      </c>
      <c r="E5692" s="476">
        <v>0.13329</v>
      </c>
      <c r="F5692" s="6">
        <v>0.5737</v>
      </c>
      <c r="G5692" s="6">
        <v>131.61</v>
      </c>
    </row>
    <row r="5693" ht="30" customHeight="1" spans="1:7">
      <c r="A5693" s="4" t="s">
        <v>12499</v>
      </c>
      <c r="B5693" s="5" t="s">
        <v>12500</v>
      </c>
      <c r="C5693" s="4" t="s">
        <v>99</v>
      </c>
      <c r="D5693" s="475">
        <v>21.17</v>
      </c>
      <c r="E5693" s="476">
        <v>0.13329</v>
      </c>
      <c r="F5693" s="6">
        <v>1.136</v>
      </c>
      <c r="G5693" s="6">
        <v>177.32</v>
      </c>
    </row>
    <row r="5694" ht="30" customHeight="1" spans="1:7">
      <c r="A5694" s="4" t="s">
        <v>12501</v>
      </c>
      <c r="B5694" s="5" t="s">
        <v>12502</v>
      </c>
      <c r="C5694" s="4" t="s">
        <v>99</v>
      </c>
      <c r="D5694" s="475">
        <v>9.89</v>
      </c>
      <c r="E5694" s="476">
        <v>0.13329</v>
      </c>
      <c r="F5694" s="6">
        <v>0.4743</v>
      </c>
      <c r="G5694" s="6">
        <v>131.61</v>
      </c>
    </row>
    <row r="5695" ht="30" customHeight="1" spans="1:7">
      <c r="A5695" s="4" t="s">
        <v>12503</v>
      </c>
      <c r="B5695" s="5" t="s">
        <v>12504</v>
      </c>
      <c r="C5695" s="4" t="s">
        <v>99</v>
      </c>
      <c r="D5695" s="475">
        <v>21.17</v>
      </c>
      <c r="E5695" s="476">
        <v>0.13329</v>
      </c>
      <c r="F5695" s="6">
        <v>1.136</v>
      </c>
      <c r="G5695" s="6">
        <v>177.32</v>
      </c>
    </row>
    <row r="5696" ht="30" customHeight="1" spans="1:7">
      <c r="A5696" s="4" t="s">
        <v>12505</v>
      </c>
      <c r="B5696" s="5" t="s">
        <v>12506</v>
      </c>
      <c r="C5696" s="4" t="s">
        <v>99</v>
      </c>
      <c r="D5696" s="475">
        <v>9.94</v>
      </c>
      <c r="E5696" s="476">
        <v>0.13329</v>
      </c>
      <c r="F5696" s="6">
        <v>0.4743</v>
      </c>
      <c r="G5696" s="6">
        <v>131.61</v>
      </c>
    </row>
    <row r="5697" ht="30" customHeight="1" spans="1:7">
      <c r="A5697" s="4" t="s">
        <v>12507</v>
      </c>
      <c r="B5697" s="5" t="s">
        <v>12508</v>
      </c>
      <c r="C5697" s="4" t="s">
        <v>99</v>
      </c>
      <c r="D5697" s="475">
        <v>22.25</v>
      </c>
      <c r="E5697" s="476">
        <v>0.13329</v>
      </c>
      <c r="F5697" s="6">
        <v>1.136</v>
      </c>
      <c r="G5697" s="6">
        <v>177.32</v>
      </c>
    </row>
    <row r="5698" ht="30" customHeight="1" spans="1:7">
      <c r="A5698" s="4" t="s">
        <v>12509</v>
      </c>
      <c r="B5698" s="5" t="s">
        <v>12510</v>
      </c>
      <c r="C5698" s="4" t="s">
        <v>99</v>
      </c>
      <c r="D5698" s="475">
        <v>11.88</v>
      </c>
      <c r="E5698" s="476">
        <v>0.13329</v>
      </c>
      <c r="F5698" s="6">
        <v>0.5737</v>
      </c>
      <c r="G5698" s="6">
        <v>131.61</v>
      </c>
    </row>
    <row r="5699" ht="30" customHeight="1" spans="1:7">
      <c r="A5699" s="4" t="s">
        <v>12511</v>
      </c>
      <c r="B5699" s="5" t="s">
        <v>12512</v>
      </c>
      <c r="C5699" s="4" t="s">
        <v>99</v>
      </c>
      <c r="D5699" s="475">
        <v>21.37</v>
      </c>
      <c r="E5699" s="476">
        <v>0.13329</v>
      </c>
      <c r="F5699" s="6">
        <v>1.136</v>
      </c>
      <c r="G5699" s="6">
        <v>177.32</v>
      </c>
    </row>
    <row r="5700" ht="30" customHeight="1" spans="1:7">
      <c r="A5700" s="4" t="s">
        <v>12513</v>
      </c>
      <c r="B5700" s="5" t="s">
        <v>12514</v>
      </c>
      <c r="C5700" s="4" t="s">
        <v>99</v>
      </c>
      <c r="D5700" s="475">
        <v>10.15</v>
      </c>
      <c r="E5700" s="476">
        <v>0.13329</v>
      </c>
      <c r="F5700" s="6">
        <v>0.4743</v>
      </c>
      <c r="G5700" s="6">
        <v>131.61</v>
      </c>
    </row>
    <row r="5701" ht="30" customHeight="1" spans="1:7">
      <c r="A5701" s="4" t="s">
        <v>12515</v>
      </c>
      <c r="B5701" s="5" t="s">
        <v>12516</v>
      </c>
      <c r="C5701" s="4" t="s">
        <v>99</v>
      </c>
      <c r="D5701" s="475">
        <v>21.37</v>
      </c>
      <c r="E5701" s="476">
        <v>0.13329</v>
      </c>
      <c r="F5701" s="6">
        <v>1.136</v>
      </c>
      <c r="G5701" s="6">
        <v>177.32</v>
      </c>
    </row>
    <row r="5702" ht="30" customHeight="1" spans="1:7">
      <c r="A5702" s="4" t="s">
        <v>12517</v>
      </c>
      <c r="B5702" s="5" t="s">
        <v>12518</v>
      </c>
      <c r="C5702" s="4" t="s">
        <v>99</v>
      </c>
      <c r="D5702" s="475">
        <v>10.15</v>
      </c>
      <c r="E5702" s="476">
        <v>0.13329</v>
      </c>
      <c r="F5702" s="6">
        <v>0.4743</v>
      </c>
      <c r="G5702" s="6">
        <v>131.61</v>
      </c>
    </row>
    <row r="5703" ht="30" customHeight="1" spans="1:7">
      <c r="A5703" s="4" t="s">
        <v>12519</v>
      </c>
      <c r="B5703" s="5" t="s">
        <v>12520</v>
      </c>
      <c r="C5703" s="4" t="s">
        <v>99</v>
      </c>
      <c r="D5703" s="475">
        <v>17.01</v>
      </c>
      <c r="E5703" s="476">
        <v>0.13329</v>
      </c>
      <c r="F5703" s="6">
        <v>0.7725</v>
      </c>
      <c r="G5703" s="6">
        <v>131.61</v>
      </c>
    </row>
    <row r="5704" ht="30" customHeight="1" spans="1:7">
      <c r="A5704" s="4" t="s">
        <v>12521</v>
      </c>
      <c r="B5704" s="5" t="s">
        <v>12522</v>
      </c>
      <c r="C5704" s="4" t="s">
        <v>99</v>
      </c>
      <c r="D5704" s="475">
        <v>27.64</v>
      </c>
      <c r="E5704" s="476">
        <v>0.13329</v>
      </c>
      <c r="F5704" s="6">
        <v>1.3573</v>
      </c>
      <c r="G5704" s="6">
        <v>177.32</v>
      </c>
    </row>
    <row r="5705" ht="30" customHeight="1" spans="1:7">
      <c r="A5705" s="4" t="s">
        <v>12523</v>
      </c>
      <c r="B5705" s="5" t="s">
        <v>12524</v>
      </c>
      <c r="C5705" s="4" t="s">
        <v>99</v>
      </c>
      <c r="D5705" s="475">
        <v>13.2</v>
      </c>
      <c r="E5705" s="476">
        <v>0.13329</v>
      </c>
      <c r="F5705" s="6">
        <v>0.5737</v>
      </c>
      <c r="G5705" s="6">
        <v>131.61</v>
      </c>
    </row>
    <row r="5706" ht="30" customHeight="1" spans="1:7">
      <c r="A5706" s="4" t="s">
        <v>12525</v>
      </c>
      <c r="B5706" s="5" t="s">
        <v>12526</v>
      </c>
      <c r="C5706" s="4" t="s">
        <v>99</v>
      </c>
      <c r="D5706" s="475">
        <v>24.04</v>
      </c>
      <c r="E5706" s="476">
        <v>0.13329</v>
      </c>
      <c r="F5706" s="6">
        <v>1.2098</v>
      </c>
      <c r="G5706" s="6">
        <v>177.32</v>
      </c>
    </row>
    <row r="5707" ht="30" customHeight="1" spans="1:7">
      <c r="A5707" s="4" t="s">
        <v>12527</v>
      </c>
      <c r="B5707" s="5" t="s">
        <v>12528</v>
      </c>
      <c r="C5707" s="4" t="s">
        <v>99</v>
      </c>
      <c r="D5707" s="475">
        <v>13.06</v>
      </c>
      <c r="E5707" s="476">
        <v>0.13329</v>
      </c>
      <c r="F5707" s="6">
        <v>0.5737</v>
      </c>
      <c r="G5707" s="6">
        <v>131.61</v>
      </c>
    </row>
    <row r="5708" ht="30" customHeight="1" spans="1:7">
      <c r="A5708" s="4" t="s">
        <v>12529</v>
      </c>
      <c r="B5708" s="5" t="s">
        <v>12530</v>
      </c>
      <c r="C5708" s="4" t="s">
        <v>99</v>
      </c>
      <c r="D5708" s="475">
        <v>24.85</v>
      </c>
      <c r="E5708" s="476">
        <v>0.13329</v>
      </c>
      <c r="F5708" s="6">
        <v>1.2836</v>
      </c>
      <c r="G5708" s="6">
        <v>177.32</v>
      </c>
    </row>
    <row r="5709" ht="30" customHeight="1" spans="1:7">
      <c r="A5709" s="4" t="s">
        <v>12531</v>
      </c>
      <c r="B5709" s="5" t="s">
        <v>12532</v>
      </c>
      <c r="C5709" s="4" t="s">
        <v>99</v>
      </c>
      <c r="D5709" s="475">
        <v>53.29</v>
      </c>
      <c r="E5709" s="476">
        <v>0.13329</v>
      </c>
      <c r="F5709" s="6">
        <v>2.1227</v>
      </c>
      <c r="G5709" s="6">
        <v>64.84</v>
      </c>
    </row>
    <row r="5710" ht="30" customHeight="1" spans="1:7">
      <c r="A5710" s="4" t="s">
        <v>12533</v>
      </c>
      <c r="B5710" s="5" t="s">
        <v>12534</v>
      </c>
      <c r="C5710" s="4" t="s">
        <v>99</v>
      </c>
      <c r="D5710" s="475">
        <v>51.74</v>
      </c>
      <c r="E5710" s="476">
        <v>0.13329</v>
      </c>
      <c r="F5710" s="6">
        <v>2.1227</v>
      </c>
      <c r="G5710" s="6">
        <v>64.84</v>
      </c>
    </row>
    <row r="5711" ht="30" customHeight="1" spans="1:7">
      <c r="A5711" s="4" t="s">
        <v>12535</v>
      </c>
      <c r="B5711" s="5" t="s">
        <v>12536</v>
      </c>
      <c r="C5711" s="4" t="s">
        <v>99</v>
      </c>
      <c r="D5711" s="475">
        <v>47.66</v>
      </c>
      <c r="E5711" s="476">
        <v>0</v>
      </c>
      <c r="F5711" s="6">
        <v>0</v>
      </c>
      <c r="G5711" s="6">
        <v>64.84</v>
      </c>
    </row>
    <row r="5712" ht="30" customHeight="1" spans="1:7">
      <c r="A5712" s="4" t="s">
        <v>12537</v>
      </c>
      <c r="B5712" s="5" t="s">
        <v>12538</v>
      </c>
      <c r="C5712" s="4" t="s">
        <v>99</v>
      </c>
      <c r="D5712" s="475">
        <v>53.85</v>
      </c>
      <c r="E5712" s="476">
        <v>0.13329</v>
      </c>
      <c r="F5712" s="6">
        <v>2.1227</v>
      </c>
      <c r="G5712" s="6">
        <v>64.84</v>
      </c>
    </row>
    <row r="5713" ht="30" customHeight="1" spans="1:7">
      <c r="A5713" s="4" t="s">
        <v>12539</v>
      </c>
      <c r="B5713" s="5" t="s">
        <v>12540</v>
      </c>
      <c r="C5713" s="4" t="s">
        <v>99</v>
      </c>
      <c r="D5713" s="475">
        <v>52.07</v>
      </c>
      <c r="E5713" s="476">
        <v>0.13329</v>
      </c>
      <c r="F5713" s="6">
        <v>2.1227</v>
      </c>
      <c r="G5713" s="6">
        <v>64.84</v>
      </c>
    </row>
    <row r="5714" ht="30" customHeight="1" spans="1:7">
      <c r="A5714" s="4" t="s">
        <v>12541</v>
      </c>
      <c r="B5714" s="5" t="s">
        <v>12542</v>
      </c>
      <c r="C5714" s="4" t="s">
        <v>99</v>
      </c>
      <c r="D5714" s="475">
        <v>49.61</v>
      </c>
      <c r="E5714" s="476">
        <v>0</v>
      </c>
      <c r="F5714" s="6">
        <v>0</v>
      </c>
      <c r="G5714" s="6">
        <v>64.84</v>
      </c>
    </row>
    <row r="5715" ht="30" customHeight="1" spans="1:7">
      <c r="A5715" s="4" t="s">
        <v>12543</v>
      </c>
      <c r="B5715" s="5" t="s">
        <v>12544</v>
      </c>
      <c r="C5715" s="4" t="s">
        <v>99</v>
      </c>
      <c r="D5715" s="475">
        <v>54.29</v>
      </c>
      <c r="E5715" s="476">
        <v>0.13329</v>
      </c>
      <c r="F5715" s="6">
        <v>2.1227</v>
      </c>
      <c r="G5715" s="6">
        <v>64.84</v>
      </c>
    </row>
    <row r="5716" ht="30" customHeight="1" spans="1:7">
      <c r="A5716" s="4" t="s">
        <v>12545</v>
      </c>
      <c r="B5716" s="5" t="s">
        <v>12546</v>
      </c>
      <c r="C5716" s="4" t="s">
        <v>99</v>
      </c>
      <c r="D5716" s="475">
        <v>52.4</v>
      </c>
      <c r="E5716" s="476">
        <v>0.13329</v>
      </c>
      <c r="F5716" s="6">
        <v>2.1227</v>
      </c>
      <c r="G5716" s="6">
        <v>64.84</v>
      </c>
    </row>
    <row r="5717" ht="30" customHeight="1" spans="1:7">
      <c r="A5717" s="4" t="s">
        <v>12547</v>
      </c>
      <c r="B5717" s="5" t="s">
        <v>12548</v>
      </c>
      <c r="C5717" s="4" t="s">
        <v>99</v>
      </c>
      <c r="D5717" s="475">
        <v>49.95</v>
      </c>
      <c r="E5717" s="476">
        <v>0</v>
      </c>
      <c r="F5717" s="6">
        <v>0</v>
      </c>
      <c r="G5717" s="6">
        <v>64.84</v>
      </c>
    </row>
    <row r="5718" ht="30" customHeight="1" spans="1:7">
      <c r="A5718" s="4" t="s">
        <v>12549</v>
      </c>
      <c r="B5718" s="5" t="s">
        <v>12550</v>
      </c>
      <c r="C5718" s="4" t="s">
        <v>99</v>
      </c>
      <c r="D5718" s="475">
        <v>54.74</v>
      </c>
      <c r="E5718" s="476">
        <v>0.13329</v>
      </c>
      <c r="F5718" s="6">
        <v>2.1227</v>
      </c>
      <c r="G5718" s="6">
        <v>64.84</v>
      </c>
    </row>
    <row r="5719" ht="30" customHeight="1" spans="1:7">
      <c r="A5719" s="4" t="s">
        <v>12551</v>
      </c>
      <c r="B5719" s="5" t="s">
        <v>12552</v>
      </c>
      <c r="C5719" s="4" t="s">
        <v>99</v>
      </c>
      <c r="D5719" s="475">
        <v>52.74</v>
      </c>
      <c r="E5719" s="476">
        <v>0.13329</v>
      </c>
      <c r="F5719" s="6">
        <v>2.1227</v>
      </c>
      <c r="G5719" s="6">
        <v>64.84</v>
      </c>
    </row>
    <row r="5720" ht="30" customHeight="1" spans="1:7">
      <c r="A5720" s="4" t="s">
        <v>12553</v>
      </c>
      <c r="B5720" s="5" t="s">
        <v>12554</v>
      </c>
      <c r="C5720" s="4" t="s">
        <v>99</v>
      </c>
      <c r="D5720" s="475">
        <v>50.17</v>
      </c>
      <c r="E5720" s="476">
        <v>0</v>
      </c>
      <c r="F5720" s="6">
        <v>0</v>
      </c>
      <c r="G5720" s="6">
        <v>64.84</v>
      </c>
    </row>
    <row r="5721" ht="30" customHeight="1" spans="1:7">
      <c r="A5721" s="4" t="s">
        <v>12555</v>
      </c>
      <c r="B5721" s="5" t="s">
        <v>12556</v>
      </c>
      <c r="C5721" s="4" t="s">
        <v>99</v>
      </c>
      <c r="D5721" s="475">
        <v>57.24</v>
      </c>
      <c r="E5721" s="476">
        <v>0.13329</v>
      </c>
      <c r="F5721" s="6">
        <v>2.3481</v>
      </c>
      <c r="G5721" s="6">
        <v>64.84</v>
      </c>
    </row>
    <row r="5722" ht="30" customHeight="1" spans="1:7">
      <c r="A5722" s="4" t="s">
        <v>12557</v>
      </c>
      <c r="B5722" s="5" t="s">
        <v>12558</v>
      </c>
      <c r="C5722" s="4" t="s">
        <v>99</v>
      </c>
      <c r="D5722" s="475">
        <v>52.96</v>
      </c>
      <c r="E5722" s="476">
        <v>0.13329</v>
      </c>
      <c r="F5722" s="6">
        <v>2.1227</v>
      </c>
      <c r="G5722" s="6">
        <v>64.84</v>
      </c>
    </row>
    <row r="5723" ht="30" customHeight="1" spans="1:7">
      <c r="A5723" s="4" t="s">
        <v>12559</v>
      </c>
      <c r="B5723" s="5" t="s">
        <v>12560</v>
      </c>
      <c r="C5723" s="4" t="s">
        <v>99</v>
      </c>
      <c r="D5723" s="475">
        <v>50.5</v>
      </c>
      <c r="E5723" s="476">
        <v>0</v>
      </c>
      <c r="F5723" s="6">
        <v>0</v>
      </c>
      <c r="G5723" s="6">
        <v>64.84</v>
      </c>
    </row>
    <row r="5724" ht="30" customHeight="1" spans="1:7">
      <c r="A5724" s="4" t="s">
        <v>12561</v>
      </c>
      <c r="B5724" s="5" t="s">
        <v>12562</v>
      </c>
      <c r="C5724" s="4" t="s">
        <v>99</v>
      </c>
      <c r="D5724" s="475">
        <v>57.98</v>
      </c>
      <c r="E5724" s="476">
        <v>0.13329</v>
      </c>
      <c r="F5724" s="6">
        <v>2.3481</v>
      </c>
      <c r="G5724" s="6">
        <v>64.84</v>
      </c>
    </row>
    <row r="5725" ht="30" customHeight="1" spans="1:7">
      <c r="A5725" s="4" t="s">
        <v>12563</v>
      </c>
      <c r="B5725" s="5" t="s">
        <v>12564</v>
      </c>
      <c r="C5725" s="4" t="s">
        <v>99</v>
      </c>
      <c r="D5725" s="475">
        <v>53.62</v>
      </c>
      <c r="E5725" s="476">
        <v>0.13329</v>
      </c>
      <c r="F5725" s="6">
        <v>2.1227</v>
      </c>
      <c r="G5725" s="6">
        <v>64.84</v>
      </c>
    </row>
    <row r="5726" ht="30" customHeight="1" spans="1:7">
      <c r="A5726" s="4" t="s">
        <v>12565</v>
      </c>
      <c r="B5726" s="5" t="s">
        <v>12566</v>
      </c>
      <c r="C5726" s="4" t="s">
        <v>99</v>
      </c>
      <c r="D5726" s="475">
        <v>50.95</v>
      </c>
      <c r="E5726" s="476">
        <v>0</v>
      </c>
      <c r="F5726" s="6">
        <v>0</v>
      </c>
      <c r="G5726" s="6">
        <v>64.84</v>
      </c>
    </row>
    <row r="5727" ht="30" customHeight="1" spans="1:7">
      <c r="A5727" s="4" t="s">
        <v>12567</v>
      </c>
      <c r="B5727" s="5" t="s">
        <v>12568</v>
      </c>
      <c r="C5727" s="4" t="s">
        <v>99</v>
      </c>
      <c r="D5727" s="475">
        <v>59.46</v>
      </c>
      <c r="E5727" s="476">
        <v>0.13329</v>
      </c>
      <c r="F5727" s="6">
        <v>2.3481</v>
      </c>
      <c r="G5727" s="6">
        <v>64.84</v>
      </c>
    </row>
    <row r="5728" ht="30" customHeight="1" spans="1:7">
      <c r="A5728" s="4" t="s">
        <v>12569</v>
      </c>
      <c r="B5728" s="5" t="s">
        <v>12570</v>
      </c>
      <c r="C5728" s="4" t="s">
        <v>99</v>
      </c>
      <c r="D5728" s="475">
        <v>54.4</v>
      </c>
      <c r="E5728" s="476">
        <v>0.13329</v>
      </c>
      <c r="F5728" s="6">
        <v>2.1227</v>
      </c>
      <c r="G5728" s="6">
        <v>64.84</v>
      </c>
    </row>
    <row r="5729" ht="30" customHeight="1" spans="1:7">
      <c r="A5729" s="4" t="s">
        <v>12571</v>
      </c>
      <c r="B5729" s="5" t="s">
        <v>12572</v>
      </c>
      <c r="C5729" s="4" t="s">
        <v>99</v>
      </c>
      <c r="D5729" s="475">
        <v>51.72</v>
      </c>
      <c r="E5729" s="476">
        <v>0</v>
      </c>
      <c r="F5729" s="6">
        <v>0</v>
      </c>
      <c r="G5729" s="6">
        <v>64.84</v>
      </c>
    </row>
    <row r="5730" ht="30" customHeight="1" spans="1:7">
      <c r="A5730" s="4" t="s">
        <v>12573</v>
      </c>
      <c r="B5730" s="5" t="s">
        <v>12574</v>
      </c>
      <c r="C5730" s="4" t="s">
        <v>99</v>
      </c>
      <c r="D5730" s="475">
        <v>49.19</v>
      </c>
      <c r="E5730" s="476">
        <v>0.13329</v>
      </c>
      <c r="F5730" s="6">
        <v>1.8974</v>
      </c>
      <c r="G5730" s="6">
        <v>64.84</v>
      </c>
    </row>
    <row r="5731" ht="30" customHeight="1" spans="1:7">
      <c r="A5731" s="4" t="s">
        <v>12575</v>
      </c>
      <c r="B5731" s="5" t="s">
        <v>12576</v>
      </c>
      <c r="C5731" s="4" t="s">
        <v>99</v>
      </c>
      <c r="D5731" s="475">
        <v>48.38</v>
      </c>
      <c r="E5731" s="476">
        <v>0.13329</v>
      </c>
      <c r="F5731" s="6">
        <v>1.8974</v>
      </c>
      <c r="G5731" s="6">
        <v>64.84</v>
      </c>
    </row>
    <row r="5732" ht="30" customHeight="1" spans="1:7">
      <c r="A5732" s="4" t="s">
        <v>12577</v>
      </c>
      <c r="B5732" s="5" t="s">
        <v>12578</v>
      </c>
      <c r="C5732" s="4" t="s">
        <v>99</v>
      </c>
      <c r="D5732" s="475">
        <v>46.4</v>
      </c>
      <c r="E5732" s="476">
        <v>0</v>
      </c>
      <c r="F5732" s="6">
        <v>0</v>
      </c>
      <c r="G5732" s="6">
        <v>64.84</v>
      </c>
    </row>
    <row r="5733" ht="30" customHeight="1" spans="1:7">
      <c r="A5733" s="4" t="s">
        <v>12579</v>
      </c>
      <c r="B5733" s="5" t="s">
        <v>12580</v>
      </c>
      <c r="C5733" s="4" t="s">
        <v>99</v>
      </c>
      <c r="D5733" s="475">
        <v>51.74</v>
      </c>
      <c r="E5733" s="476">
        <v>0.13329</v>
      </c>
      <c r="F5733" s="6">
        <v>2.1227</v>
      </c>
      <c r="G5733" s="6">
        <v>64.84</v>
      </c>
    </row>
    <row r="5734" ht="30" customHeight="1" spans="1:7">
      <c r="A5734" s="4" t="s">
        <v>12581</v>
      </c>
      <c r="B5734" s="5" t="s">
        <v>12582</v>
      </c>
      <c r="C5734" s="4" t="s">
        <v>99</v>
      </c>
      <c r="D5734" s="475">
        <v>48.82</v>
      </c>
      <c r="E5734" s="476">
        <v>0.13329</v>
      </c>
      <c r="F5734" s="6">
        <v>1.8974</v>
      </c>
      <c r="G5734" s="6">
        <v>64.84</v>
      </c>
    </row>
    <row r="5735" ht="30" customHeight="1" spans="1:7">
      <c r="A5735" s="4" t="s">
        <v>12583</v>
      </c>
      <c r="B5735" s="5" t="s">
        <v>12584</v>
      </c>
      <c r="C5735" s="4" t="s">
        <v>99</v>
      </c>
      <c r="D5735" s="475">
        <v>46.78</v>
      </c>
      <c r="E5735" s="476">
        <v>0</v>
      </c>
      <c r="F5735" s="6">
        <v>0</v>
      </c>
      <c r="G5735" s="6">
        <v>64.84</v>
      </c>
    </row>
    <row r="5736" ht="30" customHeight="1" spans="1:7">
      <c r="A5736" s="4" t="s">
        <v>12585</v>
      </c>
      <c r="B5736" s="5" t="s">
        <v>12586</v>
      </c>
      <c r="C5736" s="4" t="s">
        <v>99</v>
      </c>
      <c r="D5736" s="475">
        <v>48.38</v>
      </c>
      <c r="E5736" s="476">
        <v>0.13329</v>
      </c>
      <c r="F5736" s="6">
        <v>1.8974</v>
      </c>
      <c r="G5736" s="6">
        <v>64.84</v>
      </c>
    </row>
    <row r="5737" ht="30" customHeight="1" spans="1:7">
      <c r="A5737" s="4" t="s">
        <v>12587</v>
      </c>
      <c r="B5737" s="5" t="s">
        <v>12588</v>
      </c>
      <c r="C5737" s="4" t="s">
        <v>99</v>
      </c>
      <c r="D5737" s="475">
        <v>47.86</v>
      </c>
      <c r="E5737" s="476">
        <v>0.13329</v>
      </c>
      <c r="F5737" s="6">
        <v>1.8974</v>
      </c>
      <c r="G5737" s="6">
        <v>64.84</v>
      </c>
    </row>
    <row r="5738" ht="30" customHeight="1" spans="1:7">
      <c r="A5738" s="4" t="s">
        <v>12589</v>
      </c>
      <c r="B5738" s="5" t="s">
        <v>12590</v>
      </c>
      <c r="C5738" s="4" t="s">
        <v>99</v>
      </c>
      <c r="D5738" s="475">
        <v>45.96</v>
      </c>
      <c r="E5738" s="476">
        <v>0</v>
      </c>
      <c r="F5738" s="6">
        <v>0</v>
      </c>
      <c r="G5738" s="6">
        <v>64.84</v>
      </c>
    </row>
    <row r="5739" ht="30" customHeight="1" spans="1:7">
      <c r="A5739" s="4" t="s">
        <v>12591</v>
      </c>
      <c r="B5739" s="5" t="s">
        <v>12592</v>
      </c>
      <c r="C5739" s="4" t="s">
        <v>99</v>
      </c>
      <c r="D5739" s="475">
        <v>52.29</v>
      </c>
      <c r="E5739" s="476">
        <v>0.13329</v>
      </c>
      <c r="F5739" s="6">
        <v>2.1227</v>
      </c>
      <c r="G5739" s="6">
        <v>64.84</v>
      </c>
    </row>
    <row r="5740" ht="30" customHeight="1" spans="1:7">
      <c r="A5740" s="4" t="s">
        <v>12593</v>
      </c>
      <c r="B5740" s="5" t="s">
        <v>12594</v>
      </c>
      <c r="C5740" s="4" t="s">
        <v>99</v>
      </c>
      <c r="D5740" s="475">
        <v>49.19</v>
      </c>
      <c r="E5740" s="476">
        <v>0.13329</v>
      </c>
      <c r="F5740" s="6">
        <v>1.8974</v>
      </c>
      <c r="G5740" s="6">
        <v>64.84</v>
      </c>
    </row>
    <row r="5741" ht="30" customHeight="1" spans="1:7">
      <c r="A5741" s="4" t="s">
        <v>12595</v>
      </c>
      <c r="B5741" s="5" t="s">
        <v>12596</v>
      </c>
      <c r="C5741" s="4" t="s">
        <v>99</v>
      </c>
      <c r="D5741" s="475">
        <v>47.15</v>
      </c>
      <c r="E5741" s="476">
        <v>0</v>
      </c>
      <c r="F5741" s="6">
        <v>0</v>
      </c>
      <c r="G5741" s="6">
        <v>64.84</v>
      </c>
    </row>
    <row r="5742" ht="30" customHeight="1" spans="1:7">
      <c r="A5742" s="4" t="s">
        <v>12597</v>
      </c>
      <c r="B5742" s="5" t="s">
        <v>12598</v>
      </c>
      <c r="C5742" s="4" t="s">
        <v>99</v>
      </c>
      <c r="D5742" s="475">
        <v>52.85</v>
      </c>
      <c r="E5742" s="476">
        <v>0.13329</v>
      </c>
      <c r="F5742" s="6">
        <v>2.1227</v>
      </c>
      <c r="G5742" s="6">
        <v>64.84</v>
      </c>
    </row>
    <row r="5743" ht="30" customHeight="1" spans="1:7">
      <c r="A5743" s="4" t="s">
        <v>12599</v>
      </c>
      <c r="B5743" s="5" t="s">
        <v>12600</v>
      </c>
      <c r="C5743" s="4" t="s">
        <v>99</v>
      </c>
      <c r="D5743" s="475">
        <v>49.56</v>
      </c>
      <c r="E5743" s="476">
        <v>0.13329</v>
      </c>
      <c r="F5743" s="6">
        <v>1.8974</v>
      </c>
      <c r="G5743" s="6">
        <v>64.84</v>
      </c>
    </row>
    <row r="5744" ht="30" customHeight="1" spans="1:7">
      <c r="A5744" s="4" t="s">
        <v>12601</v>
      </c>
      <c r="B5744" s="5" t="s">
        <v>12602</v>
      </c>
      <c r="C5744" s="4" t="s">
        <v>99</v>
      </c>
      <c r="D5744" s="475">
        <v>47.44</v>
      </c>
      <c r="E5744" s="476">
        <v>0</v>
      </c>
      <c r="F5744" s="6">
        <v>0</v>
      </c>
      <c r="G5744" s="6">
        <v>64.84</v>
      </c>
    </row>
    <row r="5745" ht="30" customHeight="1" spans="1:7">
      <c r="A5745" s="4" t="s">
        <v>12603</v>
      </c>
      <c r="B5745" s="5" t="s">
        <v>12604</v>
      </c>
      <c r="C5745" s="4" t="s">
        <v>99</v>
      </c>
      <c r="D5745" s="475">
        <v>60.21</v>
      </c>
      <c r="E5745" s="476">
        <v>0.13329</v>
      </c>
      <c r="F5745" s="6">
        <v>2.3481</v>
      </c>
      <c r="G5745" s="6">
        <v>64.84</v>
      </c>
    </row>
    <row r="5746" ht="30" customHeight="1" spans="1:7">
      <c r="A5746" s="4" t="s">
        <v>12605</v>
      </c>
      <c r="B5746" s="5" t="s">
        <v>12606</v>
      </c>
      <c r="C5746" s="4" t="s">
        <v>99</v>
      </c>
      <c r="D5746" s="475">
        <v>54.96</v>
      </c>
      <c r="E5746" s="476">
        <v>0.13329</v>
      </c>
      <c r="F5746" s="6">
        <v>2.1227</v>
      </c>
      <c r="G5746" s="6">
        <v>64.84</v>
      </c>
    </row>
    <row r="5747" ht="30" customHeight="1" spans="1:7">
      <c r="A5747" s="4" t="s">
        <v>12607</v>
      </c>
      <c r="B5747" s="5" t="s">
        <v>12608</v>
      </c>
      <c r="C5747" s="4" t="s">
        <v>99</v>
      </c>
      <c r="D5747" s="475">
        <v>52.17</v>
      </c>
      <c r="E5747" s="476">
        <v>0</v>
      </c>
      <c r="F5747" s="6">
        <v>0</v>
      </c>
      <c r="G5747" s="6">
        <v>64.84</v>
      </c>
    </row>
    <row r="5748" ht="15.75" customHeight="1" spans="1:7">
      <c r="A5748" s="4" t="s">
        <v>12609</v>
      </c>
      <c r="B5748" s="5" t="s">
        <v>12610</v>
      </c>
      <c r="C5748" s="4" t="s">
        <v>99</v>
      </c>
      <c r="D5748" s="475">
        <v>8.01</v>
      </c>
      <c r="E5748" s="476">
        <v>0.13329</v>
      </c>
      <c r="F5748" s="6">
        <v>0.5058</v>
      </c>
      <c r="G5748" s="6">
        <v>45.53</v>
      </c>
    </row>
    <row r="5749" ht="30" customHeight="1" spans="1:7">
      <c r="A5749" s="4" t="s">
        <v>12611</v>
      </c>
      <c r="B5749" s="5" t="s">
        <v>12612</v>
      </c>
      <c r="C5749" s="4" t="s">
        <v>99</v>
      </c>
      <c r="D5749" s="475">
        <v>22.67</v>
      </c>
      <c r="E5749" s="476">
        <v>0.13329</v>
      </c>
      <c r="F5749" s="6">
        <v>1.0829</v>
      </c>
      <c r="G5749" s="6">
        <v>45.53</v>
      </c>
    </row>
    <row r="5750" ht="30" customHeight="1" spans="1:7">
      <c r="A5750" s="4" t="s">
        <v>12613</v>
      </c>
      <c r="B5750" s="5" t="s">
        <v>12614</v>
      </c>
      <c r="C5750" s="4" t="s">
        <v>99</v>
      </c>
      <c r="D5750" s="475">
        <v>21.57</v>
      </c>
      <c r="E5750" s="476">
        <v>0.13329</v>
      </c>
      <c r="F5750" s="6">
        <v>1.0829</v>
      </c>
      <c r="G5750" s="6">
        <v>45.53</v>
      </c>
    </row>
    <row r="5751" ht="30" customHeight="1" spans="1:7">
      <c r="A5751" s="4" t="s">
        <v>12615</v>
      </c>
      <c r="B5751" s="5" t="s">
        <v>12616</v>
      </c>
      <c r="C5751" s="4" t="s">
        <v>99</v>
      </c>
      <c r="D5751" s="475">
        <v>21.17</v>
      </c>
      <c r="E5751" s="476">
        <v>0.13329</v>
      </c>
      <c r="F5751" s="6">
        <v>1.0829</v>
      </c>
      <c r="G5751" s="6">
        <v>45.53</v>
      </c>
    </row>
    <row r="5752" ht="30" customHeight="1" spans="1:7">
      <c r="A5752" s="4" t="s">
        <v>12617</v>
      </c>
      <c r="B5752" s="5" t="s">
        <v>12618</v>
      </c>
      <c r="C5752" s="4" t="s">
        <v>99</v>
      </c>
      <c r="D5752" s="475">
        <v>25.48</v>
      </c>
      <c r="E5752" s="476">
        <v>0.13329</v>
      </c>
      <c r="F5752" s="6">
        <v>1.3714</v>
      </c>
      <c r="G5752" s="6">
        <v>45.53</v>
      </c>
    </row>
    <row r="5753" ht="30" customHeight="1" spans="1:7">
      <c r="A5753" s="4" t="s">
        <v>12619</v>
      </c>
      <c r="B5753" s="5" t="s">
        <v>12620</v>
      </c>
      <c r="C5753" s="4" t="s">
        <v>99</v>
      </c>
      <c r="D5753" s="475">
        <v>21.77</v>
      </c>
      <c r="E5753" s="476">
        <v>0.13329</v>
      </c>
      <c r="F5753" s="6">
        <v>1.0829</v>
      </c>
      <c r="G5753" s="6">
        <v>45.53</v>
      </c>
    </row>
    <row r="5754" ht="30" customHeight="1" spans="1:7">
      <c r="A5754" s="4" t="s">
        <v>12621</v>
      </c>
      <c r="B5754" s="5" t="s">
        <v>12622</v>
      </c>
      <c r="C5754" s="4" t="s">
        <v>99</v>
      </c>
      <c r="D5754" s="475">
        <v>21.37</v>
      </c>
      <c r="E5754" s="476">
        <v>0.13329</v>
      </c>
      <c r="F5754" s="6">
        <v>1.0829</v>
      </c>
      <c r="G5754" s="6">
        <v>45.53</v>
      </c>
    </row>
    <row r="5755" ht="30" customHeight="1" spans="1:7">
      <c r="A5755" s="4" t="s">
        <v>12623</v>
      </c>
      <c r="B5755" s="5" t="s">
        <v>12624</v>
      </c>
      <c r="C5755" s="4" t="s">
        <v>99</v>
      </c>
      <c r="D5755" s="475">
        <v>25.78</v>
      </c>
      <c r="E5755" s="476">
        <v>0.13329</v>
      </c>
      <c r="F5755" s="6">
        <v>1.3714</v>
      </c>
      <c r="G5755" s="6">
        <v>45.53</v>
      </c>
    </row>
    <row r="5756" ht="30" customHeight="1" spans="1:7">
      <c r="A5756" s="4" t="s">
        <v>12625</v>
      </c>
      <c r="B5756" s="5" t="s">
        <v>12626</v>
      </c>
      <c r="C5756" s="4" t="s">
        <v>99</v>
      </c>
      <c r="D5756" s="475">
        <v>21.97</v>
      </c>
      <c r="E5756" s="476">
        <v>0.13329</v>
      </c>
      <c r="F5756" s="6">
        <v>1.0829</v>
      </c>
      <c r="G5756" s="6">
        <v>45.53</v>
      </c>
    </row>
    <row r="5757" ht="30" customHeight="1" spans="1:7">
      <c r="A5757" s="4" t="s">
        <v>12627</v>
      </c>
      <c r="B5757" s="5" t="s">
        <v>12628</v>
      </c>
      <c r="C5757" s="4" t="s">
        <v>99</v>
      </c>
      <c r="D5757" s="475">
        <v>21.57</v>
      </c>
      <c r="E5757" s="476">
        <v>0.13329</v>
      </c>
      <c r="F5757" s="6">
        <v>1.0829</v>
      </c>
      <c r="G5757" s="6">
        <v>45.53</v>
      </c>
    </row>
    <row r="5758" ht="30" customHeight="1" spans="1:7">
      <c r="A5758" s="4" t="s">
        <v>12629</v>
      </c>
      <c r="B5758" s="5" t="s">
        <v>12630</v>
      </c>
      <c r="C5758" s="4" t="s">
        <v>99</v>
      </c>
      <c r="D5758" s="475">
        <v>26.23</v>
      </c>
      <c r="E5758" s="476">
        <v>0.13329</v>
      </c>
      <c r="F5758" s="6">
        <v>1.3714</v>
      </c>
      <c r="G5758" s="6">
        <v>45.53</v>
      </c>
    </row>
    <row r="5759" ht="30" customHeight="1" spans="1:7">
      <c r="A5759" s="4" t="s">
        <v>12631</v>
      </c>
      <c r="B5759" s="5" t="s">
        <v>12632</v>
      </c>
      <c r="C5759" s="4" t="s">
        <v>99</v>
      </c>
      <c r="D5759" s="475">
        <v>22.27</v>
      </c>
      <c r="E5759" s="476">
        <v>0.13329</v>
      </c>
      <c r="F5759" s="6">
        <v>1.0829</v>
      </c>
      <c r="G5759" s="6">
        <v>45.53</v>
      </c>
    </row>
    <row r="5760" ht="30" customHeight="1" spans="1:7">
      <c r="A5760" s="4" t="s">
        <v>12633</v>
      </c>
      <c r="B5760" s="5" t="s">
        <v>12634</v>
      </c>
      <c r="C5760" s="4" t="s">
        <v>99</v>
      </c>
      <c r="D5760" s="475">
        <v>21.77</v>
      </c>
      <c r="E5760" s="476">
        <v>0.13329</v>
      </c>
      <c r="F5760" s="6">
        <v>1.0829</v>
      </c>
      <c r="G5760" s="6">
        <v>45.53</v>
      </c>
    </row>
    <row r="5761" ht="30" customHeight="1" spans="1:7">
      <c r="A5761" s="4" t="s">
        <v>12635</v>
      </c>
      <c r="B5761" s="5" t="s">
        <v>12636</v>
      </c>
      <c r="C5761" s="4" t="s">
        <v>99</v>
      </c>
      <c r="D5761" s="475">
        <v>26.54</v>
      </c>
      <c r="E5761" s="476">
        <v>0.13329</v>
      </c>
      <c r="F5761" s="6">
        <v>1.3714</v>
      </c>
      <c r="G5761" s="6">
        <v>45.53</v>
      </c>
    </row>
    <row r="5762" ht="30" customHeight="1" spans="1:7">
      <c r="A5762" s="4" t="s">
        <v>12637</v>
      </c>
      <c r="B5762" s="5" t="s">
        <v>12638</v>
      </c>
      <c r="C5762" s="4" t="s">
        <v>99</v>
      </c>
      <c r="D5762" s="475">
        <v>22.47</v>
      </c>
      <c r="E5762" s="476">
        <v>0.13329</v>
      </c>
      <c r="F5762" s="6">
        <v>1.0829</v>
      </c>
      <c r="G5762" s="6">
        <v>45.53</v>
      </c>
    </row>
    <row r="5763" ht="30" customHeight="1" spans="1:7">
      <c r="A5763" s="4" t="s">
        <v>12639</v>
      </c>
      <c r="B5763" s="5" t="s">
        <v>12640</v>
      </c>
      <c r="C5763" s="4" t="s">
        <v>99</v>
      </c>
      <c r="D5763" s="475">
        <v>21.87</v>
      </c>
      <c r="E5763" s="476">
        <v>0.13329</v>
      </c>
      <c r="F5763" s="6">
        <v>1.0829</v>
      </c>
      <c r="G5763" s="6">
        <v>45.53</v>
      </c>
    </row>
    <row r="5764" ht="30" customHeight="1" spans="1:7">
      <c r="A5764" s="4" t="s">
        <v>12641</v>
      </c>
      <c r="B5764" s="5" t="s">
        <v>12642</v>
      </c>
      <c r="C5764" s="4" t="s">
        <v>99</v>
      </c>
      <c r="D5764" s="475">
        <v>27.14</v>
      </c>
      <c r="E5764" s="476">
        <v>0.13329</v>
      </c>
      <c r="F5764" s="6">
        <v>1.3714</v>
      </c>
      <c r="G5764" s="6">
        <v>45.53</v>
      </c>
    </row>
    <row r="5765" ht="30" customHeight="1" spans="1:7">
      <c r="A5765" s="4" t="s">
        <v>12643</v>
      </c>
      <c r="B5765" s="5" t="s">
        <v>12644</v>
      </c>
      <c r="C5765" s="4" t="s">
        <v>99</v>
      </c>
      <c r="D5765" s="475">
        <v>22.88</v>
      </c>
      <c r="E5765" s="476">
        <v>0.13329</v>
      </c>
      <c r="F5765" s="6">
        <v>1.0829</v>
      </c>
      <c r="G5765" s="6">
        <v>45.53</v>
      </c>
    </row>
    <row r="5766" ht="30" customHeight="1" spans="1:7">
      <c r="A5766" s="4" t="s">
        <v>12645</v>
      </c>
      <c r="B5766" s="5" t="s">
        <v>12646</v>
      </c>
      <c r="C5766" s="4" t="s">
        <v>99</v>
      </c>
      <c r="D5766" s="475">
        <v>22.27</v>
      </c>
      <c r="E5766" s="476">
        <v>0.13329</v>
      </c>
      <c r="F5766" s="6">
        <v>1.0829</v>
      </c>
      <c r="G5766" s="6">
        <v>45.53</v>
      </c>
    </row>
    <row r="5767" ht="30" customHeight="1" spans="1:7">
      <c r="A5767" s="4" t="s">
        <v>12647</v>
      </c>
      <c r="B5767" s="5" t="s">
        <v>12648</v>
      </c>
      <c r="C5767" s="4" t="s">
        <v>99</v>
      </c>
      <c r="D5767" s="475">
        <v>28.2</v>
      </c>
      <c r="E5767" s="476">
        <v>0.13329</v>
      </c>
      <c r="F5767" s="6">
        <v>1.3714</v>
      </c>
      <c r="G5767" s="6">
        <v>45.53</v>
      </c>
    </row>
    <row r="5768" ht="30" customHeight="1" spans="1:7">
      <c r="A5768" s="4" t="s">
        <v>12649</v>
      </c>
      <c r="B5768" s="5" t="s">
        <v>12650</v>
      </c>
      <c r="C5768" s="4" t="s">
        <v>99</v>
      </c>
      <c r="D5768" s="475">
        <v>25.93</v>
      </c>
      <c r="E5768" s="476">
        <v>0.13329</v>
      </c>
      <c r="F5768" s="6">
        <v>1.3714</v>
      </c>
      <c r="G5768" s="6">
        <v>45.53</v>
      </c>
    </row>
    <row r="5769" ht="30" customHeight="1" spans="1:7">
      <c r="A5769" s="4" t="s">
        <v>12651</v>
      </c>
      <c r="B5769" s="5" t="s">
        <v>12652</v>
      </c>
      <c r="C5769" s="4" t="s">
        <v>99</v>
      </c>
      <c r="D5769" s="475">
        <v>22.78</v>
      </c>
      <c r="E5769" s="476">
        <v>0.13329</v>
      </c>
      <c r="F5769" s="6">
        <v>1.0829</v>
      </c>
      <c r="G5769" s="6">
        <v>45.53</v>
      </c>
    </row>
    <row r="5770" ht="30" customHeight="1" spans="1:7">
      <c r="A5770" s="4" t="s">
        <v>12653</v>
      </c>
      <c r="B5770" s="5" t="s">
        <v>12654</v>
      </c>
      <c r="C5770" s="4" t="s">
        <v>99</v>
      </c>
      <c r="D5770" s="475">
        <v>21.06</v>
      </c>
      <c r="E5770" s="476">
        <v>0.13329</v>
      </c>
      <c r="F5770" s="6">
        <v>1.0829</v>
      </c>
      <c r="G5770" s="6">
        <v>45.53</v>
      </c>
    </row>
    <row r="5771" ht="30" customHeight="1" spans="1:7">
      <c r="A5771" s="4" t="s">
        <v>12655</v>
      </c>
      <c r="B5771" s="5" t="s">
        <v>12656</v>
      </c>
      <c r="C5771" s="4" t="s">
        <v>99</v>
      </c>
      <c r="D5771" s="475">
        <v>20.46</v>
      </c>
      <c r="E5771" s="476">
        <v>0.13329</v>
      </c>
      <c r="F5771" s="6">
        <v>1.0829</v>
      </c>
      <c r="G5771" s="6">
        <v>45.53</v>
      </c>
    </row>
    <row r="5772" ht="30" customHeight="1" spans="1:7">
      <c r="A5772" s="4" t="s">
        <v>12657</v>
      </c>
      <c r="B5772" s="5" t="s">
        <v>12658</v>
      </c>
      <c r="C5772" s="4" t="s">
        <v>99</v>
      </c>
      <c r="D5772" s="475">
        <v>20.26</v>
      </c>
      <c r="E5772" s="476">
        <v>0.13329</v>
      </c>
      <c r="F5772" s="6">
        <v>1.0829</v>
      </c>
      <c r="G5772" s="6">
        <v>45.53</v>
      </c>
    </row>
    <row r="5773" ht="30" customHeight="1" spans="1:7">
      <c r="A5773" s="4" t="s">
        <v>12659</v>
      </c>
      <c r="B5773" s="5" t="s">
        <v>12660</v>
      </c>
      <c r="C5773" s="4" t="s">
        <v>99</v>
      </c>
      <c r="D5773" s="475">
        <v>21.47</v>
      </c>
      <c r="E5773" s="476">
        <v>0.13329</v>
      </c>
      <c r="F5773" s="6">
        <v>1.0829</v>
      </c>
      <c r="G5773" s="6">
        <v>45.53</v>
      </c>
    </row>
    <row r="5774" ht="30" customHeight="1" spans="1:7">
      <c r="A5774" s="4" t="s">
        <v>12661</v>
      </c>
      <c r="B5774" s="5" t="s">
        <v>12662</v>
      </c>
      <c r="C5774" s="4" t="s">
        <v>99</v>
      </c>
      <c r="D5774" s="475">
        <v>20.76</v>
      </c>
      <c r="E5774" s="476">
        <v>0.13329</v>
      </c>
      <c r="F5774" s="6">
        <v>1.0829</v>
      </c>
      <c r="G5774" s="6">
        <v>45.53</v>
      </c>
    </row>
    <row r="5775" ht="30" customHeight="1" spans="1:7">
      <c r="A5775" s="4" t="s">
        <v>12663</v>
      </c>
      <c r="B5775" s="5" t="s">
        <v>12664</v>
      </c>
      <c r="C5775" s="4" t="s">
        <v>99</v>
      </c>
      <c r="D5775" s="475">
        <v>20.56</v>
      </c>
      <c r="E5775" s="476">
        <v>0.13329</v>
      </c>
      <c r="F5775" s="6">
        <v>1.0829</v>
      </c>
      <c r="G5775" s="6">
        <v>45.53</v>
      </c>
    </row>
    <row r="5776" ht="30" customHeight="1" spans="1:7">
      <c r="A5776" s="4" t="s">
        <v>12665</v>
      </c>
      <c r="B5776" s="5" t="s">
        <v>12666</v>
      </c>
      <c r="C5776" s="4" t="s">
        <v>99</v>
      </c>
      <c r="D5776" s="475">
        <v>20.46</v>
      </c>
      <c r="E5776" s="476">
        <v>0.13329</v>
      </c>
      <c r="F5776" s="6">
        <v>1.0829</v>
      </c>
      <c r="G5776" s="6">
        <v>45.53</v>
      </c>
    </row>
    <row r="5777" ht="30" customHeight="1" spans="1:7">
      <c r="A5777" s="4" t="s">
        <v>12667</v>
      </c>
      <c r="B5777" s="5" t="s">
        <v>12668</v>
      </c>
      <c r="C5777" s="4" t="s">
        <v>99</v>
      </c>
      <c r="D5777" s="475">
        <v>20.16</v>
      </c>
      <c r="E5777" s="476">
        <v>0.13329</v>
      </c>
      <c r="F5777" s="6">
        <v>1.0829</v>
      </c>
      <c r="G5777" s="6">
        <v>45.53</v>
      </c>
    </row>
    <row r="5778" ht="30" customHeight="1" spans="1:7">
      <c r="A5778" s="4" t="s">
        <v>12669</v>
      </c>
      <c r="B5778" s="5" t="s">
        <v>12670</v>
      </c>
      <c r="C5778" s="4" t="s">
        <v>99</v>
      </c>
      <c r="D5778" s="475">
        <v>19.96</v>
      </c>
      <c r="E5778" s="476">
        <v>0.13329</v>
      </c>
      <c r="F5778" s="6">
        <v>1.0829</v>
      </c>
      <c r="G5778" s="6">
        <v>45.53</v>
      </c>
    </row>
    <row r="5779" ht="30" customHeight="1" spans="1:7">
      <c r="A5779" s="4" t="s">
        <v>12671</v>
      </c>
      <c r="B5779" s="5" t="s">
        <v>12672</v>
      </c>
      <c r="C5779" s="4" t="s">
        <v>99</v>
      </c>
      <c r="D5779" s="475">
        <v>21.97</v>
      </c>
      <c r="E5779" s="476">
        <v>0.13329</v>
      </c>
      <c r="F5779" s="6">
        <v>1.0829</v>
      </c>
      <c r="G5779" s="6">
        <v>45.53</v>
      </c>
    </row>
    <row r="5780" ht="30" customHeight="1" spans="1:7">
      <c r="A5780" s="4" t="s">
        <v>12673</v>
      </c>
      <c r="B5780" s="5" t="s">
        <v>12674</v>
      </c>
      <c r="C5780" s="4" t="s">
        <v>99</v>
      </c>
      <c r="D5780" s="475">
        <v>21.06</v>
      </c>
      <c r="E5780" s="476">
        <v>0.13329</v>
      </c>
      <c r="F5780" s="6">
        <v>1.0829</v>
      </c>
      <c r="G5780" s="6">
        <v>45.53</v>
      </c>
    </row>
    <row r="5781" ht="30" customHeight="1" spans="1:7">
      <c r="A5781" s="4" t="s">
        <v>12675</v>
      </c>
      <c r="B5781" s="5" t="s">
        <v>12676</v>
      </c>
      <c r="C5781" s="4" t="s">
        <v>99</v>
      </c>
      <c r="D5781" s="475">
        <v>20.76</v>
      </c>
      <c r="E5781" s="476">
        <v>0.13329</v>
      </c>
      <c r="F5781" s="6">
        <v>1.0829</v>
      </c>
      <c r="G5781" s="6">
        <v>45.53</v>
      </c>
    </row>
    <row r="5782" ht="30" customHeight="1" spans="1:7">
      <c r="A5782" s="4" t="s">
        <v>12677</v>
      </c>
      <c r="B5782" s="5" t="s">
        <v>12678</v>
      </c>
      <c r="C5782" s="4" t="s">
        <v>99</v>
      </c>
      <c r="D5782" s="475">
        <v>22.27</v>
      </c>
      <c r="E5782" s="476">
        <v>0.13329</v>
      </c>
      <c r="F5782" s="6">
        <v>1.0829</v>
      </c>
      <c r="G5782" s="6">
        <v>45.53</v>
      </c>
    </row>
    <row r="5783" ht="30" customHeight="1" spans="1:7">
      <c r="A5783" s="4" t="s">
        <v>12679</v>
      </c>
      <c r="B5783" s="5" t="s">
        <v>12680</v>
      </c>
      <c r="C5783" s="4" t="s">
        <v>99</v>
      </c>
      <c r="D5783" s="475">
        <v>21.27</v>
      </c>
      <c r="E5783" s="476">
        <v>0.13329</v>
      </c>
      <c r="F5783" s="6">
        <v>1.0829</v>
      </c>
      <c r="G5783" s="6">
        <v>45.53</v>
      </c>
    </row>
    <row r="5784" ht="30" customHeight="1" spans="1:7">
      <c r="A5784" s="4" t="s">
        <v>12681</v>
      </c>
      <c r="B5784" s="5" t="s">
        <v>12682</v>
      </c>
      <c r="C5784" s="4" t="s">
        <v>99</v>
      </c>
      <c r="D5784" s="475">
        <v>20.96</v>
      </c>
      <c r="E5784" s="476">
        <v>0.13329</v>
      </c>
      <c r="F5784" s="6">
        <v>1.0829</v>
      </c>
      <c r="G5784" s="6">
        <v>45.53</v>
      </c>
    </row>
    <row r="5785" ht="30" customHeight="1" spans="1:7">
      <c r="A5785" s="4" t="s">
        <v>12683</v>
      </c>
      <c r="B5785" s="5" t="s">
        <v>12684</v>
      </c>
      <c r="C5785" s="4" t="s">
        <v>99</v>
      </c>
      <c r="D5785" s="475">
        <v>28.65</v>
      </c>
      <c r="E5785" s="476">
        <v>0.13329</v>
      </c>
      <c r="F5785" s="6">
        <v>1.3714</v>
      </c>
      <c r="G5785" s="6">
        <v>45.53</v>
      </c>
    </row>
    <row r="5786" ht="30" customHeight="1" spans="1:7">
      <c r="A5786" s="4" t="s">
        <v>12685</v>
      </c>
      <c r="B5786" s="5" t="s">
        <v>12686</v>
      </c>
      <c r="C5786" s="4" t="s">
        <v>99</v>
      </c>
      <c r="D5786" s="475">
        <v>26.23</v>
      </c>
      <c r="E5786" s="476">
        <v>0.13329</v>
      </c>
      <c r="F5786" s="6">
        <v>1.3714</v>
      </c>
      <c r="G5786" s="6">
        <v>45.53</v>
      </c>
    </row>
    <row r="5787" ht="30" customHeight="1" spans="1:7">
      <c r="A5787" s="4" t="s">
        <v>12687</v>
      </c>
      <c r="B5787" s="5" t="s">
        <v>12688</v>
      </c>
      <c r="C5787" s="4" t="s">
        <v>99</v>
      </c>
      <c r="D5787" s="475">
        <v>25.48</v>
      </c>
      <c r="E5787" s="476">
        <v>0.13329</v>
      </c>
      <c r="F5787" s="6">
        <v>1.3714</v>
      </c>
      <c r="G5787" s="6">
        <v>45.53</v>
      </c>
    </row>
    <row r="5788" ht="15.75" customHeight="1" spans="1:7">
      <c r="A5788" s="4" t="s">
        <v>12689</v>
      </c>
      <c r="B5788" s="5" t="s">
        <v>12690</v>
      </c>
      <c r="C5788" s="4" t="s">
        <v>99</v>
      </c>
      <c r="D5788" s="475">
        <v>24.07</v>
      </c>
      <c r="E5788" s="476">
        <v>0.13329</v>
      </c>
      <c r="F5788" s="6">
        <v>1.3483</v>
      </c>
      <c r="G5788" s="6">
        <v>359.86</v>
      </c>
    </row>
    <row r="5789" ht="15.75" customHeight="1" spans="1:7">
      <c r="A5789" s="4" t="s">
        <v>12691</v>
      </c>
      <c r="B5789" s="5" t="s">
        <v>12692</v>
      </c>
      <c r="C5789" s="4" t="s">
        <v>99</v>
      </c>
      <c r="D5789" s="475">
        <v>27.06</v>
      </c>
      <c r="E5789" s="476">
        <v>0.13329</v>
      </c>
      <c r="F5789" s="6">
        <v>1.5177</v>
      </c>
      <c r="G5789" s="6">
        <v>359.86</v>
      </c>
    </row>
    <row r="5790" ht="15.75" customHeight="1" spans="1:7">
      <c r="A5790" s="4" t="s">
        <v>12693</v>
      </c>
      <c r="B5790" s="5" t="s">
        <v>12694</v>
      </c>
      <c r="C5790" s="4" t="s">
        <v>99</v>
      </c>
      <c r="D5790" s="475">
        <v>14.25</v>
      </c>
      <c r="E5790" s="476">
        <v>0.13329</v>
      </c>
      <c r="F5790" s="6">
        <v>0.8402</v>
      </c>
      <c r="G5790" s="6">
        <v>359.86</v>
      </c>
    </row>
    <row r="5791" ht="15.75" customHeight="1" spans="1:7">
      <c r="A5791" s="4" t="s">
        <v>12695</v>
      </c>
      <c r="B5791" s="5" t="s">
        <v>12696</v>
      </c>
      <c r="C5791" s="4" t="s">
        <v>99</v>
      </c>
      <c r="D5791" s="475">
        <v>15.64</v>
      </c>
      <c r="E5791" s="476">
        <v>0.13329</v>
      </c>
      <c r="F5791" s="6">
        <v>0.8402</v>
      </c>
      <c r="G5791" s="6">
        <v>359.86</v>
      </c>
    </row>
    <row r="5792" ht="15.75" customHeight="1" spans="1:7">
      <c r="A5792" s="4" t="s">
        <v>12697</v>
      </c>
      <c r="B5792" s="5" t="s">
        <v>12698</v>
      </c>
      <c r="C5792" s="4" t="s">
        <v>99</v>
      </c>
      <c r="D5792" s="475">
        <v>11.52</v>
      </c>
      <c r="E5792" s="476">
        <v>0.13329</v>
      </c>
      <c r="F5792" s="6">
        <v>0.6708</v>
      </c>
      <c r="G5792" s="6">
        <v>359.86</v>
      </c>
    </row>
    <row r="5793" ht="15.75" customHeight="1" spans="1:7">
      <c r="A5793" s="4" t="s">
        <v>12699</v>
      </c>
      <c r="B5793" s="5" t="s">
        <v>12700</v>
      </c>
      <c r="C5793" s="4" t="s">
        <v>99</v>
      </c>
      <c r="D5793" s="475">
        <v>3.91</v>
      </c>
      <c r="E5793" s="476">
        <v>0.13329</v>
      </c>
      <c r="F5793" s="6">
        <v>0.2045</v>
      </c>
      <c r="G5793" s="6">
        <v>286.19</v>
      </c>
    </row>
    <row r="5794" ht="15.75" customHeight="1" spans="1:7">
      <c r="A5794" s="4" t="s">
        <v>12701</v>
      </c>
      <c r="B5794" s="5" t="s">
        <v>12702</v>
      </c>
      <c r="C5794" s="4" t="s">
        <v>99</v>
      </c>
      <c r="D5794" s="475">
        <v>18.34</v>
      </c>
      <c r="E5794" s="476">
        <v>0.13329</v>
      </c>
      <c r="F5794" s="6">
        <v>1.0096</v>
      </c>
      <c r="G5794" s="6">
        <v>359.86</v>
      </c>
    </row>
    <row r="5795" ht="15.75" customHeight="1" spans="1:7">
      <c r="A5795" s="4" t="s">
        <v>12703</v>
      </c>
      <c r="B5795" s="5" t="s">
        <v>12704</v>
      </c>
      <c r="C5795" s="4" t="s">
        <v>99</v>
      </c>
      <c r="D5795" s="475">
        <v>21.07</v>
      </c>
      <c r="E5795" s="476">
        <v>0.13329</v>
      </c>
      <c r="F5795" s="6">
        <v>1.179</v>
      </c>
      <c r="G5795" s="6">
        <v>359.86</v>
      </c>
    </row>
    <row r="5796" ht="15.75" customHeight="1" spans="1:7">
      <c r="A5796" s="4" t="s">
        <v>12705</v>
      </c>
      <c r="B5796" s="5" t="s">
        <v>12706</v>
      </c>
      <c r="C5796" s="4" t="s">
        <v>99</v>
      </c>
      <c r="D5796" s="475">
        <v>4.66</v>
      </c>
      <c r="E5796" s="476">
        <v>0.16487</v>
      </c>
      <c r="F5796" s="6">
        <v>0.3125</v>
      </c>
      <c r="G5796" s="6">
        <v>110.13</v>
      </c>
    </row>
    <row r="5797" ht="15.75" customHeight="1" spans="1:7">
      <c r="A5797" s="4" t="s">
        <v>12707</v>
      </c>
      <c r="B5797" s="5" t="s">
        <v>12708</v>
      </c>
      <c r="C5797" s="4" t="s">
        <v>99</v>
      </c>
      <c r="D5797" s="475">
        <v>8.71</v>
      </c>
      <c r="E5797" s="476">
        <v>0</v>
      </c>
      <c r="F5797" s="6">
        <v>0</v>
      </c>
      <c r="G5797" s="6">
        <v>79.29</v>
      </c>
    </row>
    <row r="5798" ht="15.75" customHeight="1" spans="1:7">
      <c r="A5798" s="4" t="s">
        <v>12709</v>
      </c>
      <c r="B5798" s="5" t="s">
        <v>12710</v>
      </c>
      <c r="C5798" s="4" t="s">
        <v>7</v>
      </c>
      <c r="D5798" s="475">
        <v>0.82</v>
      </c>
      <c r="E5798" s="476">
        <v>0.16487</v>
      </c>
      <c r="F5798" s="6">
        <v>0.0552</v>
      </c>
      <c r="G5798" s="6">
        <v>622.95</v>
      </c>
    </row>
    <row r="5799" ht="15.75" customHeight="1" spans="1:7">
      <c r="A5799" s="4" t="s">
        <v>12711</v>
      </c>
      <c r="B5799" s="5" t="s">
        <v>12712</v>
      </c>
      <c r="C5799" s="4" t="s">
        <v>724</v>
      </c>
      <c r="D5799" s="475">
        <v>82.6</v>
      </c>
      <c r="E5799" s="476">
        <v>0.13329</v>
      </c>
      <c r="F5799" s="6">
        <v>4.5092</v>
      </c>
      <c r="G5799" s="6">
        <v>4.3575</v>
      </c>
    </row>
    <row r="5800" ht="15.75" customHeight="1" spans="1:7">
      <c r="A5800" s="4" t="s">
        <v>12713</v>
      </c>
      <c r="B5800" s="5" t="s">
        <v>12714</v>
      </c>
      <c r="C5800" s="4" t="s">
        <v>7</v>
      </c>
      <c r="D5800" s="475">
        <v>96.09</v>
      </c>
      <c r="E5800" s="476">
        <v>0</v>
      </c>
      <c r="F5800" s="6">
        <v>0</v>
      </c>
      <c r="G5800" s="6">
        <v>8.3</v>
      </c>
    </row>
    <row r="5801" ht="15.75" customHeight="1" spans="1:7">
      <c r="A5801" s="4" t="s">
        <v>12715</v>
      </c>
      <c r="B5801" s="5" t="s">
        <v>12716</v>
      </c>
      <c r="C5801" s="4" t="s">
        <v>724</v>
      </c>
      <c r="D5801" s="475">
        <v>327.28</v>
      </c>
      <c r="E5801" s="476">
        <v>0</v>
      </c>
      <c r="F5801" s="6">
        <v>0</v>
      </c>
      <c r="G5801" s="6">
        <v>1.11011</v>
      </c>
    </row>
    <row r="5802" ht="30" customHeight="1" spans="1:7">
      <c r="A5802" s="4" t="s">
        <v>12717</v>
      </c>
      <c r="B5802" s="5" t="s">
        <v>12718</v>
      </c>
      <c r="C5802" s="4" t="s">
        <v>9</v>
      </c>
      <c r="D5802" s="475">
        <v>116.57</v>
      </c>
      <c r="E5802" s="476">
        <v>0.13329</v>
      </c>
      <c r="F5802" s="6">
        <v>2.8201</v>
      </c>
      <c r="G5802" s="6">
        <v>14.34</v>
      </c>
    </row>
    <row r="5803" ht="30" customHeight="1" spans="1:7">
      <c r="A5803" s="4" t="s">
        <v>12719</v>
      </c>
      <c r="B5803" s="5" t="s">
        <v>12720</v>
      </c>
      <c r="C5803" s="4" t="s">
        <v>9</v>
      </c>
      <c r="D5803" s="475">
        <v>111.62</v>
      </c>
      <c r="E5803" s="476">
        <v>0.13329</v>
      </c>
      <c r="F5803" s="6">
        <v>3.0475</v>
      </c>
      <c r="G5803" s="6">
        <v>14.34</v>
      </c>
    </row>
    <row r="5804" ht="30" customHeight="1" spans="1:7">
      <c r="A5804" s="4" t="s">
        <v>12721</v>
      </c>
      <c r="B5804" s="5" t="s">
        <v>12722</v>
      </c>
      <c r="C5804" s="4" t="s">
        <v>9</v>
      </c>
      <c r="D5804" s="475">
        <v>125.03</v>
      </c>
      <c r="E5804" s="476">
        <v>0.13329</v>
      </c>
      <c r="F5804" s="6">
        <v>2.8201</v>
      </c>
      <c r="G5804" s="6">
        <v>14.34</v>
      </c>
    </row>
    <row r="5805" ht="30" customHeight="1" spans="1:7">
      <c r="A5805" s="4" t="s">
        <v>12723</v>
      </c>
      <c r="B5805" s="5" t="s">
        <v>12724</v>
      </c>
      <c r="C5805" s="4" t="s">
        <v>9</v>
      </c>
      <c r="D5805" s="475">
        <v>138.81</v>
      </c>
      <c r="E5805" s="476">
        <v>0.13329</v>
      </c>
      <c r="F5805" s="6">
        <v>2.8201</v>
      </c>
      <c r="G5805" s="6">
        <v>14.34</v>
      </c>
    </row>
    <row r="5806" ht="30" customHeight="1" spans="1:7">
      <c r="A5806" s="4" t="s">
        <v>12725</v>
      </c>
      <c r="B5806" s="5" t="s">
        <v>12726</v>
      </c>
      <c r="C5806" s="4" t="s">
        <v>9</v>
      </c>
      <c r="D5806" s="475">
        <v>156.18</v>
      </c>
      <c r="E5806" s="476">
        <v>0.13329</v>
      </c>
      <c r="F5806" s="6">
        <v>3.1514</v>
      </c>
      <c r="G5806" s="6">
        <v>3.83077</v>
      </c>
    </row>
    <row r="5807" ht="15.75" customHeight="1" spans="1:7">
      <c r="A5807" s="4" t="s">
        <v>12727</v>
      </c>
      <c r="B5807" s="5" t="s">
        <v>12728</v>
      </c>
      <c r="C5807" s="4" t="s">
        <v>9</v>
      </c>
      <c r="D5807" s="475">
        <v>61.21</v>
      </c>
      <c r="E5807" s="476">
        <v>0.13329</v>
      </c>
      <c r="F5807" s="6">
        <v>2.3762</v>
      </c>
      <c r="G5807" s="6">
        <v>14.78</v>
      </c>
    </row>
    <row r="5808" ht="15.75" customHeight="1" spans="1:7">
      <c r="A5808" s="4" t="s">
        <v>12729</v>
      </c>
      <c r="B5808" s="5" t="s">
        <v>12730</v>
      </c>
      <c r="C5808" s="4" t="s">
        <v>9</v>
      </c>
      <c r="D5808" s="475">
        <v>65.54</v>
      </c>
      <c r="E5808" s="476">
        <v>0.13329</v>
      </c>
      <c r="F5808" s="6">
        <v>2.3726</v>
      </c>
      <c r="G5808" s="6">
        <v>14.82</v>
      </c>
    </row>
    <row r="5809" ht="15.75" customHeight="1" spans="1:7">
      <c r="A5809" s="4" t="s">
        <v>12731</v>
      </c>
      <c r="B5809" s="5" t="s">
        <v>12732</v>
      </c>
      <c r="C5809" s="4" t="s">
        <v>9</v>
      </c>
      <c r="D5809" s="475">
        <v>72.06</v>
      </c>
      <c r="E5809" s="476">
        <v>0.13329</v>
      </c>
      <c r="F5809" s="6">
        <v>2.3653</v>
      </c>
      <c r="G5809" s="6">
        <v>14.91</v>
      </c>
    </row>
    <row r="5810" ht="15.75" customHeight="1" spans="1:7">
      <c r="A5810" s="4" t="s">
        <v>12733</v>
      </c>
      <c r="B5810" s="5" t="s">
        <v>12734</v>
      </c>
      <c r="C5810" s="4" t="s">
        <v>9</v>
      </c>
      <c r="D5810" s="475">
        <v>50.23</v>
      </c>
      <c r="E5810" s="476">
        <v>0.13329</v>
      </c>
      <c r="F5810" s="6">
        <v>1.9858</v>
      </c>
      <c r="G5810" s="6">
        <v>19.92</v>
      </c>
    </row>
    <row r="5811" ht="15.75" customHeight="1" spans="1:7">
      <c r="A5811" s="4" t="s">
        <v>12735</v>
      </c>
      <c r="B5811" s="5" t="s">
        <v>12736</v>
      </c>
      <c r="C5811" s="4" t="s">
        <v>9</v>
      </c>
      <c r="D5811" s="475">
        <v>82.63</v>
      </c>
      <c r="E5811" s="476">
        <v>0.13329</v>
      </c>
      <c r="F5811" s="6">
        <v>2.3829</v>
      </c>
      <c r="G5811" s="6">
        <v>16.6</v>
      </c>
    </row>
    <row r="5812" ht="15.75" customHeight="1" spans="1:7">
      <c r="A5812" s="4" t="s">
        <v>12737</v>
      </c>
      <c r="B5812" s="5" t="s">
        <v>12738</v>
      </c>
      <c r="C5812" s="4" t="s">
        <v>9</v>
      </c>
      <c r="D5812" s="475">
        <v>32.61</v>
      </c>
      <c r="E5812" s="476">
        <v>0.13329</v>
      </c>
      <c r="F5812" s="6">
        <v>1.9858</v>
      </c>
      <c r="G5812" s="6">
        <v>19.92</v>
      </c>
    </row>
    <row r="5813" ht="15.75" customHeight="1" spans="1:7">
      <c r="A5813" s="4" t="s">
        <v>12739</v>
      </c>
      <c r="B5813" s="5" t="s">
        <v>12740</v>
      </c>
      <c r="C5813" s="4" t="s">
        <v>9</v>
      </c>
      <c r="D5813" s="475">
        <v>39.17</v>
      </c>
      <c r="E5813" s="476">
        <v>0.13329</v>
      </c>
      <c r="F5813" s="6">
        <v>2.3829</v>
      </c>
      <c r="G5813" s="6">
        <v>16.6</v>
      </c>
    </row>
    <row r="5814" ht="15.75" customHeight="1" spans="1:7">
      <c r="A5814" s="4" t="s">
        <v>12741</v>
      </c>
      <c r="B5814" s="5" t="s">
        <v>12742</v>
      </c>
      <c r="C5814" s="4" t="s">
        <v>9</v>
      </c>
      <c r="D5814" s="475">
        <v>87.4</v>
      </c>
      <c r="E5814" s="476">
        <v>0.13329</v>
      </c>
      <c r="F5814" s="6">
        <v>4.7659</v>
      </c>
      <c r="G5814" s="6">
        <v>8.3</v>
      </c>
    </row>
    <row r="5815" ht="15.75" customHeight="1" spans="1:7">
      <c r="A5815" s="4" t="s">
        <v>12743</v>
      </c>
      <c r="B5815" s="5" t="s">
        <v>12744</v>
      </c>
      <c r="C5815" s="4" t="s">
        <v>7</v>
      </c>
      <c r="D5815" s="475">
        <v>49.86</v>
      </c>
      <c r="E5815" s="476">
        <v>0</v>
      </c>
      <c r="F5815" s="6">
        <v>0</v>
      </c>
      <c r="G5815" s="6">
        <v>5.44858</v>
      </c>
    </row>
    <row r="5816" ht="30" customHeight="1" spans="1:7">
      <c r="A5816" s="4" t="s">
        <v>12745</v>
      </c>
      <c r="B5816" s="5" t="s">
        <v>12746</v>
      </c>
      <c r="C5816" s="4" t="s">
        <v>82</v>
      </c>
      <c r="D5816" s="475">
        <v>1099.52</v>
      </c>
      <c r="E5816" s="476">
        <v>0.11084</v>
      </c>
      <c r="F5816" s="6">
        <v>8.639</v>
      </c>
      <c r="G5816" s="6">
        <v>1.70256</v>
      </c>
    </row>
    <row r="5817" ht="30" customHeight="1" spans="1:7">
      <c r="A5817" s="4" t="s">
        <v>12747</v>
      </c>
      <c r="B5817" s="5" t="s">
        <v>12748</v>
      </c>
      <c r="C5817" s="4" t="s">
        <v>82</v>
      </c>
      <c r="D5817" s="475">
        <v>1266.99</v>
      </c>
      <c r="E5817" s="476">
        <v>0.11084</v>
      </c>
      <c r="F5817" s="6">
        <v>9.0821</v>
      </c>
      <c r="G5817" s="6">
        <v>1.61951</v>
      </c>
    </row>
    <row r="5818" ht="30" customHeight="1" spans="1:7">
      <c r="A5818" s="4" t="s">
        <v>12749</v>
      </c>
      <c r="B5818" s="5" t="s">
        <v>12750</v>
      </c>
      <c r="C5818" s="4" t="s">
        <v>82</v>
      </c>
      <c r="D5818" s="475">
        <v>829.02</v>
      </c>
      <c r="E5818" s="476">
        <v>0.11084</v>
      </c>
      <c r="F5818" s="6">
        <v>7.6836</v>
      </c>
      <c r="G5818" s="6">
        <v>1.89714</v>
      </c>
    </row>
    <row r="5819" ht="30" customHeight="1" spans="1:7">
      <c r="A5819" s="4" t="s">
        <v>12751</v>
      </c>
      <c r="B5819" s="5" t="s">
        <v>12752</v>
      </c>
      <c r="C5819" s="4" t="s">
        <v>82</v>
      </c>
      <c r="D5819" s="475">
        <v>935.9</v>
      </c>
      <c r="E5819" s="476">
        <v>0.11084</v>
      </c>
      <c r="F5819" s="6">
        <v>8.196</v>
      </c>
      <c r="G5819" s="6">
        <v>1.79459</v>
      </c>
    </row>
    <row r="5820" ht="30" customHeight="1" spans="1:7">
      <c r="A5820" s="4" t="s">
        <v>12753</v>
      </c>
      <c r="B5820" s="5" t="s">
        <v>12754</v>
      </c>
      <c r="C5820" s="4" t="s">
        <v>82</v>
      </c>
      <c r="D5820" s="475">
        <v>578.02</v>
      </c>
      <c r="E5820" s="476">
        <v>0.11084</v>
      </c>
      <c r="F5820" s="6">
        <v>6.474</v>
      </c>
      <c r="G5820" s="6">
        <v>2.2382</v>
      </c>
    </row>
    <row r="5821" ht="30" customHeight="1" spans="1:7">
      <c r="A5821" s="4" t="s">
        <v>12755</v>
      </c>
      <c r="B5821" s="5" t="s">
        <v>12756</v>
      </c>
      <c r="C5821" s="4" t="s">
        <v>82</v>
      </c>
      <c r="D5821" s="475">
        <v>578.02</v>
      </c>
      <c r="E5821" s="476">
        <v>0.11084</v>
      </c>
      <c r="F5821" s="6">
        <v>6.474</v>
      </c>
      <c r="G5821" s="6">
        <v>2.2382</v>
      </c>
    </row>
    <row r="5822" ht="30" customHeight="1" spans="1:7">
      <c r="A5822" s="4" t="s">
        <v>12757</v>
      </c>
      <c r="B5822" s="5" t="s">
        <v>12758</v>
      </c>
      <c r="C5822" s="4" t="s">
        <v>82</v>
      </c>
      <c r="D5822" s="475">
        <v>616.49</v>
      </c>
      <c r="E5822" s="476">
        <v>0.11084</v>
      </c>
      <c r="F5822" s="6">
        <v>6.5127</v>
      </c>
      <c r="G5822" s="6">
        <v>2.2382</v>
      </c>
    </row>
    <row r="5823" ht="30" customHeight="1" spans="1:7">
      <c r="A5823" s="4" t="s">
        <v>12759</v>
      </c>
      <c r="B5823" s="5" t="s">
        <v>12760</v>
      </c>
      <c r="C5823" s="4" t="s">
        <v>82</v>
      </c>
      <c r="D5823" s="475">
        <v>745.22</v>
      </c>
      <c r="E5823" s="476">
        <v>0.11084</v>
      </c>
      <c r="F5823" s="6">
        <v>6.5127</v>
      </c>
      <c r="G5823" s="6">
        <v>2.2382</v>
      </c>
    </row>
    <row r="5824" ht="30" customHeight="1" spans="1:7">
      <c r="A5824" s="4" t="s">
        <v>12761</v>
      </c>
      <c r="B5824" s="5" t="s">
        <v>12762</v>
      </c>
      <c r="C5824" s="4" t="s">
        <v>82</v>
      </c>
      <c r="D5824" s="475">
        <v>865.75</v>
      </c>
      <c r="E5824" s="476">
        <v>0.11084</v>
      </c>
      <c r="F5824" s="6">
        <v>6.5127</v>
      </c>
      <c r="G5824" s="6">
        <v>2.2382</v>
      </c>
    </row>
    <row r="5825" ht="30" customHeight="1" spans="1:7">
      <c r="A5825" s="4" t="s">
        <v>12763</v>
      </c>
      <c r="B5825" s="5" t="s">
        <v>12764</v>
      </c>
      <c r="C5825" s="4" t="s">
        <v>82</v>
      </c>
      <c r="D5825" s="475">
        <v>514.95</v>
      </c>
      <c r="E5825" s="476">
        <v>0.11084</v>
      </c>
      <c r="F5825" s="6">
        <v>6.474</v>
      </c>
      <c r="G5825" s="6">
        <v>2.2382</v>
      </c>
    </row>
    <row r="5826" ht="30" customHeight="1" spans="1:7">
      <c r="A5826" s="4" t="s">
        <v>12765</v>
      </c>
      <c r="B5826" s="5" t="s">
        <v>12766</v>
      </c>
      <c r="C5826" s="4" t="s">
        <v>82</v>
      </c>
      <c r="D5826" s="475">
        <v>574.73</v>
      </c>
      <c r="E5826" s="476">
        <v>0.11084</v>
      </c>
      <c r="F5826" s="6">
        <v>6.474</v>
      </c>
      <c r="G5826" s="6">
        <v>2.2382</v>
      </c>
    </row>
    <row r="5827" ht="30" customHeight="1" spans="1:7">
      <c r="A5827" s="4" t="s">
        <v>12767</v>
      </c>
      <c r="B5827" s="5" t="s">
        <v>12768</v>
      </c>
      <c r="C5827" s="4" t="s">
        <v>82</v>
      </c>
      <c r="D5827" s="475">
        <v>600.3</v>
      </c>
      <c r="E5827" s="476">
        <v>0.11084</v>
      </c>
      <c r="F5827" s="6">
        <v>6.5127</v>
      </c>
      <c r="G5827" s="6">
        <v>2.2382</v>
      </c>
    </row>
    <row r="5828" ht="30" customHeight="1" spans="1:7">
      <c r="A5828" s="4" t="s">
        <v>12769</v>
      </c>
      <c r="B5828" s="5" t="s">
        <v>12770</v>
      </c>
      <c r="C5828" s="4" t="s">
        <v>82</v>
      </c>
      <c r="D5828" s="475">
        <v>616.49</v>
      </c>
      <c r="E5828" s="476">
        <v>0.11084</v>
      </c>
      <c r="F5828" s="6">
        <v>6.5127</v>
      </c>
      <c r="G5828" s="6">
        <v>2.2382</v>
      </c>
    </row>
    <row r="5829" ht="30" customHeight="1" spans="1:7">
      <c r="A5829" s="4" t="s">
        <v>12771</v>
      </c>
      <c r="B5829" s="5" t="s">
        <v>12772</v>
      </c>
      <c r="C5829" s="4" t="s">
        <v>82</v>
      </c>
      <c r="D5829" s="475">
        <v>691.56</v>
      </c>
      <c r="E5829" s="476">
        <v>0.11084</v>
      </c>
      <c r="F5829" s="6">
        <v>6.5127</v>
      </c>
      <c r="G5829" s="6">
        <v>2.2382</v>
      </c>
    </row>
    <row r="5830" ht="30" customHeight="1" spans="1:7">
      <c r="A5830" s="4" t="s">
        <v>12773</v>
      </c>
      <c r="B5830" s="5" t="s">
        <v>12774</v>
      </c>
      <c r="C5830" s="4" t="s">
        <v>82</v>
      </c>
      <c r="D5830" s="475">
        <v>865.75</v>
      </c>
      <c r="E5830" s="476">
        <v>0.11084</v>
      </c>
      <c r="F5830" s="6">
        <v>6.5127</v>
      </c>
      <c r="G5830" s="6">
        <v>2.2382</v>
      </c>
    </row>
    <row r="5831" ht="30" customHeight="1" spans="1:7">
      <c r="A5831" s="4" t="s">
        <v>12775</v>
      </c>
      <c r="B5831" s="5" t="s">
        <v>12776</v>
      </c>
      <c r="C5831" s="4" t="s">
        <v>82</v>
      </c>
      <c r="D5831" s="475">
        <v>1126.57</v>
      </c>
      <c r="E5831" s="476">
        <v>0.11084</v>
      </c>
      <c r="F5831" s="6">
        <v>6.5127</v>
      </c>
      <c r="G5831" s="6">
        <v>2.2382</v>
      </c>
    </row>
    <row r="5832" ht="30" customHeight="1" spans="1:7">
      <c r="A5832" s="4" t="s">
        <v>12777</v>
      </c>
      <c r="B5832" s="5" t="s">
        <v>12778</v>
      </c>
      <c r="C5832" s="4" t="s">
        <v>82</v>
      </c>
      <c r="D5832" s="475">
        <v>1275.93</v>
      </c>
      <c r="E5832" s="476">
        <v>0.11084</v>
      </c>
      <c r="F5832" s="6">
        <v>6.5716</v>
      </c>
      <c r="G5832" s="6">
        <v>2.2382</v>
      </c>
    </row>
    <row r="5833" ht="30" customHeight="1" spans="1:7">
      <c r="A5833" s="4" t="s">
        <v>12779</v>
      </c>
      <c r="B5833" s="5" t="s">
        <v>12780</v>
      </c>
      <c r="C5833" s="4" t="s">
        <v>82</v>
      </c>
      <c r="D5833" s="475">
        <v>2030.9</v>
      </c>
      <c r="E5833" s="476">
        <v>0.11084</v>
      </c>
      <c r="F5833" s="6">
        <v>6.5716</v>
      </c>
      <c r="G5833" s="6">
        <v>2.2382</v>
      </c>
    </row>
    <row r="5834" ht="30" customHeight="1" spans="1:7">
      <c r="A5834" s="4" t="s">
        <v>12781</v>
      </c>
      <c r="B5834" s="5" t="s">
        <v>12782</v>
      </c>
      <c r="C5834" s="4" t="s">
        <v>82</v>
      </c>
      <c r="D5834" s="475">
        <v>3098.89</v>
      </c>
      <c r="E5834" s="476">
        <v>0.11084</v>
      </c>
      <c r="F5834" s="6">
        <v>6.5716</v>
      </c>
      <c r="G5834" s="6">
        <v>2.2382</v>
      </c>
    </row>
    <row r="5835" ht="30" customHeight="1" spans="1:7">
      <c r="A5835" s="4" t="s">
        <v>12783</v>
      </c>
      <c r="B5835" s="5" t="s">
        <v>12784</v>
      </c>
      <c r="C5835" s="4" t="s">
        <v>9</v>
      </c>
      <c r="D5835" s="475">
        <v>160.8</v>
      </c>
      <c r="E5835" s="476">
        <v>0.13329</v>
      </c>
      <c r="F5835" s="6">
        <v>1.9555</v>
      </c>
      <c r="G5835" s="6">
        <v>81.53</v>
      </c>
    </row>
    <row r="5836" ht="30" customHeight="1" spans="1:7">
      <c r="A5836" s="4" t="s">
        <v>12785</v>
      </c>
      <c r="B5836" s="5" t="s">
        <v>12786</v>
      </c>
      <c r="C5836" s="4" t="s">
        <v>9</v>
      </c>
      <c r="D5836" s="475">
        <v>175.64</v>
      </c>
      <c r="E5836" s="476">
        <v>0.13329</v>
      </c>
      <c r="F5836" s="6">
        <v>1.9555</v>
      </c>
      <c r="G5836" s="6">
        <v>81.53</v>
      </c>
    </row>
    <row r="5837" ht="30" customHeight="1" spans="1:7">
      <c r="A5837" s="4" t="s">
        <v>12787</v>
      </c>
      <c r="B5837" s="5" t="s">
        <v>12788</v>
      </c>
      <c r="C5837" s="4" t="s">
        <v>9</v>
      </c>
      <c r="D5837" s="475">
        <v>180.85</v>
      </c>
      <c r="E5837" s="476">
        <v>0.13329</v>
      </c>
      <c r="F5837" s="6">
        <v>1.9555</v>
      </c>
      <c r="G5837" s="6">
        <v>81.53</v>
      </c>
    </row>
    <row r="5838" ht="30" customHeight="1" spans="1:7">
      <c r="A5838" s="4" t="s">
        <v>12789</v>
      </c>
      <c r="B5838" s="5" t="s">
        <v>12790</v>
      </c>
      <c r="C5838" s="4" t="s">
        <v>9</v>
      </c>
      <c r="D5838" s="475">
        <v>201.75</v>
      </c>
      <c r="E5838" s="476">
        <v>0.13329</v>
      </c>
      <c r="F5838" s="6">
        <v>1.9555</v>
      </c>
      <c r="G5838" s="6">
        <v>81.53</v>
      </c>
    </row>
    <row r="5839" ht="30" customHeight="1" spans="1:7">
      <c r="A5839" s="4" t="s">
        <v>12791</v>
      </c>
      <c r="B5839" s="5" t="s">
        <v>12792</v>
      </c>
      <c r="C5839" s="4" t="s">
        <v>9</v>
      </c>
      <c r="D5839" s="475">
        <v>294.52</v>
      </c>
      <c r="E5839" s="476">
        <v>0.13329</v>
      </c>
      <c r="F5839" s="6">
        <v>1.9555</v>
      </c>
      <c r="G5839" s="6">
        <v>81.53</v>
      </c>
    </row>
    <row r="5840" ht="30" customHeight="1" spans="1:7">
      <c r="A5840" s="4" t="s">
        <v>12793</v>
      </c>
      <c r="B5840" s="5" t="s">
        <v>12794</v>
      </c>
      <c r="C5840" s="4" t="s">
        <v>9</v>
      </c>
      <c r="D5840" s="475">
        <v>376.46</v>
      </c>
      <c r="E5840" s="476">
        <v>0.13329</v>
      </c>
      <c r="F5840" s="6">
        <v>1.9555</v>
      </c>
      <c r="G5840" s="6">
        <v>81.53</v>
      </c>
    </row>
    <row r="5841" ht="30" customHeight="1" spans="1:7">
      <c r="A5841" s="4" t="s">
        <v>12795</v>
      </c>
      <c r="B5841" s="5" t="s">
        <v>12796</v>
      </c>
      <c r="C5841" s="4" t="s">
        <v>9</v>
      </c>
      <c r="D5841" s="475">
        <v>277.53</v>
      </c>
      <c r="E5841" s="476">
        <v>0.11084</v>
      </c>
      <c r="F5841" s="6">
        <v>1.2654</v>
      </c>
      <c r="G5841" s="6">
        <v>7.85489</v>
      </c>
    </row>
    <row r="5842" ht="30" customHeight="1" spans="1:7">
      <c r="A5842" s="4" t="s">
        <v>12797</v>
      </c>
      <c r="B5842" s="5" t="s">
        <v>12798</v>
      </c>
      <c r="C5842" s="4" t="s">
        <v>9</v>
      </c>
      <c r="D5842" s="475">
        <v>318.84</v>
      </c>
      <c r="E5842" s="476">
        <v>0.11084</v>
      </c>
      <c r="F5842" s="6">
        <v>1.2654</v>
      </c>
      <c r="G5842" s="6">
        <v>7.85489</v>
      </c>
    </row>
    <row r="5843" ht="30" customHeight="1" spans="1:7">
      <c r="A5843" s="4" t="s">
        <v>12799</v>
      </c>
      <c r="B5843" s="5" t="s">
        <v>12800</v>
      </c>
      <c r="C5843" s="4" t="s">
        <v>9</v>
      </c>
      <c r="D5843" s="475">
        <v>387.96</v>
      </c>
      <c r="E5843" s="476">
        <v>0.11084</v>
      </c>
      <c r="F5843" s="6">
        <v>1.2654</v>
      </c>
      <c r="G5843" s="6">
        <v>7.85489</v>
      </c>
    </row>
    <row r="5844" ht="30" customHeight="1" spans="1:7">
      <c r="A5844" s="4" t="s">
        <v>12801</v>
      </c>
      <c r="B5844" s="5" t="s">
        <v>12802</v>
      </c>
      <c r="C5844" s="4" t="s">
        <v>9</v>
      </c>
      <c r="D5844" s="475">
        <v>511.77</v>
      </c>
      <c r="E5844" s="476">
        <v>0.11084</v>
      </c>
      <c r="F5844" s="6">
        <v>1.232</v>
      </c>
      <c r="G5844" s="6">
        <v>8.01932</v>
      </c>
    </row>
    <row r="5845" ht="30" customHeight="1" spans="1:7">
      <c r="A5845" s="4" t="s">
        <v>12803</v>
      </c>
      <c r="B5845" s="5" t="s">
        <v>12804</v>
      </c>
      <c r="C5845" s="4" t="s">
        <v>9</v>
      </c>
      <c r="D5845" s="475">
        <v>592.39</v>
      </c>
      <c r="E5845" s="476">
        <v>0.11084</v>
      </c>
      <c r="F5845" s="6">
        <v>1.232</v>
      </c>
      <c r="G5845" s="6">
        <v>8.01932</v>
      </c>
    </row>
    <row r="5846" ht="15.75" customHeight="1" spans="1:7">
      <c r="A5846" s="4" t="s">
        <v>12805</v>
      </c>
      <c r="B5846" s="5" t="s">
        <v>12806</v>
      </c>
      <c r="C5846" s="4" t="s">
        <v>9</v>
      </c>
      <c r="D5846" s="475">
        <v>224.36</v>
      </c>
      <c r="E5846" s="476">
        <v>0.11084</v>
      </c>
      <c r="F5846" s="6">
        <v>3.1249</v>
      </c>
      <c r="G5846" s="6">
        <v>3.78707</v>
      </c>
    </row>
    <row r="5847" ht="15.75" customHeight="1" spans="1:7">
      <c r="A5847" s="4" t="s">
        <v>12807</v>
      </c>
      <c r="B5847" s="5" t="s">
        <v>12808</v>
      </c>
      <c r="C5847" s="4" t="s">
        <v>9</v>
      </c>
      <c r="D5847" s="475">
        <v>240.84</v>
      </c>
      <c r="E5847" s="476">
        <v>0.11084</v>
      </c>
      <c r="F5847" s="6">
        <v>3.126</v>
      </c>
      <c r="G5847" s="6">
        <v>3.78707</v>
      </c>
    </row>
    <row r="5848" ht="15.75" customHeight="1" spans="1:7">
      <c r="A5848" s="4" t="s">
        <v>12809</v>
      </c>
      <c r="B5848" s="5" t="s">
        <v>12810</v>
      </c>
      <c r="C5848" s="4" t="s">
        <v>9</v>
      </c>
      <c r="D5848" s="475">
        <v>187.18</v>
      </c>
      <c r="E5848" s="476">
        <v>0.11084</v>
      </c>
      <c r="F5848" s="6">
        <v>3.1227</v>
      </c>
      <c r="G5848" s="6">
        <v>3.78707</v>
      </c>
    </row>
    <row r="5849" ht="15.75" customHeight="1" spans="1:7">
      <c r="A5849" s="4" t="s">
        <v>12811</v>
      </c>
      <c r="B5849" s="5" t="s">
        <v>12812</v>
      </c>
      <c r="C5849" s="4" t="s">
        <v>9</v>
      </c>
      <c r="D5849" s="475">
        <v>203.66</v>
      </c>
      <c r="E5849" s="476">
        <v>0.11084</v>
      </c>
      <c r="F5849" s="6">
        <v>3.1238</v>
      </c>
      <c r="G5849" s="6">
        <v>3.78707</v>
      </c>
    </row>
    <row r="5850" ht="15.75" customHeight="1" spans="1:7">
      <c r="A5850" s="4" t="s">
        <v>12813</v>
      </c>
      <c r="B5850" s="5" t="s">
        <v>12814</v>
      </c>
      <c r="C5850" s="4" t="s">
        <v>9</v>
      </c>
      <c r="D5850" s="475">
        <v>201.7</v>
      </c>
      <c r="E5850" s="476">
        <v>0.11084</v>
      </c>
      <c r="F5850" s="6">
        <v>1.2945</v>
      </c>
      <c r="G5850" s="6">
        <v>7.72093</v>
      </c>
    </row>
    <row r="5851" ht="15.75" customHeight="1" spans="1:7">
      <c r="A5851" s="4" t="s">
        <v>12815</v>
      </c>
      <c r="B5851" s="5" t="s">
        <v>12816</v>
      </c>
      <c r="C5851" s="4" t="s">
        <v>9</v>
      </c>
      <c r="D5851" s="475">
        <v>245.64</v>
      </c>
      <c r="E5851" s="476">
        <v>0.11084</v>
      </c>
      <c r="F5851" s="6">
        <v>3.0239</v>
      </c>
      <c r="G5851" s="6">
        <v>3.78707</v>
      </c>
    </row>
    <row r="5852" ht="15.75" customHeight="1" spans="1:7">
      <c r="A5852" s="4" t="s">
        <v>12817</v>
      </c>
      <c r="B5852" s="5" t="s">
        <v>12818</v>
      </c>
      <c r="C5852" s="4" t="s">
        <v>9</v>
      </c>
      <c r="D5852" s="475">
        <v>392.46</v>
      </c>
      <c r="E5852" s="476">
        <v>0.11084</v>
      </c>
      <c r="F5852" s="6">
        <v>3.0239</v>
      </c>
      <c r="G5852" s="6">
        <v>3.78707</v>
      </c>
    </row>
    <row r="5853" ht="15.75" customHeight="1" spans="1:7">
      <c r="A5853" s="4" t="s">
        <v>12819</v>
      </c>
      <c r="B5853" s="5" t="s">
        <v>12820</v>
      </c>
      <c r="C5853" s="4" t="s">
        <v>9</v>
      </c>
      <c r="D5853" s="475">
        <v>319.22</v>
      </c>
      <c r="E5853" s="476">
        <v>0.11084</v>
      </c>
      <c r="F5853" s="6">
        <v>1.2654</v>
      </c>
      <c r="G5853" s="6">
        <v>7.85489</v>
      </c>
    </row>
    <row r="5854" ht="15.75" customHeight="1" spans="1:7">
      <c r="A5854" s="4" t="s">
        <v>12821</v>
      </c>
      <c r="B5854" s="5" t="s">
        <v>12822</v>
      </c>
      <c r="C5854" s="4" t="s">
        <v>9</v>
      </c>
      <c r="D5854" s="475">
        <v>385.09</v>
      </c>
      <c r="E5854" s="476">
        <v>0.11084</v>
      </c>
      <c r="F5854" s="6">
        <v>1.2604</v>
      </c>
      <c r="G5854" s="6">
        <v>7.87975</v>
      </c>
    </row>
    <row r="5855" ht="15.75" customHeight="1" spans="1:7">
      <c r="A5855" s="4" t="s">
        <v>12823</v>
      </c>
      <c r="B5855" s="5" t="s">
        <v>12824</v>
      </c>
      <c r="C5855" s="4" t="s">
        <v>9</v>
      </c>
      <c r="D5855" s="475">
        <v>451.81</v>
      </c>
      <c r="E5855" s="476">
        <v>0.11084</v>
      </c>
      <c r="F5855" s="6">
        <v>1.232</v>
      </c>
      <c r="G5855" s="6">
        <v>8.01932</v>
      </c>
    </row>
    <row r="5856" ht="15.75" customHeight="1" spans="1:7">
      <c r="A5856" s="4" t="s">
        <v>12825</v>
      </c>
      <c r="B5856" s="5" t="s">
        <v>12826</v>
      </c>
      <c r="C5856" s="4" t="s">
        <v>9</v>
      </c>
      <c r="D5856" s="475">
        <v>420.72</v>
      </c>
      <c r="E5856" s="476">
        <v>0.11084</v>
      </c>
      <c r="F5856" s="6">
        <v>1.2271</v>
      </c>
      <c r="G5856" s="6">
        <v>8.04523</v>
      </c>
    </row>
    <row r="5857" ht="15.75" customHeight="1" spans="1:7">
      <c r="A5857" s="4" t="s">
        <v>12827</v>
      </c>
      <c r="B5857" s="5" t="s">
        <v>12828</v>
      </c>
      <c r="C5857" s="4" t="s">
        <v>9</v>
      </c>
      <c r="D5857" s="475">
        <v>609.78</v>
      </c>
      <c r="E5857" s="476">
        <v>0.11084</v>
      </c>
      <c r="F5857" s="6">
        <v>1.2217</v>
      </c>
      <c r="G5857" s="6">
        <v>8.07131</v>
      </c>
    </row>
    <row r="5858" ht="15.75" customHeight="1" spans="1:7">
      <c r="A5858" s="4" t="s">
        <v>12829</v>
      </c>
      <c r="B5858" s="5" t="s">
        <v>12830</v>
      </c>
      <c r="C5858" s="4" t="s">
        <v>9</v>
      </c>
      <c r="D5858" s="475">
        <v>746.32</v>
      </c>
      <c r="E5858" s="476">
        <v>0.11084</v>
      </c>
      <c r="F5858" s="6">
        <v>1.1882</v>
      </c>
      <c r="G5858" s="6">
        <v>8.24503</v>
      </c>
    </row>
    <row r="5859" ht="15.75" customHeight="1" spans="1:7">
      <c r="A5859" s="4" t="s">
        <v>12831</v>
      </c>
      <c r="B5859" s="5" t="s">
        <v>12832</v>
      </c>
      <c r="C5859" s="4" t="s">
        <v>9</v>
      </c>
      <c r="D5859" s="475">
        <v>904.99</v>
      </c>
      <c r="E5859" s="476">
        <v>0.11084</v>
      </c>
      <c r="F5859" s="6">
        <v>1.1776</v>
      </c>
      <c r="G5859" s="6">
        <v>8.3</v>
      </c>
    </row>
    <row r="5860" ht="30" customHeight="1" spans="1:7">
      <c r="A5860" s="4" t="s">
        <v>12833</v>
      </c>
      <c r="B5860" s="5" t="s">
        <v>12834</v>
      </c>
      <c r="C5860" s="4" t="s">
        <v>9885</v>
      </c>
      <c r="D5860" s="475">
        <v>28.02</v>
      </c>
      <c r="E5860" s="476">
        <v>0.04722</v>
      </c>
      <c r="F5860" s="6">
        <v>0.5428</v>
      </c>
      <c r="G5860" s="6">
        <v>37.44</v>
      </c>
    </row>
    <row r="5861" ht="30" customHeight="1" spans="1:7">
      <c r="A5861" s="4" t="s">
        <v>12835</v>
      </c>
      <c r="B5861" s="5" t="s">
        <v>12836</v>
      </c>
      <c r="C5861" s="4" t="s">
        <v>9885</v>
      </c>
      <c r="D5861" s="475">
        <v>5.94</v>
      </c>
      <c r="E5861" s="476">
        <v>0</v>
      </c>
      <c r="F5861" s="6">
        <v>0</v>
      </c>
      <c r="G5861" s="6">
        <v>457.16</v>
      </c>
    </row>
    <row r="5862" ht="30" customHeight="1" spans="1:7">
      <c r="A5862" s="4" t="s">
        <v>12837</v>
      </c>
      <c r="B5862" s="5" t="s">
        <v>12838</v>
      </c>
      <c r="C5862" s="4" t="s">
        <v>9885</v>
      </c>
      <c r="D5862" s="475">
        <v>6.09</v>
      </c>
      <c r="E5862" s="476">
        <v>0</v>
      </c>
      <c r="F5862" s="6">
        <v>0</v>
      </c>
      <c r="G5862" s="6">
        <v>457.16</v>
      </c>
    </row>
    <row r="5863" ht="30" customHeight="1" spans="1:7">
      <c r="A5863" s="4" t="s">
        <v>12839</v>
      </c>
      <c r="B5863" s="5" t="s">
        <v>12840</v>
      </c>
      <c r="C5863" s="4" t="s">
        <v>9885</v>
      </c>
      <c r="D5863" s="475">
        <v>11.41</v>
      </c>
      <c r="E5863" s="476">
        <v>0</v>
      </c>
      <c r="F5863" s="6">
        <v>0</v>
      </c>
      <c r="G5863" s="6">
        <v>282.5</v>
      </c>
    </row>
    <row r="5864" ht="30" customHeight="1" spans="1:7">
      <c r="A5864" s="4" t="s">
        <v>12841</v>
      </c>
      <c r="B5864" s="5" t="s">
        <v>12842</v>
      </c>
      <c r="C5864" s="4" t="s">
        <v>9885</v>
      </c>
      <c r="D5864" s="475">
        <v>10.22</v>
      </c>
      <c r="E5864" s="476">
        <v>0</v>
      </c>
      <c r="F5864" s="6">
        <v>0</v>
      </c>
      <c r="G5864" s="6">
        <v>304.24</v>
      </c>
    </row>
    <row r="5865" ht="30" customHeight="1" spans="1:7">
      <c r="A5865" s="4" t="s">
        <v>12843</v>
      </c>
      <c r="B5865" s="5" t="s">
        <v>12844</v>
      </c>
      <c r="C5865" s="4" t="s">
        <v>9885</v>
      </c>
      <c r="D5865" s="475">
        <v>10.35</v>
      </c>
      <c r="E5865" s="476">
        <v>0</v>
      </c>
      <c r="F5865" s="6">
        <v>0</v>
      </c>
      <c r="G5865" s="6">
        <v>311.48</v>
      </c>
    </row>
    <row r="5866" ht="30" customHeight="1" spans="1:7">
      <c r="A5866" s="4" t="s">
        <v>12845</v>
      </c>
      <c r="B5866" s="5" t="s">
        <v>12846</v>
      </c>
      <c r="C5866" s="4" t="s">
        <v>82</v>
      </c>
      <c r="D5866" s="475">
        <v>6470.92</v>
      </c>
      <c r="E5866" s="476">
        <v>0</v>
      </c>
      <c r="F5866" s="6">
        <v>0</v>
      </c>
      <c r="G5866" s="6">
        <v>1.38334</v>
      </c>
    </row>
    <row r="5867" ht="30" customHeight="1" spans="1:7">
      <c r="A5867" s="4" t="s">
        <v>12847</v>
      </c>
      <c r="B5867" s="5" t="s">
        <v>12848</v>
      </c>
      <c r="C5867" s="4" t="s">
        <v>82</v>
      </c>
      <c r="D5867" s="475">
        <v>5597.2</v>
      </c>
      <c r="E5867" s="476">
        <v>0</v>
      </c>
      <c r="F5867" s="6">
        <v>0</v>
      </c>
      <c r="G5867" s="6">
        <v>1.38334</v>
      </c>
    </row>
    <row r="5868" ht="30" customHeight="1" spans="1:7">
      <c r="A5868" s="4" t="s">
        <v>12849</v>
      </c>
      <c r="B5868" s="5" t="s">
        <v>12850</v>
      </c>
      <c r="C5868" s="4" t="s">
        <v>82</v>
      </c>
      <c r="D5868" s="475">
        <v>3859.82</v>
      </c>
      <c r="E5868" s="476">
        <v>0</v>
      </c>
      <c r="F5868" s="6">
        <v>0</v>
      </c>
      <c r="G5868" s="6">
        <v>1.66</v>
      </c>
    </row>
    <row r="5869" ht="15.75" customHeight="1" spans="1:7">
      <c r="A5869" s="4" t="s">
        <v>12851</v>
      </c>
      <c r="B5869" s="5" t="s">
        <v>12852</v>
      </c>
      <c r="C5869" s="4" t="s">
        <v>82</v>
      </c>
      <c r="D5869" s="475">
        <v>3374.14</v>
      </c>
      <c r="E5869" s="476">
        <v>0</v>
      </c>
      <c r="F5869" s="6">
        <v>0</v>
      </c>
      <c r="G5869" s="6">
        <v>1.66</v>
      </c>
    </row>
    <row r="5870" ht="30" customHeight="1" spans="1:7">
      <c r="A5870" s="4" t="s">
        <v>12853</v>
      </c>
      <c r="B5870" s="5" t="s">
        <v>12854</v>
      </c>
      <c r="C5870" s="4" t="s">
        <v>9885</v>
      </c>
      <c r="D5870" s="475">
        <v>2.7</v>
      </c>
      <c r="E5870" s="476">
        <v>0.04722</v>
      </c>
      <c r="F5870" s="6">
        <v>0.0378</v>
      </c>
      <c r="G5870" s="6">
        <v>457.16</v>
      </c>
    </row>
    <row r="5871" ht="30" customHeight="1" spans="1:7">
      <c r="A5871" s="4" t="s">
        <v>12855</v>
      </c>
      <c r="B5871" s="5" t="s">
        <v>12856</v>
      </c>
      <c r="C5871" s="4" t="s">
        <v>9885</v>
      </c>
      <c r="D5871" s="475">
        <v>8.17</v>
      </c>
      <c r="E5871" s="476">
        <v>0.04722</v>
      </c>
      <c r="F5871" s="6">
        <v>0.1134</v>
      </c>
      <c r="G5871" s="6">
        <v>457.16</v>
      </c>
    </row>
    <row r="5872" ht="30" customHeight="1" spans="1:7">
      <c r="A5872" s="4" t="s">
        <v>12857</v>
      </c>
      <c r="B5872" s="5" t="s">
        <v>12858</v>
      </c>
      <c r="C5872" s="4" t="s">
        <v>9885</v>
      </c>
      <c r="D5872" s="475">
        <v>1.88</v>
      </c>
      <c r="E5872" s="476">
        <v>0.04722</v>
      </c>
      <c r="F5872" s="6">
        <v>0.0284</v>
      </c>
      <c r="G5872" s="6">
        <v>457.16</v>
      </c>
    </row>
    <row r="5873" ht="30" customHeight="1" spans="1:7">
      <c r="A5873" s="4" t="s">
        <v>12859</v>
      </c>
      <c r="B5873" s="5" t="s">
        <v>12860</v>
      </c>
      <c r="C5873" s="4" t="s">
        <v>9885</v>
      </c>
      <c r="D5873" s="475">
        <v>3.88</v>
      </c>
      <c r="E5873" s="476">
        <v>0.04722</v>
      </c>
      <c r="F5873" s="6">
        <v>0.0642</v>
      </c>
      <c r="G5873" s="6">
        <v>457.16</v>
      </c>
    </row>
    <row r="5874" ht="30" customHeight="1" spans="1:7">
      <c r="A5874" s="4" t="s">
        <v>12861</v>
      </c>
      <c r="B5874" s="5" t="s">
        <v>12862</v>
      </c>
      <c r="C5874" s="4" t="s">
        <v>9885</v>
      </c>
      <c r="D5874" s="475">
        <v>9.34</v>
      </c>
      <c r="E5874" s="476">
        <v>0.04722</v>
      </c>
      <c r="F5874" s="6">
        <v>0.1398</v>
      </c>
      <c r="G5874" s="6">
        <v>457.16</v>
      </c>
    </row>
    <row r="5875" ht="30" customHeight="1" spans="1:7">
      <c r="A5875" s="4" t="s">
        <v>12863</v>
      </c>
      <c r="B5875" s="5" t="s">
        <v>12864</v>
      </c>
      <c r="C5875" s="4" t="s">
        <v>9885</v>
      </c>
      <c r="D5875" s="475">
        <v>3.05</v>
      </c>
      <c r="E5875" s="476">
        <v>0.04722</v>
      </c>
      <c r="F5875" s="6">
        <v>0.0548</v>
      </c>
      <c r="G5875" s="6">
        <v>457.16</v>
      </c>
    </row>
    <row r="5876" ht="30" customHeight="1" spans="1:7">
      <c r="A5876" s="4" t="s">
        <v>12865</v>
      </c>
      <c r="B5876" s="5" t="s">
        <v>12866</v>
      </c>
      <c r="C5876" s="4" t="s">
        <v>9885</v>
      </c>
      <c r="D5876" s="475">
        <v>1.96</v>
      </c>
      <c r="E5876" s="476">
        <v>0.04722</v>
      </c>
      <c r="F5876" s="6">
        <v>0.03</v>
      </c>
      <c r="G5876" s="6">
        <v>431.6</v>
      </c>
    </row>
    <row r="5877" ht="15.75" customHeight="1" spans="1:7">
      <c r="A5877" s="4" t="s">
        <v>12867</v>
      </c>
      <c r="B5877" s="5" t="s">
        <v>12868</v>
      </c>
      <c r="C5877" s="4" t="s">
        <v>9885</v>
      </c>
      <c r="D5877" s="475">
        <v>10</v>
      </c>
      <c r="E5877" s="476">
        <v>0.04722</v>
      </c>
      <c r="F5877" s="6">
        <v>0.1736</v>
      </c>
      <c r="G5877" s="6">
        <v>49.8</v>
      </c>
    </row>
    <row r="5878" ht="30" customHeight="1" spans="1:7">
      <c r="A5878" s="4" t="s">
        <v>12869</v>
      </c>
      <c r="B5878" s="5" t="s">
        <v>12870</v>
      </c>
      <c r="C5878" s="4" t="s">
        <v>9885</v>
      </c>
      <c r="D5878" s="475">
        <v>3.62</v>
      </c>
      <c r="E5878" s="476">
        <v>0.04722</v>
      </c>
      <c r="F5878" s="6">
        <v>0.0521</v>
      </c>
      <c r="G5878" s="6">
        <v>249</v>
      </c>
    </row>
    <row r="5879" ht="30" customHeight="1" spans="1:7">
      <c r="A5879" s="4" t="s">
        <v>12871</v>
      </c>
      <c r="B5879" s="5" t="s">
        <v>12872</v>
      </c>
      <c r="C5879" s="4" t="s">
        <v>9885</v>
      </c>
      <c r="D5879" s="475">
        <v>5.72</v>
      </c>
      <c r="E5879" s="476">
        <v>0.04722</v>
      </c>
      <c r="F5879" s="6">
        <v>0.0868</v>
      </c>
      <c r="G5879" s="6">
        <v>249</v>
      </c>
    </row>
    <row r="5880" ht="30" customHeight="1" spans="1:7">
      <c r="A5880" s="4" t="s">
        <v>12873</v>
      </c>
      <c r="B5880" s="5" t="s">
        <v>12874</v>
      </c>
      <c r="C5880" s="4" t="s">
        <v>9885</v>
      </c>
      <c r="D5880" s="475">
        <v>3</v>
      </c>
      <c r="E5880" s="476">
        <v>0.04722</v>
      </c>
      <c r="F5880" s="6">
        <v>0.0521</v>
      </c>
      <c r="G5880" s="6">
        <v>249</v>
      </c>
    </row>
    <row r="5881" ht="30" customHeight="1" spans="1:7">
      <c r="A5881" s="4" t="s">
        <v>12875</v>
      </c>
      <c r="B5881" s="5" t="s">
        <v>12876</v>
      </c>
      <c r="C5881" s="4" t="s">
        <v>9885</v>
      </c>
      <c r="D5881" s="475">
        <v>3</v>
      </c>
      <c r="E5881" s="476">
        <v>0.04722</v>
      </c>
      <c r="F5881" s="6">
        <v>0.0568</v>
      </c>
      <c r="G5881" s="6">
        <v>457.16</v>
      </c>
    </row>
    <row r="5882" ht="30" customHeight="1" spans="1:7">
      <c r="A5882" s="4" t="s">
        <v>12877</v>
      </c>
      <c r="B5882" s="5" t="s">
        <v>12878</v>
      </c>
      <c r="C5882" s="4" t="s">
        <v>9885</v>
      </c>
      <c r="D5882" s="475">
        <v>3.17</v>
      </c>
      <c r="E5882" s="476">
        <v>0.04722</v>
      </c>
      <c r="F5882" s="6">
        <v>0.064</v>
      </c>
      <c r="G5882" s="6">
        <v>231.27</v>
      </c>
    </row>
    <row r="5883" ht="30" customHeight="1" spans="1:7">
      <c r="A5883" s="4" t="s">
        <v>12879</v>
      </c>
      <c r="B5883" s="5" t="s">
        <v>12880</v>
      </c>
      <c r="C5883" s="4" t="s">
        <v>9885</v>
      </c>
      <c r="D5883" s="475">
        <v>6.13</v>
      </c>
      <c r="E5883" s="476">
        <v>0.04722</v>
      </c>
      <c r="F5883" s="6">
        <v>0.1121</v>
      </c>
      <c r="G5883" s="6">
        <v>231.27</v>
      </c>
    </row>
    <row r="5884" ht="30" customHeight="1" spans="1:7">
      <c r="A5884" s="4" t="s">
        <v>12881</v>
      </c>
      <c r="B5884" s="5" t="s">
        <v>12882</v>
      </c>
      <c r="C5884" s="4" t="s">
        <v>9885</v>
      </c>
      <c r="D5884" s="475">
        <v>2.2</v>
      </c>
      <c r="E5884" s="476">
        <v>0.04722</v>
      </c>
      <c r="F5884" s="6">
        <v>0.048</v>
      </c>
      <c r="G5884" s="6">
        <v>231.27</v>
      </c>
    </row>
    <row r="5885" ht="30" customHeight="1" spans="1:7">
      <c r="A5885" s="4" t="s">
        <v>12883</v>
      </c>
      <c r="B5885" s="5" t="s">
        <v>12884</v>
      </c>
      <c r="C5885" s="4" t="s">
        <v>9885</v>
      </c>
      <c r="D5885" s="475">
        <v>4.1</v>
      </c>
      <c r="E5885" s="476">
        <v>0.04722</v>
      </c>
      <c r="F5885" s="6">
        <v>0.0854</v>
      </c>
      <c r="G5885" s="6">
        <v>231.27</v>
      </c>
    </row>
    <row r="5886" ht="30" customHeight="1" spans="1:7">
      <c r="A5886" s="4" t="s">
        <v>12885</v>
      </c>
      <c r="B5886" s="5" t="s">
        <v>12886</v>
      </c>
      <c r="C5886" s="4" t="s">
        <v>9885</v>
      </c>
      <c r="D5886" s="475">
        <v>7.07</v>
      </c>
      <c r="E5886" s="476">
        <v>0.04722</v>
      </c>
      <c r="F5886" s="6">
        <v>0.1334</v>
      </c>
      <c r="G5886" s="6">
        <v>231.27</v>
      </c>
    </row>
    <row r="5887" ht="30" customHeight="1" spans="1:7">
      <c r="A5887" s="4" t="s">
        <v>12887</v>
      </c>
      <c r="B5887" s="5" t="s">
        <v>12888</v>
      </c>
      <c r="C5887" s="4" t="s">
        <v>9885</v>
      </c>
      <c r="D5887" s="475">
        <v>3.14</v>
      </c>
      <c r="E5887" s="476">
        <v>0.04722</v>
      </c>
      <c r="F5887" s="6">
        <v>0.0693</v>
      </c>
      <c r="G5887" s="6">
        <v>231.27</v>
      </c>
    </row>
    <row r="5888" ht="30" customHeight="1" spans="1:7">
      <c r="A5888" s="4" t="s">
        <v>12889</v>
      </c>
      <c r="B5888" s="5" t="s">
        <v>12890</v>
      </c>
      <c r="C5888" s="4" t="s">
        <v>9885</v>
      </c>
      <c r="D5888" s="475">
        <v>1.65</v>
      </c>
      <c r="E5888" s="476">
        <v>0.04722</v>
      </c>
      <c r="F5888" s="6">
        <v>0.0343</v>
      </c>
      <c r="G5888" s="6">
        <v>431.6</v>
      </c>
    </row>
    <row r="5889" ht="15.75" customHeight="1" spans="1:7">
      <c r="A5889" s="4" t="s">
        <v>12891</v>
      </c>
      <c r="B5889" s="5" t="s">
        <v>12892</v>
      </c>
      <c r="C5889" s="4" t="s">
        <v>9885</v>
      </c>
      <c r="D5889" s="475">
        <v>2.44</v>
      </c>
      <c r="E5889" s="476">
        <v>0.04722</v>
      </c>
      <c r="F5889" s="6">
        <v>0.0508</v>
      </c>
      <c r="G5889" s="6">
        <v>431.6</v>
      </c>
    </row>
    <row r="5890" ht="30" customHeight="1" spans="1:7">
      <c r="A5890" s="4" t="s">
        <v>12893</v>
      </c>
      <c r="B5890" s="5" t="s">
        <v>12894</v>
      </c>
      <c r="C5890" s="4" t="s">
        <v>9885</v>
      </c>
      <c r="D5890" s="475">
        <v>8.1</v>
      </c>
      <c r="E5890" s="476">
        <v>0</v>
      </c>
      <c r="F5890" s="6">
        <v>0</v>
      </c>
      <c r="G5890" s="6">
        <v>60.51</v>
      </c>
    </row>
    <row r="5891" ht="15.75" customHeight="1" spans="1:7">
      <c r="A5891" s="4" t="s">
        <v>12895</v>
      </c>
      <c r="B5891" s="5" t="s">
        <v>12896</v>
      </c>
      <c r="C5891" s="4" t="s">
        <v>9885</v>
      </c>
      <c r="D5891" s="475">
        <v>31.9</v>
      </c>
      <c r="E5891" s="476">
        <v>0.04722</v>
      </c>
      <c r="F5891" s="6">
        <v>0.8601</v>
      </c>
      <c r="G5891" s="6">
        <v>9.48772</v>
      </c>
    </row>
    <row r="5892" ht="30" customHeight="1" spans="1:7">
      <c r="A5892" s="4" t="s">
        <v>12897</v>
      </c>
      <c r="B5892" s="5" t="s">
        <v>12898</v>
      </c>
      <c r="C5892" s="4" t="s">
        <v>9885</v>
      </c>
      <c r="D5892" s="475">
        <v>15.39</v>
      </c>
      <c r="E5892" s="476">
        <v>0.03814</v>
      </c>
      <c r="F5892" s="6">
        <v>0.1818</v>
      </c>
      <c r="G5892" s="6">
        <v>206.08</v>
      </c>
    </row>
    <row r="5893" ht="30" customHeight="1" spans="1:7">
      <c r="A5893" s="4" t="s">
        <v>12899</v>
      </c>
      <c r="B5893" s="5" t="s">
        <v>12900</v>
      </c>
      <c r="C5893" s="4" t="s">
        <v>9885</v>
      </c>
      <c r="D5893" s="475">
        <v>15.95</v>
      </c>
      <c r="E5893" s="476">
        <v>0.03814</v>
      </c>
      <c r="F5893" s="6">
        <v>0.1976</v>
      </c>
      <c r="G5893" s="6">
        <v>206.08</v>
      </c>
    </row>
    <row r="5894" ht="30" customHeight="1" spans="1:7">
      <c r="A5894" s="4" t="s">
        <v>12901</v>
      </c>
      <c r="B5894" s="5" t="s">
        <v>12902</v>
      </c>
      <c r="C5894" s="4" t="s">
        <v>9885</v>
      </c>
      <c r="D5894" s="475">
        <v>8.95</v>
      </c>
      <c r="E5894" s="476">
        <v>0.03814</v>
      </c>
      <c r="F5894" s="6">
        <v>0.1396</v>
      </c>
      <c r="G5894" s="6">
        <v>103.04</v>
      </c>
    </row>
    <row r="5895" ht="30" customHeight="1" spans="1:7">
      <c r="A5895" s="4" t="s">
        <v>12903</v>
      </c>
      <c r="B5895" s="5" t="s">
        <v>12904</v>
      </c>
      <c r="C5895" s="4" t="s">
        <v>82</v>
      </c>
      <c r="D5895" s="475">
        <v>43.27</v>
      </c>
      <c r="E5895" s="476">
        <v>0</v>
      </c>
      <c r="F5895" s="6">
        <v>0</v>
      </c>
      <c r="G5895" s="6">
        <v>49.8</v>
      </c>
    </row>
    <row r="5896" ht="30" customHeight="1" spans="1:7">
      <c r="A5896" s="4" t="s">
        <v>12905</v>
      </c>
      <c r="B5896" s="5" t="s">
        <v>12906</v>
      </c>
      <c r="C5896" s="4" t="s">
        <v>82</v>
      </c>
      <c r="D5896" s="475">
        <v>41.38</v>
      </c>
      <c r="E5896" s="476">
        <v>0</v>
      </c>
      <c r="F5896" s="6">
        <v>0</v>
      </c>
      <c r="G5896" s="6">
        <v>49.8</v>
      </c>
    </row>
    <row r="5897" ht="30" customHeight="1" spans="1:7">
      <c r="A5897" s="4" t="s">
        <v>12907</v>
      </c>
      <c r="B5897" s="5" t="s">
        <v>12908</v>
      </c>
      <c r="C5897" s="4" t="s">
        <v>9885</v>
      </c>
      <c r="D5897" s="475">
        <v>3.81</v>
      </c>
      <c r="E5897" s="476">
        <v>0</v>
      </c>
      <c r="F5897" s="6">
        <v>0</v>
      </c>
      <c r="G5897" s="6">
        <v>149.9</v>
      </c>
    </row>
    <row r="5898" ht="15.75" customHeight="1" spans="1:7">
      <c r="A5898" s="4" t="s">
        <v>12909</v>
      </c>
      <c r="B5898" s="5" t="s">
        <v>12910</v>
      </c>
      <c r="C5898" s="4" t="s">
        <v>9885</v>
      </c>
      <c r="D5898" s="475">
        <v>5.72</v>
      </c>
      <c r="E5898" s="476">
        <v>0</v>
      </c>
      <c r="F5898" s="6">
        <v>0</v>
      </c>
      <c r="G5898" s="6">
        <v>149.9</v>
      </c>
    </row>
    <row r="5899" ht="30" customHeight="1" spans="1:7">
      <c r="A5899" s="4" t="s">
        <v>12911</v>
      </c>
      <c r="B5899" s="5" t="s">
        <v>12912</v>
      </c>
      <c r="C5899" s="4" t="s">
        <v>9885</v>
      </c>
      <c r="D5899" s="475">
        <v>19.21</v>
      </c>
      <c r="E5899" s="476">
        <v>0</v>
      </c>
      <c r="F5899" s="6">
        <v>0</v>
      </c>
      <c r="G5899" s="6">
        <v>32.26</v>
      </c>
    </row>
    <row r="5900" ht="15.75" customHeight="1" spans="1:7">
      <c r="A5900" s="4" t="s">
        <v>12913</v>
      </c>
      <c r="B5900" s="5" t="s">
        <v>12914</v>
      </c>
      <c r="C5900" s="4" t="s">
        <v>9885</v>
      </c>
      <c r="D5900" s="475">
        <v>19.7</v>
      </c>
      <c r="E5900" s="476">
        <v>0.04722</v>
      </c>
      <c r="F5900" s="6">
        <v>0.2239</v>
      </c>
      <c r="G5900" s="6">
        <v>34.86</v>
      </c>
    </row>
    <row r="5901" ht="30" customHeight="1" spans="1:7">
      <c r="A5901" s="4" t="s">
        <v>12915</v>
      </c>
      <c r="B5901" s="5" t="s">
        <v>12916</v>
      </c>
      <c r="C5901" s="4" t="s">
        <v>9885</v>
      </c>
      <c r="D5901" s="475">
        <v>9.3</v>
      </c>
      <c r="E5901" s="476">
        <v>0.04722</v>
      </c>
      <c r="F5901" s="6">
        <v>0.1531</v>
      </c>
      <c r="G5901" s="6">
        <v>84.66</v>
      </c>
    </row>
    <row r="5902" ht="30" customHeight="1" spans="1:7">
      <c r="A5902" s="4" t="s">
        <v>12917</v>
      </c>
      <c r="B5902" s="5" t="s">
        <v>12918</v>
      </c>
      <c r="C5902" s="4" t="s">
        <v>9885</v>
      </c>
      <c r="D5902" s="475">
        <v>25.01</v>
      </c>
      <c r="E5902" s="476">
        <v>0.04722</v>
      </c>
      <c r="F5902" s="6">
        <v>0.3837</v>
      </c>
      <c r="G5902" s="6">
        <v>30.65</v>
      </c>
    </row>
    <row r="5903" ht="30" customHeight="1" spans="1:7">
      <c r="A5903" s="4" t="s">
        <v>12919</v>
      </c>
      <c r="B5903" s="5" t="s">
        <v>12920</v>
      </c>
      <c r="C5903" s="4" t="s">
        <v>9885</v>
      </c>
      <c r="D5903" s="475">
        <v>83.76</v>
      </c>
      <c r="E5903" s="476">
        <v>0.04722</v>
      </c>
      <c r="F5903" s="6">
        <v>1.5721</v>
      </c>
      <c r="G5903" s="6">
        <v>7.48063</v>
      </c>
    </row>
    <row r="5904" ht="30" customHeight="1" spans="1:7">
      <c r="A5904" s="4" t="s">
        <v>12921</v>
      </c>
      <c r="B5904" s="5" t="s">
        <v>12922</v>
      </c>
      <c r="C5904" s="4" t="s">
        <v>9885</v>
      </c>
      <c r="D5904" s="475">
        <v>76.48</v>
      </c>
      <c r="E5904" s="476">
        <v>0.04722</v>
      </c>
      <c r="F5904" s="6">
        <v>1.4232</v>
      </c>
      <c r="G5904" s="6">
        <v>8.26301</v>
      </c>
    </row>
    <row r="5905" ht="15.75" customHeight="1" spans="1:7">
      <c r="A5905" s="4" t="s">
        <v>12923</v>
      </c>
      <c r="B5905" s="5" t="s">
        <v>12924</v>
      </c>
      <c r="C5905" s="4" t="s">
        <v>9885</v>
      </c>
      <c r="D5905" s="475">
        <v>23.13</v>
      </c>
      <c r="E5905" s="476">
        <v>0.04722</v>
      </c>
      <c r="F5905" s="6">
        <v>0.3936</v>
      </c>
      <c r="G5905" s="6">
        <v>59.76</v>
      </c>
    </row>
    <row r="5906" ht="15.75" customHeight="1" spans="1:7">
      <c r="A5906" s="4" t="s">
        <v>12925</v>
      </c>
      <c r="B5906" s="5" t="s">
        <v>12926</v>
      </c>
      <c r="C5906" s="4" t="s">
        <v>9885</v>
      </c>
      <c r="D5906" s="475">
        <v>19.51</v>
      </c>
      <c r="E5906" s="476">
        <v>0.04722</v>
      </c>
      <c r="F5906" s="6">
        <v>0.2952</v>
      </c>
      <c r="G5906" s="6">
        <v>79.68</v>
      </c>
    </row>
    <row r="5907" ht="30" customHeight="1" spans="1:7">
      <c r="A5907" s="4" t="s">
        <v>12927</v>
      </c>
      <c r="B5907" s="5" t="s">
        <v>12928</v>
      </c>
      <c r="C5907" s="4" t="s">
        <v>9885</v>
      </c>
      <c r="D5907" s="475">
        <v>3.2</v>
      </c>
      <c r="E5907" s="476">
        <v>0.04722</v>
      </c>
      <c r="F5907" s="6">
        <v>0.0463</v>
      </c>
      <c r="G5907" s="6">
        <v>298.8</v>
      </c>
    </row>
    <row r="5908" ht="30" customHeight="1" spans="1:7">
      <c r="A5908" s="4" t="s">
        <v>12929</v>
      </c>
      <c r="B5908" s="5" t="s">
        <v>12930</v>
      </c>
      <c r="C5908" s="4" t="s">
        <v>9885</v>
      </c>
      <c r="D5908" s="475">
        <v>23.1</v>
      </c>
      <c r="E5908" s="476">
        <v>0.03814</v>
      </c>
      <c r="F5908" s="6">
        <v>0.2819</v>
      </c>
      <c r="G5908" s="6">
        <v>141.26</v>
      </c>
    </row>
    <row r="5909" ht="30" customHeight="1" spans="1:7">
      <c r="A5909" s="4" t="s">
        <v>12931</v>
      </c>
      <c r="B5909" s="5" t="s">
        <v>12932</v>
      </c>
      <c r="C5909" s="4" t="s">
        <v>9885</v>
      </c>
      <c r="D5909" s="475">
        <v>20.69</v>
      </c>
      <c r="E5909" s="476">
        <v>0.03814</v>
      </c>
      <c r="F5909" s="6">
        <v>0.2404</v>
      </c>
      <c r="G5909" s="6">
        <v>152.12</v>
      </c>
    </row>
    <row r="5910" ht="30" customHeight="1" spans="1:7">
      <c r="A5910" s="4" t="s">
        <v>12933</v>
      </c>
      <c r="B5910" s="5" t="s">
        <v>12934</v>
      </c>
      <c r="C5910" s="4" t="s">
        <v>9885</v>
      </c>
      <c r="D5910" s="475">
        <v>20.95</v>
      </c>
      <c r="E5910" s="476">
        <v>0.03814</v>
      </c>
      <c r="F5910" s="6">
        <v>0.2557</v>
      </c>
      <c r="G5910" s="6">
        <v>155.74</v>
      </c>
    </row>
    <row r="5911" ht="30" customHeight="1" spans="1:7">
      <c r="A5911" s="4" t="s">
        <v>12935</v>
      </c>
      <c r="B5911" s="5" t="s">
        <v>12936</v>
      </c>
      <c r="C5911" s="4" t="s">
        <v>9885</v>
      </c>
      <c r="D5911" s="475">
        <v>30.86</v>
      </c>
      <c r="E5911" s="476">
        <v>0.03814</v>
      </c>
      <c r="F5911" s="6">
        <v>0.3585</v>
      </c>
      <c r="G5911" s="6">
        <v>102</v>
      </c>
    </row>
    <row r="5912" ht="30" customHeight="1" spans="1:7">
      <c r="A5912" s="4" t="s">
        <v>12937</v>
      </c>
      <c r="B5912" s="5" t="s">
        <v>12938</v>
      </c>
      <c r="C5912" s="4" t="s">
        <v>9885</v>
      </c>
      <c r="D5912" s="475">
        <v>26.29</v>
      </c>
      <c r="E5912" s="476">
        <v>0.03814</v>
      </c>
      <c r="F5912" s="6">
        <v>0.3208</v>
      </c>
      <c r="G5912" s="6">
        <v>124.12</v>
      </c>
    </row>
    <row r="5913" ht="30" customHeight="1" spans="1:7">
      <c r="A5913" s="4" t="s">
        <v>12939</v>
      </c>
      <c r="B5913" s="5" t="s">
        <v>12940</v>
      </c>
      <c r="C5913" s="4" t="s">
        <v>9885</v>
      </c>
      <c r="D5913" s="475">
        <v>14.52</v>
      </c>
      <c r="E5913" s="476">
        <v>0.03814</v>
      </c>
      <c r="F5913" s="6">
        <v>0.2173</v>
      </c>
      <c r="G5913" s="6">
        <v>62.06</v>
      </c>
    </row>
    <row r="5914" ht="30" customHeight="1" spans="1:7">
      <c r="A5914" s="4" t="s">
        <v>12941</v>
      </c>
      <c r="B5914" s="5" t="s">
        <v>12942</v>
      </c>
      <c r="C5914" s="4" t="s">
        <v>9885</v>
      </c>
      <c r="D5914" s="475">
        <v>17.93</v>
      </c>
      <c r="E5914" s="476">
        <v>0.03814</v>
      </c>
      <c r="F5914" s="6">
        <v>0.2644</v>
      </c>
      <c r="G5914" s="6">
        <v>51</v>
      </c>
    </row>
    <row r="5915" ht="30" customHeight="1" spans="1:7">
      <c r="A5915" s="4" t="s">
        <v>12943</v>
      </c>
      <c r="B5915" s="5" t="s">
        <v>12944</v>
      </c>
      <c r="C5915" s="4" t="s">
        <v>9885</v>
      </c>
      <c r="D5915" s="475">
        <v>36.8</v>
      </c>
      <c r="E5915" s="476">
        <v>0</v>
      </c>
      <c r="F5915" s="6">
        <v>0</v>
      </c>
      <c r="G5915" s="6">
        <v>68.13</v>
      </c>
    </row>
    <row r="5916" ht="30" customHeight="1" spans="1:7">
      <c r="A5916" s="4" t="s">
        <v>12945</v>
      </c>
      <c r="B5916" s="5" t="s">
        <v>12946</v>
      </c>
      <c r="C5916" s="4" t="s">
        <v>9885</v>
      </c>
      <c r="D5916" s="475">
        <v>58.02</v>
      </c>
      <c r="E5916" s="476">
        <v>0</v>
      </c>
      <c r="F5916" s="6">
        <v>0</v>
      </c>
      <c r="G5916" s="6">
        <v>42.02</v>
      </c>
    </row>
    <row r="5917" ht="30" customHeight="1" spans="1:7">
      <c r="A5917" s="4" t="s">
        <v>12947</v>
      </c>
      <c r="B5917" s="5" t="s">
        <v>12948</v>
      </c>
      <c r="C5917" s="4" t="s">
        <v>9885</v>
      </c>
      <c r="D5917" s="475">
        <v>69.83</v>
      </c>
      <c r="E5917" s="476">
        <v>0.03814</v>
      </c>
      <c r="F5917" s="6">
        <v>0.6011</v>
      </c>
      <c r="G5917" s="6">
        <v>35.22</v>
      </c>
    </row>
    <row r="5918" ht="30" customHeight="1" spans="1:7">
      <c r="A5918" s="4" t="s">
        <v>12949</v>
      </c>
      <c r="B5918" s="5" t="s">
        <v>12950</v>
      </c>
      <c r="C5918" s="4" t="s">
        <v>9885</v>
      </c>
      <c r="D5918" s="475">
        <v>49.12</v>
      </c>
      <c r="E5918" s="476">
        <v>0.03814</v>
      </c>
      <c r="F5918" s="6">
        <v>0.4327</v>
      </c>
      <c r="G5918" s="6">
        <v>50.68</v>
      </c>
    </row>
    <row r="5919" ht="30" customHeight="1" spans="1:7">
      <c r="A5919" s="4" t="s">
        <v>12951</v>
      </c>
      <c r="B5919" s="5" t="s">
        <v>12952</v>
      </c>
      <c r="C5919" s="4" t="s">
        <v>9885</v>
      </c>
      <c r="D5919" s="475">
        <v>22.07</v>
      </c>
      <c r="E5919" s="476">
        <v>0.04722</v>
      </c>
      <c r="F5919" s="6">
        <v>0.3914</v>
      </c>
      <c r="G5919" s="6">
        <v>20.8</v>
      </c>
    </row>
    <row r="5920" ht="30" customHeight="1" spans="1:7">
      <c r="A5920" s="4" t="s">
        <v>12953</v>
      </c>
      <c r="B5920" s="5" t="s">
        <v>12954</v>
      </c>
      <c r="C5920" s="4" t="s">
        <v>9885</v>
      </c>
      <c r="D5920" s="475">
        <v>19.86</v>
      </c>
      <c r="E5920" s="476">
        <v>0.04722</v>
      </c>
      <c r="F5920" s="6">
        <v>0.3962</v>
      </c>
      <c r="G5920" s="6">
        <v>19.36</v>
      </c>
    </row>
    <row r="5921" ht="30" customHeight="1" spans="1:7">
      <c r="A5921" s="4" t="s">
        <v>12955</v>
      </c>
      <c r="B5921" s="5" t="s">
        <v>12956</v>
      </c>
      <c r="C5921" s="4" t="s">
        <v>9885</v>
      </c>
      <c r="D5921" s="475">
        <v>34.98</v>
      </c>
      <c r="E5921" s="476">
        <v>0</v>
      </c>
      <c r="F5921" s="6">
        <v>0</v>
      </c>
      <c r="G5921" s="6">
        <v>21.37</v>
      </c>
    </row>
    <row r="5922" ht="15.75" customHeight="1" spans="1:7">
      <c r="A5922" s="4" t="s">
        <v>12957</v>
      </c>
      <c r="B5922" s="5" t="s">
        <v>12958</v>
      </c>
      <c r="C5922" s="4" t="s">
        <v>9885</v>
      </c>
      <c r="D5922" s="475">
        <v>35.43</v>
      </c>
      <c r="E5922" s="476">
        <v>0.04722</v>
      </c>
      <c r="F5922" s="6">
        <v>0.8703</v>
      </c>
      <c r="G5922" s="6">
        <v>12.34</v>
      </c>
    </row>
    <row r="5923" ht="15.75" customHeight="1" spans="1:7">
      <c r="A5923" s="4" t="s">
        <v>12959</v>
      </c>
      <c r="B5923" s="5" t="s">
        <v>12960</v>
      </c>
      <c r="C5923" s="4" t="s">
        <v>9885</v>
      </c>
      <c r="D5923" s="475">
        <v>35.62</v>
      </c>
      <c r="E5923" s="476">
        <v>0.04722</v>
      </c>
      <c r="F5923" s="6">
        <v>0.9951</v>
      </c>
      <c r="G5923" s="6">
        <v>7.75334</v>
      </c>
    </row>
    <row r="5924" ht="15.75" customHeight="1" spans="1:7">
      <c r="A5924" s="4" t="s">
        <v>12961</v>
      </c>
      <c r="B5924" s="5" t="s">
        <v>12962</v>
      </c>
      <c r="C5924" s="4" t="s">
        <v>9885</v>
      </c>
      <c r="D5924" s="475">
        <v>29.04</v>
      </c>
      <c r="E5924" s="476">
        <v>0.04722</v>
      </c>
      <c r="F5924" s="6">
        <v>0.8588</v>
      </c>
      <c r="G5924" s="6">
        <v>12.02</v>
      </c>
    </row>
    <row r="5925" ht="30" customHeight="1" spans="1:7">
      <c r="A5925" s="4" t="s">
        <v>12963</v>
      </c>
      <c r="B5925" s="5" t="s">
        <v>12964</v>
      </c>
      <c r="C5925" s="4" t="s">
        <v>9885</v>
      </c>
      <c r="D5925" s="475">
        <v>25.88</v>
      </c>
      <c r="E5925" s="476">
        <v>0.03814</v>
      </c>
      <c r="F5925" s="6">
        <v>0.2484</v>
      </c>
      <c r="G5925" s="6">
        <v>99.82</v>
      </c>
    </row>
    <row r="5926" ht="30" customHeight="1" spans="1:7">
      <c r="A5926" s="4" t="s">
        <v>12965</v>
      </c>
      <c r="B5926" s="5" t="s">
        <v>12966</v>
      </c>
      <c r="C5926" s="4" t="s">
        <v>9885</v>
      </c>
      <c r="D5926" s="475">
        <v>26.33</v>
      </c>
      <c r="E5926" s="476">
        <v>0.03814</v>
      </c>
      <c r="F5926" s="6">
        <v>0.2605</v>
      </c>
      <c r="G5926" s="6">
        <v>99.82</v>
      </c>
    </row>
    <row r="5927" ht="30" customHeight="1" spans="1:7">
      <c r="A5927" s="4" t="s">
        <v>12967</v>
      </c>
      <c r="B5927" s="5" t="s">
        <v>12968</v>
      </c>
      <c r="C5927" s="4" t="s">
        <v>9885</v>
      </c>
      <c r="D5927" s="475">
        <v>33.8</v>
      </c>
      <c r="E5927" s="476">
        <v>0.03814</v>
      </c>
      <c r="F5927" s="6">
        <v>0.2977</v>
      </c>
      <c r="G5927" s="6">
        <v>73.65</v>
      </c>
    </row>
    <row r="5928" ht="30" customHeight="1" spans="1:7">
      <c r="A5928" s="4" t="s">
        <v>12969</v>
      </c>
      <c r="B5928" s="5" t="s">
        <v>12970</v>
      </c>
      <c r="C5928" s="4" t="s">
        <v>9885</v>
      </c>
      <c r="D5928" s="475">
        <v>14.88</v>
      </c>
      <c r="E5928" s="476">
        <v>0.03814</v>
      </c>
      <c r="F5928" s="6">
        <v>0.257</v>
      </c>
      <c r="G5928" s="6">
        <v>73.65</v>
      </c>
    </row>
    <row r="5929" ht="30" customHeight="1" spans="1:7">
      <c r="A5929" s="4" t="s">
        <v>12971</v>
      </c>
      <c r="B5929" s="5" t="s">
        <v>12972</v>
      </c>
      <c r="C5929" s="4" t="s">
        <v>9885</v>
      </c>
      <c r="D5929" s="475">
        <v>38.4</v>
      </c>
      <c r="E5929" s="476">
        <v>0.03814</v>
      </c>
      <c r="F5929" s="6">
        <v>0.3305</v>
      </c>
      <c r="G5929" s="6">
        <v>64.05</v>
      </c>
    </row>
    <row r="5930" ht="30" customHeight="1" spans="1:7">
      <c r="A5930" s="4" t="s">
        <v>12973</v>
      </c>
      <c r="B5930" s="5" t="s">
        <v>12974</v>
      </c>
      <c r="C5930" s="4" t="s">
        <v>9885</v>
      </c>
      <c r="D5930" s="475">
        <v>17.11</v>
      </c>
      <c r="E5930" s="476">
        <v>0.03814</v>
      </c>
      <c r="F5930" s="6">
        <v>0.2956</v>
      </c>
      <c r="G5930" s="6">
        <v>64.05</v>
      </c>
    </row>
    <row r="5931" ht="30" customHeight="1" spans="1:7">
      <c r="A5931" s="4" t="s">
        <v>12975</v>
      </c>
      <c r="B5931" s="5" t="s">
        <v>12976</v>
      </c>
      <c r="C5931" s="4" t="s">
        <v>9885</v>
      </c>
      <c r="D5931" s="475">
        <v>29.29</v>
      </c>
      <c r="E5931" s="476">
        <v>0.03814</v>
      </c>
      <c r="F5931" s="6">
        <v>0.258</v>
      </c>
      <c r="G5931" s="6">
        <v>84.99</v>
      </c>
    </row>
    <row r="5932" ht="30" customHeight="1" spans="1:7">
      <c r="A5932" s="4" t="s">
        <v>12977</v>
      </c>
      <c r="B5932" s="5" t="s">
        <v>12978</v>
      </c>
      <c r="C5932" s="4" t="s">
        <v>9885</v>
      </c>
      <c r="D5932" s="475">
        <v>12.9</v>
      </c>
      <c r="E5932" s="476">
        <v>0.03814</v>
      </c>
      <c r="F5932" s="6">
        <v>0.2227</v>
      </c>
      <c r="G5932" s="6">
        <v>84.99</v>
      </c>
    </row>
    <row r="5933" ht="15.75" customHeight="1" spans="1:7">
      <c r="A5933" s="4" t="s">
        <v>12979</v>
      </c>
      <c r="B5933" s="5" t="s">
        <v>12980</v>
      </c>
      <c r="C5933" s="4" t="s">
        <v>9885</v>
      </c>
      <c r="D5933" s="475">
        <v>3.23</v>
      </c>
      <c r="E5933" s="476">
        <v>0</v>
      </c>
      <c r="F5933" s="6">
        <v>0</v>
      </c>
      <c r="G5933" s="6">
        <v>186.89</v>
      </c>
    </row>
    <row r="5934" ht="15.75" customHeight="1" spans="1:7">
      <c r="A5934" s="4" t="s">
        <v>12981</v>
      </c>
      <c r="B5934" s="5" t="s">
        <v>12982</v>
      </c>
      <c r="C5934" s="4" t="s">
        <v>9885</v>
      </c>
      <c r="D5934" s="475">
        <v>38.57</v>
      </c>
      <c r="E5934" s="476">
        <v>0.04722</v>
      </c>
      <c r="F5934" s="6">
        <v>1.04</v>
      </c>
      <c r="G5934" s="6">
        <v>7.84664</v>
      </c>
    </row>
    <row r="5935" ht="30" customHeight="1" spans="1:7">
      <c r="A5935" s="4" t="s">
        <v>12983</v>
      </c>
      <c r="B5935" s="5" t="s">
        <v>12984</v>
      </c>
      <c r="C5935" s="4" t="s">
        <v>9885</v>
      </c>
      <c r="D5935" s="475">
        <v>3.74</v>
      </c>
      <c r="E5935" s="476">
        <v>0</v>
      </c>
      <c r="F5935" s="6">
        <v>0</v>
      </c>
      <c r="G5935" s="6">
        <v>152.28</v>
      </c>
    </row>
    <row r="5936" ht="30" customHeight="1" spans="1:7">
      <c r="A5936" s="4" t="s">
        <v>12985</v>
      </c>
      <c r="B5936" s="5" t="s">
        <v>12986</v>
      </c>
      <c r="C5936" s="4" t="s">
        <v>9885</v>
      </c>
      <c r="D5936" s="475">
        <v>3.68</v>
      </c>
      <c r="E5936" s="476">
        <v>0</v>
      </c>
      <c r="F5936" s="6">
        <v>0</v>
      </c>
      <c r="G5936" s="6">
        <v>186.96</v>
      </c>
    </row>
    <row r="5937" ht="30" customHeight="1" spans="1:7">
      <c r="A5937" s="4" t="s">
        <v>12987</v>
      </c>
      <c r="B5937" s="5" t="s">
        <v>12988</v>
      </c>
      <c r="C5937" s="4" t="s">
        <v>9885</v>
      </c>
      <c r="D5937" s="475">
        <v>3.29</v>
      </c>
      <c r="E5937" s="476">
        <v>0</v>
      </c>
      <c r="F5937" s="6">
        <v>0</v>
      </c>
      <c r="G5937" s="6">
        <v>215.26</v>
      </c>
    </row>
    <row r="5938" ht="30" customHeight="1" spans="1:7">
      <c r="A5938" s="4" t="s">
        <v>12989</v>
      </c>
      <c r="B5938" s="5" t="s">
        <v>12990</v>
      </c>
      <c r="C5938" s="4" t="s">
        <v>9885</v>
      </c>
      <c r="D5938" s="475">
        <v>3.06</v>
      </c>
      <c r="E5938" s="476">
        <v>0</v>
      </c>
      <c r="F5938" s="6">
        <v>0</v>
      </c>
      <c r="G5938" s="6">
        <v>237.94</v>
      </c>
    </row>
    <row r="5939" ht="30" customHeight="1" spans="1:7">
      <c r="A5939" s="4" t="s">
        <v>12991</v>
      </c>
      <c r="B5939" s="5" t="s">
        <v>12992</v>
      </c>
      <c r="C5939" s="4" t="s">
        <v>9885</v>
      </c>
      <c r="D5939" s="475">
        <v>2.9</v>
      </c>
      <c r="E5939" s="476">
        <v>0</v>
      </c>
      <c r="F5939" s="6">
        <v>0</v>
      </c>
      <c r="G5939" s="6">
        <v>255.67</v>
      </c>
    </row>
    <row r="5940" ht="30" customHeight="1" spans="1:7">
      <c r="A5940" s="4" t="s">
        <v>12993</v>
      </c>
      <c r="B5940" s="5" t="s">
        <v>12994</v>
      </c>
      <c r="C5940" s="4" t="s">
        <v>9885</v>
      </c>
      <c r="D5940" s="475">
        <v>2.8</v>
      </c>
      <c r="E5940" s="476">
        <v>0</v>
      </c>
      <c r="F5940" s="6">
        <v>0</v>
      </c>
      <c r="G5940" s="6">
        <v>269.04</v>
      </c>
    </row>
    <row r="5941" ht="30" customHeight="1" spans="1:7">
      <c r="A5941" s="4" t="s">
        <v>12995</v>
      </c>
      <c r="B5941" s="5" t="s">
        <v>12996</v>
      </c>
      <c r="C5941" s="4" t="s">
        <v>9885</v>
      </c>
      <c r="D5941" s="475">
        <v>6.2</v>
      </c>
      <c r="E5941" s="476">
        <v>0</v>
      </c>
      <c r="F5941" s="6">
        <v>0</v>
      </c>
      <c r="G5941" s="6">
        <v>83.26</v>
      </c>
    </row>
    <row r="5942" ht="30" customHeight="1" spans="1:7">
      <c r="A5942" s="4" t="s">
        <v>12997</v>
      </c>
      <c r="B5942" s="5" t="s">
        <v>12998</v>
      </c>
      <c r="C5942" s="4" t="s">
        <v>9885</v>
      </c>
      <c r="D5942" s="475">
        <v>5.18</v>
      </c>
      <c r="E5942" s="476">
        <v>0</v>
      </c>
      <c r="F5942" s="6">
        <v>0</v>
      </c>
      <c r="G5942" s="6">
        <v>102.22</v>
      </c>
    </row>
    <row r="5943" ht="30" customHeight="1" spans="1:7">
      <c r="A5943" s="4" t="s">
        <v>12999</v>
      </c>
      <c r="B5943" s="5" t="s">
        <v>13000</v>
      </c>
      <c r="C5943" s="4" t="s">
        <v>9885</v>
      </c>
      <c r="D5943" s="475">
        <v>4.61</v>
      </c>
      <c r="E5943" s="476">
        <v>0</v>
      </c>
      <c r="F5943" s="6">
        <v>0</v>
      </c>
      <c r="G5943" s="6">
        <v>117.67</v>
      </c>
    </row>
    <row r="5944" ht="30" customHeight="1" spans="1:7">
      <c r="A5944" s="4" t="s">
        <v>13001</v>
      </c>
      <c r="B5944" s="5" t="s">
        <v>13002</v>
      </c>
      <c r="C5944" s="4" t="s">
        <v>9885</v>
      </c>
      <c r="D5944" s="475">
        <v>4.24</v>
      </c>
      <c r="E5944" s="476">
        <v>0</v>
      </c>
      <c r="F5944" s="6">
        <v>0</v>
      </c>
      <c r="G5944" s="6">
        <v>130.08</v>
      </c>
    </row>
    <row r="5945" ht="30" customHeight="1" spans="1:7">
      <c r="A5945" s="4" t="s">
        <v>13003</v>
      </c>
      <c r="B5945" s="5" t="s">
        <v>13004</v>
      </c>
      <c r="C5945" s="4" t="s">
        <v>9885</v>
      </c>
      <c r="D5945" s="475">
        <v>4.01</v>
      </c>
      <c r="E5945" s="476">
        <v>0</v>
      </c>
      <c r="F5945" s="6">
        <v>0</v>
      </c>
      <c r="G5945" s="6">
        <v>139.78</v>
      </c>
    </row>
    <row r="5946" ht="30" customHeight="1" spans="1:7">
      <c r="A5946" s="4" t="s">
        <v>13005</v>
      </c>
      <c r="B5946" s="5" t="s">
        <v>13006</v>
      </c>
      <c r="C5946" s="4" t="s">
        <v>9885</v>
      </c>
      <c r="D5946" s="475">
        <v>3.84</v>
      </c>
      <c r="E5946" s="476">
        <v>0</v>
      </c>
      <c r="F5946" s="6">
        <v>0</v>
      </c>
      <c r="G5946" s="6">
        <v>147.07</v>
      </c>
    </row>
    <row r="5947" ht="30" customHeight="1" spans="1:7">
      <c r="A5947" s="4" t="s">
        <v>13007</v>
      </c>
      <c r="B5947" s="5" t="s">
        <v>13008</v>
      </c>
      <c r="C5947" s="4" t="s">
        <v>9885</v>
      </c>
      <c r="D5947" s="475">
        <v>10.22</v>
      </c>
      <c r="E5947" s="476">
        <v>0</v>
      </c>
      <c r="F5947" s="6">
        <v>0</v>
      </c>
      <c r="G5947" s="6">
        <v>31.54</v>
      </c>
    </row>
    <row r="5948" ht="30" customHeight="1" spans="1:7">
      <c r="A5948" s="4" t="s">
        <v>13009</v>
      </c>
      <c r="B5948" s="5" t="s">
        <v>13010</v>
      </c>
      <c r="C5948" s="4" t="s">
        <v>9885</v>
      </c>
      <c r="D5948" s="475">
        <v>11.97</v>
      </c>
      <c r="E5948" s="476">
        <v>0.04722</v>
      </c>
      <c r="F5948" s="6">
        <v>0.1736</v>
      </c>
      <c r="G5948" s="6">
        <v>49.8</v>
      </c>
    </row>
    <row r="5949" ht="30" customHeight="1" spans="1:7">
      <c r="A5949" s="4" t="s">
        <v>13011</v>
      </c>
      <c r="B5949" s="5" t="s">
        <v>13012</v>
      </c>
      <c r="C5949" s="4" t="s">
        <v>9885</v>
      </c>
      <c r="D5949" s="475">
        <v>9.86</v>
      </c>
      <c r="E5949" s="476">
        <v>0.04722</v>
      </c>
      <c r="F5949" s="6">
        <v>0.223</v>
      </c>
      <c r="G5949" s="6">
        <v>49.8</v>
      </c>
    </row>
    <row r="5950" ht="30" customHeight="1" spans="1:7">
      <c r="A5950" s="4" t="s">
        <v>13013</v>
      </c>
      <c r="B5950" s="5" t="s">
        <v>13014</v>
      </c>
      <c r="C5950" s="4" t="s">
        <v>9885</v>
      </c>
      <c r="D5950" s="475">
        <v>28.1</v>
      </c>
      <c r="E5950" s="476">
        <v>0.04722</v>
      </c>
      <c r="F5950" s="6">
        <v>0.5652</v>
      </c>
      <c r="G5950" s="6">
        <v>49.8</v>
      </c>
    </row>
    <row r="5951" ht="30" customHeight="1" spans="1:7">
      <c r="A5951" s="4" t="s">
        <v>13015</v>
      </c>
      <c r="B5951" s="5" t="s">
        <v>13016</v>
      </c>
      <c r="C5951" s="4" t="s">
        <v>9885</v>
      </c>
      <c r="D5951" s="475">
        <v>8.31</v>
      </c>
      <c r="E5951" s="476">
        <v>0.04722</v>
      </c>
      <c r="F5951" s="6">
        <v>0.1302</v>
      </c>
      <c r="G5951" s="6">
        <v>99.6</v>
      </c>
    </row>
    <row r="5952" ht="30" customHeight="1" spans="1:7">
      <c r="A5952" s="4" t="s">
        <v>13017</v>
      </c>
      <c r="B5952" s="5" t="s">
        <v>13018</v>
      </c>
      <c r="C5952" s="4" t="s">
        <v>9885</v>
      </c>
      <c r="D5952" s="475">
        <v>5.92</v>
      </c>
      <c r="E5952" s="476">
        <v>0.04722</v>
      </c>
      <c r="F5952" s="6">
        <v>0.1115</v>
      </c>
      <c r="G5952" s="6">
        <v>99.6</v>
      </c>
    </row>
    <row r="5953" ht="30" customHeight="1" spans="1:7">
      <c r="A5953" s="4" t="s">
        <v>13019</v>
      </c>
      <c r="B5953" s="5" t="s">
        <v>13020</v>
      </c>
      <c r="C5953" s="4" t="s">
        <v>9885</v>
      </c>
      <c r="D5953" s="475">
        <v>29.44</v>
      </c>
      <c r="E5953" s="476">
        <v>0.04722</v>
      </c>
      <c r="F5953" s="6">
        <v>0.6895</v>
      </c>
      <c r="G5953" s="6">
        <v>8.60269</v>
      </c>
    </row>
    <row r="5954" ht="30" customHeight="1" spans="1:7">
      <c r="A5954" s="4" t="s">
        <v>13021</v>
      </c>
      <c r="B5954" s="5" t="s">
        <v>13022</v>
      </c>
      <c r="C5954" s="4" t="s">
        <v>9885</v>
      </c>
      <c r="D5954" s="475">
        <v>29.85</v>
      </c>
      <c r="E5954" s="476">
        <v>0.04722</v>
      </c>
      <c r="F5954" s="6">
        <v>0.6994</v>
      </c>
      <c r="G5954" s="6">
        <v>8.60269</v>
      </c>
    </row>
    <row r="5955" ht="30" customHeight="1" spans="1:7">
      <c r="A5955" s="4" t="s">
        <v>13023</v>
      </c>
      <c r="B5955" s="5" t="s">
        <v>13024</v>
      </c>
      <c r="C5955" s="4" t="s">
        <v>9885</v>
      </c>
      <c r="D5955" s="475">
        <v>5.98</v>
      </c>
      <c r="E5955" s="476">
        <v>0.04722</v>
      </c>
      <c r="F5955" s="6">
        <v>0.0868</v>
      </c>
      <c r="G5955" s="6">
        <v>199.2</v>
      </c>
    </row>
    <row r="5956" ht="30" customHeight="1" spans="1:7">
      <c r="A5956" s="4" t="s">
        <v>13025</v>
      </c>
      <c r="B5956" s="5" t="s">
        <v>13026</v>
      </c>
      <c r="C5956" s="4" t="s">
        <v>82</v>
      </c>
      <c r="D5956" s="475">
        <v>40.24</v>
      </c>
      <c r="E5956" s="476">
        <v>0</v>
      </c>
      <c r="F5956" s="6">
        <v>0</v>
      </c>
      <c r="G5956" s="6">
        <v>33.2</v>
      </c>
    </row>
    <row r="5957" ht="30" customHeight="1" spans="1:7">
      <c r="A5957" s="4" t="s">
        <v>13027</v>
      </c>
      <c r="B5957" s="5" t="s">
        <v>13028</v>
      </c>
      <c r="C5957" s="4" t="s">
        <v>9885</v>
      </c>
      <c r="D5957" s="475">
        <v>42.28</v>
      </c>
      <c r="E5957" s="476">
        <v>0</v>
      </c>
      <c r="F5957" s="6">
        <v>0</v>
      </c>
      <c r="G5957" s="6">
        <v>61.2</v>
      </c>
    </row>
    <row r="5958" ht="30" customHeight="1" spans="1:7">
      <c r="A5958" s="4" t="s">
        <v>13029</v>
      </c>
      <c r="B5958" s="5" t="s">
        <v>13030</v>
      </c>
      <c r="C5958" s="4" t="s">
        <v>9885</v>
      </c>
      <c r="D5958" s="475">
        <v>43.2</v>
      </c>
      <c r="E5958" s="476">
        <v>0.03814</v>
      </c>
      <c r="F5958" s="6">
        <v>0.4764</v>
      </c>
      <c r="G5958" s="6">
        <v>61.34</v>
      </c>
    </row>
    <row r="5959" ht="30" customHeight="1" spans="1:7">
      <c r="A5959" s="4" t="s">
        <v>13031</v>
      </c>
      <c r="B5959" s="5" t="s">
        <v>13032</v>
      </c>
      <c r="C5959" s="4" t="s">
        <v>9885</v>
      </c>
      <c r="D5959" s="475">
        <v>46.53</v>
      </c>
      <c r="E5959" s="476">
        <v>0</v>
      </c>
      <c r="F5959" s="6">
        <v>0</v>
      </c>
      <c r="G5959" s="6">
        <v>61.48</v>
      </c>
    </row>
    <row r="5960" ht="30" customHeight="1" spans="1:7">
      <c r="A5960" s="4" t="s">
        <v>13033</v>
      </c>
      <c r="B5960" s="5" t="s">
        <v>13034</v>
      </c>
      <c r="C5960" s="4" t="s">
        <v>9885</v>
      </c>
      <c r="D5960" s="475">
        <v>47.02</v>
      </c>
      <c r="E5960" s="476">
        <v>0.03814</v>
      </c>
      <c r="F5960" s="6">
        <v>0.5913</v>
      </c>
      <c r="G5960" s="6">
        <v>61.55</v>
      </c>
    </row>
    <row r="5961" ht="30" customHeight="1" spans="1:7">
      <c r="A5961" s="4" t="s">
        <v>13035</v>
      </c>
      <c r="B5961" s="5" t="s">
        <v>13036</v>
      </c>
      <c r="C5961" s="4" t="s">
        <v>9885</v>
      </c>
      <c r="D5961" s="475">
        <v>33.18</v>
      </c>
      <c r="E5961" s="476">
        <v>0</v>
      </c>
      <c r="F5961" s="6">
        <v>0</v>
      </c>
      <c r="G5961" s="6">
        <v>77.99</v>
      </c>
    </row>
    <row r="5962" ht="30" customHeight="1" spans="1:7">
      <c r="A5962" s="4" t="s">
        <v>13037</v>
      </c>
      <c r="B5962" s="5" t="s">
        <v>13038</v>
      </c>
      <c r="C5962" s="4" t="s">
        <v>9885</v>
      </c>
      <c r="D5962" s="475">
        <v>33.9</v>
      </c>
      <c r="E5962" s="476">
        <v>0.03814</v>
      </c>
      <c r="F5962" s="6">
        <v>0.3739</v>
      </c>
      <c r="G5962" s="6">
        <v>78.17</v>
      </c>
    </row>
    <row r="5963" ht="30" customHeight="1" spans="1:7">
      <c r="A5963" s="4" t="s">
        <v>13039</v>
      </c>
      <c r="B5963" s="5" t="s">
        <v>13040</v>
      </c>
      <c r="C5963" s="4" t="s">
        <v>9885</v>
      </c>
      <c r="D5963" s="475">
        <v>36.51</v>
      </c>
      <c r="E5963" s="476">
        <v>0</v>
      </c>
      <c r="F5963" s="6">
        <v>0</v>
      </c>
      <c r="G5963" s="6">
        <v>78.35</v>
      </c>
    </row>
    <row r="5964" ht="30" customHeight="1" spans="1:7">
      <c r="A5964" s="4" t="s">
        <v>13041</v>
      </c>
      <c r="B5964" s="5" t="s">
        <v>13042</v>
      </c>
      <c r="C5964" s="4" t="s">
        <v>9885</v>
      </c>
      <c r="D5964" s="475">
        <v>36.9</v>
      </c>
      <c r="E5964" s="476">
        <v>0.03814</v>
      </c>
      <c r="F5964" s="6">
        <v>0.464</v>
      </c>
      <c r="G5964" s="6">
        <v>78.44</v>
      </c>
    </row>
    <row r="5965" ht="30" customHeight="1" spans="1:7">
      <c r="A5965" s="4" t="s">
        <v>13043</v>
      </c>
      <c r="B5965" s="5" t="s">
        <v>13044</v>
      </c>
      <c r="C5965" s="4" t="s">
        <v>9885</v>
      </c>
      <c r="D5965" s="475">
        <v>28.01</v>
      </c>
      <c r="E5965" s="476">
        <v>0</v>
      </c>
      <c r="F5965" s="6">
        <v>0</v>
      </c>
      <c r="G5965" s="6">
        <v>92.39</v>
      </c>
    </row>
    <row r="5966" ht="30" customHeight="1" spans="1:7">
      <c r="A5966" s="4" t="s">
        <v>13045</v>
      </c>
      <c r="B5966" s="5" t="s">
        <v>13046</v>
      </c>
      <c r="C5966" s="4" t="s">
        <v>9885</v>
      </c>
      <c r="D5966" s="475">
        <v>28.61</v>
      </c>
      <c r="E5966" s="476">
        <v>0.03814</v>
      </c>
      <c r="F5966" s="6">
        <v>0.3156</v>
      </c>
      <c r="G5966" s="6">
        <v>92.61</v>
      </c>
    </row>
    <row r="5967" ht="30" customHeight="1" spans="1:7">
      <c r="A5967" s="4" t="s">
        <v>13047</v>
      </c>
      <c r="B5967" s="5" t="s">
        <v>13048</v>
      </c>
      <c r="C5967" s="4" t="s">
        <v>9885</v>
      </c>
      <c r="D5967" s="475">
        <v>30.82</v>
      </c>
      <c r="E5967" s="476">
        <v>0</v>
      </c>
      <c r="F5967" s="6">
        <v>0</v>
      </c>
      <c r="G5967" s="6">
        <v>92.82</v>
      </c>
    </row>
    <row r="5968" ht="30" customHeight="1" spans="1:7">
      <c r="A5968" s="4" t="s">
        <v>13049</v>
      </c>
      <c r="B5968" s="5" t="s">
        <v>13050</v>
      </c>
      <c r="C5968" s="4" t="s">
        <v>9885</v>
      </c>
      <c r="D5968" s="475">
        <v>31.14</v>
      </c>
      <c r="E5968" s="476">
        <v>0.03814</v>
      </c>
      <c r="F5968" s="6">
        <v>0.3916</v>
      </c>
      <c r="G5968" s="6">
        <v>92.93</v>
      </c>
    </row>
    <row r="5969" ht="30" customHeight="1" spans="1:7">
      <c r="A5969" s="4" t="s">
        <v>13051</v>
      </c>
      <c r="B5969" s="5" t="s">
        <v>13052</v>
      </c>
      <c r="C5969" s="4" t="s">
        <v>9885</v>
      </c>
      <c r="D5969" s="475">
        <v>31.35</v>
      </c>
      <c r="E5969" s="476">
        <v>0</v>
      </c>
      <c r="F5969" s="6">
        <v>0</v>
      </c>
      <c r="G5969" s="6">
        <v>82.53</v>
      </c>
    </row>
    <row r="5970" ht="30" customHeight="1" spans="1:7">
      <c r="A5970" s="4" t="s">
        <v>13053</v>
      </c>
      <c r="B5970" s="5" t="s">
        <v>13054</v>
      </c>
      <c r="C5970" s="4" t="s">
        <v>9885</v>
      </c>
      <c r="D5970" s="475">
        <v>32.03</v>
      </c>
      <c r="E5970" s="476">
        <v>0.03814</v>
      </c>
      <c r="F5970" s="6">
        <v>0.3533</v>
      </c>
      <c r="G5970" s="6">
        <v>82.72</v>
      </c>
    </row>
    <row r="5971" ht="30" customHeight="1" spans="1:7">
      <c r="A5971" s="4" t="s">
        <v>13055</v>
      </c>
      <c r="B5971" s="5" t="s">
        <v>13056</v>
      </c>
      <c r="C5971" s="4" t="s">
        <v>9885</v>
      </c>
      <c r="D5971" s="475">
        <v>34.51</v>
      </c>
      <c r="E5971" s="476">
        <v>0</v>
      </c>
      <c r="F5971" s="6">
        <v>0</v>
      </c>
      <c r="G5971" s="6">
        <v>82.91</v>
      </c>
    </row>
    <row r="5972" ht="30" customHeight="1" spans="1:7">
      <c r="A5972" s="4" t="s">
        <v>13057</v>
      </c>
      <c r="B5972" s="5" t="s">
        <v>13058</v>
      </c>
      <c r="C5972" s="4" t="s">
        <v>9885</v>
      </c>
      <c r="D5972" s="475">
        <v>34.87</v>
      </c>
      <c r="E5972" s="476">
        <v>0.03814</v>
      </c>
      <c r="F5972" s="6">
        <v>0.4385</v>
      </c>
      <c r="G5972" s="6">
        <v>83</v>
      </c>
    </row>
    <row r="5973" ht="30" customHeight="1" spans="1:7">
      <c r="A5973" s="4" t="s">
        <v>13059</v>
      </c>
      <c r="B5973" s="5" t="s">
        <v>13060</v>
      </c>
      <c r="C5973" s="4" t="s">
        <v>9885</v>
      </c>
      <c r="D5973" s="475">
        <v>110.8</v>
      </c>
      <c r="E5973" s="476">
        <v>0.04722</v>
      </c>
      <c r="F5973" s="6">
        <v>2.5068</v>
      </c>
      <c r="G5973" s="6">
        <v>2.954</v>
      </c>
    </row>
    <row r="5974" ht="15.75" customHeight="1" spans="1:7">
      <c r="A5974" s="4" t="s">
        <v>13061</v>
      </c>
      <c r="B5974" s="5" t="s">
        <v>13062</v>
      </c>
      <c r="C5974" s="4" t="s">
        <v>13063</v>
      </c>
      <c r="D5974" s="475">
        <v>0.95</v>
      </c>
      <c r="E5974" s="476">
        <v>0.04367</v>
      </c>
      <c r="F5974" s="6">
        <v>0.0123</v>
      </c>
      <c r="G5974" s="6">
        <v>348.6</v>
      </c>
    </row>
    <row r="5975" ht="15.75" customHeight="1" spans="1:7">
      <c r="A5975" s="4" t="s">
        <v>13064</v>
      </c>
      <c r="B5975" s="5" t="s">
        <v>13065</v>
      </c>
      <c r="C5975" s="4" t="s">
        <v>13063</v>
      </c>
      <c r="D5975" s="475">
        <v>0.76</v>
      </c>
      <c r="E5975" s="476">
        <v>0.04722</v>
      </c>
      <c r="F5975" s="6">
        <v>0.0107</v>
      </c>
      <c r="G5975" s="6">
        <v>435.75</v>
      </c>
    </row>
    <row r="5976" ht="15.75" customHeight="1" spans="1:7">
      <c r="A5976" s="4" t="s">
        <v>13066</v>
      </c>
      <c r="B5976" s="5" t="s">
        <v>13067</v>
      </c>
      <c r="C5976" s="4" t="s">
        <v>13063</v>
      </c>
      <c r="D5976" s="475">
        <v>0.7</v>
      </c>
      <c r="E5976" s="476">
        <v>0</v>
      </c>
      <c r="F5976" s="6">
        <v>0</v>
      </c>
      <c r="G5976" s="6">
        <v>470.61</v>
      </c>
    </row>
    <row r="5977" ht="15.75" customHeight="1" spans="1:7">
      <c r="A5977" s="4" t="s">
        <v>13068</v>
      </c>
      <c r="B5977" s="5" t="s">
        <v>13069</v>
      </c>
      <c r="C5977" s="4" t="s">
        <v>13063</v>
      </c>
      <c r="D5977" s="475">
        <v>1.28</v>
      </c>
      <c r="E5977" s="476">
        <v>0.04367</v>
      </c>
      <c r="F5977" s="6">
        <v>0.0161</v>
      </c>
      <c r="G5977" s="6">
        <v>249</v>
      </c>
    </row>
    <row r="5978" ht="15.75" customHeight="1" spans="1:7">
      <c r="A5978" s="4" t="s">
        <v>13070</v>
      </c>
      <c r="B5978" s="5" t="s">
        <v>13071</v>
      </c>
      <c r="C5978" s="4" t="s">
        <v>13063</v>
      </c>
      <c r="D5978" s="475">
        <v>1.02</v>
      </c>
      <c r="E5978" s="476">
        <v>0.04722</v>
      </c>
      <c r="F5978" s="6">
        <v>0.0139</v>
      </c>
      <c r="G5978" s="6">
        <v>311.25</v>
      </c>
    </row>
    <row r="5979" ht="15.75" customHeight="1" spans="1:7">
      <c r="A5979" s="4" t="s">
        <v>13072</v>
      </c>
      <c r="B5979" s="5" t="s">
        <v>13073</v>
      </c>
      <c r="C5979" s="4" t="s">
        <v>13063</v>
      </c>
      <c r="D5979" s="475">
        <v>0.84</v>
      </c>
      <c r="E5979" s="476">
        <v>0</v>
      </c>
      <c r="F5979" s="6">
        <v>0</v>
      </c>
      <c r="G5979" s="6">
        <v>373.5</v>
      </c>
    </row>
    <row r="5980" ht="15.75" customHeight="1" spans="1:7">
      <c r="A5980" s="4" t="s">
        <v>13074</v>
      </c>
      <c r="B5980" s="5" t="s">
        <v>13075</v>
      </c>
      <c r="C5980" s="4" t="s">
        <v>13063</v>
      </c>
      <c r="D5980" s="475">
        <v>0.95</v>
      </c>
      <c r="E5980" s="476">
        <v>0.04367</v>
      </c>
      <c r="F5980" s="6">
        <v>0.0123</v>
      </c>
      <c r="G5980" s="6">
        <v>348.6</v>
      </c>
    </row>
    <row r="5981" ht="15.75" customHeight="1" spans="1:7">
      <c r="A5981" s="4" t="s">
        <v>13076</v>
      </c>
      <c r="B5981" s="5" t="s">
        <v>13077</v>
      </c>
      <c r="C5981" s="4" t="s">
        <v>13063</v>
      </c>
      <c r="D5981" s="475">
        <v>0.76</v>
      </c>
      <c r="E5981" s="476">
        <v>0.04722</v>
      </c>
      <c r="F5981" s="6">
        <v>0.0106</v>
      </c>
      <c r="G5981" s="6">
        <v>435.75</v>
      </c>
    </row>
    <row r="5982" ht="15.75" customHeight="1" spans="1:7">
      <c r="A5982" s="4" t="s">
        <v>13078</v>
      </c>
      <c r="B5982" s="5" t="s">
        <v>13079</v>
      </c>
      <c r="C5982" s="4" t="s">
        <v>13063</v>
      </c>
      <c r="D5982" s="475">
        <v>0.69</v>
      </c>
      <c r="E5982" s="476">
        <v>0</v>
      </c>
      <c r="F5982" s="6">
        <v>0</v>
      </c>
      <c r="G5982" s="6">
        <v>470.61</v>
      </c>
    </row>
    <row r="5983" ht="15.75" customHeight="1" spans="1:7">
      <c r="A5983" s="4" t="s">
        <v>13080</v>
      </c>
      <c r="B5983" s="5" t="s">
        <v>13081</v>
      </c>
      <c r="C5983" s="4" t="s">
        <v>13063</v>
      </c>
      <c r="D5983" s="475">
        <v>1.36</v>
      </c>
      <c r="E5983" s="476">
        <v>0.04367</v>
      </c>
      <c r="F5983" s="6">
        <v>0.0229</v>
      </c>
      <c r="G5983" s="6">
        <v>149.4</v>
      </c>
    </row>
    <row r="5984" ht="15.75" customHeight="1" spans="1:7">
      <c r="A5984" s="4" t="s">
        <v>13082</v>
      </c>
      <c r="B5984" s="5" t="s">
        <v>13083</v>
      </c>
      <c r="C5984" s="4" t="s">
        <v>13063</v>
      </c>
      <c r="D5984" s="475">
        <v>1.09</v>
      </c>
      <c r="E5984" s="476">
        <v>0.04722</v>
      </c>
      <c r="F5984" s="6">
        <v>0.0198</v>
      </c>
      <c r="G5984" s="6">
        <v>186.75</v>
      </c>
    </row>
    <row r="5985" ht="15.75" customHeight="1" spans="1:7">
      <c r="A5985" s="4" t="s">
        <v>13084</v>
      </c>
      <c r="B5985" s="5" t="s">
        <v>13085</v>
      </c>
      <c r="C5985" s="4" t="s">
        <v>13063</v>
      </c>
      <c r="D5985" s="475">
        <v>0.89</v>
      </c>
      <c r="E5985" s="476">
        <v>0</v>
      </c>
      <c r="F5985" s="6">
        <v>0</v>
      </c>
      <c r="G5985" s="6">
        <v>224.1</v>
      </c>
    </row>
    <row r="5986" ht="15.75" customHeight="1" spans="1:7">
      <c r="A5986" s="4" t="s">
        <v>13086</v>
      </c>
      <c r="B5986" s="5" t="s">
        <v>13087</v>
      </c>
      <c r="C5986" s="4" t="s">
        <v>13063</v>
      </c>
      <c r="D5986" s="475">
        <v>1.25</v>
      </c>
      <c r="E5986" s="476">
        <v>0.04367</v>
      </c>
      <c r="F5986" s="6">
        <v>0.0171</v>
      </c>
      <c r="G5986" s="6">
        <v>318.72</v>
      </c>
    </row>
    <row r="5987" ht="15.75" customHeight="1" spans="1:7">
      <c r="A5987" s="4" t="s">
        <v>13088</v>
      </c>
      <c r="B5987" s="5" t="s">
        <v>13089</v>
      </c>
      <c r="C5987" s="4" t="s">
        <v>13063</v>
      </c>
      <c r="D5987" s="475">
        <v>1</v>
      </c>
      <c r="E5987" s="476">
        <v>0.04722</v>
      </c>
      <c r="F5987" s="6">
        <v>0.0148</v>
      </c>
      <c r="G5987" s="6">
        <v>398.4</v>
      </c>
    </row>
    <row r="5988" ht="15.75" customHeight="1" spans="1:7">
      <c r="A5988" s="4" t="s">
        <v>13090</v>
      </c>
      <c r="B5988" s="5" t="s">
        <v>13091</v>
      </c>
      <c r="C5988" s="4" t="s">
        <v>13063</v>
      </c>
      <c r="D5988" s="475">
        <v>0.82</v>
      </c>
      <c r="E5988" s="476">
        <v>0</v>
      </c>
      <c r="F5988" s="6">
        <v>0</v>
      </c>
      <c r="G5988" s="6">
        <v>478.08</v>
      </c>
    </row>
    <row r="5989" ht="30" customHeight="1" spans="1:7">
      <c r="A5989" s="4" t="s">
        <v>13092</v>
      </c>
      <c r="B5989" s="5" t="s">
        <v>13093</v>
      </c>
      <c r="C5989" s="4" t="s">
        <v>13063</v>
      </c>
      <c r="D5989" s="475">
        <v>2.07</v>
      </c>
      <c r="E5989" s="476">
        <v>0.04367</v>
      </c>
      <c r="F5989" s="6">
        <v>0.0277</v>
      </c>
      <c r="G5989" s="6">
        <v>197.71</v>
      </c>
    </row>
    <row r="5990" ht="30" customHeight="1" spans="1:7">
      <c r="A5990" s="4" t="s">
        <v>13094</v>
      </c>
      <c r="B5990" s="5" t="s">
        <v>13095</v>
      </c>
      <c r="C5990" s="4" t="s">
        <v>13063</v>
      </c>
      <c r="D5990" s="475">
        <v>1.66</v>
      </c>
      <c r="E5990" s="476">
        <v>0.04722</v>
      </c>
      <c r="F5990" s="6">
        <v>0.0239</v>
      </c>
      <c r="G5990" s="6">
        <v>247.13</v>
      </c>
    </row>
    <row r="5991" ht="30" customHeight="1" spans="1:7">
      <c r="A5991" s="4" t="s">
        <v>13096</v>
      </c>
      <c r="B5991" s="5" t="s">
        <v>13097</v>
      </c>
      <c r="C5991" s="4" t="s">
        <v>13063</v>
      </c>
      <c r="D5991" s="475">
        <v>1.36</v>
      </c>
      <c r="E5991" s="476">
        <v>0</v>
      </c>
      <c r="F5991" s="6">
        <v>0</v>
      </c>
      <c r="G5991" s="6">
        <v>296.56</v>
      </c>
    </row>
    <row r="5992" ht="30" customHeight="1" spans="1:7">
      <c r="A5992" s="4" t="s">
        <v>13098</v>
      </c>
      <c r="B5992" s="5" t="s">
        <v>13099</v>
      </c>
      <c r="C5992" s="4" t="s">
        <v>13063</v>
      </c>
      <c r="D5992" s="475">
        <v>2.88</v>
      </c>
      <c r="E5992" s="476">
        <v>0.04367</v>
      </c>
      <c r="F5992" s="6">
        <v>0.0433</v>
      </c>
      <c r="G5992" s="6">
        <v>116.2</v>
      </c>
    </row>
    <row r="5993" ht="30" customHeight="1" spans="1:7">
      <c r="A5993" s="4" t="s">
        <v>13100</v>
      </c>
      <c r="B5993" s="5" t="s">
        <v>13101</v>
      </c>
      <c r="C5993" s="4" t="s">
        <v>13063</v>
      </c>
      <c r="D5993" s="475">
        <v>2.31</v>
      </c>
      <c r="E5993" s="476">
        <v>0.04722</v>
      </c>
      <c r="F5993" s="6">
        <v>0.0375</v>
      </c>
      <c r="G5993" s="6">
        <v>145.25</v>
      </c>
    </row>
    <row r="5994" ht="15.75" customHeight="1" spans="1:7">
      <c r="A5994" s="4" t="s">
        <v>13102</v>
      </c>
      <c r="B5994" s="5" t="s">
        <v>13103</v>
      </c>
      <c r="C5994" s="4" t="s">
        <v>13063</v>
      </c>
      <c r="D5994" s="475">
        <v>1.89</v>
      </c>
      <c r="E5994" s="476">
        <v>0</v>
      </c>
      <c r="F5994" s="6">
        <v>0</v>
      </c>
      <c r="G5994" s="6">
        <v>174.3</v>
      </c>
    </row>
    <row r="5995" ht="30" customHeight="1" spans="1:7">
      <c r="A5995" s="4" t="s">
        <v>13104</v>
      </c>
      <c r="B5995" s="5" t="s">
        <v>13105</v>
      </c>
      <c r="C5995" s="4" t="s">
        <v>13063</v>
      </c>
      <c r="D5995" s="475">
        <v>2.12</v>
      </c>
      <c r="E5995" s="476">
        <v>0.04367</v>
      </c>
      <c r="F5995" s="6">
        <v>0.0307</v>
      </c>
      <c r="G5995" s="6">
        <v>146.76</v>
      </c>
    </row>
    <row r="5996" ht="30" customHeight="1" spans="1:7">
      <c r="A5996" s="4" t="s">
        <v>13106</v>
      </c>
      <c r="B5996" s="5" t="s">
        <v>13107</v>
      </c>
      <c r="C5996" s="4" t="s">
        <v>13063</v>
      </c>
      <c r="D5996" s="475">
        <v>1.7</v>
      </c>
      <c r="E5996" s="476">
        <v>0.04722</v>
      </c>
      <c r="F5996" s="6">
        <v>0.0265</v>
      </c>
      <c r="G5996" s="6">
        <v>183.45</v>
      </c>
    </row>
    <row r="5997" ht="30" customHeight="1" spans="1:7">
      <c r="A5997" s="4" t="s">
        <v>13108</v>
      </c>
      <c r="B5997" s="5" t="s">
        <v>13109</v>
      </c>
      <c r="C5997" s="4" t="s">
        <v>13063</v>
      </c>
      <c r="D5997" s="475">
        <v>1.4</v>
      </c>
      <c r="E5997" s="476">
        <v>0</v>
      </c>
      <c r="F5997" s="6">
        <v>0</v>
      </c>
      <c r="G5997" s="6">
        <v>220.14</v>
      </c>
    </row>
    <row r="5998" ht="15.75" customHeight="1" spans="1:7">
      <c r="A5998" s="4" t="s">
        <v>13110</v>
      </c>
      <c r="B5998" s="5" t="s">
        <v>13111</v>
      </c>
      <c r="C5998" s="4" t="s">
        <v>13063</v>
      </c>
      <c r="D5998" s="475">
        <v>1.11</v>
      </c>
      <c r="E5998" s="476">
        <v>0.04367</v>
      </c>
      <c r="F5998" s="6">
        <v>0.0145</v>
      </c>
      <c r="G5998" s="6">
        <v>259.04</v>
      </c>
    </row>
    <row r="5999" ht="15.75" customHeight="1" spans="1:7">
      <c r="A5999" s="4" t="s">
        <v>13112</v>
      </c>
      <c r="B5999" s="5" t="s">
        <v>13113</v>
      </c>
      <c r="C5999" s="4" t="s">
        <v>13063</v>
      </c>
      <c r="D5999" s="475">
        <v>0.89</v>
      </c>
      <c r="E5999" s="476">
        <v>0.04722</v>
      </c>
      <c r="F5999" s="6">
        <v>0.0125</v>
      </c>
      <c r="G5999" s="6">
        <v>323.8</v>
      </c>
    </row>
    <row r="6000" ht="15.75" customHeight="1" spans="1:7">
      <c r="A6000" s="4" t="s">
        <v>13114</v>
      </c>
      <c r="B6000" s="5" t="s">
        <v>13115</v>
      </c>
      <c r="C6000" s="4" t="s">
        <v>13063</v>
      </c>
      <c r="D6000" s="475">
        <v>0.73</v>
      </c>
      <c r="E6000" s="476">
        <v>0</v>
      </c>
      <c r="F6000" s="6">
        <v>0</v>
      </c>
      <c r="G6000" s="6">
        <v>388.56</v>
      </c>
    </row>
    <row r="6001" ht="15.75" customHeight="1" spans="1:7">
      <c r="A6001" s="4" t="s">
        <v>13116</v>
      </c>
      <c r="B6001" s="5" t="s">
        <v>13117</v>
      </c>
      <c r="C6001" s="4" t="s">
        <v>13063</v>
      </c>
      <c r="D6001" s="475">
        <v>2.12</v>
      </c>
      <c r="E6001" s="476">
        <v>0.04367</v>
      </c>
      <c r="F6001" s="6">
        <v>0.036</v>
      </c>
      <c r="G6001" s="6">
        <v>83.58</v>
      </c>
    </row>
    <row r="6002" ht="15.75" customHeight="1" spans="1:7">
      <c r="A6002" s="4" t="s">
        <v>13118</v>
      </c>
      <c r="B6002" s="5" t="s">
        <v>13119</v>
      </c>
      <c r="C6002" s="4" t="s">
        <v>13063</v>
      </c>
      <c r="D6002" s="475">
        <v>1.7</v>
      </c>
      <c r="E6002" s="476">
        <v>0.04722</v>
      </c>
      <c r="F6002" s="6">
        <v>0.0312</v>
      </c>
      <c r="G6002" s="6">
        <v>104.48</v>
      </c>
    </row>
    <row r="6003" ht="15.75" customHeight="1" spans="1:7">
      <c r="A6003" s="4" t="s">
        <v>13120</v>
      </c>
      <c r="B6003" s="5" t="s">
        <v>13121</v>
      </c>
      <c r="C6003" s="4" t="s">
        <v>13063</v>
      </c>
      <c r="D6003" s="475">
        <v>1.39</v>
      </c>
      <c r="E6003" s="476">
        <v>0</v>
      </c>
      <c r="F6003" s="6">
        <v>0</v>
      </c>
      <c r="G6003" s="6">
        <v>125.37</v>
      </c>
    </row>
    <row r="6004" ht="15.75" customHeight="1" spans="1:7">
      <c r="A6004" s="4" t="s">
        <v>13122</v>
      </c>
      <c r="B6004" s="5" t="s">
        <v>13123</v>
      </c>
      <c r="C6004" s="4" t="s">
        <v>13063</v>
      </c>
      <c r="D6004" s="475">
        <v>1.3</v>
      </c>
      <c r="E6004" s="476">
        <v>0.04367</v>
      </c>
      <c r="F6004" s="6">
        <v>0.0218</v>
      </c>
      <c r="G6004" s="6">
        <v>154.2</v>
      </c>
    </row>
    <row r="6005" ht="15.75" customHeight="1" spans="1:7">
      <c r="A6005" s="4" t="s">
        <v>13124</v>
      </c>
      <c r="B6005" s="5" t="s">
        <v>13125</v>
      </c>
      <c r="C6005" s="4" t="s">
        <v>13063</v>
      </c>
      <c r="D6005" s="475">
        <v>1.04</v>
      </c>
      <c r="E6005" s="476">
        <v>0.04722</v>
      </c>
      <c r="F6005" s="6">
        <v>0.0189</v>
      </c>
      <c r="G6005" s="6">
        <v>192.75</v>
      </c>
    </row>
    <row r="6006" ht="15.75" customHeight="1" spans="1:7">
      <c r="A6006" s="4" t="s">
        <v>13126</v>
      </c>
      <c r="B6006" s="5" t="s">
        <v>13127</v>
      </c>
      <c r="C6006" s="4" t="s">
        <v>13063</v>
      </c>
      <c r="D6006" s="475">
        <v>0.85</v>
      </c>
      <c r="E6006" s="476">
        <v>0</v>
      </c>
      <c r="F6006" s="6">
        <v>0</v>
      </c>
      <c r="G6006" s="6">
        <v>231.3</v>
      </c>
    </row>
    <row r="6007" ht="15.75" customHeight="1" spans="1:7">
      <c r="A6007" s="4" t="s">
        <v>13128</v>
      </c>
      <c r="B6007" s="5" t="s">
        <v>13129</v>
      </c>
      <c r="C6007" s="4" t="s">
        <v>13063</v>
      </c>
      <c r="D6007" s="475">
        <v>1.3</v>
      </c>
      <c r="E6007" s="476">
        <v>0.04367</v>
      </c>
      <c r="F6007" s="6">
        <v>0.0168</v>
      </c>
      <c r="G6007" s="6">
        <v>336.23</v>
      </c>
    </row>
    <row r="6008" ht="15.75" customHeight="1" spans="1:7">
      <c r="A6008" s="4" t="s">
        <v>13130</v>
      </c>
      <c r="B6008" s="5" t="s">
        <v>13131</v>
      </c>
      <c r="C6008" s="4" t="s">
        <v>13063</v>
      </c>
      <c r="D6008" s="475">
        <v>1.04</v>
      </c>
      <c r="E6008" s="476">
        <v>0.04722</v>
      </c>
      <c r="F6008" s="6">
        <v>0.0145</v>
      </c>
      <c r="G6008" s="6">
        <v>420.29</v>
      </c>
    </row>
    <row r="6009" ht="15.75" customHeight="1" spans="1:7">
      <c r="A6009" s="4" t="s">
        <v>13132</v>
      </c>
      <c r="B6009" s="5" t="s">
        <v>13133</v>
      </c>
      <c r="C6009" s="4" t="s">
        <v>13063</v>
      </c>
      <c r="D6009" s="475">
        <v>0.85</v>
      </c>
      <c r="E6009" s="476">
        <v>0</v>
      </c>
      <c r="F6009" s="6">
        <v>0</v>
      </c>
      <c r="G6009" s="6">
        <v>504.35</v>
      </c>
    </row>
    <row r="6010" ht="15.75" customHeight="1" spans="1:7">
      <c r="A6010" s="4" t="s">
        <v>13134</v>
      </c>
      <c r="B6010" s="5" t="s">
        <v>13135</v>
      </c>
      <c r="C6010" s="4" t="s">
        <v>13063</v>
      </c>
      <c r="D6010" s="475">
        <v>0.9</v>
      </c>
      <c r="E6010" s="476">
        <v>0.04367</v>
      </c>
      <c r="F6010" s="6">
        <v>0.0116</v>
      </c>
      <c r="G6010" s="6">
        <v>535.85</v>
      </c>
    </row>
    <row r="6011" ht="15.75" customHeight="1" spans="1:7">
      <c r="A6011" s="4" t="s">
        <v>13136</v>
      </c>
      <c r="B6011" s="5" t="s">
        <v>13137</v>
      </c>
      <c r="C6011" s="4" t="s">
        <v>13063</v>
      </c>
      <c r="D6011" s="475">
        <v>0.72</v>
      </c>
      <c r="E6011" s="476">
        <v>0.04722</v>
      </c>
      <c r="F6011" s="6">
        <v>0.0101</v>
      </c>
      <c r="G6011" s="6">
        <v>669.81</v>
      </c>
    </row>
    <row r="6012" ht="15.75" customHeight="1" spans="1:7">
      <c r="A6012" s="4" t="s">
        <v>13138</v>
      </c>
      <c r="B6012" s="5" t="s">
        <v>13139</v>
      </c>
      <c r="C6012" s="4" t="s">
        <v>13063</v>
      </c>
      <c r="D6012" s="475">
        <v>0.59</v>
      </c>
      <c r="E6012" s="476">
        <v>0</v>
      </c>
      <c r="F6012" s="6">
        <v>0</v>
      </c>
      <c r="G6012" s="6">
        <v>803.77</v>
      </c>
    </row>
    <row r="6013" ht="15.75" customHeight="1" spans="1:7">
      <c r="A6013" s="4" t="s">
        <v>13140</v>
      </c>
      <c r="B6013" s="5" t="s">
        <v>13141</v>
      </c>
      <c r="C6013" s="4" t="s">
        <v>13063</v>
      </c>
      <c r="D6013" s="475">
        <v>2.21</v>
      </c>
      <c r="E6013" s="476">
        <v>0.04367</v>
      </c>
      <c r="F6013" s="6">
        <v>0.0258</v>
      </c>
      <c r="G6013" s="6">
        <v>166</v>
      </c>
    </row>
    <row r="6014" ht="15.75" customHeight="1" spans="1:7">
      <c r="A6014" s="4" t="s">
        <v>13142</v>
      </c>
      <c r="B6014" s="5" t="s">
        <v>13143</v>
      </c>
      <c r="C6014" s="4" t="s">
        <v>13063</v>
      </c>
      <c r="D6014" s="475">
        <v>1.77</v>
      </c>
      <c r="E6014" s="476">
        <v>0.04722</v>
      </c>
      <c r="F6014" s="6">
        <v>0.0223</v>
      </c>
      <c r="G6014" s="6">
        <v>207.5</v>
      </c>
    </row>
    <row r="6015" ht="15.75" customHeight="1" spans="1:7">
      <c r="A6015" s="4" t="s">
        <v>13144</v>
      </c>
      <c r="B6015" s="5" t="s">
        <v>13145</v>
      </c>
      <c r="C6015" s="4" t="s">
        <v>13063</v>
      </c>
      <c r="D6015" s="475">
        <v>1.46</v>
      </c>
      <c r="E6015" s="476">
        <v>0</v>
      </c>
      <c r="F6015" s="6">
        <v>0</v>
      </c>
      <c r="G6015" s="6">
        <v>249</v>
      </c>
    </row>
    <row r="6016" ht="15.75" customHeight="1" spans="1:7">
      <c r="A6016" s="4" t="s">
        <v>13146</v>
      </c>
      <c r="B6016" s="5" t="s">
        <v>13147</v>
      </c>
      <c r="C6016" s="4" t="s">
        <v>13063</v>
      </c>
      <c r="D6016" s="475">
        <v>1.71</v>
      </c>
      <c r="E6016" s="476">
        <v>0.04367</v>
      </c>
      <c r="F6016" s="6">
        <v>0.02</v>
      </c>
      <c r="G6016" s="6">
        <v>215.8</v>
      </c>
    </row>
    <row r="6017" ht="15.75" customHeight="1" spans="1:7">
      <c r="A6017" s="4" t="s">
        <v>13148</v>
      </c>
      <c r="B6017" s="5" t="s">
        <v>13149</v>
      </c>
      <c r="C6017" s="4" t="s">
        <v>13063</v>
      </c>
      <c r="D6017" s="475">
        <v>1.37</v>
      </c>
      <c r="E6017" s="476">
        <v>0.04722</v>
      </c>
      <c r="F6017" s="6">
        <v>0.0173</v>
      </c>
      <c r="G6017" s="6">
        <v>269.75</v>
      </c>
    </row>
    <row r="6018" ht="15.75" customHeight="1" spans="1:7">
      <c r="A6018" s="4" t="s">
        <v>13150</v>
      </c>
      <c r="B6018" s="5" t="s">
        <v>13151</v>
      </c>
      <c r="C6018" s="4" t="s">
        <v>13063</v>
      </c>
      <c r="D6018" s="475">
        <v>1.13</v>
      </c>
      <c r="E6018" s="476">
        <v>0</v>
      </c>
      <c r="F6018" s="6">
        <v>0</v>
      </c>
      <c r="G6018" s="6">
        <v>323.7</v>
      </c>
    </row>
    <row r="6019" ht="15.75" customHeight="1" spans="1:7">
      <c r="A6019" s="4" t="s">
        <v>13152</v>
      </c>
      <c r="B6019" s="5" t="s">
        <v>13153</v>
      </c>
      <c r="C6019" s="4" t="s">
        <v>13063</v>
      </c>
      <c r="D6019" s="475">
        <v>2.88</v>
      </c>
      <c r="E6019" s="476">
        <v>0.04367</v>
      </c>
      <c r="F6019" s="6">
        <v>0.0375</v>
      </c>
      <c r="G6019" s="6">
        <v>99.6</v>
      </c>
    </row>
    <row r="6020" ht="15.75" customHeight="1" spans="1:7">
      <c r="A6020" s="4" t="s">
        <v>13154</v>
      </c>
      <c r="B6020" s="5" t="s">
        <v>13155</v>
      </c>
      <c r="C6020" s="4" t="s">
        <v>13063</v>
      </c>
      <c r="D6020" s="475">
        <v>2.31</v>
      </c>
      <c r="E6020" s="476">
        <v>0.04722</v>
      </c>
      <c r="F6020" s="6">
        <v>0.0324</v>
      </c>
      <c r="G6020" s="6">
        <v>124.5</v>
      </c>
    </row>
    <row r="6021" ht="15.75" customHeight="1" spans="1:7">
      <c r="A6021" s="4" t="s">
        <v>13156</v>
      </c>
      <c r="B6021" s="5" t="s">
        <v>13157</v>
      </c>
      <c r="C6021" s="4" t="s">
        <v>13063</v>
      </c>
      <c r="D6021" s="475">
        <v>1.89</v>
      </c>
      <c r="E6021" s="476">
        <v>0</v>
      </c>
      <c r="F6021" s="6">
        <v>0</v>
      </c>
      <c r="G6021" s="6">
        <v>149.4</v>
      </c>
    </row>
    <row r="6022" ht="15.75" customHeight="1" spans="1:7">
      <c r="A6022" s="4" t="s">
        <v>13158</v>
      </c>
      <c r="B6022" s="5" t="s">
        <v>13159</v>
      </c>
      <c r="C6022" s="4" t="s">
        <v>13063</v>
      </c>
      <c r="D6022" s="475">
        <v>2.2</v>
      </c>
      <c r="E6022" s="476">
        <v>0.04367</v>
      </c>
      <c r="F6022" s="6">
        <v>0.0291</v>
      </c>
      <c r="G6022" s="6">
        <v>132.8</v>
      </c>
    </row>
    <row r="6023" ht="15.75" customHeight="1" spans="1:7">
      <c r="A6023" s="4" t="s">
        <v>13160</v>
      </c>
      <c r="B6023" s="5" t="s">
        <v>13161</v>
      </c>
      <c r="C6023" s="4" t="s">
        <v>13063</v>
      </c>
      <c r="D6023" s="475">
        <v>1.77</v>
      </c>
      <c r="E6023" s="476">
        <v>0.04722</v>
      </c>
      <c r="F6023" s="6">
        <v>0.0251</v>
      </c>
      <c r="G6023" s="6">
        <v>166</v>
      </c>
    </row>
    <row r="6024" ht="15.75" customHeight="1" spans="1:7">
      <c r="A6024" s="4" t="s">
        <v>13162</v>
      </c>
      <c r="B6024" s="5" t="s">
        <v>13163</v>
      </c>
      <c r="C6024" s="4" t="s">
        <v>13063</v>
      </c>
      <c r="D6024" s="475">
        <v>1.45</v>
      </c>
      <c r="E6024" s="476">
        <v>0</v>
      </c>
      <c r="F6024" s="6">
        <v>0</v>
      </c>
      <c r="G6024" s="6">
        <v>199.2</v>
      </c>
    </row>
    <row r="6025" ht="15.75" customHeight="1" spans="1:7">
      <c r="A6025" s="4" t="s">
        <v>13164</v>
      </c>
      <c r="B6025" s="5" t="s">
        <v>13165</v>
      </c>
      <c r="C6025" s="4" t="s">
        <v>13166</v>
      </c>
      <c r="D6025" s="475">
        <v>2.07</v>
      </c>
      <c r="E6025" s="476">
        <v>0</v>
      </c>
      <c r="F6025" s="6">
        <v>0</v>
      </c>
      <c r="G6025" s="6">
        <v>5496.28</v>
      </c>
    </row>
    <row r="6026" ht="15.75" customHeight="1" spans="1:7">
      <c r="A6026" s="4" t="s">
        <v>13167</v>
      </c>
      <c r="B6026" s="5" t="s">
        <v>13168</v>
      </c>
      <c r="C6026" s="4" t="s">
        <v>13166</v>
      </c>
      <c r="D6026" s="475">
        <v>0.51</v>
      </c>
      <c r="E6026" s="476">
        <v>0</v>
      </c>
      <c r="F6026" s="6">
        <v>0</v>
      </c>
      <c r="G6026" s="6">
        <v>86118.38</v>
      </c>
    </row>
    <row r="6027" ht="15.75" customHeight="1" spans="1:7">
      <c r="A6027" s="4" t="s">
        <v>13169</v>
      </c>
      <c r="B6027" s="5" t="s">
        <v>13170</v>
      </c>
      <c r="C6027" s="4" t="s">
        <v>13166</v>
      </c>
      <c r="D6027" s="475">
        <v>0.48</v>
      </c>
      <c r="E6027" s="476">
        <v>0</v>
      </c>
      <c r="F6027" s="6">
        <v>0</v>
      </c>
      <c r="G6027" s="6">
        <v>129177.57</v>
      </c>
    </row>
    <row r="6028" ht="15.75" customHeight="1" spans="1:7">
      <c r="A6028" s="4" t="s">
        <v>13171</v>
      </c>
      <c r="B6028" s="5" t="s">
        <v>13172</v>
      </c>
      <c r="C6028" s="4" t="s">
        <v>13166</v>
      </c>
      <c r="D6028" s="475">
        <v>1.21</v>
      </c>
      <c r="E6028" s="476">
        <v>0</v>
      </c>
      <c r="F6028" s="6">
        <v>0</v>
      </c>
      <c r="G6028" s="6">
        <v>12458.85</v>
      </c>
    </row>
    <row r="6029" ht="15.75" customHeight="1" spans="1:7">
      <c r="A6029" s="4" t="s">
        <v>13173</v>
      </c>
      <c r="B6029" s="5" t="s">
        <v>13174</v>
      </c>
      <c r="C6029" s="4" t="s">
        <v>13166</v>
      </c>
      <c r="D6029" s="475">
        <v>0.46</v>
      </c>
      <c r="E6029" s="476">
        <v>0</v>
      </c>
      <c r="F6029" s="6">
        <v>0</v>
      </c>
      <c r="G6029" s="6">
        <v>172236.76</v>
      </c>
    </row>
    <row r="6030" ht="15.75" customHeight="1" spans="1:7">
      <c r="A6030" s="4" t="s">
        <v>13175</v>
      </c>
      <c r="B6030" s="5" t="s">
        <v>13176</v>
      </c>
      <c r="C6030" s="4" t="s">
        <v>13166</v>
      </c>
      <c r="D6030" s="475">
        <v>0.94</v>
      </c>
      <c r="E6030" s="476">
        <v>0</v>
      </c>
      <c r="F6030" s="6">
        <v>0</v>
      </c>
      <c r="G6030" s="6">
        <v>20058.75</v>
      </c>
    </row>
    <row r="6031" ht="15.75" customHeight="1" spans="1:7">
      <c r="A6031" s="4" t="s">
        <v>13177</v>
      </c>
      <c r="B6031" s="5" t="s">
        <v>13178</v>
      </c>
      <c r="C6031" s="4" t="s">
        <v>13166</v>
      </c>
      <c r="D6031" s="475">
        <v>0.81</v>
      </c>
      <c r="E6031" s="476">
        <v>0</v>
      </c>
      <c r="F6031" s="6">
        <v>0</v>
      </c>
      <c r="G6031" s="6">
        <v>27934.81</v>
      </c>
    </row>
    <row r="6032" ht="15.75" customHeight="1" spans="1:7">
      <c r="A6032" s="4" t="s">
        <v>13179</v>
      </c>
      <c r="B6032" s="5" t="s">
        <v>13180</v>
      </c>
      <c r="C6032" s="4" t="s">
        <v>13166</v>
      </c>
      <c r="D6032" s="475">
        <v>0.71</v>
      </c>
      <c r="E6032" s="476">
        <v>0</v>
      </c>
      <c r="F6032" s="6">
        <v>0</v>
      </c>
      <c r="G6032" s="6">
        <v>37104.72</v>
      </c>
    </row>
    <row r="6033" ht="15.75" customHeight="1" spans="1:7">
      <c r="A6033" s="4" t="s">
        <v>13181</v>
      </c>
      <c r="B6033" s="5" t="s">
        <v>13182</v>
      </c>
      <c r="C6033" s="4" t="s">
        <v>13166</v>
      </c>
      <c r="D6033" s="475">
        <v>3.03</v>
      </c>
      <c r="E6033" s="476">
        <v>0</v>
      </c>
      <c r="F6033" s="6">
        <v>0</v>
      </c>
      <c r="G6033" s="6">
        <v>3452.67</v>
      </c>
    </row>
    <row r="6034" ht="15.75" customHeight="1" spans="1:7">
      <c r="A6034" s="4" t="s">
        <v>13183</v>
      </c>
      <c r="B6034" s="5" t="s">
        <v>13184</v>
      </c>
      <c r="C6034" s="4" t="s">
        <v>13166</v>
      </c>
      <c r="D6034" s="475">
        <v>2.02</v>
      </c>
      <c r="E6034" s="476">
        <v>0</v>
      </c>
      <c r="F6034" s="6">
        <v>0</v>
      </c>
      <c r="G6034" s="6">
        <v>5639.88</v>
      </c>
    </row>
    <row r="6035" ht="15.75" customHeight="1" spans="1:7">
      <c r="A6035" s="4" t="s">
        <v>13185</v>
      </c>
      <c r="B6035" s="5" t="s">
        <v>13186</v>
      </c>
      <c r="C6035" s="4" t="s">
        <v>13166</v>
      </c>
      <c r="D6035" s="475">
        <v>0.5</v>
      </c>
      <c r="E6035" s="476">
        <v>0</v>
      </c>
      <c r="F6035" s="6">
        <v>0</v>
      </c>
      <c r="G6035" s="6">
        <v>88368.32</v>
      </c>
    </row>
    <row r="6036" ht="15.75" customHeight="1" spans="1:7">
      <c r="A6036" s="4" t="s">
        <v>13187</v>
      </c>
      <c r="B6036" s="5" t="s">
        <v>13188</v>
      </c>
      <c r="C6036" s="4" t="s">
        <v>13166</v>
      </c>
      <c r="D6036" s="475">
        <v>0.46</v>
      </c>
      <c r="E6036" s="476">
        <v>0</v>
      </c>
      <c r="F6036" s="6">
        <v>0</v>
      </c>
      <c r="G6036" s="6">
        <v>132552.48</v>
      </c>
    </row>
    <row r="6037" ht="15.75" customHeight="1" spans="1:7">
      <c r="A6037" s="4" t="s">
        <v>13189</v>
      </c>
      <c r="B6037" s="5" t="s">
        <v>13190</v>
      </c>
      <c r="C6037" s="4" t="s">
        <v>13166</v>
      </c>
      <c r="D6037" s="475">
        <v>1.18</v>
      </c>
      <c r="E6037" s="476">
        <v>0</v>
      </c>
      <c r="F6037" s="6">
        <v>0</v>
      </c>
      <c r="G6037" s="6">
        <v>12784.35</v>
      </c>
    </row>
    <row r="6038" ht="15.75" customHeight="1" spans="1:7">
      <c r="A6038" s="4" t="s">
        <v>13191</v>
      </c>
      <c r="B6038" s="5" t="s">
        <v>13192</v>
      </c>
      <c r="C6038" s="4" t="s">
        <v>13166</v>
      </c>
      <c r="D6038" s="475">
        <v>0.45</v>
      </c>
      <c r="E6038" s="476">
        <v>0</v>
      </c>
      <c r="F6038" s="6">
        <v>0</v>
      </c>
      <c r="G6038" s="6">
        <v>176736.64</v>
      </c>
    </row>
    <row r="6039" ht="15.75" customHeight="1" spans="1:7">
      <c r="A6039" s="4" t="s">
        <v>13193</v>
      </c>
      <c r="B6039" s="5" t="s">
        <v>13194</v>
      </c>
      <c r="C6039" s="4" t="s">
        <v>13166</v>
      </c>
      <c r="D6039" s="475">
        <v>0.91</v>
      </c>
      <c r="E6039" s="476">
        <v>0</v>
      </c>
      <c r="F6039" s="6">
        <v>0</v>
      </c>
      <c r="G6039" s="6">
        <v>20582.8</v>
      </c>
    </row>
    <row r="6040" ht="15.75" customHeight="1" spans="1:7">
      <c r="A6040" s="4" t="s">
        <v>13195</v>
      </c>
      <c r="B6040" s="5" t="s">
        <v>13196</v>
      </c>
      <c r="C6040" s="4" t="s">
        <v>13166</v>
      </c>
      <c r="D6040" s="475">
        <v>0.79</v>
      </c>
      <c r="E6040" s="476">
        <v>0</v>
      </c>
      <c r="F6040" s="6">
        <v>0</v>
      </c>
      <c r="G6040" s="6">
        <v>28664.64</v>
      </c>
    </row>
    <row r="6041" ht="15.75" customHeight="1" spans="1:7">
      <c r="A6041" s="4" t="s">
        <v>13197</v>
      </c>
      <c r="B6041" s="5" t="s">
        <v>13198</v>
      </c>
      <c r="C6041" s="4" t="s">
        <v>13166</v>
      </c>
      <c r="D6041" s="475">
        <v>0.69</v>
      </c>
      <c r="E6041" s="476">
        <v>0</v>
      </c>
      <c r="F6041" s="6">
        <v>0</v>
      </c>
      <c r="G6041" s="6">
        <v>38074.12</v>
      </c>
    </row>
    <row r="6042" ht="15.75" customHeight="1" spans="1:7">
      <c r="A6042" s="4" t="s">
        <v>13199</v>
      </c>
      <c r="B6042" s="5" t="s">
        <v>13200</v>
      </c>
      <c r="C6042" s="4" t="s">
        <v>13166</v>
      </c>
      <c r="D6042" s="475">
        <v>2.95</v>
      </c>
      <c r="E6042" s="476">
        <v>0</v>
      </c>
      <c r="F6042" s="6">
        <v>0</v>
      </c>
      <c r="G6042" s="6">
        <v>3542.88</v>
      </c>
    </row>
    <row r="6043" ht="15.75" customHeight="1" spans="1:7">
      <c r="A6043" s="4" t="s">
        <v>13201</v>
      </c>
      <c r="B6043" s="5" t="s">
        <v>13202</v>
      </c>
      <c r="C6043" s="4" t="s">
        <v>13166</v>
      </c>
      <c r="D6043" s="475">
        <v>2.04</v>
      </c>
      <c r="E6043" s="476">
        <v>0</v>
      </c>
      <c r="F6043" s="6">
        <v>0</v>
      </c>
      <c r="G6043" s="6">
        <v>5579.56</v>
      </c>
    </row>
    <row r="6044" ht="15.75" customHeight="1" spans="1:7">
      <c r="A6044" s="4" t="s">
        <v>13203</v>
      </c>
      <c r="B6044" s="5" t="s">
        <v>13204</v>
      </c>
      <c r="C6044" s="4" t="s">
        <v>13166</v>
      </c>
      <c r="D6044" s="475">
        <v>0.5</v>
      </c>
      <c r="E6044" s="476">
        <v>0</v>
      </c>
      <c r="F6044" s="6">
        <v>0</v>
      </c>
      <c r="G6044" s="6">
        <v>87423.21</v>
      </c>
    </row>
    <row r="6045" ht="15.75" customHeight="1" spans="1:7">
      <c r="A6045" s="4" t="s">
        <v>13205</v>
      </c>
      <c r="B6045" s="5" t="s">
        <v>13206</v>
      </c>
      <c r="C6045" s="4" t="s">
        <v>13166</v>
      </c>
      <c r="D6045" s="475">
        <v>0.47</v>
      </c>
      <c r="E6045" s="476">
        <v>0</v>
      </c>
      <c r="F6045" s="6">
        <v>0</v>
      </c>
      <c r="G6045" s="6">
        <v>131134.81</v>
      </c>
    </row>
    <row r="6046" ht="15.75" customHeight="1" spans="1:7">
      <c r="A6046" s="4" t="s">
        <v>13207</v>
      </c>
      <c r="B6046" s="5" t="s">
        <v>13208</v>
      </c>
      <c r="C6046" s="4" t="s">
        <v>13166</v>
      </c>
      <c r="D6046" s="475">
        <v>1.19</v>
      </c>
      <c r="E6046" s="476">
        <v>0</v>
      </c>
      <c r="F6046" s="6">
        <v>0</v>
      </c>
      <c r="G6046" s="6">
        <v>12647.62</v>
      </c>
    </row>
    <row r="6047" ht="15.75" customHeight="1" spans="1:7">
      <c r="A6047" s="4" t="s">
        <v>13209</v>
      </c>
      <c r="B6047" s="5" t="s">
        <v>13210</v>
      </c>
      <c r="C6047" s="4" t="s">
        <v>13166</v>
      </c>
      <c r="D6047" s="475">
        <v>0.45</v>
      </c>
      <c r="E6047" s="476">
        <v>0</v>
      </c>
      <c r="F6047" s="6">
        <v>0</v>
      </c>
      <c r="G6047" s="6">
        <v>174846.41</v>
      </c>
    </row>
    <row r="6048" ht="15.75" customHeight="1" spans="1:7">
      <c r="A6048" s="4" t="s">
        <v>13211</v>
      </c>
      <c r="B6048" s="5" t="s">
        <v>13212</v>
      </c>
      <c r="C6048" s="4" t="s">
        <v>13166</v>
      </c>
      <c r="D6048" s="475">
        <v>0.92</v>
      </c>
      <c r="E6048" s="476">
        <v>0</v>
      </c>
      <c r="F6048" s="6">
        <v>0</v>
      </c>
      <c r="G6048" s="6">
        <v>20362.67</v>
      </c>
    </row>
    <row r="6049" ht="15.75" customHeight="1" spans="1:7">
      <c r="A6049" s="4" t="s">
        <v>13213</v>
      </c>
      <c r="B6049" s="5" t="s">
        <v>13214</v>
      </c>
      <c r="C6049" s="4" t="s">
        <v>13166</v>
      </c>
      <c r="D6049" s="475">
        <v>0.8</v>
      </c>
      <c r="E6049" s="476">
        <v>0</v>
      </c>
      <c r="F6049" s="6">
        <v>0</v>
      </c>
      <c r="G6049" s="6">
        <v>28358.06</v>
      </c>
    </row>
    <row r="6050" ht="15.75" customHeight="1" spans="1:7">
      <c r="A6050" s="4" t="s">
        <v>13215</v>
      </c>
      <c r="B6050" s="5" t="s">
        <v>13216</v>
      </c>
      <c r="C6050" s="4" t="s">
        <v>13166</v>
      </c>
      <c r="D6050" s="475">
        <v>0.7</v>
      </c>
      <c r="E6050" s="476">
        <v>0</v>
      </c>
      <c r="F6050" s="6">
        <v>0</v>
      </c>
      <c r="G6050" s="6">
        <v>37666.91</v>
      </c>
    </row>
    <row r="6051" ht="15.75" customHeight="1" spans="1:7">
      <c r="A6051" s="4" t="s">
        <v>13217</v>
      </c>
      <c r="B6051" s="5" t="s">
        <v>13218</v>
      </c>
      <c r="C6051" s="4" t="s">
        <v>13166</v>
      </c>
      <c r="D6051" s="475">
        <v>2.98</v>
      </c>
      <c r="E6051" s="476">
        <v>0</v>
      </c>
      <c r="F6051" s="6">
        <v>0</v>
      </c>
      <c r="G6051" s="6">
        <v>3504.99</v>
      </c>
    </row>
    <row r="6052" ht="15.75" customHeight="1" spans="1:7">
      <c r="A6052" s="4" t="s">
        <v>13219</v>
      </c>
      <c r="B6052" s="5" t="s">
        <v>13220</v>
      </c>
      <c r="C6052" s="4" t="s">
        <v>13063</v>
      </c>
      <c r="D6052" s="475">
        <v>0.28</v>
      </c>
      <c r="E6052" s="476">
        <v>0</v>
      </c>
      <c r="F6052" s="6">
        <v>0</v>
      </c>
      <c r="G6052" s="6">
        <v>8160.8</v>
      </c>
    </row>
    <row r="6053" ht="15.75" customHeight="1" spans="1:7">
      <c r="A6053" s="4" t="s">
        <v>13221</v>
      </c>
      <c r="B6053" s="5" t="s">
        <v>13222</v>
      </c>
      <c r="C6053" s="4" t="s">
        <v>13063</v>
      </c>
      <c r="D6053" s="475">
        <v>0.25</v>
      </c>
      <c r="E6053" s="476">
        <v>0</v>
      </c>
      <c r="F6053" s="6">
        <v>0</v>
      </c>
      <c r="G6053" s="6">
        <v>9521</v>
      </c>
    </row>
    <row r="6054" ht="30" customHeight="1" spans="1:7">
      <c r="A6054" s="4" t="s">
        <v>13223</v>
      </c>
      <c r="B6054" s="5" t="s">
        <v>13224</v>
      </c>
      <c r="C6054" s="4" t="s">
        <v>13225</v>
      </c>
      <c r="D6054" s="475">
        <v>14.59</v>
      </c>
      <c r="E6054" s="476">
        <v>0.04367</v>
      </c>
      <c r="F6054" s="6">
        <v>0.1879</v>
      </c>
      <c r="G6054" s="6">
        <v>33.2</v>
      </c>
    </row>
    <row r="6055" ht="30" customHeight="1" spans="1:7">
      <c r="A6055" s="4" t="s">
        <v>13226</v>
      </c>
      <c r="B6055" s="5" t="s">
        <v>13227</v>
      </c>
      <c r="C6055" s="4" t="s">
        <v>13225</v>
      </c>
      <c r="D6055" s="475">
        <v>11.68</v>
      </c>
      <c r="E6055" s="476">
        <v>0.04722</v>
      </c>
      <c r="F6055" s="6">
        <v>0.1625</v>
      </c>
      <c r="G6055" s="6">
        <v>41.5</v>
      </c>
    </row>
    <row r="6056" ht="30" customHeight="1" spans="1:7">
      <c r="A6056" s="4" t="s">
        <v>13228</v>
      </c>
      <c r="B6056" s="5" t="s">
        <v>13229</v>
      </c>
      <c r="C6056" s="4" t="s">
        <v>13225</v>
      </c>
      <c r="D6056" s="475">
        <v>9.6</v>
      </c>
      <c r="E6056" s="476">
        <v>0</v>
      </c>
      <c r="F6056" s="6">
        <v>0</v>
      </c>
      <c r="G6056" s="6">
        <v>49.8</v>
      </c>
    </row>
    <row r="6057" ht="30" customHeight="1" spans="1:7">
      <c r="A6057" s="4" t="s">
        <v>13230</v>
      </c>
      <c r="B6057" s="5" t="s">
        <v>13231</v>
      </c>
      <c r="C6057" s="4" t="s">
        <v>13225</v>
      </c>
      <c r="D6057" s="475">
        <v>9.73</v>
      </c>
      <c r="E6057" s="476">
        <v>0.04367</v>
      </c>
      <c r="F6057" s="6">
        <v>0.1252</v>
      </c>
      <c r="G6057" s="6">
        <v>49.8</v>
      </c>
    </row>
    <row r="6058" ht="30" customHeight="1" spans="1:7">
      <c r="A6058" s="4" t="s">
        <v>13232</v>
      </c>
      <c r="B6058" s="5" t="s">
        <v>13233</v>
      </c>
      <c r="C6058" s="4" t="s">
        <v>13225</v>
      </c>
      <c r="D6058" s="475">
        <v>7.79</v>
      </c>
      <c r="E6058" s="476">
        <v>0.04722</v>
      </c>
      <c r="F6058" s="6">
        <v>0.1083</v>
      </c>
      <c r="G6058" s="6">
        <v>62.25</v>
      </c>
    </row>
    <row r="6059" ht="30" customHeight="1" spans="1:7">
      <c r="A6059" s="4" t="s">
        <v>13234</v>
      </c>
      <c r="B6059" s="5" t="s">
        <v>13235</v>
      </c>
      <c r="C6059" s="4" t="s">
        <v>13225</v>
      </c>
      <c r="D6059" s="475">
        <v>6.4</v>
      </c>
      <c r="E6059" s="476">
        <v>0</v>
      </c>
      <c r="F6059" s="6">
        <v>0</v>
      </c>
      <c r="G6059" s="6">
        <v>74.7</v>
      </c>
    </row>
    <row r="6060" ht="15.75" customHeight="1" spans="1:7">
      <c r="A6060" s="4" t="s">
        <v>13236</v>
      </c>
      <c r="B6060" s="5" t="s">
        <v>13237</v>
      </c>
      <c r="C6060" s="4" t="s">
        <v>13166</v>
      </c>
      <c r="D6060" s="475">
        <v>2.09</v>
      </c>
      <c r="E6060" s="476">
        <v>0</v>
      </c>
      <c r="F6060" s="6">
        <v>0</v>
      </c>
      <c r="G6060" s="6">
        <v>5449.2</v>
      </c>
    </row>
    <row r="6061" ht="15.75" customHeight="1" spans="1:7">
      <c r="A6061" s="4" t="s">
        <v>13238</v>
      </c>
      <c r="B6061" s="5" t="s">
        <v>13239</v>
      </c>
      <c r="C6061" s="4" t="s">
        <v>13166</v>
      </c>
      <c r="D6061" s="475">
        <v>0.51</v>
      </c>
      <c r="E6061" s="476">
        <v>0</v>
      </c>
      <c r="F6061" s="6">
        <v>0</v>
      </c>
      <c r="G6061" s="6">
        <v>85380.61</v>
      </c>
    </row>
    <row r="6062" ht="15.75" customHeight="1" spans="1:7">
      <c r="A6062" s="4" t="s">
        <v>13240</v>
      </c>
      <c r="B6062" s="5" t="s">
        <v>13241</v>
      </c>
      <c r="C6062" s="4" t="s">
        <v>13166</v>
      </c>
      <c r="D6062" s="475">
        <v>0.48</v>
      </c>
      <c r="E6062" s="476">
        <v>0</v>
      </c>
      <c r="F6062" s="6">
        <v>0</v>
      </c>
      <c r="G6062" s="6">
        <v>128070.91</v>
      </c>
    </row>
    <row r="6063" ht="15.75" customHeight="1" spans="1:7">
      <c r="A6063" s="4" t="s">
        <v>13242</v>
      </c>
      <c r="B6063" s="5" t="s">
        <v>13243</v>
      </c>
      <c r="C6063" s="4" t="s">
        <v>13166</v>
      </c>
      <c r="D6063" s="475">
        <v>1.22</v>
      </c>
      <c r="E6063" s="476">
        <v>0</v>
      </c>
      <c r="F6063" s="6">
        <v>0</v>
      </c>
      <c r="G6063" s="6">
        <v>12352.11</v>
      </c>
    </row>
    <row r="6064" ht="15.75" customHeight="1" spans="1:7">
      <c r="A6064" s="4" t="s">
        <v>13244</v>
      </c>
      <c r="B6064" s="5" t="s">
        <v>13245</v>
      </c>
      <c r="C6064" s="4" t="s">
        <v>13166</v>
      </c>
      <c r="D6064" s="475">
        <v>0.46</v>
      </c>
      <c r="E6064" s="476">
        <v>0</v>
      </c>
      <c r="F6064" s="6">
        <v>0</v>
      </c>
      <c r="G6064" s="6">
        <v>170761.22</v>
      </c>
    </row>
    <row r="6065" ht="15.75" customHeight="1" spans="1:7">
      <c r="A6065" s="4" t="s">
        <v>13246</v>
      </c>
      <c r="B6065" s="5" t="s">
        <v>13247</v>
      </c>
      <c r="C6065" s="4" t="s">
        <v>13166</v>
      </c>
      <c r="D6065" s="475">
        <v>0.95</v>
      </c>
      <c r="E6065" s="476">
        <v>0</v>
      </c>
      <c r="F6065" s="6">
        <v>0</v>
      </c>
      <c r="G6065" s="6">
        <v>19886.9</v>
      </c>
    </row>
    <row r="6066" ht="15.75" customHeight="1" spans="1:7">
      <c r="A6066" s="4" t="s">
        <v>13248</v>
      </c>
      <c r="B6066" s="5" t="s">
        <v>13249</v>
      </c>
      <c r="C6066" s="4" t="s">
        <v>13166</v>
      </c>
      <c r="D6066" s="475">
        <v>0.81</v>
      </c>
      <c r="E6066" s="476">
        <v>0</v>
      </c>
      <c r="F6066" s="6">
        <v>0</v>
      </c>
      <c r="G6066" s="6">
        <v>27695.49</v>
      </c>
    </row>
    <row r="6067" ht="15.75" customHeight="1" spans="1:7">
      <c r="A6067" s="4" t="s">
        <v>13250</v>
      </c>
      <c r="B6067" s="5" t="s">
        <v>13251</v>
      </c>
      <c r="C6067" s="4" t="s">
        <v>13166</v>
      </c>
      <c r="D6067" s="475">
        <v>0.71</v>
      </c>
      <c r="E6067" s="476">
        <v>0</v>
      </c>
      <c r="F6067" s="6">
        <v>0</v>
      </c>
      <c r="G6067" s="6">
        <v>36786.84</v>
      </c>
    </row>
    <row r="6068" ht="15.75" customHeight="1" spans="1:7">
      <c r="A6068" s="4" t="s">
        <v>13252</v>
      </c>
      <c r="B6068" s="5" t="s">
        <v>13253</v>
      </c>
      <c r="C6068" s="4" t="s">
        <v>13166</v>
      </c>
      <c r="D6068" s="475">
        <v>3.05</v>
      </c>
      <c r="E6068" s="476">
        <v>0</v>
      </c>
      <c r="F6068" s="6">
        <v>0</v>
      </c>
      <c r="G6068" s="6">
        <v>3423.09</v>
      </c>
    </row>
    <row r="6069" ht="15.75" customHeight="1" spans="1:7">
      <c r="A6069" s="4" t="s">
        <v>13254</v>
      </c>
      <c r="B6069" s="5" t="s">
        <v>13255</v>
      </c>
      <c r="C6069" s="4" t="s">
        <v>13166</v>
      </c>
      <c r="D6069" s="475">
        <v>2.05</v>
      </c>
      <c r="E6069" s="476">
        <v>0</v>
      </c>
      <c r="F6069" s="6">
        <v>0</v>
      </c>
      <c r="G6069" s="6">
        <v>5551.52</v>
      </c>
    </row>
    <row r="6070" ht="15.75" customHeight="1" spans="1:7">
      <c r="A6070" s="4" t="s">
        <v>13256</v>
      </c>
      <c r="B6070" s="5" t="s">
        <v>13257</v>
      </c>
      <c r="C6070" s="4" t="s">
        <v>13166</v>
      </c>
      <c r="D6070" s="475">
        <v>0.5</v>
      </c>
      <c r="E6070" s="476">
        <v>0</v>
      </c>
      <c r="F6070" s="6">
        <v>0</v>
      </c>
      <c r="G6070" s="6">
        <v>86983.89</v>
      </c>
    </row>
    <row r="6071" ht="15.75" customHeight="1" spans="1:7">
      <c r="A6071" s="4" t="s">
        <v>13258</v>
      </c>
      <c r="B6071" s="5" t="s">
        <v>13259</v>
      </c>
      <c r="C6071" s="4" t="s">
        <v>13166</v>
      </c>
      <c r="D6071" s="475">
        <v>0.47</v>
      </c>
      <c r="E6071" s="476">
        <v>0</v>
      </c>
      <c r="F6071" s="6">
        <v>0</v>
      </c>
      <c r="G6071" s="6">
        <v>130475.84</v>
      </c>
    </row>
    <row r="6072" ht="15.75" customHeight="1" spans="1:7">
      <c r="A6072" s="4" t="s">
        <v>13260</v>
      </c>
      <c r="B6072" s="5" t="s">
        <v>13261</v>
      </c>
      <c r="C6072" s="4" t="s">
        <v>13166</v>
      </c>
      <c r="D6072" s="475">
        <v>1.19</v>
      </c>
      <c r="E6072" s="476">
        <v>0</v>
      </c>
      <c r="F6072" s="6">
        <v>0</v>
      </c>
      <c r="G6072" s="6">
        <v>12584.06</v>
      </c>
    </row>
    <row r="6073" ht="15.75" customHeight="1" spans="1:7">
      <c r="A6073" s="4" t="s">
        <v>13262</v>
      </c>
      <c r="B6073" s="5" t="s">
        <v>13263</v>
      </c>
      <c r="C6073" s="4" t="s">
        <v>13166</v>
      </c>
      <c r="D6073" s="475">
        <v>0.46</v>
      </c>
      <c r="E6073" s="476">
        <v>0</v>
      </c>
      <c r="F6073" s="6">
        <v>0</v>
      </c>
      <c r="G6073" s="6">
        <v>173967.79</v>
      </c>
    </row>
    <row r="6074" ht="15.75" customHeight="1" spans="1:7">
      <c r="A6074" s="4" t="s">
        <v>13264</v>
      </c>
      <c r="B6074" s="5" t="s">
        <v>13265</v>
      </c>
      <c r="C6074" s="4" t="s">
        <v>13166</v>
      </c>
      <c r="D6074" s="475">
        <v>0.93</v>
      </c>
      <c r="E6074" s="476">
        <v>0</v>
      </c>
      <c r="F6074" s="6">
        <v>0</v>
      </c>
      <c r="G6074" s="6">
        <v>20260.34</v>
      </c>
    </row>
    <row r="6075" ht="15.75" customHeight="1" spans="1:7">
      <c r="A6075" s="4" t="s">
        <v>13266</v>
      </c>
      <c r="B6075" s="5" t="s">
        <v>13267</v>
      </c>
      <c r="C6075" s="4" t="s">
        <v>13166</v>
      </c>
      <c r="D6075" s="475">
        <v>0.8</v>
      </c>
      <c r="E6075" s="476">
        <v>0</v>
      </c>
      <c r="F6075" s="6">
        <v>0</v>
      </c>
      <c r="G6075" s="6">
        <v>28215.56</v>
      </c>
    </row>
    <row r="6076" ht="15.75" customHeight="1" spans="1:7">
      <c r="A6076" s="4" t="s">
        <v>13268</v>
      </c>
      <c r="B6076" s="5" t="s">
        <v>13269</v>
      </c>
      <c r="C6076" s="4" t="s">
        <v>13166</v>
      </c>
      <c r="D6076" s="475">
        <v>0.7</v>
      </c>
      <c r="E6076" s="476">
        <v>0</v>
      </c>
      <c r="F6076" s="6">
        <v>0</v>
      </c>
      <c r="G6076" s="6">
        <v>37477.63</v>
      </c>
    </row>
    <row r="6077" ht="15.75" customHeight="1" spans="1:7">
      <c r="A6077" s="4" t="s">
        <v>13270</v>
      </c>
      <c r="B6077" s="5" t="s">
        <v>13271</v>
      </c>
      <c r="C6077" s="4" t="s">
        <v>13166</v>
      </c>
      <c r="D6077" s="475">
        <v>2.99</v>
      </c>
      <c r="E6077" s="476">
        <v>0</v>
      </c>
      <c r="F6077" s="6">
        <v>0</v>
      </c>
      <c r="G6077" s="6">
        <v>3487.37</v>
      </c>
    </row>
    <row r="6078" ht="15.75" customHeight="1" spans="1:7">
      <c r="A6078" s="4" t="s">
        <v>13272</v>
      </c>
      <c r="B6078" s="5" t="s">
        <v>13273</v>
      </c>
      <c r="C6078" s="4" t="s">
        <v>13063</v>
      </c>
      <c r="D6078" s="475">
        <v>1.34</v>
      </c>
      <c r="E6078" s="476">
        <v>0.04367</v>
      </c>
      <c r="F6078" s="6">
        <v>0.0209</v>
      </c>
      <c r="G6078" s="6">
        <v>331.17</v>
      </c>
    </row>
    <row r="6079" ht="15.75" customHeight="1" spans="1:7">
      <c r="A6079" s="4" t="s">
        <v>13274</v>
      </c>
      <c r="B6079" s="5" t="s">
        <v>13275</v>
      </c>
      <c r="C6079" s="4" t="s">
        <v>13063</v>
      </c>
      <c r="D6079" s="475">
        <v>1.08</v>
      </c>
      <c r="E6079" s="476">
        <v>0.04722</v>
      </c>
      <c r="F6079" s="6">
        <v>0.0181</v>
      </c>
      <c r="G6079" s="6">
        <v>413.96</v>
      </c>
    </row>
    <row r="6080" ht="15.75" customHeight="1" spans="1:7">
      <c r="A6080" s="4" t="s">
        <v>13276</v>
      </c>
      <c r="B6080" s="5" t="s">
        <v>13277</v>
      </c>
      <c r="C6080" s="4" t="s">
        <v>13063</v>
      </c>
      <c r="D6080" s="475">
        <v>1</v>
      </c>
      <c r="E6080" s="476">
        <v>0</v>
      </c>
      <c r="F6080" s="6">
        <v>0</v>
      </c>
      <c r="G6080" s="6">
        <v>439.24</v>
      </c>
    </row>
    <row r="6081" ht="15.75" customHeight="1" spans="1:7">
      <c r="A6081" s="4" t="s">
        <v>13278</v>
      </c>
      <c r="B6081" s="5" t="s">
        <v>13279</v>
      </c>
      <c r="C6081" s="4" t="s">
        <v>13063</v>
      </c>
      <c r="D6081" s="475">
        <v>0.98</v>
      </c>
      <c r="E6081" s="476">
        <v>0.04367</v>
      </c>
      <c r="F6081" s="6">
        <v>0.0104</v>
      </c>
      <c r="G6081" s="6">
        <v>697.2</v>
      </c>
    </row>
    <row r="6082" ht="15.75" customHeight="1" spans="1:7">
      <c r="A6082" s="4" t="s">
        <v>13280</v>
      </c>
      <c r="B6082" s="5" t="s">
        <v>13281</v>
      </c>
      <c r="C6082" s="4" t="s">
        <v>13063</v>
      </c>
      <c r="D6082" s="475">
        <v>0.79</v>
      </c>
      <c r="E6082" s="476">
        <v>0.04722</v>
      </c>
      <c r="F6082" s="6">
        <v>0.009</v>
      </c>
      <c r="G6082" s="6">
        <v>871.5</v>
      </c>
    </row>
    <row r="6083" ht="15.75" customHeight="1" spans="1:7">
      <c r="A6083" s="4" t="s">
        <v>13282</v>
      </c>
      <c r="B6083" s="5" t="s">
        <v>13283</v>
      </c>
      <c r="C6083" s="4" t="s">
        <v>13063</v>
      </c>
      <c r="D6083" s="475">
        <v>0.69</v>
      </c>
      <c r="E6083" s="476">
        <v>0</v>
      </c>
      <c r="F6083" s="6">
        <v>0</v>
      </c>
      <c r="G6083" s="6">
        <v>983.05</v>
      </c>
    </row>
    <row r="6084" ht="15.75" customHeight="1" spans="1:7">
      <c r="A6084" s="4" t="s">
        <v>13284</v>
      </c>
      <c r="B6084" s="5" t="s">
        <v>13285</v>
      </c>
      <c r="C6084" s="4" t="s">
        <v>13063</v>
      </c>
      <c r="D6084" s="475">
        <v>0.93</v>
      </c>
      <c r="E6084" s="476">
        <v>0.04367</v>
      </c>
      <c r="F6084" s="6">
        <v>0.012</v>
      </c>
      <c r="G6084" s="6">
        <v>354.58</v>
      </c>
    </row>
    <row r="6085" ht="15.75" customHeight="1" spans="1:7">
      <c r="A6085" s="4" t="s">
        <v>13286</v>
      </c>
      <c r="B6085" s="5" t="s">
        <v>13287</v>
      </c>
      <c r="C6085" s="4" t="s">
        <v>13063</v>
      </c>
      <c r="D6085" s="475">
        <v>0.75</v>
      </c>
      <c r="E6085" s="476">
        <v>0.04722</v>
      </c>
      <c r="F6085" s="6">
        <v>0.0104</v>
      </c>
      <c r="G6085" s="6">
        <v>443.22</v>
      </c>
    </row>
    <row r="6086" ht="15.75" customHeight="1" spans="1:7">
      <c r="A6086" s="4" t="s">
        <v>13288</v>
      </c>
      <c r="B6086" s="5" t="s">
        <v>13289</v>
      </c>
      <c r="C6086" s="4" t="s">
        <v>13063</v>
      </c>
      <c r="D6086" s="475">
        <v>0.68</v>
      </c>
      <c r="E6086" s="476">
        <v>0</v>
      </c>
      <c r="F6086" s="6">
        <v>0</v>
      </c>
      <c r="G6086" s="6">
        <v>478.08</v>
      </c>
    </row>
    <row r="6087" ht="15.75" customHeight="1" spans="1:7">
      <c r="A6087" s="4" t="s">
        <v>13290</v>
      </c>
      <c r="B6087" s="5" t="s">
        <v>13291</v>
      </c>
      <c r="C6087" s="4" t="s">
        <v>13063</v>
      </c>
      <c r="D6087" s="475">
        <v>1.9</v>
      </c>
      <c r="E6087" s="476">
        <v>0.04367</v>
      </c>
      <c r="F6087" s="6">
        <v>0.0262</v>
      </c>
      <c r="G6087" s="6">
        <v>224.1</v>
      </c>
    </row>
    <row r="6088" ht="15.75" customHeight="1" spans="1:7">
      <c r="A6088" s="4" t="s">
        <v>13292</v>
      </c>
      <c r="B6088" s="5" t="s">
        <v>13293</v>
      </c>
      <c r="C6088" s="4" t="s">
        <v>13063</v>
      </c>
      <c r="D6088" s="475">
        <v>1.52</v>
      </c>
      <c r="E6088" s="476">
        <v>0.04722</v>
      </c>
      <c r="F6088" s="6">
        <v>0.0227</v>
      </c>
      <c r="G6088" s="6">
        <v>280.13</v>
      </c>
    </row>
    <row r="6089" ht="15.75" customHeight="1" spans="1:7">
      <c r="A6089" s="4" t="s">
        <v>13294</v>
      </c>
      <c r="B6089" s="5" t="s">
        <v>13295</v>
      </c>
      <c r="C6089" s="4" t="s">
        <v>13063</v>
      </c>
      <c r="D6089" s="475">
        <v>1.25</v>
      </c>
      <c r="E6089" s="476">
        <v>0</v>
      </c>
      <c r="F6089" s="6">
        <v>0</v>
      </c>
      <c r="G6089" s="6">
        <v>336.15</v>
      </c>
    </row>
    <row r="6090" ht="30" customHeight="1" spans="1:7">
      <c r="A6090" s="4" t="s">
        <v>13296</v>
      </c>
      <c r="B6090" s="5" t="s">
        <v>13297</v>
      </c>
      <c r="C6090" s="4" t="s">
        <v>13063</v>
      </c>
      <c r="D6090" s="475">
        <v>0.26</v>
      </c>
      <c r="E6090" s="476">
        <v>0</v>
      </c>
      <c r="F6090" s="6">
        <v>0</v>
      </c>
      <c r="G6090" s="6">
        <v>9322.6</v>
      </c>
    </row>
    <row r="6091" ht="30" customHeight="1" spans="1:7">
      <c r="A6091" s="4" t="s">
        <v>13298</v>
      </c>
      <c r="B6091" s="5" t="s">
        <v>13299</v>
      </c>
      <c r="C6091" s="4" t="s">
        <v>13063</v>
      </c>
      <c r="D6091" s="475">
        <v>0.28</v>
      </c>
      <c r="E6091" s="476">
        <v>0</v>
      </c>
      <c r="F6091" s="6">
        <v>0</v>
      </c>
      <c r="G6091" s="6">
        <v>8031.7</v>
      </c>
    </row>
    <row r="6092" ht="30" customHeight="1" spans="1:7">
      <c r="A6092" s="4" t="s">
        <v>13300</v>
      </c>
      <c r="B6092" s="5" t="s">
        <v>13301</v>
      </c>
      <c r="C6092" s="4" t="s">
        <v>13063</v>
      </c>
      <c r="D6092" s="475">
        <v>0.26</v>
      </c>
      <c r="E6092" s="476">
        <v>0</v>
      </c>
      <c r="F6092" s="6">
        <v>0</v>
      </c>
      <c r="G6092" s="6">
        <v>9250.8</v>
      </c>
    </row>
    <row r="6093" ht="30" customHeight="1" spans="1:7">
      <c r="A6093" s="4" t="s">
        <v>13302</v>
      </c>
      <c r="B6093" s="5" t="s">
        <v>13303</v>
      </c>
      <c r="C6093" s="4" t="s">
        <v>13063</v>
      </c>
      <c r="D6093" s="475">
        <v>1.66</v>
      </c>
      <c r="E6093" s="476">
        <v>0</v>
      </c>
      <c r="F6093" s="6">
        <v>0</v>
      </c>
      <c r="G6093" s="6">
        <v>1259.04</v>
      </c>
    </row>
    <row r="6094" ht="30" customHeight="1" spans="1:7">
      <c r="A6094" s="4" t="s">
        <v>13304</v>
      </c>
      <c r="B6094" s="5" t="s">
        <v>13305</v>
      </c>
      <c r="C6094" s="4" t="s">
        <v>13063</v>
      </c>
      <c r="D6094" s="475">
        <v>3.63</v>
      </c>
      <c r="E6094" s="476">
        <v>0</v>
      </c>
      <c r="F6094" s="6">
        <v>0</v>
      </c>
      <c r="G6094" s="6">
        <v>554.69</v>
      </c>
    </row>
    <row r="6095" ht="30" customHeight="1" spans="1:7">
      <c r="A6095" s="4" t="s">
        <v>13306</v>
      </c>
      <c r="B6095" s="5" t="s">
        <v>13307</v>
      </c>
      <c r="C6095" s="4" t="s">
        <v>13063</v>
      </c>
      <c r="D6095" s="475">
        <v>0.25</v>
      </c>
      <c r="E6095" s="476">
        <v>0</v>
      </c>
      <c r="F6095" s="6">
        <v>0</v>
      </c>
      <c r="G6095" s="6">
        <v>9421.2</v>
      </c>
    </row>
    <row r="6096" ht="30" customHeight="1" spans="1:7">
      <c r="A6096" s="4" t="s">
        <v>13308</v>
      </c>
      <c r="B6096" s="5" t="s">
        <v>13309</v>
      </c>
      <c r="C6096" s="4" t="s">
        <v>13063</v>
      </c>
      <c r="D6096" s="475">
        <v>0.28</v>
      </c>
      <c r="E6096" s="476">
        <v>0</v>
      </c>
      <c r="F6096" s="6">
        <v>0</v>
      </c>
      <c r="G6096" s="6">
        <v>8077.6</v>
      </c>
    </row>
    <row r="6097" ht="30" customHeight="1" spans="1:7">
      <c r="A6097" s="4" t="s">
        <v>13310</v>
      </c>
      <c r="B6097" s="5" t="s">
        <v>13311</v>
      </c>
      <c r="C6097" s="4" t="s">
        <v>13063</v>
      </c>
      <c r="D6097" s="475">
        <v>6.11</v>
      </c>
      <c r="E6097" s="476">
        <v>0</v>
      </c>
      <c r="F6097" s="6">
        <v>0</v>
      </c>
      <c r="G6097" s="6">
        <v>334.5</v>
      </c>
    </row>
    <row r="6098" ht="30" customHeight="1" spans="1:7">
      <c r="A6098" s="4" t="s">
        <v>13312</v>
      </c>
      <c r="B6098" s="5" t="s">
        <v>13313</v>
      </c>
      <c r="C6098" s="4" t="s">
        <v>13063</v>
      </c>
      <c r="D6098" s="475">
        <v>14.45</v>
      </c>
      <c r="E6098" s="476">
        <v>0</v>
      </c>
      <c r="F6098" s="6">
        <v>0</v>
      </c>
      <c r="G6098" s="6">
        <v>139.47</v>
      </c>
    </row>
    <row r="6099" ht="15.75" customHeight="1" spans="1:7">
      <c r="A6099" s="4" t="s">
        <v>13314</v>
      </c>
      <c r="B6099" s="5" t="s">
        <v>13315</v>
      </c>
      <c r="C6099" s="4" t="s">
        <v>13063</v>
      </c>
      <c r="D6099" s="475">
        <v>0.64</v>
      </c>
      <c r="E6099" s="476">
        <v>0</v>
      </c>
      <c r="F6099" s="6">
        <v>0</v>
      </c>
      <c r="G6099" s="6">
        <v>3361.5</v>
      </c>
    </row>
    <row r="6100" ht="15.75" customHeight="1" spans="1:7">
      <c r="A6100" s="4" t="s">
        <v>13316</v>
      </c>
      <c r="B6100" s="5" t="s">
        <v>13317</v>
      </c>
      <c r="C6100" s="4" t="s">
        <v>13063</v>
      </c>
      <c r="D6100" s="475">
        <v>0.48</v>
      </c>
      <c r="E6100" s="476">
        <v>0</v>
      </c>
      <c r="F6100" s="6">
        <v>0</v>
      </c>
      <c r="G6100" s="6">
        <v>4706.1</v>
      </c>
    </row>
    <row r="6101" ht="30" customHeight="1" spans="1:7">
      <c r="A6101" s="4" t="s">
        <v>13318</v>
      </c>
      <c r="B6101" s="5" t="s">
        <v>13319</v>
      </c>
      <c r="C6101" s="4" t="s">
        <v>13063</v>
      </c>
      <c r="D6101" s="475">
        <v>0.67</v>
      </c>
      <c r="E6101" s="476">
        <v>0</v>
      </c>
      <c r="F6101" s="6">
        <v>0</v>
      </c>
      <c r="G6101" s="6">
        <v>3187.2</v>
      </c>
    </row>
    <row r="6102" ht="30" customHeight="1" spans="1:7">
      <c r="A6102" s="4" t="s">
        <v>13320</v>
      </c>
      <c r="B6102" s="5" t="s">
        <v>13321</v>
      </c>
      <c r="C6102" s="4" t="s">
        <v>13063</v>
      </c>
      <c r="D6102" s="475">
        <v>0.44</v>
      </c>
      <c r="E6102" s="476">
        <v>0</v>
      </c>
      <c r="F6102" s="6">
        <v>0</v>
      </c>
      <c r="G6102" s="6">
        <v>4930.2</v>
      </c>
    </row>
    <row r="6103" ht="30" customHeight="1" spans="1:7">
      <c r="A6103" s="4" t="s">
        <v>13322</v>
      </c>
      <c r="B6103" s="5" t="s">
        <v>13323</v>
      </c>
      <c r="C6103" s="4" t="s">
        <v>13063</v>
      </c>
      <c r="D6103" s="475">
        <v>4.21</v>
      </c>
      <c r="E6103" s="476">
        <v>0</v>
      </c>
      <c r="F6103" s="6">
        <v>0</v>
      </c>
      <c r="G6103" s="6">
        <v>486.09</v>
      </c>
    </row>
    <row r="6104" ht="30" customHeight="1" spans="1:7">
      <c r="A6104" s="4" t="s">
        <v>13324</v>
      </c>
      <c r="B6104" s="5" t="s">
        <v>13325</v>
      </c>
      <c r="C6104" s="4" t="s">
        <v>13063</v>
      </c>
      <c r="D6104" s="475">
        <v>5.2</v>
      </c>
      <c r="E6104" s="476">
        <v>0</v>
      </c>
      <c r="F6104" s="6">
        <v>0</v>
      </c>
      <c r="G6104" s="6">
        <v>387.76</v>
      </c>
    </row>
    <row r="6105" ht="30" customHeight="1" spans="1:7">
      <c r="A6105" s="4" t="s">
        <v>13326</v>
      </c>
      <c r="B6105" s="5" t="s">
        <v>13327</v>
      </c>
      <c r="C6105" s="4" t="s">
        <v>13063</v>
      </c>
      <c r="D6105" s="475">
        <v>3.65</v>
      </c>
      <c r="E6105" s="476">
        <v>0</v>
      </c>
      <c r="F6105" s="6">
        <v>0</v>
      </c>
      <c r="G6105" s="6">
        <v>560.95</v>
      </c>
    </row>
    <row r="6106" ht="15.75" customHeight="1" spans="1:7">
      <c r="A6106" s="4" t="s">
        <v>13328</v>
      </c>
      <c r="B6106" s="5" t="s">
        <v>13329</v>
      </c>
      <c r="C6106" s="4" t="s">
        <v>13063</v>
      </c>
      <c r="D6106" s="475">
        <v>3.42</v>
      </c>
      <c r="E6106" s="476">
        <v>0.04367</v>
      </c>
      <c r="F6106" s="6">
        <v>0.048</v>
      </c>
      <c r="G6106" s="6">
        <v>99.6</v>
      </c>
    </row>
    <row r="6107" ht="15.75" customHeight="1" spans="1:7">
      <c r="A6107" s="4" t="s">
        <v>13330</v>
      </c>
      <c r="B6107" s="5" t="s">
        <v>13331</v>
      </c>
      <c r="C6107" s="4" t="s">
        <v>13063</v>
      </c>
      <c r="D6107" s="475">
        <v>2.74</v>
      </c>
      <c r="E6107" s="476">
        <v>0.04722</v>
      </c>
      <c r="F6107" s="6">
        <v>0.0416</v>
      </c>
      <c r="G6107" s="6">
        <v>124.5</v>
      </c>
    </row>
    <row r="6108" ht="15.75" customHeight="1" spans="1:7">
      <c r="A6108" s="4" t="s">
        <v>13332</v>
      </c>
      <c r="B6108" s="5" t="s">
        <v>13333</v>
      </c>
      <c r="C6108" s="4" t="s">
        <v>13063</v>
      </c>
      <c r="D6108" s="475">
        <v>2.25</v>
      </c>
      <c r="E6108" s="476">
        <v>0</v>
      </c>
      <c r="F6108" s="6">
        <v>0</v>
      </c>
      <c r="G6108" s="6">
        <v>149.4</v>
      </c>
    </row>
    <row r="6109" ht="15.75" customHeight="1" spans="1:7">
      <c r="A6109" s="4" t="s">
        <v>13334</v>
      </c>
      <c r="B6109" s="5" t="s">
        <v>13335</v>
      </c>
      <c r="C6109" s="4" t="s">
        <v>13166</v>
      </c>
      <c r="D6109" s="475">
        <v>1.13</v>
      </c>
      <c r="E6109" s="476">
        <v>0</v>
      </c>
      <c r="F6109" s="6">
        <v>0</v>
      </c>
      <c r="G6109" s="6">
        <v>1137.74</v>
      </c>
    </row>
    <row r="6110" ht="15.75" customHeight="1" spans="1:7">
      <c r="A6110" s="4" t="s">
        <v>13336</v>
      </c>
      <c r="B6110" s="5" t="s">
        <v>13337</v>
      </c>
      <c r="C6110" s="4" t="s">
        <v>13166</v>
      </c>
      <c r="D6110" s="475">
        <v>0.84</v>
      </c>
      <c r="E6110" s="476">
        <v>0</v>
      </c>
      <c r="F6110" s="6">
        <v>0</v>
      </c>
      <c r="G6110" s="6">
        <v>1896.23</v>
      </c>
    </row>
    <row r="6111" ht="15.75" customHeight="1" spans="1:7">
      <c r="A6111" s="4" t="s">
        <v>13338</v>
      </c>
      <c r="B6111" s="5" t="s">
        <v>13339</v>
      </c>
      <c r="C6111" s="4" t="s">
        <v>13166</v>
      </c>
      <c r="D6111" s="475">
        <v>2.47</v>
      </c>
      <c r="E6111" s="476">
        <v>0</v>
      </c>
      <c r="F6111" s="6">
        <v>0</v>
      </c>
      <c r="G6111" s="6">
        <v>204.89</v>
      </c>
    </row>
    <row r="6112" ht="15.75" customHeight="1" spans="1:7">
      <c r="A6112" s="4" t="s">
        <v>13340</v>
      </c>
      <c r="B6112" s="5" t="s">
        <v>13341</v>
      </c>
      <c r="C6112" s="4" t="s">
        <v>13166</v>
      </c>
      <c r="D6112" s="475">
        <v>2.47</v>
      </c>
      <c r="E6112" s="476">
        <v>0</v>
      </c>
      <c r="F6112" s="6">
        <v>0</v>
      </c>
      <c r="G6112" s="6">
        <v>204.89</v>
      </c>
    </row>
    <row r="6113" ht="15.75" customHeight="1" spans="1:7">
      <c r="A6113" s="4" t="s">
        <v>13342</v>
      </c>
      <c r="B6113" s="5" t="s">
        <v>13343</v>
      </c>
      <c r="C6113" s="4" t="s">
        <v>13166</v>
      </c>
      <c r="D6113" s="475">
        <v>2.04</v>
      </c>
      <c r="E6113" s="476">
        <v>0</v>
      </c>
      <c r="F6113" s="6">
        <v>0</v>
      </c>
      <c r="G6113" s="6">
        <v>630.5</v>
      </c>
    </row>
    <row r="6114" ht="15.75" customHeight="1" spans="1:7">
      <c r="A6114" s="4" t="s">
        <v>13344</v>
      </c>
      <c r="B6114" s="5" t="s">
        <v>13345</v>
      </c>
      <c r="C6114" s="4" t="s">
        <v>13166</v>
      </c>
      <c r="D6114" s="475">
        <v>7.13</v>
      </c>
      <c r="E6114" s="476">
        <v>0</v>
      </c>
      <c r="F6114" s="6">
        <v>0</v>
      </c>
      <c r="G6114" s="6">
        <v>113.54</v>
      </c>
    </row>
    <row r="6115" ht="15.75" customHeight="1" spans="1:7">
      <c r="A6115" s="4" t="s">
        <v>13346</v>
      </c>
      <c r="B6115" s="5" t="s">
        <v>13347</v>
      </c>
      <c r="C6115" s="4" t="s">
        <v>13166</v>
      </c>
      <c r="D6115" s="475">
        <v>7.13</v>
      </c>
      <c r="E6115" s="476">
        <v>0</v>
      </c>
      <c r="F6115" s="6">
        <v>0</v>
      </c>
      <c r="G6115" s="6">
        <v>113.54</v>
      </c>
    </row>
    <row r="6116" ht="15.75" customHeight="1" spans="1:7">
      <c r="A6116" s="4" t="s">
        <v>13348</v>
      </c>
      <c r="B6116" s="5" t="s">
        <v>13349</v>
      </c>
      <c r="C6116" s="4" t="s">
        <v>13063</v>
      </c>
      <c r="D6116" s="475">
        <v>1.19</v>
      </c>
      <c r="E6116" s="476">
        <v>0.04367</v>
      </c>
      <c r="F6116" s="6">
        <v>0.016</v>
      </c>
      <c r="G6116" s="6">
        <v>298.8</v>
      </c>
    </row>
    <row r="6117" ht="15.75" customHeight="1" spans="1:7">
      <c r="A6117" s="4" t="s">
        <v>13350</v>
      </c>
      <c r="B6117" s="5" t="s">
        <v>13351</v>
      </c>
      <c r="C6117" s="4" t="s">
        <v>13063</v>
      </c>
      <c r="D6117" s="475">
        <v>0.95</v>
      </c>
      <c r="E6117" s="476">
        <v>0.04722</v>
      </c>
      <c r="F6117" s="6">
        <v>0.0139</v>
      </c>
      <c r="G6117" s="6">
        <v>373.5</v>
      </c>
    </row>
    <row r="6118" ht="15.75" customHeight="1" spans="1:7">
      <c r="A6118" s="4" t="s">
        <v>13352</v>
      </c>
      <c r="B6118" s="5" t="s">
        <v>13353</v>
      </c>
      <c r="C6118" s="4" t="s">
        <v>13063</v>
      </c>
      <c r="D6118" s="475">
        <v>0.82</v>
      </c>
      <c r="E6118" s="476">
        <v>0</v>
      </c>
      <c r="F6118" s="6">
        <v>0</v>
      </c>
      <c r="G6118" s="6">
        <v>425.79</v>
      </c>
    </row>
    <row r="6119" ht="15.75" customHeight="1" spans="1:7">
      <c r="A6119" s="4" t="s">
        <v>13354</v>
      </c>
      <c r="B6119" s="5" t="s">
        <v>13355</v>
      </c>
      <c r="C6119" s="4" t="s">
        <v>13063</v>
      </c>
      <c r="D6119" s="475">
        <v>1.69</v>
      </c>
      <c r="E6119" s="476">
        <v>0.04367</v>
      </c>
      <c r="F6119" s="6">
        <v>0.0221</v>
      </c>
      <c r="G6119" s="6">
        <v>199.2</v>
      </c>
    </row>
    <row r="6120" ht="15.75" customHeight="1" spans="1:7">
      <c r="A6120" s="4" t="s">
        <v>13356</v>
      </c>
      <c r="B6120" s="5" t="s">
        <v>13357</v>
      </c>
      <c r="C6120" s="4" t="s">
        <v>13063</v>
      </c>
      <c r="D6120" s="475">
        <v>1.35</v>
      </c>
      <c r="E6120" s="476">
        <v>0.04722</v>
      </c>
      <c r="F6120" s="6">
        <v>0.0191</v>
      </c>
      <c r="G6120" s="6">
        <v>249</v>
      </c>
    </row>
    <row r="6121" ht="15.75" customHeight="1" spans="1:7">
      <c r="A6121" s="4" t="s">
        <v>13358</v>
      </c>
      <c r="B6121" s="5" t="s">
        <v>13359</v>
      </c>
      <c r="C6121" s="4" t="s">
        <v>13063</v>
      </c>
      <c r="D6121" s="475">
        <v>1.11</v>
      </c>
      <c r="E6121" s="476">
        <v>0</v>
      </c>
      <c r="F6121" s="6">
        <v>0</v>
      </c>
      <c r="G6121" s="6">
        <v>298.8</v>
      </c>
    </row>
    <row r="6122" ht="15.75" customHeight="1" spans="1:7">
      <c r="A6122" s="4" t="s">
        <v>13360</v>
      </c>
      <c r="B6122" s="5" t="s">
        <v>13361</v>
      </c>
      <c r="C6122" s="4" t="s">
        <v>13063</v>
      </c>
      <c r="D6122" s="475">
        <v>1.39</v>
      </c>
      <c r="E6122" s="476">
        <v>0.04367</v>
      </c>
      <c r="F6122" s="6">
        <v>0.0234</v>
      </c>
      <c r="G6122" s="6">
        <v>149.4</v>
      </c>
    </row>
    <row r="6123" ht="15.75" customHeight="1" spans="1:7">
      <c r="A6123" s="4" t="s">
        <v>13362</v>
      </c>
      <c r="B6123" s="5" t="s">
        <v>13363</v>
      </c>
      <c r="C6123" s="4" t="s">
        <v>13063</v>
      </c>
      <c r="D6123" s="475">
        <v>1.11</v>
      </c>
      <c r="E6123" s="476">
        <v>0.04722</v>
      </c>
      <c r="F6123" s="6">
        <v>0.0203</v>
      </c>
      <c r="G6123" s="6">
        <v>186.75</v>
      </c>
    </row>
    <row r="6124" ht="15.75" customHeight="1" spans="1:7">
      <c r="A6124" s="4" t="s">
        <v>13364</v>
      </c>
      <c r="B6124" s="5" t="s">
        <v>13365</v>
      </c>
      <c r="C6124" s="4" t="s">
        <v>13063</v>
      </c>
      <c r="D6124" s="475">
        <v>0.91</v>
      </c>
      <c r="E6124" s="476">
        <v>0</v>
      </c>
      <c r="F6124" s="6">
        <v>0</v>
      </c>
      <c r="G6124" s="6">
        <v>224.1</v>
      </c>
    </row>
    <row r="6125" ht="15.75" customHeight="1" spans="1:7">
      <c r="A6125" s="4" t="s">
        <v>13366</v>
      </c>
      <c r="B6125" s="5" t="s">
        <v>13367</v>
      </c>
      <c r="C6125" s="4" t="s">
        <v>13166</v>
      </c>
      <c r="D6125" s="475">
        <v>5.93</v>
      </c>
      <c r="E6125" s="476">
        <v>0</v>
      </c>
      <c r="F6125" s="6">
        <v>0</v>
      </c>
      <c r="G6125" s="6">
        <v>1917.97</v>
      </c>
    </row>
    <row r="6126" ht="15.75" customHeight="1" spans="1:7">
      <c r="A6126" s="4" t="s">
        <v>13368</v>
      </c>
      <c r="B6126" s="5" t="s">
        <v>13369</v>
      </c>
      <c r="C6126" s="4" t="s">
        <v>13166</v>
      </c>
      <c r="D6126" s="475">
        <v>1.46</v>
      </c>
      <c r="E6126" s="476">
        <v>0</v>
      </c>
      <c r="F6126" s="6">
        <v>0</v>
      </c>
      <c r="G6126" s="6">
        <v>30051.73</v>
      </c>
    </row>
    <row r="6127" ht="15.75" customHeight="1" spans="1:7">
      <c r="A6127" s="4" t="s">
        <v>13370</v>
      </c>
      <c r="B6127" s="5" t="s">
        <v>13371</v>
      </c>
      <c r="C6127" s="4" t="s">
        <v>13166</v>
      </c>
      <c r="D6127" s="475">
        <v>1.37</v>
      </c>
      <c r="E6127" s="476">
        <v>0</v>
      </c>
      <c r="F6127" s="6">
        <v>0</v>
      </c>
      <c r="G6127" s="6">
        <v>45077.59</v>
      </c>
    </row>
    <row r="6128" ht="15.75" customHeight="1" spans="1:7">
      <c r="A6128" s="4" t="s">
        <v>13372</v>
      </c>
      <c r="B6128" s="5" t="s">
        <v>13373</v>
      </c>
      <c r="C6128" s="4" t="s">
        <v>13166</v>
      </c>
      <c r="D6128" s="475">
        <v>3.46</v>
      </c>
      <c r="E6128" s="476">
        <v>0</v>
      </c>
      <c r="F6128" s="6">
        <v>0</v>
      </c>
      <c r="G6128" s="6">
        <v>4347.62</v>
      </c>
    </row>
    <row r="6129" ht="15.75" customHeight="1" spans="1:7">
      <c r="A6129" s="4" t="s">
        <v>13374</v>
      </c>
      <c r="B6129" s="5" t="s">
        <v>13375</v>
      </c>
      <c r="C6129" s="4" t="s">
        <v>13166</v>
      </c>
      <c r="D6129" s="475">
        <v>1.32</v>
      </c>
      <c r="E6129" s="476">
        <v>0</v>
      </c>
      <c r="F6129" s="6">
        <v>0</v>
      </c>
      <c r="G6129" s="6">
        <v>60103.45</v>
      </c>
    </row>
    <row r="6130" ht="15.75" customHeight="1" spans="1:7">
      <c r="A6130" s="4" t="s">
        <v>13376</v>
      </c>
      <c r="B6130" s="5" t="s">
        <v>13377</v>
      </c>
      <c r="C6130" s="4" t="s">
        <v>13166</v>
      </c>
      <c r="D6130" s="475">
        <v>2.69</v>
      </c>
      <c r="E6130" s="476">
        <v>0</v>
      </c>
      <c r="F6130" s="6">
        <v>0</v>
      </c>
      <c r="G6130" s="6">
        <v>6999.67</v>
      </c>
    </row>
    <row r="6131" ht="15.75" customHeight="1" spans="1:7">
      <c r="A6131" s="4" t="s">
        <v>13378</v>
      </c>
      <c r="B6131" s="5" t="s">
        <v>13379</v>
      </c>
      <c r="C6131" s="4" t="s">
        <v>13166</v>
      </c>
      <c r="D6131" s="475">
        <v>2.31</v>
      </c>
      <c r="E6131" s="476">
        <v>0</v>
      </c>
      <c r="F6131" s="6">
        <v>0</v>
      </c>
      <c r="G6131" s="6">
        <v>9748.08</v>
      </c>
    </row>
    <row r="6132" ht="15.75" customHeight="1" spans="1:7">
      <c r="A6132" s="4" t="s">
        <v>13380</v>
      </c>
      <c r="B6132" s="5" t="s">
        <v>13381</v>
      </c>
      <c r="C6132" s="4" t="s">
        <v>13166</v>
      </c>
      <c r="D6132" s="475">
        <v>2.02</v>
      </c>
      <c r="E6132" s="476">
        <v>0</v>
      </c>
      <c r="F6132" s="6">
        <v>0</v>
      </c>
      <c r="G6132" s="6">
        <v>12948</v>
      </c>
    </row>
    <row r="6133" ht="15.75" customHeight="1" spans="1:7">
      <c r="A6133" s="4" t="s">
        <v>13382</v>
      </c>
      <c r="B6133" s="5" t="s">
        <v>13383</v>
      </c>
      <c r="C6133" s="4" t="s">
        <v>13166</v>
      </c>
      <c r="D6133" s="475">
        <v>8.67</v>
      </c>
      <c r="E6133" s="476">
        <v>0</v>
      </c>
      <c r="F6133" s="6">
        <v>0</v>
      </c>
      <c r="G6133" s="6">
        <v>1204.84</v>
      </c>
    </row>
    <row r="6134" ht="15.75" customHeight="1" spans="1:7">
      <c r="A6134" s="4" t="s">
        <v>13384</v>
      </c>
      <c r="B6134" s="5" t="s">
        <v>13385</v>
      </c>
      <c r="C6134" s="4" t="s">
        <v>13063</v>
      </c>
      <c r="D6134" s="475">
        <v>1.53</v>
      </c>
      <c r="E6134" s="476">
        <v>0</v>
      </c>
      <c r="F6134" s="6">
        <v>0</v>
      </c>
      <c r="G6134" s="6">
        <v>1494.2</v>
      </c>
    </row>
    <row r="6135" ht="15.75" customHeight="1" spans="1:7">
      <c r="A6135" s="4" t="s">
        <v>13386</v>
      </c>
      <c r="B6135" s="5" t="s">
        <v>13387</v>
      </c>
      <c r="C6135" s="4" t="s">
        <v>13063</v>
      </c>
      <c r="D6135" s="475">
        <v>1.21</v>
      </c>
      <c r="E6135" s="476">
        <v>0</v>
      </c>
      <c r="F6135" s="6">
        <v>0</v>
      </c>
      <c r="G6135" s="6">
        <v>1921.2</v>
      </c>
    </row>
    <row r="6136" ht="15.75" customHeight="1" spans="1:7">
      <c r="A6136" s="4" t="s">
        <v>13388</v>
      </c>
      <c r="B6136" s="5" t="s">
        <v>13389</v>
      </c>
      <c r="C6136" s="4" t="s">
        <v>13063</v>
      </c>
      <c r="D6136" s="475">
        <v>0.86</v>
      </c>
      <c r="E6136" s="476">
        <v>0</v>
      </c>
      <c r="F6136" s="6">
        <v>0</v>
      </c>
      <c r="G6136" s="6">
        <v>2989.08</v>
      </c>
    </row>
    <row r="6137" ht="15.75" customHeight="1" spans="1:7">
      <c r="A6137" s="4" t="s">
        <v>13390</v>
      </c>
      <c r="B6137" s="5" t="s">
        <v>13391</v>
      </c>
      <c r="C6137" s="4" t="s">
        <v>13063</v>
      </c>
      <c r="D6137" s="475">
        <v>0.67</v>
      </c>
      <c r="E6137" s="476">
        <v>0</v>
      </c>
      <c r="F6137" s="6">
        <v>0</v>
      </c>
      <c r="G6137" s="6">
        <v>3841.74</v>
      </c>
    </row>
    <row r="6138" ht="15.75" customHeight="1" spans="1:7">
      <c r="A6138" s="4" t="s">
        <v>13392</v>
      </c>
      <c r="B6138" s="5" t="s">
        <v>13393</v>
      </c>
      <c r="C6138" s="4" t="s">
        <v>13063</v>
      </c>
      <c r="D6138" s="475">
        <v>1.2</v>
      </c>
      <c r="E6138" s="476">
        <v>0</v>
      </c>
      <c r="F6138" s="6">
        <v>0</v>
      </c>
      <c r="G6138" s="6">
        <v>1904.2</v>
      </c>
    </row>
    <row r="6139" ht="15.75" customHeight="1" spans="1:7">
      <c r="A6139" s="4" t="s">
        <v>13394</v>
      </c>
      <c r="B6139" s="5" t="s">
        <v>13395</v>
      </c>
      <c r="C6139" s="4" t="s">
        <v>13063</v>
      </c>
      <c r="D6139" s="475">
        <v>0.95</v>
      </c>
      <c r="E6139" s="476">
        <v>0</v>
      </c>
      <c r="F6139" s="6">
        <v>0</v>
      </c>
      <c r="G6139" s="6">
        <v>2448.24</v>
      </c>
    </row>
    <row r="6140" ht="15.75" customHeight="1" spans="1:7">
      <c r="A6140" s="4" t="s">
        <v>13396</v>
      </c>
      <c r="B6140" s="5" t="s">
        <v>13397</v>
      </c>
      <c r="C6140" s="4" t="s">
        <v>13063</v>
      </c>
      <c r="D6140" s="475">
        <v>0.67</v>
      </c>
      <c r="E6140" s="476">
        <v>0</v>
      </c>
      <c r="F6140" s="6">
        <v>0</v>
      </c>
      <c r="G6140" s="6">
        <v>3809.12</v>
      </c>
    </row>
    <row r="6141" ht="15.75" customHeight="1" spans="1:7">
      <c r="A6141" s="4" t="s">
        <v>13398</v>
      </c>
      <c r="B6141" s="5" t="s">
        <v>13399</v>
      </c>
      <c r="C6141" s="4" t="s">
        <v>13063</v>
      </c>
      <c r="D6141" s="475">
        <v>0.52</v>
      </c>
      <c r="E6141" s="476">
        <v>0</v>
      </c>
      <c r="F6141" s="6">
        <v>0</v>
      </c>
      <c r="G6141" s="6">
        <v>4895.66</v>
      </c>
    </row>
    <row r="6142" ht="15.75" customHeight="1" spans="1:7">
      <c r="A6142" s="4" t="s">
        <v>13400</v>
      </c>
      <c r="B6142" s="5" t="s">
        <v>13401</v>
      </c>
      <c r="C6142" s="4" t="s">
        <v>13063</v>
      </c>
      <c r="D6142" s="475">
        <v>1.01</v>
      </c>
      <c r="E6142" s="476">
        <v>0</v>
      </c>
      <c r="F6142" s="6">
        <v>0</v>
      </c>
      <c r="G6142" s="6">
        <v>2255.9</v>
      </c>
    </row>
    <row r="6143" ht="15.75" customHeight="1" spans="1:7">
      <c r="A6143" s="4" t="s">
        <v>13402</v>
      </c>
      <c r="B6143" s="5" t="s">
        <v>13403</v>
      </c>
      <c r="C6143" s="4" t="s">
        <v>13063</v>
      </c>
      <c r="D6143" s="475">
        <v>0.8</v>
      </c>
      <c r="E6143" s="476">
        <v>0</v>
      </c>
      <c r="F6143" s="6">
        <v>0</v>
      </c>
      <c r="G6143" s="6">
        <v>2900.48</v>
      </c>
    </row>
    <row r="6144" ht="15.75" customHeight="1" spans="1:7">
      <c r="A6144" s="4" t="s">
        <v>13404</v>
      </c>
      <c r="B6144" s="5" t="s">
        <v>13405</v>
      </c>
      <c r="C6144" s="4" t="s">
        <v>13063</v>
      </c>
      <c r="D6144" s="475">
        <v>0.57</v>
      </c>
      <c r="E6144" s="476">
        <v>0</v>
      </c>
      <c r="F6144" s="6">
        <v>0</v>
      </c>
      <c r="G6144" s="6">
        <v>4512.88</v>
      </c>
    </row>
    <row r="6145" ht="15.75" customHeight="1" spans="1:7">
      <c r="A6145" s="4" t="s">
        <v>13406</v>
      </c>
      <c r="B6145" s="5" t="s">
        <v>13407</v>
      </c>
      <c r="C6145" s="4" t="s">
        <v>13063</v>
      </c>
      <c r="D6145" s="475">
        <v>0.44</v>
      </c>
      <c r="E6145" s="476">
        <v>0</v>
      </c>
      <c r="F6145" s="6">
        <v>0</v>
      </c>
      <c r="G6145" s="6">
        <v>5799.92</v>
      </c>
    </row>
    <row r="6146" ht="15.75" customHeight="1" spans="1:7">
      <c r="A6146" s="4" t="s">
        <v>13408</v>
      </c>
      <c r="B6146" s="5" t="s">
        <v>13409</v>
      </c>
      <c r="C6146" s="4" t="s">
        <v>13063</v>
      </c>
      <c r="D6146" s="475">
        <v>1.14</v>
      </c>
      <c r="E6146" s="476">
        <v>0</v>
      </c>
      <c r="F6146" s="6">
        <v>0</v>
      </c>
      <c r="G6146" s="6">
        <v>2015</v>
      </c>
    </row>
    <row r="6147" ht="15.75" customHeight="1" spans="1:7">
      <c r="A6147" s="4" t="s">
        <v>13410</v>
      </c>
      <c r="B6147" s="5" t="s">
        <v>13411</v>
      </c>
      <c r="C6147" s="4" t="s">
        <v>13063</v>
      </c>
      <c r="D6147" s="475">
        <v>0.9</v>
      </c>
      <c r="E6147" s="476">
        <v>0</v>
      </c>
      <c r="F6147" s="6">
        <v>0</v>
      </c>
      <c r="G6147" s="6">
        <v>2590.64</v>
      </c>
    </row>
    <row r="6148" ht="15.75" customHeight="1" spans="1:7">
      <c r="A6148" s="4" t="s">
        <v>13412</v>
      </c>
      <c r="B6148" s="5" t="s">
        <v>13413</v>
      </c>
      <c r="C6148" s="4" t="s">
        <v>13063</v>
      </c>
      <c r="D6148" s="475">
        <v>0.64</v>
      </c>
      <c r="E6148" s="476">
        <v>0</v>
      </c>
      <c r="F6148" s="6">
        <v>0</v>
      </c>
      <c r="G6148" s="6">
        <v>4030.85</v>
      </c>
    </row>
    <row r="6149" ht="15.75" customHeight="1" spans="1:7">
      <c r="A6149" s="4" t="s">
        <v>13414</v>
      </c>
      <c r="B6149" s="5" t="s">
        <v>13415</v>
      </c>
      <c r="C6149" s="4" t="s">
        <v>13063</v>
      </c>
      <c r="D6149" s="475">
        <v>0.49</v>
      </c>
      <c r="E6149" s="476">
        <v>0</v>
      </c>
      <c r="F6149" s="6">
        <v>0</v>
      </c>
      <c r="G6149" s="6">
        <v>5180.42</v>
      </c>
    </row>
    <row r="6150" ht="15.75" customHeight="1" spans="1:7">
      <c r="A6150" s="4" t="s">
        <v>13416</v>
      </c>
      <c r="B6150" s="5" t="s">
        <v>13417</v>
      </c>
      <c r="C6150" s="4" t="s">
        <v>724</v>
      </c>
      <c r="D6150" s="475">
        <v>26.07</v>
      </c>
      <c r="E6150" s="476">
        <v>0.04367</v>
      </c>
      <c r="F6150" s="6">
        <v>0.2914</v>
      </c>
      <c r="G6150" s="6">
        <v>16.6</v>
      </c>
    </row>
    <row r="6151" ht="15.75" customHeight="1" spans="1:7">
      <c r="A6151" s="4" t="s">
        <v>13418</v>
      </c>
      <c r="B6151" s="5" t="s">
        <v>13419</v>
      </c>
      <c r="C6151" s="4" t="s">
        <v>724</v>
      </c>
      <c r="D6151" s="475">
        <v>20.87</v>
      </c>
      <c r="E6151" s="476">
        <v>0.04722</v>
      </c>
      <c r="F6151" s="6">
        <v>0.2521</v>
      </c>
      <c r="G6151" s="6">
        <v>20.75</v>
      </c>
    </row>
    <row r="6152" ht="15.75" customHeight="1" spans="1:7">
      <c r="A6152" s="4" t="s">
        <v>13420</v>
      </c>
      <c r="B6152" s="5" t="s">
        <v>13421</v>
      </c>
      <c r="C6152" s="4" t="s">
        <v>724</v>
      </c>
      <c r="D6152" s="475">
        <v>17.18</v>
      </c>
      <c r="E6152" s="476">
        <v>0</v>
      </c>
      <c r="F6152" s="6">
        <v>0</v>
      </c>
      <c r="G6152" s="6">
        <v>24.9</v>
      </c>
    </row>
    <row r="6153" ht="15.75" customHeight="1" spans="1:7">
      <c r="A6153" s="4" t="s">
        <v>13422</v>
      </c>
      <c r="B6153" s="5" t="s">
        <v>13423</v>
      </c>
      <c r="C6153" s="4" t="s">
        <v>724</v>
      </c>
      <c r="D6153" s="475">
        <v>16.76</v>
      </c>
      <c r="E6153" s="476">
        <v>0.04367</v>
      </c>
      <c r="F6153" s="6">
        <v>0.2309</v>
      </c>
      <c r="G6153" s="6">
        <v>16.6</v>
      </c>
    </row>
    <row r="6154" ht="15.75" customHeight="1" spans="1:7">
      <c r="A6154" s="4" t="s">
        <v>13424</v>
      </c>
      <c r="B6154" s="5" t="s">
        <v>13425</v>
      </c>
      <c r="C6154" s="4" t="s">
        <v>724</v>
      </c>
      <c r="D6154" s="475">
        <v>13.43</v>
      </c>
      <c r="E6154" s="476">
        <v>0.04722</v>
      </c>
      <c r="F6154" s="6">
        <v>0.1998</v>
      </c>
      <c r="G6154" s="6">
        <v>20.75</v>
      </c>
    </row>
    <row r="6155" ht="15.75" customHeight="1" spans="1:7">
      <c r="A6155" s="4" t="s">
        <v>13426</v>
      </c>
      <c r="B6155" s="5" t="s">
        <v>13427</v>
      </c>
      <c r="C6155" s="4" t="s">
        <v>724</v>
      </c>
      <c r="D6155" s="475">
        <v>11.02</v>
      </c>
      <c r="E6155" s="476">
        <v>0</v>
      </c>
      <c r="F6155" s="6">
        <v>0</v>
      </c>
      <c r="G6155" s="6">
        <v>24.9</v>
      </c>
    </row>
    <row r="6156" ht="15.75" customHeight="1" spans="1:7">
      <c r="A6156" s="4" t="s">
        <v>13428</v>
      </c>
      <c r="B6156" s="5" t="s">
        <v>13429</v>
      </c>
      <c r="C6156" s="4" t="s">
        <v>724</v>
      </c>
      <c r="D6156" s="475">
        <v>35.15</v>
      </c>
      <c r="E6156" s="476">
        <v>0.04367</v>
      </c>
      <c r="F6156" s="6">
        <v>0.4466</v>
      </c>
      <c r="G6156" s="6">
        <v>16.6</v>
      </c>
    </row>
    <row r="6157" ht="15.75" customHeight="1" spans="1:7">
      <c r="A6157" s="4" t="s">
        <v>13430</v>
      </c>
      <c r="B6157" s="5" t="s">
        <v>13431</v>
      </c>
      <c r="C6157" s="4" t="s">
        <v>724</v>
      </c>
      <c r="D6157" s="475">
        <v>28.15</v>
      </c>
      <c r="E6157" s="476">
        <v>0.04722</v>
      </c>
      <c r="F6157" s="6">
        <v>0.3864</v>
      </c>
      <c r="G6157" s="6">
        <v>20.75</v>
      </c>
    </row>
    <row r="6158" ht="15.75" customHeight="1" spans="1:7">
      <c r="A6158" s="4" t="s">
        <v>13432</v>
      </c>
      <c r="B6158" s="5" t="s">
        <v>13433</v>
      </c>
      <c r="C6158" s="4" t="s">
        <v>724</v>
      </c>
      <c r="D6158" s="475">
        <v>23.13</v>
      </c>
      <c r="E6158" s="476">
        <v>0</v>
      </c>
      <c r="F6158" s="6">
        <v>0</v>
      </c>
      <c r="G6158" s="6">
        <v>24.9</v>
      </c>
    </row>
    <row r="6159" ht="15.75" customHeight="1" spans="1:7">
      <c r="A6159" s="4" t="s">
        <v>13434</v>
      </c>
      <c r="B6159" s="5" t="s">
        <v>13435</v>
      </c>
      <c r="C6159" s="4" t="s">
        <v>724</v>
      </c>
      <c r="D6159" s="475">
        <v>85.18</v>
      </c>
      <c r="E6159" s="476">
        <v>0.04367</v>
      </c>
      <c r="F6159" s="6">
        <v>1.2197</v>
      </c>
      <c r="G6159" s="6">
        <v>8.3</v>
      </c>
    </row>
    <row r="6160" ht="15.75" customHeight="1" spans="1:7">
      <c r="A6160" s="4" t="s">
        <v>13436</v>
      </c>
      <c r="B6160" s="5" t="s">
        <v>13437</v>
      </c>
      <c r="C6160" s="4" t="s">
        <v>724</v>
      </c>
      <c r="D6160" s="475">
        <v>68.19</v>
      </c>
      <c r="E6160" s="476">
        <v>0.04722</v>
      </c>
      <c r="F6160" s="6">
        <v>1.0545</v>
      </c>
      <c r="G6160" s="6">
        <v>10.38</v>
      </c>
    </row>
    <row r="6161" ht="15.75" customHeight="1" spans="1:7">
      <c r="A6161" s="4" t="s">
        <v>13438</v>
      </c>
      <c r="B6161" s="5" t="s">
        <v>13439</v>
      </c>
      <c r="C6161" s="4" t="s">
        <v>724</v>
      </c>
      <c r="D6161" s="475">
        <v>55.97</v>
      </c>
      <c r="E6161" s="476">
        <v>0</v>
      </c>
      <c r="F6161" s="6">
        <v>0</v>
      </c>
      <c r="G6161" s="6">
        <v>12.45</v>
      </c>
    </row>
    <row r="6162" ht="15.75" customHeight="1" spans="1:7">
      <c r="A6162" s="4" t="s">
        <v>13440</v>
      </c>
      <c r="B6162" s="5" t="s">
        <v>13441</v>
      </c>
      <c r="C6162" s="4" t="s">
        <v>724</v>
      </c>
      <c r="D6162" s="475">
        <v>95.53</v>
      </c>
      <c r="E6162" s="476">
        <v>0.04367</v>
      </c>
      <c r="F6162" s="6">
        <v>1.4494</v>
      </c>
      <c r="G6162" s="6">
        <v>8.3</v>
      </c>
    </row>
    <row r="6163" ht="15.75" customHeight="1" spans="1:7">
      <c r="A6163" s="4" t="s">
        <v>13442</v>
      </c>
      <c r="B6163" s="5" t="s">
        <v>13443</v>
      </c>
      <c r="C6163" s="4" t="s">
        <v>724</v>
      </c>
      <c r="D6163" s="475">
        <v>76.48</v>
      </c>
      <c r="E6163" s="476">
        <v>0.04722</v>
      </c>
      <c r="F6163" s="6">
        <v>1.2531</v>
      </c>
      <c r="G6163" s="6">
        <v>10.38</v>
      </c>
    </row>
    <row r="6164" ht="15.75" customHeight="1" spans="1:7">
      <c r="A6164" s="4" t="s">
        <v>13444</v>
      </c>
      <c r="B6164" s="5" t="s">
        <v>13445</v>
      </c>
      <c r="C6164" s="4" t="s">
        <v>724</v>
      </c>
      <c r="D6164" s="475">
        <v>62.72</v>
      </c>
      <c r="E6164" s="476">
        <v>0</v>
      </c>
      <c r="F6164" s="6">
        <v>0</v>
      </c>
      <c r="G6164" s="6">
        <v>12.45</v>
      </c>
    </row>
    <row r="6165" ht="15.75" customHeight="1" spans="1:7">
      <c r="A6165" s="4" t="s">
        <v>13446</v>
      </c>
      <c r="B6165" s="5" t="s">
        <v>13447</v>
      </c>
      <c r="C6165" s="4" t="s">
        <v>724</v>
      </c>
      <c r="D6165" s="475">
        <v>184.3</v>
      </c>
      <c r="E6165" s="476">
        <v>0.04367</v>
      </c>
      <c r="F6165" s="6">
        <v>3.2025</v>
      </c>
      <c r="G6165" s="6">
        <v>8.3</v>
      </c>
    </row>
    <row r="6166" ht="15.75" customHeight="1" spans="1:7">
      <c r="A6166" s="4" t="s">
        <v>13448</v>
      </c>
      <c r="B6166" s="5" t="s">
        <v>13449</v>
      </c>
      <c r="C6166" s="4" t="s">
        <v>724</v>
      </c>
      <c r="D6166" s="475">
        <v>147.58</v>
      </c>
      <c r="E6166" s="476">
        <v>0.04722</v>
      </c>
      <c r="F6166" s="6">
        <v>2.769</v>
      </c>
      <c r="G6166" s="6">
        <v>10.38</v>
      </c>
    </row>
    <row r="6167" ht="15.75" customHeight="1" spans="1:7">
      <c r="A6167" s="4" t="s">
        <v>13450</v>
      </c>
      <c r="B6167" s="5" t="s">
        <v>13451</v>
      </c>
      <c r="C6167" s="4" t="s">
        <v>724</v>
      </c>
      <c r="D6167" s="475">
        <v>120.73</v>
      </c>
      <c r="E6167" s="476">
        <v>0</v>
      </c>
      <c r="F6167" s="6">
        <v>0</v>
      </c>
      <c r="G6167" s="6">
        <v>12.45</v>
      </c>
    </row>
    <row r="6168" ht="15.75" customHeight="1" spans="1:7">
      <c r="A6168" s="4" t="s">
        <v>13452</v>
      </c>
      <c r="B6168" s="5" t="s">
        <v>13453</v>
      </c>
      <c r="C6168" s="4" t="s">
        <v>724</v>
      </c>
      <c r="D6168" s="475">
        <v>244.25</v>
      </c>
      <c r="E6168" s="476">
        <v>0.04367</v>
      </c>
      <c r="F6168" s="6">
        <v>4.54</v>
      </c>
      <c r="G6168" s="6">
        <v>8.3</v>
      </c>
    </row>
    <row r="6169" ht="15.75" customHeight="1" spans="1:7">
      <c r="A6169" s="4" t="s">
        <v>13454</v>
      </c>
      <c r="B6169" s="5" t="s">
        <v>13455</v>
      </c>
      <c r="C6169" s="4" t="s">
        <v>724</v>
      </c>
      <c r="D6169" s="475">
        <v>195.6</v>
      </c>
      <c r="E6169" s="476">
        <v>0.04722</v>
      </c>
      <c r="F6169" s="6">
        <v>3.9254</v>
      </c>
      <c r="G6169" s="6">
        <v>10.38</v>
      </c>
    </row>
    <row r="6170" ht="15.75" customHeight="1" spans="1:7">
      <c r="A6170" s="4" t="s">
        <v>13456</v>
      </c>
      <c r="B6170" s="5" t="s">
        <v>13457</v>
      </c>
      <c r="C6170" s="4" t="s">
        <v>724</v>
      </c>
      <c r="D6170" s="475">
        <v>159.8</v>
      </c>
      <c r="E6170" s="476">
        <v>0</v>
      </c>
      <c r="F6170" s="6">
        <v>0</v>
      </c>
      <c r="G6170" s="6">
        <v>12.45</v>
      </c>
    </row>
    <row r="6171" ht="15.75" customHeight="1" spans="1:7">
      <c r="A6171" s="4" t="s">
        <v>13458</v>
      </c>
      <c r="B6171" s="5" t="s">
        <v>13459</v>
      </c>
      <c r="C6171" s="4" t="s">
        <v>724</v>
      </c>
      <c r="D6171" s="475">
        <v>211.59</v>
      </c>
      <c r="E6171" s="476">
        <v>0</v>
      </c>
      <c r="F6171" s="6">
        <v>0</v>
      </c>
      <c r="G6171" s="6">
        <v>4.26857</v>
      </c>
    </row>
    <row r="6172" ht="15.75" customHeight="1" spans="1:7">
      <c r="A6172" s="4" t="s">
        <v>13460</v>
      </c>
      <c r="B6172" s="5" t="s">
        <v>13461</v>
      </c>
      <c r="C6172" s="4" t="s">
        <v>724</v>
      </c>
      <c r="D6172" s="475">
        <v>175.6</v>
      </c>
      <c r="E6172" s="476">
        <v>0</v>
      </c>
      <c r="F6172" s="6">
        <v>0</v>
      </c>
      <c r="G6172" s="6">
        <v>4.26857</v>
      </c>
    </row>
    <row r="6173" ht="15.75" customHeight="1" spans="1:7">
      <c r="A6173" s="4" t="s">
        <v>13462</v>
      </c>
      <c r="B6173" s="5" t="s">
        <v>13463</v>
      </c>
      <c r="C6173" s="4" t="s">
        <v>101</v>
      </c>
      <c r="D6173" s="475">
        <v>13.22</v>
      </c>
      <c r="E6173" s="476">
        <v>0</v>
      </c>
      <c r="F6173" s="6">
        <v>0</v>
      </c>
      <c r="G6173" s="6">
        <v>12.5</v>
      </c>
    </row>
    <row r="6174" ht="15.75" customHeight="1" spans="1:7">
      <c r="A6174" s="4" t="s">
        <v>13464</v>
      </c>
      <c r="B6174" s="5" t="s">
        <v>13465</v>
      </c>
      <c r="C6174" s="4" t="s">
        <v>99</v>
      </c>
      <c r="D6174" s="475">
        <v>395.03</v>
      </c>
      <c r="E6174" s="476">
        <v>0.13329</v>
      </c>
      <c r="F6174" s="6">
        <v>46.4613</v>
      </c>
      <c r="G6174" s="6">
        <v>0.14286</v>
      </c>
    </row>
    <row r="6175" ht="15.75" customHeight="1" spans="1:7">
      <c r="A6175" s="4" t="s">
        <v>13466</v>
      </c>
      <c r="B6175" s="5" t="s">
        <v>13467</v>
      </c>
      <c r="C6175" s="4" t="s">
        <v>99</v>
      </c>
      <c r="D6175" s="475">
        <v>338.6</v>
      </c>
      <c r="E6175" s="476">
        <v>0.13329</v>
      </c>
      <c r="F6175" s="6">
        <v>39.824</v>
      </c>
      <c r="G6175" s="6">
        <v>0.16667</v>
      </c>
    </row>
    <row r="6176" ht="15.75" customHeight="1" spans="1:7">
      <c r="A6176" s="4" t="s">
        <v>13468</v>
      </c>
      <c r="B6176" s="5" t="s">
        <v>13469</v>
      </c>
      <c r="C6176" s="4" t="s">
        <v>99</v>
      </c>
      <c r="D6176" s="475">
        <v>875.29</v>
      </c>
      <c r="E6176" s="476">
        <v>0.13329</v>
      </c>
      <c r="F6176" s="6">
        <v>75.5468</v>
      </c>
      <c r="G6176" s="6">
        <v>0.11111</v>
      </c>
    </row>
    <row r="6177" ht="15.75" customHeight="1" spans="1:7">
      <c r="A6177" s="4" t="s">
        <v>13470</v>
      </c>
      <c r="B6177" s="5" t="s">
        <v>13471</v>
      </c>
      <c r="C6177" s="4" t="s">
        <v>99</v>
      </c>
      <c r="D6177" s="475">
        <v>970.35</v>
      </c>
      <c r="E6177" s="476">
        <v>0.13329</v>
      </c>
      <c r="F6177" s="6">
        <v>83.94</v>
      </c>
      <c r="G6177" s="6">
        <v>0.1</v>
      </c>
    </row>
    <row r="6178" ht="15.75" customHeight="1" spans="1:7">
      <c r="A6178" s="4" t="s">
        <v>13472</v>
      </c>
      <c r="B6178" s="5" t="s">
        <v>13473</v>
      </c>
      <c r="C6178" s="4" t="s">
        <v>99</v>
      </c>
      <c r="D6178" s="475">
        <v>2204.5</v>
      </c>
      <c r="E6178" s="476">
        <v>0.13329</v>
      </c>
      <c r="F6178" s="6">
        <v>169.0079</v>
      </c>
      <c r="G6178" s="6">
        <v>0.07143</v>
      </c>
    </row>
    <row r="6179" ht="15.75" customHeight="1" spans="1:7">
      <c r="A6179" s="4" t="s">
        <v>13474</v>
      </c>
      <c r="B6179" s="5" t="s">
        <v>13475</v>
      </c>
      <c r="C6179" s="4" t="s">
        <v>99</v>
      </c>
      <c r="D6179" s="475">
        <v>2346.29</v>
      </c>
      <c r="E6179" s="476">
        <v>0.13329</v>
      </c>
      <c r="F6179" s="6">
        <v>181.0745</v>
      </c>
      <c r="G6179" s="6">
        <v>0.06667</v>
      </c>
    </row>
    <row r="6180" ht="15.75" customHeight="1" spans="1:7">
      <c r="A6180" s="4" t="s">
        <v>13476</v>
      </c>
      <c r="B6180" s="5" t="s">
        <v>13477</v>
      </c>
      <c r="C6180" s="4" t="s">
        <v>99</v>
      </c>
      <c r="D6180" s="475">
        <v>2571.4</v>
      </c>
      <c r="E6180" s="476">
        <v>0.13329</v>
      </c>
      <c r="F6180" s="6">
        <v>208.2713</v>
      </c>
      <c r="G6180" s="6">
        <v>0.07143</v>
      </c>
    </row>
    <row r="6181" ht="15.75" customHeight="1" spans="1:7">
      <c r="A6181" s="4" t="s">
        <v>13478</v>
      </c>
      <c r="B6181" s="5" t="s">
        <v>13479</v>
      </c>
      <c r="C6181" s="4" t="s">
        <v>99</v>
      </c>
      <c r="D6181" s="475">
        <v>2741.56</v>
      </c>
      <c r="E6181" s="476">
        <v>0.13329</v>
      </c>
      <c r="F6181" s="6">
        <v>223.1411</v>
      </c>
      <c r="G6181" s="6">
        <v>0.06667</v>
      </c>
    </row>
    <row r="6182" ht="15.75" customHeight="1" spans="1:7">
      <c r="A6182" s="4" t="s">
        <v>13480</v>
      </c>
      <c r="B6182" s="5" t="s">
        <v>13481</v>
      </c>
      <c r="C6182" s="4" t="s">
        <v>99</v>
      </c>
      <c r="D6182" s="475">
        <v>395.03</v>
      </c>
      <c r="E6182" s="476">
        <v>0.13329</v>
      </c>
      <c r="F6182" s="6">
        <v>46.4613</v>
      </c>
      <c r="G6182" s="6">
        <v>0.14286</v>
      </c>
    </row>
    <row r="6183" ht="15.75" customHeight="1" spans="1:7">
      <c r="A6183" s="4" t="s">
        <v>13482</v>
      </c>
      <c r="B6183" s="5" t="s">
        <v>13483</v>
      </c>
      <c r="C6183" s="4" t="s">
        <v>99</v>
      </c>
      <c r="D6183" s="475">
        <v>338.6</v>
      </c>
      <c r="E6183" s="476">
        <v>0.13329</v>
      </c>
      <c r="F6183" s="6">
        <v>39.824</v>
      </c>
      <c r="G6183" s="6">
        <v>0.16667</v>
      </c>
    </row>
    <row r="6184" ht="15.75" customHeight="1" spans="1:7">
      <c r="A6184" s="4" t="s">
        <v>13484</v>
      </c>
      <c r="B6184" s="5" t="s">
        <v>13485</v>
      </c>
      <c r="C6184" s="4" t="s">
        <v>99</v>
      </c>
      <c r="D6184" s="475">
        <v>875.29</v>
      </c>
      <c r="E6184" s="476">
        <v>0.13329</v>
      </c>
      <c r="F6184" s="6">
        <v>75.5468</v>
      </c>
      <c r="G6184" s="6">
        <v>0.11111</v>
      </c>
    </row>
    <row r="6185" ht="15.75" customHeight="1" spans="1:7">
      <c r="A6185" s="4" t="s">
        <v>13486</v>
      </c>
      <c r="B6185" s="5" t="s">
        <v>13487</v>
      </c>
      <c r="C6185" s="4" t="s">
        <v>99</v>
      </c>
      <c r="D6185" s="475">
        <v>970.35</v>
      </c>
      <c r="E6185" s="476">
        <v>0.13329</v>
      </c>
      <c r="F6185" s="6">
        <v>83.94</v>
      </c>
      <c r="G6185" s="6">
        <v>0.1</v>
      </c>
    </row>
    <row r="6186" ht="15.75" customHeight="1" spans="1:7">
      <c r="A6186" s="4" t="s">
        <v>13488</v>
      </c>
      <c r="B6186" s="5" t="s">
        <v>13489</v>
      </c>
      <c r="C6186" s="4" t="s">
        <v>99</v>
      </c>
      <c r="D6186" s="475">
        <v>2290.77</v>
      </c>
      <c r="E6186" s="476">
        <v>0.13329</v>
      </c>
      <c r="F6186" s="6">
        <v>200.8199</v>
      </c>
      <c r="G6186" s="6">
        <v>0.07143</v>
      </c>
    </row>
    <row r="6187" ht="15.75" customHeight="1" spans="1:7">
      <c r="A6187" s="4" t="s">
        <v>13490</v>
      </c>
      <c r="B6187" s="5" t="s">
        <v>13491</v>
      </c>
      <c r="C6187" s="4" t="s">
        <v>99</v>
      </c>
      <c r="D6187" s="475">
        <v>2440.89</v>
      </c>
      <c r="E6187" s="476">
        <v>0.13329</v>
      </c>
      <c r="F6187" s="6">
        <v>215.1577</v>
      </c>
      <c r="G6187" s="6">
        <v>0.06667</v>
      </c>
    </row>
    <row r="6188" ht="15.75" customHeight="1" spans="1:7">
      <c r="A6188" s="4" t="s">
        <v>13492</v>
      </c>
      <c r="B6188" s="5" t="s">
        <v>13493</v>
      </c>
      <c r="C6188" s="4" t="s">
        <v>99</v>
      </c>
      <c r="D6188" s="475">
        <v>203.21</v>
      </c>
      <c r="E6188" s="476">
        <v>0</v>
      </c>
      <c r="F6188" s="6">
        <v>0</v>
      </c>
      <c r="G6188" s="6">
        <v>5</v>
      </c>
    </row>
    <row r="6189" ht="15.75" customHeight="1" spans="1:7">
      <c r="A6189" s="4" t="s">
        <v>13494</v>
      </c>
      <c r="B6189" s="5" t="s">
        <v>13495</v>
      </c>
      <c r="C6189" s="4" t="s">
        <v>99</v>
      </c>
      <c r="D6189" s="475">
        <v>1011.78</v>
      </c>
      <c r="E6189" s="476">
        <v>0</v>
      </c>
      <c r="F6189" s="6">
        <v>0</v>
      </c>
      <c r="G6189" s="6">
        <v>1</v>
      </c>
    </row>
    <row r="6190" ht="15.75" customHeight="1" spans="1:7">
      <c r="A6190" s="4" t="s">
        <v>13496</v>
      </c>
      <c r="B6190" s="5" t="s">
        <v>13497</v>
      </c>
      <c r="C6190" s="4" t="s">
        <v>99</v>
      </c>
      <c r="D6190" s="475">
        <v>84.08</v>
      </c>
      <c r="E6190" s="476">
        <v>0</v>
      </c>
      <c r="F6190" s="6">
        <v>0</v>
      </c>
      <c r="G6190" s="6">
        <v>12</v>
      </c>
    </row>
    <row r="6191" ht="15.75" customHeight="1" spans="1:7">
      <c r="A6191" s="4" t="s">
        <v>13498</v>
      </c>
      <c r="B6191" s="5" t="s">
        <v>13499</v>
      </c>
      <c r="C6191" s="4" t="s">
        <v>99</v>
      </c>
      <c r="D6191" s="475">
        <v>42.62</v>
      </c>
      <c r="E6191" s="476">
        <v>0</v>
      </c>
      <c r="F6191" s="6">
        <v>0</v>
      </c>
      <c r="G6191" s="6">
        <v>15</v>
      </c>
    </row>
    <row r="6192" ht="15.75" customHeight="1" spans="1:7">
      <c r="A6192" s="4" t="s">
        <v>13500</v>
      </c>
      <c r="B6192" s="5" t="s">
        <v>13501</v>
      </c>
      <c r="C6192" s="4" t="s">
        <v>99</v>
      </c>
      <c r="D6192" s="475">
        <v>203.32</v>
      </c>
      <c r="E6192" s="476">
        <v>0</v>
      </c>
      <c r="F6192" s="6">
        <v>0</v>
      </c>
      <c r="G6192" s="6">
        <v>5</v>
      </c>
    </row>
    <row r="6193" ht="15.75" customHeight="1" spans="1:7">
      <c r="A6193" s="4" t="s">
        <v>13502</v>
      </c>
      <c r="B6193" s="5" t="s">
        <v>13503</v>
      </c>
      <c r="C6193" s="4" t="s">
        <v>99</v>
      </c>
      <c r="D6193" s="475">
        <v>1013.53</v>
      </c>
      <c r="E6193" s="476">
        <v>0</v>
      </c>
      <c r="F6193" s="6">
        <v>0</v>
      </c>
      <c r="G6193" s="6">
        <v>1</v>
      </c>
    </row>
    <row r="6194" ht="15.75" customHeight="1" spans="1:7">
      <c r="A6194" s="4" t="s">
        <v>13504</v>
      </c>
      <c r="B6194" s="5" t="s">
        <v>13505</v>
      </c>
      <c r="C6194" s="4" t="s">
        <v>99</v>
      </c>
      <c r="D6194" s="475">
        <v>84.29</v>
      </c>
      <c r="E6194" s="476">
        <v>0</v>
      </c>
      <c r="F6194" s="6">
        <v>0</v>
      </c>
      <c r="G6194" s="6">
        <v>12</v>
      </c>
    </row>
    <row r="6195" ht="15.75" customHeight="1" spans="1:7">
      <c r="A6195" s="4" t="s">
        <v>13506</v>
      </c>
      <c r="B6195" s="5" t="s">
        <v>13507</v>
      </c>
      <c r="C6195" s="4" t="s">
        <v>101</v>
      </c>
      <c r="D6195" s="475">
        <v>21.92</v>
      </c>
      <c r="E6195" s="476">
        <v>0</v>
      </c>
      <c r="F6195" s="6">
        <v>0</v>
      </c>
      <c r="G6195" s="6">
        <v>37.18</v>
      </c>
    </row>
    <row r="6196" ht="15.75" customHeight="1" spans="1:7">
      <c r="A6196" s="4" t="s">
        <v>13508</v>
      </c>
      <c r="B6196" s="5" t="s">
        <v>13509</v>
      </c>
      <c r="C6196" s="4" t="s">
        <v>101</v>
      </c>
      <c r="D6196" s="475">
        <v>14.27</v>
      </c>
      <c r="E6196" s="476">
        <v>0</v>
      </c>
      <c r="F6196" s="6">
        <v>0</v>
      </c>
      <c r="G6196" s="6">
        <v>166</v>
      </c>
    </row>
    <row r="6197" ht="15.75" customHeight="1" spans="1:7">
      <c r="A6197" s="4" t="s">
        <v>13510</v>
      </c>
      <c r="B6197" s="5" t="s">
        <v>13511</v>
      </c>
      <c r="C6197" s="4" t="s">
        <v>9</v>
      </c>
      <c r="D6197" s="475">
        <v>478.54</v>
      </c>
      <c r="E6197" s="476">
        <v>0</v>
      </c>
      <c r="F6197" s="6">
        <v>0</v>
      </c>
      <c r="G6197" s="6">
        <v>4.98</v>
      </c>
    </row>
    <row r="6198" ht="15.75" customHeight="1" spans="1:7">
      <c r="A6198" s="4" t="s">
        <v>13512</v>
      </c>
      <c r="B6198" s="5" t="s">
        <v>13513</v>
      </c>
      <c r="C6198" s="4" t="s">
        <v>9</v>
      </c>
      <c r="D6198" s="475">
        <v>572.66</v>
      </c>
      <c r="E6198" s="476">
        <v>0</v>
      </c>
      <c r="F6198" s="6">
        <v>0</v>
      </c>
      <c r="G6198" s="6">
        <v>4.26857</v>
      </c>
    </row>
    <row r="6199" ht="15.75" customHeight="1" spans="1:7">
      <c r="A6199" s="4" t="s">
        <v>13514</v>
      </c>
      <c r="B6199" s="5" t="s">
        <v>13515</v>
      </c>
      <c r="C6199" s="4" t="s">
        <v>9</v>
      </c>
      <c r="D6199" s="475">
        <v>671.5</v>
      </c>
      <c r="E6199" s="476">
        <v>0</v>
      </c>
      <c r="F6199" s="6">
        <v>0</v>
      </c>
      <c r="G6199" s="6">
        <v>3.735</v>
      </c>
    </row>
    <row r="6200" ht="15.75" customHeight="1" spans="1:7">
      <c r="A6200" s="4" t="s">
        <v>13516</v>
      </c>
      <c r="B6200" s="5" t="s">
        <v>13517</v>
      </c>
      <c r="C6200" s="4" t="s">
        <v>9</v>
      </c>
      <c r="D6200" s="475">
        <v>1181.77</v>
      </c>
      <c r="E6200" s="476">
        <v>0</v>
      </c>
      <c r="F6200" s="6">
        <v>0</v>
      </c>
      <c r="G6200" s="6">
        <v>2.29846</v>
      </c>
    </row>
    <row r="6201" ht="15.75" customHeight="1" spans="1:7">
      <c r="A6201" s="4" t="s">
        <v>13518</v>
      </c>
      <c r="B6201" s="5" t="s">
        <v>13519</v>
      </c>
      <c r="C6201" s="4" t="s">
        <v>9</v>
      </c>
      <c r="D6201" s="475">
        <v>1267.55</v>
      </c>
      <c r="E6201" s="476">
        <v>0</v>
      </c>
      <c r="F6201" s="6">
        <v>0</v>
      </c>
      <c r="G6201" s="6">
        <v>2.21333</v>
      </c>
    </row>
    <row r="6202" ht="15.75" customHeight="1" spans="1:7">
      <c r="A6202" s="4" t="s">
        <v>13520</v>
      </c>
      <c r="B6202" s="5" t="s">
        <v>13521</v>
      </c>
      <c r="C6202" s="4" t="s">
        <v>9</v>
      </c>
      <c r="D6202" s="475">
        <v>1358.06</v>
      </c>
      <c r="E6202" s="476">
        <v>0</v>
      </c>
      <c r="F6202" s="6">
        <v>0</v>
      </c>
      <c r="G6202" s="6">
        <v>2.13429</v>
      </c>
    </row>
    <row r="6203" ht="15.75" customHeight="1" spans="1:7">
      <c r="A6203" s="4" t="s">
        <v>13522</v>
      </c>
      <c r="B6203" s="5" t="s">
        <v>13523</v>
      </c>
      <c r="C6203" s="4" t="s">
        <v>9</v>
      </c>
      <c r="D6203" s="475">
        <v>1024.34</v>
      </c>
      <c r="E6203" s="476">
        <v>0</v>
      </c>
      <c r="F6203" s="6">
        <v>0</v>
      </c>
      <c r="G6203" s="6">
        <v>2.49</v>
      </c>
    </row>
    <row r="6204" ht="15.75" customHeight="1" spans="1:7">
      <c r="A6204" s="4" t="s">
        <v>13524</v>
      </c>
      <c r="B6204" s="5" t="s">
        <v>13525</v>
      </c>
      <c r="C6204" s="4" t="s">
        <v>9</v>
      </c>
      <c r="D6204" s="475">
        <v>1100.7</v>
      </c>
      <c r="E6204" s="476">
        <v>0</v>
      </c>
      <c r="F6204" s="6">
        <v>0</v>
      </c>
      <c r="G6204" s="6">
        <v>2.3904</v>
      </c>
    </row>
    <row r="6205" ht="15.75" customHeight="1" spans="1:7">
      <c r="A6205" s="4" t="s">
        <v>13526</v>
      </c>
      <c r="B6205" s="5" t="s">
        <v>13527</v>
      </c>
      <c r="C6205" s="4" t="s">
        <v>99</v>
      </c>
      <c r="D6205" s="475">
        <v>202.61</v>
      </c>
      <c r="E6205" s="476">
        <v>0</v>
      </c>
      <c r="F6205" s="6">
        <v>0</v>
      </c>
      <c r="G6205" s="6">
        <v>1.55625</v>
      </c>
    </row>
    <row r="6206" ht="30" customHeight="1" spans="1:7">
      <c r="A6206" s="4" t="s">
        <v>13528</v>
      </c>
      <c r="B6206" s="5" t="s">
        <v>13529</v>
      </c>
      <c r="C6206" s="4" t="s">
        <v>7</v>
      </c>
      <c r="D6206" s="475">
        <v>472.9</v>
      </c>
      <c r="E6206" s="476">
        <v>0</v>
      </c>
      <c r="F6206" s="6">
        <v>0</v>
      </c>
      <c r="G6206" s="6">
        <v>10.05</v>
      </c>
    </row>
    <row r="6207" ht="15.75" customHeight="1" spans="1:7">
      <c r="A6207" s="4" t="s">
        <v>13530</v>
      </c>
      <c r="B6207" s="5" t="s">
        <v>13531</v>
      </c>
      <c r="C6207" s="4" t="s">
        <v>9</v>
      </c>
      <c r="D6207" s="475">
        <v>71.55</v>
      </c>
      <c r="E6207" s="476">
        <v>0</v>
      </c>
      <c r="F6207" s="6">
        <v>0</v>
      </c>
      <c r="G6207" s="6">
        <v>9.63871</v>
      </c>
    </row>
    <row r="6208" ht="15.75" customHeight="1" spans="1:7">
      <c r="A6208" s="4" t="s">
        <v>13532</v>
      </c>
      <c r="B6208" s="5" t="s">
        <v>13533</v>
      </c>
      <c r="C6208" s="4" t="s">
        <v>9</v>
      </c>
      <c r="D6208" s="475">
        <v>67.26</v>
      </c>
      <c r="E6208" s="476">
        <v>0</v>
      </c>
      <c r="F6208" s="6">
        <v>0</v>
      </c>
      <c r="G6208" s="6">
        <v>9.63871</v>
      </c>
    </row>
    <row r="6209" ht="15.75" customHeight="1" spans="1:7">
      <c r="A6209" s="4" t="s">
        <v>13534</v>
      </c>
      <c r="B6209" s="5" t="s">
        <v>13535</v>
      </c>
      <c r="C6209" s="4" t="s">
        <v>9</v>
      </c>
      <c r="D6209" s="475">
        <v>406.65</v>
      </c>
      <c r="E6209" s="476">
        <v>0</v>
      </c>
      <c r="F6209" s="6">
        <v>0</v>
      </c>
      <c r="G6209" s="6">
        <v>20.1</v>
      </c>
    </row>
    <row r="6210" ht="15.75" customHeight="1" spans="1:7">
      <c r="A6210" s="4" t="s">
        <v>13536</v>
      </c>
      <c r="B6210" s="5" t="s">
        <v>13537</v>
      </c>
      <c r="C6210" s="4" t="s">
        <v>9</v>
      </c>
      <c r="D6210" s="475">
        <v>311.43</v>
      </c>
      <c r="E6210" s="476">
        <v>0</v>
      </c>
      <c r="F6210" s="6">
        <v>0</v>
      </c>
      <c r="G6210" s="6">
        <v>6.73656</v>
      </c>
    </row>
    <row r="6211" ht="15.75" customHeight="1" spans="1:7">
      <c r="A6211" s="4" t="s">
        <v>13538</v>
      </c>
      <c r="B6211" s="5" t="s">
        <v>13539</v>
      </c>
      <c r="C6211" s="4" t="s">
        <v>99</v>
      </c>
      <c r="D6211" s="475">
        <v>151.73</v>
      </c>
      <c r="E6211" s="476">
        <v>0</v>
      </c>
      <c r="F6211" s="6">
        <v>0</v>
      </c>
      <c r="G6211" s="6">
        <v>33.33</v>
      </c>
    </row>
    <row r="6212" ht="15.75" customHeight="1" spans="1:7">
      <c r="A6212" s="4" t="s">
        <v>13540</v>
      </c>
      <c r="B6212" s="5" t="s">
        <v>13541</v>
      </c>
      <c r="C6212" s="4" t="s">
        <v>99</v>
      </c>
      <c r="D6212" s="475">
        <v>326.16</v>
      </c>
      <c r="E6212" s="476">
        <v>0</v>
      </c>
      <c r="F6212" s="6">
        <v>0</v>
      </c>
      <c r="G6212" s="6">
        <v>12</v>
      </c>
    </row>
    <row r="6213" ht="15.75" customHeight="1" spans="1:7">
      <c r="A6213" s="4" t="s">
        <v>13542</v>
      </c>
      <c r="B6213" s="5" t="s">
        <v>13543</v>
      </c>
      <c r="C6213" s="4" t="s">
        <v>99</v>
      </c>
      <c r="D6213" s="475">
        <v>230.01</v>
      </c>
      <c r="E6213" s="476">
        <v>0</v>
      </c>
      <c r="F6213" s="6">
        <v>0</v>
      </c>
      <c r="G6213" s="6">
        <v>20</v>
      </c>
    </row>
    <row r="6214" ht="15.75" customHeight="1" spans="1:7">
      <c r="A6214" s="4" t="s">
        <v>13544</v>
      </c>
      <c r="B6214" s="5" t="s">
        <v>13545</v>
      </c>
      <c r="C6214" s="4" t="s">
        <v>99</v>
      </c>
      <c r="D6214" s="475">
        <v>162.67</v>
      </c>
      <c r="E6214" s="476">
        <v>0</v>
      </c>
      <c r="F6214" s="6">
        <v>0</v>
      </c>
      <c r="G6214" s="6">
        <v>30</v>
      </c>
    </row>
    <row r="6215" ht="15.75" customHeight="1" spans="1:7">
      <c r="A6215" s="4" t="s">
        <v>13546</v>
      </c>
      <c r="B6215" s="5" t="s">
        <v>13547</v>
      </c>
      <c r="C6215" s="4" t="s">
        <v>99</v>
      </c>
      <c r="D6215" s="475">
        <v>164.17</v>
      </c>
      <c r="E6215" s="476">
        <v>0</v>
      </c>
      <c r="F6215" s="6">
        <v>0</v>
      </c>
      <c r="G6215" s="6">
        <v>29.17</v>
      </c>
    </row>
    <row r="6216" ht="15.75" customHeight="1" spans="1:7">
      <c r="A6216" s="4" t="s">
        <v>13548</v>
      </c>
      <c r="B6216" s="5" t="s">
        <v>13549</v>
      </c>
      <c r="C6216" s="4" t="s">
        <v>99</v>
      </c>
      <c r="D6216" s="475">
        <v>359.27</v>
      </c>
      <c r="E6216" s="476">
        <v>0</v>
      </c>
      <c r="F6216" s="6">
        <v>0</v>
      </c>
      <c r="G6216" s="6">
        <v>10.5</v>
      </c>
    </row>
    <row r="6217" ht="15.75" customHeight="1" spans="1:7">
      <c r="A6217" s="4" t="s">
        <v>13550</v>
      </c>
      <c r="B6217" s="5" t="s">
        <v>13551</v>
      </c>
      <c r="C6217" s="4" t="s">
        <v>99</v>
      </c>
      <c r="D6217" s="475">
        <v>250.86</v>
      </c>
      <c r="E6217" s="476">
        <v>0</v>
      </c>
      <c r="F6217" s="6">
        <v>0</v>
      </c>
      <c r="G6217" s="6">
        <v>17.5</v>
      </c>
    </row>
    <row r="6218" ht="15.75" customHeight="1" spans="1:7">
      <c r="A6218" s="4" t="s">
        <v>13552</v>
      </c>
      <c r="B6218" s="5" t="s">
        <v>13553</v>
      </c>
      <c r="C6218" s="4" t="s">
        <v>99</v>
      </c>
      <c r="D6218" s="475">
        <v>176.25</v>
      </c>
      <c r="E6218" s="476">
        <v>0</v>
      </c>
      <c r="F6218" s="6">
        <v>0</v>
      </c>
      <c r="G6218" s="6">
        <v>26.25</v>
      </c>
    </row>
    <row r="6219" ht="15.75" customHeight="1" spans="1:7">
      <c r="A6219" s="4" t="s">
        <v>13554</v>
      </c>
      <c r="B6219" s="5" t="s">
        <v>13555</v>
      </c>
      <c r="C6219" s="4" t="s">
        <v>99</v>
      </c>
      <c r="D6219" s="475">
        <v>176.4</v>
      </c>
      <c r="E6219" s="476">
        <v>0</v>
      </c>
      <c r="F6219" s="6">
        <v>0</v>
      </c>
      <c r="G6219" s="6">
        <v>25</v>
      </c>
    </row>
    <row r="6220" ht="15.75" customHeight="1" spans="1:7">
      <c r="A6220" s="4" t="s">
        <v>13556</v>
      </c>
      <c r="B6220" s="5" t="s">
        <v>13557</v>
      </c>
      <c r="C6220" s="4" t="s">
        <v>99</v>
      </c>
      <c r="D6220" s="475">
        <v>401.38</v>
      </c>
      <c r="E6220" s="476">
        <v>0</v>
      </c>
      <c r="F6220" s="6">
        <v>0</v>
      </c>
      <c r="G6220" s="6">
        <v>9</v>
      </c>
    </row>
    <row r="6221" ht="15.75" customHeight="1" spans="1:7">
      <c r="A6221" s="4" t="s">
        <v>13558</v>
      </c>
      <c r="B6221" s="5" t="s">
        <v>13559</v>
      </c>
      <c r="C6221" s="4" t="s">
        <v>99</v>
      </c>
      <c r="D6221" s="475">
        <v>275.52</v>
      </c>
      <c r="E6221" s="476">
        <v>0</v>
      </c>
      <c r="F6221" s="6">
        <v>0</v>
      </c>
      <c r="G6221" s="6">
        <v>15</v>
      </c>
    </row>
    <row r="6222" ht="15.75" customHeight="1" spans="1:7">
      <c r="A6222" s="4" t="s">
        <v>13560</v>
      </c>
      <c r="B6222" s="5" t="s">
        <v>13561</v>
      </c>
      <c r="C6222" s="4" t="s">
        <v>99</v>
      </c>
      <c r="D6222" s="475">
        <v>189.47</v>
      </c>
      <c r="E6222" s="476">
        <v>0</v>
      </c>
      <c r="F6222" s="6">
        <v>0</v>
      </c>
      <c r="G6222" s="6">
        <v>22.5</v>
      </c>
    </row>
    <row r="6223" ht="15.75" customHeight="1" spans="1:7">
      <c r="A6223" s="4" t="s">
        <v>13562</v>
      </c>
      <c r="B6223" s="5" t="s">
        <v>13563</v>
      </c>
      <c r="C6223" s="4" t="s">
        <v>99</v>
      </c>
      <c r="D6223" s="475">
        <v>203.54</v>
      </c>
      <c r="E6223" s="476">
        <v>0</v>
      </c>
      <c r="F6223" s="6">
        <v>0</v>
      </c>
      <c r="G6223" s="6">
        <v>20</v>
      </c>
    </row>
    <row r="6224" ht="15.75" customHeight="1" spans="1:7">
      <c r="A6224" s="4" t="s">
        <v>13564</v>
      </c>
      <c r="B6224" s="5" t="s">
        <v>13565</v>
      </c>
      <c r="C6224" s="4" t="s">
        <v>99</v>
      </c>
      <c r="D6224" s="475">
        <v>476.07</v>
      </c>
      <c r="E6224" s="476">
        <v>0</v>
      </c>
      <c r="F6224" s="6">
        <v>0</v>
      </c>
      <c r="G6224" s="6">
        <v>7.2</v>
      </c>
    </row>
    <row r="6225" ht="15.75" customHeight="1" spans="1:7">
      <c r="A6225" s="4" t="s">
        <v>13566</v>
      </c>
      <c r="B6225" s="5" t="s">
        <v>13567</v>
      </c>
      <c r="C6225" s="4" t="s">
        <v>99</v>
      </c>
      <c r="D6225" s="475">
        <v>320.19</v>
      </c>
      <c r="E6225" s="476">
        <v>0</v>
      </c>
      <c r="F6225" s="6">
        <v>0</v>
      </c>
      <c r="G6225" s="6">
        <v>12</v>
      </c>
    </row>
    <row r="6226" ht="15.75" customHeight="1" spans="1:7">
      <c r="A6226" s="4" t="s">
        <v>13568</v>
      </c>
      <c r="B6226" s="5" t="s">
        <v>13569</v>
      </c>
      <c r="C6226" s="4" t="s">
        <v>99</v>
      </c>
      <c r="D6226" s="475">
        <v>220.2</v>
      </c>
      <c r="E6226" s="476">
        <v>0</v>
      </c>
      <c r="F6226" s="6">
        <v>0</v>
      </c>
      <c r="G6226" s="6">
        <v>18</v>
      </c>
    </row>
    <row r="6227" ht="15.75" customHeight="1" spans="1:7">
      <c r="A6227" s="4" t="s">
        <v>13570</v>
      </c>
      <c r="B6227" s="5" t="s">
        <v>13571</v>
      </c>
      <c r="C6227" s="4" t="s">
        <v>99</v>
      </c>
      <c r="D6227" s="475">
        <v>61.39</v>
      </c>
      <c r="E6227" s="476">
        <v>0</v>
      </c>
      <c r="F6227" s="6">
        <v>0</v>
      </c>
      <c r="G6227" s="6">
        <v>40.82</v>
      </c>
    </row>
    <row r="6228" ht="15.75" customHeight="1" spans="1:7">
      <c r="A6228" s="4" t="s">
        <v>13572</v>
      </c>
      <c r="B6228" s="5" t="s">
        <v>13573</v>
      </c>
      <c r="C6228" s="4" t="s">
        <v>99</v>
      </c>
      <c r="D6228" s="475">
        <v>111.35</v>
      </c>
      <c r="E6228" s="476">
        <v>0</v>
      </c>
      <c r="F6228" s="6">
        <v>0</v>
      </c>
      <c r="G6228" s="6">
        <v>7.33333</v>
      </c>
    </row>
    <row r="6229" ht="15.75" customHeight="1" spans="1:7">
      <c r="A6229" s="4" t="s">
        <v>13574</v>
      </c>
      <c r="B6229" s="5" t="s">
        <v>13575</v>
      </c>
      <c r="C6229" s="4" t="s">
        <v>99</v>
      </c>
      <c r="D6229" s="475">
        <v>248.93</v>
      </c>
      <c r="E6229" s="476">
        <v>0</v>
      </c>
      <c r="F6229" s="6">
        <v>0</v>
      </c>
      <c r="G6229" s="6">
        <v>3</v>
      </c>
    </row>
    <row r="6230" ht="15.75" customHeight="1" spans="1:7">
      <c r="A6230" s="4" t="s">
        <v>13576</v>
      </c>
      <c r="B6230" s="5" t="s">
        <v>13577</v>
      </c>
      <c r="C6230" s="4" t="s">
        <v>99</v>
      </c>
      <c r="D6230" s="475">
        <v>190.93</v>
      </c>
      <c r="E6230" s="476">
        <v>0</v>
      </c>
      <c r="F6230" s="6">
        <v>0</v>
      </c>
      <c r="G6230" s="6">
        <v>4</v>
      </c>
    </row>
    <row r="6231" ht="15.75" customHeight="1" spans="1:7">
      <c r="A6231" s="4" t="s">
        <v>13578</v>
      </c>
      <c r="B6231" s="5" t="s">
        <v>13579</v>
      </c>
      <c r="C6231" s="4" t="s">
        <v>99</v>
      </c>
      <c r="D6231" s="475">
        <v>133.01</v>
      </c>
      <c r="E6231" s="476">
        <v>0</v>
      </c>
      <c r="F6231" s="6">
        <v>0</v>
      </c>
      <c r="G6231" s="6">
        <v>6</v>
      </c>
    </row>
    <row r="6232" ht="15.75" customHeight="1" spans="1:7">
      <c r="A6232" s="4" t="s">
        <v>13580</v>
      </c>
      <c r="B6232" s="5" t="s">
        <v>13581</v>
      </c>
      <c r="C6232" s="4" t="s">
        <v>99</v>
      </c>
      <c r="D6232" s="475">
        <v>107.84</v>
      </c>
      <c r="E6232" s="476">
        <v>0</v>
      </c>
      <c r="F6232" s="6">
        <v>0</v>
      </c>
      <c r="G6232" s="6">
        <v>5.5</v>
      </c>
    </row>
    <row r="6233" ht="15.75" customHeight="1" spans="1:7">
      <c r="A6233" s="4" t="s">
        <v>13582</v>
      </c>
      <c r="B6233" s="5" t="s">
        <v>13583</v>
      </c>
      <c r="C6233" s="4" t="s">
        <v>99</v>
      </c>
      <c r="D6233" s="475">
        <v>253.58</v>
      </c>
      <c r="E6233" s="476">
        <v>0</v>
      </c>
      <c r="F6233" s="6">
        <v>0</v>
      </c>
      <c r="G6233" s="6">
        <v>2.25</v>
      </c>
    </row>
    <row r="6234" ht="15.75" customHeight="1" spans="1:7">
      <c r="A6234" s="4" t="s">
        <v>13584</v>
      </c>
      <c r="B6234" s="5" t="s">
        <v>13585</v>
      </c>
      <c r="C6234" s="4" t="s">
        <v>99</v>
      </c>
      <c r="D6234" s="475">
        <v>192.04</v>
      </c>
      <c r="E6234" s="476">
        <v>0</v>
      </c>
      <c r="F6234" s="6">
        <v>0</v>
      </c>
      <c r="G6234" s="6">
        <v>3</v>
      </c>
    </row>
    <row r="6235" ht="15.75" customHeight="1" spans="1:7">
      <c r="A6235" s="4" t="s">
        <v>13586</v>
      </c>
      <c r="B6235" s="5" t="s">
        <v>13587</v>
      </c>
      <c r="C6235" s="4" t="s">
        <v>99</v>
      </c>
      <c r="D6235" s="475">
        <v>130.59</v>
      </c>
      <c r="E6235" s="476">
        <v>0</v>
      </c>
      <c r="F6235" s="6">
        <v>0</v>
      </c>
      <c r="G6235" s="6">
        <v>4.5</v>
      </c>
    </row>
    <row r="6236" ht="15.75" customHeight="1" spans="1:7">
      <c r="A6236" s="4" t="s">
        <v>13588</v>
      </c>
      <c r="B6236" s="5" t="s">
        <v>13589</v>
      </c>
      <c r="C6236" s="4" t="s">
        <v>7</v>
      </c>
      <c r="D6236" s="475">
        <v>66.22</v>
      </c>
      <c r="E6236" s="476">
        <v>0</v>
      </c>
      <c r="F6236" s="6">
        <v>0</v>
      </c>
      <c r="G6236" s="6">
        <v>9.96</v>
      </c>
    </row>
    <row r="6237" ht="15.75" customHeight="1" spans="1:7">
      <c r="A6237" s="4" t="s">
        <v>13590</v>
      </c>
      <c r="B6237" s="5" t="s">
        <v>13591</v>
      </c>
      <c r="C6237" s="4" t="s">
        <v>9</v>
      </c>
      <c r="D6237" s="475">
        <v>134.22</v>
      </c>
      <c r="E6237" s="476">
        <v>0</v>
      </c>
      <c r="F6237" s="6">
        <v>0</v>
      </c>
      <c r="G6237" s="6">
        <v>18</v>
      </c>
    </row>
    <row r="6238" ht="15.75" customHeight="1" spans="1:7">
      <c r="A6238" s="4" t="s">
        <v>13592</v>
      </c>
      <c r="B6238" s="5" t="s">
        <v>13593</v>
      </c>
      <c r="C6238" s="4" t="s">
        <v>9</v>
      </c>
      <c r="D6238" s="475">
        <v>97.64</v>
      </c>
      <c r="E6238" s="476">
        <v>0</v>
      </c>
      <c r="F6238" s="6">
        <v>0</v>
      </c>
      <c r="G6238" s="6">
        <v>18</v>
      </c>
    </row>
    <row r="6239" ht="15.75" customHeight="1" spans="1:7">
      <c r="A6239" s="4" t="s">
        <v>13594</v>
      </c>
      <c r="B6239" s="5" t="s">
        <v>13595</v>
      </c>
      <c r="C6239" s="4" t="s">
        <v>82</v>
      </c>
      <c r="D6239" s="475">
        <v>14.11</v>
      </c>
      <c r="E6239" s="476">
        <v>0</v>
      </c>
      <c r="F6239" s="6">
        <v>0</v>
      </c>
      <c r="G6239" s="6">
        <v>31.12</v>
      </c>
    </row>
    <row r="6240" ht="15.75" customHeight="1" spans="1:7">
      <c r="A6240" s="4" t="s">
        <v>13596</v>
      </c>
      <c r="B6240" s="5" t="s">
        <v>13597</v>
      </c>
      <c r="C6240" s="4" t="s">
        <v>99</v>
      </c>
      <c r="D6240" s="475">
        <v>132.16</v>
      </c>
      <c r="E6240" s="476">
        <v>0.11638</v>
      </c>
      <c r="F6240" s="6">
        <v>0.8633</v>
      </c>
      <c r="G6240" s="6">
        <v>33.2</v>
      </c>
    </row>
    <row r="6241" ht="15.75" customHeight="1" spans="1:7">
      <c r="A6241" s="4" t="s">
        <v>13598</v>
      </c>
      <c r="B6241" s="5" t="s">
        <v>13599</v>
      </c>
      <c r="C6241" s="4" t="s">
        <v>99</v>
      </c>
      <c r="D6241" s="475">
        <v>73.31</v>
      </c>
      <c r="E6241" s="476">
        <v>0.11638</v>
      </c>
      <c r="F6241" s="6">
        <v>0.8633</v>
      </c>
      <c r="G6241" s="6">
        <v>33.2</v>
      </c>
    </row>
    <row r="6242" ht="15.75" customHeight="1" spans="1:7">
      <c r="A6242" s="4" t="s">
        <v>13600</v>
      </c>
      <c r="B6242" s="5" t="s">
        <v>13601</v>
      </c>
      <c r="C6242" s="4" t="s">
        <v>99</v>
      </c>
      <c r="D6242" s="475">
        <v>143.93</v>
      </c>
      <c r="E6242" s="476">
        <v>0.11638</v>
      </c>
      <c r="F6242" s="6">
        <v>1.7266</v>
      </c>
      <c r="G6242" s="6">
        <v>16.6</v>
      </c>
    </row>
    <row r="6243" ht="15.75" customHeight="1" spans="1:7">
      <c r="A6243" s="4" t="s">
        <v>13602</v>
      </c>
      <c r="B6243" s="5" t="s">
        <v>13603</v>
      </c>
      <c r="C6243" s="4" t="s">
        <v>99</v>
      </c>
      <c r="D6243" s="475">
        <v>84.11</v>
      </c>
      <c r="E6243" s="476">
        <v>0.11638</v>
      </c>
      <c r="F6243" s="6">
        <v>1.7266</v>
      </c>
      <c r="G6243" s="6">
        <v>16.6</v>
      </c>
    </row>
    <row r="6244" ht="15.75" customHeight="1" spans="1:7">
      <c r="A6244" s="4" t="s">
        <v>13604</v>
      </c>
      <c r="B6244" s="5" t="s">
        <v>13605</v>
      </c>
      <c r="C6244" s="4" t="s">
        <v>9885</v>
      </c>
      <c r="D6244" s="475">
        <v>172.45</v>
      </c>
      <c r="E6244" s="476">
        <v>0.11638</v>
      </c>
      <c r="F6244" s="6">
        <v>1.6368</v>
      </c>
      <c r="G6244" s="6">
        <v>99.6</v>
      </c>
    </row>
    <row r="6245" ht="15.75" customHeight="1" spans="1:7">
      <c r="A6245" s="4" t="s">
        <v>13606</v>
      </c>
      <c r="B6245" s="5" t="s">
        <v>13607</v>
      </c>
      <c r="C6245" s="4" t="s">
        <v>9885</v>
      </c>
      <c r="D6245" s="475">
        <v>111.76</v>
      </c>
      <c r="E6245" s="476">
        <v>0.11638</v>
      </c>
      <c r="F6245" s="6">
        <v>1.6368</v>
      </c>
      <c r="G6245" s="6">
        <v>99.6</v>
      </c>
    </row>
    <row r="6246" ht="15.75" customHeight="1" spans="1:7">
      <c r="A6246" s="4" t="s">
        <v>13608</v>
      </c>
      <c r="B6246" s="5" t="s">
        <v>13609</v>
      </c>
      <c r="C6246" s="4" t="s">
        <v>9885</v>
      </c>
      <c r="D6246" s="475">
        <v>163.97</v>
      </c>
      <c r="E6246" s="476">
        <v>0.11638</v>
      </c>
      <c r="F6246" s="6">
        <v>1.6368</v>
      </c>
      <c r="G6246" s="6">
        <v>99.6</v>
      </c>
    </row>
    <row r="6247" ht="15.75" customHeight="1" spans="1:7">
      <c r="A6247" s="4" t="s">
        <v>13610</v>
      </c>
      <c r="B6247" s="5" t="s">
        <v>13611</v>
      </c>
      <c r="C6247" s="4" t="s">
        <v>9885</v>
      </c>
      <c r="D6247" s="475">
        <v>101.96</v>
      </c>
      <c r="E6247" s="476">
        <v>0.11638</v>
      </c>
      <c r="F6247" s="6">
        <v>1.6368</v>
      </c>
      <c r="G6247" s="6">
        <v>99.6</v>
      </c>
    </row>
    <row r="6248" ht="15.75" customHeight="1" spans="1:7">
      <c r="A6248" s="4" t="s">
        <v>13612</v>
      </c>
      <c r="B6248" s="5" t="s">
        <v>13613</v>
      </c>
      <c r="C6248" s="4" t="s">
        <v>9885</v>
      </c>
      <c r="D6248" s="475">
        <v>166.44</v>
      </c>
      <c r="E6248" s="476">
        <v>0.11638</v>
      </c>
      <c r="F6248" s="6">
        <v>1.6368</v>
      </c>
      <c r="G6248" s="6">
        <v>99.6</v>
      </c>
    </row>
    <row r="6249" ht="15.75" customHeight="1" spans="1:7">
      <c r="A6249" s="4" t="s">
        <v>13614</v>
      </c>
      <c r="B6249" s="5" t="s">
        <v>13615</v>
      </c>
      <c r="C6249" s="4" t="s">
        <v>9885</v>
      </c>
      <c r="D6249" s="475">
        <v>102.68</v>
      </c>
      <c r="E6249" s="476">
        <v>0.11638</v>
      </c>
      <c r="F6249" s="6">
        <v>1.6368</v>
      </c>
      <c r="G6249" s="6">
        <v>99.6</v>
      </c>
    </row>
    <row r="6250" ht="15.75" customHeight="1" spans="1:7">
      <c r="A6250" s="4" t="s">
        <v>13616</v>
      </c>
      <c r="B6250" s="5" t="s">
        <v>13617</v>
      </c>
      <c r="C6250" s="4" t="s">
        <v>9885</v>
      </c>
      <c r="D6250" s="475">
        <v>171.17</v>
      </c>
      <c r="E6250" s="476">
        <v>0.11638</v>
      </c>
      <c r="F6250" s="6">
        <v>1.6368</v>
      </c>
      <c r="G6250" s="6">
        <v>99.6</v>
      </c>
    </row>
    <row r="6251" ht="15.75" customHeight="1" spans="1:7">
      <c r="A6251" s="4" t="s">
        <v>13618</v>
      </c>
      <c r="B6251" s="5" t="s">
        <v>13619</v>
      </c>
      <c r="C6251" s="4" t="s">
        <v>9885</v>
      </c>
      <c r="D6251" s="475">
        <v>108.54</v>
      </c>
      <c r="E6251" s="476">
        <v>0.11638</v>
      </c>
      <c r="F6251" s="6">
        <v>1.6368</v>
      </c>
      <c r="G6251" s="6">
        <v>99.6</v>
      </c>
    </row>
    <row r="6252" ht="15.75" customHeight="1" spans="1:7">
      <c r="A6252" s="4" t="s">
        <v>13620</v>
      </c>
      <c r="B6252" s="5" t="s">
        <v>13621</v>
      </c>
      <c r="C6252" s="4" t="s">
        <v>9885</v>
      </c>
      <c r="D6252" s="475">
        <v>174.23</v>
      </c>
      <c r="E6252" s="476">
        <v>0.11638</v>
      </c>
      <c r="F6252" s="6">
        <v>1.6368</v>
      </c>
      <c r="G6252" s="6">
        <v>99.6</v>
      </c>
    </row>
    <row r="6253" ht="15.75" customHeight="1" spans="1:7">
      <c r="A6253" s="4" t="s">
        <v>13622</v>
      </c>
      <c r="B6253" s="5" t="s">
        <v>13623</v>
      </c>
      <c r="C6253" s="4" t="s">
        <v>9885</v>
      </c>
      <c r="D6253" s="475">
        <v>112.41</v>
      </c>
      <c r="E6253" s="476">
        <v>0.11638</v>
      </c>
      <c r="F6253" s="6">
        <v>1.6368</v>
      </c>
      <c r="G6253" s="6">
        <v>99.6</v>
      </c>
    </row>
    <row r="6254" ht="15.75" customHeight="1" spans="1:7">
      <c r="A6254" s="4" t="s">
        <v>13624</v>
      </c>
      <c r="B6254" s="5" t="s">
        <v>13625</v>
      </c>
      <c r="C6254" s="4" t="s">
        <v>99</v>
      </c>
      <c r="D6254" s="475">
        <v>199.29</v>
      </c>
      <c r="E6254" s="476">
        <v>0.14409</v>
      </c>
      <c r="F6254" s="6">
        <v>1.045</v>
      </c>
      <c r="G6254" s="6">
        <v>113.18</v>
      </c>
    </row>
    <row r="6255" ht="15.75" customHeight="1" spans="1:7">
      <c r="A6255" s="4" t="s">
        <v>13626</v>
      </c>
      <c r="B6255" s="5" t="s">
        <v>13627</v>
      </c>
      <c r="C6255" s="4" t="s">
        <v>99</v>
      </c>
      <c r="D6255" s="475">
        <v>102.75</v>
      </c>
      <c r="E6255" s="476">
        <v>0.14409</v>
      </c>
      <c r="F6255" s="6">
        <v>1.045</v>
      </c>
      <c r="G6255" s="6">
        <v>113.18</v>
      </c>
    </row>
    <row r="6256" ht="15.75" customHeight="1" spans="1:7">
      <c r="A6256" s="4" t="s">
        <v>13628</v>
      </c>
      <c r="B6256" s="5" t="s">
        <v>13629</v>
      </c>
      <c r="C6256" s="4" t="s">
        <v>99</v>
      </c>
      <c r="D6256" s="475">
        <v>245.13</v>
      </c>
      <c r="E6256" s="476">
        <v>0.14409</v>
      </c>
      <c r="F6256" s="6">
        <v>1.045</v>
      </c>
      <c r="G6256" s="6">
        <v>113.18</v>
      </c>
    </row>
    <row r="6257" ht="15.75" customHeight="1" spans="1:7">
      <c r="A6257" s="4" t="s">
        <v>13630</v>
      </c>
      <c r="B6257" s="5" t="s">
        <v>13631</v>
      </c>
      <c r="C6257" s="4" t="s">
        <v>99</v>
      </c>
      <c r="D6257" s="475">
        <v>150.73</v>
      </c>
      <c r="E6257" s="476">
        <v>0.14409</v>
      </c>
      <c r="F6257" s="6">
        <v>1.045</v>
      </c>
      <c r="G6257" s="6">
        <v>113.18</v>
      </c>
    </row>
    <row r="6258" ht="15.75" customHeight="1" spans="1:7">
      <c r="A6258" s="4" t="s">
        <v>13632</v>
      </c>
      <c r="B6258" s="5" t="s">
        <v>13633</v>
      </c>
      <c r="C6258" s="4" t="s">
        <v>9885</v>
      </c>
      <c r="D6258" s="475">
        <v>164.64</v>
      </c>
      <c r="E6258" s="476">
        <v>0.11638</v>
      </c>
      <c r="F6258" s="6">
        <v>1.6368</v>
      </c>
      <c r="G6258" s="6">
        <v>99.6</v>
      </c>
    </row>
    <row r="6259" ht="15.75" customHeight="1" spans="1:7">
      <c r="A6259" s="4" t="s">
        <v>13634</v>
      </c>
      <c r="B6259" s="5" t="s">
        <v>13635</v>
      </c>
      <c r="C6259" s="4" t="s">
        <v>9885</v>
      </c>
      <c r="D6259" s="475">
        <v>121.87</v>
      </c>
      <c r="E6259" s="476">
        <v>0.11638</v>
      </c>
      <c r="F6259" s="6">
        <v>1.6368</v>
      </c>
      <c r="G6259" s="6">
        <v>99.6</v>
      </c>
    </row>
    <row r="6260" ht="15.75" customHeight="1" spans="1:7">
      <c r="A6260" s="4" t="s">
        <v>13636</v>
      </c>
      <c r="B6260" s="5" t="s">
        <v>13637</v>
      </c>
      <c r="C6260" s="4" t="s">
        <v>9885</v>
      </c>
      <c r="D6260" s="475">
        <v>163.42</v>
      </c>
      <c r="E6260" s="476">
        <v>0.11638</v>
      </c>
      <c r="F6260" s="6">
        <v>1.6368</v>
      </c>
      <c r="G6260" s="6">
        <v>99.6</v>
      </c>
    </row>
    <row r="6261" ht="15.75" customHeight="1" spans="1:7">
      <c r="A6261" s="4" t="s">
        <v>13638</v>
      </c>
      <c r="B6261" s="5" t="s">
        <v>13639</v>
      </c>
      <c r="C6261" s="4" t="s">
        <v>9885</v>
      </c>
      <c r="D6261" s="475">
        <v>121.51</v>
      </c>
      <c r="E6261" s="476">
        <v>0.11638</v>
      </c>
      <c r="F6261" s="6">
        <v>1.6368</v>
      </c>
      <c r="G6261" s="6">
        <v>99.6</v>
      </c>
    </row>
    <row r="6262" ht="15.75" customHeight="1" spans="1:7">
      <c r="A6262" s="4" t="s">
        <v>13640</v>
      </c>
      <c r="B6262" s="5" t="s">
        <v>13641</v>
      </c>
      <c r="C6262" s="4" t="s">
        <v>9885</v>
      </c>
      <c r="D6262" s="475">
        <v>161.93</v>
      </c>
      <c r="E6262" s="476">
        <v>0.11638</v>
      </c>
      <c r="F6262" s="6">
        <v>1.6368</v>
      </c>
      <c r="G6262" s="6">
        <v>99.6</v>
      </c>
    </row>
    <row r="6263" ht="15.75" customHeight="1" spans="1:7">
      <c r="A6263" s="4" t="s">
        <v>13642</v>
      </c>
      <c r="B6263" s="5" t="s">
        <v>13643</v>
      </c>
      <c r="C6263" s="4" t="s">
        <v>9885</v>
      </c>
      <c r="D6263" s="475">
        <v>121.13</v>
      </c>
      <c r="E6263" s="476">
        <v>0.11638</v>
      </c>
      <c r="F6263" s="6">
        <v>1.6368</v>
      </c>
      <c r="G6263" s="6">
        <v>99.6</v>
      </c>
    </row>
    <row r="6264" ht="15.75" customHeight="1" spans="1:7">
      <c r="A6264" s="4" t="s">
        <v>13644</v>
      </c>
      <c r="B6264" s="5" t="s">
        <v>13645</v>
      </c>
      <c r="C6264" s="4" t="s">
        <v>9885</v>
      </c>
      <c r="D6264" s="475">
        <v>160.75</v>
      </c>
      <c r="E6264" s="476">
        <v>0.11638</v>
      </c>
      <c r="F6264" s="6">
        <v>1.6368</v>
      </c>
      <c r="G6264" s="6">
        <v>99.6</v>
      </c>
    </row>
    <row r="6265" ht="15.75" customHeight="1" spans="1:7">
      <c r="A6265" s="4" t="s">
        <v>13646</v>
      </c>
      <c r="B6265" s="5" t="s">
        <v>13647</v>
      </c>
      <c r="C6265" s="4" t="s">
        <v>9885</v>
      </c>
      <c r="D6265" s="475">
        <v>121.17</v>
      </c>
      <c r="E6265" s="476">
        <v>0.11638</v>
      </c>
      <c r="F6265" s="6">
        <v>1.6368</v>
      </c>
      <c r="G6265" s="6">
        <v>99.6</v>
      </c>
    </row>
    <row r="6266" ht="15.75" customHeight="1" spans="1:7">
      <c r="A6266" s="4" t="s">
        <v>13648</v>
      </c>
      <c r="B6266" s="5" t="s">
        <v>13649</v>
      </c>
      <c r="C6266" s="4" t="s">
        <v>9885</v>
      </c>
      <c r="D6266" s="475">
        <v>175.74</v>
      </c>
      <c r="E6266" s="476">
        <v>0.11638</v>
      </c>
      <c r="F6266" s="6">
        <v>1.6368</v>
      </c>
      <c r="G6266" s="6">
        <v>99.6</v>
      </c>
    </row>
    <row r="6267" ht="15.75" customHeight="1" spans="1:7">
      <c r="A6267" s="4" t="s">
        <v>13650</v>
      </c>
      <c r="B6267" s="5" t="s">
        <v>13651</v>
      </c>
      <c r="C6267" s="4" t="s">
        <v>9885</v>
      </c>
      <c r="D6267" s="475">
        <v>124.59</v>
      </c>
      <c r="E6267" s="476">
        <v>0.11638</v>
      </c>
      <c r="F6267" s="6">
        <v>1.6368</v>
      </c>
      <c r="G6267" s="6">
        <v>99.6</v>
      </c>
    </row>
    <row r="6268" ht="15.75" customHeight="1" spans="1:7">
      <c r="A6268" s="4" t="s">
        <v>13652</v>
      </c>
      <c r="B6268" s="5" t="s">
        <v>13653</v>
      </c>
      <c r="C6268" s="4" t="s">
        <v>9885</v>
      </c>
      <c r="D6268" s="475">
        <v>178.03</v>
      </c>
      <c r="E6268" s="476">
        <v>0.11638</v>
      </c>
      <c r="F6268" s="6">
        <v>1.6368</v>
      </c>
      <c r="G6268" s="6">
        <v>99.6</v>
      </c>
    </row>
    <row r="6269" ht="15.75" customHeight="1" spans="1:7">
      <c r="A6269" s="4" t="s">
        <v>13654</v>
      </c>
      <c r="B6269" s="5" t="s">
        <v>13655</v>
      </c>
      <c r="C6269" s="4" t="s">
        <v>9885</v>
      </c>
      <c r="D6269" s="475">
        <v>126.56</v>
      </c>
      <c r="E6269" s="476">
        <v>0.11638</v>
      </c>
      <c r="F6269" s="6">
        <v>1.6368</v>
      </c>
      <c r="G6269" s="6">
        <v>99.6</v>
      </c>
    </row>
    <row r="6270" ht="15.75" customHeight="1" spans="1:7">
      <c r="A6270" s="4" t="s">
        <v>13656</v>
      </c>
      <c r="B6270" s="5" t="s">
        <v>13657</v>
      </c>
      <c r="C6270" s="4" t="s">
        <v>9885</v>
      </c>
      <c r="D6270" s="475">
        <v>182.28</v>
      </c>
      <c r="E6270" s="476">
        <v>0.11638</v>
      </c>
      <c r="F6270" s="6">
        <v>1.6368</v>
      </c>
      <c r="G6270" s="6">
        <v>99.6</v>
      </c>
    </row>
    <row r="6271" ht="15.75" customHeight="1" spans="1:7">
      <c r="A6271" s="4" t="s">
        <v>13658</v>
      </c>
      <c r="B6271" s="5" t="s">
        <v>13659</v>
      </c>
      <c r="C6271" s="4" t="s">
        <v>9885</v>
      </c>
      <c r="D6271" s="475">
        <v>127.63</v>
      </c>
      <c r="E6271" s="476">
        <v>0.11638</v>
      </c>
      <c r="F6271" s="6">
        <v>1.6368</v>
      </c>
      <c r="G6271" s="6">
        <v>99.6</v>
      </c>
    </row>
    <row r="6272" ht="15.75" customHeight="1" spans="1:7">
      <c r="A6272" s="4" t="s">
        <v>13660</v>
      </c>
      <c r="B6272" s="5" t="s">
        <v>13661</v>
      </c>
      <c r="C6272" s="4" t="s">
        <v>9885</v>
      </c>
      <c r="D6272" s="475">
        <v>215.52</v>
      </c>
      <c r="E6272" s="476">
        <v>0.11638</v>
      </c>
      <c r="F6272" s="6">
        <v>2.0729</v>
      </c>
      <c r="G6272" s="6">
        <v>84.66</v>
      </c>
    </row>
    <row r="6273" ht="15.75" customHeight="1" spans="1:7">
      <c r="A6273" s="4" t="s">
        <v>13662</v>
      </c>
      <c r="B6273" s="5" t="s">
        <v>13663</v>
      </c>
      <c r="C6273" s="4" t="s">
        <v>9885</v>
      </c>
      <c r="D6273" s="475">
        <v>175.02</v>
      </c>
      <c r="E6273" s="476">
        <v>0.11638</v>
      </c>
      <c r="F6273" s="6">
        <v>2.0729</v>
      </c>
      <c r="G6273" s="6">
        <v>84.66</v>
      </c>
    </row>
    <row r="6274" ht="15.75" customHeight="1" spans="1:7">
      <c r="A6274" s="4" t="s">
        <v>13664</v>
      </c>
      <c r="B6274" s="5" t="s">
        <v>13665</v>
      </c>
      <c r="C6274" s="4" t="s">
        <v>9885</v>
      </c>
      <c r="D6274" s="475">
        <v>215.62</v>
      </c>
      <c r="E6274" s="476">
        <v>0.11638</v>
      </c>
      <c r="F6274" s="6">
        <v>2.0729</v>
      </c>
      <c r="G6274" s="6">
        <v>84.66</v>
      </c>
    </row>
    <row r="6275" ht="15.75" customHeight="1" spans="1:7">
      <c r="A6275" s="4" t="s">
        <v>13666</v>
      </c>
      <c r="B6275" s="5" t="s">
        <v>13667</v>
      </c>
      <c r="C6275" s="4" t="s">
        <v>9885</v>
      </c>
      <c r="D6275" s="475">
        <v>175.56</v>
      </c>
      <c r="E6275" s="476">
        <v>0.11638</v>
      </c>
      <c r="F6275" s="6">
        <v>2.0729</v>
      </c>
      <c r="G6275" s="6">
        <v>84.66</v>
      </c>
    </row>
    <row r="6276" ht="15.75" customHeight="1" spans="1:7">
      <c r="A6276" s="4" t="s">
        <v>13668</v>
      </c>
      <c r="B6276" s="5" t="s">
        <v>13669</v>
      </c>
      <c r="C6276" s="4" t="s">
        <v>9885</v>
      </c>
      <c r="D6276" s="475">
        <v>218.21</v>
      </c>
      <c r="E6276" s="476">
        <v>0.11638</v>
      </c>
      <c r="F6276" s="6">
        <v>2.0729</v>
      </c>
      <c r="G6276" s="6">
        <v>84.66</v>
      </c>
    </row>
    <row r="6277" ht="15.75" customHeight="1" spans="1:7">
      <c r="A6277" s="4" t="s">
        <v>13670</v>
      </c>
      <c r="B6277" s="5" t="s">
        <v>13671</v>
      </c>
      <c r="C6277" s="4" t="s">
        <v>9885</v>
      </c>
      <c r="D6277" s="475">
        <v>178.99</v>
      </c>
      <c r="E6277" s="476">
        <v>0.11638</v>
      </c>
      <c r="F6277" s="6">
        <v>2.0729</v>
      </c>
      <c r="G6277" s="6">
        <v>84.66</v>
      </c>
    </row>
    <row r="6278" ht="15.75" customHeight="1" spans="1:7">
      <c r="A6278" s="4" t="s">
        <v>13672</v>
      </c>
      <c r="B6278" s="5" t="s">
        <v>13673</v>
      </c>
      <c r="C6278" s="4" t="s">
        <v>9885</v>
      </c>
      <c r="D6278" s="475">
        <v>218.29</v>
      </c>
      <c r="E6278" s="476">
        <v>0.11638</v>
      </c>
      <c r="F6278" s="6">
        <v>2.0729</v>
      </c>
      <c r="G6278" s="6">
        <v>84.66</v>
      </c>
    </row>
    <row r="6279" ht="15.75" customHeight="1" spans="1:7">
      <c r="A6279" s="4" t="s">
        <v>13674</v>
      </c>
      <c r="B6279" s="5" t="s">
        <v>13675</v>
      </c>
      <c r="C6279" s="4" t="s">
        <v>9885</v>
      </c>
      <c r="D6279" s="475">
        <v>180.7</v>
      </c>
      <c r="E6279" s="476">
        <v>0.11638</v>
      </c>
      <c r="F6279" s="6">
        <v>2.0729</v>
      </c>
      <c r="G6279" s="6">
        <v>84.66</v>
      </c>
    </row>
    <row r="6280" ht="15.75" customHeight="1" spans="1:7">
      <c r="A6280" s="4" t="s">
        <v>13676</v>
      </c>
      <c r="B6280" s="5" t="s">
        <v>13677</v>
      </c>
      <c r="C6280" s="4" t="s">
        <v>99</v>
      </c>
      <c r="D6280" s="475">
        <v>145.01</v>
      </c>
      <c r="E6280" s="476">
        <v>0.11638</v>
      </c>
      <c r="F6280" s="6">
        <v>2.9745</v>
      </c>
      <c r="G6280" s="6">
        <v>86.61</v>
      </c>
    </row>
    <row r="6281" ht="15.75" customHeight="1" spans="1:7">
      <c r="A6281" s="4" t="s">
        <v>13678</v>
      </c>
      <c r="B6281" s="5" t="s">
        <v>13679</v>
      </c>
      <c r="C6281" s="4" t="s">
        <v>99</v>
      </c>
      <c r="D6281" s="475">
        <v>113.11</v>
      </c>
      <c r="E6281" s="476">
        <v>0.11638</v>
      </c>
      <c r="F6281" s="6">
        <v>2.9745</v>
      </c>
      <c r="G6281" s="6">
        <v>86.61</v>
      </c>
    </row>
    <row r="6282" ht="15.75" customHeight="1" spans="1:7">
      <c r="A6282" s="4" t="s">
        <v>13680</v>
      </c>
      <c r="B6282" s="5" t="s">
        <v>13681</v>
      </c>
      <c r="C6282" s="4" t="s">
        <v>9885</v>
      </c>
      <c r="D6282" s="475">
        <v>155.45</v>
      </c>
      <c r="E6282" s="476">
        <v>0.11638</v>
      </c>
      <c r="F6282" s="6">
        <v>1.6368</v>
      </c>
      <c r="G6282" s="6">
        <v>99.6</v>
      </c>
    </row>
    <row r="6283" ht="15.75" customHeight="1" spans="1:7">
      <c r="A6283" s="4" t="s">
        <v>13682</v>
      </c>
      <c r="B6283" s="5" t="s">
        <v>13683</v>
      </c>
      <c r="C6283" s="4" t="s">
        <v>9885</v>
      </c>
      <c r="D6283" s="475">
        <v>127.34</v>
      </c>
      <c r="E6283" s="476">
        <v>0.11638</v>
      </c>
      <c r="F6283" s="6">
        <v>1.6368</v>
      </c>
      <c r="G6283" s="6">
        <v>99.6</v>
      </c>
    </row>
    <row r="6284" ht="15.75" customHeight="1" spans="1:7">
      <c r="A6284" s="4" t="s">
        <v>13684</v>
      </c>
      <c r="B6284" s="5" t="s">
        <v>13685</v>
      </c>
      <c r="C6284" s="4" t="s">
        <v>9885</v>
      </c>
      <c r="D6284" s="475">
        <v>165.44</v>
      </c>
      <c r="E6284" s="476">
        <v>0.11638</v>
      </c>
      <c r="F6284" s="6">
        <v>1.6368</v>
      </c>
      <c r="G6284" s="6">
        <v>99.6</v>
      </c>
    </row>
    <row r="6285" ht="15.75" customHeight="1" spans="1:7">
      <c r="A6285" s="4" t="s">
        <v>13686</v>
      </c>
      <c r="B6285" s="5" t="s">
        <v>13687</v>
      </c>
      <c r="C6285" s="4" t="s">
        <v>9885</v>
      </c>
      <c r="D6285" s="475">
        <v>128.44</v>
      </c>
      <c r="E6285" s="476">
        <v>0.11638</v>
      </c>
      <c r="F6285" s="6">
        <v>1.6368</v>
      </c>
      <c r="G6285" s="6">
        <v>99.6</v>
      </c>
    </row>
    <row r="6286" ht="15.75" customHeight="1" spans="1:7">
      <c r="A6286" s="4" t="s">
        <v>13688</v>
      </c>
      <c r="B6286" s="5" t="s">
        <v>13689</v>
      </c>
      <c r="C6286" s="4" t="s">
        <v>99</v>
      </c>
      <c r="D6286" s="475">
        <v>242.13</v>
      </c>
      <c r="E6286" s="476">
        <v>0.11638</v>
      </c>
      <c r="F6286" s="6">
        <v>2.0572</v>
      </c>
      <c r="G6286" s="6">
        <v>21.65</v>
      </c>
    </row>
    <row r="6287" ht="15.75" customHeight="1" spans="1:7">
      <c r="A6287" s="4" t="s">
        <v>13690</v>
      </c>
      <c r="B6287" s="5" t="s">
        <v>13691</v>
      </c>
      <c r="C6287" s="4" t="s">
        <v>99</v>
      </c>
      <c r="D6287" s="475">
        <v>128.74</v>
      </c>
      <c r="E6287" s="476">
        <v>0.11638</v>
      </c>
      <c r="F6287" s="6">
        <v>2.0572</v>
      </c>
      <c r="G6287" s="6">
        <v>21.65</v>
      </c>
    </row>
    <row r="6288" ht="15.75" customHeight="1" spans="1:7">
      <c r="A6288" s="4" t="s">
        <v>13692</v>
      </c>
      <c r="B6288" s="5" t="s">
        <v>13693</v>
      </c>
      <c r="C6288" s="4" t="s">
        <v>99</v>
      </c>
      <c r="D6288" s="475">
        <v>242.83</v>
      </c>
      <c r="E6288" s="476">
        <v>0.11638</v>
      </c>
      <c r="F6288" s="6">
        <v>2.0572</v>
      </c>
      <c r="G6288" s="6">
        <v>21.65</v>
      </c>
    </row>
    <row r="6289" ht="15.75" customHeight="1" spans="1:7">
      <c r="A6289" s="4" t="s">
        <v>13694</v>
      </c>
      <c r="B6289" s="5" t="s">
        <v>13695</v>
      </c>
      <c r="C6289" s="4" t="s">
        <v>99</v>
      </c>
      <c r="D6289" s="475">
        <v>125.52</v>
      </c>
      <c r="E6289" s="476">
        <v>0.11638</v>
      </c>
      <c r="F6289" s="6">
        <v>2.0572</v>
      </c>
      <c r="G6289" s="6">
        <v>21.65</v>
      </c>
    </row>
    <row r="6290" ht="15.75" customHeight="1" spans="1:7">
      <c r="A6290" s="4" t="s">
        <v>13696</v>
      </c>
      <c r="B6290" s="5" t="s">
        <v>13697</v>
      </c>
      <c r="C6290" s="4" t="s">
        <v>99</v>
      </c>
      <c r="D6290" s="475">
        <v>252.57</v>
      </c>
      <c r="E6290" s="476">
        <v>0.11638</v>
      </c>
      <c r="F6290" s="6">
        <v>2.0572</v>
      </c>
      <c r="G6290" s="6">
        <v>21.65</v>
      </c>
    </row>
    <row r="6291" ht="15.75" customHeight="1" spans="1:7">
      <c r="A6291" s="4" t="s">
        <v>13698</v>
      </c>
      <c r="B6291" s="5" t="s">
        <v>13699</v>
      </c>
      <c r="C6291" s="4" t="s">
        <v>99</v>
      </c>
      <c r="D6291" s="475">
        <v>137.76</v>
      </c>
      <c r="E6291" s="476">
        <v>0.11638</v>
      </c>
      <c r="F6291" s="6">
        <v>2.0572</v>
      </c>
      <c r="G6291" s="6">
        <v>21.65</v>
      </c>
    </row>
    <row r="6292" ht="15.75" customHeight="1" spans="1:7">
      <c r="A6292" s="4" t="s">
        <v>13700</v>
      </c>
      <c r="B6292" s="5" t="s">
        <v>13701</v>
      </c>
      <c r="C6292" s="4" t="s">
        <v>99</v>
      </c>
      <c r="D6292" s="475">
        <v>253.44</v>
      </c>
      <c r="E6292" s="476">
        <v>0.11638</v>
      </c>
      <c r="F6292" s="6">
        <v>2.0572</v>
      </c>
      <c r="G6292" s="6">
        <v>21.65</v>
      </c>
    </row>
    <row r="6293" ht="15.75" customHeight="1" spans="1:7">
      <c r="A6293" s="4" t="s">
        <v>13702</v>
      </c>
      <c r="B6293" s="5" t="s">
        <v>13703</v>
      </c>
      <c r="C6293" s="4" t="s">
        <v>99</v>
      </c>
      <c r="D6293" s="475">
        <v>134.54</v>
      </c>
      <c r="E6293" s="476">
        <v>0.11638</v>
      </c>
      <c r="F6293" s="6">
        <v>2.0572</v>
      </c>
      <c r="G6293" s="6">
        <v>21.65</v>
      </c>
    </row>
    <row r="6294" ht="15.75" customHeight="1" spans="1:7">
      <c r="A6294" s="4" t="s">
        <v>13704</v>
      </c>
      <c r="B6294" s="5" t="s">
        <v>13705</v>
      </c>
      <c r="C6294" s="4" t="s">
        <v>99</v>
      </c>
      <c r="D6294" s="475">
        <v>242.13</v>
      </c>
      <c r="E6294" s="476">
        <v>0.11638</v>
      </c>
      <c r="F6294" s="6">
        <v>2.0572</v>
      </c>
      <c r="G6294" s="6">
        <v>21.65</v>
      </c>
    </row>
    <row r="6295" ht="15.75" customHeight="1" spans="1:7">
      <c r="A6295" s="4" t="s">
        <v>13706</v>
      </c>
      <c r="B6295" s="5" t="s">
        <v>13707</v>
      </c>
      <c r="C6295" s="4" t="s">
        <v>99</v>
      </c>
      <c r="D6295" s="475">
        <v>128.74</v>
      </c>
      <c r="E6295" s="476">
        <v>0.11638</v>
      </c>
      <c r="F6295" s="6">
        <v>2.0572</v>
      </c>
      <c r="G6295" s="6">
        <v>21.65</v>
      </c>
    </row>
    <row r="6296" ht="15.75" customHeight="1" spans="1:7">
      <c r="A6296" s="4" t="s">
        <v>13708</v>
      </c>
      <c r="B6296" s="5" t="s">
        <v>13709</v>
      </c>
      <c r="C6296" s="4" t="s">
        <v>99</v>
      </c>
      <c r="D6296" s="475">
        <v>242.83</v>
      </c>
      <c r="E6296" s="476">
        <v>0.11638</v>
      </c>
      <c r="F6296" s="6">
        <v>2.0572</v>
      </c>
      <c r="G6296" s="6">
        <v>21.65</v>
      </c>
    </row>
    <row r="6297" ht="15.75" customHeight="1" spans="1:7">
      <c r="A6297" s="4" t="s">
        <v>13710</v>
      </c>
      <c r="B6297" s="5" t="s">
        <v>13711</v>
      </c>
      <c r="C6297" s="4" t="s">
        <v>99</v>
      </c>
      <c r="D6297" s="475">
        <v>125.52</v>
      </c>
      <c r="E6297" s="476">
        <v>0.11638</v>
      </c>
      <c r="F6297" s="6">
        <v>2.0572</v>
      </c>
      <c r="G6297" s="6">
        <v>21.65</v>
      </c>
    </row>
    <row r="6298" ht="15.75" customHeight="1" spans="1:7">
      <c r="A6298" s="4" t="s">
        <v>13712</v>
      </c>
      <c r="B6298" s="5" t="s">
        <v>13713</v>
      </c>
      <c r="C6298" s="4" t="s">
        <v>99</v>
      </c>
      <c r="D6298" s="475">
        <v>251.5</v>
      </c>
      <c r="E6298" s="476">
        <v>0.11638</v>
      </c>
      <c r="F6298" s="6">
        <v>2.0572</v>
      </c>
      <c r="G6298" s="6">
        <v>21.65</v>
      </c>
    </row>
    <row r="6299" ht="15.75" customHeight="1" spans="1:7">
      <c r="A6299" s="4" t="s">
        <v>13714</v>
      </c>
      <c r="B6299" s="5" t="s">
        <v>13715</v>
      </c>
      <c r="C6299" s="4" t="s">
        <v>99</v>
      </c>
      <c r="D6299" s="475">
        <v>137.24</v>
      </c>
      <c r="E6299" s="476">
        <v>0.11638</v>
      </c>
      <c r="F6299" s="6">
        <v>2.0572</v>
      </c>
      <c r="G6299" s="6">
        <v>21.65</v>
      </c>
    </row>
    <row r="6300" ht="15.75" customHeight="1" spans="1:7">
      <c r="A6300" s="4" t="s">
        <v>13716</v>
      </c>
      <c r="B6300" s="5" t="s">
        <v>13717</v>
      </c>
      <c r="C6300" s="4" t="s">
        <v>99</v>
      </c>
      <c r="D6300" s="475">
        <v>252.37</v>
      </c>
      <c r="E6300" s="476">
        <v>0.11638</v>
      </c>
      <c r="F6300" s="6">
        <v>2.0572</v>
      </c>
      <c r="G6300" s="6">
        <v>21.65</v>
      </c>
    </row>
    <row r="6301" ht="15.75" customHeight="1" spans="1:7">
      <c r="A6301" s="4" t="s">
        <v>13718</v>
      </c>
      <c r="B6301" s="5" t="s">
        <v>13719</v>
      </c>
      <c r="C6301" s="4" t="s">
        <v>99</v>
      </c>
      <c r="D6301" s="475">
        <v>134.03</v>
      </c>
      <c r="E6301" s="476">
        <v>0.11638</v>
      </c>
      <c r="F6301" s="6">
        <v>2.0572</v>
      </c>
      <c r="G6301" s="6">
        <v>21.65</v>
      </c>
    </row>
    <row r="6302" ht="15.75" customHeight="1" spans="1:7">
      <c r="A6302" s="4" t="s">
        <v>13720</v>
      </c>
      <c r="B6302" s="5" t="s">
        <v>13721</v>
      </c>
      <c r="C6302" s="4" t="s">
        <v>9885</v>
      </c>
      <c r="D6302" s="475">
        <v>174.7</v>
      </c>
      <c r="E6302" s="476">
        <v>0.11638</v>
      </c>
      <c r="F6302" s="6">
        <v>1.6368</v>
      </c>
      <c r="G6302" s="6">
        <v>99.6</v>
      </c>
    </row>
    <row r="6303" ht="15.75" customHeight="1" spans="1:7">
      <c r="A6303" s="4" t="s">
        <v>13722</v>
      </c>
      <c r="B6303" s="5" t="s">
        <v>13723</v>
      </c>
      <c r="C6303" s="4" t="s">
        <v>9885</v>
      </c>
      <c r="D6303" s="475">
        <v>124.68</v>
      </c>
      <c r="E6303" s="476">
        <v>0.11638</v>
      </c>
      <c r="F6303" s="6">
        <v>1.6368</v>
      </c>
      <c r="G6303" s="6">
        <v>99.6</v>
      </c>
    </row>
    <row r="6304" ht="15.75" customHeight="1" spans="1:7">
      <c r="A6304" s="4" t="s">
        <v>13724</v>
      </c>
      <c r="B6304" s="5" t="s">
        <v>13725</v>
      </c>
      <c r="C6304" s="4" t="s">
        <v>9885</v>
      </c>
      <c r="D6304" s="475">
        <v>168.12</v>
      </c>
      <c r="E6304" s="476">
        <v>0.11638</v>
      </c>
      <c r="F6304" s="6">
        <v>1.6368</v>
      </c>
      <c r="G6304" s="6">
        <v>99.6</v>
      </c>
    </row>
    <row r="6305" ht="15.75" customHeight="1" spans="1:7">
      <c r="A6305" s="4" t="s">
        <v>13726</v>
      </c>
      <c r="B6305" s="5" t="s">
        <v>13727</v>
      </c>
      <c r="C6305" s="4" t="s">
        <v>9885</v>
      </c>
      <c r="D6305" s="475">
        <v>116.64</v>
      </c>
      <c r="E6305" s="476">
        <v>0.11638</v>
      </c>
      <c r="F6305" s="6">
        <v>1.6368</v>
      </c>
      <c r="G6305" s="6">
        <v>99.6</v>
      </c>
    </row>
    <row r="6306" ht="15.75" customHeight="1" spans="1:7">
      <c r="A6306" s="4" t="s">
        <v>13728</v>
      </c>
      <c r="B6306" s="5" t="s">
        <v>13729</v>
      </c>
      <c r="C6306" s="4" t="s">
        <v>9885</v>
      </c>
      <c r="D6306" s="475">
        <v>175.41</v>
      </c>
      <c r="E6306" s="476">
        <v>0.11638</v>
      </c>
      <c r="F6306" s="6">
        <v>1.6368</v>
      </c>
      <c r="G6306" s="6">
        <v>99.6</v>
      </c>
    </row>
    <row r="6307" ht="15.75" customHeight="1" spans="1:7">
      <c r="A6307" s="4" t="s">
        <v>13730</v>
      </c>
      <c r="B6307" s="5" t="s">
        <v>13731</v>
      </c>
      <c r="C6307" s="4" t="s">
        <v>9885</v>
      </c>
      <c r="D6307" s="475">
        <v>122.5</v>
      </c>
      <c r="E6307" s="476">
        <v>0.11638</v>
      </c>
      <c r="F6307" s="6">
        <v>1.6368</v>
      </c>
      <c r="G6307" s="6">
        <v>99.6</v>
      </c>
    </row>
    <row r="6308" ht="15.75" customHeight="1" spans="1:7">
      <c r="A6308" s="4" t="s">
        <v>13732</v>
      </c>
      <c r="B6308" s="5" t="s">
        <v>13733</v>
      </c>
      <c r="C6308" s="4" t="s">
        <v>9885</v>
      </c>
      <c r="D6308" s="475">
        <v>177.16</v>
      </c>
      <c r="E6308" s="476">
        <v>0.11638</v>
      </c>
      <c r="F6308" s="6">
        <v>1.6368</v>
      </c>
      <c r="G6308" s="6">
        <v>99.6</v>
      </c>
    </row>
    <row r="6309" ht="15.75" customHeight="1" spans="1:7">
      <c r="A6309" s="4" t="s">
        <v>13734</v>
      </c>
      <c r="B6309" s="5" t="s">
        <v>13735</v>
      </c>
      <c r="C6309" s="4" t="s">
        <v>9885</v>
      </c>
      <c r="D6309" s="475">
        <v>128.8</v>
      </c>
      <c r="E6309" s="476">
        <v>0.11638</v>
      </c>
      <c r="F6309" s="6">
        <v>1.6368</v>
      </c>
      <c r="G6309" s="6">
        <v>99.6</v>
      </c>
    </row>
    <row r="6310" ht="15.75" customHeight="1" spans="1:7">
      <c r="A6310" s="4" t="s">
        <v>13736</v>
      </c>
      <c r="B6310" s="5" t="s">
        <v>13737</v>
      </c>
      <c r="C6310" s="4" t="s">
        <v>9885</v>
      </c>
      <c r="D6310" s="475">
        <v>176.95</v>
      </c>
      <c r="E6310" s="476">
        <v>0.11638</v>
      </c>
      <c r="F6310" s="6">
        <v>1.6368</v>
      </c>
      <c r="G6310" s="6">
        <v>99.6</v>
      </c>
    </row>
    <row r="6311" ht="15.75" customHeight="1" spans="1:7">
      <c r="A6311" s="4" t="s">
        <v>13738</v>
      </c>
      <c r="B6311" s="5" t="s">
        <v>13739</v>
      </c>
      <c r="C6311" s="4" t="s">
        <v>9885</v>
      </c>
      <c r="D6311" s="475">
        <v>128.38</v>
      </c>
      <c r="E6311" s="476">
        <v>0.11638</v>
      </c>
      <c r="F6311" s="6">
        <v>1.6368</v>
      </c>
      <c r="G6311" s="6">
        <v>99.6</v>
      </c>
    </row>
    <row r="6312" ht="15.75" customHeight="1" spans="1:7">
      <c r="A6312" s="4" t="s">
        <v>13740</v>
      </c>
      <c r="B6312" s="5" t="s">
        <v>13741</v>
      </c>
      <c r="C6312" s="4" t="s">
        <v>99</v>
      </c>
      <c r="D6312" s="475">
        <v>63.68</v>
      </c>
      <c r="E6312" s="476">
        <v>0.14409</v>
      </c>
      <c r="F6312" s="6">
        <v>0.6749</v>
      </c>
      <c r="G6312" s="6">
        <v>120.7</v>
      </c>
    </row>
    <row r="6313" ht="15.75" customHeight="1" spans="1:7">
      <c r="A6313" s="4" t="s">
        <v>13742</v>
      </c>
      <c r="B6313" s="5" t="s">
        <v>13743</v>
      </c>
      <c r="C6313" s="4" t="s">
        <v>99</v>
      </c>
      <c r="D6313" s="475">
        <v>20.99</v>
      </c>
      <c r="E6313" s="476">
        <v>0.14409</v>
      </c>
      <c r="F6313" s="6">
        <v>0.6749</v>
      </c>
      <c r="G6313" s="6">
        <v>120.7</v>
      </c>
    </row>
    <row r="6314" ht="15.75" customHeight="1" spans="1:7">
      <c r="A6314" s="4" t="s">
        <v>13744</v>
      </c>
      <c r="B6314" s="5" t="s">
        <v>13745</v>
      </c>
      <c r="C6314" s="4" t="s">
        <v>99</v>
      </c>
      <c r="D6314" s="475">
        <v>112.55</v>
      </c>
      <c r="E6314" s="476">
        <v>0.14409</v>
      </c>
      <c r="F6314" s="6">
        <v>0.6749</v>
      </c>
      <c r="G6314" s="6">
        <v>120.7</v>
      </c>
    </row>
    <row r="6315" ht="15.75" customHeight="1" spans="1:7">
      <c r="A6315" s="4" t="s">
        <v>13746</v>
      </c>
      <c r="B6315" s="5" t="s">
        <v>13747</v>
      </c>
      <c r="C6315" s="4" t="s">
        <v>99</v>
      </c>
      <c r="D6315" s="475">
        <v>84.38</v>
      </c>
      <c r="E6315" s="476">
        <v>0.14409</v>
      </c>
      <c r="F6315" s="6">
        <v>0.6749</v>
      </c>
      <c r="G6315" s="6">
        <v>120.7</v>
      </c>
    </row>
    <row r="6316" ht="15.75" customHeight="1" spans="1:7">
      <c r="A6316" s="4" t="s">
        <v>13748</v>
      </c>
      <c r="B6316" s="5" t="s">
        <v>13749</v>
      </c>
      <c r="C6316" s="4" t="s">
        <v>99</v>
      </c>
      <c r="D6316" s="475">
        <v>67.9</v>
      </c>
      <c r="E6316" s="476">
        <v>0.14409</v>
      </c>
      <c r="F6316" s="6">
        <v>0.6749</v>
      </c>
      <c r="G6316" s="6">
        <v>120.7</v>
      </c>
    </row>
    <row r="6317" ht="15.75" customHeight="1" spans="1:7">
      <c r="A6317" s="4" t="s">
        <v>13750</v>
      </c>
      <c r="B6317" s="5" t="s">
        <v>13751</v>
      </c>
      <c r="C6317" s="4" t="s">
        <v>99</v>
      </c>
      <c r="D6317" s="475">
        <v>38.85</v>
      </c>
      <c r="E6317" s="476">
        <v>0.14409</v>
      </c>
      <c r="F6317" s="6">
        <v>0.6749</v>
      </c>
      <c r="G6317" s="6">
        <v>120.7</v>
      </c>
    </row>
    <row r="6318" ht="15.75" customHeight="1" spans="1:7">
      <c r="A6318" s="4" t="s">
        <v>13752</v>
      </c>
      <c r="B6318" s="5" t="s">
        <v>13753</v>
      </c>
      <c r="C6318" s="4" t="s">
        <v>99</v>
      </c>
      <c r="D6318" s="475">
        <v>99.47</v>
      </c>
      <c r="E6318" s="476">
        <v>0.14409</v>
      </c>
      <c r="F6318" s="6">
        <v>0.6749</v>
      </c>
      <c r="G6318" s="6">
        <v>120.7</v>
      </c>
    </row>
    <row r="6319" ht="15.75" customHeight="1" spans="1:7">
      <c r="A6319" s="4" t="s">
        <v>13754</v>
      </c>
      <c r="B6319" s="5" t="s">
        <v>13755</v>
      </c>
      <c r="C6319" s="4" t="s">
        <v>99</v>
      </c>
      <c r="D6319" s="475">
        <v>29.48</v>
      </c>
      <c r="E6319" s="476">
        <v>0.14409</v>
      </c>
      <c r="F6319" s="6">
        <v>0.9799</v>
      </c>
      <c r="G6319" s="6">
        <v>120.7</v>
      </c>
    </row>
    <row r="6320" ht="15.75" customHeight="1" spans="1:7">
      <c r="A6320" s="4" t="s">
        <v>13756</v>
      </c>
      <c r="B6320" s="5" t="s">
        <v>13757</v>
      </c>
      <c r="C6320" s="4" t="s">
        <v>99</v>
      </c>
      <c r="D6320" s="475">
        <v>51.35</v>
      </c>
      <c r="E6320" s="476">
        <v>0.14409</v>
      </c>
      <c r="F6320" s="6">
        <v>0.6749</v>
      </c>
      <c r="G6320" s="6">
        <v>120.7</v>
      </c>
    </row>
    <row r="6321" ht="15.75" customHeight="1" spans="1:7">
      <c r="A6321" s="4" t="s">
        <v>13758</v>
      </c>
      <c r="B6321" s="5" t="s">
        <v>13759</v>
      </c>
      <c r="C6321" s="4" t="s">
        <v>99</v>
      </c>
      <c r="D6321" s="475">
        <v>386.66</v>
      </c>
      <c r="E6321" s="476">
        <v>0.11638</v>
      </c>
      <c r="F6321" s="6">
        <v>0.8223</v>
      </c>
      <c r="G6321" s="6">
        <v>124.5</v>
      </c>
    </row>
    <row r="6322" ht="15.75" customHeight="1" spans="1:7">
      <c r="A6322" s="4" t="s">
        <v>13760</v>
      </c>
      <c r="B6322" s="5" t="s">
        <v>13761</v>
      </c>
      <c r="C6322" s="4" t="s">
        <v>99</v>
      </c>
      <c r="D6322" s="475">
        <v>283.38</v>
      </c>
      <c r="E6322" s="476">
        <v>0.11638</v>
      </c>
      <c r="F6322" s="6">
        <v>0.8223</v>
      </c>
      <c r="G6322" s="6">
        <v>124.5</v>
      </c>
    </row>
    <row r="6323" ht="15.75" customHeight="1" spans="1:7">
      <c r="A6323" s="4" t="s">
        <v>13762</v>
      </c>
      <c r="B6323" s="5" t="s">
        <v>13763</v>
      </c>
      <c r="C6323" s="4" t="s">
        <v>99</v>
      </c>
      <c r="D6323" s="475">
        <v>316.51</v>
      </c>
      <c r="E6323" s="476">
        <v>0.11638</v>
      </c>
      <c r="F6323" s="6">
        <v>0.8223</v>
      </c>
      <c r="G6323" s="6">
        <v>124.5</v>
      </c>
    </row>
    <row r="6324" ht="15.75" customHeight="1" spans="1:7">
      <c r="A6324" s="4" t="s">
        <v>13764</v>
      </c>
      <c r="B6324" s="5" t="s">
        <v>13765</v>
      </c>
      <c r="C6324" s="4" t="s">
        <v>99</v>
      </c>
      <c r="D6324" s="475">
        <v>222.28</v>
      </c>
      <c r="E6324" s="476">
        <v>0.11638</v>
      </c>
      <c r="F6324" s="6">
        <v>0.8223</v>
      </c>
      <c r="G6324" s="6">
        <v>124.5</v>
      </c>
    </row>
    <row r="6325" ht="15.75" customHeight="1" spans="1:7">
      <c r="A6325" s="4" t="s">
        <v>13766</v>
      </c>
      <c r="B6325" s="5" t="s">
        <v>13767</v>
      </c>
      <c r="C6325" s="4" t="s">
        <v>99</v>
      </c>
      <c r="D6325" s="475">
        <v>266.49</v>
      </c>
      <c r="E6325" s="476">
        <v>0.14409</v>
      </c>
      <c r="F6325" s="6">
        <v>1.0181</v>
      </c>
      <c r="G6325" s="6">
        <v>124.5</v>
      </c>
    </row>
    <row r="6326" ht="15.75" customHeight="1" spans="1:7">
      <c r="A6326" s="4" t="s">
        <v>13768</v>
      </c>
      <c r="B6326" s="5" t="s">
        <v>13769</v>
      </c>
      <c r="C6326" s="4" t="s">
        <v>99</v>
      </c>
      <c r="D6326" s="475">
        <v>167.98</v>
      </c>
      <c r="E6326" s="476">
        <v>0.14409</v>
      </c>
      <c r="F6326" s="6">
        <v>1.0181</v>
      </c>
      <c r="G6326" s="6">
        <v>124.5</v>
      </c>
    </row>
    <row r="6327" ht="15.75" customHeight="1" spans="1:7">
      <c r="A6327" s="4" t="s">
        <v>13770</v>
      </c>
      <c r="B6327" s="5" t="s">
        <v>13771</v>
      </c>
      <c r="C6327" s="4" t="s">
        <v>9</v>
      </c>
      <c r="D6327" s="475">
        <v>1078.93</v>
      </c>
      <c r="E6327" s="476">
        <v>0.03632</v>
      </c>
      <c r="F6327" s="6">
        <v>0.3721</v>
      </c>
      <c r="G6327" s="6">
        <v>33</v>
      </c>
    </row>
    <row r="6328" ht="15.75" customHeight="1" spans="1:7">
      <c r="A6328" s="4" t="s">
        <v>13772</v>
      </c>
      <c r="B6328" s="5" t="s">
        <v>13773</v>
      </c>
      <c r="C6328" s="4" t="s">
        <v>9</v>
      </c>
      <c r="D6328" s="475">
        <v>987.84</v>
      </c>
      <c r="E6328" s="476">
        <v>0.03632</v>
      </c>
      <c r="F6328" s="6">
        <v>0.3721</v>
      </c>
      <c r="G6328" s="6">
        <v>33</v>
      </c>
    </row>
    <row r="6329" ht="15.75" customHeight="1" spans="1:7">
      <c r="A6329" s="4" t="s">
        <v>13774</v>
      </c>
      <c r="B6329" s="5" t="s">
        <v>13775</v>
      </c>
      <c r="C6329" s="4" t="s">
        <v>9</v>
      </c>
      <c r="D6329" s="475">
        <v>1151.69</v>
      </c>
      <c r="E6329" s="476">
        <v>0.03632</v>
      </c>
      <c r="F6329" s="6">
        <v>0.4089</v>
      </c>
      <c r="G6329" s="6">
        <v>30.03</v>
      </c>
    </row>
    <row r="6330" ht="15.75" customHeight="1" spans="1:7">
      <c r="A6330" s="4" t="s">
        <v>13776</v>
      </c>
      <c r="B6330" s="5" t="s">
        <v>13777</v>
      </c>
      <c r="C6330" s="4" t="s">
        <v>9</v>
      </c>
      <c r="D6330" s="475">
        <v>1051.01</v>
      </c>
      <c r="E6330" s="476">
        <v>0.03632</v>
      </c>
      <c r="F6330" s="6">
        <v>0.4089</v>
      </c>
      <c r="G6330" s="6">
        <v>30.03</v>
      </c>
    </row>
    <row r="6331" ht="15.75" customHeight="1" spans="1:7">
      <c r="A6331" s="4" t="s">
        <v>13778</v>
      </c>
      <c r="B6331" s="5" t="s">
        <v>13779</v>
      </c>
      <c r="C6331" s="4" t="s">
        <v>9</v>
      </c>
      <c r="D6331" s="475">
        <v>1830.18</v>
      </c>
      <c r="E6331" s="476">
        <v>0.03632</v>
      </c>
      <c r="F6331" s="6">
        <v>0.6463</v>
      </c>
      <c r="G6331" s="6">
        <v>19</v>
      </c>
    </row>
    <row r="6332" ht="15.75" customHeight="1" spans="1:7">
      <c r="A6332" s="4" t="s">
        <v>13780</v>
      </c>
      <c r="B6332" s="5" t="s">
        <v>13781</v>
      </c>
      <c r="C6332" s="4" t="s">
        <v>9</v>
      </c>
      <c r="D6332" s="475">
        <v>1671.97</v>
      </c>
      <c r="E6332" s="476">
        <v>0.03632</v>
      </c>
      <c r="F6332" s="6">
        <v>0.6463</v>
      </c>
      <c r="G6332" s="6">
        <v>19</v>
      </c>
    </row>
    <row r="6333" ht="15.75" customHeight="1" spans="1:7">
      <c r="A6333" s="4" t="s">
        <v>13782</v>
      </c>
      <c r="B6333" s="5" t="s">
        <v>13783</v>
      </c>
      <c r="C6333" s="4" t="s">
        <v>9</v>
      </c>
      <c r="D6333" s="475">
        <v>1525.8</v>
      </c>
      <c r="E6333" s="476">
        <v>0.03632</v>
      </c>
      <c r="F6333" s="6">
        <v>0.6477</v>
      </c>
      <c r="G6333" s="6">
        <v>18.96</v>
      </c>
    </row>
    <row r="6334" ht="15.75" customHeight="1" spans="1:7">
      <c r="A6334" s="4" t="s">
        <v>13784</v>
      </c>
      <c r="B6334" s="5" t="s">
        <v>13785</v>
      </c>
      <c r="C6334" s="4" t="s">
        <v>9</v>
      </c>
      <c r="D6334" s="475">
        <v>1367.58</v>
      </c>
      <c r="E6334" s="476">
        <v>0.03632</v>
      </c>
      <c r="F6334" s="6">
        <v>0.6477</v>
      </c>
      <c r="G6334" s="6">
        <v>18.96</v>
      </c>
    </row>
    <row r="6335" ht="15.75" customHeight="1" spans="1:7">
      <c r="A6335" s="4" t="s">
        <v>13786</v>
      </c>
      <c r="B6335" s="5" t="s">
        <v>13787</v>
      </c>
      <c r="C6335" s="4" t="s">
        <v>9</v>
      </c>
      <c r="D6335" s="475">
        <v>1237.01</v>
      </c>
      <c r="E6335" s="476">
        <v>0.03632</v>
      </c>
      <c r="F6335" s="6">
        <v>0.4457</v>
      </c>
      <c r="G6335" s="6">
        <v>27.55</v>
      </c>
    </row>
    <row r="6336" ht="15.75" customHeight="1" spans="1:7">
      <c r="A6336" s="4" t="s">
        <v>13788</v>
      </c>
      <c r="B6336" s="5" t="s">
        <v>13789</v>
      </c>
      <c r="C6336" s="4" t="s">
        <v>9</v>
      </c>
      <c r="D6336" s="475">
        <v>1127.94</v>
      </c>
      <c r="E6336" s="476">
        <v>0.03632</v>
      </c>
      <c r="F6336" s="6">
        <v>0.4457</v>
      </c>
      <c r="G6336" s="6">
        <v>27.55</v>
      </c>
    </row>
    <row r="6337" ht="15.75" customHeight="1" spans="1:7">
      <c r="A6337" s="4" t="s">
        <v>13790</v>
      </c>
      <c r="B6337" s="5" t="s">
        <v>13791</v>
      </c>
      <c r="C6337" s="4" t="s">
        <v>9</v>
      </c>
      <c r="D6337" s="475">
        <v>1920.6</v>
      </c>
      <c r="E6337" s="476">
        <v>0.03632</v>
      </c>
      <c r="F6337" s="6">
        <v>0.6954</v>
      </c>
      <c r="G6337" s="6">
        <v>17.66</v>
      </c>
    </row>
    <row r="6338" ht="15.75" customHeight="1" spans="1:7">
      <c r="A6338" s="4" t="s">
        <v>13792</v>
      </c>
      <c r="B6338" s="5" t="s">
        <v>13793</v>
      </c>
      <c r="C6338" s="4" t="s">
        <v>9</v>
      </c>
      <c r="D6338" s="475">
        <v>1750.4</v>
      </c>
      <c r="E6338" s="476">
        <v>0.03632</v>
      </c>
      <c r="F6338" s="6">
        <v>0.6954</v>
      </c>
      <c r="G6338" s="6">
        <v>17.66</v>
      </c>
    </row>
    <row r="6339" ht="15.75" customHeight="1" spans="1:7">
      <c r="A6339" s="4" t="s">
        <v>13794</v>
      </c>
      <c r="B6339" s="5" t="s">
        <v>13795</v>
      </c>
      <c r="C6339" s="4" t="s">
        <v>9</v>
      </c>
      <c r="D6339" s="475">
        <v>1626.28</v>
      </c>
      <c r="E6339" s="476">
        <v>0.03632</v>
      </c>
      <c r="F6339" s="6">
        <v>0.6969</v>
      </c>
      <c r="G6339" s="6">
        <v>17.62</v>
      </c>
    </row>
    <row r="6340" ht="15.75" customHeight="1" spans="1:7">
      <c r="A6340" s="4" t="s">
        <v>13796</v>
      </c>
      <c r="B6340" s="5" t="s">
        <v>13797</v>
      </c>
      <c r="C6340" s="4" t="s">
        <v>9</v>
      </c>
      <c r="D6340" s="475">
        <v>1456.07</v>
      </c>
      <c r="E6340" s="476">
        <v>0.03632</v>
      </c>
      <c r="F6340" s="6">
        <v>0.6969</v>
      </c>
      <c r="G6340" s="6">
        <v>17.62</v>
      </c>
    </row>
    <row r="6341" ht="15.75" customHeight="1" spans="1:7">
      <c r="A6341" s="4" t="s">
        <v>13798</v>
      </c>
      <c r="B6341" s="5" t="s">
        <v>13799</v>
      </c>
      <c r="C6341" s="4" t="s">
        <v>9</v>
      </c>
      <c r="D6341" s="475">
        <v>1327.14</v>
      </c>
      <c r="E6341" s="476">
        <v>0.03632</v>
      </c>
      <c r="F6341" s="6">
        <v>0.4827</v>
      </c>
      <c r="G6341" s="6">
        <v>25.44</v>
      </c>
    </row>
    <row r="6342" ht="15.75" customHeight="1" spans="1:7">
      <c r="A6342" s="4" t="s">
        <v>13800</v>
      </c>
      <c r="B6342" s="5" t="s">
        <v>13801</v>
      </c>
      <c r="C6342" s="4" t="s">
        <v>9</v>
      </c>
      <c r="D6342" s="475">
        <v>1208.48</v>
      </c>
      <c r="E6342" s="476">
        <v>0.03632</v>
      </c>
      <c r="F6342" s="6">
        <v>0.4827</v>
      </c>
      <c r="G6342" s="6">
        <v>25.44</v>
      </c>
    </row>
    <row r="6343" ht="15.75" customHeight="1" spans="1:7">
      <c r="A6343" s="4" t="s">
        <v>13802</v>
      </c>
      <c r="B6343" s="5" t="s">
        <v>13803</v>
      </c>
      <c r="C6343" s="4" t="s">
        <v>9</v>
      </c>
      <c r="D6343" s="475">
        <v>1944.35</v>
      </c>
      <c r="E6343" s="476">
        <v>0.03632</v>
      </c>
      <c r="F6343" s="6">
        <v>0.7452</v>
      </c>
      <c r="G6343" s="6">
        <v>16.48</v>
      </c>
    </row>
    <row r="6344" ht="15.75" customHeight="1" spans="1:7">
      <c r="A6344" s="4" t="s">
        <v>13804</v>
      </c>
      <c r="B6344" s="5" t="s">
        <v>13805</v>
      </c>
      <c r="C6344" s="4" t="s">
        <v>9</v>
      </c>
      <c r="D6344" s="475">
        <v>1762.16</v>
      </c>
      <c r="E6344" s="476">
        <v>0.03632</v>
      </c>
      <c r="F6344" s="6">
        <v>0.7452</v>
      </c>
      <c r="G6344" s="6">
        <v>16.48</v>
      </c>
    </row>
    <row r="6345" ht="15.75" customHeight="1" spans="1:7">
      <c r="A6345" s="4" t="s">
        <v>13806</v>
      </c>
      <c r="B6345" s="5" t="s">
        <v>13807</v>
      </c>
      <c r="C6345" s="4" t="s">
        <v>9</v>
      </c>
      <c r="D6345" s="475">
        <v>1726.74</v>
      </c>
      <c r="E6345" s="476">
        <v>0.03632</v>
      </c>
      <c r="F6345" s="6">
        <v>0.7461</v>
      </c>
      <c r="G6345" s="6">
        <v>16.46</v>
      </c>
    </row>
    <row r="6346" ht="15.75" customHeight="1" spans="1:7">
      <c r="A6346" s="4" t="s">
        <v>13808</v>
      </c>
      <c r="B6346" s="5" t="s">
        <v>13809</v>
      </c>
      <c r="C6346" s="4" t="s">
        <v>9</v>
      </c>
      <c r="D6346" s="475">
        <v>1544.56</v>
      </c>
      <c r="E6346" s="476">
        <v>0.03632</v>
      </c>
      <c r="F6346" s="6">
        <v>0.7461</v>
      </c>
      <c r="G6346" s="6">
        <v>16.46</v>
      </c>
    </row>
    <row r="6347" ht="15.75" customHeight="1" spans="1:7">
      <c r="A6347" s="4" t="s">
        <v>13810</v>
      </c>
      <c r="B6347" s="5" t="s">
        <v>13811</v>
      </c>
      <c r="C6347" s="4" t="s">
        <v>9</v>
      </c>
      <c r="D6347" s="475">
        <v>1452.19</v>
      </c>
      <c r="E6347" s="476">
        <v>0.03632</v>
      </c>
      <c r="F6347" s="6">
        <v>0.5241</v>
      </c>
      <c r="G6347" s="6">
        <v>23.43</v>
      </c>
    </row>
    <row r="6348" ht="15.75" customHeight="1" spans="1:7">
      <c r="A6348" s="4" t="s">
        <v>13812</v>
      </c>
      <c r="B6348" s="5" t="s">
        <v>13813</v>
      </c>
      <c r="C6348" s="4" t="s">
        <v>9</v>
      </c>
      <c r="D6348" s="475">
        <v>1323.94</v>
      </c>
      <c r="E6348" s="476">
        <v>0.03632</v>
      </c>
      <c r="F6348" s="6">
        <v>0.5241</v>
      </c>
      <c r="G6348" s="6">
        <v>23.43</v>
      </c>
    </row>
    <row r="6349" ht="15.75" customHeight="1" spans="1:7">
      <c r="A6349" s="4" t="s">
        <v>13814</v>
      </c>
      <c r="B6349" s="5" t="s">
        <v>13815</v>
      </c>
      <c r="C6349" s="4" t="s">
        <v>9</v>
      </c>
      <c r="D6349" s="475">
        <v>1384.94</v>
      </c>
      <c r="E6349" s="476">
        <v>0.03632</v>
      </c>
      <c r="F6349" s="6">
        <v>0.5243</v>
      </c>
      <c r="G6349" s="6">
        <v>23.42</v>
      </c>
    </row>
    <row r="6350" ht="15.75" customHeight="1" spans="1:7">
      <c r="A6350" s="4" t="s">
        <v>13816</v>
      </c>
      <c r="B6350" s="5" t="s">
        <v>13817</v>
      </c>
      <c r="C6350" s="4" t="s">
        <v>9</v>
      </c>
      <c r="D6350" s="475">
        <v>1256.69</v>
      </c>
      <c r="E6350" s="476">
        <v>0.03632</v>
      </c>
      <c r="F6350" s="6">
        <v>0.5243</v>
      </c>
      <c r="G6350" s="6">
        <v>23.42</v>
      </c>
    </row>
    <row r="6351" ht="15.75" customHeight="1" spans="1:7">
      <c r="A6351" s="4" t="s">
        <v>13818</v>
      </c>
      <c r="B6351" s="5" t="s">
        <v>13819</v>
      </c>
      <c r="C6351" s="4" t="s">
        <v>9</v>
      </c>
      <c r="D6351" s="475">
        <v>1767.18</v>
      </c>
      <c r="E6351" s="476">
        <v>0.03632</v>
      </c>
      <c r="F6351" s="6">
        <v>0.7062</v>
      </c>
      <c r="G6351" s="6">
        <v>17.39</v>
      </c>
    </row>
    <row r="6352" ht="15.75" customHeight="1" spans="1:7">
      <c r="A6352" s="4" t="s">
        <v>13820</v>
      </c>
      <c r="B6352" s="5" t="s">
        <v>13821</v>
      </c>
      <c r="C6352" s="4" t="s">
        <v>9</v>
      </c>
      <c r="D6352" s="475">
        <v>1597.3</v>
      </c>
      <c r="E6352" s="476">
        <v>0.03632</v>
      </c>
      <c r="F6352" s="6">
        <v>0.7062</v>
      </c>
      <c r="G6352" s="6">
        <v>17.39</v>
      </c>
    </row>
    <row r="6353" ht="15.75" customHeight="1" spans="1:7">
      <c r="A6353" s="4" t="s">
        <v>13822</v>
      </c>
      <c r="B6353" s="5" t="s">
        <v>13823</v>
      </c>
      <c r="C6353" s="4" t="s">
        <v>9</v>
      </c>
      <c r="D6353" s="475">
        <v>2077.9</v>
      </c>
      <c r="E6353" s="476">
        <v>0.03632</v>
      </c>
      <c r="F6353" s="6">
        <v>0.705</v>
      </c>
      <c r="G6353" s="6">
        <v>17.42</v>
      </c>
    </row>
    <row r="6354" ht="15.75" customHeight="1" spans="1:7">
      <c r="A6354" s="4" t="s">
        <v>13824</v>
      </c>
      <c r="B6354" s="5" t="s">
        <v>13825</v>
      </c>
      <c r="C6354" s="4" t="s">
        <v>9</v>
      </c>
      <c r="D6354" s="475">
        <v>1920.51</v>
      </c>
      <c r="E6354" s="476">
        <v>0.03632</v>
      </c>
      <c r="F6354" s="6">
        <v>0.705</v>
      </c>
      <c r="G6354" s="6">
        <v>17.42</v>
      </c>
    </row>
    <row r="6355" ht="15.75" customHeight="1" spans="1:7">
      <c r="A6355" s="4" t="s">
        <v>13826</v>
      </c>
      <c r="B6355" s="5" t="s">
        <v>13827</v>
      </c>
      <c r="C6355" s="4" t="s">
        <v>9</v>
      </c>
      <c r="D6355" s="475">
        <v>1384.94</v>
      </c>
      <c r="E6355" s="476">
        <v>0.03632</v>
      </c>
      <c r="F6355" s="6">
        <v>0.5243</v>
      </c>
      <c r="G6355" s="6">
        <v>23.42</v>
      </c>
    </row>
    <row r="6356" ht="15.75" customHeight="1" spans="1:7">
      <c r="A6356" s="4" t="s">
        <v>13828</v>
      </c>
      <c r="B6356" s="5" t="s">
        <v>13829</v>
      </c>
      <c r="C6356" s="4" t="s">
        <v>9</v>
      </c>
      <c r="D6356" s="475">
        <v>1256.69</v>
      </c>
      <c r="E6356" s="476">
        <v>0.03632</v>
      </c>
      <c r="F6356" s="6">
        <v>0.5243</v>
      </c>
      <c r="G6356" s="6">
        <v>23.42</v>
      </c>
    </row>
    <row r="6357" ht="15.75" customHeight="1" spans="1:7">
      <c r="A6357" s="4" t="s">
        <v>13830</v>
      </c>
      <c r="B6357" s="5" t="s">
        <v>13831</v>
      </c>
      <c r="C6357" s="4" t="s">
        <v>9</v>
      </c>
      <c r="D6357" s="475">
        <v>1518.98</v>
      </c>
      <c r="E6357" s="476">
        <v>0.03632</v>
      </c>
      <c r="F6357" s="6">
        <v>0.5239</v>
      </c>
      <c r="G6357" s="6">
        <v>23.44</v>
      </c>
    </row>
    <row r="6358" ht="15.75" customHeight="1" spans="1:7">
      <c r="A6358" s="4" t="s">
        <v>13832</v>
      </c>
      <c r="B6358" s="5" t="s">
        <v>13833</v>
      </c>
      <c r="C6358" s="4" t="s">
        <v>9</v>
      </c>
      <c r="D6358" s="475">
        <v>1392.75</v>
      </c>
      <c r="E6358" s="476">
        <v>0.03632</v>
      </c>
      <c r="F6358" s="6">
        <v>0.5239</v>
      </c>
      <c r="G6358" s="6">
        <v>23.44</v>
      </c>
    </row>
    <row r="6359" ht="15.75" customHeight="1" spans="1:7">
      <c r="A6359" s="4" t="s">
        <v>13834</v>
      </c>
      <c r="B6359" s="5" t="s">
        <v>13835</v>
      </c>
      <c r="C6359" s="4" t="s">
        <v>9</v>
      </c>
      <c r="D6359" s="475">
        <v>1878.78</v>
      </c>
      <c r="E6359" s="476">
        <v>0.03632</v>
      </c>
      <c r="F6359" s="6">
        <v>0.7058</v>
      </c>
      <c r="G6359" s="6">
        <v>17.4</v>
      </c>
    </row>
    <row r="6360" ht="15.75" customHeight="1" spans="1:7">
      <c r="A6360" s="4" t="s">
        <v>13836</v>
      </c>
      <c r="B6360" s="5" t="s">
        <v>13837</v>
      </c>
      <c r="C6360" s="4" t="s">
        <v>9</v>
      </c>
      <c r="D6360" s="475">
        <v>1708.9</v>
      </c>
      <c r="E6360" s="476">
        <v>0.03632</v>
      </c>
      <c r="F6360" s="6">
        <v>0.7058</v>
      </c>
      <c r="G6360" s="6">
        <v>17.4</v>
      </c>
    </row>
    <row r="6361" ht="15.75" customHeight="1" spans="1:7">
      <c r="A6361" s="4" t="s">
        <v>13838</v>
      </c>
      <c r="B6361" s="5" t="s">
        <v>13839</v>
      </c>
      <c r="C6361" s="4" t="s">
        <v>9</v>
      </c>
      <c r="D6361" s="475">
        <v>2145.57</v>
      </c>
      <c r="E6361" s="476">
        <v>0.03632</v>
      </c>
      <c r="F6361" s="6">
        <v>0.6696</v>
      </c>
      <c r="G6361" s="6">
        <v>18.34</v>
      </c>
    </row>
    <row r="6362" ht="15.75" customHeight="1" spans="1:7">
      <c r="A6362" s="4" t="s">
        <v>13840</v>
      </c>
      <c r="B6362" s="5" t="s">
        <v>13841</v>
      </c>
      <c r="C6362" s="4" t="s">
        <v>9</v>
      </c>
      <c r="D6362" s="475">
        <v>1981.36</v>
      </c>
      <c r="E6362" s="476">
        <v>0.03632</v>
      </c>
      <c r="F6362" s="6">
        <v>0.6696</v>
      </c>
      <c r="G6362" s="6">
        <v>18.34</v>
      </c>
    </row>
    <row r="6363" ht="15.75" customHeight="1" spans="1:7">
      <c r="A6363" s="4" t="s">
        <v>13842</v>
      </c>
      <c r="B6363" s="5" t="s">
        <v>13843</v>
      </c>
      <c r="C6363" s="4" t="s">
        <v>9</v>
      </c>
      <c r="D6363" s="475">
        <v>1784.29</v>
      </c>
      <c r="E6363" s="476">
        <v>0.03632</v>
      </c>
      <c r="F6363" s="6">
        <v>0.6714</v>
      </c>
      <c r="G6363" s="6">
        <v>18.29</v>
      </c>
    </row>
    <row r="6364" ht="15.75" customHeight="1" spans="1:7">
      <c r="A6364" s="4" t="s">
        <v>13844</v>
      </c>
      <c r="B6364" s="5" t="s">
        <v>13845</v>
      </c>
      <c r="C6364" s="4" t="s">
        <v>9</v>
      </c>
      <c r="D6364" s="475">
        <v>1620.08</v>
      </c>
      <c r="E6364" s="476">
        <v>0.03632</v>
      </c>
      <c r="F6364" s="6">
        <v>0.6714</v>
      </c>
      <c r="G6364" s="6">
        <v>18.29</v>
      </c>
    </row>
    <row r="6365" ht="15.75" customHeight="1" spans="1:7">
      <c r="A6365" s="4" t="s">
        <v>13846</v>
      </c>
      <c r="B6365" s="5" t="s">
        <v>13847</v>
      </c>
      <c r="C6365" s="4" t="s">
        <v>9</v>
      </c>
      <c r="D6365" s="475">
        <v>3022.66</v>
      </c>
      <c r="E6365" s="476">
        <v>0.03632</v>
      </c>
      <c r="F6365" s="6">
        <v>0.8997</v>
      </c>
      <c r="G6365" s="6">
        <v>13.65</v>
      </c>
    </row>
    <row r="6366" ht="15.75" customHeight="1" spans="1:7">
      <c r="A6366" s="4" t="s">
        <v>13848</v>
      </c>
      <c r="B6366" s="5" t="s">
        <v>13849</v>
      </c>
      <c r="C6366" s="4" t="s">
        <v>9</v>
      </c>
      <c r="D6366" s="475">
        <v>2827.32</v>
      </c>
      <c r="E6366" s="476">
        <v>0.03632</v>
      </c>
      <c r="F6366" s="6">
        <v>0.8997</v>
      </c>
      <c r="G6366" s="6">
        <v>13.65</v>
      </c>
    </row>
    <row r="6367" ht="15.75" customHeight="1" spans="1:7">
      <c r="A6367" s="4" t="s">
        <v>13850</v>
      </c>
      <c r="B6367" s="5" t="s">
        <v>13851</v>
      </c>
      <c r="C6367" s="4" t="s">
        <v>9</v>
      </c>
      <c r="D6367" s="475">
        <v>3585.77</v>
      </c>
      <c r="E6367" s="476">
        <v>0.03632</v>
      </c>
      <c r="F6367" s="6">
        <v>1.1402</v>
      </c>
      <c r="G6367" s="6">
        <v>10.77</v>
      </c>
    </row>
    <row r="6368" ht="15.75" customHeight="1" spans="1:7">
      <c r="A6368" s="4" t="s">
        <v>13852</v>
      </c>
      <c r="B6368" s="5" t="s">
        <v>13853</v>
      </c>
      <c r="C6368" s="4" t="s">
        <v>9</v>
      </c>
      <c r="D6368" s="475">
        <v>3338.42</v>
      </c>
      <c r="E6368" s="476">
        <v>0.03632</v>
      </c>
      <c r="F6368" s="6">
        <v>1.1402</v>
      </c>
      <c r="G6368" s="6">
        <v>10.77</v>
      </c>
    </row>
    <row r="6369" ht="15.75" customHeight="1" spans="1:7">
      <c r="A6369" s="4" t="s">
        <v>13854</v>
      </c>
      <c r="B6369" s="5" t="s">
        <v>13855</v>
      </c>
      <c r="C6369" s="4" t="s">
        <v>9</v>
      </c>
      <c r="D6369" s="475">
        <v>2068.35</v>
      </c>
      <c r="E6369" s="476">
        <v>0.03632</v>
      </c>
      <c r="F6369" s="6">
        <v>0.6703</v>
      </c>
      <c r="G6369" s="6">
        <v>18.32</v>
      </c>
    </row>
    <row r="6370" ht="15.75" customHeight="1" spans="1:7">
      <c r="A6370" s="4" t="s">
        <v>13856</v>
      </c>
      <c r="B6370" s="5" t="s">
        <v>13857</v>
      </c>
      <c r="C6370" s="4" t="s">
        <v>9</v>
      </c>
      <c r="D6370" s="475">
        <v>1906.74</v>
      </c>
      <c r="E6370" s="476">
        <v>0.03632</v>
      </c>
      <c r="F6370" s="6">
        <v>0.6703</v>
      </c>
      <c r="G6370" s="6">
        <v>18.32</v>
      </c>
    </row>
    <row r="6371" ht="15.75" customHeight="1" spans="1:7">
      <c r="A6371" s="4" t="s">
        <v>13858</v>
      </c>
      <c r="B6371" s="5" t="s">
        <v>13859</v>
      </c>
      <c r="C6371" s="4" t="s">
        <v>9</v>
      </c>
      <c r="D6371" s="475">
        <v>2500.74</v>
      </c>
      <c r="E6371" s="476">
        <v>0.03632</v>
      </c>
      <c r="F6371" s="6">
        <v>0.901</v>
      </c>
      <c r="G6371" s="6">
        <v>13.63</v>
      </c>
    </row>
    <row r="6372" ht="15.75" customHeight="1" spans="1:7">
      <c r="A6372" s="4" t="s">
        <v>13860</v>
      </c>
      <c r="B6372" s="5" t="s">
        <v>13861</v>
      </c>
      <c r="C6372" s="4" t="s">
        <v>9</v>
      </c>
      <c r="D6372" s="475">
        <v>2283.68</v>
      </c>
      <c r="E6372" s="476">
        <v>0.03632</v>
      </c>
      <c r="F6372" s="6">
        <v>0.901</v>
      </c>
      <c r="G6372" s="6">
        <v>13.63</v>
      </c>
    </row>
    <row r="6373" ht="15.75" customHeight="1" spans="1:7">
      <c r="A6373" s="4" t="s">
        <v>13862</v>
      </c>
      <c r="B6373" s="5" t="s">
        <v>13863</v>
      </c>
      <c r="C6373" s="4" t="s">
        <v>9</v>
      </c>
      <c r="D6373" s="475">
        <v>2764.5</v>
      </c>
      <c r="E6373" s="476">
        <v>0.03632</v>
      </c>
      <c r="F6373" s="6">
        <v>0.9003</v>
      </c>
      <c r="G6373" s="6">
        <v>13.64</v>
      </c>
    </row>
    <row r="6374" ht="15.75" customHeight="1" spans="1:7">
      <c r="A6374" s="4" t="s">
        <v>13864</v>
      </c>
      <c r="B6374" s="5" t="s">
        <v>13865</v>
      </c>
      <c r="C6374" s="4" t="s">
        <v>9</v>
      </c>
      <c r="D6374" s="475">
        <v>2563.39</v>
      </c>
      <c r="E6374" s="476">
        <v>0.03632</v>
      </c>
      <c r="F6374" s="6">
        <v>0.9003</v>
      </c>
      <c r="G6374" s="6">
        <v>13.64</v>
      </c>
    </row>
    <row r="6375" ht="15.75" customHeight="1" spans="1:7">
      <c r="A6375" s="4" t="s">
        <v>13866</v>
      </c>
      <c r="B6375" s="5" t="s">
        <v>13867</v>
      </c>
      <c r="C6375" s="4" t="s">
        <v>9</v>
      </c>
      <c r="D6375" s="475">
        <v>2947.68</v>
      </c>
      <c r="E6375" s="476">
        <v>0.03632</v>
      </c>
      <c r="F6375" s="6">
        <v>0.8149</v>
      </c>
      <c r="G6375" s="6">
        <v>15.07</v>
      </c>
    </row>
    <row r="6376" ht="15.75" customHeight="1" spans="1:7">
      <c r="A6376" s="4" t="s">
        <v>13868</v>
      </c>
      <c r="B6376" s="5" t="s">
        <v>13869</v>
      </c>
      <c r="C6376" s="4" t="s">
        <v>9</v>
      </c>
      <c r="D6376" s="475">
        <v>2747.52</v>
      </c>
      <c r="E6376" s="476">
        <v>0.03632</v>
      </c>
      <c r="F6376" s="6">
        <v>0.8149</v>
      </c>
      <c r="G6376" s="6">
        <v>15.07</v>
      </c>
    </row>
    <row r="6377" ht="15.75" customHeight="1" spans="1:7">
      <c r="A6377" s="4" t="s">
        <v>13870</v>
      </c>
      <c r="B6377" s="5" t="s">
        <v>13871</v>
      </c>
      <c r="C6377" s="4" t="s">
        <v>9</v>
      </c>
      <c r="D6377" s="475">
        <v>2381.29</v>
      </c>
      <c r="E6377" s="476">
        <v>0.03632</v>
      </c>
      <c r="F6377" s="6">
        <v>0.8176</v>
      </c>
      <c r="G6377" s="6">
        <v>15.02</v>
      </c>
    </row>
    <row r="6378" ht="15.75" customHeight="1" spans="1:7">
      <c r="A6378" s="4" t="s">
        <v>13872</v>
      </c>
      <c r="B6378" s="5" t="s">
        <v>13873</v>
      </c>
      <c r="C6378" s="4" t="s">
        <v>9</v>
      </c>
      <c r="D6378" s="475">
        <v>2181.13</v>
      </c>
      <c r="E6378" s="476">
        <v>0.03632</v>
      </c>
      <c r="F6378" s="6">
        <v>0.8176</v>
      </c>
      <c r="G6378" s="6">
        <v>15.02</v>
      </c>
    </row>
    <row r="6379" ht="15.75" customHeight="1" spans="1:7">
      <c r="A6379" s="4" t="s">
        <v>13874</v>
      </c>
      <c r="B6379" s="5" t="s">
        <v>13875</v>
      </c>
      <c r="C6379" s="4" t="s">
        <v>9</v>
      </c>
      <c r="D6379" s="475">
        <v>4445.22</v>
      </c>
      <c r="E6379" s="476">
        <v>0.03632</v>
      </c>
      <c r="F6379" s="6">
        <v>1.3845</v>
      </c>
      <c r="G6379" s="6">
        <v>8.87005</v>
      </c>
    </row>
    <row r="6380" ht="15.75" customHeight="1" spans="1:7">
      <c r="A6380" s="4" t="s">
        <v>13876</v>
      </c>
      <c r="B6380" s="5" t="s">
        <v>13877</v>
      </c>
      <c r="C6380" s="4" t="s">
        <v>9</v>
      </c>
      <c r="D6380" s="475">
        <v>4144.79</v>
      </c>
      <c r="E6380" s="476">
        <v>0.03632</v>
      </c>
      <c r="F6380" s="6">
        <v>1.3845</v>
      </c>
      <c r="G6380" s="6">
        <v>8.87005</v>
      </c>
    </row>
    <row r="6381" ht="15.75" customHeight="1" spans="1:7">
      <c r="A6381" s="4" t="s">
        <v>13878</v>
      </c>
      <c r="B6381" s="5" t="s">
        <v>13879</v>
      </c>
      <c r="C6381" s="4" t="s">
        <v>9</v>
      </c>
      <c r="D6381" s="475">
        <v>5080.07</v>
      </c>
      <c r="E6381" s="476">
        <v>0.03632</v>
      </c>
      <c r="F6381" s="6">
        <v>1.3816</v>
      </c>
      <c r="G6381" s="6">
        <v>8.88864</v>
      </c>
    </row>
    <row r="6382" ht="15.75" customHeight="1" spans="1:7">
      <c r="A6382" s="4" t="s">
        <v>13880</v>
      </c>
      <c r="B6382" s="5" t="s">
        <v>13881</v>
      </c>
      <c r="C6382" s="4" t="s">
        <v>9</v>
      </c>
      <c r="D6382" s="475">
        <v>4779.63</v>
      </c>
      <c r="E6382" s="476">
        <v>0.03632</v>
      </c>
      <c r="F6382" s="6">
        <v>1.3816</v>
      </c>
      <c r="G6382" s="6">
        <v>8.88864</v>
      </c>
    </row>
    <row r="6383" ht="15.75" customHeight="1" spans="1:7">
      <c r="A6383" s="4" t="s">
        <v>13882</v>
      </c>
      <c r="B6383" s="5" t="s">
        <v>13883</v>
      </c>
      <c r="C6383" s="4" t="s">
        <v>9</v>
      </c>
      <c r="D6383" s="475">
        <v>3068.85</v>
      </c>
      <c r="E6383" s="476">
        <v>0.03632</v>
      </c>
      <c r="F6383" s="6">
        <v>1.0974</v>
      </c>
      <c r="G6383" s="6">
        <v>11.19</v>
      </c>
    </row>
    <row r="6384" ht="15.75" customHeight="1" spans="1:7">
      <c r="A6384" s="4" t="s">
        <v>13884</v>
      </c>
      <c r="B6384" s="5" t="s">
        <v>13885</v>
      </c>
      <c r="C6384" s="4" t="s">
        <v>9</v>
      </c>
      <c r="D6384" s="475">
        <v>2804.59</v>
      </c>
      <c r="E6384" s="476">
        <v>0.03632</v>
      </c>
      <c r="F6384" s="6">
        <v>1.0974</v>
      </c>
      <c r="G6384" s="6">
        <v>11.19</v>
      </c>
    </row>
    <row r="6385" ht="15.75" customHeight="1" spans="1:7">
      <c r="A6385" s="4" t="s">
        <v>13886</v>
      </c>
      <c r="B6385" s="5" t="s">
        <v>13887</v>
      </c>
      <c r="C6385" s="4" t="s">
        <v>9</v>
      </c>
      <c r="D6385" s="475">
        <v>3585.75</v>
      </c>
      <c r="E6385" s="476">
        <v>0.03632</v>
      </c>
      <c r="F6385" s="6">
        <v>1.0955</v>
      </c>
      <c r="G6385" s="6">
        <v>11.21</v>
      </c>
    </row>
    <row r="6386" ht="15.75" customHeight="1" spans="1:7">
      <c r="A6386" s="4" t="s">
        <v>13888</v>
      </c>
      <c r="B6386" s="5" t="s">
        <v>13889</v>
      </c>
      <c r="C6386" s="4" t="s">
        <v>9</v>
      </c>
      <c r="D6386" s="475">
        <v>3340.92</v>
      </c>
      <c r="E6386" s="476">
        <v>0.03632</v>
      </c>
      <c r="F6386" s="6">
        <v>1.0955</v>
      </c>
      <c r="G6386" s="6">
        <v>11.21</v>
      </c>
    </row>
    <row r="6387" ht="15.75" customHeight="1" spans="1:7">
      <c r="A6387" s="4" t="s">
        <v>13890</v>
      </c>
      <c r="B6387" s="5" t="s">
        <v>13891</v>
      </c>
      <c r="C6387" s="4" t="s">
        <v>9</v>
      </c>
      <c r="D6387" s="475">
        <v>4030.13</v>
      </c>
      <c r="E6387" s="476">
        <v>0.03632</v>
      </c>
      <c r="F6387" s="6">
        <v>1.0935</v>
      </c>
      <c r="G6387" s="6">
        <v>11.23</v>
      </c>
    </row>
    <row r="6388" ht="15.75" customHeight="1" spans="1:7">
      <c r="A6388" s="4" t="s">
        <v>13892</v>
      </c>
      <c r="B6388" s="5" t="s">
        <v>13893</v>
      </c>
      <c r="C6388" s="4" t="s">
        <v>9</v>
      </c>
      <c r="D6388" s="475">
        <v>3792.33</v>
      </c>
      <c r="E6388" s="476">
        <v>0.03632</v>
      </c>
      <c r="F6388" s="6">
        <v>1.0935</v>
      </c>
      <c r="G6388" s="6">
        <v>11.23</v>
      </c>
    </row>
    <row r="6389" ht="15.75" customHeight="1" spans="1:7">
      <c r="A6389" s="4" t="s">
        <v>13894</v>
      </c>
      <c r="B6389" s="5" t="s">
        <v>13895</v>
      </c>
      <c r="C6389" s="4" t="s">
        <v>9</v>
      </c>
      <c r="D6389" s="475">
        <v>3819</v>
      </c>
      <c r="E6389" s="476">
        <v>0.03632</v>
      </c>
      <c r="F6389" s="6">
        <v>0.9601</v>
      </c>
      <c r="G6389" s="6">
        <v>12.79</v>
      </c>
    </row>
    <row r="6390" ht="15.75" customHeight="1" spans="1:7">
      <c r="A6390" s="4" t="s">
        <v>13896</v>
      </c>
      <c r="B6390" s="5" t="s">
        <v>13897</v>
      </c>
      <c r="C6390" s="4" t="s">
        <v>9</v>
      </c>
      <c r="D6390" s="475">
        <v>3586.6</v>
      </c>
      <c r="E6390" s="476">
        <v>0.03632</v>
      </c>
      <c r="F6390" s="6">
        <v>0.9601</v>
      </c>
      <c r="G6390" s="6">
        <v>12.79</v>
      </c>
    </row>
    <row r="6391" ht="15.75" customHeight="1" spans="1:7">
      <c r="A6391" s="4" t="s">
        <v>13898</v>
      </c>
      <c r="B6391" s="5" t="s">
        <v>13899</v>
      </c>
      <c r="C6391" s="4" t="s">
        <v>9</v>
      </c>
      <c r="D6391" s="475">
        <v>3221.21</v>
      </c>
      <c r="E6391" s="476">
        <v>0.03632</v>
      </c>
      <c r="F6391" s="6">
        <v>0.9624</v>
      </c>
      <c r="G6391" s="6">
        <v>12.76</v>
      </c>
    </row>
    <row r="6392" ht="15.75" customHeight="1" spans="1:7">
      <c r="A6392" s="4" t="s">
        <v>13900</v>
      </c>
      <c r="B6392" s="5" t="s">
        <v>13901</v>
      </c>
      <c r="C6392" s="4" t="s">
        <v>9</v>
      </c>
      <c r="D6392" s="475">
        <v>2988.81</v>
      </c>
      <c r="E6392" s="476">
        <v>0.03632</v>
      </c>
      <c r="F6392" s="6">
        <v>0.9624</v>
      </c>
      <c r="G6392" s="6">
        <v>12.76</v>
      </c>
    </row>
    <row r="6393" ht="15.75" customHeight="1" spans="1:7">
      <c r="A6393" s="4" t="s">
        <v>13902</v>
      </c>
      <c r="B6393" s="5" t="s">
        <v>13903</v>
      </c>
      <c r="C6393" s="4" t="s">
        <v>9</v>
      </c>
      <c r="D6393" s="475">
        <v>6298.78</v>
      </c>
      <c r="E6393" s="476">
        <v>0.03632</v>
      </c>
      <c r="F6393" s="6">
        <v>1.6735</v>
      </c>
      <c r="G6393" s="6">
        <v>7.33808</v>
      </c>
    </row>
    <row r="6394" ht="15.75" customHeight="1" spans="1:7">
      <c r="A6394" s="4" t="s">
        <v>13904</v>
      </c>
      <c r="B6394" s="5" t="s">
        <v>13905</v>
      </c>
      <c r="C6394" s="4" t="s">
        <v>9</v>
      </c>
      <c r="D6394" s="475">
        <v>5945.27</v>
      </c>
      <c r="E6394" s="476">
        <v>0.03632</v>
      </c>
      <c r="F6394" s="6">
        <v>1.6735</v>
      </c>
      <c r="G6394" s="6">
        <v>7.33808</v>
      </c>
    </row>
    <row r="6395" ht="15.75" customHeight="1" spans="1:7">
      <c r="A6395" s="4" t="s">
        <v>13906</v>
      </c>
      <c r="B6395" s="5" t="s">
        <v>13907</v>
      </c>
      <c r="C6395" s="4" t="s">
        <v>9</v>
      </c>
      <c r="D6395" s="475">
        <v>6999.09</v>
      </c>
      <c r="E6395" s="476">
        <v>0.03632</v>
      </c>
      <c r="F6395" s="6">
        <v>1.6703</v>
      </c>
      <c r="G6395" s="6">
        <v>7.35218</v>
      </c>
    </row>
    <row r="6396" ht="15.75" customHeight="1" spans="1:7">
      <c r="A6396" s="4" t="s">
        <v>13908</v>
      </c>
      <c r="B6396" s="5" t="s">
        <v>13909</v>
      </c>
      <c r="C6396" s="4" t="s">
        <v>9</v>
      </c>
      <c r="D6396" s="475">
        <v>6645.58</v>
      </c>
      <c r="E6396" s="476">
        <v>0.03632</v>
      </c>
      <c r="F6396" s="6">
        <v>1.6703</v>
      </c>
      <c r="G6396" s="6">
        <v>7.35218</v>
      </c>
    </row>
    <row r="6397" ht="15.75" customHeight="1" spans="1:7">
      <c r="A6397" s="4" t="s">
        <v>13910</v>
      </c>
      <c r="B6397" s="5" t="s">
        <v>13911</v>
      </c>
      <c r="C6397" s="4" t="s">
        <v>9</v>
      </c>
      <c r="D6397" s="475">
        <v>4064.48</v>
      </c>
      <c r="E6397" s="476">
        <v>0.03632</v>
      </c>
      <c r="F6397" s="6">
        <v>1.2909</v>
      </c>
      <c r="G6397" s="6">
        <v>9.51293</v>
      </c>
    </row>
    <row r="6398" ht="15.75" customHeight="1" spans="1:7">
      <c r="A6398" s="4" t="s">
        <v>13912</v>
      </c>
      <c r="B6398" s="5" t="s">
        <v>13913</v>
      </c>
      <c r="C6398" s="4" t="s">
        <v>9</v>
      </c>
      <c r="D6398" s="475">
        <v>3753.04</v>
      </c>
      <c r="E6398" s="476">
        <v>0.03632</v>
      </c>
      <c r="F6398" s="6">
        <v>1.2909</v>
      </c>
      <c r="G6398" s="6">
        <v>9.51293</v>
      </c>
    </row>
    <row r="6399" ht="15.75" customHeight="1" spans="1:7">
      <c r="A6399" s="4" t="s">
        <v>13914</v>
      </c>
      <c r="B6399" s="5" t="s">
        <v>13915</v>
      </c>
      <c r="C6399" s="4" t="s">
        <v>9</v>
      </c>
      <c r="D6399" s="475">
        <v>5004.26</v>
      </c>
      <c r="E6399" s="476">
        <v>0.03632</v>
      </c>
      <c r="F6399" s="6">
        <v>1.2878</v>
      </c>
      <c r="G6399" s="6">
        <v>9.53574</v>
      </c>
    </row>
    <row r="6400" ht="15.75" customHeight="1" spans="1:7">
      <c r="A6400" s="4" t="s">
        <v>13916</v>
      </c>
      <c r="B6400" s="5" t="s">
        <v>13917</v>
      </c>
      <c r="C6400" s="4" t="s">
        <v>9</v>
      </c>
      <c r="D6400" s="475">
        <v>4724</v>
      </c>
      <c r="E6400" s="476">
        <v>0.03632</v>
      </c>
      <c r="F6400" s="6">
        <v>1.2878</v>
      </c>
      <c r="G6400" s="6">
        <v>9.53574</v>
      </c>
    </row>
    <row r="6401" ht="15.75" customHeight="1" spans="1:7">
      <c r="A6401" s="4" t="s">
        <v>13918</v>
      </c>
      <c r="B6401" s="5" t="s">
        <v>13919</v>
      </c>
      <c r="C6401" s="4" t="s">
        <v>9</v>
      </c>
      <c r="D6401" s="475">
        <v>5676.89</v>
      </c>
      <c r="E6401" s="476">
        <v>0.03632</v>
      </c>
      <c r="F6401" s="6">
        <v>1.627</v>
      </c>
      <c r="G6401" s="6">
        <v>7.54758</v>
      </c>
    </row>
    <row r="6402" ht="15.75" customHeight="1" spans="1:7">
      <c r="A6402" s="4" t="s">
        <v>13920</v>
      </c>
      <c r="B6402" s="5" t="s">
        <v>13921</v>
      </c>
      <c r="C6402" s="4" t="s">
        <v>9</v>
      </c>
      <c r="D6402" s="475">
        <v>5323.38</v>
      </c>
      <c r="E6402" s="476">
        <v>0.03632</v>
      </c>
      <c r="F6402" s="6">
        <v>1.627</v>
      </c>
      <c r="G6402" s="6">
        <v>7.54758</v>
      </c>
    </row>
    <row r="6403" ht="15.75" customHeight="1" spans="1:7">
      <c r="A6403" s="4" t="s">
        <v>13922</v>
      </c>
      <c r="B6403" s="5" t="s">
        <v>13923</v>
      </c>
      <c r="C6403" s="4" t="s">
        <v>9</v>
      </c>
      <c r="D6403" s="475">
        <v>1359.63</v>
      </c>
      <c r="E6403" s="476">
        <v>0.04367</v>
      </c>
      <c r="F6403" s="6">
        <v>2.8092</v>
      </c>
      <c r="G6403" s="6">
        <v>4.98</v>
      </c>
    </row>
    <row r="6404" ht="15.75" customHeight="1" spans="1:7">
      <c r="A6404" s="4" t="s">
        <v>13924</v>
      </c>
      <c r="B6404" s="5" t="s">
        <v>13925</v>
      </c>
      <c r="C6404" s="4" t="s">
        <v>9</v>
      </c>
      <c r="D6404" s="475">
        <v>1234.44</v>
      </c>
      <c r="E6404" s="476">
        <v>0.04367</v>
      </c>
      <c r="F6404" s="6">
        <v>2.8092</v>
      </c>
      <c r="G6404" s="6">
        <v>4.98</v>
      </c>
    </row>
    <row r="6405" ht="15.75" customHeight="1" spans="1:7">
      <c r="A6405" s="4" t="s">
        <v>13926</v>
      </c>
      <c r="B6405" s="5" t="s">
        <v>13927</v>
      </c>
      <c r="C6405" s="4" t="s">
        <v>9</v>
      </c>
      <c r="D6405" s="475">
        <v>1478.43</v>
      </c>
      <c r="E6405" s="476">
        <v>0.04367</v>
      </c>
      <c r="F6405" s="6">
        <v>3.0902</v>
      </c>
      <c r="G6405" s="6">
        <v>4.52727</v>
      </c>
    </row>
    <row r="6406" ht="15.75" customHeight="1" spans="1:7">
      <c r="A6406" s="4" t="s">
        <v>13928</v>
      </c>
      <c r="B6406" s="5" t="s">
        <v>13929</v>
      </c>
      <c r="C6406" s="4" t="s">
        <v>9</v>
      </c>
      <c r="D6406" s="475">
        <v>1335.58</v>
      </c>
      <c r="E6406" s="476">
        <v>0.04367</v>
      </c>
      <c r="F6406" s="6">
        <v>3.0902</v>
      </c>
      <c r="G6406" s="6">
        <v>4.52727</v>
      </c>
    </row>
    <row r="6407" ht="15.75" customHeight="1" spans="1:7">
      <c r="A6407" s="4" t="s">
        <v>13930</v>
      </c>
      <c r="B6407" s="5" t="s">
        <v>13931</v>
      </c>
      <c r="C6407" s="4" t="s">
        <v>9</v>
      </c>
      <c r="D6407" s="475">
        <v>2203.77</v>
      </c>
      <c r="E6407" s="476">
        <v>0.04367</v>
      </c>
      <c r="F6407" s="6">
        <v>3.9329</v>
      </c>
      <c r="G6407" s="6">
        <v>3.55714</v>
      </c>
    </row>
    <row r="6408" ht="15.75" customHeight="1" spans="1:7">
      <c r="A6408" s="4" t="s">
        <v>13932</v>
      </c>
      <c r="B6408" s="5" t="s">
        <v>13933</v>
      </c>
      <c r="C6408" s="4" t="s">
        <v>9</v>
      </c>
      <c r="D6408" s="475">
        <v>2001.99</v>
      </c>
      <c r="E6408" s="476">
        <v>0.04367</v>
      </c>
      <c r="F6408" s="6">
        <v>3.9329</v>
      </c>
      <c r="G6408" s="6">
        <v>3.55714</v>
      </c>
    </row>
    <row r="6409" ht="15.75" customHeight="1" spans="1:7">
      <c r="A6409" s="4" t="s">
        <v>13934</v>
      </c>
      <c r="B6409" s="5" t="s">
        <v>13935</v>
      </c>
      <c r="C6409" s="4" t="s">
        <v>9</v>
      </c>
      <c r="D6409" s="475">
        <v>1899.39</v>
      </c>
      <c r="E6409" s="476">
        <v>0.04367</v>
      </c>
      <c r="F6409" s="6">
        <v>3.9329</v>
      </c>
      <c r="G6409" s="6">
        <v>3.55714</v>
      </c>
    </row>
    <row r="6410" ht="15.75" customHeight="1" spans="1:7">
      <c r="A6410" s="4" t="s">
        <v>13936</v>
      </c>
      <c r="B6410" s="5" t="s">
        <v>13937</v>
      </c>
      <c r="C6410" s="4" t="s">
        <v>9</v>
      </c>
      <c r="D6410" s="475">
        <v>1697.6</v>
      </c>
      <c r="E6410" s="476">
        <v>0.04367</v>
      </c>
      <c r="F6410" s="6">
        <v>3.9329</v>
      </c>
      <c r="G6410" s="6">
        <v>3.55714</v>
      </c>
    </row>
    <row r="6411" ht="15.75" customHeight="1" spans="1:7">
      <c r="A6411" s="4" t="s">
        <v>13938</v>
      </c>
      <c r="B6411" s="5" t="s">
        <v>13939</v>
      </c>
      <c r="C6411" s="4" t="s">
        <v>9</v>
      </c>
      <c r="D6411" s="475">
        <v>1655.28</v>
      </c>
      <c r="E6411" s="476">
        <v>0.04367</v>
      </c>
      <c r="F6411" s="6">
        <v>4.2139</v>
      </c>
      <c r="G6411" s="6">
        <v>3.32</v>
      </c>
    </row>
    <row r="6412" ht="15.75" customHeight="1" spans="1:7">
      <c r="A6412" s="4" t="s">
        <v>13940</v>
      </c>
      <c r="B6412" s="5" t="s">
        <v>13941</v>
      </c>
      <c r="C6412" s="4" t="s">
        <v>9</v>
      </c>
      <c r="D6412" s="475">
        <v>1493.7</v>
      </c>
      <c r="E6412" s="476">
        <v>0.04367</v>
      </c>
      <c r="F6412" s="6">
        <v>4.2139</v>
      </c>
      <c r="G6412" s="6">
        <v>3.32</v>
      </c>
    </row>
    <row r="6413" ht="15.75" customHeight="1" spans="1:7">
      <c r="A6413" s="4" t="s">
        <v>13942</v>
      </c>
      <c r="B6413" s="5" t="s">
        <v>13943</v>
      </c>
      <c r="C6413" s="4" t="s">
        <v>9</v>
      </c>
      <c r="D6413" s="475">
        <v>2369.29</v>
      </c>
      <c r="E6413" s="476">
        <v>0.04367</v>
      </c>
      <c r="F6413" s="6">
        <v>4.7757</v>
      </c>
      <c r="G6413" s="6">
        <v>2.92941</v>
      </c>
    </row>
    <row r="6414" ht="15.75" customHeight="1" spans="1:7">
      <c r="A6414" s="4" t="s">
        <v>13944</v>
      </c>
      <c r="B6414" s="5" t="s">
        <v>13945</v>
      </c>
      <c r="C6414" s="4" t="s">
        <v>9</v>
      </c>
      <c r="D6414" s="475">
        <v>2146.33</v>
      </c>
      <c r="E6414" s="476">
        <v>0.04367</v>
      </c>
      <c r="F6414" s="6">
        <v>4.7757</v>
      </c>
      <c r="G6414" s="6">
        <v>2.92941</v>
      </c>
    </row>
    <row r="6415" ht="15.75" customHeight="1" spans="1:7">
      <c r="A6415" s="4" t="s">
        <v>13946</v>
      </c>
      <c r="B6415" s="5" t="s">
        <v>13947</v>
      </c>
      <c r="C6415" s="4" t="s">
        <v>9</v>
      </c>
      <c r="D6415" s="475">
        <v>2074.97</v>
      </c>
      <c r="E6415" s="476">
        <v>0.04367</v>
      </c>
      <c r="F6415" s="6">
        <v>4.7757</v>
      </c>
      <c r="G6415" s="6">
        <v>2.92941</v>
      </c>
    </row>
    <row r="6416" ht="15.75" customHeight="1" spans="1:7">
      <c r="A6416" s="4" t="s">
        <v>13948</v>
      </c>
      <c r="B6416" s="5" t="s">
        <v>13949</v>
      </c>
      <c r="C6416" s="4" t="s">
        <v>9</v>
      </c>
      <c r="D6416" s="475">
        <v>1852</v>
      </c>
      <c r="E6416" s="476">
        <v>0.04367</v>
      </c>
      <c r="F6416" s="6">
        <v>4.7757</v>
      </c>
      <c r="G6416" s="6">
        <v>2.92941</v>
      </c>
    </row>
    <row r="6417" ht="15.75" customHeight="1" spans="1:7">
      <c r="A6417" s="4" t="s">
        <v>13950</v>
      </c>
      <c r="B6417" s="5" t="s">
        <v>13951</v>
      </c>
      <c r="C6417" s="4" t="s">
        <v>9</v>
      </c>
      <c r="D6417" s="475">
        <v>1819.71</v>
      </c>
      <c r="E6417" s="476">
        <v>0.04367</v>
      </c>
      <c r="F6417" s="6">
        <v>5.0566</v>
      </c>
      <c r="G6417" s="6">
        <v>2.76667</v>
      </c>
    </row>
    <row r="6418" ht="15.75" customHeight="1" spans="1:7">
      <c r="A6418" s="4" t="s">
        <v>13952</v>
      </c>
      <c r="B6418" s="5" t="s">
        <v>13953</v>
      </c>
      <c r="C6418" s="4" t="s">
        <v>9</v>
      </c>
      <c r="D6418" s="475">
        <v>1639.3</v>
      </c>
      <c r="E6418" s="476">
        <v>0.04367</v>
      </c>
      <c r="F6418" s="6">
        <v>5.0566</v>
      </c>
      <c r="G6418" s="6">
        <v>2.76667</v>
      </c>
    </row>
    <row r="6419" ht="15.75" customHeight="1" spans="1:7">
      <c r="A6419" s="4" t="s">
        <v>13954</v>
      </c>
      <c r="B6419" s="5" t="s">
        <v>13955</v>
      </c>
      <c r="C6419" s="4" t="s">
        <v>9</v>
      </c>
      <c r="D6419" s="475">
        <v>2471.96</v>
      </c>
      <c r="E6419" s="476">
        <v>0.04367</v>
      </c>
      <c r="F6419" s="6">
        <v>5.6185</v>
      </c>
      <c r="G6419" s="6">
        <v>2.49</v>
      </c>
    </row>
    <row r="6420" ht="15.75" customHeight="1" spans="1:7">
      <c r="A6420" s="4" t="s">
        <v>13956</v>
      </c>
      <c r="B6420" s="5" t="s">
        <v>13957</v>
      </c>
      <c r="C6420" s="4" t="s">
        <v>9</v>
      </c>
      <c r="D6420" s="475">
        <v>2226.62</v>
      </c>
      <c r="E6420" s="476">
        <v>0.04367</v>
      </c>
      <c r="F6420" s="6">
        <v>5.6185</v>
      </c>
      <c r="G6420" s="6">
        <v>2.49</v>
      </c>
    </row>
    <row r="6421" ht="15.75" customHeight="1" spans="1:7">
      <c r="A6421" s="4" t="s">
        <v>13958</v>
      </c>
      <c r="B6421" s="5" t="s">
        <v>13959</v>
      </c>
      <c r="C6421" s="4" t="s">
        <v>9</v>
      </c>
      <c r="D6421" s="475">
        <v>2254.35</v>
      </c>
      <c r="E6421" s="476">
        <v>0.04367</v>
      </c>
      <c r="F6421" s="6">
        <v>5.6185</v>
      </c>
      <c r="G6421" s="6">
        <v>2.49</v>
      </c>
    </row>
    <row r="6422" ht="15.75" customHeight="1" spans="1:7">
      <c r="A6422" s="4" t="s">
        <v>13960</v>
      </c>
      <c r="B6422" s="5" t="s">
        <v>13961</v>
      </c>
      <c r="C6422" s="4" t="s">
        <v>9</v>
      </c>
      <c r="D6422" s="475">
        <v>2009.02</v>
      </c>
      <c r="E6422" s="476">
        <v>0.04367</v>
      </c>
      <c r="F6422" s="6">
        <v>5.6185</v>
      </c>
      <c r="G6422" s="6">
        <v>2.49</v>
      </c>
    </row>
    <row r="6423" ht="15.75" customHeight="1" spans="1:7">
      <c r="A6423" s="4" t="s">
        <v>13962</v>
      </c>
      <c r="B6423" s="5" t="s">
        <v>13963</v>
      </c>
      <c r="C6423" s="4" t="s">
        <v>9</v>
      </c>
      <c r="D6423" s="475">
        <v>1804.31</v>
      </c>
      <c r="E6423" s="476">
        <v>0.04367</v>
      </c>
      <c r="F6423" s="6">
        <v>4.2139</v>
      </c>
      <c r="G6423" s="6">
        <v>3.32</v>
      </c>
    </row>
    <row r="6424" ht="15.75" customHeight="1" spans="1:7">
      <c r="A6424" s="4" t="s">
        <v>13964</v>
      </c>
      <c r="B6424" s="5" t="s">
        <v>13965</v>
      </c>
      <c r="C6424" s="4" t="s">
        <v>9</v>
      </c>
      <c r="D6424" s="475">
        <v>1641.63</v>
      </c>
      <c r="E6424" s="476">
        <v>0.04367</v>
      </c>
      <c r="F6424" s="6">
        <v>4.2139</v>
      </c>
      <c r="G6424" s="6">
        <v>3.32</v>
      </c>
    </row>
    <row r="6425" ht="15.75" customHeight="1" spans="1:7">
      <c r="A6425" s="4" t="s">
        <v>13966</v>
      </c>
      <c r="B6425" s="5" t="s">
        <v>13967</v>
      </c>
      <c r="C6425" s="4" t="s">
        <v>9</v>
      </c>
      <c r="D6425" s="475">
        <v>1737.06</v>
      </c>
      <c r="E6425" s="476">
        <v>0.04367</v>
      </c>
      <c r="F6425" s="6">
        <v>4.2139</v>
      </c>
      <c r="G6425" s="6">
        <v>3.32</v>
      </c>
    </row>
    <row r="6426" ht="15.75" customHeight="1" spans="1:7">
      <c r="A6426" s="4" t="s">
        <v>13968</v>
      </c>
      <c r="B6426" s="5" t="s">
        <v>13969</v>
      </c>
      <c r="C6426" s="4" t="s">
        <v>9</v>
      </c>
      <c r="D6426" s="475">
        <v>1574.38</v>
      </c>
      <c r="E6426" s="476">
        <v>0.04367</v>
      </c>
      <c r="F6426" s="6">
        <v>4.2139</v>
      </c>
      <c r="G6426" s="6">
        <v>3.32</v>
      </c>
    </row>
    <row r="6427" ht="15.75" customHeight="1" spans="1:7">
      <c r="A6427" s="4" t="s">
        <v>13970</v>
      </c>
      <c r="B6427" s="5" t="s">
        <v>13971</v>
      </c>
      <c r="C6427" s="4" t="s">
        <v>9</v>
      </c>
      <c r="D6427" s="475">
        <v>2125.61</v>
      </c>
      <c r="E6427" s="476">
        <v>0.04367</v>
      </c>
      <c r="F6427" s="6">
        <v>4.2139</v>
      </c>
      <c r="G6427" s="6">
        <v>3.32</v>
      </c>
    </row>
    <row r="6428" ht="30" customHeight="1" spans="1:7">
      <c r="A6428" s="4" t="s">
        <v>13972</v>
      </c>
      <c r="B6428" s="5" t="s">
        <v>13973</v>
      </c>
      <c r="C6428" s="4" t="s">
        <v>9</v>
      </c>
      <c r="D6428" s="475">
        <v>1920.11</v>
      </c>
      <c r="E6428" s="476">
        <v>0.04367</v>
      </c>
      <c r="F6428" s="6">
        <v>4.2139</v>
      </c>
      <c r="G6428" s="6">
        <v>3.32</v>
      </c>
    </row>
    <row r="6429" ht="15.75" customHeight="1" spans="1:7">
      <c r="A6429" s="4" t="s">
        <v>13974</v>
      </c>
      <c r="B6429" s="5" t="s">
        <v>13975</v>
      </c>
      <c r="C6429" s="4" t="s">
        <v>9</v>
      </c>
      <c r="D6429" s="475">
        <v>2436.33</v>
      </c>
      <c r="E6429" s="476">
        <v>0.04367</v>
      </c>
      <c r="F6429" s="6">
        <v>4.2139</v>
      </c>
      <c r="G6429" s="6">
        <v>3.32</v>
      </c>
    </row>
    <row r="6430" ht="30" customHeight="1" spans="1:7">
      <c r="A6430" s="4" t="s">
        <v>13976</v>
      </c>
      <c r="B6430" s="5" t="s">
        <v>13977</v>
      </c>
      <c r="C6430" s="4" t="s">
        <v>9</v>
      </c>
      <c r="D6430" s="475">
        <v>2243.32</v>
      </c>
      <c r="E6430" s="476">
        <v>0.04367</v>
      </c>
      <c r="F6430" s="6">
        <v>4.2139</v>
      </c>
      <c r="G6430" s="6">
        <v>3.32</v>
      </c>
    </row>
    <row r="6431" ht="15.75" customHeight="1" spans="1:7">
      <c r="A6431" s="4" t="s">
        <v>13978</v>
      </c>
      <c r="B6431" s="5" t="s">
        <v>13979</v>
      </c>
      <c r="C6431" s="4" t="s">
        <v>9</v>
      </c>
      <c r="D6431" s="475">
        <v>1737.06</v>
      </c>
      <c r="E6431" s="476">
        <v>0.04367</v>
      </c>
      <c r="F6431" s="6">
        <v>4.2139</v>
      </c>
      <c r="G6431" s="6">
        <v>3.32</v>
      </c>
    </row>
    <row r="6432" ht="15.75" customHeight="1" spans="1:7">
      <c r="A6432" s="4" t="s">
        <v>13980</v>
      </c>
      <c r="B6432" s="5" t="s">
        <v>13981</v>
      </c>
      <c r="C6432" s="4" t="s">
        <v>9</v>
      </c>
      <c r="D6432" s="475">
        <v>1574.38</v>
      </c>
      <c r="E6432" s="476">
        <v>0.04367</v>
      </c>
      <c r="F6432" s="6">
        <v>4.2139</v>
      </c>
      <c r="G6432" s="6">
        <v>3.32</v>
      </c>
    </row>
    <row r="6433" ht="15.75" customHeight="1" spans="1:7">
      <c r="A6433" s="4" t="s">
        <v>13982</v>
      </c>
      <c r="B6433" s="5" t="s">
        <v>13983</v>
      </c>
      <c r="C6433" s="4" t="s">
        <v>9</v>
      </c>
      <c r="D6433" s="475">
        <v>1871.1</v>
      </c>
      <c r="E6433" s="476">
        <v>0.04367</v>
      </c>
      <c r="F6433" s="6">
        <v>4.2139</v>
      </c>
      <c r="G6433" s="6">
        <v>3.32</v>
      </c>
    </row>
    <row r="6434" ht="15.75" customHeight="1" spans="1:7">
      <c r="A6434" s="4" t="s">
        <v>13984</v>
      </c>
      <c r="B6434" s="5" t="s">
        <v>13985</v>
      </c>
      <c r="C6434" s="4" t="s">
        <v>9</v>
      </c>
      <c r="D6434" s="475">
        <v>1710.44</v>
      </c>
      <c r="E6434" s="476">
        <v>0.04367</v>
      </c>
      <c r="F6434" s="6">
        <v>4.2139</v>
      </c>
      <c r="G6434" s="6">
        <v>3.32</v>
      </c>
    </row>
    <row r="6435" ht="15.75" customHeight="1" spans="1:7">
      <c r="A6435" s="4" t="s">
        <v>13986</v>
      </c>
      <c r="B6435" s="5" t="s">
        <v>13987</v>
      </c>
      <c r="C6435" s="4" t="s">
        <v>9</v>
      </c>
      <c r="D6435" s="475">
        <v>2237.21</v>
      </c>
      <c r="E6435" s="476">
        <v>0.04367</v>
      </c>
      <c r="F6435" s="6">
        <v>4.2139</v>
      </c>
      <c r="G6435" s="6">
        <v>3.32</v>
      </c>
    </row>
    <row r="6436" ht="15.75" customHeight="1" spans="1:7">
      <c r="A6436" s="4" t="s">
        <v>13988</v>
      </c>
      <c r="B6436" s="5" t="s">
        <v>13989</v>
      </c>
      <c r="C6436" s="4" t="s">
        <v>9</v>
      </c>
      <c r="D6436" s="475">
        <v>2031.71</v>
      </c>
      <c r="E6436" s="476">
        <v>0.04367</v>
      </c>
      <c r="F6436" s="6">
        <v>4.2139</v>
      </c>
      <c r="G6436" s="6">
        <v>3.32</v>
      </c>
    </row>
    <row r="6437" ht="15.75" customHeight="1" spans="1:7">
      <c r="A6437" s="4" t="s">
        <v>13990</v>
      </c>
      <c r="B6437" s="5" t="s">
        <v>13991</v>
      </c>
      <c r="C6437" s="4" t="s">
        <v>9</v>
      </c>
      <c r="D6437" s="475">
        <v>2570.69</v>
      </c>
      <c r="E6437" s="476">
        <v>0.04367</v>
      </c>
      <c r="F6437" s="6">
        <v>4.9162</v>
      </c>
      <c r="G6437" s="6">
        <v>2.84571</v>
      </c>
    </row>
    <row r="6438" ht="15.75" customHeight="1" spans="1:7">
      <c r="A6438" s="4" t="s">
        <v>13992</v>
      </c>
      <c r="B6438" s="5" t="s">
        <v>13993</v>
      </c>
      <c r="C6438" s="4" t="s">
        <v>9</v>
      </c>
      <c r="D6438" s="475">
        <v>2363.65</v>
      </c>
      <c r="E6438" s="476">
        <v>0.04367</v>
      </c>
      <c r="F6438" s="6">
        <v>4.9162</v>
      </c>
      <c r="G6438" s="6">
        <v>2.84571</v>
      </c>
    </row>
    <row r="6439" ht="15.75" customHeight="1" spans="1:7">
      <c r="A6439" s="4" t="s">
        <v>13994</v>
      </c>
      <c r="B6439" s="5" t="s">
        <v>13995</v>
      </c>
      <c r="C6439" s="4" t="s">
        <v>9</v>
      </c>
      <c r="D6439" s="475">
        <v>2209.41</v>
      </c>
      <c r="E6439" s="476">
        <v>0.04367</v>
      </c>
      <c r="F6439" s="6">
        <v>4.9162</v>
      </c>
      <c r="G6439" s="6">
        <v>2.84571</v>
      </c>
    </row>
    <row r="6440" ht="15.75" customHeight="1" spans="1:7">
      <c r="A6440" s="4" t="s">
        <v>13996</v>
      </c>
      <c r="B6440" s="5" t="s">
        <v>13997</v>
      </c>
      <c r="C6440" s="4" t="s">
        <v>9</v>
      </c>
      <c r="D6440" s="475">
        <v>2002.37</v>
      </c>
      <c r="E6440" s="476">
        <v>0.04367</v>
      </c>
      <c r="F6440" s="6">
        <v>4.9162</v>
      </c>
      <c r="G6440" s="6">
        <v>2.84571</v>
      </c>
    </row>
    <row r="6441" ht="15.75" customHeight="1" spans="1:7">
      <c r="A6441" s="4" t="s">
        <v>13998</v>
      </c>
      <c r="B6441" s="5" t="s">
        <v>13999</v>
      </c>
      <c r="C6441" s="4" t="s">
        <v>9</v>
      </c>
      <c r="D6441" s="475">
        <v>3458.72</v>
      </c>
      <c r="E6441" s="476">
        <v>0.04367</v>
      </c>
      <c r="F6441" s="6">
        <v>4.9162</v>
      </c>
      <c r="G6441" s="6">
        <v>2.84571</v>
      </c>
    </row>
    <row r="6442" ht="30" customHeight="1" spans="1:7">
      <c r="A6442" s="4" t="s">
        <v>14000</v>
      </c>
      <c r="B6442" s="5" t="s">
        <v>14001</v>
      </c>
      <c r="C6442" s="4" t="s">
        <v>9</v>
      </c>
      <c r="D6442" s="475">
        <v>3218.2</v>
      </c>
      <c r="E6442" s="476">
        <v>0.04367</v>
      </c>
      <c r="F6442" s="6">
        <v>4.9162</v>
      </c>
      <c r="G6442" s="6">
        <v>2.84571</v>
      </c>
    </row>
    <row r="6443" ht="15.75" customHeight="1" spans="1:7">
      <c r="A6443" s="4" t="s">
        <v>14002</v>
      </c>
      <c r="B6443" s="5" t="s">
        <v>14003</v>
      </c>
      <c r="C6443" s="4" t="s">
        <v>9</v>
      </c>
      <c r="D6443" s="475">
        <v>4023.52</v>
      </c>
      <c r="E6443" s="476">
        <v>0.04367</v>
      </c>
      <c r="F6443" s="6">
        <v>4.9162</v>
      </c>
      <c r="G6443" s="6">
        <v>2.84571</v>
      </c>
    </row>
    <row r="6444" ht="30" customHeight="1" spans="1:7">
      <c r="A6444" s="4" t="s">
        <v>14004</v>
      </c>
      <c r="B6444" s="5" t="s">
        <v>14005</v>
      </c>
      <c r="C6444" s="4" t="s">
        <v>9</v>
      </c>
      <c r="D6444" s="475">
        <v>3730.96</v>
      </c>
      <c r="E6444" s="476">
        <v>0.04367</v>
      </c>
      <c r="F6444" s="6">
        <v>4.9162</v>
      </c>
      <c r="G6444" s="6">
        <v>2.84571</v>
      </c>
    </row>
    <row r="6445" ht="15.75" customHeight="1" spans="1:7">
      <c r="A6445" s="4" t="s">
        <v>14006</v>
      </c>
      <c r="B6445" s="5" t="s">
        <v>14007</v>
      </c>
      <c r="C6445" s="4" t="s">
        <v>9</v>
      </c>
      <c r="D6445" s="475">
        <v>2498.1</v>
      </c>
      <c r="E6445" s="476">
        <v>0.04367</v>
      </c>
      <c r="F6445" s="6">
        <v>4.9162</v>
      </c>
      <c r="G6445" s="6">
        <v>2.84571</v>
      </c>
    </row>
    <row r="6446" ht="15.75" customHeight="1" spans="1:7">
      <c r="A6446" s="4" t="s">
        <v>14008</v>
      </c>
      <c r="B6446" s="5" t="s">
        <v>14009</v>
      </c>
      <c r="C6446" s="4" t="s">
        <v>9</v>
      </c>
      <c r="D6446" s="475">
        <v>2292.5</v>
      </c>
      <c r="E6446" s="476">
        <v>0.04367</v>
      </c>
      <c r="F6446" s="6">
        <v>4.9162</v>
      </c>
      <c r="G6446" s="6">
        <v>2.84571</v>
      </c>
    </row>
    <row r="6447" ht="15.75" customHeight="1" spans="1:7">
      <c r="A6447" s="4" t="s">
        <v>14010</v>
      </c>
      <c r="B6447" s="5" t="s">
        <v>14011</v>
      </c>
      <c r="C6447" s="4" t="s">
        <v>9</v>
      </c>
      <c r="D6447" s="475">
        <v>2932.18</v>
      </c>
      <c r="E6447" s="476">
        <v>0.04367</v>
      </c>
      <c r="F6447" s="6">
        <v>4.9162</v>
      </c>
      <c r="G6447" s="6">
        <v>2.84571</v>
      </c>
    </row>
    <row r="6448" ht="15.75" customHeight="1" spans="1:7">
      <c r="A6448" s="4" t="s">
        <v>14012</v>
      </c>
      <c r="B6448" s="5" t="s">
        <v>14013</v>
      </c>
      <c r="C6448" s="4" t="s">
        <v>9</v>
      </c>
      <c r="D6448" s="475">
        <v>2671.09</v>
      </c>
      <c r="E6448" s="476">
        <v>0.04367</v>
      </c>
      <c r="F6448" s="6">
        <v>4.9162</v>
      </c>
      <c r="G6448" s="6">
        <v>2.84571</v>
      </c>
    </row>
    <row r="6449" ht="15.75" customHeight="1" spans="1:7">
      <c r="A6449" s="4" t="s">
        <v>14014</v>
      </c>
      <c r="B6449" s="5" t="s">
        <v>14015</v>
      </c>
      <c r="C6449" s="4" t="s">
        <v>9</v>
      </c>
      <c r="D6449" s="475">
        <v>3200.56</v>
      </c>
      <c r="E6449" s="476">
        <v>0.04367</v>
      </c>
      <c r="F6449" s="6">
        <v>4.9162</v>
      </c>
      <c r="G6449" s="6">
        <v>2.84571</v>
      </c>
    </row>
    <row r="6450" ht="15.75" customHeight="1" spans="1:7">
      <c r="A6450" s="4" t="s">
        <v>14016</v>
      </c>
      <c r="B6450" s="5" t="s">
        <v>14017</v>
      </c>
      <c r="C6450" s="4" t="s">
        <v>9</v>
      </c>
      <c r="D6450" s="475">
        <v>2954.27</v>
      </c>
      <c r="E6450" s="476">
        <v>0.04367</v>
      </c>
      <c r="F6450" s="6">
        <v>4.9162</v>
      </c>
      <c r="G6450" s="6">
        <v>2.84571</v>
      </c>
    </row>
    <row r="6451" ht="15.75" customHeight="1" spans="1:7">
      <c r="A6451" s="4" t="s">
        <v>14018</v>
      </c>
      <c r="B6451" s="5" t="s">
        <v>14019</v>
      </c>
      <c r="C6451" s="4" t="s">
        <v>9</v>
      </c>
      <c r="D6451" s="475">
        <v>3455.85</v>
      </c>
      <c r="E6451" s="476">
        <v>0.04367</v>
      </c>
      <c r="F6451" s="6">
        <v>5.6185</v>
      </c>
      <c r="G6451" s="6">
        <v>2.49</v>
      </c>
    </row>
    <row r="6452" ht="15.75" customHeight="1" spans="1:7">
      <c r="A6452" s="4" t="s">
        <v>14020</v>
      </c>
      <c r="B6452" s="5" t="s">
        <v>14021</v>
      </c>
      <c r="C6452" s="4" t="s">
        <v>9</v>
      </c>
      <c r="D6452" s="475">
        <v>3202.19</v>
      </c>
      <c r="E6452" s="476">
        <v>0.04367</v>
      </c>
      <c r="F6452" s="6">
        <v>5.6185</v>
      </c>
      <c r="G6452" s="6">
        <v>2.49</v>
      </c>
    </row>
    <row r="6453" ht="15.75" customHeight="1" spans="1:7">
      <c r="A6453" s="4" t="s">
        <v>14022</v>
      </c>
      <c r="B6453" s="5" t="s">
        <v>14023</v>
      </c>
      <c r="C6453" s="4" t="s">
        <v>9</v>
      </c>
      <c r="D6453" s="475">
        <v>2889.46</v>
      </c>
      <c r="E6453" s="476">
        <v>0.04367</v>
      </c>
      <c r="F6453" s="6">
        <v>5.6185</v>
      </c>
      <c r="G6453" s="6">
        <v>2.49</v>
      </c>
    </row>
    <row r="6454" ht="15.75" customHeight="1" spans="1:7">
      <c r="A6454" s="4" t="s">
        <v>14024</v>
      </c>
      <c r="B6454" s="5" t="s">
        <v>14025</v>
      </c>
      <c r="C6454" s="4" t="s">
        <v>9</v>
      </c>
      <c r="D6454" s="475">
        <v>2635.8</v>
      </c>
      <c r="E6454" s="476">
        <v>0.04367</v>
      </c>
      <c r="F6454" s="6">
        <v>5.6185</v>
      </c>
      <c r="G6454" s="6">
        <v>2.49</v>
      </c>
    </row>
    <row r="6455" ht="15.75" customHeight="1" spans="1:7">
      <c r="A6455" s="4" t="s">
        <v>14026</v>
      </c>
      <c r="B6455" s="5" t="s">
        <v>14027</v>
      </c>
      <c r="C6455" s="4" t="s">
        <v>9</v>
      </c>
      <c r="D6455" s="475">
        <v>4966.02</v>
      </c>
      <c r="E6455" s="476">
        <v>0.04367</v>
      </c>
      <c r="F6455" s="6">
        <v>5.6185</v>
      </c>
      <c r="G6455" s="6">
        <v>2.49</v>
      </c>
    </row>
    <row r="6456" ht="30" customHeight="1" spans="1:7">
      <c r="A6456" s="4" t="s">
        <v>14028</v>
      </c>
      <c r="B6456" s="5" t="s">
        <v>14029</v>
      </c>
      <c r="C6456" s="4" t="s">
        <v>9</v>
      </c>
      <c r="D6456" s="475">
        <v>4609.71</v>
      </c>
      <c r="E6456" s="476">
        <v>0.04367</v>
      </c>
      <c r="F6456" s="6">
        <v>5.6185</v>
      </c>
      <c r="G6456" s="6">
        <v>2.49</v>
      </c>
    </row>
    <row r="6457" ht="15.75" customHeight="1" spans="1:7">
      <c r="A6457" s="4" t="s">
        <v>14030</v>
      </c>
      <c r="B6457" s="5" t="s">
        <v>14031</v>
      </c>
      <c r="C6457" s="4" t="s">
        <v>9</v>
      </c>
      <c r="D6457" s="475">
        <v>5605.5</v>
      </c>
      <c r="E6457" s="476">
        <v>0.04367</v>
      </c>
      <c r="F6457" s="6">
        <v>5.6185</v>
      </c>
      <c r="G6457" s="6">
        <v>2.49</v>
      </c>
    </row>
    <row r="6458" ht="30" customHeight="1" spans="1:7">
      <c r="A6458" s="4" t="s">
        <v>14032</v>
      </c>
      <c r="B6458" s="5" t="s">
        <v>14033</v>
      </c>
      <c r="C6458" s="4" t="s">
        <v>9</v>
      </c>
      <c r="D6458" s="475">
        <v>5248.01</v>
      </c>
      <c r="E6458" s="476">
        <v>0.04367</v>
      </c>
      <c r="F6458" s="6">
        <v>5.6185</v>
      </c>
      <c r="G6458" s="6">
        <v>2.49</v>
      </c>
    </row>
    <row r="6459" ht="15.75" customHeight="1" spans="1:7">
      <c r="A6459" s="4" t="s">
        <v>14034</v>
      </c>
      <c r="B6459" s="5" t="s">
        <v>14035</v>
      </c>
      <c r="C6459" s="4" t="s">
        <v>9</v>
      </c>
      <c r="D6459" s="475">
        <v>3578.72</v>
      </c>
      <c r="E6459" s="476">
        <v>0.04367</v>
      </c>
      <c r="F6459" s="6">
        <v>5.6185</v>
      </c>
      <c r="G6459" s="6">
        <v>2.49</v>
      </c>
    </row>
    <row r="6460" ht="15.75" customHeight="1" spans="1:7">
      <c r="A6460" s="4" t="s">
        <v>14036</v>
      </c>
      <c r="B6460" s="5" t="s">
        <v>14037</v>
      </c>
      <c r="C6460" s="4" t="s">
        <v>9</v>
      </c>
      <c r="D6460" s="475">
        <v>3260.92</v>
      </c>
      <c r="E6460" s="476">
        <v>0.04367</v>
      </c>
      <c r="F6460" s="6">
        <v>5.6185</v>
      </c>
      <c r="G6460" s="6">
        <v>2.49</v>
      </c>
    </row>
    <row r="6461" ht="15.75" customHeight="1" spans="1:7">
      <c r="A6461" s="4" t="s">
        <v>14038</v>
      </c>
      <c r="B6461" s="5" t="s">
        <v>14039</v>
      </c>
      <c r="C6461" s="4" t="s">
        <v>9</v>
      </c>
      <c r="D6461" s="475">
        <v>4100.24</v>
      </c>
      <c r="E6461" s="476">
        <v>0.04367</v>
      </c>
      <c r="F6461" s="6">
        <v>5.6185</v>
      </c>
      <c r="G6461" s="6">
        <v>2.49</v>
      </c>
    </row>
    <row r="6462" ht="15.75" customHeight="1" spans="1:7">
      <c r="A6462" s="4" t="s">
        <v>14040</v>
      </c>
      <c r="B6462" s="5" t="s">
        <v>14041</v>
      </c>
      <c r="C6462" s="4" t="s">
        <v>9</v>
      </c>
      <c r="D6462" s="475">
        <v>3800.72</v>
      </c>
      <c r="E6462" s="476">
        <v>0.04367</v>
      </c>
      <c r="F6462" s="6">
        <v>5.6185</v>
      </c>
      <c r="G6462" s="6">
        <v>2.49</v>
      </c>
    </row>
    <row r="6463" ht="15.75" customHeight="1" spans="1:7">
      <c r="A6463" s="4" t="s">
        <v>14042</v>
      </c>
      <c r="B6463" s="5" t="s">
        <v>14043</v>
      </c>
      <c r="C6463" s="4" t="s">
        <v>9</v>
      </c>
      <c r="D6463" s="475">
        <v>4544.62</v>
      </c>
      <c r="E6463" s="476">
        <v>0.04367</v>
      </c>
      <c r="F6463" s="6">
        <v>5.6185</v>
      </c>
      <c r="G6463" s="6">
        <v>2.49</v>
      </c>
    </row>
    <row r="6464" ht="15.75" customHeight="1" spans="1:7">
      <c r="A6464" s="4" t="s">
        <v>14044</v>
      </c>
      <c r="B6464" s="5" t="s">
        <v>14045</v>
      </c>
      <c r="C6464" s="4" t="s">
        <v>9</v>
      </c>
      <c r="D6464" s="475">
        <v>4252.13</v>
      </c>
      <c r="E6464" s="476">
        <v>0.04367</v>
      </c>
      <c r="F6464" s="6">
        <v>5.6185</v>
      </c>
      <c r="G6464" s="6">
        <v>2.49</v>
      </c>
    </row>
    <row r="6465" ht="15.75" customHeight="1" spans="1:7">
      <c r="A6465" s="4" t="s">
        <v>14046</v>
      </c>
      <c r="B6465" s="5" t="s">
        <v>14047</v>
      </c>
      <c r="C6465" s="4" t="s">
        <v>9</v>
      </c>
      <c r="D6465" s="475">
        <v>4434.35</v>
      </c>
      <c r="E6465" s="476">
        <v>0.04367</v>
      </c>
      <c r="F6465" s="6">
        <v>7.0231</v>
      </c>
      <c r="G6465" s="6">
        <v>1.992</v>
      </c>
    </row>
    <row r="6466" ht="15.75" customHeight="1" spans="1:7">
      <c r="A6466" s="4" t="s">
        <v>14048</v>
      </c>
      <c r="B6466" s="5" t="s">
        <v>14049</v>
      </c>
      <c r="C6466" s="4" t="s">
        <v>9</v>
      </c>
      <c r="D6466" s="475">
        <v>4138.88</v>
      </c>
      <c r="E6466" s="476">
        <v>0.04367</v>
      </c>
      <c r="F6466" s="6">
        <v>7.0231</v>
      </c>
      <c r="G6466" s="6">
        <v>1.992</v>
      </c>
    </row>
    <row r="6467" ht="15.75" customHeight="1" spans="1:7">
      <c r="A6467" s="4" t="s">
        <v>14050</v>
      </c>
      <c r="B6467" s="5" t="s">
        <v>14051</v>
      </c>
      <c r="C6467" s="4" t="s">
        <v>9</v>
      </c>
      <c r="D6467" s="475">
        <v>3836.56</v>
      </c>
      <c r="E6467" s="476">
        <v>0.04367</v>
      </c>
      <c r="F6467" s="6">
        <v>7.0231</v>
      </c>
      <c r="G6467" s="6">
        <v>1.992</v>
      </c>
    </row>
    <row r="6468" ht="15.75" customHeight="1" spans="1:7">
      <c r="A6468" s="4" t="s">
        <v>14052</v>
      </c>
      <c r="B6468" s="5" t="s">
        <v>14053</v>
      </c>
      <c r="C6468" s="4" t="s">
        <v>9</v>
      </c>
      <c r="D6468" s="475">
        <v>3541.09</v>
      </c>
      <c r="E6468" s="476">
        <v>0.04367</v>
      </c>
      <c r="F6468" s="6">
        <v>7.0231</v>
      </c>
      <c r="G6468" s="6">
        <v>1.992</v>
      </c>
    </row>
    <row r="6469" ht="15.75" customHeight="1" spans="1:7">
      <c r="A6469" s="4" t="s">
        <v>14054</v>
      </c>
      <c r="B6469" s="5" t="s">
        <v>14055</v>
      </c>
      <c r="C6469" s="4" t="s">
        <v>9</v>
      </c>
      <c r="D6469" s="475">
        <v>6926.63</v>
      </c>
      <c r="E6469" s="476">
        <v>0.04367</v>
      </c>
      <c r="F6469" s="6">
        <v>7.0231</v>
      </c>
      <c r="G6469" s="6">
        <v>1.992</v>
      </c>
    </row>
    <row r="6470" ht="30" customHeight="1" spans="1:7">
      <c r="A6470" s="4" t="s">
        <v>14056</v>
      </c>
      <c r="B6470" s="5" t="s">
        <v>14057</v>
      </c>
      <c r="C6470" s="4" t="s">
        <v>9</v>
      </c>
      <c r="D6470" s="475">
        <v>6507.7</v>
      </c>
      <c r="E6470" s="476">
        <v>0.04367</v>
      </c>
      <c r="F6470" s="6">
        <v>7.0231</v>
      </c>
      <c r="G6470" s="6">
        <v>1.992</v>
      </c>
    </row>
    <row r="6471" ht="15.75" customHeight="1" spans="1:7">
      <c r="A6471" s="4" t="s">
        <v>14058</v>
      </c>
      <c r="B6471" s="5" t="s">
        <v>14059</v>
      </c>
      <c r="C6471" s="4" t="s">
        <v>9</v>
      </c>
      <c r="D6471" s="475">
        <v>7631.56</v>
      </c>
      <c r="E6471" s="476">
        <v>0.04367</v>
      </c>
      <c r="F6471" s="6">
        <v>7.0231</v>
      </c>
      <c r="G6471" s="6">
        <v>1.992</v>
      </c>
    </row>
    <row r="6472" ht="30" customHeight="1" spans="1:7">
      <c r="A6472" s="4" t="s">
        <v>14060</v>
      </c>
      <c r="B6472" s="5" t="s">
        <v>14061</v>
      </c>
      <c r="C6472" s="4" t="s">
        <v>9</v>
      </c>
      <c r="D6472" s="475">
        <v>7211.47</v>
      </c>
      <c r="E6472" s="476">
        <v>0.04367</v>
      </c>
      <c r="F6472" s="6">
        <v>7.0231</v>
      </c>
      <c r="G6472" s="6">
        <v>1.992</v>
      </c>
    </row>
    <row r="6473" ht="15.75" customHeight="1" spans="1:7">
      <c r="A6473" s="4" t="s">
        <v>14062</v>
      </c>
      <c r="B6473" s="5" t="s">
        <v>14063</v>
      </c>
      <c r="C6473" s="4" t="s">
        <v>9</v>
      </c>
      <c r="D6473" s="475">
        <v>4686.14</v>
      </c>
      <c r="E6473" s="476">
        <v>0.04367</v>
      </c>
      <c r="F6473" s="6">
        <v>7.0231</v>
      </c>
      <c r="G6473" s="6">
        <v>1.992</v>
      </c>
    </row>
    <row r="6474" ht="15.75" customHeight="1" spans="1:7">
      <c r="A6474" s="4" t="s">
        <v>14064</v>
      </c>
      <c r="B6474" s="5" t="s">
        <v>14065</v>
      </c>
      <c r="C6474" s="4" t="s">
        <v>9</v>
      </c>
      <c r="D6474" s="475">
        <v>4310.45</v>
      </c>
      <c r="E6474" s="476">
        <v>0.04367</v>
      </c>
      <c r="F6474" s="6">
        <v>7.0231</v>
      </c>
      <c r="G6474" s="6">
        <v>1.992</v>
      </c>
    </row>
    <row r="6475" ht="15.75" customHeight="1" spans="1:7">
      <c r="A6475" s="4" t="s">
        <v>14066</v>
      </c>
      <c r="B6475" s="5" t="s">
        <v>14067</v>
      </c>
      <c r="C6475" s="4" t="s">
        <v>9</v>
      </c>
      <c r="D6475" s="475">
        <v>5625.92</v>
      </c>
      <c r="E6475" s="476">
        <v>0.04367</v>
      </c>
      <c r="F6475" s="6">
        <v>7.0231</v>
      </c>
      <c r="G6475" s="6">
        <v>1.992</v>
      </c>
    </row>
    <row r="6476" ht="15.75" customHeight="1" spans="1:7">
      <c r="A6476" s="4" t="s">
        <v>14068</v>
      </c>
      <c r="B6476" s="5" t="s">
        <v>14069</v>
      </c>
      <c r="C6476" s="4" t="s">
        <v>9</v>
      </c>
      <c r="D6476" s="475">
        <v>5281.41</v>
      </c>
      <c r="E6476" s="476">
        <v>0.04367</v>
      </c>
      <c r="F6476" s="6">
        <v>7.0231</v>
      </c>
      <c r="G6476" s="6">
        <v>1.992</v>
      </c>
    </row>
    <row r="6477" ht="15.75" customHeight="1" spans="1:7">
      <c r="A6477" s="4" t="s">
        <v>14070</v>
      </c>
      <c r="B6477" s="5" t="s">
        <v>14071</v>
      </c>
      <c r="C6477" s="4" t="s">
        <v>9</v>
      </c>
      <c r="D6477" s="475">
        <v>6304.86</v>
      </c>
      <c r="E6477" s="476">
        <v>0.04367</v>
      </c>
      <c r="F6477" s="6">
        <v>7.0231</v>
      </c>
      <c r="G6477" s="6">
        <v>1.992</v>
      </c>
    </row>
    <row r="6478" ht="15.75" customHeight="1" spans="1:7">
      <c r="A6478" s="4" t="s">
        <v>14072</v>
      </c>
      <c r="B6478" s="5" t="s">
        <v>14073</v>
      </c>
      <c r="C6478" s="4" t="s">
        <v>9</v>
      </c>
      <c r="D6478" s="475">
        <v>5885.91</v>
      </c>
      <c r="E6478" s="476">
        <v>0.04367</v>
      </c>
      <c r="F6478" s="6">
        <v>7.0231</v>
      </c>
      <c r="G6478" s="6">
        <v>1.992</v>
      </c>
    </row>
    <row r="6479" ht="15.75" customHeight="1" spans="1:7">
      <c r="A6479" s="4" t="s">
        <v>14074</v>
      </c>
      <c r="B6479" s="5" t="s">
        <v>14075</v>
      </c>
      <c r="C6479" s="4" t="s">
        <v>146</v>
      </c>
      <c r="D6479" s="475">
        <v>211281.81</v>
      </c>
      <c r="E6479" s="476">
        <v>0</v>
      </c>
      <c r="F6479" s="6">
        <v>0</v>
      </c>
      <c r="G6479" s="6">
        <v>1</v>
      </c>
    </row>
    <row r="6480" ht="15.75" customHeight="1" spans="1:7">
      <c r="A6480" s="4" t="s">
        <v>14076</v>
      </c>
      <c r="B6480" s="5" t="s">
        <v>14077</v>
      </c>
      <c r="C6480" s="4" t="s">
        <v>82</v>
      </c>
      <c r="D6480" s="475">
        <v>4267.74</v>
      </c>
      <c r="E6480" s="476">
        <v>0</v>
      </c>
      <c r="F6480" s="6">
        <v>0</v>
      </c>
      <c r="G6480" s="6">
        <v>0.20455</v>
      </c>
    </row>
    <row r="6481" ht="15.75" customHeight="1" spans="1:7">
      <c r="A6481" s="4" t="s">
        <v>14078</v>
      </c>
      <c r="B6481" s="5" t="s">
        <v>14079</v>
      </c>
      <c r="C6481" s="4" t="s">
        <v>82</v>
      </c>
      <c r="D6481" s="475">
        <v>3358.05</v>
      </c>
      <c r="E6481" s="476">
        <v>0</v>
      </c>
      <c r="F6481" s="6">
        <v>0</v>
      </c>
      <c r="G6481" s="6">
        <v>0.20455</v>
      </c>
    </row>
    <row r="6482" ht="15.75" customHeight="1" spans="1:7">
      <c r="A6482" s="4" t="s">
        <v>14080</v>
      </c>
      <c r="B6482" s="5" t="s">
        <v>14081</v>
      </c>
      <c r="C6482" s="4" t="s">
        <v>82</v>
      </c>
      <c r="D6482" s="475">
        <v>1535.82</v>
      </c>
      <c r="E6482" s="476">
        <v>0.03632</v>
      </c>
      <c r="F6482" s="6">
        <v>0.3278</v>
      </c>
      <c r="G6482" s="6">
        <v>6.72897</v>
      </c>
    </row>
    <row r="6483" ht="15.75" customHeight="1" spans="1:7">
      <c r="A6483" s="4" t="s">
        <v>14082</v>
      </c>
      <c r="B6483" s="5" t="s">
        <v>14083</v>
      </c>
      <c r="C6483" s="4" t="s">
        <v>82</v>
      </c>
      <c r="D6483" s="475">
        <v>625.69</v>
      </c>
      <c r="E6483" s="476">
        <v>0.03632</v>
      </c>
      <c r="F6483" s="6">
        <v>0.3125</v>
      </c>
      <c r="G6483" s="6">
        <v>7.05882</v>
      </c>
    </row>
    <row r="6484" ht="15.75" customHeight="1" spans="1:7">
      <c r="A6484" s="4" t="s">
        <v>14084</v>
      </c>
      <c r="B6484" s="5" t="s">
        <v>14085</v>
      </c>
      <c r="C6484" s="4" t="s">
        <v>82</v>
      </c>
      <c r="D6484" s="475">
        <v>1356.61</v>
      </c>
      <c r="E6484" s="476">
        <v>0</v>
      </c>
      <c r="F6484" s="6">
        <v>0</v>
      </c>
      <c r="G6484" s="6">
        <v>7.20544</v>
      </c>
    </row>
    <row r="6485" ht="15.75" customHeight="1" spans="1:7">
      <c r="A6485" s="4" t="s">
        <v>14086</v>
      </c>
      <c r="B6485" s="5" t="s">
        <v>14087</v>
      </c>
      <c r="C6485" s="4" t="s">
        <v>9885</v>
      </c>
      <c r="D6485" s="475">
        <v>9738.76</v>
      </c>
      <c r="E6485" s="476">
        <v>0</v>
      </c>
      <c r="F6485" s="6">
        <v>0</v>
      </c>
      <c r="G6485" s="6">
        <v>2.39341</v>
      </c>
    </row>
    <row r="6486" ht="15.75" customHeight="1" spans="1:7">
      <c r="A6486" s="4" t="s">
        <v>14088</v>
      </c>
      <c r="B6486" s="5" t="s">
        <v>14089</v>
      </c>
      <c r="C6486" s="4" t="s">
        <v>82</v>
      </c>
      <c r="D6486" s="475">
        <v>9798.3</v>
      </c>
      <c r="E6486" s="476">
        <v>0</v>
      </c>
      <c r="F6486" s="6">
        <v>0</v>
      </c>
      <c r="G6486" s="6">
        <v>4.02335</v>
      </c>
    </row>
    <row r="6487" ht="15.75" customHeight="1" spans="1:7">
      <c r="A6487" s="4" t="s">
        <v>14090</v>
      </c>
      <c r="B6487" s="5" t="s">
        <v>14091</v>
      </c>
      <c r="C6487" s="4" t="s">
        <v>82</v>
      </c>
      <c r="D6487" s="475">
        <v>8203.52</v>
      </c>
      <c r="E6487" s="476">
        <v>0</v>
      </c>
      <c r="F6487" s="6">
        <v>0</v>
      </c>
      <c r="G6487" s="6">
        <v>1</v>
      </c>
    </row>
    <row r="6488" ht="15.75" customHeight="1" spans="1:7">
      <c r="A6488" s="4" t="s">
        <v>14092</v>
      </c>
      <c r="B6488" s="5" t="s">
        <v>14093</v>
      </c>
      <c r="C6488" s="4" t="s">
        <v>82</v>
      </c>
      <c r="D6488" s="475">
        <v>8937.7</v>
      </c>
      <c r="E6488" s="476">
        <v>0</v>
      </c>
      <c r="F6488" s="6">
        <v>0</v>
      </c>
      <c r="G6488" s="6">
        <v>1</v>
      </c>
    </row>
    <row r="6489" ht="15.75" customHeight="1" spans="1:7">
      <c r="A6489" s="4" t="s">
        <v>14094</v>
      </c>
      <c r="B6489" s="5" t="s">
        <v>14095</v>
      </c>
      <c r="C6489" s="4" t="s">
        <v>82</v>
      </c>
      <c r="D6489" s="475">
        <v>14430.02</v>
      </c>
      <c r="E6489" s="476">
        <v>0</v>
      </c>
      <c r="F6489" s="6">
        <v>0</v>
      </c>
      <c r="G6489" s="6">
        <v>1</v>
      </c>
    </row>
    <row r="6490" ht="15.75" customHeight="1" spans="1:7">
      <c r="A6490" s="4" t="s">
        <v>14096</v>
      </c>
      <c r="B6490" s="5" t="s">
        <v>14097</v>
      </c>
      <c r="C6490" s="4" t="s">
        <v>82</v>
      </c>
      <c r="D6490" s="475">
        <v>23036.72</v>
      </c>
      <c r="E6490" s="476">
        <v>0</v>
      </c>
      <c r="F6490" s="6">
        <v>0</v>
      </c>
      <c r="G6490" s="6">
        <v>1</v>
      </c>
    </row>
    <row r="6491" ht="15.75" customHeight="1" spans="1:7">
      <c r="A6491" s="4" t="s">
        <v>14098</v>
      </c>
      <c r="B6491" s="5" t="s">
        <v>14099</v>
      </c>
      <c r="C6491" s="4" t="s">
        <v>82</v>
      </c>
      <c r="D6491" s="475">
        <v>29348.53</v>
      </c>
      <c r="E6491" s="476">
        <v>0</v>
      </c>
      <c r="F6491" s="6">
        <v>0</v>
      </c>
      <c r="G6491" s="6">
        <v>1</v>
      </c>
    </row>
    <row r="6492" ht="15.75" customHeight="1" spans="1:7">
      <c r="A6492" s="4" t="s">
        <v>14100</v>
      </c>
      <c r="B6492" s="5" t="s">
        <v>14101</v>
      </c>
      <c r="C6492" s="4" t="s">
        <v>82</v>
      </c>
      <c r="D6492" s="475">
        <v>9117.98</v>
      </c>
      <c r="E6492" s="476">
        <v>0</v>
      </c>
      <c r="F6492" s="6">
        <v>0</v>
      </c>
      <c r="G6492" s="6">
        <v>1</v>
      </c>
    </row>
    <row r="6493" ht="15.75" customHeight="1" spans="1:7">
      <c r="A6493" s="4" t="s">
        <v>14102</v>
      </c>
      <c r="B6493" s="5" t="s">
        <v>14103</v>
      </c>
      <c r="C6493" s="4" t="s">
        <v>82</v>
      </c>
      <c r="D6493" s="475">
        <v>17519.24</v>
      </c>
      <c r="E6493" s="476">
        <v>0</v>
      </c>
      <c r="F6493" s="6">
        <v>0</v>
      </c>
      <c r="G6493" s="6">
        <v>1</v>
      </c>
    </row>
    <row r="6494" ht="15.75" customHeight="1" spans="1:7">
      <c r="A6494" s="4" t="s">
        <v>14104</v>
      </c>
      <c r="B6494" s="5" t="s">
        <v>14105</v>
      </c>
      <c r="C6494" s="4" t="s">
        <v>82</v>
      </c>
      <c r="D6494" s="475">
        <v>20914.07</v>
      </c>
      <c r="E6494" s="476">
        <v>0</v>
      </c>
      <c r="F6494" s="6">
        <v>0</v>
      </c>
      <c r="G6494" s="6">
        <v>1</v>
      </c>
    </row>
    <row r="6495" ht="15.75" customHeight="1" spans="1:7">
      <c r="A6495" s="4" t="s">
        <v>14106</v>
      </c>
      <c r="B6495" s="5" t="s">
        <v>14107</v>
      </c>
      <c r="C6495" s="4" t="s">
        <v>82</v>
      </c>
      <c r="D6495" s="475">
        <v>28977.9</v>
      </c>
      <c r="E6495" s="476">
        <v>0</v>
      </c>
      <c r="F6495" s="6">
        <v>0</v>
      </c>
      <c r="G6495" s="6">
        <v>1</v>
      </c>
    </row>
    <row r="6496" ht="15.75" customHeight="1" spans="1:7">
      <c r="A6496" s="4" t="s">
        <v>14108</v>
      </c>
      <c r="B6496" s="5" t="s">
        <v>14109</v>
      </c>
      <c r="C6496" s="4" t="s">
        <v>82</v>
      </c>
      <c r="D6496" s="475">
        <v>31855.52</v>
      </c>
      <c r="E6496" s="476">
        <v>0</v>
      </c>
      <c r="F6496" s="6">
        <v>0</v>
      </c>
      <c r="G6496" s="6">
        <v>1</v>
      </c>
    </row>
    <row r="6497" ht="15.75" customHeight="1" spans="1:7">
      <c r="A6497" s="4" t="s">
        <v>14110</v>
      </c>
      <c r="B6497" s="5" t="s">
        <v>14111</v>
      </c>
      <c r="C6497" s="4" t="s">
        <v>82</v>
      </c>
      <c r="D6497" s="475">
        <v>40479.87</v>
      </c>
      <c r="E6497" s="476">
        <v>0</v>
      </c>
      <c r="F6497" s="6">
        <v>0</v>
      </c>
      <c r="G6497" s="6">
        <v>1</v>
      </c>
    </row>
    <row r="6498" ht="15.75" customHeight="1" spans="1:7">
      <c r="A6498" s="4" t="s">
        <v>14112</v>
      </c>
      <c r="B6498" s="5" t="s">
        <v>14113</v>
      </c>
      <c r="C6498" s="4" t="s">
        <v>82</v>
      </c>
      <c r="D6498" s="475">
        <v>4782.22</v>
      </c>
      <c r="E6498" s="476">
        <v>0</v>
      </c>
      <c r="F6498" s="6">
        <v>0</v>
      </c>
      <c r="G6498" s="6">
        <v>1</v>
      </c>
    </row>
    <row r="6499" ht="15.75" customHeight="1" spans="1:7">
      <c r="A6499" s="4" t="s">
        <v>14114</v>
      </c>
      <c r="B6499" s="5" t="s">
        <v>14115</v>
      </c>
      <c r="C6499" s="4" t="s">
        <v>82</v>
      </c>
      <c r="D6499" s="475">
        <v>9845.24</v>
      </c>
      <c r="E6499" s="476">
        <v>0</v>
      </c>
      <c r="F6499" s="6">
        <v>0</v>
      </c>
      <c r="G6499" s="6">
        <v>1</v>
      </c>
    </row>
    <row r="6500" ht="15.75" customHeight="1" spans="1:7">
      <c r="A6500" s="4" t="s">
        <v>14116</v>
      </c>
      <c r="B6500" s="5" t="s">
        <v>14117</v>
      </c>
      <c r="C6500" s="4" t="s">
        <v>82</v>
      </c>
      <c r="D6500" s="475">
        <v>18836.71</v>
      </c>
      <c r="E6500" s="476">
        <v>0</v>
      </c>
      <c r="F6500" s="6">
        <v>0</v>
      </c>
      <c r="G6500" s="6">
        <v>1</v>
      </c>
    </row>
    <row r="6501" ht="15.75" customHeight="1" spans="1:7">
      <c r="A6501" s="4" t="s">
        <v>14118</v>
      </c>
      <c r="B6501" s="5" t="s">
        <v>14119</v>
      </c>
      <c r="C6501" s="4" t="s">
        <v>82</v>
      </c>
      <c r="D6501" s="475">
        <v>22484.19</v>
      </c>
      <c r="E6501" s="476">
        <v>0</v>
      </c>
      <c r="F6501" s="6">
        <v>0</v>
      </c>
      <c r="G6501" s="6">
        <v>1</v>
      </c>
    </row>
    <row r="6502" ht="15.75" customHeight="1" spans="1:7">
      <c r="A6502" s="4" t="s">
        <v>14120</v>
      </c>
      <c r="B6502" s="5" t="s">
        <v>14121</v>
      </c>
      <c r="C6502" s="4" t="s">
        <v>82</v>
      </c>
      <c r="D6502" s="475">
        <v>31128.23</v>
      </c>
      <c r="E6502" s="476">
        <v>0</v>
      </c>
      <c r="F6502" s="6">
        <v>0</v>
      </c>
      <c r="G6502" s="6">
        <v>1</v>
      </c>
    </row>
    <row r="6503" ht="15.75" customHeight="1" spans="1:7">
      <c r="A6503" s="4" t="s">
        <v>14122</v>
      </c>
      <c r="B6503" s="5" t="s">
        <v>14123</v>
      </c>
      <c r="C6503" s="4" t="s">
        <v>82</v>
      </c>
      <c r="D6503" s="475">
        <v>34212.4</v>
      </c>
      <c r="E6503" s="476">
        <v>0</v>
      </c>
      <c r="F6503" s="6">
        <v>0</v>
      </c>
      <c r="G6503" s="6">
        <v>1</v>
      </c>
    </row>
    <row r="6504" ht="15.75" customHeight="1" spans="1:7">
      <c r="A6504" s="4" t="s">
        <v>14124</v>
      </c>
      <c r="B6504" s="5" t="s">
        <v>14125</v>
      </c>
      <c r="C6504" s="4" t="s">
        <v>82</v>
      </c>
      <c r="D6504" s="475">
        <v>43459.57</v>
      </c>
      <c r="E6504" s="476">
        <v>0</v>
      </c>
      <c r="F6504" s="6">
        <v>0</v>
      </c>
      <c r="G6504" s="6">
        <v>1</v>
      </c>
    </row>
    <row r="6505" ht="15.75" customHeight="1" spans="1:7">
      <c r="A6505" s="4" t="s">
        <v>14126</v>
      </c>
      <c r="B6505" s="5" t="s">
        <v>14127</v>
      </c>
      <c r="C6505" s="4" t="s">
        <v>82</v>
      </c>
      <c r="D6505" s="475">
        <v>5160.14</v>
      </c>
      <c r="E6505" s="476">
        <v>0</v>
      </c>
      <c r="F6505" s="6">
        <v>0</v>
      </c>
      <c r="G6505" s="6">
        <v>1</v>
      </c>
    </row>
    <row r="6506" ht="15.75" customHeight="1" spans="1:7">
      <c r="A6506" s="4" t="s">
        <v>14128</v>
      </c>
      <c r="B6506" s="5" t="s">
        <v>14129</v>
      </c>
      <c r="C6506" s="4" t="s">
        <v>82</v>
      </c>
      <c r="D6506" s="475">
        <v>732.16</v>
      </c>
      <c r="E6506" s="476">
        <v>0</v>
      </c>
      <c r="F6506" s="6">
        <v>0</v>
      </c>
      <c r="G6506" s="6">
        <v>1.72618</v>
      </c>
    </row>
    <row r="6507" ht="30" customHeight="1" spans="1:7">
      <c r="A6507" s="4" t="s">
        <v>14130</v>
      </c>
      <c r="B6507" s="5" t="s">
        <v>14131</v>
      </c>
      <c r="C6507" s="4" t="s">
        <v>82</v>
      </c>
      <c r="D6507" s="475">
        <v>26889.74</v>
      </c>
      <c r="E6507" s="476">
        <v>0.03632</v>
      </c>
      <c r="F6507" s="6">
        <v>7.9157</v>
      </c>
      <c r="G6507" s="6">
        <v>0.76923</v>
      </c>
    </row>
    <row r="6508" ht="30" customHeight="1" spans="1:7">
      <c r="A6508" s="4" t="s">
        <v>14132</v>
      </c>
      <c r="B6508" s="5" t="s">
        <v>14133</v>
      </c>
      <c r="C6508" s="4" t="s">
        <v>82</v>
      </c>
      <c r="D6508" s="475">
        <v>37757.68</v>
      </c>
      <c r="E6508" s="476">
        <v>0.03632</v>
      </c>
      <c r="F6508" s="6">
        <v>11.4838</v>
      </c>
      <c r="G6508" s="6">
        <v>0.5618</v>
      </c>
    </row>
    <row r="6509" ht="30" customHeight="1" spans="1:7">
      <c r="A6509" s="4" t="s">
        <v>14134</v>
      </c>
      <c r="B6509" s="5" t="s">
        <v>14135</v>
      </c>
      <c r="C6509" s="4" t="s">
        <v>82</v>
      </c>
      <c r="D6509" s="475">
        <v>58007.09</v>
      </c>
      <c r="E6509" s="476">
        <v>0.03632</v>
      </c>
      <c r="F6509" s="6">
        <v>19.3551</v>
      </c>
      <c r="G6509" s="6">
        <v>0.33333</v>
      </c>
    </row>
    <row r="6510" ht="30" customHeight="1" spans="1:7">
      <c r="A6510" s="4" t="s">
        <v>14136</v>
      </c>
      <c r="B6510" s="5" t="s">
        <v>14137</v>
      </c>
      <c r="C6510" s="4" t="s">
        <v>82</v>
      </c>
      <c r="D6510" s="475">
        <v>19774.42</v>
      </c>
      <c r="E6510" s="476">
        <v>0.03632</v>
      </c>
      <c r="F6510" s="6">
        <v>6.089</v>
      </c>
      <c r="G6510" s="6">
        <v>1</v>
      </c>
    </row>
    <row r="6511" ht="15.75" customHeight="1" spans="1:7">
      <c r="A6511" s="4" t="s">
        <v>14138</v>
      </c>
      <c r="B6511" s="5" t="s">
        <v>14139</v>
      </c>
      <c r="C6511" s="4" t="s">
        <v>82</v>
      </c>
      <c r="D6511" s="475">
        <v>222959.75</v>
      </c>
      <c r="E6511" s="476">
        <v>0</v>
      </c>
      <c r="F6511" s="6">
        <v>0</v>
      </c>
      <c r="G6511" s="6">
        <v>1</v>
      </c>
    </row>
    <row r="6512" ht="15.75" customHeight="1" spans="1:7">
      <c r="A6512" s="4" t="s">
        <v>14140</v>
      </c>
      <c r="B6512" s="5" t="s">
        <v>14141</v>
      </c>
      <c r="C6512" s="4" t="s">
        <v>82</v>
      </c>
      <c r="D6512" s="475">
        <v>359102.97</v>
      </c>
      <c r="E6512" s="476">
        <v>0</v>
      </c>
      <c r="F6512" s="6">
        <v>0</v>
      </c>
      <c r="G6512" s="6">
        <v>1</v>
      </c>
    </row>
    <row r="6513" ht="15.75" customHeight="1" spans="1:7">
      <c r="A6513" s="4" t="s">
        <v>14142</v>
      </c>
      <c r="B6513" s="5" t="s">
        <v>14143</v>
      </c>
      <c r="C6513" s="4" t="s">
        <v>82</v>
      </c>
      <c r="D6513" s="475">
        <v>56547.59</v>
      </c>
      <c r="E6513" s="476">
        <v>0.03632</v>
      </c>
      <c r="F6513" s="6">
        <v>808.2573</v>
      </c>
      <c r="G6513" s="6">
        <v>0.02727</v>
      </c>
    </row>
    <row r="6514" ht="15.75" customHeight="1" spans="1:7">
      <c r="A6514" s="4" t="s">
        <v>14144</v>
      </c>
      <c r="B6514" s="5" t="s">
        <v>14145</v>
      </c>
      <c r="C6514" s="4" t="s">
        <v>82</v>
      </c>
      <c r="D6514" s="475">
        <v>133015.87</v>
      </c>
      <c r="E6514" s="476">
        <v>0.03632</v>
      </c>
      <c r="F6514" s="6">
        <v>1977.1301</v>
      </c>
      <c r="G6514" s="6">
        <v>0.01364</v>
      </c>
    </row>
    <row r="6515" ht="15.75" customHeight="1" spans="1:7">
      <c r="A6515" s="4" t="s">
        <v>14146</v>
      </c>
      <c r="B6515" s="5" t="s">
        <v>14147</v>
      </c>
      <c r="C6515" s="4" t="s">
        <v>82</v>
      </c>
      <c r="D6515" s="475">
        <v>2552.12</v>
      </c>
      <c r="E6515" s="476">
        <v>0.03632</v>
      </c>
      <c r="F6515" s="6">
        <v>11.0151</v>
      </c>
      <c r="G6515" s="6">
        <v>0.76615</v>
      </c>
    </row>
    <row r="6516" ht="15.75" customHeight="1" spans="1:7">
      <c r="A6516" s="4" t="s">
        <v>14148</v>
      </c>
      <c r="B6516" s="5" t="s">
        <v>14149</v>
      </c>
      <c r="C6516" s="4" t="s">
        <v>9885</v>
      </c>
      <c r="D6516" s="475">
        <v>1110.4</v>
      </c>
      <c r="E6516" s="476">
        <v>0.03632</v>
      </c>
      <c r="F6516" s="6">
        <v>0.654</v>
      </c>
      <c r="G6516" s="6">
        <v>40.28</v>
      </c>
    </row>
    <row r="6517" ht="15.75" customHeight="1" spans="1:7">
      <c r="A6517" s="4" t="s">
        <v>14150</v>
      </c>
      <c r="B6517" s="5" t="s">
        <v>14151</v>
      </c>
      <c r="C6517" s="4" t="s">
        <v>9885</v>
      </c>
      <c r="D6517" s="475">
        <v>697.78</v>
      </c>
      <c r="E6517" s="476">
        <v>0.03632</v>
      </c>
      <c r="F6517" s="6">
        <v>1.5184</v>
      </c>
      <c r="G6517" s="6">
        <v>17.35</v>
      </c>
    </row>
    <row r="6518" ht="15.75" customHeight="1" spans="1:7">
      <c r="A6518" s="4" t="s">
        <v>14152</v>
      </c>
      <c r="B6518" s="5" t="s">
        <v>14153</v>
      </c>
      <c r="C6518" s="4" t="s">
        <v>82</v>
      </c>
      <c r="D6518" s="475">
        <v>918.8</v>
      </c>
      <c r="E6518" s="476">
        <v>0</v>
      </c>
      <c r="F6518" s="6">
        <v>0</v>
      </c>
      <c r="G6518" s="6">
        <v>1</v>
      </c>
    </row>
    <row r="6519" ht="15.75" customHeight="1" spans="1:7">
      <c r="A6519" s="4" t="s">
        <v>14154</v>
      </c>
      <c r="B6519" s="5" t="s">
        <v>14155</v>
      </c>
      <c r="C6519" s="4" t="s">
        <v>7</v>
      </c>
      <c r="D6519" s="475">
        <v>48.79</v>
      </c>
      <c r="E6519" s="476">
        <v>0</v>
      </c>
      <c r="F6519" s="6">
        <v>0</v>
      </c>
      <c r="G6519" s="6">
        <v>1</v>
      </c>
    </row>
    <row r="6520" ht="15.75" customHeight="1" spans="1:7">
      <c r="A6520" s="4" t="s">
        <v>14156</v>
      </c>
      <c r="B6520" s="5" t="s">
        <v>14157</v>
      </c>
      <c r="C6520" s="4" t="s">
        <v>7</v>
      </c>
      <c r="D6520" s="475">
        <v>49.2</v>
      </c>
      <c r="E6520" s="476">
        <v>0</v>
      </c>
      <c r="F6520" s="6">
        <v>0</v>
      </c>
      <c r="G6520" s="6">
        <v>1</v>
      </c>
    </row>
    <row r="6521" ht="15.75" customHeight="1" spans="1:7">
      <c r="A6521" s="4" t="s">
        <v>14158</v>
      </c>
      <c r="B6521" s="5" t="s">
        <v>14159</v>
      </c>
      <c r="C6521" s="4" t="s">
        <v>7</v>
      </c>
      <c r="D6521" s="475">
        <v>54.15</v>
      </c>
      <c r="E6521" s="476">
        <v>0</v>
      </c>
      <c r="F6521" s="6">
        <v>0</v>
      </c>
      <c r="G6521" s="6">
        <v>1</v>
      </c>
    </row>
    <row r="6522" ht="15.75" customHeight="1" spans="1:7">
      <c r="A6522" s="4" t="s">
        <v>14160</v>
      </c>
      <c r="B6522" s="5" t="s">
        <v>14161</v>
      </c>
      <c r="C6522" s="4" t="s">
        <v>7</v>
      </c>
      <c r="D6522" s="475">
        <v>131.23</v>
      </c>
      <c r="E6522" s="476">
        <v>0</v>
      </c>
      <c r="F6522" s="6">
        <v>0</v>
      </c>
      <c r="G6522" s="6">
        <v>1</v>
      </c>
    </row>
    <row r="6523" ht="15.75" customHeight="1" spans="1:7">
      <c r="A6523" s="4" t="s">
        <v>14162</v>
      </c>
      <c r="B6523" s="5" t="s">
        <v>14163</v>
      </c>
      <c r="C6523" s="4" t="s">
        <v>82</v>
      </c>
      <c r="D6523" s="475">
        <v>323320.99</v>
      </c>
      <c r="E6523" s="476">
        <v>0</v>
      </c>
      <c r="F6523" s="6">
        <v>0</v>
      </c>
      <c r="G6523" s="6">
        <v>1</v>
      </c>
    </row>
    <row r="6524" ht="15.75" customHeight="1" spans="1:7">
      <c r="A6524" s="4" t="s">
        <v>14164</v>
      </c>
      <c r="B6524" s="5" t="s">
        <v>14165</v>
      </c>
      <c r="C6524" s="4" t="s">
        <v>9885</v>
      </c>
      <c r="D6524" s="475">
        <v>1689.74</v>
      </c>
      <c r="E6524" s="476">
        <v>0</v>
      </c>
      <c r="F6524" s="6">
        <v>0</v>
      </c>
      <c r="G6524" s="6">
        <v>1</v>
      </c>
    </row>
    <row r="6525" ht="15.75" customHeight="1" spans="1:7">
      <c r="A6525" s="4" t="s">
        <v>14166</v>
      </c>
      <c r="B6525" s="5" t="s">
        <v>14167</v>
      </c>
      <c r="C6525" s="4" t="s">
        <v>7</v>
      </c>
      <c r="D6525" s="475">
        <v>114.68</v>
      </c>
      <c r="E6525" s="476">
        <v>0</v>
      </c>
      <c r="F6525" s="6">
        <v>0</v>
      </c>
      <c r="G6525" s="6">
        <v>1</v>
      </c>
    </row>
    <row r="6526" ht="15.75" customHeight="1" spans="1:7">
      <c r="A6526" s="4" t="s">
        <v>14168</v>
      </c>
      <c r="B6526" s="5" t="s">
        <v>14169</v>
      </c>
      <c r="C6526" s="4" t="s">
        <v>7</v>
      </c>
      <c r="D6526" s="475">
        <v>183.38</v>
      </c>
      <c r="E6526" s="476">
        <v>0</v>
      </c>
      <c r="F6526" s="6">
        <v>0</v>
      </c>
      <c r="G6526" s="6">
        <v>1</v>
      </c>
    </row>
  </sheetData>
  <pageMargins left="0.511811024" right="0.511811024" top="0.787401575" bottom="0.787401575" header="0.31496062" footer="0.31496062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70C0"/>
  </sheetPr>
  <dimension ref="A3:O1967"/>
  <sheetViews>
    <sheetView showGridLines="0" view="pageBreakPreview" zoomScaleNormal="100" workbookViewId="0">
      <selection activeCell="A1" sqref="A1"/>
    </sheetView>
  </sheetViews>
  <sheetFormatPr defaultColWidth="8.88571428571429" defaultRowHeight="15"/>
  <cols>
    <col min="1" max="1" width="22.552380952381" customWidth="1"/>
    <col min="2" max="2" width="8.33333333333333" customWidth="1"/>
    <col min="3" max="3" width="70.4380952380952" customWidth="1"/>
    <col min="4" max="4" width="14" customWidth="1"/>
    <col min="5" max="5" width="17.1047619047619" customWidth="1"/>
    <col min="6" max="6" width="19.552380952381" customWidth="1"/>
    <col min="7" max="8" width="12.6666666666667" customWidth="1"/>
    <col min="9" max="9" width="13.8857142857143" customWidth="1"/>
    <col min="10" max="10" width="13" customWidth="1"/>
    <col min="11" max="11" width="9.1047619047619" customWidth="1"/>
    <col min="12" max="12" width="18.552380952381" style="395" customWidth="1"/>
    <col min="14" max="14" width="12" style="395" customWidth="1"/>
    <col min="15" max="15" width="8.88571428571429" style="395"/>
  </cols>
  <sheetData>
    <row r="3" ht="15.75"/>
    <row r="4" ht="14.4" customHeight="1" spans="1:12">
      <c r="A4" s="366" t="s">
        <v>17</v>
      </c>
      <c r="B4" s="367" t="s">
        <v>18</v>
      </c>
      <c r="C4" s="368"/>
      <c r="D4" s="368"/>
      <c r="E4" s="369"/>
      <c r="F4" s="369"/>
      <c r="G4" s="369"/>
      <c r="H4" s="369"/>
      <c r="I4" s="369"/>
      <c r="J4" s="369"/>
      <c r="K4" s="369"/>
      <c r="L4" s="467"/>
    </row>
    <row r="5" spans="1:12">
      <c r="A5" s="371" t="s">
        <v>2</v>
      </c>
      <c r="B5" s="372" t="s">
        <v>19</v>
      </c>
      <c r="C5" s="372"/>
      <c r="D5" s="372"/>
      <c r="E5" s="373"/>
      <c r="F5" s="373"/>
      <c r="G5" s="373"/>
      <c r="H5" s="373"/>
      <c r="I5" s="373"/>
      <c r="J5" s="373"/>
      <c r="K5" s="373"/>
      <c r="L5" s="468"/>
    </row>
    <row r="6" spans="1:12">
      <c r="A6" s="371" t="s">
        <v>3</v>
      </c>
      <c r="B6" s="372" t="s">
        <v>20</v>
      </c>
      <c r="C6" s="372"/>
      <c r="D6" s="373"/>
      <c r="E6" s="373"/>
      <c r="F6" s="373"/>
      <c r="G6" s="373"/>
      <c r="H6" s="373"/>
      <c r="I6" s="373"/>
      <c r="J6" s="372"/>
      <c r="K6" s="372"/>
      <c r="L6" s="468"/>
    </row>
    <row r="7" spans="1:12">
      <c r="A7" s="371" t="s">
        <v>4</v>
      </c>
      <c r="B7" s="372" t="s">
        <v>21</v>
      </c>
      <c r="C7" s="372"/>
      <c r="D7" s="373"/>
      <c r="E7" s="373"/>
      <c r="F7" s="373"/>
      <c r="G7" s="373"/>
      <c r="H7" s="373"/>
      <c r="I7" s="373"/>
      <c r="J7" s="372"/>
      <c r="K7" s="372"/>
      <c r="L7" s="468"/>
    </row>
    <row r="8" spans="1:12">
      <c r="A8" s="371" t="s">
        <v>22</v>
      </c>
      <c r="B8" s="372" t="s">
        <v>23</v>
      </c>
      <c r="C8" s="372"/>
      <c r="D8" s="373"/>
      <c r="E8" s="29"/>
      <c r="F8" s="29"/>
      <c r="G8" s="29"/>
      <c r="H8" s="29"/>
      <c r="I8" s="29"/>
      <c r="J8" s="375" t="s">
        <v>6</v>
      </c>
      <c r="K8" s="376">
        <v>90</v>
      </c>
      <c r="L8" s="469" t="s">
        <v>7</v>
      </c>
    </row>
    <row r="9" spans="1:12">
      <c r="A9" s="371" t="s">
        <v>8</v>
      </c>
      <c r="B9" s="378">
        <v>15</v>
      </c>
      <c r="C9" s="379" t="s">
        <v>9</v>
      </c>
      <c r="D9" s="29"/>
      <c r="E9" s="29"/>
      <c r="F9" s="29"/>
      <c r="G9" s="29"/>
      <c r="H9" s="29"/>
      <c r="I9" s="29"/>
      <c r="J9" s="380"/>
      <c r="L9" s="469"/>
    </row>
    <row r="10" spans="1:12">
      <c r="A10" s="371" t="s">
        <v>10</v>
      </c>
      <c r="B10" s="378">
        <v>6</v>
      </c>
      <c r="C10" s="379" t="s">
        <v>9</v>
      </c>
      <c r="D10" s="29"/>
      <c r="E10" s="29"/>
      <c r="F10" s="29"/>
      <c r="G10" s="29"/>
      <c r="H10" s="29"/>
      <c r="I10" s="29"/>
      <c r="J10" s="380"/>
      <c r="K10" s="381"/>
      <c r="L10" s="469"/>
    </row>
    <row r="11" ht="14.4" customHeight="1" spans="1:12">
      <c r="A11" s="371" t="s">
        <v>11</v>
      </c>
      <c r="B11" s="372" t="s">
        <v>14170</v>
      </c>
      <c r="C11" s="382"/>
      <c r="D11" s="382"/>
      <c r="E11" s="29"/>
      <c r="F11" s="29"/>
      <c r="G11" s="29"/>
      <c r="H11" s="29"/>
      <c r="I11" s="29"/>
      <c r="J11" s="383" t="s">
        <v>14</v>
      </c>
      <c r="K11" s="384">
        <v>120</v>
      </c>
      <c r="L11" s="469" t="s">
        <v>15</v>
      </c>
    </row>
    <row r="12" customHeight="1" spans="1:12">
      <c r="A12" s="385" t="s">
        <v>16</v>
      </c>
      <c r="B12" s="386" t="s">
        <v>14171</v>
      </c>
      <c r="C12" s="387"/>
      <c r="D12" s="387"/>
      <c r="E12" s="388"/>
      <c r="F12" s="388"/>
      <c r="G12" s="388"/>
      <c r="H12" s="388"/>
      <c r="I12" s="388"/>
      <c r="J12" s="388"/>
      <c r="K12" s="389"/>
      <c r="L12" s="470"/>
    </row>
    <row r="14" spans="1:12">
      <c r="A14" s="391" t="s">
        <v>14172</v>
      </c>
      <c r="B14" s="392"/>
      <c r="C14" s="392"/>
      <c r="D14" s="392"/>
      <c r="E14" s="392"/>
      <c r="F14" s="392"/>
      <c r="G14" s="393"/>
      <c r="H14" s="393"/>
      <c r="I14" s="393"/>
      <c r="J14" s="393"/>
      <c r="K14" s="393"/>
      <c r="L14" s="471"/>
    </row>
    <row r="15" spans="1:12">
      <c r="A15" s="396">
        <v>103689</v>
      </c>
      <c r="B15" s="397" t="s">
        <v>86</v>
      </c>
      <c r="C15" s="397"/>
      <c r="D15" s="397"/>
      <c r="E15" s="397"/>
      <c r="F15" s="397"/>
      <c r="G15" s="397"/>
      <c r="H15" s="397" t="s">
        <v>7</v>
      </c>
      <c r="I15" s="398">
        <v>46023</v>
      </c>
      <c r="J15" s="397"/>
      <c r="K15" s="399" t="s">
        <v>14173</v>
      </c>
      <c r="L15" s="400">
        <v>0</v>
      </c>
    </row>
    <row r="16" spans="1:12">
      <c r="A16" s="401"/>
      <c r="H16" s="402" t="s">
        <v>14174</v>
      </c>
      <c r="I16" s="438">
        <v>1</v>
      </c>
      <c r="J16" s="404" t="s">
        <v>7</v>
      </c>
      <c r="K16" s="402" t="s">
        <v>14175</v>
      </c>
      <c r="L16" s="346">
        <v>0</v>
      </c>
    </row>
    <row r="17" hidden="1" spans="1:14">
      <c r="A17" s="405"/>
      <c r="B17" s="405"/>
      <c r="C17" s="405"/>
      <c r="D17" s="406"/>
      <c r="E17" s="406"/>
      <c r="F17" s="406"/>
      <c r="G17" s="407" t="s">
        <v>14176</v>
      </c>
      <c r="H17" s="408"/>
      <c r="I17" s="407" t="s">
        <v>14177</v>
      </c>
      <c r="J17" s="408"/>
      <c r="K17" s="405"/>
      <c r="L17" s="409" t="s">
        <v>14178</v>
      </c>
    </row>
    <row r="18" hidden="1" spans="1:14">
      <c r="A18" s="410" t="s">
        <v>14179</v>
      </c>
      <c r="B18" s="411"/>
      <c r="C18" s="412"/>
      <c r="D18" s="412"/>
      <c r="E18" s="413" t="s">
        <v>74</v>
      </c>
      <c r="F18" s="412"/>
      <c r="G18" s="413" t="s">
        <v>14180</v>
      </c>
      <c r="H18" s="413" t="s">
        <v>14181</v>
      </c>
      <c r="I18" s="413" t="s">
        <v>14182</v>
      </c>
      <c r="J18" s="413" t="s">
        <v>14183</v>
      </c>
      <c r="K18" s="411"/>
      <c r="L18" s="414" t="s">
        <v>14184</v>
      </c>
    </row>
    <row r="19" hidden="1" spans="1:14">
      <c r="A19" s="404">
        <v>0</v>
      </c>
      <c r="B19" s="415" t="e">
        <v>#N/A</v>
      </c>
      <c r="C19" s="415"/>
      <c r="E19" s="416">
        <v>0</v>
      </c>
      <c r="F19" s="334"/>
      <c r="G19" s="346">
        <v>0</v>
      </c>
      <c r="H19" s="417">
        <v>1</v>
      </c>
      <c r="I19" s="395" t="e">
        <v>#N/A</v>
      </c>
      <c r="J19" s="418" t="e">
        <v>#N/A</v>
      </c>
      <c r="K19" s="402"/>
      <c r="L19" s="395" t="s">
        <v>932</v>
      </c>
      <c r="N19" s="395" t="s">
        <v>932</v>
      </c>
    </row>
    <row r="20" hidden="1" spans="1:14">
      <c r="A20" s="404">
        <v>0</v>
      </c>
      <c r="B20" s="404" t="e">
        <v>#N/A</v>
      </c>
      <c r="C20" s="404"/>
      <c r="D20" s="334"/>
      <c r="E20" s="416">
        <v>0</v>
      </c>
      <c r="F20" s="334"/>
      <c r="G20" s="346">
        <v>0</v>
      </c>
      <c r="H20" s="417">
        <v>1</v>
      </c>
      <c r="I20" s="346" t="e">
        <v>#N/A</v>
      </c>
      <c r="J20" s="419" t="e">
        <v>#N/A</v>
      </c>
      <c r="K20" s="420"/>
      <c r="L20" s="395" t="s">
        <v>932</v>
      </c>
      <c r="N20" s="395" t="s">
        <v>932</v>
      </c>
    </row>
    <row r="21" hidden="1" spans="1:14">
      <c r="A21" s="404">
        <v>0</v>
      </c>
      <c r="B21" s="404" t="e">
        <v>#N/A</v>
      </c>
      <c r="C21" s="404"/>
      <c r="D21" s="334"/>
      <c r="E21" s="416">
        <v>0</v>
      </c>
      <c r="F21" s="334"/>
      <c r="G21" s="346">
        <v>0</v>
      </c>
      <c r="H21" s="417">
        <v>1</v>
      </c>
      <c r="I21" s="346" t="e">
        <v>#N/A</v>
      </c>
      <c r="J21" s="419" t="e">
        <v>#N/A</v>
      </c>
      <c r="K21" s="420"/>
      <c r="L21" s="395" t="s">
        <v>932</v>
      </c>
      <c r="N21" s="395" t="s">
        <v>932</v>
      </c>
    </row>
    <row r="22" hidden="1" spans="1:14">
      <c r="A22" s="404">
        <v>0</v>
      </c>
      <c r="B22" s="404" t="e">
        <v>#N/A</v>
      </c>
      <c r="C22" s="404"/>
      <c r="D22" s="334"/>
      <c r="E22" s="416">
        <v>0</v>
      </c>
      <c r="F22" s="334"/>
      <c r="G22" s="346">
        <v>0</v>
      </c>
      <c r="H22" s="417">
        <v>1</v>
      </c>
      <c r="I22" s="346" t="e">
        <v>#N/A</v>
      </c>
      <c r="J22" s="419" t="e">
        <v>#N/A</v>
      </c>
      <c r="K22" s="420"/>
      <c r="L22" s="395" t="s">
        <v>932</v>
      </c>
      <c r="N22" s="395" t="s">
        <v>932</v>
      </c>
    </row>
    <row r="23" hidden="1" spans="1:14">
      <c r="A23" s="404">
        <v>0</v>
      </c>
      <c r="B23" s="404" t="e">
        <v>#N/A</v>
      </c>
      <c r="C23" s="404"/>
      <c r="D23" s="334"/>
      <c r="E23" s="416">
        <v>0</v>
      </c>
      <c r="F23" s="334"/>
      <c r="G23" s="346">
        <v>0</v>
      </c>
      <c r="H23" s="417">
        <v>1</v>
      </c>
      <c r="I23" s="346" t="e">
        <v>#N/A</v>
      </c>
      <c r="J23" s="419" t="e">
        <v>#N/A</v>
      </c>
      <c r="K23" s="420"/>
      <c r="L23" s="395" t="s">
        <v>932</v>
      </c>
      <c r="N23" s="395" t="s">
        <v>932</v>
      </c>
    </row>
    <row r="24" hidden="1" spans="1:14">
      <c r="A24" s="404">
        <v>0</v>
      </c>
      <c r="B24" s="404" t="e">
        <v>#N/A</v>
      </c>
      <c r="C24" s="404"/>
      <c r="D24" s="334"/>
      <c r="E24" s="416">
        <v>0</v>
      </c>
      <c r="F24" s="334"/>
      <c r="G24" s="346">
        <v>0</v>
      </c>
      <c r="H24" s="417">
        <v>1</v>
      </c>
      <c r="I24" s="346" t="e">
        <v>#N/A</v>
      </c>
      <c r="J24" s="419" t="e">
        <v>#N/A</v>
      </c>
      <c r="K24" s="420"/>
      <c r="L24" s="395" t="s">
        <v>932</v>
      </c>
      <c r="N24" s="395" t="s">
        <v>932</v>
      </c>
    </row>
    <row r="25" hidden="1" spans="1:14">
      <c r="A25" s="404">
        <v>0</v>
      </c>
      <c r="B25" s="404" t="e">
        <v>#N/A</v>
      </c>
      <c r="C25" s="404"/>
      <c r="D25" s="334"/>
      <c r="E25" s="416">
        <v>0</v>
      </c>
      <c r="F25" s="334"/>
      <c r="G25" s="346">
        <v>0</v>
      </c>
      <c r="H25" s="417">
        <v>1</v>
      </c>
      <c r="I25" s="346" t="e">
        <v>#N/A</v>
      </c>
      <c r="J25" s="419" t="e">
        <v>#N/A</v>
      </c>
      <c r="K25" s="420"/>
      <c r="L25" s="395" t="s">
        <v>932</v>
      </c>
      <c r="N25" s="395" t="s">
        <v>932</v>
      </c>
    </row>
    <row r="26" hidden="1" spans="1:14">
      <c r="A26" s="404">
        <v>0</v>
      </c>
      <c r="B26" s="404" t="e">
        <v>#N/A</v>
      </c>
      <c r="C26" s="404"/>
      <c r="D26" s="334"/>
      <c r="E26" s="416">
        <v>0</v>
      </c>
      <c r="F26" s="334"/>
      <c r="G26" s="346">
        <v>0</v>
      </c>
      <c r="H26" s="417">
        <v>1</v>
      </c>
      <c r="I26" s="346" t="e">
        <v>#N/A</v>
      </c>
      <c r="J26" s="419" t="e">
        <v>#N/A</v>
      </c>
      <c r="K26" s="420"/>
      <c r="L26" s="395" t="s">
        <v>932</v>
      </c>
      <c r="N26" s="395" t="s">
        <v>932</v>
      </c>
    </row>
    <row r="27" hidden="1" spans="1:14">
      <c r="A27" s="421"/>
      <c r="B27" s="422"/>
      <c r="C27" s="422"/>
      <c r="D27" s="422"/>
      <c r="E27" s="423"/>
      <c r="F27" s="424"/>
      <c r="G27" s="422"/>
      <c r="H27" s="422"/>
      <c r="I27" s="422"/>
      <c r="J27" s="422"/>
      <c r="K27" s="425" t="s">
        <v>14185</v>
      </c>
      <c r="L27" s="426">
        <v>0</v>
      </c>
      <c r="N27" s="427">
        <v>0</v>
      </c>
    </row>
    <row r="28" spans="1:14">
      <c r="A28" s="428" t="s">
        <v>14186</v>
      </c>
      <c r="B28" s="429"/>
      <c r="C28" s="429"/>
      <c r="D28" s="430"/>
      <c r="E28" s="431" t="s">
        <v>74</v>
      </c>
      <c r="F28" s="431" t="s">
        <v>1123</v>
      </c>
      <c r="G28" s="430"/>
      <c r="H28" s="422"/>
      <c r="I28" s="431" t="s">
        <v>14177</v>
      </c>
      <c r="J28" s="430"/>
      <c r="K28" s="430"/>
      <c r="L28" s="432" t="s">
        <v>14187</v>
      </c>
    </row>
    <row r="29" spans="1:14">
      <c r="A29" s="404" t="s">
        <v>930</v>
      </c>
      <c r="B29" s="433" t="s">
        <v>931</v>
      </c>
      <c r="C29" s="433"/>
      <c r="D29" s="334"/>
      <c r="E29" s="434">
        <v>1.1186</v>
      </c>
      <c r="F29" s="333" t="s">
        <v>104</v>
      </c>
      <c r="G29" s="334"/>
      <c r="H29" s="334"/>
      <c r="I29" s="435">
        <v>22.76</v>
      </c>
      <c r="J29" s="334"/>
      <c r="K29" s="334"/>
      <c r="L29" s="346">
        <v>25.459336</v>
      </c>
      <c r="N29" s="395">
        <v>25.459336</v>
      </c>
    </row>
    <row r="30" spans="1:14">
      <c r="A30" s="404" t="s">
        <v>933</v>
      </c>
      <c r="B30" s="404" t="s">
        <v>934</v>
      </c>
      <c r="C30" s="404"/>
      <c r="D30" s="334"/>
      <c r="E30" s="434">
        <v>0.3729</v>
      </c>
      <c r="F30" s="333" t="s">
        <v>104</v>
      </c>
      <c r="G30" s="334"/>
      <c r="H30" s="334"/>
      <c r="I30" s="435">
        <v>27.74</v>
      </c>
      <c r="J30" s="334"/>
      <c r="K30" s="334"/>
      <c r="L30" s="346">
        <v>10.344246</v>
      </c>
      <c r="N30" s="395">
        <v>10.344246</v>
      </c>
    </row>
    <row r="31" hidden="1" spans="1:14">
      <c r="A31" s="404">
        <v>0</v>
      </c>
      <c r="B31" s="404" t="e">
        <v>#N/A</v>
      </c>
      <c r="C31" s="404"/>
      <c r="D31" s="334"/>
      <c r="E31" s="434">
        <v>0</v>
      </c>
      <c r="F31" s="333" t="s">
        <v>104</v>
      </c>
      <c r="G31" s="334"/>
      <c r="H31" s="334"/>
      <c r="I31" s="435" t="e">
        <v>#N/A</v>
      </c>
      <c r="J31" s="334"/>
      <c r="K31" s="334"/>
      <c r="L31" s="346" t="s">
        <v>932</v>
      </c>
      <c r="N31" s="395" t="s">
        <v>932</v>
      </c>
    </row>
    <row r="32" hidden="1" spans="1:14">
      <c r="A32" s="404">
        <v>0</v>
      </c>
      <c r="B32" s="404" t="e">
        <v>#N/A</v>
      </c>
      <c r="C32" s="404"/>
      <c r="D32" s="334"/>
      <c r="E32" s="434">
        <v>0</v>
      </c>
      <c r="F32" s="333" t="s">
        <v>104</v>
      </c>
      <c r="G32" s="334"/>
      <c r="H32" s="334"/>
      <c r="I32" s="435" t="e">
        <v>#N/A</v>
      </c>
      <c r="J32" s="334"/>
      <c r="K32" s="334"/>
      <c r="L32" s="346" t="s">
        <v>932</v>
      </c>
      <c r="N32" s="395" t="s">
        <v>932</v>
      </c>
    </row>
    <row r="33" hidden="1" spans="1:15">
      <c r="A33" s="404">
        <v>0</v>
      </c>
      <c r="B33" s="404" t="e">
        <v>#N/A</v>
      </c>
      <c r="C33" s="404"/>
      <c r="D33" s="334"/>
      <c r="E33" s="434">
        <v>0</v>
      </c>
      <c r="F33" s="333" t="s">
        <v>104</v>
      </c>
      <c r="G33" s="334"/>
      <c r="H33" s="334"/>
      <c r="I33" s="435" t="e">
        <v>#N/A</v>
      </c>
      <c r="J33" s="334"/>
      <c r="K33" s="334"/>
      <c r="L33" s="346" t="s">
        <v>932</v>
      </c>
      <c r="N33" s="395" t="s">
        <v>932</v>
      </c>
    </row>
    <row r="34" hidden="1" spans="1:15">
      <c r="A34" s="404">
        <v>0</v>
      </c>
      <c r="B34" s="404" t="e">
        <v>#N/A</v>
      </c>
      <c r="C34" s="404"/>
      <c r="D34" s="334"/>
      <c r="E34" s="434">
        <v>0</v>
      </c>
      <c r="F34" s="333" t="s">
        <v>104</v>
      </c>
      <c r="G34" s="334"/>
      <c r="H34" s="334"/>
      <c r="I34" s="435" t="e">
        <v>#N/A</v>
      </c>
      <c r="J34" s="334"/>
      <c r="K34" s="334"/>
      <c r="L34" s="346" t="s">
        <v>932</v>
      </c>
      <c r="N34" s="395" t="s">
        <v>932</v>
      </c>
    </row>
    <row r="35" hidden="1" spans="1:15">
      <c r="A35" s="404">
        <v>0</v>
      </c>
      <c r="B35" s="404" t="e">
        <v>#N/A</v>
      </c>
      <c r="C35" s="404"/>
      <c r="D35" s="334"/>
      <c r="E35" s="434">
        <v>0</v>
      </c>
      <c r="F35" s="333" t="s">
        <v>104</v>
      </c>
      <c r="G35" s="334"/>
      <c r="H35" s="334"/>
      <c r="I35" s="435" t="e">
        <v>#N/A</v>
      </c>
      <c r="J35" s="334"/>
      <c r="K35" s="334"/>
      <c r="L35" s="346" t="s">
        <v>932</v>
      </c>
      <c r="N35" s="395" t="s">
        <v>932</v>
      </c>
    </row>
    <row r="36" hidden="1" spans="1:15">
      <c r="A36" s="404">
        <v>0</v>
      </c>
      <c r="B36" s="436" t="e">
        <v>#N/A</v>
      </c>
      <c r="C36" s="436"/>
      <c r="D36" s="334"/>
      <c r="E36" s="434">
        <v>0</v>
      </c>
      <c r="F36" s="333" t="s">
        <v>104</v>
      </c>
      <c r="G36" s="334"/>
      <c r="H36" s="334"/>
      <c r="I36" s="435" t="e">
        <v>#N/A</v>
      </c>
      <c r="J36" s="334"/>
      <c r="K36" s="334"/>
      <c r="L36" s="346" t="s">
        <v>932</v>
      </c>
      <c r="N36" s="395" t="s">
        <v>932</v>
      </c>
    </row>
    <row r="37" spans="1:15">
      <c r="A37" s="421"/>
      <c r="B37" s="62"/>
      <c r="C37" s="62"/>
      <c r="D37" s="422"/>
      <c r="E37" s="423"/>
      <c r="F37" s="424"/>
      <c r="G37" s="422"/>
      <c r="H37" s="422"/>
      <c r="I37" s="422"/>
      <c r="J37" s="422"/>
      <c r="K37" s="425" t="s">
        <v>14188</v>
      </c>
      <c r="L37" s="426">
        <v>35.803582</v>
      </c>
      <c r="N37" s="427">
        <v>35.803582</v>
      </c>
    </row>
    <row r="38" spans="1:15">
      <c r="I38" s="437"/>
      <c r="K38" s="383" t="s">
        <v>14189</v>
      </c>
      <c r="L38" s="427">
        <v>35.803582</v>
      </c>
      <c r="N38" s="395">
        <v>35.803582</v>
      </c>
    </row>
    <row r="39" spans="1:15">
      <c r="K39" s="383" t="s">
        <v>14190</v>
      </c>
      <c r="L39" s="427">
        <v>35.803582</v>
      </c>
      <c r="N39" s="395">
        <v>35.803582</v>
      </c>
      <c r="O39" s="395">
        <v>0</v>
      </c>
    </row>
    <row r="40" spans="1:15">
      <c r="K40" s="383" t="s">
        <v>14191</v>
      </c>
      <c r="L40" s="427">
        <v>0</v>
      </c>
    </row>
    <row r="41" spans="1:15">
      <c r="K41" s="383" t="s">
        <v>14192</v>
      </c>
      <c r="L41" s="395">
        <v>0</v>
      </c>
    </row>
    <row r="42" spans="1:15">
      <c r="A42" s="428" t="s">
        <v>14193</v>
      </c>
      <c r="B42" s="430"/>
      <c r="C42" s="430"/>
      <c r="D42" s="430"/>
      <c r="E42" s="431" t="s">
        <v>74</v>
      </c>
      <c r="F42" s="431" t="s">
        <v>1123</v>
      </c>
      <c r="G42" s="430"/>
      <c r="H42" s="430"/>
      <c r="I42" s="425" t="s">
        <v>75</v>
      </c>
      <c r="J42" s="430"/>
      <c r="K42" s="430"/>
      <c r="L42" s="426" t="s">
        <v>14194</v>
      </c>
    </row>
    <row r="43" spans="1:15">
      <c r="A43" s="404" t="s">
        <v>14195</v>
      </c>
      <c r="B43" s="433" t="s">
        <v>14196</v>
      </c>
      <c r="C43" s="433"/>
      <c r="D43" s="334"/>
      <c r="E43" s="434">
        <v>0.0132</v>
      </c>
      <c r="F43" s="333" t="s">
        <v>101</v>
      </c>
      <c r="G43" s="334"/>
      <c r="I43" s="395">
        <v>20.74</v>
      </c>
      <c r="J43" s="395"/>
      <c r="K43" s="395"/>
      <c r="L43" s="346">
        <v>0.273768</v>
      </c>
    </row>
    <row r="44" spans="1:15">
      <c r="A44" s="404" t="s">
        <v>14197</v>
      </c>
      <c r="B44" s="404" t="s">
        <v>14198</v>
      </c>
      <c r="C44" s="404"/>
      <c r="D44" s="334"/>
      <c r="E44" s="434">
        <v>0.0113</v>
      </c>
      <c r="F44" s="333" t="s">
        <v>101</v>
      </c>
      <c r="G44" s="334"/>
      <c r="I44" s="395">
        <v>38.7</v>
      </c>
      <c r="J44" s="395"/>
      <c r="K44" s="395"/>
      <c r="L44" s="346">
        <v>0.43731</v>
      </c>
    </row>
    <row r="45" spans="1:15">
      <c r="A45" s="404" t="s">
        <v>14199</v>
      </c>
      <c r="B45" s="404" t="s">
        <v>14200</v>
      </c>
      <c r="C45" s="404"/>
      <c r="D45" s="334"/>
      <c r="E45" s="434">
        <v>1</v>
      </c>
      <c r="F45" s="333" t="s">
        <v>7</v>
      </c>
      <c r="G45" s="334"/>
      <c r="I45" s="395">
        <v>399.26</v>
      </c>
      <c r="J45" s="395"/>
      <c r="K45" s="395"/>
      <c r="L45" s="346">
        <v>399.26</v>
      </c>
    </row>
    <row r="46" spans="1:15">
      <c r="A46" s="404" t="s">
        <v>14201</v>
      </c>
      <c r="B46" s="404" t="s">
        <v>14202</v>
      </c>
      <c r="C46" s="404"/>
      <c r="D46" s="334"/>
      <c r="E46" s="434">
        <v>3.2083</v>
      </c>
      <c r="F46" s="333" t="s">
        <v>9</v>
      </c>
      <c r="G46" s="334"/>
      <c r="I46" s="395">
        <v>3.67</v>
      </c>
      <c r="J46" s="395"/>
      <c r="K46" s="395"/>
      <c r="L46" s="346">
        <v>11.774461</v>
      </c>
    </row>
    <row r="47" hidden="1" spans="1:15">
      <c r="A47" s="404">
        <v>0</v>
      </c>
      <c r="B47" s="404" t="e">
        <v>#N/A</v>
      </c>
      <c r="C47" s="404"/>
      <c r="D47" s="334"/>
      <c r="E47" s="434">
        <v>0</v>
      </c>
      <c r="F47" s="333" t="e">
        <v>#N/A</v>
      </c>
      <c r="G47" s="334"/>
      <c r="H47" s="334"/>
      <c r="I47" s="395" t="e">
        <v>#N/A</v>
      </c>
      <c r="J47" s="395"/>
      <c r="K47" s="395"/>
      <c r="L47" s="346" t="s">
        <v>932</v>
      </c>
    </row>
    <row r="48" hidden="1" spans="1:15">
      <c r="A48" s="404">
        <v>0</v>
      </c>
      <c r="B48" s="404" t="e">
        <v>#N/A</v>
      </c>
      <c r="C48" s="404"/>
      <c r="D48" s="334"/>
      <c r="E48" s="434">
        <v>0</v>
      </c>
      <c r="F48" s="333" t="e">
        <v>#N/A</v>
      </c>
      <c r="G48" s="334"/>
      <c r="H48" s="334"/>
      <c r="I48" s="395" t="e">
        <v>#N/A</v>
      </c>
      <c r="J48" s="395"/>
      <c r="K48" s="395"/>
      <c r="L48" s="346" t="s">
        <v>932</v>
      </c>
    </row>
    <row r="49" hidden="1" spans="1:12">
      <c r="A49" s="404">
        <v>0</v>
      </c>
      <c r="B49" s="404" t="e">
        <v>#N/A</v>
      </c>
      <c r="C49" s="404"/>
      <c r="D49" s="334"/>
      <c r="E49" s="434">
        <v>0</v>
      </c>
      <c r="F49" s="333" t="e">
        <v>#N/A</v>
      </c>
      <c r="G49" s="334"/>
      <c r="H49" s="334"/>
      <c r="I49" s="395" t="e">
        <v>#N/A</v>
      </c>
      <c r="J49" s="395"/>
      <c r="K49" s="395"/>
      <c r="L49" s="346" t="s">
        <v>932</v>
      </c>
    </row>
    <row r="50" hidden="1" spans="1:12">
      <c r="A50" s="404">
        <v>0</v>
      </c>
      <c r="B50" s="404" t="e">
        <v>#N/A</v>
      </c>
      <c r="C50" s="404"/>
      <c r="D50" s="438"/>
      <c r="E50" s="434">
        <v>0</v>
      </c>
      <c r="F50" s="333" t="e">
        <v>#N/A</v>
      </c>
      <c r="G50" s="334"/>
      <c r="H50" s="334"/>
      <c r="I50" s="395" t="e">
        <v>#N/A</v>
      </c>
      <c r="J50" s="395"/>
      <c r="K50" s="395"/>
      <c r="L50" s="346" t="s">
        <v>932</v>
      </c>
    </row>
    <row r="51" spans="1:12">
      <c r="A51" s="421"/>
      <c r="B51" s="422"/>
      <c r="C51" s="422"/>
      <c r="D51" s="422"/>
      <c r="E51" s="423"/>
      <c r="F51" s="424"/>
      <c r="G51" s="422"/>
      <c r="H51" s="422"/>
      <c r="I51" s="430"/>
      <c r="J51" s="430"/>
      <c r="K51" s="425" t="s">
        <v>14203</v>
      </c>
      <c r="L51" s="426">
        <v>411.745539</v>
      </c>
    </row>
    <row r="52" spans="1:12">
      <c r="A52" s="428" t="s">
        <v>14204</v>
      </c>
      <c r="B52" s="430"/>
      <c r="C52" s="430"/>
      <c r="D52" s="430"/>
      <c r="E52" s="431" t="s">
        <v>74</v>
      </c>
      <c r="F52" s="431" t="s">
        <v>1123</v>
      </c>
      <c r="G52" s="430"/>
      <c r="H52" s="430"/>
      <c r="I52" s="425" t="s">
        <v>75</v>
      </c>
      <c r="J52" s="430"/>
      <c r="K52" s="430"/>
      <c r="L52" s="426" t="s">
        <v>14194</v>
      </c>
    </row>
    <row r="53" spans="1:12">
      <c r="A53" s="404">
        <v>102234</v>
      </c>
      <c r="B53" s="334" t="s">
        <v>14205</v>
      </c>
      <c r="C53" s="334"/>
      <c r="D53" s="334"/>
      <c r="E53" s="434">
        <v>0.5</v>
      </c>
      <c r="F53" s="333" t="s">
        <v>7</v>
      </c>
      <c r="G53" s="439"/>
      <c r="I53" s="346">
        <v>22.42</v>
      </c>
      <c r="L53" s="346">
        <v>11.21</v>
      </c>
    </row>
    <row r="54" hidden="1" spans="1:12">
      <c r="A54" s="401">
        <v>0</v>
      </c>
      <c r="B54" s="334" t="e">
        <v>#N/A</v>
      </c>
      <c r="E54" s="440">
        <v>0</v>
      </c>
      <c r="F54" s="333" t="e">
        <v>#N/A</v>
      </c>
      <c r="G54" s="439"/>
      <c r="I54" s="346" t="e">
        <v>#N/A</v>
      </c>
      <c r="L54" s="346" t="s">
        <v>932</v>
      </c>
    </row>
    <row r="55" hidden="1" spans="1:12">
      <c r="A55" s="401">
        <v>0</v>
      </c>
      <c r="B55" s="334" t="e">
        <v>#N/A</v>
      </c>
      <c r="E55" s="440">
        <v>0</v>
      </c>
      <c r="F55" s="333" t="e">
        <v>#N/A</v>
      </c>
      <c r="G55" s="439"/>
      <c r="I55" s="346" t="e">
        <v>#N/A</v>
      </c>
      <c r="L55" s="346" t="s">
        <v>932</v>
      </c>
    </row>
    <row r="56" hidden="1" spans="1:12">
      <c r="A56" s="401">
        <v>0</v>
      </c>
      <c r="B56" s="334" t="e">
        <v>#N/A</v>
      </c>
      <c r="E56" s="440">
        <v>0</v>
      </c>
      <c r="F56" s="333" t="e">
        <v>#N/A</v>
      </c>
      <c r="G56" s="439"/>
      <c r="I56" s="346" t="e">
        <v>#N/A</v>
      </c>
      <c r="L56" s="346" t="s">
        <v>932</v>
      </c>
    </row>
    <row r="57" hidden="1" spans="1:12">
      <c r="A57" s="401">
        <v>0</v>
      </c>
      <c r="B57" s="334" t="e">
        <v>#N/A</v>
      </c>
      <c r="E57" s="440">
        <v>0</v>
      </c>
      <c r="F57" s="333" t="e">
        <v>#N/A</v>
      </c>
      <c r="G57" s="439"/>
      <c r="I57" s="346" t="e">
        <v>#N/A</v>
      </c>
      <c r="L57" s="346" t="s">
        <v>932</v>
      </c>
    </row>
    <row r="58" hidden="1" spans="1:12">
      <c r="A58" s="401">
        <v>0</v>
      </c>
      <c r="B58" s="334" t="e">
        <v>#N/A</v>
      </c>
      <c r="E58" s="440">
        <v>0</v>
      </c>
      <c r="F58" s="333" t="e">
        <v>#N/A</v>
      </c>
      <c r="G58" s="439"/>
      <c r="I58" s="346" t="e">
        <v>#N/A</v>
      </c>
      <c r="L58" s="346" t="s">
        <v>932</v>
      </c>
    </row>
    <row r="59" spans="1:12">
      <c r="A59" s="421"/>
      <c r="B59" s="422"/>
      <c r="C59" s="422"/>
      <c r="D59" s="422"/>
      <c r="E59" s="422"/>
      <c r="F59" s="422"/>
      <c r="G59" s="422"/>
      <c r="H59" s="422"/>
      <c r="I59" s="430"/>
      <c r="J59" s="430"/>
      <c r="K59" s="425" t="s">
        <v>14206</v>
      </c>
      <c r="L59" s="426">
        <v>11.21</v>
      </c>
    </row>
    <row r="60" spans="1:12">
      <c r="A60" s="421"/>
      <c r="B60" s="422"/>
      <c r="C60" s="422"/>
      <c r="D60" s="422"/>
      <c r="E60" s="422"/>
      <c r="F60" s="422"/>
      <c r="G60" s="422"/>
      <c r="H60" s="422"/>
      <c r="I60" s="430"/>
      <c r="J60" s="430"/>
      <c r="K60" s="425" t="s">
        <v>14207</v>
      </c>
      <c r="L60" s="426">
        <v>458.759121</v>
      </c>
    </row>
    <row r="61" hidden="1" spans="1:12">
      <c r="A61" s="428" t="s">
        <v>14208</v>
      </c>
      <c r="B61" s="430"/>
      <c r="C61" s="430"/>
      <c r="D61" s="431" t="s">
        <v>55</v>
      </c>
      <c r="E61" s="431" t="s">
        <v>74</v>
      </c>
      <c r="F61" s="431" t="s">
        <v>1123</v>
      </c>
      <c r="G61" s="430"/>
      <c r="H61" s="430"/>
      <c r="I61" s="425" t="s">
        <v>75</v>
      </c>
      <c r="J61" s="430"/>
      <c r="K61" s="430"/>
      <c r="L61" s="426" t="s">
        <v>14194</v>
      </c>
    </row>
    <row r="62" hidden="1" spans="1:12">
      <c r="A62" s="404" t="s">
        <v>14195</v>
      </c>
      <c r="B62" s="441" t="s">
        <v>14196</v>
      </c>
      <c r="C62" s="441"/>
      <c r="D62" s="442">
        <v>0</v>
      </c>
      <c r="E62" s="434">
        <v>0</v>
      </c>
      <c r="F62" s="333" t="s">
        <v>9885</v>
      </c>
      <c r="G62" s="443" t="s">
        <v>14209</v>
      </c>
      <c r="H62" s="334"/>
      <c r="I62" s="346">
        <v>0</v>
      </c>
      <c r="J62" s="334"/>
      <c r="K62" s="346"/>
      <c r="L62" s="346" t="s">
        <v>932</v>
      </c>
    </row>
    <row r="63" hidden="1" spans="1:12">
      <c r="A63" s="404" t="s">
        <v>14197</v>
      </c>
      <c r="B63" s="334" t="s">
        <v>14198</v>
      </c>
      <c r="C63" s="334"/>
      <c r="D63" s="442">
        <v>0</v>
      </c>
      <c r="E63" s="434">
        <v>0</v>
      </c>
      <c r="F63" s="333" t="s">
        <v>9885</v>
      </c>
      <c r="G63" s="334"/>
      <c r="H63" s="334"/>
      <c r="I63" s="346">
        <v>0</v>
      </c>
      <c r="J63" s="334"/>
      <c r="K63" s="346"/>
      <c r="L63" s="346" t="s">
        <v>932</v>
      </c>
    </row>
    <row r="64" hidden="1" spans="1:12">
      <c r="A64" s="404" t="s">
        <v>14199</v>
      </c>
      <c r="B64" s="334" t="s">
        <v>14200</v>
      </c>
      <c r="C64" s="334"/>
      <c r="D64" s="442">
        <v>0</v>
      </c>
      <c r="E64" s="434">
        <v>0</v>
      </c>
      <c r="F64" s="333" t="s">
        <v>9885</v>
      </c>
      <c r="G64" s="334"/>
      <c r="H64" s="334"/>
      <c r="I64" s="346">
        <v>0</v>
      </c>
      <c r="J64" s="334"/>
      <c r="K64" s="346"/>
      <c r="L64" s="346" t="s">
        <v>932</v>
      </c>
    </row>
    <row r="65" hidden="1" spans="1:12">
      <c r="A65" s="404" t="s">
        <v>14201</v>
      </c>
      <c r="B65" s="334" t="s">
        <v>14202</v>
      </c>
      <c r="C65" s="334"/>
      <c r="D65" s="442">
        <v>0</v>
      </c>
      <c r="E65" s="434">
        <v>0</v>
      </c>
      <c r="F65" s="333" t="s">
        <v>9885</v>
      </c>
      <c r="G65" s="334"/>
      <c r="H65" s="334"/>
      <c r="I65" s="346">
        <v>0</v>
      </c>
      <c r="J65" s="334"/>
      <c r="K65" s="346"/>
      <c r="L65" s="346" t="s">
        <v>932</v>
      </c>
    </row>
    <row r="66" hidden="1" spans="1:12">
      <c r="A66" s="404">
        <v>0</v>
      </c>
      <c r="B66" s="334" t="e">
        <v>#N/A</v>
      </c>
      <c r="C66" s="334"/>
      <c r="D66" s="442">
        <v>0</v>
      </c>
      <c r="E66" s="434">
        <v>0</v>
      </c>
      <c r="F66" s="333" t="s">
        <v>9885</v>
      </c>
      <c r="G66" s="334"/>
      <c r="H66" s="334"/>
      <c r="I66" s="346">
        <v>0</v>
      </c>
      <c r="J66" s="334"/>
      <c r="K66" s="346"/>
      <c r="L66" s="346" t="s">
        <v>932</v>
      </c>
    </row>
    <row r="67" hidden="1" spans="1:12">
      <c r="A67" s="404">
        <v>0</v>
      </c>
      <c r="B67" s="334" t="e">
        <v>#N/A</v>
      </c>
      <c r="C67" s="334"/>
      <c r="D67" s="442">
        <v>0</v>
      </c>
      <c r="E67" s="434">
        <v>0</v>
      </c>
      <c r="F67" s="333" t="s">
        <v>9885</v>
      </c>
      <c r="G67" s="334"/>
      <c r="H67" s="334"/>
      <c r="I67" s="346">
        <v>0</v>
      </c>
      <c r="J67" s="334"/>
      <c r="K67" s="346"/>
      <c r="L67" s="346" t="s">
        <v>932</v>
      </c>
    </row>
    <row r="68" hidden="1" spans="1:12">
      <c r="A68" s="404">
        <v>0</v>
      </c>
      <c r="B68" s="334" t="e">
        <v>#N/A</v>
      </c>
      <c r="C68" s="334"/>
      <c r="D68" s="442">
        <v>0</v>
      </c>
      <c r="E68" s="434">
        <v>0</v>
      </c>
      <c r="F68" s="333" t="s">
        <v>9885</v>
      </c>
      <c r="G68" s="334"/>
      <c r="H68" s="334"/>
      <c r="I68" s="346">
        <v>0</v>
      </c>
      <c r="J68" s="334"/>
      <c r="K68" s="346"/>
      <c r="L68" s="346" t="s">
        <v>932</v>
      </c>
    </row>
    <row r="69" hidden="1" spans="1:12">
      <c r="A69" s="404">
        <v>0</v>
      </c>
      <c r="B69" s="444" t="e">
        <v>#N/A</v>
      </c>
      <c r="C69" s="444"/>
      <c r="D69" s="442">
        <v>0</v>
      </c>
      <c r="E69" s="434">
        <v>0</v>
      </c>
      <c r="F69" s="333" t="s">
        <v>9885</v>
      </c>
      <c r="G69" s="334"/>
      <c r="H69" s="334"/>
      <c r="I69" s="346">
        <v>0</v>
      </c>
      <c r="J69" s="334"/>
      <c r="K69" s="346"/>
      <c r="L69" s="346" t="s">
        <v>932</v>
      </c>
    </row>
    <row r="70" hidden="1" spans="1:12">
      <c r="A70" s="428"/>
      <c r="B70" s="445"/>
      <c r="C70" s="445"/>
      <c r="D70" s="430"/>
      <c r="E70" s="430"/>
      <c r="F70" s="430"/>
      <c r="G70" s="430"/>
      <c r="H70" s="430"/>
      <c r="I70" s="430"/>
      <c r="J70" s="430"/>
      <c r="K70" s="425" t="s">
        <v>14210</v>
      </c>
      <c r="L70" s="426">
        <v>0</v>
      </c>
    </row>
    <row r="71" hidden="1" spans="1:12">
      <c r="A71" s="446" t="s">
        <v>14211</v>
      </c>
      <c r="B71" s="445"/>
      <c r="C71" s="445"/>
      <c r="D71" s="447" t="s">
        <v>55</v>
      </c>
      <c r="E71" s="445" t="s">
        <v>74</v>
      </c>
      <c r="F71" s="447" t="s">
        <v>1123</v>
      </c>
      <c r="G71" s="445"/>
      <c r="H71" s="447" t="s">
        <v>72</v>
      </c>
      <c r="I71" s="447" t="s">
        <v>75</v>
      </c>
      <c r="J71" s="445"/>
      <c r="K71" s="448"/>
      <c r="L71" s="449" t="s">
        <v>14194</v>
      </c>
    </row>
    <row r="72" hidden="1" spans="1:12">
      <c r="A72" s="404" t="s">
        <v>14195</v>
      </c>
      <c r="B72" s="433" t="s">
        <v>14196</v>
      </c>
      <c r="C72" s="433"/>
      <c r="D72" s="442">
        <v>0</v>
      </c>
      <c r="E72" s="450">
        <v>0</v>
      </c>
      <c r="F72" s="333" t="s">
        <v>13063</v>
      </c>
      <c r="G72" s="333" t="s">
        <v>14212</v>
      </c>
      <c r="H72" s="346">
        <v>0</v>
      </c>
      <c r="I72" s="346">
        <v>0</v>
      </c>
      <c r="J72" s="346"/>
      <c r="K72" s="334"/>
      <c r="L72" s="346" t="s">
        <v>932</v>
      </c>
    </row>
    <row r="73" hidden="1" spans="1:12">
      <c r="A73" s="404"/>
      <c r="B73" s="404"/>
      <c r="C73" s="334"/>
      <c r="D73" s="442">
        <v>0</v>
      </c>
      <c r="E73" s="450">
        <v>0</v>
      </c>
      <c r="F73" s="333" t="s">
        <v>13063</v>
      </c>
      <c r="G73" s="333" t="s">
        <v>14213</v>
      </c>
      <c r="H73" s="346">
        <v>0</v>
      </c>
      <c r="I73" s="346">
        <v>0</v>
      </c>
      <c r="J73" s="346"/>
      <c r="K73" s="334"/>
      <c r="L73" s="346" t="s">
        <v>932</v>
      </c>
    </row>
    <row r="74" hidden="1" spans="1:12">
      <c r="A74" s="404"/>
      <c r="B74" s="404"/>
      <c r="C74" s="334"/>
      <c r="D74" s="442">
        <v>0</v>
      </c>
      <c r="E74" s="450">
        <v>0</v>
      </c>
      <c r="F74" s="333" t="s">
        <v>13063</v>
      </c>
      <c r="G74" s="333" t="s">
        <v>14214</v>
      </c>
      <c r="H74" s="346">
        <v>0</v>
      </c>
      <c r="I74" s="346">
        <v>0</v>
      </c>
      <c r="J74" s="346"/>
      <c r="K74" s="334"/>
      <c r="L74" s="346" t="s">
        <v>932</v>
      </c>
    </row>
    <row r="75" hidden="1" spans="1:12">
      <c r="A75" s="404" t="s">
        <v>14197</v>
      </c>
      <c r="B75" s="404" t="s">
        <v>14198</v>
      </c>
      <c r="C75" s="404"/>
      <c r="D75" s="442">
        <v>0</v>
      </c>
      <c r="E75" s="450">
        <v>0</v>
      </c>
      <c r="F75" s="333" t="s">
        <v>13063</v>
      </c>
      <c r="G75" s="333" t="s">
        <v>14212</v>
      </c>
      <c r="H75" s="346">
        <v>0</v>
      </c>
      <c r="I75" s="346">
        <v>0</v>
      </c>
      <c r="J75" s="346"/>
      <c r="K75" s="334"/>
      <c r="L75" s="346" t="s">
        <v>932</v>
      </c>
    </row>
    <row r="76" hidden="1" spans="1:12">
      <c r="A76" s="404"/>
      <c r="B76" s="404"/>
      <c r="C76" s="334"/>
      <c r="D76" s="442">
        <v>0</v>
      </c>
      <c r="E76" s="450">
        <v>0</v>
      </c>
      <c r="F76" s="333" t="s">
        <v>13063</v>
      </c>
      <c r="G76" s="333" t="s">
        <v>14213</v>
      </c>
      <c r="H76" s="346">
        <v>0</v>
      </c>
      <c r="I76" s="346">
        <v>0</v>
      </c>
      <c r="J76" s="346"/>
      <c r="K76" s="334"/>
      <c r="L76" s="346" t="s">
        <v>932</v>
      </c>
    </row>
    <row r="77" hidden="1" spans="1:12">
      <c r="A77" s="404"/>
      <c r="B77" s="404"/>
      <c r="C77" s="334"/>
      <c r="D77" s="442">
        <v>0</v>
      </c>
      <c r="E77" s="450">
        <v>0</v>
      </c>
      <c r="F77" s="333" t="s">
        <v>13063</v>
      </c>
      <c r="G77" s="333" t="s">
        <v>14214</v>
      </c>
      <c r="H77" s="346">
        <v>0</v>
      </c>
      <c r="I77" s="346">
        <v>0</v>
      </c>
      <c r="J77" s="346"/>
      <c r="K77" s="334"/>
      <c r="L77" s="346" t="s">
        <v>932</v>
      </c>
    </row>
    <row r="78" hidden="1" spans="1:12">
      <c r="A78" s="404" t="s">
        <v>14199</v>
      </c>
      <c r="B78" s="404" t="s">
        <v>14200</v>
      </c>
      <c r="C78" s="404"/>
      <c r="D78" s="442">
        <v>0</v>
      </c>
      <c r="E78" s="450">
        <v>0</v>
      </c>
      <c r="F78" s="333" t="s">
        <v>13063</v>
      </c>
      <c r="G78" s="333" t="s">
        <v>14212</v>
      </c>
      <c r="H78" s="346">
        <v>0</v>
      </c>
      <c r="I78" s="346">
        <v>0</v>
      </c>
      <c r="J78" s="346"/>
      <c r="K78" s="334"/>
      <c r="L78" s="346" t="s">
        <v>932</v>
      </c>
    </row>
    <row r="79" hidden="1" spans="1:12">
      <c r="A79" s="404"/>
      <c r="B79" s="404"/>
      <c r="C79" s="334"/>
      <c r="D79" s="442">
        <v>0</v>
      </c>
      <c r="E79" s="450">
        <v>0</v>
      </c>
      <c r="F79" s="333" t="s">
        <v>13063</v>
      </c>
      <c r="G79" s="333" t="s">
        <v>14213</v>
      </c>
      <c r="H79" s="346">
        <v>0</v>
      </c>
      <c r="I79" s="346">
        <v>0</v>
      </c>
      <c r="J79" s="346"/>
      <c r="K79" s="334"/>
      <c r="L79" s="346" t="s">
        <v>932</v>
      </c>
    </row>
    <row r="80" hidden="1" spans="1:12">
      <c r="A80" s="404"/>
      <c r="B80" s="404"/>
      <c r="C80" s="334"/>
      <c r="D80" s="442">
        <v>0</v>
      </c>
      <c r="E80" s="450">
        <v>0</v>
      </c>
      <c r="F80" s="333" t="s">
        <v>13063</v>
      </c>
      <c r="G80" s="333" t="s">
        <v>14214</v>
      </c>
      <c r="H80" s="346">
        <v>0</v>
      </c>
      <c r="I80" s="346">
        <v>0</v>
      </c>
      <c r="J80" s="346"/>
      <c r="K80" s="334"/>
      <c r="L80" s="346" t="s">
        <v>932</v>
      </c>
    </row>
    <row r="81" hidden="1" spans="1:12">
      <c r="A81" s="404" t="s">
        <v>14201</v>
      </c>
      <c r="B81" s="404" t="s">
        <v>14202</v>
      </c>
      <c r="C81" s="404"/>
      <c r="D81" s="442">
        <v>0</v>
      </c>
      <c r="E81" s="450">
        <v>0</v>
      </c>
      <c r="F81" s="333" t="s">
        <v>13063</v>
      </c>
      <c r="G81" s="333" t="s">
        <v>14212</v>
      </c>
      <c r="H81" s="346">
        <v>0</v>
      </c>
      <c r="I81" s="346">
        <v>0</v>
      </c>
      <c r="J81" s="346"/>
      <c r="K81" s="334"/>
      <c r="L81" s="346" t="s">
        <v>932</v>
      </c>
    </row>
    <row r="82" hidden="1" spans="1:12">
      <c r="A82" s="404"/>
      <c r="B82" s="404"/>
      <c r="C82" s="334"/>
      <c r="D82" s="442">
        <v>0</v>
      </c>
      <c r="E82" s="450">
        <v>0</v>
      </c>
      <c r="F82" s="333" t="s">
        <v>13063</v>
      </c>
      <c r="G82" s="333" t="s">
        <v>14213</v>
      </c>
      <c r="H82" s="346">
        <v>0</v>
      </c>
      <c r="I82" s="346">
        <v>0</v>
      </c>
      <c r="J82" s="346"/>
      <c r="K82" s="334"/>
      <c r="L82" s="346" t="s">
        <v>932</v>
      </c>
    </row>
    <row r="83" hidden="1" spans="1:12">
      <c r="A83" s="404"/>
      <c r="B83" s="404"/>
      <c r="C83" s="334"/>
      <c r="D83" s="442">
        <v>0</v>
      </c>
      <c r="E83" s="450">
        <v>0</v>
      </c>
      <c r="F83" s="333" t="s">
        <v>13063</v>
      </c>
      <c r="G83" s="333" t="s">
        <v>14214</v>
      </c>
      <c r="H83" s="346">
        <v>0</v>
      </c>
      <c r="I83" s="346">
        <v>0</v>
      </c>
      <c r="J83" s="346"/>
      <c r="K83" s="334"/>
      <c r="L83" s="346" t="s">
        <v>932</v>
      </c>
    </row>
    <row r="84" hidden="1" spans="1:12">
      <c r="A84" s="404">
        <v>0</v>
      </c>
      <c r="B84" s="404" t="e">
        <v>#N/A</v>
      </c>
      <c r="C84" s="404"/>
      <c r="D84" s="442">
        <v>0</v>
      </c>
      <c r="E84" s="450">
        <v>0</v>
      </c>
      <c r="F84" s="333" t="s">
        <v>13063</v>
      </c>
      <c r="G84" s="333" t="s">
        <v>14212</v>
      </c>
      <c r="H84" s="346">
        <v>0</v>
      </c>
      <c r="I84" s="346">
        <v>0</v>
      </c>
      <c r="J84" s="346"/>
      <c r="K84" s="334"/>
      <c r="L84" s="346" t="s">
        <v>932</v>
      </c>
    </row>
    <row r="85" hidden="1" spans="1:12">
      <c r="A85" s="404"/>
      <c r="B85" s="404"/>
      <c r="C85" s="334"/>
      <c r="D85" s="442">
        <v>0</v>
      </c>
      <c r="E85" s="450">
        <v>0</v>
      </c>
      <c r="F85" s="333" t="s">
        <v>13063</v>
      </c>
      <c r="G85" s="333" t="s">
        <v>14213</v>
      </c>
      <c r="H85" s="346">
        <v>0</v>
      </c>
      <c r="I85" s="346">
        <v>0</v>
      </c>
      <c r="J85" s="346"/>
      <c r="K85" s="334"/>
      <c r="L85" s="346" t="s">
        <v>932</v>
      </c>
    </row>
    <row r="86" hidden="1" spans="1:12">
      <c r="A86" s="404"/>
      <c r="B86" s="404"/>
      <c r="C86" s="334"/>
      <c r="D86" s="442">
        <v>0</v>
      </c>
      <c r="E86" s="450">
        <v>0</v>
      </c>
      <c r="F86" s="333" t="s">
        <v>13063</v>
      </c>
      <c r="G86" s="333" t="s">
        <v>14214</v>
      </c>
      <c r="H86" s="346">
        <v>0</v>
      </c>
      <c r="I86" s="346">
        <v>0</v>
      </c>
      <c r="J86" s="346"/>
      <c r="K86" s="334"/>
      <c r="L86" s="346" t="s">
        <v>932</v>
      </c>
    </row>
    <row r="87" hidden="1" spans="1:12">
      <c r="A87" s="401">
        <v>0</v>
      </c>
      <c r="B87" s="401" t="e">
        <v>#N/A</v>
      </c>
      <c r="C87" s="401"/>
      <c r="D87" s="442">
        <v>0</v>
      </c>
      <c r="E87" s="450">
        <v>0</v>
      </c>
      <c r="F87" s="439" t="s">
        <v>13063</v>
      </c>
      <c r="G87" s="439" t="s">
        <v>14212</v>
      </c>
      <c r="H87" s="346">
        <v>0</v>
      </c>
      <c r="I87" s="346">
        <v>0</v>
      </c>
      <c r="J87" s="395"/>
      <c r="L87" s="346" t="s">
        <v>932</v>
      </c>
    </row>
    <row r="88" hidden="1" spans="1:12">
      <c r="A88" s="401"/>
      <c r="B88" s="401"/>
      <c r="D88" s="442">
        <v>0</v>
      </c>
      <c r="E88" s="450">
        <v>0</v>
      </c>
      <c r="F88" s="439" t="s">
        <v>13063</v>
      </c>
      <c r="G88" s="439" t="s">
        <v>14213</v>
      </c>
      <c r="H88" s="346">
        <v>0</v>
      </c>
      <c r="I88" s="346">
        <v>0</v>
      </c>
      <c r="J88" s="395"/>
      <c r="L88" s="346" t="s">
        <v>932</v>
      </c>
    </row>
    <row r="89" hidden="1" spans="1:12">
      <c r="A89" s="401"/>
      <c r="B89" s="401"/>
      <c r="D89" s="442">
        <v>0</v>
      </c>
      <c r="E89" s="450">
        <v>0</v>
      </c>
      <c r="F89" s="439" t="s">
        <v>13063</v>
      </c>
      <c r="G89" s="439" t="s">
        <v>14214</v>
      </c>
      <c r="H89" s="346">
        <v>0</v>
      </c>
      <c r="I89" s="346">
        <v>0</v>
      </c>
      <c r="J89" s="395"/>
      <c r="L89" s="346" t="s">
        <v>932</v>
      </c>
    </row>
    <row r="90" hidden="1" spans="1:12">
      <c r="A90" s="401">
        <v>0</v>
      </c>
      <c r="B90" s="401" t="e">
        <v>#N/A</v>
      </c>
      <c r="C90" s="401"/>
      <c r="D90" s="442">
        <v>0</v>
      </c>
      <c r="E90" s="450">
        <v>0</v>
      </c>
      <c r="F90" s="439" t="s">
        <v>13063</v>
      </c>
      <c r="G90" s="439" t="s">
        <v>14212</v>
      </c>
      <c r="H90" s="346">
        <v>0</v>
      </c>
      <c r="I90" s="346">
        <v>0</v>
      </c>
      <c r="J90" s="395"/>
      <c r="L90" s="346" t="s">
        <v>932</v>
      </c>
    </row>
    <row r="91" hidden="1" spans="1:12">
      <c r="A91" s="401"/>
      <c r="B91" s="401"/>
      <c r="D91" s="442">
        <v>0</v>
      </c>
      <c r="E91" s="450">
        <v>0</v>
      </c>
      <c r="F91" s="439" t="s">
        <v>13063</v>
      </c>
      <c r="G91" s="439" t="s">
        <v>14213</v>
      </c>
      <c r="H91" s="346">
        <v>0</v>
      </c>
      <c r="I91" s="346">
        <v>0</v>
      </c>
      <c r="J91" s="395"/>
      <c r="L91" s="346" t="s">
        <v>932</v>
      </c>
    </row>
    <row r="92" hidden="1" spans="1:12">
      <c r="A92" s="401"/>
      <c r="B92" s="401"/>
      <c r="D92" s="442">
        <v>0</v>
      </c>
      <c r="E92" s="450">
        <v>0</v>
      </c>
      <c r="F92" s="439" t="s">
        <v>13063</v>
      </c>
      <c r="G92" s="439" t="s">
        <v>14214</v>
      </c>
      <c r="H92" s="346">
        <v>0</v>
      </c>
      <c r="I92" s="346">
        <v>0</v>
      </c>
      <c r="J92" s="395"/>
      <c r="L92" s="346" t="s">
        <v>932</v>
      </c>
    </row>
    <row r="93" hidden="1" spans="1:12">
      <c r="A93" s="401">
        <v>0</v>
      </c>
      <c r="B93" s="401" t="e">
        <v>#N/A</v>
      </c>
      <c r="C93" s="401"/>
      <c r="D93" s="442">
        <v>0</v>
      </c>
      <c r="E93" s="450">
        <v>0</v>
      </c>
      <c r="F93" s="439" t="s">
        <v>13063</v>
      </c>
      <c r="G93" s="439" t="s">
        <v>14212</v>
      </c>
      <c r="H93" s="346">
        <v>0</v>
      </c>
      <c r="I93" s="346">
        <v>0</v>
      </c>
      <c r="J93" s="395"/>
      <c r="L93" s="346" t="s">
        <v>932</v>
      </c>
    </row>
    <row r="94" hidden="1" spans="1:12">
      <c r="A94" s="401"/>
      <c r="B94" s="401"/>
      <c r="D94" s="442">
        <v>0</v>
      </c>
      <c r="E94" s="450">
        <v>0</v>
      </c>
      <c r="F94" s="439" t="s">
        <v>13063</v>
      </c>
      <c r="G94" s="439" t="s">
        <v>14213</v>
      </c>
      <c r="H94" s="346">
        <v>0</v>
      </c>
      <c r="I94" s="346">
        <v>0</v>
      </c>
      <c r="J94" s="395"/>
      <c r="L94" s="346" t="s">
        <v>932</v>
      </c>
    </row>
    <row r="95" hidden="1" spans="1:12">
      <c r="A95" s="401"/>
      <c r="B95" s="401"/>
      <c r="D95" s="442">
        <v>0</v>
      </c>
      <c r="E95" s="450">
        <v>0</v>
      </c>
      <c r="F95" s="439" t="s">
        <v>13063</v>
      </c>
      <c r="G95" s="439" t="s">
        <v>14214</v>
      </c>
      <c r="H95" s="346">
        <v>0</v>
      </c>
      <c r="I95" s="346">
        <v>0</v>
      </c>
      <c r="J95" s="395"/>
      <c r="L95" s="346" t="s">
        <v>932</v>
      </c>
    </row>
    <row r="96" hidden="1" spans="1:12">
      <c r="A96" s="421"/>
      <c r="B96" s="422"/>
      <c r="C96" s="422"/>
      <c r="D96" s="422"/>
      <c r="E96" s="422"/>
      <c r="F96" s="422"/>
      <c r="G96" s="422"/>
      <c r="H96" s="422"/>
      <c r="I96" s="430"/>
      <c r="J96" s="430"/>
      <c r="K96" s="425" t="s">
        <v>14215</v>
      </c>
      <c r="L96" s="426">
        <v>0</v>
      </c>
    </row>
    <row r="97" spans="1:14">
      <c r="A97" s="451"/>
      <c r="B97" s="452"/>
      <c r="C97" s="452"/>
      <c r="D97" s="452"/>
      <c r="E97" s="452"/>
      <c r="F97" s="452"/>
      <c r="G97" s="452"/>
      <c r="H97" s="452"/>
      <c r="I97" s="453"/>
      <c r="J97" s="453"/>
      <c r="K97" s="454" t="s">
        <v>14216</v>
      </c>
      <c r="L97" s="455">
        <v>458.76</v>
      </c>
    </row>
    <row r="99" spans="1:14">
      <c r="A99" s="391" t="s">
        <v>14172</v>
      </c>
      <c r="B99" s="392"/>
      <c r="C99" s="392"/>
      <c r="D99" s="392"/>
      <c r="E99" s="392"/>
      <c r="F99" s="392"/>
      <c r="G99" s="393"/>
      <c r="H99" s="393"/>
      <c r="I99" s="393"/>
      <c r="J99" s="393"/>
      <c r="K99" s="393"/>
      <c r="L99" s="471"/>
    </row>
    <row r="100" spans="1:14">
      <c r="A100" s="396" t="s">
        <v>90</v>
      </c>
      <c r="B100" s="397" t="s">
        <v>91</v>
      </c>
      <c r="C100" s="397"/>
      <c r="D100" s="397"/>
      <c r="E100" s="397"/>
      <c r="F100" s="397"/>
      <c r="G100" s="397"/>
      <c r="H100" s="397" t="s">
        <v>82</v>
      </c>
      <c r="I100" s="398">
        <v>46023</v>
      </c>
      <c r="J100" s="397"/>
      <c r="K100" s="399" t="s">
        <v>14173</v>
      </c>
      <c r="L100" s="400">
        <v>0</v>
      </c>
    </row>
    <row r="101" spans="1:14">
      <c r="A101" s="401"/>
      <c r="H101" s="402" t="s">
        <v>14174</v>
      </c>
      <c r="I101" s="403">
        <v>1</v>
      </c>
      <c r="J101" s="404" t="s">
        <v>82</v>
      </c>
      <c r="K101" s="402" t="s">
        <v>14175</v>
      </c>
      <c r="L101" s="346">
        <v>0</v>
      </c>
    </row>
    <row r="102" hidden="1" spans="1:14">
      <c r="A102" s="405"/>
      <c r="B102" s="405"/>
      <c r="C102" s="405"/>
      <c r="D102" s="406"/>
      <c r="E102" s="406"/>
      <c r="F102" s="406"/>
      <c r="G102" s="407" t="s">
        <v>14176</v>
      </c>
      <c r="H102" s="407"/>
      <c r="I102" s="407" t="s">
        <v>14177</v>
      </c>
      <c r="J102" s="407"/>
      <c r="K102" s="405"/>
      <c r="L102" s="409" t="s">
        <v>14178</v>
      </c>
    </row>
    <row r="103" hidden="1" spans="1:14">
      <c r="A103" s="410" t="s">
        <v>14179</v>
      </c>
      <c r="B103" s="411"/>
      <c r="C103" s="412"/>
      <c r="D103" s="412"/>
      <c r="E103" s="413" t="s">
        <v>74</v>
      </c>
      <c r="F103" s="412"/>
      <c r="G103" s="413" t="s">
        <v>14180</v>
      </c>
      <c r="H103" s="413" t="s">
        <v>14181</v>
      </c>
      <c r="I103" s="413" t="s">
        <v>14182</v>
      </c>
      <c r="J103" s="413" t="s">
        <v>14183</v>
      </c>
      <c r="K103" s="411"/>
      <c r="L103" s="414" t="s">
        <v>14184</v>
      </c>
    </row>
    <row r="104" hidden="1" spans="1:14">
      <c r="A104" s="404">
        <v>0</v>
      </c>
      <c r="B104" s="415" t="e">
        <v>#N/A</v>
      </c>
      <c r="C104" s="415"/>
      <c r="E104" s="416">
        <v>0</v>
      </c>
      <c r="F104" s="334"/>
      <c r="G104" s="346">
        <v>0</v>
      </c>
      <c r="H104" s="417">
        <v>1</v>
      </c>
      <c r="I104" s="395" t="e">
        <v>#N/A</v>
      </c>
      <c r="J104" s="418" t="e">
        <v>#N/A</v>
      </c>
      <c r="K104" s="402"/>
      <c r="L104" s="395" t="s">
        <v>932</v>
      </c>
      <c r="N104" s="395" t="s">
        <v>932</v>
      </c>
    </row>
    <row r="105" hidden="1" spans="1:14">
      <c r="A105" s="404">
        <v>0</v>
      </c>
      <c r="B105" s="404" t="e">
        <v>#N/A</v>
      </c>
      <c r="C105" s="404"/>
      <c r="D105" s="334"/>
      <c r="E105" s="416">
        <v>0</v>
      </c>
      <c r="F105" s="334"/>
      <c r="G105" s="346">
        <v>0</v>
      </c>
      <c r="H105" s="417">
        <v>1</v>
      </c>
      <c r="I105" s="346" t="e">
        <v>#N/A</v>
      </c>
      <c r="J105" s="419" t="e">
        <v>#N/A</v>
      </c>
      <c r="K105" s="420"/>
      <c r="L105" s="395" t="s">
        <v>932</v>
      </c>
      <c r="N105" s="395" t="s">
        <v>932</v>
      </c>
    </row>
    <row r="106" hidden="1" spans="1:14">
      <c r="A106" s="404">
        <v>0</v>
      </c>
      <c r="B106" s="404" t="e">
        <v>#N/A</v>
      </c>
      <c r="C106" s="404"/>
      <c r="D106" s="334"/>
      <c r="E106" s="416">
        <v>0</v>
      </c>
      <c r="F106" s="334"/>
      <c r="G106" s="346">
        <v>0</v>
      </c>
      <c r="H106" s="417">
        <v>1</v>
      </c>
      <c r="I106" s="346" t="e">
        <v>#N/A</v>
      </c>
      <c r="J106" s="419" t="e">
        <v>#N/A</v>
      </c>
      <c r="K106" s="420"/>
      <c r="L106" s="395" t="s">
        <v>932</v>
      </c>
      <c r="N106" s="395" t="s">
        <v>932</v>
      </c>
    </row>
    <row r="107" hidden="1" spans="1:14">
      <c r="A107" s="404">
        <v>0</v>
      </c>
      <c r="B107" s="404" t="e">
        <v>#N/A</v>
      </c>
      <c r="C107" s="404"/>
      <c r="D107" s="334"/>
      <c r="E107" s="416">
        <v>0</v>
      </c>
      <c r="F107" s="334"/>
      <c r="G107" s="346">
        <v>0</v>
      </c>
      <c r="H107" s="417">
        <v>1</v>
      </c>
      <c r="I107" s="346" t="e">
        <v>#N/A</v>
      </c>
      <c r="J107" s="419" t="e">
        <v>#N/A</v>
      </c>
      <c r="K107" s="420"/>
      <c r="L107" s="395" t="s">
        <v>932</v>
      </c>
      <c r="N107" s="395" t="s">
        <v>932</v>
      </c>
    </row>
    <row r="108" hidden="1" spans="1:14">
      <c r="A108" s="404">
        <v>0</v>
      </c>
      <c r="B108" s="404" t="e">
        <v>#N/A</v>
      </c>
      <c r="C108" s="404"/>
      <c r="D108" s="334"/>
      <c r="E108" s="416">
        <v>0</v>
      </c>
      <c r="F108" s="334"/>
      <c r="G108" s="346">
        <v>0</v>
      </c>
      <c r="H108" s="417">
        <v>1</v>
      </c>
      <c r="I108" s="346" t="e">
        <v>#N/A</v>
      </c>
      <c r="J108" s="419" t="e">
        <v>#N/A</v>
      </c>
      <c r="K108" s="420"/>
      <c r="L108" s="395" t="s">
        <v>932</v>
      </c>
      <c r="N108" s="395" t="s">
        <v>932</v>
      </c>
    </row>
    <row r="109" hidden="1" spans="1:14">
      <c r="A109" s="404">
        <v>0</v>
      </c>
      <c r="B109" s="404" t="e">
        <v>#N/A</v>
      </c>
      <c r="C109" s="404"/>
      <c r="D109" s="334"/>
      <c r="E109" s="416">
        <v>0</v>
      </c>
      <c r="F109" s="334"/>
      <c r="G109" s="346">
        <v>0</v>
      </c>
      <c r="H109" s="417">
        <v>1</v>
      </c>
      <c r="I109" s="346" t="e">
        <v>#N/A</v>
      </c>
      <c r="J109" s="419" t="e">
        <v>#N/A</v>
      </c>
      <c r="K109" s="420"/>
      <c r="L109" s="395" t="s">
        <v>932</v>
      </c>
      <c r="N109" s="395" t="s">
        <v>932</v>
      </c>
    </row>
    <row r="110" hidden="1" spans="1:14">
      <c r="A110" s="404">
        <v>0</v>
      </c>
      <c r="B110" s="404" t="e">
        <v>#N/A</v>
      </c>
      <c r="C110" s="404"/>
      <c r="D110" s="334"/>
      <c r="E110" s="416">
        <v>0</v>
      </c>
      <c r="F110" s="334"/>
      <c r="G110" s="346">
        <v>0</v>
      </c>
      <c r="H110" s="417">
        <v>1</v>
      </c>
      <c r="I110" s="346" t="e">
        <v>#N/A</v>
      </c>
      <c r="J110" s="419" t="e">
        <v>#N/A</v>
      </c>
      <c r="K110" s="420"/>
      <c r="L110" s="395" t="s">
        <v>932</v>
      </c>
      <c r="N110" s="395" t="s">
        <v>932</v>
      </c>
    </row>
    <row r="111" hidden="1" spans="1:14">
      <c r="A111" s="404">
        <v>0</v>
      </c>
      <c r="B111" s="436" t="e">
        <v>#N/A</v>
      </c>
      <c r="C111" s="436"/>
      <c r="D111" s="334"/>
      <c r="E111" s="416">
        <v>0</v>
      </c>
      <c r="F111" s="334"/>
      <c r="G111" s="346">
        <v>0</v>
      </c>
      <c r="H111" s="417">
        <v>1</v>
      </c>
      <c r="I111" s="346" t="e">
        <v>#N/A</v>
      </c>
      <c r="J111" s="419" t="e">
        <v>#N/A</v>
      </c>
      <c r="K111" s="420"/>
      <c r="L111" s="395" t="s">
        <v>932</v>
      </c>
      <c r="N111" s="395" t="s">
        <v>932</v>
      </c>
    </row>
    <row r="112" hidden="1" spans="1:14">
      <c r="A112" s="421"/>
      <c r="B112" s="422"/>
      <c r="C112" s="422"/>
      <c r="D112" s="422"/>
      <c r="E112" s="423"/>
      <c r="F112" s="424"/>
      <c r="G112" s="422"/>
      <c r="H112" s="422"/>
      <c r="I112" s="422"/>
      <c r="J112" s="422"/>
      <c r="K112" s="425" t="s">
        <v>14185</v>
      </c>
      <c r="L112" s="426">
        <v>0</v>
      </c>
      <c r="N112" s="427">
        <v>0</v>
      </c>
    </row>
    <row r="113" hidden="1" spans="1:15">
      <c r="A113" s="428" t="s">
        <v>14186</v>
      </c>
      <c r="B113" s="429"/>
      <c r="C113" s="429"/>
      <c r="D113" s="430"/>
      <c r="E113" s="431" t="s">
        <v>74</v>
      </c>
      <c r="F113" s="431" t="s">
        <v>1123</v>
      </c>
      <c r="G113" s="430"/>
      <c r="H113" s="422"/>
      <c r="I113" s="431" t="s">
        <v>14177</v>
      </c>
      <c r="J113" s="430"/>
      <c r="K113" s="430"/>
      <c r="L113" s="432" t="s">
        <v>14187</v>
      </c>
    </row>
    <row r="114" hidden="1" spans="1:15">
      <c r="A114" s="404">
        <v>0</v>
      </c>
      <c r="B114" s="433" t="e">
        <v>#N/A</v>
      </c>
      <c r="C114" s="433"/>
      <c r="D114" s="334"/>
      <c r="E114" s="434">
        <v>0</v>
      </c>
      <c r="F114" s="333" t="s">
        <v>104</v>
      </c>
      <c r="G114" s="334"/>
      <c r="H114" s="334"/>
      <c r="I114" s="435" t="e">
        <v>#N/A</v>
      </c>
      <c r="J114" s="334"/>
      <c r="K114" s="334"/>
      <c r="L114" s="346" t="s">
        <v>932</v>
      </c>
      <c r="N114" s="395" t="s">
        <v>932</v>
      </c>
    </row>
    <row r="115" hidden="1" spans="1:15">
      <c r="A115" s="404">
        <v>0</v>
      </c>
      <c r="B115" s="404" t="e">
        <v>#N/A</v>
      </c>
      <c r="C115" s="404"/>
      <c r="D115" s="334"/>
      <c r="E115" s="434">
        <v>0</v>
      </c>
      <c r="F115" s="333" t="s">
        <v>104</v>
      </c>
      <c r="G115" s="334"/>
      <c r="H115" s="334"/>
      <c r="I115" s="435" t="e">
        <v>#N/A</v>
      </c>
      <c r="J115" s="334"/>
      <c r="K115" s="334"/>
      <c r="L115" s="346" t="s">
        <v>932</v>
      </c>
      <c r="N115" s="395" t="s">
        <v>932</v>
      </c>
    </row>
    <row r="116" hidden="1" spans="1:15">
      <c r="A116" s="404">
        <v>0</v>
      </c>
      <c r="B116" s="404" t="e">
        <v>#N/A</v>
      </c>
      <c r="C116" s="404"/>
      <c r="D116" s="334"/>
      <c r="E116" s="434">
        <v>0</v>
      </c>
      <c r="F116" s="333" t="s">
        <v>104</v>
      </c>
      <c r="G116" s="334"/>
      <c r="H116" s="334"/>
      <c r="I116" s="435" t="e">
        <v>#N/A</v>
      </c>
      <c r="J116" s="334"/>
      <c r="K116" s="334"/>
      <c r="L116" s="346" t="s">
        <v>932</v>
      </c>
      <c r="N116" s="395" t="s">
        <v>932</v>
      </c>
    </row>
    <row r="117" hidden="1" spans="1:15">
      <c r="A117" s="404">
        <v>0</v>
      </c>
      <c r="B117" s="404" t="e">
        <v>#N/A</v>
      </c>
      <c r="C117" s="404"/>
      <c r="D117" s="334"/>
      <c r="E117" s="434">
        <v>0</v>
      </c>
      <c r="F117" s="333" t="s">
        <v>104</v>
      </c>
      <c r="G117" s="334"/>
      <c r="H117" s="334"/>
      <c r="I117" s="435" t="e">
        <v>#N/A</v>
      </c>
      <c r="J117" s="334"/>
      <c r="K117" s="334"/>
      <c r="L117" s="346" t="s">
        <v>932</v>
      </c>
      <c r="N117" s="395" t="s">
        <v>932</v>
      </c>
    </row>
    <row r="118" hidden="1" spans="1:15">
      <c r="A118" s="404">
        <v>0</v>
      </c>
      <c r="B118" s="404" t="e">
        <v>#N/A</v>
      </c>
      <c r="C118" s="404"/>
      <c r="D118" s="334"/>
      <c r="E118" s="434">
        <v>0</v>
      </c>
      <c r="F118" s="333" t="s">
        <v>104</v>
      </c>
      <c r="G118" s="334"/>
      <c r="H118" s="334"/>
      <c r="I118" s="435" t="e">
        <v>#N/A</v>
      </c>
      <c r="J118" s="334"/>
      <c r="K118" s="334"/>
      <c r="L118" s="346" t="s">
        <v>932</v>
      </c>
      <c r="N118" s="395" t="s">
        <v>932</v>
      </c>
    </row>
    <row r="119" hidden="1" spans="1:15">
      <c r="A119" s="404">
        <v>0</v>
      </c>
      <c r="B119" s="404" t="e">
        <v>#N/A</v>
      </c>
      <c r="C119" s="404"/>
      <c r="D119" s="334"/>
      <c r="E119" s="434">
        <v>0</v>
      </c>
      <c r="F119" s="333" t="s">
        <v>104</v>
      </c>
      <c r="G119" s="334"/>
      <c r="H119" s="334"/>
      <c r="I119" s="435" t="e">
        <v>#N/A</v>
      </c>
      <c r="J119" s="334"/>
      <c r="K119" s="334"/>
      <c r="L119" s="346" t="s">
        <v>932</v>
      </c>
      <c r="N119" s="395" t="s">
        <v>932</v>
      </c>
    </row>
    <row r="120" hidden="1" spans="1:15">
      <c r="A120" s="404">
        <v>0</v>
      </c>
      <c r="B120" s="404" t="e">
        <v>#N/A</v>
      </c>
      <c r="C120" s="404"/>
      <c r="D120" s="334"/>
      <c r="E120" s="434">
        <v>0</v>
      </c>
      <c r="F120" s="333" t="s">
        <v>104</v>
      </c>
      <c r="G120" s="334"/>
      <c r="H120" s="334"/>
      <c r="I120" s="435" t="e">
        <v>#N/A</v>
      </c>
      <c r="J120" s="334"/>
      <c r="K120" s="334"/>
      <c r="L120" s="346" t="s">
        <v>932</v>
      </c>
      <c r="N120" s="395" t="s">
        <v>932</v>
      </c>
    </row>
    <row r="121" hidden="1" spans="1:15">
      <c r="A121" s="404">
        <v>0</v>
      </c>
      <c r="B121" s="436" t="e">
        <v>#N/A</v>
      </c>
      <c r="C121" s="436"/>
      <c r="D121" s="334"/>
      <c r="E121" s="434">
        <v>0</v>
      </c>
      <c r="F121" s="333" t="s">
        <v>104</v>
      </c>
      <c r="G121" s="334"/>
      <c r="H121" s="334"/>
      <c r="I121" s="435" t="e">
        <v>#N/A</v>
      </c>
      <c r="J121" s="334"/>
      <c r="K121" s="334"/>
      <c r="L121" s="346" t="s">
        <v>932</v>
      </c>
      <c r="N121" s="395" t="s">
        <v>932</v>
      </c>
    </row>
    <row r="122" hidden="1" spans="1:15">
      <c r="A122" s="421"/>
      <c r="B122" s="62"/>
      <c r="C122" s="62"/>
      <c r="D122" s="422"/>
      <c r="E122" s="423"/>
      <c r="F122" s="424"/>
      <c r="G122" s="422"/>
      <c r="H122" s="422"/>
      <c r="I122" s="422"/>
      <c r="J122" s="422"/>
      <c r="K122" s="425" t="s">
        <v>14188</v>
      </c>
      <c r="L122" s="426">
        <v>0</v>
      </c>
      <c r="N122" s="427">
        <v>0</v>
      </c>
    </row>
    <row r="123" hidden="1" spans="1:15">
      <c r="I123" s="437"/>
      <c r="K123" s="383" t="s">
        <v>14189</v>
      </c>
      <c r="L123" s="427">
        <v>0</v>
      </c>
      <c r="N123" s="395">
        <v>0</v>
      </c>
    </row>
    <row r="124" hidden="1" spans="1:15">
      <c r="K124" s="383" t="s">
        <v>14190</v>
      </c>
      <c r="L124" s="427">
        <v>0</v>
      </c>
      <c r="N124" s="395">
        <v>0</v>
      </c>
      <c r="O124" s="395">
        <v>0</v>
      </c>
    </row>
    <row r="125" hidden="1" spans="1:15">
      <c r="K125" s="383" t="s">
        <v>14191</v>
      </c>
      <c r="L125" s="427">
        <v>0</v>
      </c>
    </row>
    <row r="126" hidden="1" spans="1:15">
      <c r="K126" s="383" t="s">
        <v>14192</v>
      </c>
      <c r="L126" s="395">
        <v>0</v>
      </c>
    </row>
    <row r="127" spans="1:15">
      <c r="A127" s="428" t="s">
        <v>14193</v>
      </c>
      <c r="B127" s="430"/>
      <c r="C127" s="430"/>
      <c r="D127" s="430"/>
      <c r="E127" s="431" t="s">
        <v>74</v>
      </c>
      <c r="F127" s="431" t="s">
        <v>1123</v>
      </c>
      <c r="G127" s="430"/>
      <c r="H127" s="430"/>
      <c r="I127" s="425" t="s">
        <v>75</v>
      </c>
      <c r="J127" s="430"/>
      <c r="K127" s="430"/>
      <c r="L127" s="426" t="s">
        <v>14194</v>
      </c>
    </row>
    <row r="128" spans="1:15">
      <c r="A128" s="404" t="s">
        <v>14217</v>
      </c>
      <c r="B128" s="433" t="s">
        <v>14218</v>
      </c>
      <c r="C128" s="433"/>
      <c r="D128" s="334"/>
      <c r="E128" s="434">
        <v>13</v>
      </c>
      <c r="F128" s="333" t="s">
        <v>82</v>
      </c>
      <c r="G128" s="334"/>
      <c r="I128" s="395">
        <v>164.04</v>
      </c>
      <c r="J128" s="395"/>
      <c r="K128" s="395"/>
      <c r="L128" s="346">
        <v>2132.52</v>
      </c>
    </row>
    <row r="129" hidden="1" spans="1:12">
      <c r="A129" s="404">
        <v>0</v>
      </c>
      <c r="B129" s="404" t="e">
        <v>#N/A</v>
      </c>
      <c r="C129" s="404"/>
      <c r="D129" s="334"/>
      <c r="E129" s="434">
        <v>0</v>
      </c>
      <c r="F129" s="333" t="e">
        <v>#N/A</v>
      </c>
      <c r="G129" s="334"/>
      <c r="I129" s="395" t="e">
        <v>#N/A</v>
      </c>
      <c r="J129" s="395"/>
      <c r="K129" s="395"/>
      <c r="L129" s="346" t="s">
        <v>932</v>
      </c>
    </row>
    <row r="130" hidden="1" spans="1:12">
      <c r="A130" s="404">
        <v>0</v>
      </c>
      <c r="B130" s="404" t="e">
        <v>#N/A</v>
      </c>
      <c r="C130" s="404"/>
      <c r="D130" s="334"/>
      <c r="E130" s="434">
        <v>0</v>
      </c>
      <c r="F130" s="333" t="e">
        <v>#N/A</v>
      </c>
      <c r="G130" s="334"/>
      <c r="I130" s="395" t="e">
        <v>#N/A</v>
      </c>
      <c r="J130" s="395"/>
      <c r="K130" s="395"/>
      <c r="L130" s="346" t="s">
        <v>932</v>
      </c>
    </row>
    <row r="131" hidden="1" spans="1:12">
      <c r="A131" s="404">
        <v>0</v>
      </c>
      <c r="B131" s="404" t="e">
        <v>#N/A</v>
      </c>
      <c r="C131" s="404"/>
      <c r="D131" s="334"/>
      <c r="E131" s="434">
        <v>0</v>
      </c>
      <c r="F131" s="333" t="e">
        <v>#N/A</v>
      </c>
      <c r="G131" s="334"/>
      <c r="I131" s="395" t="e">
        <v>#N/A</v>
      </c>
      <c r="J131" s="395"/>
      <c r="K131" s="395"/>
      <c r="L131" s="346" t="s">
        <v>932</v>
      </c>
    </row>
    <row r="132" hidden="1" spans="1:12">
      <c r="A132" s="404">
        <v>0</v>
      </c>
      <c r="B132" s="404" t="e">
        <v>#N/A</v>
      </c>
      <c r="C132" s="404"/>
      <c r="D132" s="334"/>
      <c r="E132" s="434">
        <v>0</v>
      </c>
      <c r="F132" s="333" t="e">
        <v>#N/A</v>
      </c>
      <c r="G132" s="334"/>
      <c r="H132" s="334"/>
      <c r="I132" s="395" t="e">
        <v>#N/A</v>
      </c>
      <c r="J132" s="395"/>
      <c r="K132" s="395"/>
      <c r="L132" s="346" t="s">
        <v>932</v>
      </c>
    </row>
    <row r="133" hidden="1" spans="1:12">
      <c r="A133" s="404">
        <v>0</v>
      </c>
      <c r="B133" s="404" t="e">
        <v>#N/A</v>
      </c>
      <c r="C133" s="404"/>
      <c r="D133" s="334"/>
      <c r="E133" s="434">
        <v>0</v>
      </c>
      <c r="F133" s="333" t="e">
        <v>#N/A</v>
      </c>
      <c r="G133" s="334"/>
      <c r="H133" s="334"/>
      <c r="I133" s="395" t="e">
        <v>#N/A</v>
      </c>
      <c r="J133" s="395"/>
      <c r="K133" s="395"/>
      <c r="L133" s="346" t="s">
        <v>932</v>
      </c>
    </row>
    <row r="134" hidden="1" spans="1:12">
      <c r="A134" s="404">
        <v>0</v>
      </c>
      <c r="B134" s="404" t="e">
        <v>#N/A</v>
      </c>
      <c r="C134" s="404"/>
      <c r="D134" s="334"/>
      <c r="E134" s="434">
        <v>0</v>
      </c>
      <c r="F134" s="333" t="e">
        <v>#N/A</v>
      </c>
      <c r="G134" s="334"/>
      <c r="H134" s="334"/>
      <c r="I134" s="395" t="e">
        <v>#N/A</v>
      </c>
      <c r="J134" s="395"/>
      <c r="K134" s="395"/>
      <c r="L134" s="346" t="s">
        <v>932</v>
      </c>
    </row>
    <row r="135" hidden="1" spans="1:12">
      <c r="A135" s="404">
        <v>0</v>
      </c>
      <c r="B135" s="436" t="e">
        <v>#N/A</v>
      </c>
      <c r="C135" s="436"/>
      <c r="D135" s="438"/>
      <c r="E135" s="434">
        <v>0</v>
      </c>
      <c r="F135" s="333" t="e">
        <v>#N/A</v>
      </c>
      <c r="G135" s="334"/>
      <c r="H135" s="334"/>
      <c r="I135" s="395" t="e">
        <v>#N/A</v>
      </c>
      <c r="J135" s="395"/>
      <c r="K135" s="395"/>
      <c r="L135" s="346" t="s">
        <v>932</v>
      </c>
    </row>
    <row r="136" spans="1:12">
      <c r="A136" s="421"/>
      <c r="B136" s="422"/>
      <c r="C136" s="422"/>
      <c r="D136" s="422"/>
      <c r="E136" s="423"/>
      <c r="F136" s="424"/>
      <c r="G136" s="422"/>
      <c r="H136" s="422"/>
      <c r="I136" s="430"/>
      <c r="J136" s="430"/>
      <c r="K136" s="425" t="s">
        <v>14203</v>
      </c>
      <c r="L136" s="426">
        <v>2132.52</v>
      </c>
    </row>
    <row r="137" hidden="1" spans="1:12">
      <c r="A137" s="428" t="s">
        <v>14204</v>
      </c>
      <c r="B137" s="430"/>
      <c r="C137" s="430"/>
      <c r="D137" s="430"/>
      <c r="E137" s="431" t="s">
        <v>74</v>
      </c>
      <c r="F137" s="431" t="s">
        <v>1123</v>
      </c>
      <c r="G137" s="430"/>
      <c r="H137" s="430"/>
      <c r="I137" s="425" t="s">
        <v>75</v>
      </c>
      <c r="J137" s="430"/>
      <c r="K137" s="430"/>
      <c r="L137" s="426" t="s">
        <v>14194</v>
      </c>
    </row>
    <row r="138" hidden="1" spans="1:12">
      <c r="A138" s="404">
        <v>0</v>
      </c>
      <c r="B138" s="334" t="e">
        <v>#N/A</v>
      </c>
      <c r="C138" s="334"/>
      <c r="D138" s="334"/>
      <c r="E138" s="434">
        <v>0</v>
      </c>
      <c r="F138" s="333" t="e">
        <v>#N/A</v>
      </c>
      <c r="G138" s="439"/>
      <c r="I138" s="346" t="e">
        <v>#N/A</v>
      </c>
      <c r="L138" s="346" t="s">
        <v>932</v>
      </c>
    </row>
    <row r="139" hidden="1" spans="1:12">
      <c r="A139" s="401">
        <v>0</v>
      </c>
      <c r="B139" s="334" t="e">
        <v>#N/A</v>
      </c>
      <c r="E139" s="440">
        <v>0</v>
      </c>
      <c r="F139" s="333" t="e">
        <v>#N/A</v>
      </c>
      <c r="G139" s="439"/>
      <c r="I139" s="346" t="e">
        <v>#N/A</v>
      </c>
      <c r="L139" s="346" t="s">
        <v>932</v>
      </c>
    </row>
    <row r="140" hidden="1" spans="1:12">
      <c r="A140" s="401">
        <v>0</v>
      </c>
      <c r="B140" s="334" t="e">
        <v>#N/A</v>
      </c>
      <c r="E140" s="440">
        <v>0</v>
      </c>
      <c r="F140" s="333" t="e">
        <v>#N/A</v>
      </c>
      <c r="G140" s="439"/>
      <c r="I140" s="346" t="e">
        <v>#N/A</v>
      </c>
      <c r="L140" s="346" t="s">
        <v>932</v>
      </c>
    </row>
    <row r="141" hidden="1" spans="1:12">
      <c r="A141" s="401">
        <v>0</v>
      </c>
      <c r="B141" s="334" t="e">
        <v>#N/A</v>
      </c>
      <c r="E141" s="440">
        <v>0</v>
      </c>
      <c r="F141" s="333" t="e">
        <v>#N/A</v>
      </c>
      <c r="G141" s="439"/>
      <c r="I141" s="346" t="e">
        <v>#N/A</v>
      </c>
      <c r="L141" s="346" t="s">
        <v>932</v>
      </c>
    </row>
    <row r="142" hidden="1" spans="1:12">
      <c r="A142" s="401">
        <v>0</v>
      </c>
      <c r="B142" s="334" t="e">
        <v>#N/A</v>
      </c>
      <c r="E142" s="440">
        <v>0</v>
      </c>
      <c r="F142" s="333" t="e">
        <v>#N/A</v>
      </c>
      <c r="G142" s="439"/>
      <c r="I142" s="346" t="e">
        <v>#N/A</v>
      </c>
      <c r="L142" s="346" t="s">
        <v>932</v>
      </c>
    </row>
    <row r="143" hidden="1" spans="1:12">
      <c r="A143" s="401">
        <v>0</v>
      </c>
      <c r="B143" s="334" t="e">
        <v>#N/A</v>
      </c>
      <c r="E143" s="440">
        <v>0</v>
      </c>
      <c r="F143" s="333" t="e">
        <v>#N/A</v>
      </c>
      <c r="G143" s="439"/>
      <c r="I143" s="346" t="e">
        <v>#N/A</v>
      </c>
      <c r="L143" s="346" t="s">
        <v>932</v>
      </c>
    </row>
    <row r="144" hidden="1" spans="1:12">
      <c r="A144" s="421"/>
      <c r="B144" s="422"/>
      <c r="C144" s="422"/>
      <c r="D144" s="422"/>
      <c r="E144" s="422"/>
      <c r="F144" s="422"/>
      <c r="G144" s="422"/>
      <c r="H144" s="422"/>
      <c r="I144" s="430"/>
      <c r="J144" s="430"/>
      <c r="K144" s="425" t="s">
        <v>14206</v>
      </c>
      <c r="L144" s="426">
        <v>0</v>
      </c>
    </row>
    <row r="145" spans="1:12">
      <c r="A145" s="421"/>
      <c r="B145" s="422"/>
      <c r="C145" s="422"/>
      <c r="D145" s="422"/>
      <c r="E145" s="422"/>
      <c r="F145" s="422"/>
      <c r="G145" s="422"/>
      <c r="H145" s="422"/>
      <c r="I145" s="430"/>
      <c r="J145" s="430"/>
      <c r="K145" s="425" t="s">
        <v>14207</v>
      </c>
      <c r="L145" s="426">
        <v>2132.52</v>
      </c>
    </row>
    <row r="146" hidden="1" spans="1:12">
      <c r="A146" s="428" t="s">
        <v>14208</v>
      </c>
      <c r="B146" s="430"/>
      <c r="C146" s="430"/>
      <c r="D146" s="431" t="s">
        <v>55</v>
      </c>
      <c r="E146" s="431" t="s">
        <v>74</v>
      </c>
      <c r="F146" s="431" t="s">
        <v>1123</v>
      </c>
      <c r="G146" s="430"/>
      <c r="H146" s="430"/>
      <c r="I146" s="425" t="s">
        <v>75</v>
      </c>
      <c r="J146" s="430"/>
      <c r="K146" s="430"/>
      <c r="L146" s="426" t="s">
        <v>14194</v>
      </c>
    </row>
    <row r="147" hidden="1" spans="1:12">
      <c r="A147" s="404" t="s">
        <v>14217</v>
      </c>
      <c r="B147" s="441" t="s">
        <v>14218</v>
      </c>
      <c r="C147" s="441"/>
      <c r="D147" s="442">
        <v>0</v>
      </c>
      <c r="E147" s="434">
        <v>0</v>
      </c>
      <c r="F147" s="333" t="s">
        <v>9885</v>
      </c>
      <c r="G147" s="443" t="s">
        <v>14209</v>
      </c>
      <c r="H147" s="334"/>
      <c r="I147" s="346">
        <v>0</v>
      </c>
      <c r="J147" s="334"/>
      <c r="K147" s="346"/>
      <c r="L147" s="346" t="s">
        <v>932</v>
      </c>
    </row>
    <row r="148" hidden="1" spans="1:12">
      <c r="A148" s="404">
        <v>0</v>
      </c>
      <c r="B148" s="334" t="e">
        <v>#N/A</v>
      </c>
      <c r="C148" s="334"/>
      <c r="D148" s="442">
        <v>0</v>
      </c>
      <c r="E148" s="434">
        <v>0</v>
      </c>
      <c r="F148" s="333" t="s">
        <v>9885</v>
      </c>
      <c r="G148" s="334"/>
      <c r="H148" s="334"/>
      <c r="I148" s="346">
        <v>0</v>
      </c>
      <c r="J148" s="334"/>
      <c r="K148" s="346"/>
      <c r="L148" s="346" t="s">
        <v>932</v>
      </c>
    </row>
    <row r="149" hidden="1" spans="1:12">
      <c r="A149" s="404">
        <v>0</v>
      </c>
      <c r="B149" s="334" t="e">
        <v>#N/A</v>
      </c>
      <c r="C149" s="334"/>
      <c r="D149" s="442">
        <v>0</v>
      </c>
      <c r="E149" s="434">
        <v>0</v>
      </c>
      <c r="F149" s="333" t="s">
        <v>9885</v>
      </c>
      <c r="G149" s="334"/>
      <c r="H149" s="334"/>
      <c r="I149" s="346">
        <v>0</v>
      </c>
      <c r="J149" s="334"/>
      <c r="K149" s="346"/>
      <c r="L149" s="346" t="s">
        <v>932</v>
      </c>
    </row>
    <row r="150" hidden="1" spans="1:12">
      <c r="A150" s="404">
        <v>0</v>
      </c>
      <c r="B150" s="334" t="e">
        <v>#N/A</v>
      </c>
      <c r="C150" s="334"/>
      <c r="D150" s="442">
        <v>0</v>
      </c>
      <c r="E150" s="434">
        <v>0</v>
      </c>
      <c r="F150" s="333" t="s">
        <v>9885</v>
      </c>
      <c r="G150" s="334"/>
      <c r="H150" s="334"/>
      <c r="I150" s="346">
        <v>0</v>
      </c>
      <c r="J150" s="334"/>
      <c r="K150" s="346"/>
      <c r="L150" s="346" t="s">
        <v>932</v>
      </c>
    </row>
    <row r="151" hidden="1" spans="1:12">
      <c r="A151" s="404">
        <v>0</v>
      </c>
      <c r="B151" s="334" t="e">
        <v>#N/A</v>
      </c>
      <c r="C151" s="334"/>
      <c r="D151" s="442">
        <v>0</v>
      </c>
      <c r="E151" s="434">
        <v>0</v>
      </c>
      <c r="F151" s="333" t="s">
        <v>9885</v>
      </c>
      <c r="G151" s="334"/>
      <c r="H151" s="334"/>
      <c r="I151" s="346">
        <v>0</v>
      </c>
      <c r="J151" s="334"/>
      <c r="K151" s="346"/>
      <c r="L151" s="346" t="s">
        <v>932</v>
      </c>
    </row>
    <row r="152" hidden="1" spans="1:12">
      <c r="A152" s="404">
        <v>0</v>
      </c>
      <c r="B152" s="334" t="e">
        <v>#N/A</v>
      </c>
      <c r="C152" s="334"/>
      <c r="D152" s="442">
        <v>0</v>
      </c>
      <c r="E152" s="434">
        <v>0</v>
      </c>
      <c r="F152" s="333" t="s">
        <v>9885</v>
      </c>
      <c r="G152" s="334"/>
      <c r="H152" s="334"/>
      <c r="I152" s="346">
        <v>0</v>
      </c>
      <c r="J152" s="334"/>
      <c r="K152" s="346"/>
      <c r="L152" s="346" t="s">
        <v>932</v>
      </c>
    </row>
    <row r="153" hidden="1" spans="1:12">
      <c r="A153" s="404">
        <v>0</v>
      </c>
      <c r="B153" s="334" t="e">
        <v>#N/A</v>
      </c>
      <c r="C153" s="334"/>
      <c r="D153" s="442">
        <v>0</v>
      </c>
      <c r="E153" s="434">
        <v>0</v>
      </c>
      <c r="F153" s="333" t="s">
        <v>9885</v>
      </c>
      <c r="G153" s="334"/>
      <c r="H153" s="334"/>
      <c r="I153" s="346">
        <v>0</v>
      </c>
      <c r="J153" s="334"/>
      <c r="K153" s="346"/>
      <c r="L153" s="346" t="s">
        <v>932</v>
      </c>
    </row>
    <row r="154" hidden="1" spans="1:12">
      <c r="A154" s="404">
        <v>0</v>
      </c>
      <c r="B154" s="444" t="e">
        <v>#N/A</v>
      </c>
      <c r="C154" s="444"/>
      <c r="D154" s="442">
        <v>0</v>
      </c>
      <c r="E154" s="434">
        <v>0</v>
      </c>
      <c r="F154" s="333" t="s">
        <v>9885</v>
      </c>
      <c r="G154" s="334"/>
      <c r="H154" s="334"/>
      <c r="I154" s="346">
        <v>0</v>
      </c>
      <c r="J154" s="334"/>
      <c r="K154" s="346"/>
      <c r="L154" s="346" t="s">
        <v>932</v>
      </c>
    </row>
    <row r="155" hidden="1" spans="1:12">
      <c r="A155" s="428"/>
      <c r="B155" s="445"/>
      <c r="C155" s="445"/>
      <c r="D155" s="430"/>
      <c r="E155" s="430"/>
      <c r="F155" s="430"/>
      <c r="G155" s="430"/>
      <c r="H155" s="430"/>
      <c r="I155" s="430"/>
      <c r="J155" s="430"/>
      <c r="K155" s="425" t="s">
        <v>14210</v>
      </c>
      <c r="L155" s="426">
        <v>0</v>
      </c>
    </row>
    <row r="156" hidden="1" spans="1:12">
      <c r="A156" s="446" t="s">
        <v>14211</v>
      </c>
      <c r="B156" s="445"/>
      <c r="C156" s="445"/>
      <c r="D156" s="447" t="s">
        <v>55</v>
      </c>
      <c r="E156" s="445" t="s">
        <v>74</v>
      </c>
      <c r="F156" s="447" t="s">
        <v>1123</v>
      </c>
      <c r="G156" s="445"/>
      <c r="H156" s="447" t="s">
        <v>72</v>
      </c>
      <c r="I156" s="447" t="s">
        <v>75</v>
      </c>
      <c r="J156" s="445"/>
      <c r="K156" s="448"/>
      <c r="L156" s="449" t="s">
        <v>14194</v>
      </c>
    </row>
    <row r="157" hidden="1" spans="1:12">
      <c r="A157" s="404" t="s">
        <v>14217</v>
      </c>
      <c r="B157" s="433" t="s">
        <v>14218</v>
      </c>
      <c r="C157" s="433"/>
      <c r="D157" s="442">
        <v>0</v>
      </c>
      <c r="E157" s="450">
        <v>0</v>
      </c>
      <c r="F157" s="333" t="s">
        <v>13063</v>
      </c>
      <c r="G157" s="333" t="s">
        <v>14212</v>
      </c>
      <c r="H157" s="346">
        <v>0</v>
      </c>
      <c r="I157" s="346">
        <v>0</v>
      </c>
      <c r="J157" s="346"/>
      <c r="K157" s="334"/>
      <c r="L157" s="346" t="s">
        <v>932</v>
      </c>
    </row>
    <row r="158" hidden="1" spans="1:12">
      <c r="A158" s="404"/>
      <c r="B158" s="404"/>
      <c r="C158" s="334"/>
      <c r="D158" s="442">
        <v>0</v>
      </c>
      <c r="E158" s="450">
        <v>0</v>
      </c>
      <c r="F158" s="333" t="s">
        <v>13063</v>
      </c>
      <c r="G158" s="333" t="s">
        <v>14213</v>
      </c>
      <c r="H158" s="346">
        <v>0</v>
      </c>
      <c r="I158" s="346">
        <v>0</v>
      </c>
      <c r="J158" s="346"/>
      <c r="K158" s="334"/>
      <c r="L158" s="346" t="s">
        <v>932</v>
      </c>
    </row>
    <row r="159" hidden="1" spans="1:12">
      <c r="A159" s="404"/>
      <c r="B159" s="404"/>
      <c r="C159" s="334"/>
      <c r="D159" s="442">
        <v>0</v>
      </c>
      <c r="E159" s="450">
        <v>0</v>
      </c>
      <c r="F159" s="333" t="s">
        <v>13063</v>
      </c>
      <c r="G159" s="333" t="s">
        <v>14214</v>
      </c>
      <c r="H159" s="346">
        <v>0</v>
      </c>
      <c r="I159" s="346">
        <v>0</v>
      </c>
      <c r="J159" s="346"/>
      <c r="K159" s="334"/>
      <c r="L159" s="346" t="s">
        <v>932</v>
      </c>
    </row>
    <row r="160" hidden="1" spans="1:12">
      <c r="A160" s="404">
        <v>0</v>
      </c>
      <c r="B160" s="404" t="e">
        <v>#N/A</v>
      </c>
      <c r="C160" s="404"/>
      <c r="D160" s="442">
        <v>0</v>
      </c>
      <c r="E160" s="450">
        <v>0</v>
      </c>
      <c r="F160" s="333" t="s">
        <v>13063</v>
      </c>
      <c r="G160" s="333" t="s">
        <v>14212</v>
      </c>
      <c r="H160" s="346">
        <v>0</v>
      </c>
      <c r="I160" s="346">
        <v>0</v>
      </c>
      <c r="J160" s="346"/>
      <c r="K160" s="334"/>
      <c r="L160" s="346" t="s">
        <v>932</v>
      </c>
    </row>
    <row r="161" hidden="1" spans="1:12">
      <c r="A161" s="404"/>
      <c r="B161" s="404"/>
      <c r="C161" s="334"/>
      <c r="D161" s="442">
        <v>0</v>
      </c>
      <c r="E161" s="450">
        <v>0</v>
      </c>
      <c r="F161" s="333" t="s">
        <v>13063</v>
      </c>
      <c r="G161" s="333" t="s">
        <v>14213</v>
      </c>
      <c r="H161" s="346">
        <v>0</v>
      </c>
      <c r="I161" s="346">
        <v>0</v>
      </c>
      <c r="J161" s="346"/>
      <c r="K161" s="334"/>
      <c r="L161" s="346" t="s">
        <v>932</v>
      </c>
    </row>
    <row r="162" hidden="1" spans="1:12">
      <c r="A162" s="404"/>
      <c r="B162" s="404"/>
      <c r="C162" s="334"/>
      <c r="D162" s="442">
        <v>0</v>
      </c>
      <c r="E162" s="450">
        <v>0</v>
      </c>
      <c r="F162" s="333" t="s">
        <v>13063</v>
      </c>
      <c r="G162" s="333" t="s">
        <v>14214</v>
      </c>
      <c r="H162" s="346">
        <v>0</v>
      </c>
      <c r="I162" s="346">
        <v>0</v>
      </c>
      <c r="J162" s="346"/>
      <c r="K162" s="334"/>
      <c r="L162" s="346" t="s">
        <v>932</v>
      </c>
    </row>
    <row r="163" hidden="1" spans="1:12">
      <c r="A163" s="404">
        <v>0</v>
      </c>
      <c r="B163" s="404" t="e">
        <v>#N/A</v>
      </c>
      <c r="C163" s="404"/>
      <c r="D163" s="442">
        <v>0</v>
      </c>
      <c r="E163" s="450">
        <v>0</v>
      </c>
      <c r="F163" s="333" t="s">
        <v>13063</v>
      </c>
      <c r="G163" s="333" t="s">
        <v>14212</v>
      </c>
      <c r="H163" s="346">
        <v>0</v>
      </c>
      <c r="I163" s="346">
        <v>0</v>
      </c>
      <c r="J163" s="346"/>
      <c r="K163" s="334"/>
      <c r="L163" s="346" t="s">
        <v>932</v>
      </c>
    </row>
    <row r="164" hidden="1" spans="1:12">
      <c r="A164" s="404"/>
      <c r="B164" s="404"/>
      <c r="C164" s="334"/>
      <c r="D164" s="442">
        <v>0</v>
      </c>
      <c r="E164" s="450">
        <v>0</v>
      </c>
      <c r="F164" s="333" t="s">
        <v>13063</v>
      </c>
      <c r="G164" s="333" t="s">
        <v>14213</v>
      </c>
      <c r="H164" s="346">
        <v>0</v>
      </c>
      <c r="I164" s="346">
        <v>0</v>
      </c>
      <c r="J164" s="346"/>
      <c r="K164" s="334"/>
      <c r="L164" s="346" t="s">
        <v>932</v>
      </c>
    </row>
    <row r="165" hidden="1" spans="1:12">
      <c r="A165" s="404"/>
      <c r="B165" s="404"/>
      <c r="C165" s="334"/>
      <c r="D165" s="442">
        <v>0</v>
      </c>
      <c r="E165" s="450">
        <v>0</v>
      </c>
      <c r="F165" s="333" t="s">
        <v>13063</v>
      </c>
      <c r="G165" s="333" t="s">
        <v>14214</v>
      </c>
      <c r="H165" s="346">
        <v>0</v>
      </c>
      <c r="I165" s="346">
        <v>0</v>
      </c>
      <c r="J165" s="346"/>
      <c r="K165" s="334"/>
      <c r="L165" s="346" t="s">
        <v>932</v>
      </c>
    </row>
    <row r="166" hidden="1" spans="1:12">
      <c r="A166" s="404">
        <v>0</v>
      </c>
      <c r="B166" s="404" t="e">
        <v>#N/A</v>
      </c>
      <c r="C166" s="404"/>
      <c r="D166" s="442">
        <v>0</v>
      </c>
      <c r="E166" s="450">
        <v>0</v>
      </c>
      <c r="F166" s="333" t="s">
        <v>13063</v>
      </c>
      <c r="G166" s="333" t="s">
        <v>14212</v>
      </c>
      <c r="H166" s="346">
        <v>0</v>
      </c>
      <c r="I166" s="346">
        <v>0</v>
      </c>
      <c r="J166" s="346"/>
      <c r="K166" s="334"/>
      <c r="L166" s="346" t="s">
        <v>932</v>
      </c>
    </row>
    <row r="167" hidden="1" spans="1:12">
      <c r="A167" s="404"/>
      <c r="B167" s="404"/>
      <c r="C167" s="334"/>
      <c r="D167" s="442">
        <v>0</v>
      </c>
      <c r="E167" s="450">
        <v>0</v>
      </c>
      <c r="F167" s="333" t="s">
        <v>13063</v>
      </c>
      <c r="G167" s="333" t="s">
        <v>14213</v>
      </c>
      <c r="H167" s="346">
        <v>0</v>
      </c>
      <c r="I167" s="346">
        <v>0</v>
      </c>
      <c r="J167" s="346"/>
      <c r="K167" s="334"/>
      <c r="L167" s="346" t="s">
        <v>932</v>
      </c>
    </row>
    <row r="168" hidden="1" spans="1:12">
      <c r="A168" s="404"/>
      <c r="B168" s="404"/>
      <c r="C168" s="334"/>
      <c r="D168" s="442">
        <v>0</v>
      </c>
      <c r="E168" s="450">
        <v>0</v>
      </c>
      <c r="F168" s="333" t="s">
        <v>13063</v>
      </c>
      <c r="G168" s="333" t="s">
        <v>14214</v>
      </c>
      <c r="H168" s="346">
        <v>0</v>
      </c>
      <c r="I168" s="346">
        <v>0</v>
      </c>
      <c r="J168" s="346"/>
      <c r="K168" s="334"/>
      <c r="L168" s="346" t="s">
        <v>932</v>
      </c>
    </row>
    <row r="169" hidden="1" spans="1:12">
      <c r="A169" s="404">
        <v>0</v>
      </c>
      <c r="B169" s="404" t="e">
        <v>#N/A</v>
      </c>
      <c r="C169" s="404"/>
      <c r="D169" s="442">
        <v>0</v>
      </c>
      <c r="E169" s="450">
        <v>0</v>
      </c>
      <c r="F169" s="333" t="s">
        <v>13063</v>
      </c>
      <c r="G169" s="333" t="s">
        <v>14212</v>
      </c>
      <c r="H169" s="346">
        <v>0</v>
      </c>
      <c r="I169" s="346">
        <v>0</v>
      </c>
      <c r="J169" s="346"/>
      <c r="K169" s="334"/>
      <c r="L169" s="346" t="s">
        <v>932</v>
      </c>
    </row>
    <row r="170" hidden="1" spans="1:12">
      <c r="A170" s="404"/>
      <c r="B170" s="404"/>
      <c r="C170" s="334"/>
      <c r="D170" s="442">
        <v>0</v>
      </c>
      <c r="E170" s="450">
        <v>0</v>
      </c>
      <c r="F170" s="333" t="s">
        <v>13063</v>
      </c>
      <c r="G170" s="333" t="s">
        <v>14213</v>
      </c>
      <c r="H170" s="346">
        <v>0</v>
      </c>
      <c r="I170" s="346">
        <v>0</v>
      </c>
      <c r="J170" s="346"/>
      <c r="K170" s="334"/>
      <c r="L170" s="346" t="s">
        <v>932</v>
      </c>
    </row>
    <row r="171" hidden="1" spans="1:12">
      <c r="A171" s="404"/>
      <c r="B171" s="404"/>
      <c r="C171" s="334"/>
      <c r="D171" s="442">
        <v>0</v>
      </c>
      <c r="E171" s="450">
        <v>0</v>
      </c>
      <c r="F171" s="333" t="s">
        <v>13063</v>
      </c>
      <c r="G171" s="333" t="s">
        <v>14214</v>
      </c>
      <c r="H171" s="346">
        <v>0</v>
      </c>
      <c r="I171" s="346">
        <v>0</v>
      </c>
      <c r="J171" s="346"/>
      <c r="K171" s="334"/>
      <c r="L171" s="346" t="s">
        <v>932</v>
      </c>
    </row>
    <row r="172" hidden="1" spans="1:12">
      <c r="A172" s="401">
        <v>0</v>
      </c>
      <c r="B172" s="401" t="e">
        <v>#N/A</v>
      </c>
      <c r="C172" s="401"/>
      <c r="D172" s="442">
        <v>0</v>
      </c>
      <c r="E172" s="450">
        <v>0</v>
      </c>
      <c r="F172" s="439" t="s">
        <v>13063</v>
      </c>
      <c r="G172" s="439" t="s">
        <v>14212</v>
      </c>
      <c r="H172" s="346">
        <v>0</v>
      </c>
      <c r="I172" s="346">
        <v>0</v>
      </c>
      <c r="J172" s="395"/>
      <c r="L172" s="346" t="s">
        <v>932</v>
      </c>
    </row>
    <row r="173" hidden="1" spans="1:12">
      <c r="A173" s="401"/>
      <c r="B173" s="401"/>
      <c r="D173" s="442">
        <v>0</v>
      </c>
      <c r="E173" s="450">
        <v>0</v>
      </c>
      <c r="F173" s="439" t="s">
        <v>13063</v>
      </c>
      <c r="G173" s="439" t="s">
        <v>14213</v>
      </c>
      <c r="H173" s="346">
        <v>0</v>
      </c>
      <c r="I173" s="346">
        <v>0</v>
      </c>
      <c r="J173" s="395"/>
      <c r="L173" s="346" t="s">
        <v>932</v>
      </c>
    </row>
    <row r="174" hidden="1" spans="1:12">
      <c r="A174" s="401"/>
      <c r="B174" s="401"/>
      <c r="D174" s="442">
        <v>0</v>
      </c>
      <c r="E174" s="450">
        <v>0</v>
      </c>
      <c r="F174" s="439" t="s">
        <v>13063</v>
      </c>
      <c r="G174" s="439" t="s">
        <v>14214</v>
      </c>
      <c r="H174" s="346">
        <v>0</v>
      </c>
      <c r="I174" s="346">
        <v>0</v>
      </c>
      <c r="J174" s="395"/>
      <c r="L174" s="346" t="s">
        <v>932</v>
      </c>
    </row>
    <row r="175" hidden="1" spans="1:12">
      <c r="A175" s="401">
        <v>0</v>
      </c>
      <c r="B175" s="401" t="e">
        <v>#N/A</v>
      </c>
      <c r="C175" s="401"/>
      <c r="D175" s="442">
        <v>0</v>
      </c>
      <c r="E175" s="450">
        <v>0</v>
      </c>
      <c r="F175" s="439" t="s">
        <v>13063</v>
      </c>
      <c r="G175" s="439" t="s">
        <v>14212</v>
      </c>
      <c r="H175" s="346">
        <v>0</v>
      </c>
      <c r="I175" s="346">
        <v>0</v>
      </c>
      <c r="J175" s="395"/>
      <c r="L175" s="346" t="s">
        <v>932</v>
      </c>
    </row>
    <row r="176" hidden="1" spans="1:12">
      <c r="A176" s="401"/>
      <c r="B176" s="401"/>
      <c r="D176" s="442">
        <v>0</v>
      </c>
      <c r="E176" s="450">
        <v>0</v>
      </c>
      <c r="F176" s="439" t="s">
        <v>13063</v>
      </c>
      <c r="G176" s="439" t="s">
        <v>14213</v>
      </c>
      <c r="H176" s="346">
        <v>0</v>
      </c>
      <c r="I176" s="346">
        <v>0</v>
      </c>
      <c r="J176" s="395"/>
      <c r="L176" s="346" t="s">
        <v>932</v>
      </c>
    </row>
    <row r="177" hidden="1" spans="1:14">
      <c r="A177" s="401"/>
      <c r="B177" s="401"/>
      <c r="D177" s="442">
        <v>0</v>
      </c>
      <c r="E177" s="450">
        <v>0</v>
      </c>
      <c r="F177" s="439" t="s">
        <v>13063</v>
      </c>
      <c r="G177" s="439" t="s">
        <v>14214</v>
      </c>
      <c r="H177" s="346">
        <v>0</v>
      </c>
      <c r="I177" s="346">
        <v>0</v>
      </c>
      <c r="J177" s="395"/>
      <c r="L177" s="346" t="s">
        <v>932</v>
      </c>
    </row>
    <row r="178" hidden="1" spans="1:14">
      <c r="A178" s="401">
        <v>0</v>
      </c>
      <c r="B178" s="401" t="e">
        <v>#N/A</v>
      </c>
      <c r="C178" s="401"/>
      <c r="D178" s="442">
        <v>0</v>
      </c>
      <c r="E178" s="450">
        <v>0</v>
      </c>
      <c r="F178" s="439" t="s">
        <v>13063</v>
      </c>
      <c r="G178" s="439" t="s">
        <v>14212</v>
      </c>
      <c r="H178" s="346">
        <v>0</v>
      </c>
      <c r="I178" s="346">
        <v>0</v>
      </c>
      <c r="J178" s="395"/>
      <c r="L178" s="346" t="s">
        <v>932</v>
      </c>
    </row>
    <row r="179" hidden="1" spans="1:14">
      <c r="A179" s="401"/>
      <c r="B179" s="401"/>
      <c r="D179" s="442">
        <v>0</v>
      </c>
      <c r="E179" s="450">
        <v>0</v>
      </c>
      <c r="F179" s="439" t="s">
        <v>13063</v>
      </c>
      <c r="G179" s="439" t="s">
        <v>14213</v>
      </c>
      <c r="H179" s="346">
        <v>0</v>
      </c>
      <c r="I179" s="346">
        <v>0</v>
      </c>
      <c r="J179" s="395"/>
      <c r="L179" s="346" t="s">
        <v>932</v>
      </c>
    </row>
    <row r="180" hidden="1" spans="1:14">
      <c r="A180" s="401"/>
      <c r="B180" s="401"/>
      <c r="D180" s="442">
        <v>0</v>
      </c>
      <c r="E180" s="450">
        <v>0</v>
      </c>
      <c r="F180" s="439" t="s">
        <v>13063</v>
      </c>
      <c r="G180" s="439" t="s">
        <v>14214</v>
      </c>
      <c r="H180" s="346">
        <v>0</v>
      </c>
      <c r="I180" s="346">
        <v>0</v>
      </c>
      <c r="J180" s="395"/>
      <c r="L180" s="346" t="s">
        <v>932</v>
      </c>
    </row>
    <row r="181" hidden="1" spans="1:14">
      <c r="A181" s="421"/>
      <c r="B181" s="422"/>
      <c r="C181" s="422"/>
      <c r="D181" s="422"/>
      <c r="E181" s="422"/>
      <c r="F181" s="422"/>
      <c r="G181" s="422"/>
      <c r="H181" s="422"/>
      <c r="I181" s="430"/>
      <c r="J181" s="430"/>
      <c r="K181" s="425" t="s">
        <v>14215</v>
      </c>
      <c r="L181" s="426">
        <v>0</v>
      </c>
    </row>
    <row r="182" spans="1:14">
      <c r="A182" s="451"/>
      <c r="B182" s="452"/>
      <c r="C182" s="452"/>
      <c r="D182" s="452"/>
      <c r="E182" s="452"/>
      <c r="F182" s="452"/>
      <c r="G182" s="452"/>
      <c r="H182" s="452"/>
      <c r="I182" s="453"/>
      <c r="J182" s="453"/>
      <c r="K182" s="454" t="s">
        <v>14216</v>
      </c>
      <c r="L182" s="455">
        <v>2132.52</v>
      </c>
    </row>
    <row r="184" spans="1:14">
      <c r="A184" s="391" t="s">
        <v>14172</v>
      </c>
      <c r="B184" s="392"/>
      <c r="C184" s="392"/>
      <c r="D184" s="392"/>
      <c r="E184" s="392"/>
      <c r="F184" s="392"/>
      <c r="G184" s="393"/>
      <c r="H184" s="393"/>
      <c r="I184" s="393"/>
      <c r="J184" s="393"/>
      <c r="K184" s="393"/>
      <c r="L184" s="471"/>
    </row>
    <row r="185" spans="1:14">
      <c r="A185" s="396" t="s">
        <v>92</v>
      </c>
      <c r="B185" s="397" t="s">
        <v>93</v>
      </c>
      <c r="C185" s="397"/>
      <c r="D185" s="397"/>
      <c r="E185" s="397"/>
      <c r="F185" s="397"/>
      <c r="G185" s="397"/>
      <c r="H185" s="397" t="s">
        <v>82</v>
      </c>
      <c r="I185" s="398">
        <v>46023</v>
      </c>
      <c r="J185" s="397"/>
      <c r="K185" s="399" t="s">
        <v>14173</v>
      </c>
      <c r="L185" s="400">
        <v>0</v>
      </c>
    </row>
    <row r="186" spans="1:14">
      <c r="A186" s="401"/>
      <c r="H186" s="402" t="s">
        <v>14174</v>
      </c>
      <c r="I186" s="403">
        <v>1</v>
      </c>
      <c r="J186" s="404" t="s">
        <v>82</v>
      </c>
      <c r="K186" s="402" t="s">
        <v>14175</v>
      </c>
      <c r="L186" s="346">
        <v>0</v>
      </c>
    </row>
    <row r="187" hidden="1" spans="1:14">
      <c r="A187" s="405"/>
      <c r="B187" s="405"/>
      <c r="C187" s="405"/>
      <c r="D187" s="406"/>
      <c r="E187" s="406"/>
      <c r="F187" s="406"/>
      <c r="G187" s="407" t="s">
        <v>14176</v>
      </c>
      <c r="H187" s="407"/>
      <c r="I187" s="407" t="s">
        <v>14177</v>
      </c>
      <c r="J187" s="407"/>
      <c r="K187" s="405"/>
      <c r="L187" s="409" t="s">
        <v>14178</v>
      </c>
    </row>
    <row r="188" hidden="1" spans="1:14">
      <c r="A188" s="410" t="s">
        <v>14179</v>
      </c>
      <c r="B188" s="411"/>
      <c r="C188" s="412"/>
      <c r="D188" s="412"/>
      <c r="E188" s="413" t="s">
        <v>74</v>
      </c>
      <c r="F188" s="412"/>
      <c r="G188" s="413" t="s">
        <v>14180</v>
      </c>
      <c r="H188" s="413" t="s">
        <v>14181</v>
      </c>
      <c r="I188" s="413" t="s">
        <v>14182</v>
      </c>
      <c r="J188" s="413" t="s">
        <v>14183</v>
      </c>
      <c r="K188" s="411"/>
      <c r="L188" s="414" t="s">
        <v>14184</v>
      </c>
    </row>
    <row r="189" hidden="1" spans="1:14">
      <c r="A189" s="404">
        <v>0</v>
      </c>
      <c r="B189" s="415" t="e">
        <v>#N/A</v>
      </c>
      <c r="C189" s="415"/>
      <c r="E189" s="416">
        <v>0</v>
      </c>
      <c r="F189" s="334"/>
      <c r="G189" s="346">
        <v>0</v>
      </c>
      <c r="H189" s="417">
        <v>1</v>
      </c>
      <c r="I189" s="395" t="e">
        <v>#N/A</v>
      </c>
      <c r="J189" s="418" t="e">
        <v>#N/A</v>
      </c>
      <c r="K189" s="402"/>
      <c r="L189" s="395" t="s">
        <v>932</v>
      </c>
      <c r="N189" s="395" t="s">
        <v>932</v>
      </c>
    </row>
    <row r="190" hidden="1" spans="1:14">
      <c r="A190" s="404">
        <v>0</v>
      </c>
      <c r="B190" s="404" t="e">
        <v>#N/A</v>
      </c>
      <c r="C190" s="404"/>
      <c r="D190" s="334"/>
      <c r="E190" s="416">
        <v>0</v>
      </c>
      <c r="F190" s="334"/>
      <c r="G190" s="346">
        <v>0</v>
      </c>
      <c r="H190" s="417">
        <v>1</v>
      </c>
      <c r="I190" s="346" t="e">
        <v>#N/A</v>
      </c>
      <c r="J190" s="419" t="e">
        <v>#N/A</v>
      </c>
      <c r="K190" s="420"/>
      <c r="L190" s="395" t="s">
        <v>932</v>
      </c>
      <c r="N190" s="395" t="s">
        <v>932</v>
      </c>
    </row>
    <row r="191" hidden="1" spans="1:14">
      <c r="A191" s="404">
        <v>0</v>
      </c>
      <c r="B191" s="404" t="e">
        <v>#N/A</v>
      </c>
      <c r="C191" s="404"/>
      <c r="D191" s="334"/>
      <c r="E191" s="416">
        <v>0</v>
      </c>
      <c r="F191" s="334"/>
      <c r="G191" s="346">
        <v>0</v>
      </c>
      <c r="H191" s="417">
        <v>1</v>
      </c>
      <c r="I191" s="346" t="e">
        <v>#N/A</v>
      </c>
      <c r="J191" s="419" t="e">
        <v>#N/A</v>
      </c>
      <c r="K191" s="420"/>
      <c r="L191" s="395" t="s">
        <v>932</v>
      </c>
      <c r="N191" s="395" t="s">
        <v>932</v>
      </c>
    </row>
    <row r="192" hidden="1" spans="1:14">
      <c r="A192" s="404">
        <v>0</v>
      </c>
      <c r="B192" s="404" t="e">
        <v>#N/A</v>
      </c>
      <c r="C192" s="404"/>
      <c r="D192" s="334"/>
      <c r="E192" s="416">
        <v>0</v>
      </c>
      <c r="F192" s="334"/>
      <c r="G192" s="346">
        <v>0</v>
      </c>
      <c r="H192" s="417">
        <v>1</v>
      </c>
      <c r="I192" s="346" t="e">
        <v>#N/A</v>
      </c>
      <c r="J192" s="419" t="e">
        <v>#N/A</v>
      </c>
      <c r="K192" s="420"/>
      <c r="L192" s="395" t="s">
        <v>932</v>
      </c>
      <c r="N192" s="395" t="s">
        <v>932</v>
      </c>
    </row>
    <row r="193" hidden="1" spans="1:14">
      <c r="A193" s="404">
        <v>0</v>
      </c>
      <c r="B193" s="404" t="e">
        <v>#N/A</v>
      </c>
      <c r="C193" s="404"/>
      <c r="D193" s="334"/>
      <c r="E193" s="416">
        <v>0</v>
      </c>
      <c r="F193" s="334"/>
      <c r="G193" s="346">
        <v>0</v>
      </c>
      <c r="H193" s="417">
        <v>1</v>
      </c>
      <c r="I193" s="346" t="e">
        <v>#N/A</v>
      </c>
      <c r="J193" s="419" t="e">
        <v>#N/A</v>
      </c>
      <c r="K193" s="420"/>
      <c r="L193" s="395" t="s">
        <v>932</v>
      </c>
      <c r="N193" s="395" t="s">
        <v>932</v>
      </c>
    </row>
    <row r="194" hidden="1" spans="1:14">
      <c r="A194" s="404">
        <v>0</v>
      </c>
      <c r="B194" s="404" t="e">
        <v>#N/A</v>
      </c>
      <c r="C194" s="404"/>
      <c r="D194" s="334"/>
      <c r="E194" s="416">
        <v>0</v>
      </c>
      <c r="F194" s="334"/>
      <c r="G194" s="346">
        <v>0</v>
      </c>
      <c r="H194" s="417">
        <v>1</v>
      </c>
      <c r="I194" s="346" t="e">
        <v>#N/A</v>
      </c>
      <c r="J194" s="419" t="e">
        <v>#N/A</v>
      </c>
      <c r="K194" s="420"/>
      <c r="L194" s="395" t="s">
        <v>932</v>
      </c>
      <c r="N194" s="395" t="s">
        <v>932</v>
      </c>
    </row>
    <row r="195" hidden="1" spans="1:14">
      <c r="A195" s="404">
        <v>0</v>
      </c>
      <c r="B195" s="404" t="e">
        <v>#N/A</v>
      </c>
      <c r="C195" s="404"/>
      <c r="D195" s="334"/>
      <c r="E195" s="416">
        <v>0</v>
      </c>
      <c r="F195" s="334"/>
      <c r="G195" s="346">
        <v>0</v>
      </c>
      <c r="H195" s="417">
        <v>1</v>
      </c>
      <c r="I195" s="346" t="e">
        <v>#N/A</v>
      </c>
      <c r="J195" s="419" t="e">
        <v>#N/A</v>
      </c>
      <c r="K195" s="420"/>
      <c r="L195" s="395" t="s">
        <v>932</v>
      </c>
      <c r="N195" s="395" t="s">
        <v>932</v>
      </c>
    </row>
    <row r="196" hidden="1" spans="1:14">
      <c r="A196" s="404">
        <v>0</v>
      </c>
      <c r="B196" s="436" t="e">
        <v>#N/A</v>
      </c>
      <c r="C196" s="436"/>
      <c r="D196" s="334"/>
      <c r="E196" s="416">
        <v>0</v>
      </c>
      <c r="F196" s="334"/>
      <c r="G196" s="346">
        <v>0</v>
      </c>
      <c r="H196" s="417">
        <v>1</v>
      </c>
      <c r="I196" s="346" t="e">
        <v>#N/A</v>
      </c>
      <c r="J196" s="419" t="e">
        <v>#N/A</v>
      </c>
      <c r="K196" s="420"/>
      <c r="L196" s="395" t="s">
        <v>932</v>
      </c>
      <c r="N196" s="395" t="s">
        <v>932</v>
      </c>
    </row>
    <row r="197" hidden="1" spans="1:14">
      <c r="A197" s="421"/>
      <c r="B197" s="422"/>
      <c r="C197" s="422"/>
      <c r="D197" s="422"/>
      <c r="E197" s="423"/>
      <c r="F197" s="424"/>
      <c r="G197" s="422"/>
      <c r="H197" s="422"/>
      <c r="I197" s="422"/>
      <c r="J197" s="422"/>
      <c r="K197" s="425" t="s">
        <v>14185</v>
      </c>
      <c r="L197" s="426">
        <v>0</v>
      </c>
      <c r="N197" s="427">
        <v>0</v>
      </c>
    </row>
    <row r="198" hidden="1" spans="1:14">
      <c r="A198" s="428" t="s">
        <v>14186</v>
      </c>
      <c r="B198" s="429"/>
      <c r="C198" s="429"/>
      <c r="D198" s="430"/>
      <c r="E198" s="431" t="s">
        <v>74</v>
      </c>
      <c r="F198" s="431" t="s">
        <v>1123</v>
      </c>
      <c r="G198" s="430"/>
      <c r="H198" s="422"/>
      <c r="I198" s="431" t="s">
        <v>14177</v>
      </c>
      <c r="J198" s="430"/>
      <c r="K198" s="430"/>
      <c r="L198" s="432" t="s">
        <v>14187</v>
      </c>
    </row>
    <row r="199" hidden="1" spans="1:14">
      <c r="A199" s="404">
        <v>0</v>
      </c>
      <c r="B199" s="433" t="e">
        <v>#N/A</v>
      </c>
      <c r="C199" s="433"/>
      <c r="D199" s="334"/>
      <c r="E199" s="434">
        <v>0</v>
      </c>
      <c r="F199" s="333" t="s">
        <v>104</v>
      </c>
      <c r="G199" s="334"/>
      <c r="H199" s="334"/>
      <c r="I199" s="435" t="e">
        <v>#N/A</v>
      </c>
      <c r="J199" s="334"/>
      <c r="K199" s="334"/>
      <c r="L199" s="346" t="s">
        <v>932</v>
      </c>
      <c r="N199" s="395" t="s">
        <v>932</v>
      </c>
    </row>
    <row r="200" hidden="1" spans="1:14">
      <c r="A200" s="404">
        <v>0</v>
      </c>
      <c r="B200" s="404" t="e">
        <v>#N/A</v>
      </c>
      <c r="C200" s="404"/>
      <c r="D200" s="334"/>
      <c r="E200" s="434">
        <v>0</v>
      </c>
      <c r="F200" s="333" t="s">
        <v>104</v>
      </c>
      <c r="G200" s="334"/>
      <c r="H200" s="334"/>
      <c r="I200" s="435" t="e">
        <v>#N/A</v>
      </c>
      <c r="J200" s="334"/>
      <c r="K200" s="334"/>
      <c r="L200" s="346" t="s">
        <v>932</v>
      </c>
      <c r="N200" s="395" t="s">
        <v>932</v>
      </c>
    </row>
    <row r="201" hidden="1" spans="1:14">
      <c r="A201" s="404">
        <v>0</v>
      </c>
      <c r="B201" s="404" t="e">
        <v>#N/A</v>
      </c>
      <c r="C201" s="404"/>
      <c r="D201" s="334"/>
      <c r="E201" s="434">
        <v>0</v>
      </c>
      <c r="F201" s="333" t="s">
        <v>104</v>
      </c>
      <c r="G201" s="334"/>
      <c r="H201" s="334"/>
      <c r="I201" s="435" t="e">
        <v>#N/A</v>
      </c>
      <c r="J201" s="334"/>
      <c r="K201" s="334"/>
      <c r="L201" s="346" t="s">
        <v>932</v>
      </c>
      <c r="N201" s="395" t="s">
        <v>932</v>
      </c>
    </row>
    <row r="202" hidden="1" spans="1:14">
      <c r="A202" s="404">
        <v>0</v>
      </c>
      <c r="B202" s="404" t="e">
        <v>#N/A</v>
      </c>
      <c r="C202" s="404"/>
      <c r="D202" s="334"/>
      <c r="E202" s="434">
        <v>0</v>
      </c>
      <c r="F202" s="333" t="s">
        <v>104</v>
      </c>
      <c r="G202" s="334"/>
      <c r="H202" s="334"/>
      <c r="I202" s="435" t="e">
        <v>#N/A</v>
      </c>
      <c r="J202" s="334"/>
      <c r="K202" s="334"/>
      <c r="L202" s="346" t="s">
        <v>932</v>
      </c>
      <c r="N202" s="395" t="s">
        <v>932</v>
      </c>
    </row>
    <row r="203" hidden="1" spans="1:14">
      <c r="A203" s="404">
        <v>0</v>
      </c>
      <c r="B203" s="404" t="e">
        <v>#N/A</v>
      </c>
      <c r="C203" s="404"/>
      <c r="D203" s="334"/>
      <c r="E203" s="434">
        <v>0</v>
      </c>
      <c r="F203" s="333" t="s">
        <v>104</v>
      </c>
      <c r="G203" s="334"/>
      <c r="H203" s="334"/>
      <c r="I203" s="435" t="e">
        <v>#N/A</v>
      </c>
      <c r="J203" s="334"/>
      <c r="K203" s="334"/>
      <c r="L203" s="346" t="s">
        <v>932</v>
      </c>
      <c r="N203" s="395" t="s">
        <v>932</v>
      </c>
    </row>
    <row r="204" hidden="1" spans="1:14">
      <c r="A204" s="404">
        <v>0</v>
      </c>
      <c r="B204" s="404" t="e">
        <v>#N/A</v>
      </c>
      <c r="C204" s="404"/>
      <c r="D204" s="334"/>
      <c r="E204" s="434">
        <v>0</v>
      </c>
      <c r="F204" s="333" t="s">
        <v>104</v>
      </c>
      <c r="G204" s="334"/>
      <c r="H204" s="334"/>
      <c r="I204" s="435" t="e">
        <v>#N/A</v>
      </c>
      <c r="J204" s="334"/>
      <c r="K204" s="334"/>
      <c r="L204" s="346" t="s">
        <v>932</v>
      </c>
      <c r="N204" s="395" t="s">
        <v>932</v>
      </c>
    </row>
    <row r="205" hidden="1" spans="1:14">
      <c r="A205" s="404">
        <v>0</v>
      </c>
      <c r="B205" s="404" t="e">
        <v>#N/A</v>
      </c>
      <c r="C205" s="404"/>
      <c r="D205" s="334"/>
      <c r="E205" s="434">
        <v>0</v>
      </c>
      <c r="F205" s="333" t="s">
        <v>104</v>
      </c>
      <c r="G205" s="334"/>
      <c r="H205" s="334"/>
      <c r="I205" s="435" t="e">
        <v>#N/A</v>
      </c>
      <c r="J205" s="334"/>
      <c r="K205" s="334"/>
      <c r="L205" s="346" t="s">
        <v>932</v>
      </c>
      <c r="N205" s="395" t="s">
        <v>932</v>
      </c>
    </row>
    <row r="206" hidden="1" spans="1:14">
      <c r="A206" s="404">
        <v>0</v>
      </c>
      <c r="B206" s="436" t="e">
        <v>#N/A</v>
      </c>
      <c r="C206" s="436"/>
      <c r="D206" s="334"/>
      <c r="E206" s="434">
        <v>0</v>
      </c>
      <c r="F206" s="333" t="s">
        <v>104</v>
      </c>
      <c r="G206" s="334"/>
      <c r="H206" s="334"/>
      <c r="I206" s="435" t="e">
        <v>#N/A</v>
      </c>
      <c r="J206" s="334"/>
      <c r="K206" s="334"/>
      <c r="L206" s="346" t="s">
        <v>932</v>
      </c>
      <c r="N206" s="395" t="s">
        <v>932</v>
      </c>
    </row>
    <row r="207" hidden="1" spans="1:14">
      <c r="A207" s="421"/>
      <c r="B207" s="62"/>
      <c r="C207" s="62"/>
      <c r="D207" s="422"/>
      <c r="E207" s="423"/>
      <c r="F207" s="424"/>
      <c r="G207" s="422"/>
      <c r="H207" s="422"/>
      <c r="I207" s="422"/>
      <c r="J207" s="422"/>
      <c r="K207" s="425" t="s">
        <v>14188</v>
      </c>
      <c r="L207" s="426">
        <v>0</v>
      </c>
      <c r="N207" s="427">
        <v>0</v>
      </c>
    </row>
    <row r="208" hidden="1" spans="1:14">
      <c r="I208" s="437"/>
      <c r="K208" s="383" t="s">
        <v>14189</v>
      </c>
      <c r="L208" s="427">
        <v>0</v>
      </c>
      <c r="N208" s="395">
        <v>0</v>
      </c>
    </row>
    <row r="209" hidden="1" spans="1:15">
      <c r="K209" s="383" t="s">
        <v>14190</v>
      </c>
      <c r="L209" s="427">
        <v>0</v>
      </c>
      <c r="N209" s="395">
        <v>0</v>
      </c>
      <c r="O209" s="395">
        <v>0</v>
      </c>
    </row>
    <row r="210" hidden="1" spans="1:15">
      <c r="K210" s="383" t="s">
        <v>14191</v>
      </c>
      <c r="L210" s="427">
        <v>0</v>
      </c>
    </row>
    <row r="211" hidden="1" spans="1:15">
      <c r="K211" s="383" t="s">
        <v>14192</v>
      </c>
      <c r="L211" s="395">
        <v>0</v>
      </c>
    </row>
    <row r="212" spans="1:15">
      <c r="A212" s="428" t="s">
        <v>14193</v>
      </c>
      <c r="B212" s="430"/>
      <c r="C212" s="430"/>
      <c r="D212" s="430"/>
      <c r="E212" s="431" t="s">
        <v>74</v>
      </c>
      <c r="F212" s="431" t="s">
        <v>1123</v>
      </c>
      <c r="G212" s="430"/>
      <c r="H212" s="430"/>
      <c r="I212" s="425" t="s">
        <v>75</v>
      </c>
      <c r="J212" s="430"/>
      <c r="K212" s="430"/>
      <c r="L212" s="426" t="s">
        <v>14194</v>
      </c>
    </row>
    <row r="213" spans="1:15">
      <c r="A213" s="404" t="s">
        <v>14217</v>
      </c>
      <c r="B213" s="433" t="s">
        <v>14218</v>
      </c>
      <c r="C213" s="433"/>
      <c r="D213" s="334"/>
      <c r="E213" s="434">
        <v>13</v>
      </c>
      <c r="F213" s="333" t="s">
        <v>82</v>
      </c>
      <c r="G213" s="334"/>
      <c r="I213" s="395">
        <v>164.04</v>
      </c>
      <c r="J213" s="395"/>
      <c r="K213" s="395"/>
      <c r="L213" s="346">
        <v>2132.52</v>
      </c>
    </row>
    <row r="214" hidden="1" spans="1:15">
      <c r="A214" s="404">
        <v>0</v>
      </c>
      <c r="B214" s="404" t="e">
        <v>#N/A</v>
      </c>
      <c r="C214" s="404"/>
      <c r="D214" s="334"/>
      <c r="E214" s="434">
        <v>0</v>
      </c>
      <c r="F214" s="333" t="e">
        <v>#N/A</v>
      </c>
      <c r="G214" s="334"/>
      <c r="I214" s="395" t="e">
        <v>#N/A</v>
      </c>
      <c r="J214" s="395"/>
      <c r="K214" s="395"/>
      <c r="L214" s="346" t="s">
        <v>932</v>
      </c>
    </row>
    <row r="215" hidden="1" spans="1:15">
      <c r="A215" s="404">
        <v>0</v>
      </c>
      <c r="B215" s="404" t="e">
        <v>#N/A</v>
      </c>
      <c r="C215" s="404"/>
      <c r="D215" s="334"/>
      <c r="E215" s="434">
        <v>0</v>
      </c>
      <c r="F215" s="333" t="e">
        <v>#N/A</v>
      </c>
      <c r="G215" s="334"/>
      <c r="I215" s="395" t="e">
        <v>#N/A</v>
      </c>
      <c r="J215" s="395"/>
      <c r="K215" s="395"/>
      <c r="L215" s="346" t="s">
        <v>932</v>
      </c>
    </row>
    <row r="216" hidden="1" spans="1:15">
      <c r="A216" s="404">
        <v>0</v>
      </c>
      <c r="B216" s="404" t="e">
        <v>#N/A</v>
      </c>
      <c r="C216" s="404"/>
      <c r="D216" s="334"/>
      <c r="E216" s="434">
        <v>0</v>
      </c>
      <c r="F216" s="333" t="e">
        <v>#N/A</v>
      </c>
      <c r="G216" s="334"/>
      <c r="I216" s="395" t="e">
        <v>#N/A</v>
      </c>
      <c r="J216" s="395"/>
      <c r="K216" s="395"/>
      <c r="L216" s="346" t="s">
        <v>932</v>
      </c>
    </row>
    <row r="217" hidden="1" spans="1:15">
      <c r="A217" s="404">
        <v>0</v>
      </c>
      <c r="B217" s="404" t="e">
        <v>#N/A</v>
      </c>
      <c r="C217" s="404"/>
      <c r="D217" s="334"/>
      <c r="E217" s="434">
        <v>0</v>
      </c>
      <c r="F217" s="333" t="e">
        <v>#N/A</v>
      </c>
      <c r="G217" s="334"/>
      <c r="H217" s="334"/>
      <c r="I217" s="395" t="e">
        <v>#N/A</v>
      </c>
      <c r="J217" s="395"/>
      <c r="K217" s="395"/>
      <c r="L217" s="346" t="s">
        <v>932</v>
      </c>
    </row>
    <row r="218" hidden="1" spans="1:15">
      <c r="A218" s="404">
        <v>0</v>
      </c>
      <c r="B218" s="404" t="e">
        <v>#N/A</v>
      </c>
      <c r="C218" s="404"/>
      <c r="D218" s="334"/>
      <c r="E218" s="434">
        <v>0</v>
      </c>
      <c r="F218" s="333" t="e">
        <v>#N/A</v>
      </c>
      <c r="G218" s="334"/>
      <c r="H218" s="334"/>
      <c r="I218" s="395" t="e">
        <v>#N/A</v>
      </c>
      <c r="J218" s="395"/>
      <c r="K218" s="395"/>
      <c r="L218" s="346" t="s">
        <v>932</v>
      </c>
    </row>
    <row r="219" hidden="1" spans="1:15">
      <c r="A219" s="404">
        <v>0</v>
      </c>
      <c r="B219" s="404" t="e">
        <v>#N/A</v>
      </c>
      <c r="C219" s="404"/>
      <c r="D219" s="334"/>
      <c r="E219" s="434">
        <v>0</v>
      </c>
      <c r="F219" s="333" t="e">
        <v>#N/A</v>
      </c>
      <c r="G219" s="334"/>
      <c r="H219" s="334"/>
      <c r="I219" s="395" t="e">
        <v>#N/A</v>
      </c>
      <c r="J219" s="395"/>
      <c r="K219" s="395"/>
      <c r="L219" s="346" t="s">
        <v>932</v>
      </c>
    </row>
    <row r="220" hidden="1" spans="1:15">
      <c r="A220" s="404">
        <v>0</v>
      </c>
      <c r="B220" s="436" t="e">
        <v>#N/A</v>
      </c>
      <c r="C220" s="436"/>
      <c r="D220" s="438"/>
      <c r="E220" s="434">
        <v>0</v>
      </c>
      <c r="F220" s="333" t="e">
        <v>#N/A</v>
      </c>
      <c r="G220" s="334"/>
      <c r="H220" s="334"/>
      <c r="I220" s="395" t="e">
        <v>#N/A</v>
      </c>
      <c r="J220" s="395"/>
      <c r="K220" s="395"/>
      <c r="L220" s="346" t="s">
        <v>932</v>
      </c>
    </row>
    <row r="221" spans="1:15">
      <c r="A221" s="421"/>
      <c r="B221" s="422"/>
      <c r="C221" s="422"/>
      <c r="D221" s="422"/>
      <c r="E221" s="423"/>
      <c r="F221" s="424"/>
      <c r="G221" s="422"/>
      <c r="H221" s="422"/>
      <c r="I221" s="430"/>
      <c r="J221" s="430"/>
      <c r="K221" s="425" t="s">
        <v>14203</v>
      </c>
      <c r="L221" s="426">
        <v>2132.52</v>
      </c>
    </row>
    <row r="222" hidden="1" spans="1:15">
      <c r="A222" s="428" t="s">
        <v>14204</v>
      </c>
      <c r="B222" s="430"/>
      <c r="C222" s="430"/>
      <c r="D222" s="430"/>
      <c r="E222" s="431" t="s">
        <v>74</v>
      </c>
      <c r="F222" s="431" t="s">
        <v>1123</v>
      </c>
      <c r="G222" s="430"/>
      <c r="H222" s="430"/>
      <c r="I222" s="425" t="s">
        <v>75</v>
      </c>
      <c r="J222" s="430"/>
      <c r="K222" s="430"/>
      <c r="L222" s="426" t="s">
        <v>14194</v>
      </c>
    </row>
    <row r="223" hidden="1" spans="1:15">
      <c r="A223" s="404">
        <v>0</v>
      </c>
      <c r="B223" s="334" t="e">
        <v>#N/A</v>
      </c>
      <c r="C223" s="334"/>
      <c r="D223" s="334"/>
      <c r="E223" s="434">
        <v>0</v>
      </c>
      <c r="F223" s="333" t="e">
        <v>#N/A</v>
      </c>
      <c r="G223" s="439"/>
      <c r="I223" s="346" t="e">
        <v>#N/A</v>
      </c>
      <c r="L223" s="346" t="s">
        <v>932</v>
      </c>
    </row>
    <row r="224" hidden="1" spans="1:15">
      <c r="A224" s="401">
        <v>0</v>
      </c>
      <c r="B224" s="334" t="e">
        <v>#N/A</v>
      </c>
      <c r="E224" s="440">
        <v>0</v>
      </c>
      <c r="F224" s="333" t="e">
        <v>#N/A</v>
      </c>
      <c r="G224" s="439"/>
      <c r="I224" s="346" t="e">
        <v>#N/A</v>
      </c>
      <c r="L224" s="346" t="s">
        <v>932</v>
      </c>
    </row>
    <row r="225" hidden="1" spans="1:12">
      <c r="A225" s="401">
        <v>0</v>
      </c>
      <c r="B225" s="334" t="e">
        <v>#N/A</v>
      </c>
      <c r="E225" s="440">
        <v>0</v>
      </c>
      <c r="F225" s="333" t="e">
        <v>#N/A</v>
      </c>
      <c r="G225" s="439"/>
      <c r="I225" s="346" t="e">
        <v>#N/A</v>
      </c>
      <c r="L225" s="346" t="s">
        <v>932</v>
      </c>
    </row>
    <row r="226" hidden="1" spans="1:12">
      <c r="A226" s="401">
        <v>0</v>
      </c>
      <c r="B226" s="334" t="e">
        <v>#N/A</v>
      </c>
      <c r="E226" s="440">
        <v>0</v>
      </c>
      <c r="F226" s="333" t="e">
        <v>#N/A</v>
      </c>
      <c r="G226" s="439"/>
      <c r="I226" s="346" t="e">
        <v>#N/A</v>
      </c>
      <c r="L226" s="346" t="s">
        <v>932</v>
      </c>
    </row>
    <row r="227" hidden="1" spans="1:12">
      <c r="A227" s="401">
        <v>0</v>
      </c>
      <c r="B227" s="334" t="e">
        <v>#N/A</v>
      </c>
      <c r="E227" s="440">
        <v>0</v>
      </c>
      <c r="F227" s="333" t="e">
        <v>#N/A</v>
      </c>
      <c r="G227" s="439"/>
      <c r="I227" s="346" t="e">
        <v>#N/A</v>
      </c>
      <c r="L227" s="346" t="s">
        <v>932</v>
      </c>
    </row>
    <row r="228" hidden="1" spans="1:12">
      <c r="A228" s="401">
        <v>0</v>
      </c>
      <c r="B228" s="334" t="e">
        <v>#N/A</v>
      </c>
      <c r="E228" s="440">
        <v>0</v>
      </c>
      <c r="F228" s="333" t="e">
        <v>#N/A</v>
      </c>
      <c r="G228" s="439"/>
      <c r="I228" s="346" t="e">
        <v>#N/A</v>
      </c>
      <c r="L228" s="346" t="s">
        <v>932</v>
      </c>
    </row>
    <row r="229" hidden="1" spans="1:12">
      <c r="A229" s="421"/>
      <c r="B229" s="422"/>
      <c r="C229" s="422"/>
      <c r="D229" s="422"/>
      <c r="E229" s="422"/>
      <c r="F229" s="422"/>
      <c r="G229" s="422"/>
      <c r="H229" s="422"/>
      <c r="I229" s="430"/>
      <c r="J229" s="430"/>
      <c r="K229" s="425" t="s">
        <v>14206</v>
      </c>
      <c r="L229" s="426">
        <v>0</v>
      </c>
    </row>
    <row r="230" spans="1:12">
      <c r="A230" s="421"/>
      <c r="B230" s="422"/>
      <c r="C230" s="422"/>
      <c r="D230" s="422"/>
      <c r="E230" s="422"/>
      <c r="F230" s="422"/>
      <c r="G230" s="422"/>
      <c r="H230" s="422"/>
      <c r="I230" s="430"/>
      <c r="J230" s="430"/>
      <c r="K230" s="425" t="s">
        <v>14207</v>
      </c>
      <c r="L230" s="426">
        <v>2132.52</v>
      </c>
    </row>
    <row r="231" hidden="1" spans="1:12">
      <c r="A231" s="428" t="s">
        <v>14208</v>
      </c>
      <c r="B231" s="430"/>
      <c r="C231" s="430"/>
      <c r="D231" s="431" t="s">
        <v>55</v>
      </c>
      <c r="E231" s="431" t="s">
        <v>74</v>
      </c>
      <c r="F231" s="431" t="s">
        <v>1123</v>
      </c>
      <c r="G231" s="430"/>
      <c r="H231" s="430"/>
      <c r="I231" s="425" t="s">
        <v>75</v>
      </c>
      <c r="J231" s="430"/>
      <c r="K231" s="430"/>
      <c r="L231" s="426" t="s">
        <v>14194</v>
      </c>
    </row>
    <row r="232" hidden="1" spans="1:12">
      <c r="A232" s="404" t="s">
        <v>14217</v>
      </c>
      <c r="B232" s="441" t="s">
        <v>14218</v>
      </c>
      <c r="C232" s="441"/>
      <c r="D232" s="442">
        <v>0</v>
      </c>
      <c r="E232" s="434">
        <v>0</v>
      </c>
      <c r="F232" s="333" t="s">
        <v>9885</v>
      </c>
      <c r="G232" s="443" t="s">
        <v>14209</v>
      </c>
      <c r="H232" s="334"/>
      <c r="I232" s="346">
        <v>0</v>
      </c>
      <c r="J232" s="334"/>
      <c r="K232" s="346"/>
      <c r="L232" s="346" t="s">
        <v>932</v>
      </c>
    </row>
    <row r="233" hidden="1" spans="1:12">
      <c r="A233" s="404">
        <v>0</v>
      </c>
      <c r="B233" s="334" t="e">
        <v>#N/A</v>
      </c>
      <c r="C233" s="334"/>
      <c r="D233" s="442">
        <v>0</v>
      </c>
      <c r="E233" s="434">
        <v>0</v>
      </c>
      <c r="F233" s="333" t="s">
        <v>9885</v>
      </c>
      <c r="G233" s="334"/>
      <c r="H233" s="334"/>
      <c r="I233" s="346">
        <v>0</v>
      </c>
      <c r="J233" s="334"/>
      <c r="K233" s="346"/>
      <c r="L233" s="346" t="s">
        <v>932</v>
      </c>
    </row>
    <row r="234" hidden="1" spans="1:12">
      <c r="A234" s="404">
        <v>0</v>
      </c>
      <c r="B234" s="334" t="e">
        <v>#N/A</v>
      </c>
      <c r="C234" s="334"/>
      <c r="D234" s="442">
        <v>0</v>
      </c>
      <c r="E234" s="434">
        <v>0</v>
      </c>
      <c r="F234" s="333" t="s">
        <v>9885</v>
      </c>
      <c r="G234" s="334"/>
      <c r="H234" s="334"/>
      <c r="I234" s="346">
        <v>0</v>
      </c>
      <c r="J234" s="334"/>
      <c r="K234" s="346"/>
      <c r="L234" s="346" t="s">
        <v>932</v>
      </c>
    </row>
    <row r="235" hidden="1" spans="1:12">
      <c r="A235" s="404">
        <v>0</v>
      </c>
      <c r="B235" s="334" t="e">
        <v>#N/A</v>
      </c>
      <c r="C235" s="334"/>
      <c r="D235" s="442">
        <v>0</v>
      </c>
      <c r="E235" s="434">
        <v>0</v>
      </c>
      <c r="F235" s="333" t="s">
        <v>9885</v>
      </c>
      <c r="G235" s="334"/>
      <c r="H235" s="334"/>
      <c r="I235" s="346">
        <v>0</v>
      </c>
      <c r="J235" s="334"/>
      <c r="K235" s="346"/>
      <c r="L235" s="346" t="s">
        <v>932</v>
      </c>
    </row>
    <row r="236" hidden="1" spans="1:12">
      <c r="A236" s="404">
        <v>0</v>
      </c>
      <c r="B236" s="334" t="e">
        <v>#N/A</v>
      </c>
      <c r="C236" s="334"/>
      <c r="D236" s="442">
        <v>0</v>
      </c>
      <c r="E236" s="434">
        <v>0</v>
      </c>
      <c r="F236" s="333" t="s">
        <v>9885</v>
      </c>
      <c r="G236" s="334"/>
      <c r="H236" s="334"/>
      <c r="I236" s="346">
        <v>0</v>
      </c>
      <c r="J236" s="334"/>
      <c r="K236" s="346"/>
      <c r="L236" s="346" t="s">
        <v>932</v>
      </c>
    </row>
    <row r="237" hidden="1" spans="1:12">
      <c r="A237" s="404">
        <v>0</v>
      </c>
      <c r="B237" s="334" t="e">
        <v>#N/A</v>
      </c>
      <c r="C237" s="334"/>
      <c r="D237" s="442">
        <v>0</v>
      </c>
      <c r="E237" s="434">
        <v>0</v>
      </c>
      <c r="F237" s="333" t="s">
        <v>9885</v>
      </c>
      <c r="G237" s="334"/>
      <c r="H237" s="334"/>
      <c r="I237" s="346">
        <v>0</v>
      </c>
      <c r="J237" s="334"/>
      <c r="K237" s="346"/>
      <c r="L237" s="346" t="s">
        <v>932</v>
      </c>
    </row>
    <row r="238" hidden="1" spans="1:12">
      <c r="A238" s="404">
        <v>0</v>
      </c>
      <c r="B238" s="334" t="e">
        <v>#N/A</v>
      </c>
      <c r="C238" s="334"/>
      <c r="D238" s="442">
        <v>0</v>
      </c>
      <c r="E238" s="434">
        <v>0</v>
      </c>
      <c r="F238" s="333" t="s">
        <v>9885</v>
      </c>
      <c r="G238" s="334"/>
      <c r="H238" s="334"/>
      <c r="I238" s="346">
        <v>0</v>
      </c>
      <c r="J238" s="334"/>
      <c r="K238" s="346"/>
      <c r="L238" s="346" t="s">
        <v>932</v>
      </c>
    </row>
    <row r="239" hidden="1" spans="1:12">
      <c r="A239" s="404">
        <v>0</v>
      </c>
      <c r="B239" s="444" t="e">
        <v>#N/A</v>
      </c>
      <c r="C239" s="444"/>
      <c r="D239" s="442">
        <v>0</v>
      </c>
      <c r="E239" s="434">
        <v>0</v>
      </c>
      <c r="F239" s="333" t="s">
        <v>9885</v>
      </c>
      <c r="G239" s="334"/>
      <c r="H239" s="334"/>
      <c r="I239" s="346">
        <v>0</v>
      </c>
      <c r="J239" s="334"/>
      <c r="K239" s="346"/>
      <c r="L239" s="346" t="s">
        <v>932</v>
      </c>
    </row>
    <row r="240" hidden="1" spans="1:12">
      <c r="A240" s="428"/>
      <c r="B240" s="445"/>
      <c r="C240" s="445"/>
      <c r="D240" s="430"/>
      <c r="E240" s="430"/>
      <c r="F240" s="430"/>
      <c r="G240" s="430"/>
      <c r="H240" s="430"/>
      <c r="I240" s="430"/>
      <c r="J240" s="430"/>
      <c r="K240" s="425" t="s">
        <v>14210</v>
      </c>
      <c r="L240" s="426">
        <v>0</v>
      </c>
    </row>
    <row r="241" hidden="1" spans="1:12">
      <c r="A241" s="446" t="s">
        <v>14211</v>
      </c>
      <c r="B241" s="445"/>
      <c r="C241" s="445"/>
      <c r="D241" s="447" t="s">
        <v>55</v>
      </c>
      <c r="E241" s="445" t="s">
        <v>74</v>
      </c>
      <c r="F241" s="447" t="s">
        <v>1123</v>
      </c>
      <c r="G241" s="445"/>
      <c r="H241" s="447" t="s">
        <v>72</v>
      </c>
      <c r="I241" s="447" t="s">
        <v>75</v>
      </c>
      <c r="J241" s="445"/>
      <c r="K241" s="448"/>
      <c r="L241" s="449" t="s">
        <v>14194</v>
      </c>
    </row>
    <row r="242" hidden="1" spans="1:12">
      <c r="A242" s="404" t="s">
        <v>14217</v>
      </c>
      <c r="B242" s="433" t="s">
        <v>14218</v>
      </c>
      <c r="C242" s="433"/>
      <c r="D242" s="442">
        <v>0</v>
      </c>
      <c r="E242" s="450">
        <v>0</v>
      </c>
      <c r="F242" s="333" t="s">
        <v>13063</v>
      </c>
      <c r="G242" s="333" t="s">
        <v>14212</v>
      </c>
      <c r="H242" s="346">
        <v>0</v>
      </c>
      <c r="I242" s="346">
        <v>0</v>
      </c>
      <c r="J242" s="346"/>
      <c r="K242" s="334"/>
      <c r="L242" s="346" t="s">
        <v>932</v>
      </c>
    </row>
    <row r="243" hidden="1" spans="1:12">
      <c r="A243" s="404"/>
      <c r="B243" s="404"/>
      <c r="C243" s="334"/>
      <c r="D243" s="442">
        <v>0</v>
      </c>
      <c r="E243" s="450">
        <v>0</v>
      </c>
      <c r="F243" s="333" t="s">
        <v>13063</v>
      </c>
      <c r="G243" s="333" t="s">
        <v>14213</v>
      </c>
      <c r="H243" s="346">
        <v>0</v>
      </c>
      <c r="I243" s="346">
        <v>0</v>
      </c>
      <c r="J243" s="346"/>
      <c r="K243" s="334"/>
      <c r="L243" s="346" t="s">
        <v>932</v>
      </c>
    </row>
    <row r="244" hidden="1" spans="1:12">
      <c r="A244" s="404"/>
      <c r="B244" s="404"/>
      <c r="C244" s="334"/>
      <c r="D244" s="442">
        <v>0</v>
      </c>
      <c r="E244" s="450">
        <v>0</v>
      </c>
      <c r="F244" s="333" t="s">
        <v>13063</v>
      </c>
      <c r="G244" s="333" t="s">
        <v>14214</v>
      </c>
      <c r="H244" s="346">
        <v>0</v>
      </c>
      <c r="I244" s="346">
        <v>0</v>
      </c>
      <c r="J244" s="346"/>
      <c r="K244" s="334"/>
      <c r="L244" s="346" t="s">
        <v>932</v>
      </c>
    </row>
    <row r="245" hidden="1" spans="1:12">
      <c r="A245" s="404">
        <v>0</v>
      </c>
      <c r="B245" s="404" t="e">
        <v>#N/A</v>
      </c>
      <c r="C245" s="404"/>
      <c r="D245" s="442">
        <v>0</v>
      </c>
      <c r="E245" s="450">
        <v>0</v>
      </c>
      <c r="F245" s="333" t="s">
        <v>13063</v>
      </c>
      <c r="G245" s="333" t="s">
        <v>14212</v>
      </c>
      <c r="H245" s="346">
        <v>0</v>
      </c>
      <c r="I245" s="346">
        <v>0</v>
      </c>
      <c r="J245" s="346"/>
      <c r="K245" s="334"/>
      <c r="L245" s="346" t="s">
        <v>932</v>
      </c>
    </row>
    <row r="246" hidden="1" spans="1:12">
      <c r="A246" s="404"/>
      <c r="B246" s="404"/>
      <c r="C246" s="334"/>
      <c r="D246" s="442">
        <v>0</v>
      </c>
      <c r="E246" s="450">
        <v>0</v>
      </c>
      <c r="F246" s="333" t="s">
        <v>13063</v>
      </c>
      <c r="G246" s="333" t="s">
        <v>14213</v>
      </c>
      <c r="H246" s="346">
        <v>0</v>
      </c>
      <c r="I246" s="346">
        <v>0</v>
      </c>
      <c r="J246" s="346"/>
      <c r="K246" s="334"/>
      <c r="L246" s="346" t="s">
        <v>932</v>
      </c>
    </row>
    <row r="247" hidden="1" spans="1:12">
      <c r="A247" s="404"/>
      <c r="B247" s="404"/>
      <c r="C247" s="334"/>
      <c r="D247" s="442">
        <v>0</v>
      </c>
      <c r="E247" s="450">
        <v>0</v>
      </c>
      <c r="F247" s="333" t="s">
        <v>13063</v>
      </c>
      <c r="G247" s="333" t="s">
        <v>14214</v>
      </c>
      <c r="H247" s="346">
        <v>0</v>
      </c>
      <c r="I247" s="346">
        <v>0</v>
      </c>
      <c r="J247" s="346"/>
      <c r="K247" s="334"/>
      <c r="L247" s="346" t="s">
        <v>932</v>
      </c>
    </row>
    <row r="248" hidden="1" spans="1:12">
      <c r="A248" s="404">
        <v>0</v>
      </c>
      <c r="B248" s="404" t="e">
        <v>#N/A</v>
      </c>
      <c r="C248" s="404"/>
      <c r="D248" s="442">
        <v>0</v>
      </c>
      <c r="E248" s="450">
        <v>0</v>
      </c>
      <c r="F248" s="333" t="s">
        <v>13063</v>
      </c>
      <c r="G248" s="333" t="s">
        <v>14212</v>
      </c>
      <c r="H248" s="346">
        <v>0</v>
      </c>
      <c r="I248" s="346">
        <v>0</v>
      </c>
      <c r="J248" s="346"/>
      <c r="K248" s="334"/>
      <c r="L248" s="346" t="s">
        <v>932</v>
      </c>
    </row>
    <row r="249" hidden="1" spans="1:12">
      <c r="A249" s="404"/>
      <c r="B249" s="404"/>
      <c r="C249" s="334"/>
      <c r="D249" s="442">
        <v>0</v>
      </c>
      <c r="E249" s="450">
        <v>0</v>
      </c>
      <c r="F249" s="333" t="s">
        <v>13063</v>
      </c>
      <c r="G249" s="333" t="s">
        <v>14213</v>
      </c>
      <c r="H249" s="346">
        <v>0</v>
      </c>
      <c r="I249" s="346">
        <v>0</v>
      </c>
      <c r="J249" s="346"/>
      <c r="K249" s="334"/>
      <c r="L249" s="346" t="s">
        <v>932</v>
      </c>
    </row>
    <row r="250" hidden="1" spans="1:12">
      <c r="A250" s="404"/>
      <c r="B250" s="404"/>
      <c r="C250" s="334"/>
      <c r="D250" s="442">
        <v>0</v>
      </c>
      <c r="E250" s="450">
        <v>0</v>
      </c>
      <c r="F250" s="333" t="s">
        <v>13063</v>
      </c>
      <c r="G250" s="333" t="s">
        <v>14214</v>
      </c>
      <c r="H250" s="346">
        <v>0</v>
      </c>
      <c r="I250" s="346">
        <v>0</v>
      </c>
      <c r="J250" s="346"/>
      <c r="K250" s="334"/>
      <c r="L250" s="346" t="s">
        <v>932</v>
      </c>
    </row>
    <row r="251" hidden="1" spans="1:12">
      <c r="A251" s="404">
        <v>0</v>
      </c>
      <c r="B251" s="404" t="e">
        <v>#N/A</v>
      </c>
      <c r="C251" s="404"/>
      <c r="D251" s="442">
        <v>0</v>
      </c>
      <c r="E251" s="450">
        <v>0</v>
      </c>
      <c r="F251" s="333" t="s">
        <v>13063</v>
      </c>
      <c r="G251" s="333" t="s">
        <v>14212</v>
      </c>
      <c r="H251" s="346">
        <v>0</v>
      </c>
      <c r="I251" s="346">
        <v>0</v>
      </c>
      <c r="J251" s="346"/>
      <c r="K251" s="334"/>
      <c r="L251" s="346" t="s">
        <v>932</v>
      </c>
    </row>
    <row r="252" hidden="1" spans="1:12">
      <c r="A252" s="404"/>
      <c r="B252" s="404"/>
      <c r="C252" s="334"/>
      <c r="D252" s="442">
        <v>0</v>
      </c>
      <c r="E252" s="450">
        <v>0</v>
      </c>
      <c r="F252" s="333" t="s">
        <v>13063</v>
      </c>
      <c r="G252" s="333" t="s">
        <v>14213</v>
      </c>
      <c r="H252" s="346">
        <v>0</v>
      </c>
      <c r="I252" s="346">
        <v>0</v>
      </c>
      <c r="J252" s="346"/>
      <c r="K252" s="334"/>
      <c r="L252" s="346" t="s">
        <v>932</v>
      </c>
    </row>
    <row r="253" hidden="1" spans="1:12">
      <c r="A253" s="404"/>
      <c r="B253" s="404"/>
      <c r="C253" s="334"/>
      <c r="D253" s="442">
        <v>0</v>
      </c>
      <c r="E253" s="450">
        <v>0</v>
      </c>
      <c r="F253" s="333" t="s">
        <v>13063</v>
      </c>
      <c r="G253" s="333" t="s">
        <v>14214</v>
      </c>
      <c r="H253" s="346">
        <v>0</v>
      </c>
      <c r="I253" s="346">
        <v>0</v>
      </c>
      <c r="J253" s="346"/>
      <c r="K253" s="334"/>
      <c r="L253" s="346" t="s">
        <v>932</v>
      </c>
    </row>
    <row r="254" hidden="1" spans="1:12">
      <c r="A254" s="404">
        <v>0</v>
      </c>
      <c r="B254" s="404" t="e">
        <v>#N/A</v>
      </c>
      <c r="C254" s="404"/>
      <c r="D254" s="442">
        <v>0</v>
      </c>
      <c r="E254" s="450">
        <v>0</v>
      </c>
      <c r="F254" s="333" t="s">
        <v>13063</v>
      </c>
      <c r="G254" s="333" t="s">
        <v>14212</v>
      </c>
      <c r="H254" s="346">
        <v>0</v>
      </c>
      <c r="I254" s="346">
        <v>0</v>
      </c>
      <c r="J254" s="346"/>
      <c r="K254" s="334"/>
      <c r="L254" s="346" t="s">
        <v>932</v>
      </c>
    </row>
    <row r="255" hidden="1" spans="1:12">
      <c r="A255" s="404"/>
      <c r="B255" s="404"/>
      <c r="C255" s="334"/>
      <c r="D255" s="442">
        <v>0</v>
      </c>
      <c r="E255" s="450">
        <v>0</v>
      </c>
      <c r="F255" s="333" t="s">
        <v>13063</v>
      </c>
      <c r="G255" s="333" t="s">
        <v>14213</v>
      </c>
      <c r="H255" s="346">
        <v>0</v>
      </c>
      <c r="I255" s="346">
        <v>0</v>
      </c>
      <c r="J255" s="346"/>
      <c r="K255" s="334"/>
      <c r="L255" s="346" t="s">
        <v>932</v>
      </c>
    </row>
    <row r="256" hidden="1" spans="1:12">
      <c r="A256" s="404"/>
      <c r="B256" s="404"/>
      <c r="C256" s="334"/>
      <c r="D256" s="442">
        <v>0</v>
      </c>
      <c r="E256" s="450">
        <v>0</v>
      </c>
      <c r="F256" s="333" t="s">
        <v>13063</v>
      </c>
      <c r="G256" s="333" t="s">
        <v>14214</v>
      </c>
      <c r="H256" s="346">
        <v>0</v>
      </c>
      <c r="I256" s="346">
        <v>0</v>
      </c>
      <c r="J256" s="346"/>
      <c r="K256" s="334"/>
      <c r="L256" s="346" t="s">
        <v>932</v>
      </c>
    </row>
    <row r="257" hidden="1" spans="1:12">
      <c r="A257" s="401">
        <v>0</v>
      </c>
      <c r="B257" s="401" t="e">
        <v>#N/A</v>
      </c>
      <c r="C257" s="401"/>
      <c r="D257" s="442">
        <v>0</v>
      </c>
      <c r="E257" s="450">
        <v>0</v>
      </c>
      <c r="F257" s="439" t="s">
        <v>13063</v>
      </c>
      <c r="G257" s="439" t="s">
        <v>14212</v>
      </c>
      <c r="H257" s="346">
        <v>0</v>
      </c>
      <c r="I257" s="346">
        <v>0</v>
      </c>
      <c r="J257" s="395"/>
      <c r="L257" s="346" t="s">
        <v>932</v>
      </c>
    </row>
    <row r="258" hidden="1" spans="1:12">
      <c r="A258" s="401"/>
      <c r="B258" s="401"/>
      <c r="D258" s="442">
        <v>0</v>
      </c>
      <c r="E258" s="450">
        <v>0</v>
      </c>
      <c r="F258" s="439" t="s">
        <v>13063</v>
      </c>
      <c r="G258" s="439" t="s">
        <v>14213</v>
      </c>
      <c r="H258" s="346">
        <v>0</v>
      </c>
      <c r="I258" s="346">
        <v>0</v>
      </c>
      <c r="J258" s="395"/>
      <c r="L258" s="346" t="s">
        <v>932</v>
      </c>
    </row>
    <row r="259" hidden="1" spans="1:12">
      <c r="A259" s="401"/>
      <c r="B259" s="401"/>
      <c r="D259" s="442">
        <v>0</v>
      </c>
      <c r="E259" s="450">
        <v>0</v>
      </c>
      <c r="F259" s="439" t="s">
        <v>13063</v>
      </c>
      <c r="G259" s="439" t="s">
        <v>14214</v>
      </c>
      <c r="H259" s="346">
        <v>0</v>
      </c>
      <c r="I259" s="346">
        <v>0</v>
      </c>
      <c r="J259" s="395"/>
      <c r="L259" s="346" t="s">
        <v>932</v>
      </c>
    </row>
    <row r="260" hidden="1" spans="1:12">
      <c r="A260" s="401">
        <v>0</v>
      </c>
      <c r="B260" s="401" t="e">
        <v>#N/A</v>
      </c>
      <c r="C260" s="401"/>
      <c r="D260" s="442">
        <v>0</v>
      </c>
      <c r="E260" s="450">
        <v>0</v>
      </c>
      <c r="F260" s="439" t="s">
        <v>13063</v>
      </c>
      <c r="G260" s="439" t="s">
        <v>14212</v>
      </c>
      <c r="H260" s="346">
        <v>0</v>
      </c>
      <c r="I260" s="346">
        <v>0</v>
      </c>
      <c r="J260" s="395"/>
      <c r="L260" s="346" t="s">
        <v>932</v>
      </c>
    </row>
    <row r="261" hidden="1" spans="1:12">
      <c r="A261" s="401"/>
      <c r="B261" s="401"/>
      <c r="D261" s="442">
        <v>0</v>
      </c>
      <c r="E261" s="450">
        <v>0</v>
      </c>
      <c r="F261" s="439" t="s">
        <v>13063</v>
      </c>
      <c r="G261" s="439" t="s">
        <v>14213</v>
      </c>
      <c r="H261" s="346">
        <v>0</v>
      </c>
      <c r="I261" s="346">
        <v>0</v>
      </c>
      <c r="J261" s="395"/>
      <c r="L261" s="346" t="s">
        <v>932</v>
      </c>
    </row>
    <row r="262" hidden="1" spans="1:12">
      <c r="A262" s="401"/>
      <c r="B262" s="401"/>
      <c r="D262" s="442">
        <v>0</v>
      </c>
      <c r="E262" s="450">
        <v>0</v>
      </c>
      <c r="F262" s="439" t="s">
        <v>13063</v>
      </c>
      <c r="G262" s="439" t="s">
        <v>14214</v>
      </c>
      <c r="H262" s="346">
        <v>0</v>
      </c>
      <c r="I262" s="346">
        <v>0</v>
      </c>
      <c r="J262" s="395"/>
      <c r="L262" s="346" t="s">
        <v>932</v>
      </c>
    </row>
    <row r="263" hidden="1" spans="1:12">
      <c r="A263" s="401">
        <v>0</v>
      </c>
      <c r="B263" s="401" t="e">
        <v>#N/A</v>
      </c>
      <c r="C263" s="401"/>
      <c r="D263" s="442">
        <v>0</v>
      </c>
      <c r="E263" s="450">
        <v>0</v>
      </c>
      <c r="F263" s="439" t="s">
        <v>13063</v>
      </c>
      <c r="G263" s="439" t="s">
        <v>14212</v>
      </c>
      <c r="H263" s="346">
        <v>0</v>
      </c>
      <c r="I263" s="346">
        <v>0</v>
      </c>
      <c r="J263" s="395"/>
      <c r="L263" s="346" t="s">
        <v>932</v>
      </c>
    </row>
    <row r="264" hidden="1" spans="1:12">
      <c r="A264" s="401"/>
      <c r="B264" s="401"/>
      <c r="D264" s="442">
        <v>0</v>
      </c>
      <c r="E264" s="450">
        <v>0</v>
      </c>
      <c r="F264" s="439" t="s">
        <v>13063</v>
      </c>
      <c r="G264" s="439" t="s">
        <v>14213</v>
      </c>
      <c r="H264" s="346">
        <v>0</v>
      </c>
      <c r="I264" s="346">
        <v>0</v>
      </c>
      <c r="J264" s="395"/>
      <c r="L264" s="346" t="s">
        <v>932</v>
      </c>
    </row>
    <row r="265" hidden="1" spans="1:12">
      <c r="A265" s="401"/>
      <c r="B265" s="401"/>
      <c r="D265" s="442">
        <v>0</v>
      </c>
      <c r="E265" s="450">
        <v>0</v>
      </c>
      <c r="F265" s="439" t="s">
        <v>13063</v>
      </c>
      <c r="G265" s="439" t="s">
        <v>14214</v>
      </c>
      <c r="H265" s="346">
        <v>0</v>
      </c>
      <c r="I265" s="346">
        <v>0</v>
      </c>
      <c r="J265" s="395"/>
      <c r="L265" s="346" t="s">
        <v>932</v>
      </c>
    </row>
    <row r="266" hidden="1" spans="1:12">
      <c r="A266" s="421"/>
      <c r="B266" s="422"/>
      <c r="C266" s="422"/>
      <c r="D266" s="422"/>
      <c r="E266" s="422"/>
      <c r="F266" s="422"/>
      <c r="G266" s="422"/>
      <c r="H266" s="422"/>
      <c r="I266" s="430"/>
      <c r="J266" s="430"/>
      <c r="K266" s="425" t="s">
        <v>14215</v>
      </c>
      <c r="L266" s="426">
        <v>0</v>
      </c>
    </row>
    <row r="267" spans="1:12">
      <c r="A267" s="451"/>
      <c r="B267" s="452"/>
      <c r="C267" s="452"/>
      <c r="D267" s="452"/>
      <c r="E267" s="452"/>
      <c r="F267" s="452"/>
      <c r="G267" s="452"/>
      <c r="H267" s="452"/>
      <c r="I267" s="453"/>
      <c r="J267" s="453"/>
      <c r="K267" s="454" t="s">
        <v>14216</v>
      </c>
      <c r="L267" s="455">
        <v>2132.52</v>
      </c>
    </row>
    <row r="269" spans="1:12">
      <c r="A269" s="391" t="s">
        <v>14172</v>
      </c>
      <c r="B269" s="392"/>
      <c r="C269" s="392"/>
      <c r="D269" s="392"/>
      <c r="E269" s="392"/>
      <c r="F269" s="392"/>
      <c r="G269" s="393"/>
      <c r="H269" s="393"/>
      <c r="I269" s="393"/>
      <c r="J269" s="393"/>
      <c r="K269" s="393"/>
      <c r="L269" s="471"/>
    </row>
    <row r="270" spans="1:12">
      <c r="A270" s="396">
        <v>5502109</v>
      </c>
      <c r="B270" s="397" t="s">
        <v>98</v>
      </c>
      <c r="C270" s="397"/>
      <c r="D270" s="397"/>
      <c r="E270" s="397"/>
      <c r="F270" s="397"/>
      <c r="G270" s="397"/>
      <c r="H270" s="397" t="s">
        <v>99</v>
      </c>
      <c r="I270" s="398">
        <v>46023</v>
      </c>
      <c r="J270" s="397"/>
      <c r="K270" s="399" t="s">
        <v>14173</v>
      </c>
      <c r="L270" s="400">
        <v>0</v>
      </c>
    </row>
    <row r="271" spans="1:12">
      <c r="A271" s="401"/>
      <c r="H271" s="402" t="s">
        <v>14174</v>
      </c>
      <c r="I271" s="434">
        <v>230.19</v>
      </c>
      <c r="J271" s="404" t="s">
        <v>99</v>
      </c>
      <c r="K271" s="402" t="s">
        <v>14175</v>
      </c>
      <c r="L271" s="456">
        <v>0.13329</v>
      </c>
    </row>
    <row r="272" spans="1:12">
      <c r="A272" s="405"/>
      <c r="B272" s="405"/>
      <c r="C272" s="405"/>
      <c r="D272" s="406"/>
      <c r="E272" s="406"/>
      <c r="F272" s="406"/>
      <c r="G272" s="407" t="s">
        <v>14176</v>
      </c>
      <c r="H272" s="408"/>
      <c r="I272" s="407" t="s">
        <v>14177</v>
      </c>
      <c r="J272" s="408"/>
      <c r="K272" s="405"/>
      <c r="L272" s="409" t="s">
        <v>14178</v>
      </c>
    </row>
    <row r="273" spans="1:14">
      <c r="A273" s="410" t="s">
        <v>14179</v>
      </c>
      <c r="B273" s="411"/>
      <c r="C273" s="412"/>
      <c r="D273" s="412"/>
      <c r="E273" s="413" t="s">
        <v>74</v>
      </c>
      <c r="F273" s="412"/>
      <c r="G273" s="413" t="s">
        <v>14180</v>
      </c>
      <c r="H273" s="413" t="s">
        <v>14181</v>
      </c>
      <c r="I273" s="413" t="s">
        <v>14182</v>
      </c>
      <c r="J273" s="413" t="s">
        <v>14183</v>
      </c>
      <c r="K273" s="411"/>
      <c r="L273" s="414" t="s">
        <v>14184</v>
      </c>
    </row>
    <row r="274" spans="1:14">
      <c r="A274" s="404" t="s">
        <v>1056</v>
      </c>
      <c r="B274" s="415" t="s">
        <v>1057</v>
      </c>
      <c r="C274" s="415"/>
      <c r="E274" s="434">
        <v>4</v>
      </c>
      <c r="F274" s="334"/>
      <c r="G274" s="346">
        <v>0.76</v>
      </c>
      <c r="H274" s="417">
        <v>0.24</v>
      </c>
      <c r="I274" s="395">
        <v>326.8179</v>
      </c>
      <c r="J274" s="418">
        <v>98.1376</v>
      </c>
      <c r="K274" s="402"/>
      <c r="L274" s="395">
        <v>1087.738512</v>
      </c>
      <c r="N274" s="395">
        <v>392.5504</v>
      </c>
    </row>
    <row r="275" spans="1:14">
      <c r="A275" s="404" t="s">
        <v>1058</v>
      </c>
      <c r="B275" s="404" t="s">
        <v>1059</v>
      </c>
      <c r="C275" s="404"/>
      <c r="D275" s="334"/>
      <c r="E275" s="434">
        <v>1</v>
      </c>
      <c r="F275" s="334"/>
      <c r="G275" s="346">
        <v>1</v>
      </c>
      <c r="H275" s="417">
        <v>0</v>
      </c>
      <c r="I275" s="346">
        <v>330.8605</v>
      </c>
      <c r="J275" s="419">
        <v>150.3416</v>
      </c>
      <c r="K275" s="420"/>
      <c r="L275" s="395">
        <v>330.8605</v>
      </c>
      <c r="N275" s="395">
        <v>150.3416</v>
      </c>
    </row>
    <row r="276" hidden="1" spans="1:14">
      <c r="A276" s="404">
        <v>0</v>
      </c>
      <c r="B276" s="404" t="e">
        <v>#N/A</v>
      </c>
      <c r="C276" s="404"/>
      <c r="D276" s="334"/>
      <c r="E276" s="434">
        <v>0</v>
      </c>
      <c r="F276" s="334"/>
      <c r="G276" s="346">
        <v>0</v>
      </c>
      <c r="H276" s="417">
        <v>1</v>
      </c>
      <c r="I276" s="346" t="e">
        <v>#N/A</v>
      </c>
      <c r="J276" s="419" t="e">
        <v>#N/A</v>
      </c>
      <c r="K276" s="420"/>
      <c r="L276" s="395" t="s">
        <v>932</v>
      </c>
      <c r="N276" s="395" t="s">
        <v>932</v>
      </c>
    </row>
    <row r="277" hidden="1" spans="1:14">
      <c r="A277" s="404">
        <v>0</v>
      </c>
      <c r="B277" s="404" t="e">
        <v>#N/A</v>
      </c>
      <c r="C277" s="404"/>
      <c r="D277" s="334"/>
      <c r="E277" s="434">
        <v>0</v>
      </c>
      <c r="F277" s="334"/>
      <c r="G277" s="346">
        <v>0</v>
      </c>
      <c r="H277" s="417">
        <v>1</v>
      </c>
      <c r="I277" s="346" t="e">
        <v>#N/A</v>
      </c>
      <c r="J277" s="419" t="e">
        <v>#N/A</v>
      </c>
      <c r="K277" s="420"/>
      <c r="L277" s="395" t="s">
        <v>932</v>
      </c>
      <c r="N277" s="395" t="s">
        <v>932</v>
      </c>
    </row>
    <row r="278" hidden="1" spans="1:14">
      <c r="A278" s="404">
        <v>0</v>
      </c>
      <c r="B278" s="404" t="e">
        <v>#N/A</v>
      </c>
      <c r="C278" s="404"/>
      <c r="D278" s="334"/>
      <c r="E278" s="434">
        <v>0</v>
      </c>
      <c r="F278" s="334"/>
      <c r="G278" s="346">
        <v>0</v>
      </c>
      <c r="H278" s="417">
        <v>1</v>
      </c>
      <c r="I278" s="346" t="e">
        <v>#N/A</v>
      </c>
      <c r="J278" s="419" t="e">
        <v>#N/A</v>
      </c>
      <c r="K278" s="420"/>
      <c r="L278" s="395" t="s">
        <v>932</v>
      </c>
      <c r="N278" s="395" t="s">
        <v>932</v>
      </c>
    </row>
    <row r="279" hidden="1" spans="1:14">
      <c r="A279" s="404">
        <v>0</v>
      </c>
      <c r="B279" s="404" t="e">
        <v>#N/A</v>
      </c>
      <c r="C279" s="404"/>
      <c r="D279" s="334"/>
      <c r="E279" s="416">
        <v>0</v>
      </c>
      <c r="F279" s="334"/>
      <c r="G279" s="346">
        <v>0</v>
      </c>
      <c r="H279" s="417">
        <v>1</v>
      </c>
      <c r="I279" s="346" t="e">
        <v>#N/A</v>
      </c>
      <c r="J279" s="419" t="e">
        <v>#N/A</v>
      </c>
      <c r="K279" s="420"/>
      <c r="L279" s="395" t="s">
        <v>932</v>
      </c>
      <c r="N279" s="395" t="s">
        <v>932</v>
      </c>
    </row>
    <row r="280" hidden="1" spans="1:14">
      <c r="A280" s="404">
        <v>0</v>
      </c>
      <c r="B280" s="404" t="e">
        <v>#N/A</v>
      </c>
      <c r="C280" s="404"/>
      <c r="D280" s="334"/>
      <c r="E280" s="416">
        <v>0</v>
      </c>
      <c r="F280" s="334"/>
      <c r="G280" s="346">
        <v>0</v>
      </c>
      <c r="H280" s="417">
        <v>1</v>
      </c>
      <c r="I280" s="346" t="e">
        <v>#N/A</v>
      </c>
      <c r="J280" s="419" t="e">
        <v>#N/A</v>
      </c>
      <c r="K280" s="420"/>
      <c r="L280" s="395" t="s">
        <v>932</v>
      </c>
      <c r="N280" s="395" t="s">
        <v>932</v>
      </c>
    </row>
    <row r="281" hidden="1" spans="1:14">
      <c r="A281" s="404">
        <v>0</v>
      </c>
      <c r="B281" s="404" t="e">
        <v>#N/A</v>
      </c>
      <c r="C281" s="404"/>
      <c r="D281" s="334"/>
      <c r="E281" s="416">
        <v>0</v>
      </c>
      <c r="F281" s="334"/>
      <c r="G281" s="346">
        <v>0</v>
      </c>
      <c r="H281" s="417">
        <v>1</v>
      </c>
      <c r="I281" s="346" t="e">
        <v>#N/A</v>
      </c>
      <c r="J281" s="419" t="e">
        <v>#N/A</v>
      </c>
      <c r="K281" s="420"/>
      <c r="L281" s="395" t="s">
        <v>932</v>
      </c>
      <c r="N281" s="395" t="s">
        <v>932</v>
      </c>
    </row>
    <row r="282" spans="1:14">
      <c r="A282" s="421"/>
      <c r="B282" s="422"/>
      <c r="C282" s="422"/>
      <c r="D282" s="422"/>
      <c r="E282" s="423"/>
      <c r="F282" s="424"/>
      <c r="G282" s="422"/>
      <c r="H282" s="422"/>
      <c r="I282" s="422"/>
      <c r="J282" s="422"/>
      <c r="K282" s="425" t="s">
        <v>14185</v>
      </c>
      <c r="L282" s="426">
        <v>1418.599012</v>
      </c>
      <c r="N282" s="427">
        <v>542.892</v>
      </c>
    </row>
    <row r="283" spans="1:14">
      <c r="A283" s="428" t="s">
        <v>14186</v>
      </c>
      <c r="B283" s="429"/>
      <c r="C283" s="429"/>
      <c r="D283" s="430"/>
      <c r="E283" s="431" t="s">
        <v>74</v>
      </c>
      <c r="F283" s="431" t="s">
        <v>1123</v>
      </c>
      <c r="G283" s="430"/>
      <c r="H283" s="422"/>
      <c r="I283" s="431" t="s">
        <v>14177</v>
      </c>
      <c r="J283" s="430"/>
      <c r="K283" s="430"/>
      <c r="L283" s="432" t="s">
        <v>14187</v>
      </c>
    </row>
    <row r="284" spans="1:14">
      <c r="A284" s="404" t="s">
        <v>935</v>
      </c>
      <c r="B284" s="433" t="s">
        <v>936</v>
      </c>
      <c r="C284" s="433"/>
      <c r="D284" s="334"/>
      <c r="E284" s="434">
        <v>1</v>
      </c>
      <c r="F284" s="333" t="s">
        <v>104</v>
      </c>
      <c r="G284" s="334"/>
      <c r="H284" s="334"/>
      <c r="I284" s="435">
        <v>23.6025</v>
      </c>
      <c r="J284" s="334"/>
      <c r="K284" s="334"/>
      <c r="L284" s="346">
        <v>23.6025</v>
      </c>
      <c r="N284" s="395">
        <v>23.6025</v>
      </c>
    </row>
    <row r="285" hidden="1" spans="1:14">
      <c r="A285" s="404">
        <v>0</v>
      </c>
      <c r="B285" s="404" t="e">
        <v>#N/A</v>
      </c>
      <c r="C285" s="404"/>
      <c r="D285" s="334"/>
      <c r="E285" s="434">
        <v>0</v>
      </c>
      <c r="F285" s="333" t="s">
        <v>104</v>
      </c>
      <c r="G285" s="334"/>
      <c r="H285" s="334"/>
      <c r="I285" s="435" t="e">
        <v>#N/A</v>
      </c>
      <c r="J285" s="334"/>
      <c r="K285" s="334"/>
      <c r="L285" s="346" t="s">
        <v>932</v>
      </c>
      <c r="N285" s="395" t="s">
        <v>932</v>
      </c>
    </row>
    <row r="286" hidden="1" spans="1:14">
      <c r="A286" s="404">
        <v>0</v>
      </c>
      <c r="B286" s="404" t="e">
        <v>#N/A</v>
      </c>
      <c r="C286" s="404"/>
      <c r="D286" s="334"/>
      <c r="E286" s="434">
        <v>0</v>
      </c>
      <c r="F286" s="333" t="s">
        <v>104</v>
      </c>
      <c r="G286" s="334"/>
      <c r="H286" s="334"/>
      <c r="I286" s="435" t="e">
        <v>#N/A</v>
      </c>
      <c r="J286" s="334"/>
      <c r="K286" s="334"/>
      <c r="L286" s="346" t="s">
        <v>932</v>
      </c>
      <c r="N286" s="395" t="s">
        <v>932</v>
      </c>
    </row>
    <row r="287" hidden="1" spans="1:14">
      <c r="A287" s="404">
        <v>0</v>
      </c>
      <c r="B287" s="404" t="e">
        <v>#N/A</v>
      </c>
      <c r="C287" s="404"/>
      <c r="D287" s="334"/>
      <c r="E287" s="434">
        <v>0</v>
      </c>
      <c r="F287" s="333" t="s">
        <v>104</v>
      </c>
      <c r="G287" s="334"/>
      <c r="H287" s="334"/>
      <c r="I287" s="435" t="e">
        <v>#N/A</v>
      </c>
      <c r="J287" s="334"/>
      <c r="K287" s="334"/>
      <c r="L287" s="346" t="s">
        <v>932</v>
      </c>
      <c r="N287" s="395" t="s">
        <v>932</v>
      </c>
    </row>
    <row r="288" hidden="1" spans="1:14">
      <c r="A288" s="404">
        <v>0</v>
      </c>
      <c r="B288" s="404" t="e">
        <v>#N/A</v>
      </c>
      <c r="C288" s="404"/>
      <c r="D288" s="334"/>
      <c r="E288" s="434">
        <v>0</v>
      </c>
      <c r="F288" s="333" t="s">
        <v>104</v>
      </c>
      <c r="G288" s="334"/>
      <c r="H288" s="334"/>
      <c r="I288" s="435" t="e">
        <v>#N/A</v>
      </c>
      <c r="J288" s="334"/>
      <c r="K288" s="334"/>
      <c r="L288" s="346" t="s">
        <v>932</v>
      </c>
      <c r="N288" s="395" t="s">
        <v>932</v>
      </c>
    </row>
    <row r="289" hidden="1" spans="1:15">
      <c r="A289" s="404">
        <v>0</v>
      </c>
      <c r="B289" s="404" t="e">
        <v>#N/A</v>
      </c>
      <c r="C289" s="404"/>
      <c r="D289" s="334"/>
      <c r="E289" s="434">
        <v>0</v>
      </c>
      <c r="F289" s="333" t="s">
        <v>104</v>
      </c>
      <c r="G289" s="334"/>
      <c r="H289" s="334"/>
      <c r="I289" s="435" t="e">
        <v>#N/A</v>
      </c>
      <c r="J289" s="334"/>
      <c r="K289" s="334"/>
      <c r="L289" s="346" t="s">
        <v>932</v>
      </c>
      <c r="N289" s="395" t="s">
        <v>932</v>
      </c>
    </row>
    <row r="290" hidden="1" spans="1:15">
      <c r="A290" s="404">
        <v>0</v>
      </c>
      <c r="B290" s="404" t="e">
        <v>#N/A</v>
      </c>
      <c r="C290" s="404"/>
      <c r="D290" s="334"/>
      <c r="E290" s="434">
        <v>0</v>
      </c>
      <c r="F290" s="333" t="s">
        <v>104</v>
      </c>
      <c r="G290" s="334"/>
      <c r="H290" s="334"/>
      <c r="I290" s="435" t="e">
        <v>#N/A</v>
      </c>
      <c r="J290" s="334"/>
      <c r="K290" s="334"/>
      <c r="L290" s="346" t="s">
        <v>932</v>
      </c>
      <c r="N290" s="395" t="s">
        <v>932</v>
      </c>
    </row>
    <row r="291" hidden="1" spans="1:15">
      <c r="A291" s="404">
        <v>0</v>
      </c>
      <c r="B291" s="436" t="e">
        <v>#N/A</v>
      </c>
      <c r="C291" s="436"/>
      <c r="D291" s="334"/>
      <c r="E291" s="434">
        <v>0</v>
      </c>
      <c r="F291" s="333" t="s">
        <v>104</v>
      </c>
      <c r="G291" s="334"/>
      <c r="H291" s="334"/>
      <c r="I291" s="435" t="e">
        <v>#N/A</v>
      </c>
      <c r="J291" s="334"/>
      <c r="K291" s="334"/>
      <c r="L291" s="346" t="s">
        <v>932</v>
      </c>
      <c r="N291" s="395" t="s">
        <v>932</v>
      </c>
    </row>
    <row r="292" spans="1:15">
      <c r="A292" s="421"/>
      <c r="B292" s="62"/>
      <c r="C292" s="62"/>
      <c r="D292" s="422"/>
      <c r="E292" s="423"/>
      <c r="F292" s="424"/>
      <c r="G292" s="422"/>
      <c r="H292" s="422"/>
      <c r="I292" s="422"/>
      <c r="J292" s="422"/>
      <c r="K292" s="425" t="s">
        <v>14188</v>
      </c>
      <c r="L292" s="426">
        <v>23.6025</v>
      </c>
      <c r="N292" s="427">
        <v>23.6025</v>
      </c>
    </row>
    <row r="293" spans="1:15">
      <c r="I293" s="437"/>
      <c r="K293" s="383" t="s">
        <v>14189</v>
      </c>
      <c r="L293" s="427">
        <v>1442.201512</v>
      </c>
      <c r="N293" s="395">
        <v>566.4945</v>
      </c>
    </row>
    <row r="294" spans="1:15">
      <c r="K294" s="383" t="s">
        <v>14190</v>
      </c>
      <c r="L294" s="427">
        <v>6.26526570224597</v>
      </c>
      <c r="N294" s="395">
        <v>2.46098657630653</v>
      </c>
      <c r="O294" s="395">
        <v>0.328024900755897</v>
      </c>
    </row>
    <row r="295" spans="1:15">
      <c r="K295" s="383" t="s">
        <v>14191</v>
      </c>
      <c r="L295" s="427">
        <v>0.328024900755897</v>
      </c>
    </row>
    <row r="296" spans="1:15">
      <c r="K296" s="383" t="s">
        <v>14192</v>
      </c>
      <c r="L296" s="395">
        <v>0</v>
      </c>
    </row>
    <row r="297" hidden="1" spans="1:15">
      <c r="A297" s="428" t="s">
        <v>14193</v>
      </c>
      <c r="B297" s="430"/>
      <c r="C297" s="430"/>
      <c r="D297" s="430"/>
      <c r="E297" s="431" t="s">
        <v>74</v>
      </c>
      <c r="F297" s="431" t="s">
        <v>1123</v>
      </c>
      <c r="G297" s="430"/>
      <c r="H297" s="430"/>
      <c r="I297" s="425" t="s">
        <v>75</v>
      </c>
      <c r="J297" s="430"/>
      <c r="K297" s="430"/>
      <c r="L297" s="426" t="s">
        <v>14194</v>
      </c>
    </row>
    <row r="298" hidden="1" spans="1:15">
      <c r="A298" s="404">
        <v>0</v>
      </c>
      <c r="B298" s="433" t="e">
        <v>#N/A</v>
      </c>
      <c r="C298" s="433"/>
      <c r="D298" s="334"/>
      <c r="E298" s="434">
        <v>0</v>
      </c>
      <c r="F298" s="333" t="e">
        <v>#N/A</v>
      </c>
      <c r="G298" s="334"/>
      <c r="I298" s="395" t="e">
        <v>#N/A</v>
      </c>
      <c r="J298" s="395"/>
      <c r="K298" s="395"/>
      <c r="L298" s="346" t="s">
        <v>932</v>
      </c>
    </row>
    <row r="299" hidden="1" spans="1:15">
      <c r="A299" s="404">
        <v>0</v>
      </c>
      <c r="B299" s="404" t="e">
        <v>#N/A</v>
      </c>
      <c r="C299" s="404"/>
      <c r="D299" s="334"/>
      <c r="E299" s="434">
        <v>0</v>
      </c>
      <c r="F299" s="333" t="e">
        <v>#N/A</v>
      </c>
      <c r="G299" s="334"/>
      <c r="I299" s="395" t="e">
        <v>#N/A</v>
      </c>
      <c r="J299" s="395"/>
      <c r="K299" s="395"/>
      <c r="L299" s="346" t="s">
        <v>932</v>
      </c>
    </row>
    <row r="300" hidden="1" spans="1:15">
      <c r="A300" s="404">
        <v>0</v>
      </c>
      <c r="B300" s="404" t="e">
        <v>#N/A</v>
      </c>
      <c r="C300" s="404"/>
      <c r="D300" s="334"/>
      <c r="E300" s="434">
        <v>0</v>
      </c>
      <c r="F300" s="333" t="e">
        <v>#N/A</v>
      </c>
      <c r="G300" s="334"/>
      <c r="I300" s="395" t="e">
        <v>#N/A</v>
      </c>
      <c r="J300" s="395"/>
      <c r="K300" s="395"/>
      <c r="L300" s="346" t="s">
        <v>932</v>
      </c>
    </row>
    <row r="301" hidden="1" spans="1:15">
      <c r="A301" s="404">
        <v>0</v>
      </c>
      <c r="B301" s="404" t="e">
        <v>#N/A</v>
      </c>
      <c r="C301" s="404"/>
      <c r="D301" s="334"/>
      <c r="E301" s="434">
        <v>0</v>
      </c>
      <c r="F301" s="333" t="e">
        <v>#N/A</v>
      </c>
      <c r="G301" s="334"/>
      <c r="I301" s="395" t="e">
        <v>#N/A</v>
      </c>
      <c r="J301" s="395"/>
      <c r="K301" s="395"/>
      <c r="L301" s="346" t="s">
        <v>932</v>
      </c>
    </row>
    <row r="302" hidden="1" spans="1:15">
      <c r="A302" s="404">
        <v>0</v>
      </c>
      <c r="B302" s="404" t="e">
        <v>#N/A</v>
      </c>
      <c r="C302" s="404"/>
      <c r="D302" s="334"/>
      <c r="E302" s="434">
        <v>0</v>
      </c>
      <c r="F302" s="333" t="e">
        <v>#N/A</v>
      </c>
      <c r="G302" s="334"/>
      <c r="H302" s="334"/>
      <c r="I302" s="395" t="e">
        <v>#N/A</v>
      </c>
      <c r="J302" s="395"/>
      <c r="K302" s="395"/>
      <c r="L302" s="346" t="s">
        <v>932</v>
      </c>
    </row>
    <row r="303" hidden="1" spans="1:15">
      <c r="A303" s="404">
        <v>0</v>
      </c>
      <c r="B303" s="404" t="e">
        <v>#N/A</v>
      </c>
      <c r="C303" s="404"/>
      <c r="D303" s="334"/>
      <c r="E303" s="434">
        <v>0</v>
      </c>
      <c r="F303" s="333" t="e">
        <v>#N/A</v>
      </c>
      <c r="G303" s="334"/>
      <c r="H303" s="334"/>
      <c r="I303" s="395" t="e">
        <v>#N/A</v>
      </c>
      <c r="J303" s="395"/>
      <c r="K303" s="395"/>
      <c r="L303" s="346" t="s">
        <v>932</v>
      </c>
    </row>
    <row r="304" hidden="1" spans="1:15">
      <c r="A304" s="404">
        <v>0</v>
      </c>
      <c r="B304" s="404" t="e">
        <v>#N/A</v>
      </c>
      <c r="C304" s="404"/>
      <c r="D304" s="334"/>
      <c r="E304" s="434">
        <v>0</v>
      </c>
      <c r="F304" s="333" t="e">
        <v>#N/A</v>
      </c>
      <c r="G304" s="334"/>
      <c r="H304" s="334"/>
      <c r="I304" s="395" t="e">
        <v>#N/A</v>
      </c>
      <c r="J304" s="395"/>
      <c r="K304" s="395"/>
      <c r="L304" s="346" t="s">
        <v>932</v>
      </c>
    </row>
    <row r="305" hidden="1" spans="1:12">
      <c r="A305" s="404">
        <v>0</v>
      </c>
      <c r="B305" s="404" t="e">
        <v>#N/A</v>
      </c>
      <c r="C305" s="404"/>
      <c r="D305" s="438"/>
      <c r="E305" s="434">
        <v>0</v>
      </c>
      <c r="F305" s="333" t="e">
        <v>#N/A</v>
      </c>
      <c r="G305" s="334"/>
      <c r="H305" s="334"/>
      <c r="I305" s="395" t="e">
        <v>#N/A</v>
      </c>
      <c r="J305" s="395"/>
      <c r="K305" s="395"/>
      <c r="L305" s="346" t="s">
        <v>932</v>
      </c>
    </row>
    <row r="306" hidden="1" spans="1:12">
      <c r="A306" s="421"/>
      <c r="B306" s="422"/>
      <c r="C306" s="422"/>
      <c r="D306" s="422"/>
      <c r="E306" s="423"/>
      <c r="F306" s="424"/>
      <c r="G306" s="422"/>
      <c r="H306" s="422"/>
      <c r="I306" s="430"/>
      <c r="J306" s="430"/>
      <c r="K306" s="425" t="s">
        <v>14203</v>
      </c>
      <c r="L306" s="426">
        <v>0</v>
      </c>
    </row>
    <row r="307" hidden="1" spans="1:12">
      <c r="A307" s="428" t="s">
        <v>14204</v>
      </c>
      <c r="B307" s="430"/>
      <c r="C307" s="430"/>
      <c r="D307" s="430"/>
      <c r="E307" s="431" t="s">
        <v>74</v>
      </c>
      <c r="F307" s="431" t="s">
        <v>1123</v>
      </c>
      <c r="G307" s="430"/>
      <c r="H307" s="430"/>
      <c r="I307" s="425" t="s">
        <v>75</v>
      </c>
      <c r="J307" s="430"/>
      <c r="K307" s="430"/>
      <c r="L307" s="426" t="s">
        <v>14194</v>
      </c>
    </row>
    <row r="308" hidden="1" spans="1:12">
      <c r="A308" s="404">
        <v>0</v>
      </c>
      <c r="B308" s="334" t="e">
        <v>#N/A</v>
      </c>
      <c r="C308" s="334"/>
      <c r="D308" s="334"/>
      <c r="E308" s="434">
        <v>0</v>
      </c>
      <c r="F308" s="333" t="e">
        <v>#N/A</v>
      </c>
      <c r="G308" s="439"/>
      <c r="I308" s="346" t="e">
        <v>#N/A</v>
      </c>
      <c r="L308" s="346" t="s">
        <v>932</v>
      </c>
    </row>
    <row r="309" hidden="1" spans="1:12">
      <c r="A309" s="401">
        <v>0</v>
      </c>
      <c r="B309" s="334" t="e">
        <v>#N/A</v>
      </c>
      <c r="E309" s="440">
        <v>0</v>
      </c>
      <c r="F309" s="333" t="e">
        <v>#N/A</v>
      </c>
      <c r="G309" s="439"/>
      <c r="I309" s="346" t="e">
        <v>#N/A</v>
      </c>
      <c r="L309" s="346" t="s">
        <v>932</v>
      </c>
    </row>
    <row r="310" hidden="1" spans="1:12">
      <c r="A310" s="401">
        <v>0</v>
      </c>
      <c r="B310" s="334" t="e">
        <v>#N/A</v>
      </c>
      <c r="E310" s="440">
        <v>0</v>
      </c>
      <c r="F310" s="333" t="e">
        <v>#N/A</v>
      </c>
      <c r="G310" s="439"/>
      <c r="I310" s="346" t="e">
        <v>#N/A</v>
      </c>
      <c r="L310" s="346" t="s">
        <v>932</v>
      </c>
    </row>
    <row r="311" hidden="1" spans="1:12">
      <c r="A311" s="401">
        <v>0</v>
      </c>
      <c r="B311" s="334" t="e">
        <v>#N/A</v>
      </c>
      <c r="E311" s="440">
        <v>0</v>
      </c>
      <c r="F311" s="333" t="e">
        <v>#N/A</v>
      </c>
      <c r="G311" s="439"/>
      <c r="I311" s="346" t="e">
        <v>#N/A</v>
      </c>
      <c r="L311" s="346" t="s">
        <v>932</v>
      </c>
    </row>
    <row r="312" hidden="1" spans="1:12">
      <c r="A312" s="401">
        <v>0</v>
      </c>
      <c r="B312" s="334" t="e">
        <v>#N/A</v>
      </c>
      <c r="E312" s="440">
        <v>0</v>
      </c>
      <c r="F312" s="333" t="e">
        <v>#N/A</v>
      </c>
      <c r="G312" s="439"/>
      <c r="I312" s="346" t="e">
        <v>#N/A</v>
      </c>
      <c r="L312" s="346" t="s">
        <v>932</v>
      </c>
    </row>
    <row r="313" hidden="1" spans="1:12">
      <c r="A313" s="401">
        <v>0</v>
      </c>
      <c r="B313" s="334" t="e">
        <v>#N/A</v>
      </c>
      <c r="E313" s="440">
        <v>0</v>
      </c>
      <c r="F313" s="333" t="e">
        <v>#N/A</v>
      </c>
      <c r="G313" s="439"/>
      <c r="I313" s="346" t="e">
        <v>#N/A</v>
      </c>
      <c r="L313" s="346" t="s">
        <v>932</v>
      </c>
    </row>
    <row r="314" hidden="1" spans="1:12">
      <c r="A314" s="421"/>
      <c r="B314" s="422"/>
      <c r="C314" s="422"/>
      <c r="D314" s="422"/>
      <c r="E314" s="422"/>
      <c r="F314" s="422"/>
      <c r="G314" s="422"/>
      <c r="H314" s="422"/>
      <c r="I314" s="430"/>
      <c r="J314" s="430"/>
      <c r="K314" s="425" t="s">
        <v>14206</v>
      </c>
      <c r="L314" s="426">
        <v>0</v>
      </c>
    </row>
    <row r="315" spans="1:12">
      <c r="A315" s="421"/>
      <c r="B315" s="422"/>
      <c r="C315" s="422"/>
      <c r="D315" s="422"/>
      <c r="E315" s="422"/>
      <c r="F315" s="422"/>
      <c r="G315" s="422"/>
      <c r="H315" s="422"/>
      <c r="I315" s="430"/>
      <c r="J315" s="430"/>
      <c r="K315" s="425" t="s">
        <v>14207</v>
      </c>
      <c r="L315" s="426">
        <v>6.59329060300187</v>
      </c>
    </row>
    <row r="316" hidden="1" spans="1:12">
      <c r="A316" s="428" t="s">
        <v>14208</v>
      </c>
      <c r="B316" s="430"/>
      <c r="C316" s="430"/>
      <c r="D316" s="431" t="s">
        <v>55</v>
      </c>
      <c r="E316" s="431" t="s">
        <v>74</v>
      </c>
      <c r="F316" s="431" t="s">
        <v>1123</v>
      </c>
      <c r="G316" s="430"/>
      <c r="H316" s="430"/>
      <c r="I316" s="425" t="s">
        <v>75</v>
      </c>
      <c r="J316" s="430"/>
      <c r="K316" s="430"/>
      <c r="L316" s="426" t="s">
        <v>14194</v>
      </c>
    </row>
    <row r="317" hidden="1" spans="1:12">
      <c r="A317" s="404">
        <v>0</v>
      </c>
      <c r="B317" s="441" t="e">
        <v>#N/A</v>
      </c>
      <c r="C317" s="441"/>
      <c r="D317" s="442">
        <v>0</v>
      </c>
      <c r="E317" s="434">
        <v>0</v>
      </c>
      <c r="F317" s="333" t="s">
        <v>9885</v>
      </c>
      <c r="G317" s="443" t="s">
        <v>14209</v>
      </c>
      <c r="H317" s="334"/>
      <c r="I317" s="346">
        <v>0</v>
      </c>
      <c r="J317" s="334"/>
      <c r="K317" s="346"/>
      <c r="L317" s="346" t="s">
        <v>932</v>
      </c>
    </row>
    <row r="318" hidden="1" spans="1:12">
      <c r="A318" s="404">
        <v>0</v>
      </c>
      <c r="B318" s="334" t="e">
        <v>#N/A</v>
      </c>
      <c r="C318" s="334"/>
      <c r="D318" s="442">
        <v>0</v>
      </c>
      <c r="E318" s="434">
        <v>0</v>
      </c>
      <c r="F318" s="333" t="s">
        <v>9885</v>
      </c>
      <c r="G318" s="334"/>
      <c r="H318" s="334"/>
      <c r="I318" s="346">
        <v>0</v>
      </c>
      <c r="J318" s="334"/>
      <c r="K318" s="346"/>
      <c r="L318" s="346" t="s">
        <v>932</v>
      </c>
    </row>
    <row r="319" hidden="1" spans="1:12">
      <c r="A319" s="404">
        <v>0</v>
      </c>
      <c r="B319" s="334" t="e">
        <v>#N/A</v>
      </c>
      <c r="C319" s="334"/>
      <c r="D319" s="442">
        <v>0</v>
      </c>
      <c r="E319" s="434">
        <v>0</v>
      </c>
      <c r="F319" s="333" t="s">
        <v>9885</v>
      </c>
      <c r="G319" s="334"/>
      <c r="H319" s="334"/>
      <c r="I319" s="346">
        <v>0</v>
      </c>
      <c r="J319" s="334"/>
      <c r="K319" s="346"/>
      <c r="L319" s="346" t="s">
        <v>932</v>
      </c>
    </row>
    <row r="320" hidden="1" spans="1:12">
      <c r="A320" s="404">
        <v>0</v>
      </c>
      <c r="B320" s="334" t="e">
        <v>#N/A</v>
      </c>
      <c r="C320" s="334"/>
      <c r="D320" s="442">
        <v>0</v>
      </c>
      <c r="E320" s="434">
        <v>0</v>
      </c>
      <c r="F320" s="333" t="s">
        <v>9885</v>
      </c>
      <c r="G320" s="334"/>
      <c r="H320" s="334"/>
      <c r="I320" s="346">
        <v>0</v>
      </c>
      <c r="J320" s="334"/>
      <c r="K320" s="346"/>
      <c r="L320" s="346" t="s">
        <v>932</v>
      </c>
    </row>
    <row r="321" hidden="1" spans="1:12">
      <c r="A321" s="404">
        <v>0</v>
      </c>
      <c r="B321" s="334" t="e">
        <v>#N/A</v>
      </c>
      <c r="C321" s="334"/>
      <c r="D321" s="442">
        <v>0</v>
      </c>
      <c r="E321" s="434">
        <v>0</v>
      </c>
      <c r="F321" s="333" t="s">
        <v>9885</v>
      </c>
      <c r="G321" s="334"/>
      <c r="H321" s="334"/>
      <c r="I321" s="346">
        <v>0</v>
      </c>
      <c r="J321" s="334"/>
      <c r="K321" s="346"/>
      <c r="L321" s="346" t="s">
        <v>932</v>
      </c>
    </row>
    <row r="322" hidden="1" spans="1:12">
      <c r="A322" s="404">
        <v>0</v>
      </c>
      <c r="B322" s="334" t="e">
        <v>#N/A</v>
      </c>
      <c r="C322" s="334"/>
      <c r="D322" s="442">
        <v>0</v>
      </c>
      <c r="E322" s="434">
        <v>0</v>
      </c>
      <c r="F322" s="333" t="s">
        <v>9885</v>
      </c>
      <c r="G322" s="334"/>
      <c r="H322" s="334"/>
      <c r="I322" s="346">
        <v>0</v>
      </c>
      <c r="J322" s="334"/>
      <c r="K322" s="346"/>
      <c r="L322" s="346" t="s">
        <v>932</v>
      </c>
    </row>
    <row r="323" hidden="1" spans="1:12">
      <c r="A323" s="404">
        <v>0</v>
      </c>
      <c r="B323" s="334" t="e">
        <v>#N/A</v>
      </c>
      <c r="C323" s="334"/>
      <c r="D323" s="442">
        <v>0</v>
      </c>
      <c r="E323" s="434">
        <v>0</v>
      </c>
      <c r="F323" s="333" t="s">
        <v>9885</v>
      </c>
      <c r="G323" s="334"/>
      <c r="H323" s="334"/>
      <c r="I323" s="346">
        <v>0</v>
      </c>
      <c r="J323" s="334"/>
      <c r="K323" s="346"/>
      <c r="L323" s="346" t="s">
        <v>932</v>
      </c>
    </row>
    <row r="324" hidden="1" spans="1:12">
      <c r="A324" s="404">
        <v>0</v>
      </c>
      <c r="B324" s="444" t="e">
        <v>#N/A</v>
      </c>
      <c r="C324" s="444"/>
      <c r="D324" s="442">
        <v>0</v>
      </c>
      <c r="E324" s="434">
        <v>0</v>
      </c>
      <c r="F324" s="333" t="s">
        <v>9885</v>
      </c>
      <c r="G324" s="334"/>
      <c r="H324" s="334"/>
      <c r="I324" s="346">
        <v>0</v>
      </c>
      <c r="J324" s="334"/>
      <c r="K324" s="346"/>
      <c r="L324" s="346" t="s">
        <v>932</v>
      </c>
    </row>
    <row r="325" hidden="1" spans="1:12">
      <c r="A325" s="428"/>
      <c r="B325" s="445"/>
      <c r="C325" s="445"/>
      <c r="D325" s="430"/>
      <c r="E325" s="430"/>
      <c r="F325" s="430"/>
      <c r="G325" s="430"/>
      <c r="H325" s="430"/>
      <c r="I325" s="430"/>
      <c r="J325" s="430"/>
      <c r="K325" s="425" t="s">
        <v>14210</v>
      </c>
      <c r="L325" s="426">
        <v>0</v>
      </c>
    </row>
    <row r="326" hidden="1" spans="1:12">
      <c r="A326" s="446" t="s">
        <v>14211</v>
      </c>
      <c r="B326" s="445"/>
      <c r="C326" s="445"/>
      <c r="D326" s="447" t="s">
        <v>55</v>
      </c>
      <c r="E326" s="445" t="s">
        <v>74</v>
      </c>
      <c r="F326" s="447" t="s">
        <v>1123</v>
      </c>
      <c r="G326" s="445"/>
      <c r="H326" s="447" t="s">
        <v>72</v>
      </c>
      <c r="I326" s="447" t="s">
        <v>75</v>
      </c>
      <c r="J326" s="445"/>
      <c r="K326" s="448"/>
      <c r="L326" s="449" t="s">
        <v>14194</v>
      </c>
    </row>
    <row r="327" hidden="1" spans="1:12">
      <c r="A327" s="404">
        <v>0</v>
      </c>
      <c r="B327" s="433" t="e">
        <v>#N/A</v>
      </c>
      <c r="C327" s="433"/>
      <c r="D327" s="442">
        <v>0</v>
      </c>
      <c r="E327" s="450">
        <v>0</v>
      </c>
      <c r="F327" s="333" t="s">
        <v>13063</v>
      </c>
      <c r="G327" s="333" t="s">
        <v>14212</v>
      </c>
      <c r="H327" s="346">
        <v>0</v>
      </c>
      <c r="I327" s="346">
        <v>0</v>
      </c>
      <c r="J327" s="346"/>
      <c r="K327" s="334"/>
      <c r="L327" s="346" t="s">
        <v>932</v>
      </c>
    </row>
    <row r="328" hidden="1" spans="1:12">
      <c r="A328" s="404"/>
      <c r="B328" s="404"/>
      <c r="C328" s="334"/>
      <c r="D328" s="442">
        <v>0</v>
      </c>
      <c r="E328" s="450">
        <v>0</v>
      </c>
      <c r="F328" s="333" t="s">
        <v>13063</v>
      </c>
      <c r="G328" s="333" t="s">
        <v>14213</v>
      </c>
      <c r="H328" s="346">
        <v>0</v>
      </c>
      <c r="I328" s="346">
        <v>0</v>
      </c>
      <c r="J328" s="346"/>
      <c r="K328" s="334"/>
      <c r="L328" s="346" t="s">
        <v>932</v>
      </c>
    </row>
    <row r="329" hidden="1" spans="1:12">
      <c r="A329" s="404"/>
      <c r="B329" s="404"/>
      <c r="C329" s="334"/>
      <c r="D329" s="442">
        <v>0</v>
      </c>
      <c r="E329" s="450">
        <v>0</v>
      </c>
      <c r="F329" s="333" t="s">
        <v>13063</v>
      </c>
      <c r="G329" s="333" t="s">
        <v>14214</v>
      </c>
      <c r="H329" s="346">
        <v>0</v>
      </c>
      <c r="I329" s="346">
        <v>0</v>
      </c>
      <c r="J329" s="346"/>
      <c r="K329" s="334"/>
      <c r="L329" s="346" t="s">
        <v>932</v>
      </c>
    </row>
    <row r="330" hidden="1" spans="1:12">
      <c r="A330" s="404">
        <v>0</v>
      </c>
      <c r="B330" s="404" t="e">
        <v>#N/A</v>
      </c>
      <c r="C330" s="404"/>
      <c r="D330" s="442">
        <v>0</v>
      </c>
      <c r="E330" s="450">
        <v>0</v>
      </c>
      <c r="F330" s="333" t="s">
        <v>13063</v>
      </c>
      <c r="G330" s="333" t="s">
        <v>14212</v>
      </c>
      <c r="H330" s="346">
        <v>0</v>
      </c>
      <c r="I330" s="346">
        <v>0</v>
      </c>
      <c r="J330" s="346"/>
      <c r="K330" s="334"/>
      <c r="L330" s="346" t="s">
        <v>932</v>
      </c>
    </row>
    <row r="331" hidden="1" spans="1:12">
      <c r="A331" s="404"/>
      <c r="B331" s="404"/>
      <c r="C331" s="334"/>
      <c r="D331" s="442">
        <v>0</v>
      </c>
      <c r="E331" s="450">
        <v>0</v>
      </c>
      <c r="F331" s="333" t="s">
        <v>13063</v>
      </c>
      <c r="G331" s="333" t="s">
        <v>14213</v>
      </c>
      <c r="H331" s="346">
        <v>0</v>
      </c>
      <c r="I331" s="346">
        <v>0</v>
      </c>
      <c r="J331" s="346"/>
      <c r="K331" s="334"/>
      <c r="L331" s="346" t="s">
        <v>932</v>
      </c>
    </row>
    <row r="332" hidden="1" spans="1:12">
      <c r="A332" s="404"/>
      <c r="B332" s="404"/>
      <c r="C332" s="334"/>
      <c r="D332" s="442">
        <v>0</v>
      </c>
      <c r="E332" s="450">
        <v>0</v>
      </c>
      <c r="F332" s="333" t="s">
        <v>13063</v>
      </c>
      <c r="G332" s="333" t="s">
        <v>14214</v>
      </c>
      <c r="H332" s="346">
        <v>0</v>
      </c>
      <c r="I332" s="346">
        <v>0</v>
      </c>
      <c r="J332" s="346"/>
      <c r="K332" s="334"/>
      <c r="L332" s="346" t="s">
        <v>932</v>
      </c>
    </row>
    <row r="333" hidden="1" spans="1:12">
      <c r="A333" s="404">
        <v>0</v>
      </c>
      <c r="B333" s="404" t="e">
        <v>#N/A</v>
      </c>
      <c r="C333" s="404"/>
      <c r="D333" s="442">
        <v>0</v>
      </c>
      <c r="E333" s="450">
        <v>0</v>
      </c>
      <c r="F333" s="333" t="s">
        <v>13063</v>
      </c>
      <c r="G333" s="333" t="s">
        <v>14212</v>
      </c>
      <c r="H333" s="346">
        <v>0</v>
      </c>
      <c r="I333" s="346">
        <v>0</v>
      </c>
      <c r="J333" s="346"/>
      <c r="K333" s="334"/>
      <c r="L333" s="346" t="s">
        <v>932</v>
      </c>
    </row>
    <row r="334" hidden="1" spans="1:12">
      <c r="A334" s="404"/>
      <c r="B334" s="404"/>
      <c r="C334" s="334"/>
      <c r="D334" s="442">
        <v>0</v>
      </c>
      <c r="E334" s="450">
        <v>0</v>
      </c>
      <c r="F334" s="333" t="s">
        <v>13063</v>
      </c>
      <c r="G334" s="333" t="s">
        <v>14213</v>
      </c>
      <c r="H334" s="346">
        <v>0</v>
      </c>
      <c r="I334" s="346">
        <v>0</v>
      </c>
      <c r="J334" s="346"/>
      <c r="K334" s="334"/>
      <c r="L334" s="346" t="s">
        <v>932</v>
      </c>
    </row>
    <row r="335" hidden="1" spans="1:12">
      <c r="A335" s="404"/>
      <c r="B335" s="404"/>
      <c r="C335" s="334"/>
      <c r="D335" s="442">
        <v>0</v>
      </c>
      <c r="E335" s="450">
        <v>0</v>
      </c>
      <c r="F335" s="333" t="s">
        <v>13063</v>
      </c>
      <c r="G335" s="333" t="s">
        <v>14214</v>
      </c>
      <c r="H335" s="346">
        <v>0</v>
      </c>
      <c r="I335" s="346">
        <v>0</v>
      </c>
      <c r="J335" s="346"/>
      <c r="K335" s="334"/>
      <c r="L335" s="346" t="s">
        <v>932</v>
      </c>
    </row>
    <row r="336" hidden="1" spans="1:12">
      <c r="A336" s="404">
        <v>0</v>
      </c>
      <c r="B336" s="404" t="e">
        <v>#N/A</v>
      </c>
      <c r="C336" s="404"/>
      <c r="D336" s="442">
        <v>0</v>
      </c>
      <c r="E336" s="450">
        <v>0</v>
      </c>
      <c r="F336" s="333" t="s">
        <v>13063</v>
      </c>
      <c r="G336" s="333" t="s">
        <v>14212</v>
      </c>
      <c r="H336" s="346">
        <v>0</v>
      </c>
      <c r="I336" s="346">
        <v>0</v>
      </c>
      <c r="J336" s="346"/>
      <c r="K336" s="334"/>
      <c r="L336" s="346" t="s">
        <v>932</v>
      </c>
    </row>
    <row r="337" hidden="1" spans="1:12">
      <c r="A337" s="404"/>
      <c r="B337" s="404"/>
      <c r="C337" s="334"/>
      <c r="D337" s="442">
        <v>0</v>
      </c>
      <c r="E337" s="450">
        <v>0</v>
      </c>
      <c r="F337" s="333" t="s">
        <v>13063</v>
      </c>
      <c r="G337" s="333" t="s">
        <v>14213</v>
      </c>
      <c r="H337" s="346">
        <v>0</v>
      </c>
      <c r="I337" s="346">
        <v>0</v>
      </c>
      <c r="J337" s="346"/>
      <c r="K337" s="334"/>
      <c r="L337" s="346" t="s">
        <v>932</v>
      </c>
    </row>
    <row r="338" hidden="1" spans="1:12">
      <c r="A338" s="404"/>
      <c r="B338" s="404"/>
      <c r="C338" s="334"/>
      <c r="D338" s="442">
        <v>0</v>
      </c>
      <c r="E338" s="450">
        <v>0</v>
      </c>
      <c r="F338" s="333" t="s">
        <v>13063</v>
      </c>
      <c r="G338" s="333" t="s">
        <v>14214</v>
      </c>
      <c r="H338" s="346">
        <v>0</v>
      </c>
      <c r="I338" s="346">
        <v>0</v>
      </c>
      <c r="J338" s="346"/>
      <c r="K338" s="334"/>
      <c r="L338" s="346" t="s">
        <v>932</v>
      </c>
    </row>
    <row r="339" hidden="1" spans="1:12">
      <c r="A339" s="404">
        <v>0</v>
      </c>
      <c r="B339" s="404" t="e">
        <v>#N/A</v>
      </c>
      <c r="C339" s="404"/>
      <c r="D339" s="442">
        <v>0</v>
      </c>
      <c r="E339" s="450">
        <v>0</v>
      </c>
      <c r="F339" s="333" t="s">
        <v>13063</v>
      </c>
      <c r="G339" s="333" t="s">
        <v>14212</v>
      </c>
      <c r="H339" s="346">
        <v>0</v>
      </c>
      <c r="I339" s="346">
        <v>0</v>
      </c>
      <c r="J339" s="346"/>
      <c r="K339" s="334"/>
      <c r="L339" s="346" t="s">
        <v>932</v>
      </c>
    </row>
    <row r="340" hidden="1" spans="1:12">
      <c r="A340" s="404"/>
      <c r="B340" s="404"/>
      <c r="C340" s="334"/>
      <c r="D340" s="442">
        <v>0</v>
      </c>
      <c r="E340" s="450">
        <v>0</v>
      </c>
      <c r="F340" s="333" t="s">
        <v>13063</v>
      </c>
      <c r="G340" s="333" t="s">
        <v>14213</v>
      </c>
      <c r="H340" s="346">
        <v>0</v>
      </c>
      <c r="I340" s="346">
        <v>0</v>
      </c>
      <c r="J340" s="346"/>
      <c r="K340" s="334"/>
      <c r="L340" s="346" t="s">
        <v>932</v>
      </c>
    </row>
    <row r="341" hidden="1" spans="1:12">
      <c r="A341" s="404"/>
      <c r="B341" s="404"/>
      <c r="C341" s="334"/>
      <c r="D341" s="442">
        <v>0</v>
      </c>
      <c r="E341" s="450">
        <v>0</v>
      </c>
      <c r="F341" s="333" t="s">
        <v>13063</v>
      </c>
      <c r="G341" s="333" t="s">
        <v>14214</v>
      </c>
      <c r="H341" s="346">
        <v>0</v>
      </c>
      <c r="I341" s="346">
        <v>0</v>
      </c>
      <c r="J341" s="346"/>
      <c r="K341" s="334"/>
      <c r="L341" s="346" t="s">
        <v>932</v>
      </c>
    </row>
    <row r="342" hidden="1" spans="1:12">
      <c r="A342" s="401">
        <v>0</v>
      </c>
      <c r="B342" s="401" t="e">
        <v>#N/A</v>
      </c>
      <c r="C342" s="401"/>
      <c r="D342" s="442">
        <v>0</v>
      </c>
      <c r="E342" s="450">
        <v>0</v>
      </c>
      <c r="F342" s="439" t="s">
        <v>13063</v>
      </c>
      <c r="G342" s="439" t="s">
        <v>14212</v>
      </c>
      <c r="H342" s="346">
        <v>0</v>
      </c>
      <c r="I342" s="346">
        <v>0</v>
      </c>
      <c r="J342" s="395"/>
      <c r="L342" s="346" t="s">
        <v>932</v>
      </c>
    </row>
    <row r="343" hidden="1" spans="1:12">
      <c r="A343" s="401"/>
      <c r="B343" s="401"/>
      <c r="D343" s="442">
        <v>0</v>
      </c>
      <c r="E343" s="450">
        <v>0</v>
      </c>
      <c r="F343" s="439" t="s">
        <v>13063</v>
      </c>
      <c r="G343" s="439" t="s">
        <v>14213</v>
      </c>
      <c r="H343" s="346">
        <v>0</v>
      </c>
      <c r="I343" s="346">
        <v>0</v>
      </c>
      <c r="J343" s="395"/>
      <c r="L343" s="346" t="s">
        <v>932</v>
      </c>
    </row>
    <row r="344" hidden="1" spans="1:12">
      <c r="A344" s="401"/>
      <c r="B344" s="401"/>
      <c r="D344" s="442">
        <v>0</v>
      </c>
      <c r="E344" s="450">
        <v>0</v>
      </c>
      <c r="F344" s="439" t="s">
        <v>13063</v>
      </c>
      <c r="G344" s="439" t="s">
        <v>14214</v>
      </c>
      <c r="H344" s="346">
        <v>0</v>
      </c>
      <c r="I344" s="346">
        <v>0</v>
      </c>
      <c r="J344" s="395"/>
      <c r="L344" s="346" t="s">
        <v>932</v>
      </c>
    </row>
    <row r="345" hidden="1" spans="1:12">
      <c r="A345" s="401">
        <v>0</v>
      </c>
      <c r="B345" s="401" t="e">
        <v>#N/A</v>
      </c>
      <c r="C345" s="401"/>
      <c r="D345" s="442">
        <v>0</v>
      </c>
      <c r="E345" s="450">
        <v>0</v>
      </c>
      <c r="F345" s="439" t="s">
        <v>13063</v>
      </c>
      <c r="G345" s="439" t="s">
        <v>14212</v>
      </c>
      <c r="H345" s="346">
        <v>0</v>
      </c>
      <c r="I345" s="346">
        <v>0</v>
      </c>
      <c r="J345" s="395"/>
      <c r="L345" s="346" t="s">
        <v>932</v>
      </c>
    </row>
    <row r="346" hidden="1" spans="1:12">
      <c r="A346" s="401"/>
      <c r="B346" s="401"/>
      <c r="D346" s="442">
        <v>0</v>
      </c>
      <c r="E346" s="450">
        <v>0</v>
      </c>
      <c r="F346" s="439" t="s">
        <v>13063</v>
      </c>
      <c r="G346" s="439" t="s">
        <v>14213</v>
      </c>
      <c r="H346" s="346">
        <v>0</v>
      </c>
      <c r="I346" s="346">
        <v>0</v>
      </c>
      <c r="J346" s="395"/>
      <c r="L346" s="346" t="s">
        <v>932</v>
      </c>
    </row>
    <row r="347" hidden="1" spans="1:12">
      <c r="A347" s="401"/>
      <c r="B347" s="401"/>
      <c r="D347" s="442">
        <v>0</v>
      </c>
      <c r="E347" s="450">
        <v>0</v>
      </c>
      <c r="F347" s="439" t="s">
        <v>13063</v>
      </c>
      <c r="G347" s="439" t="s">
        <v>14214</v>
      </c>
      <c r="H347" s="346">
        <v>0</v>
      </c>
      <c r="I347" s="346">
        <v>0</v>
      </c>
      <c r="J347" s="395"/>
      <c r="L347" s="346" t="s">
        <v>932</v>
      </c>
    </row>
    <row r="348" hidden="1" spans="1:12">
      <c r="A348" s="401">
        <v>0</v>
      </c>
      <c r="B348" s="401" t="e">
        <v>#N/A</v>
      </c>
      <c r="C348" s="401"/>
      <c r="D348" s="442">
        <v>0</v>
      </c>
      <c r="E348" s="450">
        <v>0</v>
      </c>
      <c r="F348" s="439" t="s">
        <v>13063</v>
      </c>
      <c r="G348" s="439" t="s">
        <v>14212</v>
      </c>
      <c r="H348" s="346">
        <v>0</v>
      </c>
      <c r="I348" s="346">
        <v>0</v>
      </c>
      <c r="J348" s="395"/>
      <c r="L348" s="346" t="s">
        <v>932</v>
      </c>
    </row>
    <row r="349" hidden="1" spans="1:12">
      <c r="A349" s="401"/>
      <c r="B349" s="401"/>
      <c r="D349" s="442">
        <v>0</v>
      </c>
      <c r="E349" s="450">
        <v>0</v>
      </c>
      <c r="F349" s="439" t="s">
        <v>13063</v>
      </c>
      <c r="G349" s="439" t="s">
        <v>14213</v>
      </c>
      <c r="H349" s="346">
        <v>0</v>
      </c>
      <c r="I349" s="346">
        <v>0</v>
      </c>
      <c r="J349" s="395"/>
      <c r="L349" s="346" t="s">
        <v>932</v>
      </c>
    </row>
    <row r="350" hidden="1" spans="1:12">
      <c r="A350" s="401"/>
      <c r="B350" s="401"/>
      <c r="D350" s="442">
        <v>0</v>
      </c>
      <c r="E350" s="450">
        <v>0</v>
      </c>
      <c r="F350" s="439" t="s">
        <v>13063</v>
      </c>
      <c r="G350" s="439" t="s">
        <v>14214</v>
      </c>
      <c r="H350" s="346">
        <v>0</v>
      </c>
      <c r="I350" s="346">
        <v>0</v>
      </c>
      <c r="J350" s="395"/>
      <c r="L350" s="346" t="s">
        <v>932</v>
      </c>
    </row>
    <row r="351" hidden="1" spans="1:12">
      <c r="A351" s="421"/>
      <c r="B351" s="422"/>
      <c r="C351" s="422"/>
      <c r="D351" s="422"/>
      <c r="E351" s="422"/>
      <c r="F351" s="422"/>
      <c r="G351" s="422"/>
      <c r="H351" s="422"/>
      <c r="I351" s="430"/>
      <c r="J351" s="430"/>
      <c r="K351" s="425" t="s">
        <v>14215</v>
      </c>
      <c r="L351" s="426">
        <v>0</v>
      </c>
    </row>
    <row r="352" spans="1:12">
      <c r="A352" s="451"/>
      <c r="B352" s="452"/>
      <c r="C352" s="452"/>
      <c r="D352" s="452"/>
      <c r="E352" s="452"/>
      <c r="F352" s="452"/>
      <c r="G352" s="452"/>
      <c r="H352" s="452"/>
      <c r="I352" s="453"/>
      <c r="J352" s="453"/>
      <c r="K352" s="454" t="s">
        <v>14216</v>
      </c>
      <c r="L352" s="455">
        <v>6.59</v>
      </c>
    </row>
    <row r="354" spans="1:14">
      <c r="A354" s="391" t="s">
        <v>14172</v>
      </c>
      <c r="B354" s="392"/>
      <c r="C354" s="392"/>
      <c r="D354" s="392"/>
      <c r="E354" s="392"/>
      <c r="F354" s="392"/>
      <c r="G354" s="393"/>
      <c r="H354" s="393"/>
      <c r="I354" s="393"/>
      <c r="J354" s="393"/>
      <c r="K354" s="393"/>
      <c r="L354" s="471"/>
    </row>
    <row r="355" spans="1:14">
      <c r="A355" s="396">
        <v>2003864</v>
      </c>
      <c r="B355" s="397" t="s">
        <v>103</v>
      </c>
      <c r="C355" s="397"/>
      <c r="D355" s="397"/>
      <c r="E355" s="397"/>
      <c r="F355" s="397"/>
      <c r="G355" s="397"/>
      <c r="H355" s="397" t="s">
        <v>104</v>
      </c>
      <c r="I355" s="398">
        <v>46023</v>
      </c>
      <c r="J355" s="397"/>
      <c r="K355" s="399" t="s">
        <v>14173</v>
      </c>
      <c r="L355" s="400">
        <v>0</v>
      </c>
    </row>
    <row r="356" spans="1:14">
      <c r="A356" s="401"/>
      <c r="H356" s="402" t="s">
        <v>14174</v>
      </c>
      <c r="I356" s="434">
        <v>1</v>
      </c>
      <c r="J356" s="404" t="s">
        <v>104</v>
      </c>
      <c r="K356" s="402" t="s">
        <v>14175</v>
      </c>
      <c r="L356" s="346">
        <v>0</v>
      </c>
    </row>
    <row r="357" spans="1:14">
      <c r="A357" s="405"/>
      <c r="B357" s="405"/>
      <c r="C357" s="405"/>
      <c r="D357" s="406"/>
      <c r="E357" s="406"/>
      <c r="F357" s="406"/>
      <c r="G357" s="407" t="s">
        <v>14176</v>
      </c>
      <c r="H357" s="408"/>
      <c r="I357" s="407" t="s">
        <v>14177</v>
      </c>
      <c r="J357" s="408"/>
      <c r="K357" s="405"/>
      <c r="L357" s="409" t="s">
        <v>14178</v>
      </c>
    </row>
    <row r="358" spans="1:14">
      <c r="A358" s="410" t="s">
        <v>14179</v>
      </c>
      <c r="B358" s="411"/>
      <c r="C358" s="412"/>
      <c r="D358" s="412"/>
      <c r="E358" s="413" t="s">
        <v>74</v>
      </c>
      <c r="F358" s="412"/>
      <c r="G358" s="413" t="s">
        <v>14180</v>
      </c>
      <c r="H358" s="413" t="s">
        <v>14181</v>
      </c>
      <c r="I358" s="413" t="s">
        <v>14182</v>
      </c>
      <c r="J358" s="413" t="s">
        <v>14183</v>
      </c>
      <c r="K358" s="411"/>
      <c r="L358" s="414" t="s">
        <v>14184</v>
      </c>
    </row>
    <row r="359" spans="1:14">
      <c r="A359" s="404" t="s">
        <v>1062</v>
      </c>
      <c r="B359" s="415" t="s">
        <v>1063</v>
      </c>
      <c r="C359" s="415"/>
      <c r="E359" s="434">
        <v>1</v>
      </c>
      <c r="F359" s="334"/>
      <c r="G359" s="346">
        <v>1</v>
      </c>
      <c r="H359" s="417">
        <v>0</v>
      </c>
      <c r="I359" s="395">
        <v>1.4779</v>
      </c>
      <c r="J359" s="418">
        <v>0.8525</v>
      </c>
      <c r="K359" s="402"/>
      <c r="L359" s="395">
        <v>1.4779</v>
      </c>
      <c r="N359" s="395">
        <v>0.8525</v>
      </c>
    </row>
    <row r="360" spans="1:14">
      <c r="A360" s="404" t="s">
        <v>1064</v>
      </c>
      <c r="B360" s="404" t="s">
        <v>1065</v>
      </c>
      <c r="C360" s="404"/>
      <c r="D360" s="334"/>
      <c r="E360" s="434">
        <v>1</v>
      </c>
      <c r="F360" s="334"/>
      <c r="G360" s="346">
        <v>1</v>
      </c>
      <c r="H360" s="417">
        <v>0</v>
      </c>
      <c r="I360" s="346">
        <v>10.9938</v>
      </c>
      <c r="J360" s="419">
        <v>0.7118</v>
      </c>
      <c r="K360" s="420"/>
      <c r="L360" s="395">
        <v>10.9938</v>
      </c>
      <c r="N360" s="395">
        <v>0.7118</v>
      </c>
    </row>
    <row r="361" hidden="1" spans="1:14">
      <c r="A361" s="404">
        <v>0</v>
      </c>
      <c r="B361" s="404" t="e">
        <v>#N/A</v>
      </c>
      <c r="C361" s="404"/>
      <c r="D361" s="334"/>
      <c r="E361" s="434">
        <v>0</v>
      </c>
      <c r="F361" s="334"/>
      <c r="G361" s="346">
        <v>0</v>
      </c>
      <c r="H361" s="417">
        <v>1</v>
      </c>
      <c r="I361" s="346" t="e">
        <v>#N/A</v>
      </c>
      <c r="J361" s="419" t="e">
        <v>#N/A</v>
      </c>
      <c r="K361" s="420"/>
      <c r="L361" s="395" t="s">
        <v>932</v>
      </c>
      <c r="N361" s="395" t="s">
        <v>932</v>
      </c>
    </row>
    <row r="362" hidden="1" spans="1:14">
      <c r="A362" s="404">
        <v>0</v>
      </c>
      <c r="B362" s="404" t="e">
        <v>#N/A</v>
      </c>
      <c r="C362" s="404"/>
      <c r="D362" s="334"/>
      <c r="E362" s="434">
        <v>0</v>
      </c>
      <c r="F362" s="334"/>
      <c r="G362" s="346">
        <v>0</v>
      </c>
      <c r="H362" s="417">
        <v>1</v>
      </c>
      <c r="I362" s="346" t="e">
        <v>#N/A</v>
      </c>
      <c r="J362" s="419" t="e">
        <v>#N/A</v>
      </c>
      <c r="K362" s="420"/>
      <c r="L362" s="395" t="s">
        <v>932</v>
      </c>
      <c r="N362" s="395" t="s">
        <v>932</v>
      </c>
    </row>
    <row r="363" hidden="1" spans="1:14">
      <c r="A363" s="404">
        <v>0</v>
      </c>
      <c r="B363" s="404" t="e">
        <v>#N/A</v>
      </c>
      <c r="C363" s="404"/>
      <c r="D363" s="334"/>
      <c r="E363" s="434">
        <v>0</v>
      </c>
      <c r="F363" s="334"/>
      <c r="G363" s="346">
        <v>0</v>
      </c>
      <c r="H363" s="417">
        <v>1</v>
      </c>
      <c r="I363" s="346" t="e">
        <v>#N/A</v>
      </c>
      <c r="J363" s="419" t="e">
        <v>#N/A</v>
      </c>
      <c r="K363" s="420"/>
      <c r="L363" s="395" t="s">
        <v>932</v>
      </c>
      <c r="N363" s="395" t="s">
        <v>932</v>
      </c>
    </row>
    <row r="364" hidden="1" spans="1:14">
      <c r="A364" s="404">
        <v>0</v>
      </c>
      <c r="B364" s="404" t="e">
        <v>#N/A</v>
      </c>
      <c r="C364" s="404"/>
      <c r="D364" s="334"/>
      <c r="E364" s="416">
        <v>0</v>
      </c>
      <c r="F364" s="334"/>
      <c r="G364" s="346">
        <v>0</v>
      </c>
      <c r="H364" s="417">
        <v>1</v>
      </c>
      <c r="I364" s="346" t="e">
        <v>#N/A</v>
      </c>
      <c r="J364" s="419" t="e">
        <v>#N/A</v>
      </c>
      <c r="K364" s="420"/>
      <c r="L364" s="395" t="s">
        <v>932</v>
      </c>
      <c r="N364" s="395" t="s">
        <v>932</v>
      </c>
    </row>
    <row r="365" hidden="1" spans="1:14">
      <c r="A365" s="404">
        <v>0</v>
      </c>
      <c r="B365" s="404" t="e">
        <v>#N/A</v>
      </c>
      <c r="C365" s="404"/>
      <c r="D365" s="334"/>
      <c r="E365" s="416">
        <v>0</v>
      </c>
      <c r="F365" s="334"/>
      <c r="G365" s="346">
        <v>0</v>
      </c>
      <c r="H365" s="417">
        <v>1</v>
      </c>
      <c r="I365" s="346" t="e">
        <v>#N/A</v>
      </c>
      <c r="J365" s="419" t="e">
        <v>#N/A</v>
      </c>
      <c r="K365" s="420"/>
      <c r="L365" s="395" t="s">
        <v>932</v>
      </c>
      <c r="N365" s="395" t="s">
        <v>932</v>
      </c>
    </row>
    <row r="366" hidden="1" spans="1:14">
      <c r="A366" s="404">
        <v>0</v>
      </c>
      <c r="B366" s="404" t="e">
        <v>#N/A</v>
      </c>
      <c r="C366" s="404"/>
      <c r="D366" s="334"/>
      <c r="E366" s="416">
        <v>0</v>
      </c>
      <c r="F366" s="334"/>
      <c r="G366" s="346">
        <v>0</v>
      </c>
      <c r="H366" s="417">
        <v>1</v>
      </c>
      <c r="I366" s="346" t="e">
        <v>#N/A</v>
      </c>
      <c r="J366" s="419" t="e">
        <v>#N/A</v>
      </c>
      <c r="K366" s="420"/>
      <c r="L366" s="395" t="s">
        <v>932</v>
      </c>
      <c r="N366" s="395" t="s">
        <v>932</v>
      </c>
    </row>
    <row r="367" spans="1:14">
      <c r="A367" s="421"/>
      <c r="B367" s="422"/>
      <c r="C367" s="422"/>
      <c r="D367" s="422"/>
      <c r="E367" s="423"/>
      <c r="F367" s="424"/>
      <c r="G367" s="422"/>
      <c r="H367" s="422"/>
      <c r="I367" s="422"/>
      <c r="J367" s="422"/>
      <c r="K367" s="425" t="s">
        <v>14185</v>
      </c>
      <c r="L367" s="426">
        <v>12.4717</v>
      </c>
      <c r="N367" s="427">
        <v>1.5643</v>
      </c>
    </row>
    <row r="368" spans="1:14">
      <c r="A368" s="428" t="s">
        <v>14186</v>
      </c>
      <c r="B368" s="429"/>
      <c r="C368" s="429"/>
      <c r="D368" s="430"/>
      <c r="E368" s="431" t="s">
        <v>74</v>
      </c>
      <c r="F368" s="431" t="s">
        <v>1123</v>
      </c>
      <c r="G368" s="430"/>
      <c r="H368" s="422"/>
      <c r="I368" s="431" t="s">
        <v>14177</v>
      </c>
      <c r="J368" s="430"/>
      <c r="K368" s="430"/>
      <c r="L368" s="432" t="s">
        <v>14187</v>
      </c>
    </row>
    <row r="369" spans="1:15">
      <c r="A369" s="404" t="s">
        <v>941</v>
      </c>
      <c r="B369" s="433" t="s">
        <v>942</v>
      </c>
      <c r="C369" s="433"/>
      <c r="D369" s="334"/>
      <c r="E369" s="434">
        <v>0.05</v>
      </c>
      <c r="F369" s="333" t="s">
        <v>104</v>
      </c>
      <c r="G369" s="334"/>
      <c r="H369" s="334"/>
      <c r="I369" s="435">
        <v>36.0063</v>
      </c>
      <c r="J369" s="334"/>
      <c r="K369" s="334"/>
      <c r="L369" s="346">
        <v>1.800315</v>
      </c>
      <c r="N369" s="395">
        <v>1.800315</v>
      </c>
    </row>
    <row r="370" spans="1:15">
      <c r="A370" s="404" t="s">
        <v>943</v>
      </c>
      <c r="B370" s="404" t="s">
        <v>944</v>
      </c>
      <c r="C370" s="404"/>
      <c r="D370" s="334"/>
      <c r="E370" s="434">
        <v>0.01</v>
      </c>
      <c r="F370" s="333" t="s">
        <v>104</v>
      </c>
      <c r="G370" s="334"/>
      <c r="H370" s="334"/>
      <c r="I370" s="435">
        <v>34.4784</v>
      </c>
      <c r="J370" s="334"/>
      <c r="K370" s="334"/>
      <c r="L370" s="346">
        <v>0.344784</v>
      </c>
      <c r="N370" s="395">
        <v>0.344784</v>
      </c>
    </row>
    <row r="371" hidden="1" spans="1:15">
      <c r="A371" s="404">
        <v>0</v>
      </c>
      <c r="B371" s="404" t="e">
        <v>#N/A</v>
      </c>
      <c r="C371" s="404"/>
      <c r="D371" s="334"/>
      <c r="E371" s="434">
        <v>0</v>
      </c>
      <c r="F371" s="333" t="s">
        <v>104</v>
      </c>
      <c r="G371" s="334"/>
      <c r="H371" s="334"/>
      <c r="I371" s="435" t="e">
        <v>#N/A</v>
      </c>
      <c r="J371" s="334"/>
      <c r="K371" s="334"/>
      <c r="L371" s="346" t="s">
        <v>932</v>
      </c>
      <c r="N371" s="395" t="s">
        <v>932</v>
      </c>
    </row>
    <row r="372" hidden="1" spans="1:15">
      <c r="A372" s="404">
        <v>0</v>
      </c>
      <c r="B372" s="404" t="e">
        <v>#N/A</v>
      </c>
      <c r="C372" s="404"/>
      <c r="D372" s="334"/>
      <c r="E372" s="434">
        <v>0</v>
      </c>
      <c r="F372" s="333" t="s">
        <v>104</v>
      </c>
      <c r="G372" s="334"/>
      <c r="H372" s="334"/>
      <c r="I372" s="435" t="e">
        <v>#N/A</v>
      </c>
      <c r="J372" s="334"/>
      <c r="K372" s="334"/>
      <c r="L372" s="346" t="s">
        <v>932</v>
      </c>
      <c r="N372" s="395" t="s">
        <v>932</v>
      </c>
    </row>
    <row r="373" hidden="1" spans="1:15">
      <c r="A373" s="404">
        <v>0</v>
      </c>
      <c r="B373" s="404" t="e">
        <v>#N/A</v>
      </c>
      <c r="C373" s="404"/>
      <c r="D373" s="334"/>
      <c r="E373" s="434">
        <v>0</v>
      </c>
      <c r="F373" s="333" t="s">
        <v>104</v>
      </c>
      <c r="G373" s="334"/>
      <c r="H373" s="334"/>
      <c r="I373" s="435" t="e">
        <v>#N/A</v>
      </c>
      <c r="J373" s="334"/>
      <c r="K373" s="334"/>
      <c r="L373" s="346" t="s">
        <v>932</v>
      </c>
      <c r="N373" s="395" t="s">
        <v>932</v>
      </c>
    </row>
    <row r="374" hidden="1" spans="1:15">
      <c r="A374" s="404">
        <v>0</v>
      </c>
      <c r="B374" s="404" t="e">
        <v>#N/A</v>
      </c>
      <c r="C374" s="404"/>
      <c r="D374" s="334"/>
      <c r="E374" s="434">
        <v>0</v>
      </c>
      <c r="F374" s="333" t="s">
        <v>104</v>
      </c>
      <c r="G374" s="334"/>
      <c r="H374" s="334"/>
      <c r="I374" s="435" t="e">
        <v>#N/A</v>
      </c>
      <c r="J374" s="334"/>
      <c r="K374" s="334"/>
      <c r="L374" s="346" t="s">
        <v>932</v>
      </c>
      <c r="N374" s="395" t="s">
        <v>932</v>
      </c>
    </row>
    <row r="375" hidden="1" spans="1:15">
      <c r="A375" s="404">
        <v>0</v>
      </c>
      <c r="B375" s="404" t="e">
        <v>#N/A</v>
      </c>
      <c r="C375" s="404"/>
      <c r="D375" s="334"/>
      <c r="E375" s="434">
        <v>0</v>
      </c>
      <c r="F375" s="333" t="s">
        <v>104</v>
      </c>
      <c r="G375" s="334"/>
      <c r="H375" s="334"/>
      <c r="I375" s="435" t="e">
        <v>#N/A</v>
      </c>
      <c r="J375" s="334"/>
      <c r="K375" s="334"/>
      <c r="L375" s="346" t="s">
        <v>932</v>
      </c>
      <c r="N375" s="395" t="s">
        <v>932</v>
      </c>
    </row>
    <row r="376" hidden="1" spans="1:15">
      <c r="A376" s="404">
        <v>0</v>
      </c>
      <c r="B376" s="436" t="e">
        <v>#N/A</v>
      </c>
      <c r="C376" s="436"/>
      <c r="D376" s="334"/>
      <c r="E376" s="434">
        <v>0</v>
      </c>
      <c r="F376" s="333" t="s">
        <v>104</v>
      </c>
      <c r="G376" s="334"/>
      <c r="H376" s="334"/>
      <c r="I376" s="435" t="e">
        <v>#N/A</v>
      </c>
      <c r="J376" s="334"/>
      <c r="K376" s="334"/>
      <c r="L376" s="346" t="s">
        <v>932</v>
      </c>
      <c r="N376" s="395" t="s">
        <v>932</v>
      </c>
    </row>
    <row r="377" spans="1:15">
      <c r="A377" s="421"/>
      <c r="B377" s="62"/>
      <c r="C377" s="62"/>
      <c r="D377" s="422"/>
      <c r="E377" s="423"/>
      <c r="F377" s="424"/>
      <c r="G377" s="422"/>
      <c r="H377" s="422"/>
      <c r="I377" s="422"/>
      <c r="J377" s="422"/>
      <c r="K377" s="425" t="s">
        <v>14188</v>
      </c>
      <c r="L377" s="426">
        <v>2.145099</v>
      </c>
      <c r="N377" s="427">
        <v>2.145099</v>
      </c>
    </row>
    <row r="378" spans="1:15">
      <c r="I378" s="437"/>
      <c r="K378" s="383" t="s">
        <v>14189</v>
      </c>
      <c r="L378" s="427">
        <v>14.616799</v>
      </c>
      <c r="N378" s="395">
        <v>3.709399</v>
      </c>
    </row>
    <row r="379" spans="1:15">
      <c r="K379" s="383" t="s">
        <v>14190</v>
      </c>
      <c r="L379" s="427">
        <v>14.616799</v>
      </c>
      <c r="N379" s="395">
        <v>3.709399</v>
      </c>
      <c r="O379" s="395">
        <v>0</v>
      </c>
    </row>
    <row r="380" spans="1:15">
      <c r="K380" s="383" t="s">
        <v>14191</v>
      </c>
      <c r="L380" s="427">
        <v>0</v>
      </c>
    </row>
    <row r="381" spans="1:15">
      <c r="K381" s="383" t="s">
        <v>14192</v>
      </c>
      <c r="L381" s="395">
        <v>0</v>
      </c>
    </row>
    <row r="382" hidden="1" spans="1:15">
      <c r="A382" s="428" t="s">
        <v>14193</v>
      </c>
      <c r="B382" s="430"/>
      <c r="C382" s="430"/>
      <c r="D382" s="430"/>
      <c r="E382" s="431" t="s">
        <v>74</v>
      </c>
      <c r="F382" s="431" t="s">
        <v>1123</v>
      </c>
      <c r="G382" s="430"/>
      <c r="H382" s="430"/>
      <c r="I382" s="425" t="s">
        <v>75</v>
      </c>
      <c r="J382" s="430"/>
      <c r="K382" s="430"/>
      <c r="L382" s="426" t="s">
        <v>14194</v>
      </c>
    </row>
    <row r="383" hidden="1" spans="1:15">
      <c r="A383" s="404">
        <v>0</v>
      </c>
      <c r="B383" s="433" t="e">
        <v>#N/A</v>
      </c>
      <c r="C383" s="433"/>
      <c r="D383" s="334"/>
      <c r="E383" s="434">
        <v>0</v>
      </c>
      <c r="F383" s="333" t="e">
        <v>#N/A</v>
      </c>
      <c r="G383" s="334"/>
      <c r="I383" s="395" t="e">
        <v>#N/A</v>
      </c>
      <c r="J383" s="395"/>
      <c r="K383" s="395"/>
      <c r="L383" s="346" t="s">
        <v>932</v>
      </c>
    </row>
    <row r="384" hidden="1" spans="1:15">
      <c r="A384" s="404">
        <v>0</v>
      </c>
      <c r="B384" s="404" t="e">
        <v>#N/A</v>
      </c>
      <c r="C384" s="404"/>
      <c r="D384" s="334"/>
      <c r="E384" s="434">
        <v>0</v>
      </c>
      <c r="F384" s="333" t="e">
        <v>#N/A</v>
      </c>
      <c r="G384" s="334"/>
      <c r="I384" s="395" t="e">
        <v>#N/A</v>
      </c>
      <c r="J384" s="395"/>
      <c r="K384" s="395"/>
      <c r="L384" s="346" t="s">
        <v>932</v>
      </c>
    </row>
    <row r="385" hidden="1" spans="1:12">
      <c r="A385" s="404">
        <v>0</v>
      </c>
      <c r="B385" s="404" t="e">
        <v>#N/A</v>
      </c>
      <c r="C385" s="404"/>
      <c r="D385" s="334"/>
      <c r="E385" s="434">
        <v>0</v>
      </c>
      <c r="F385" s="333" t="e">
        <v>#N/A</v>
      </c>
      <c r="G385" s="334"/>
      <c r="I385" s="395" t="e">
        <v>#N/A</v>
      </c>
      <c r="J385" s="395"/>
      <c r="K385" s="395"/>
      <c r="L385" s="346" t="s">
        <v>932</v>
      </c>
    </row>
    <row r="386" hidden="1" spans="1:12">
      <c r="A386" s="404">
        <v>0</v>
      </c>
      <c r="B386" s="404" t="e">
        <v>#N/A</v>
      </c>
      <c r="C386" s="404"/>
      <c r="D386" s="334"/>
      <c r="E386" s="434">
        <v>0</v>
      </c>
      <c r="F386" s="333" t="e">
        <v>#N/A</v>
      </c>
      <c r="G386" s="334"/>
      <c r="I386" s="395" t="e">
        <v>#N/A</v>
      </c>
      <c r="J386" s="395"/>
      <c r="K386" s="395"/>
      <c r="L386" s="346" t="s">
        <v>932</v>
      </c>
    </row>
    <row r="387" hidden="1" spans="1:12">
      <c r="A387" s="404">
        <v>0</v>
      </c>
      <c r="B387" s="404" t="e">
        <v>#N/A</v>
      </c>
      <c r="C387" s="404"/>
      <c r="D387" s="334"/>
      <c r="E387" s="434">
        <v>0</v>
      </c>
      <c r="F387" s="333" t="e">
        <v>#N/A</v>
      </c>
      <c r="G387" s="334"/>
      <c r="H387" s="334"/>
      <c r="I387" s="395" t="e">
        <v>#N/A</v>
      </c>
      <c r="J387" s="395"/>
      <c r="K387" s="395"/>
      <c r="L387" s="346" t="s">
        <v>932</v>
      </c>
    </row>
    <row r="388" hidden="1" spans="1:12">
      <c r="A388" s="404">
        <v>0</v>
      </c>
      <c r="B388" s="404" t="e">
        <v>#N/A</v>
      </c>
      <c r="C388" s="404"/>
      <c r="D388" s="334"/>
      <c r="E388" s="434">
        <v>0</v>
      </c>
      <c r="F388" s="333" t="e">
        <v>#N/A</v>
      </c>
      <c r="G388" s="334"/>
      <c r="H388" s="334"/>
      <c r="I388" s="395" t="e">
        <v>#N/A</v>
      </c>
      <c r="J388" s="395"/>
      <c r="K388" s="395"/>
      <c r="L388" s="346" t="s">
        <v>932</v>
      </c>
    </row>
    <row r="389" hidden="1" spans="1:12">
      <c r="A389" s="404">
        <v>0</v>
      </c>
      <c r="B389" s="404" t="e">
        <v>#N/A</v>
      </c>
      <c r="C389" s="404"/>
      <c r="D389" s="334"/>
      <c r="E389" s="434">
        <v>0</v>
      </c>
      <c r="F389" s="333" t="e">
        <v>#N/A</v>
      </c>
      <c r="G389" s="334"/>
      <c r="H389" s="334"/>
      <c r="I389" s="395" t="e">
        <v>#N/A</v>
      </c>
      <c r="J389" s="395"/>
      <c r="K389" s="395"/>
      <c r="L389" s="346" t="s">
        <v>932</v>
      </c>
    </row>
    <row r="390" hidden="1" spans="1:12">
      <c r="A390" s="404">
        <v>0</v>
      </c>
      <c r="B390" s="404" t="e">
        <v>#N/A</v>
      </c>
      <c r="C390" s="404"/>
      <c r="D390" s="438"/>
      <c r="E390" s="434">
        <v>0</v>
      </c>
      <c r="F390" s="333" t="e">
        <v>#N/A</v>
      </c>
      <c r="G390" s="334"/>
      <c r="H390" s="334"/>
      <c r="I390" s="395" t="e">
        <v>#N/A</v>
      </c>
      <c r="J390" s="395"/>
      <c r="K390" s="395"/>
      <c r="L390" s="346" t="s">
        <v>932</v>
      </c>
    </row>
    <row r="391" hidden="1" spans="1:12">
      <c r="A391" s="421"/>
      <c r="B391" s="422"/>
      <c r="C391" s="422"/>
      <c r="D391" s="422"/>
      <c r="E391" s="423"/>
      <c r="F391" s="424"/>
      <c r="G391" s="422"/>
      <c r="H391" s="422"/>
      <c r="I391" s="430"/>
      <c r="J391" s="430"/>
      <c r="K391" s="425" t="s">
        <v>14203</v>
      </c>
      <c r="L391" s="426">
        <v>0</v>
      </c>
    </row>
    <row r="392" hidden="1" spans="1:12">
      <c r="A392" s="428" t="s">
        <v>14204</v>
      </c>
      <c r="B392" s="430"/>
      <c r="C392" s="430"/>
      <c r="D392" s="430"/>
      <c r="E392" s="431" t="s">
        <v>74</v>
      </c>
      <c r="F392" s="431" t="s">
        <v>1123</v>
      </c>
      <c r="G392" s="430"/>
      <c r="H392" s="430"/>
      <c r="I392" s="425" t="s">
        <v>75</v>
      </c>
      <c r="J392" s="430"/>
      <c r="K392" s="430"/>
      <c r="L392" s="426" t="s">
        <v>14194</v>
      </c>
    </row>
    <row r="393" hidden="1" spans="1:12">
      <c r="A393" s="404">
        <v>0</v>
      </c>
      <c r="B393" s="334" t="e">
        <v>#N/A</v>
      </c>
      <c r="C393" s="334"/>
      <c r="D393" s="334"/>
      <c r="E393" s="434">
        <v>0</v>
      </c>
      <c r="F393" s="333" t="e">
        <v>#N/A</v>
      </c>
      <c r="G393" s="439"/>
      <c r="I393" s="346" t="e">
        <v>#N/A</v>
      </c>
      <c r="L393" s="346" t="s">
        <v>932</v>
      </c>
    </row>
    <row r="394" hidden="1" spans="1:12">
      <c r="A394" s="401">
        <v>0</v>
      </c>
      <c r="B394" s="334" t="e">
        <v>#N/A</v>
      </c>
      <c r="E394" s="440">
        <v>0</v>
      </c>
      <c r="F394" s="333" t="e">
        <v>#N/A</v>
      </c>
      <c r="G394" s="439"/>
      <c r="I394" s="346" t="e">
        <v>#N/A</v>
      </c>
      <c r="L394" s="346" t="s">
        <v>932</v>
      </c>
    </row>
    <row r="395" hidden="1" spans="1:12">
      <c r="A395" s="401">
        <v>0</v>
      </c>
      <c r="B395" s="334" t="e">
        <v>#N/A</v>
      </c>
      <c r="E395" s="440">
        <v>0</v>
      </c>
      <c r="F395" s="333" t="e">
        <v>#N/A</v>
      </c>
      <c r="G395" s="439"/>
      <c r="I395" s="346" t="e">
        <v>#N/A</v>
      </c>
      <c r="L395" s="346" t="s">
        <v>932</v>
      </c>
    </row>
    <row r="396" hidden="1" spans="1:12">
      <c r="A396" s="401">
        <v>0</v>
      </c>
      <c r="B396" s="334" t="e">
        <v>#N/A</v>
      </c>
      <c r="E396" s="440">
        <v>0</v>
      </c>
      <c r="F396" s="333" t="e">
        <v>#N/A</v>
      </c>
      <c r="G396" s="439"/>
      <c r="I396" s="346" t="e">
        <v>#N/A</v>
      </c>
      <c r="L396" s="346" t="s">
        <v>932</v>
      </c>
    </row>
    <row r="397" hidden="1" spans="1:12">
      <c r="A397" s="401">
        <v>0</v>
      </c>
      <c r="B397" s="334" t="e">
        <v>#N/A</v>
      </c>
      <c r="E397" s="440">
        <v>0</v>
      </c>
      <c r="F397" s="333" t="e">
        <v>#N/A</v>
      </c>
      <c r="G397" s="439"/>
      <c r="I397" s="346" t="e">
        <v>#N/A</v>
      </c>
      <c r="L397" s="346" t="s">
        <v>932</v>
      </c>
    </row>
    <row r="398" hidden="1" spans="1:12">
      <c r="A398" s="401">
        <v>0</v>
      </c>
      <c r="B398" s="334" t="e">
        <v>#N/A</v>
      </c>
      <c r="E398" s="440">
        <v>0</v>
      </c>
      <c r="F398" s="333" t="e">
        <v>#N/A</v>
      </c>
      <c r="G398" s="439"/>
      <c r="I398" s="346" t="e">
        <v>#N/A</v>
      </c>
      <c r="L398" s="346" t="s">
        <v>932</v>
      </c>
    </row>
    <row r="399" hidden="1" spans="1:12">
      <c r="A399" s="421"/>
      <c r="B399" s="422"/>
      <c r="C399" s="422"/>
      <c r="D399" s="422"/>
      <c r="E399" s="422"/>
      <c r="F399" s="422"/>
      <c r="G399" s="422"/>
      <c r="H399" s="422"/>
      <c r="I399" s="430"/>
      <c r="J399" s="430"/>
      <c r="K399" s="425" t="s">
        <v>14206</v>
      </c>
      <c r="L399" s="426">
        <v>0</v>
      </c>
    </row>
    <row r="400" spans="1:12">
      <c r="A400" s="421"/>
      <c r="B400" s="422"/>
      <c r="C400" s="422"/>
      <c r="D400" s="422"/>
      <c r="E400" s="422"/>
      <c r="F400" s="422"/>
      <c r="G400" s="422"/>
      <c r="H400" s="422"/>
      <c r="I400" s="430"/>
      <c r="J400" s="430"/>
      <c r="K400" s="425" t="s">
        <v>14207</v>
      </c>
      <c r="L400" s="426">
        <v>14.616799</v>
      </c>
    </row>
    <row r="401" hidden="1" spans="1:12">
      <c r="A401" s="428" t="s">
        <v>14208</v>
      </c>
      <c r="B401" s="430"/>
      <c r="C401" s="430"/>
      <c r="D401" s="431" t="s">
        <v>55</v>
      </c>
      <c r="E401" s="431" t="s">
        <v>74</v>
      </c>
      <c r="F401" s="431" t="s">
        <v>1123</v>
      </c>
      <c r="G401" s="430"/>
      <c r="H401" s="430"/>
      <c r="I401" s="425" t="s">
        <v>75</v>
      </c>
      <c r="J401" s="430"/>
      <c r="K401" s="430"/>
      <c r="L401" s="426" t="s">
        <v>14194</v>
      </c>
    </row>
    <row r="402" hidden="1" spans="1:12">
      <c r="A402" s="404">
        <v>0</v>
      </c>
      <c r="B402" s="441" t="e">
        <v>#N/A</v>
      </c>
      <c r="C402" s="441"/>
      <c r="D402" s="442">
        <v>0</v>
      </c>
      <c r="E402" s="434">
        <v>0</v>
      </c>
      <c r="F402" s="333" t="s">
        <v>9885</v>
      </c>
      <c r="G402" s="443" t="s">
        <v>14209</v>
      </c>
      <c r="H402" s="334"/>
      <c r="I402" s="346">
        <v>0</v>
      </c>
      <c r="J402" s="334"/>
      <c r="K402" s="346"/>
      <c r="L402" s="346" t="s">
        <v>932</v>
      </c>
    </row>
    <row r="403" hidden="1" spans="1:12">
      <c r="A403" s="404">
        <v>0</v>
      </c>
      <c r="B403" s="334" t="e">
        <v>#N/A</v>
      </c>
      <c r="C403" s="334"/>
      <c r="D403" s="442">
        <v>0</v>
      </c>
      <c r="E403" s="434">
        <v>0</v>
      </c>
      <c r="F403" s="333" t="s">
        <v>9885</v>
      </c>
      <c r="G403" s="334"/>
      <c r="H403" s="334"/>
      <c r="I403" s="346">
        <v>0</v>
      </c>
      <c r="J403" s="334"/>
      <c r="K403" s="346"/>
      <c r="L403" s="346" t="s">
        <v>932</v>
      </c>
    </row>
    <row r="404" hidden="1" spans="1:12">
      <c r="A404" s="404">
        <v>0</v>
      </c>
      <c r="B404" s="334" t="e">
        <v>#N/A</v>
      </c>
      <c r="C404" s="334"/>
      <c r="D404" s="442">
        <v>0</v>
      </c>
      <c r="E404" s="434">
        <v>0</v>
      </c>
      <c r="F404" s="333" t="s">
        <v>9885</v>
      </c>
      <c r="G404" s="334"/>
      <c r="H404" s="334"/>
      <c r="I404" s="346">
        <v>0</v>
      </c>
      <c r="J404" s="334"/>
      <c r="K404" s="346"/>
      <c r="L404" s="346" t="s">
        <v>932</v>
      </c>
    </row>
    <row r="405" hidden="1" spans="1:12">
      <c r="A405" s="404">
        <v>0</v>
      </c>
      <c r="B405" s="334" t="e">
        <v>#N/A</v>
      </c>
      <c r="C405" s="334"/>
      <c r="D405" s="442">
        <v>0</v>
      </c>
      <c r="E405" s="434">
        <v>0</v>
      </c>
      <c r="F405" s="333" t="s">
        <v>9885</v>
      </c>
      <c r="G405" s="334"/>
      <c r="H405" s="334"/>
      <c r="I405" s="346">
        <v>0</v>
      </c>
      <c r="J405" s="334"/>
      <c r="K405" s="346"/>
      <c r="L405" s="346" t="s">
        <v>932</v>
      </c>
    </row>
    <row r="406" hidden="1" spans="1:12">
      <c r="A406" s="404">
        <v>0</v>
      </c>
      <c r="B406" s="334" t="e">
        <v>#N/A</v>
      </c>
      <c r="C406" s="334"/>
      <c r="D406" s="442">
        <v>0</v>
      </c>
      <c r="E406" s="434">
        <v>0</v>
      </c>
      <c r="F406" s="333" t="s">
        <v>9885</v>
      </c>
      <c r="G406" s="334"/>
      <c r="H406" s="334"/>
      <c r="I406" s="346">
        <v>0</v>
      </c>
      <c r="J406" s="334"/>
      <c r="K406" s="346"/>
      <c r="L406" s="346" t="s">
        <v>932</v>
      </c>
    </row>
    <row r="407" hidden="1" spans="1:12">
      <c r="A407" s="404">
        <v>0</v>
      </c>
      <c r="B407" s="334" t="e">
        <v>#N/A</v>
      </c>
      <c r="C407" s="334"/>
      <c r="D407" s="442">
        <v>0</v>
      </c>
      <c r="E407" s="434">
        <v>0</v>
      </c>
      <c r="F407" s="333" t="s">
        <v>9885</v>
      </c>
      <c r="G407" s="334"/>
      <c r="H407" s="334"/>
      <c r="I407" s="346">
        <v>0</v>
      </c>
      <c r="J407" s="334"/>
      <c r="K407" s="346"/>
      <c r="L407" s="346" t="s">
        <v>932</v>
      </c>
    </row>
    <row r="408" hidden="1" spans="1:12">
      <c r="A408" s="404">
        <v>0</v>
      </c>
      <c r="B408" s="334" t="e">
        <v>#N/A</v>
      </c>
      <c r="C408" s="334"/>
      <c r="D408" s="442">
        <v>0</v>
      </c>
      <c r="E408" s="434">
        <v>0</v>
      </c>
      <c r="F408" s="333" t="s">
        <v>9885</v>
      </c>
      <c r="G408" s="334"/>
      <c r="H408" s="334"/>
      <c r="I408" s="346">
        <v>0</v>
      </c>
      <c r="J408" s="334"/>
      <c r="K408" s="346"/>
      <c r="L408" s="346" t="s">
        <v>932</v>
      </c>
    </row>
    <row r="409" hidden="1" spans="1:12">
      <c r="A409" s="404">
        <v>0</v>
      </c>
      <c r="B409" s="444" t="e">
        <v>#N/A</v>
      </c>
      <c r="C409" s="444"/>
      <c r="D409" s="442">
        <v>0</v>
      </c>
      <c r="E409" s="434">
        <v>0</v>
      </c>
      <c r="F409" s="333" t="s">
        <v>9885</v>
      </c>
      <c r="G409" s="334"/>
      <c r="H409" s="334"/>
      <c r="I409" s="346">
        <v>0</v>
      </c>
      <c r="J409" s="334"/>
      <c r="K409" s="346"/>
      <c r="L409" s="346" t="s">
        <v>932</v>
      </c>
    </row>
    <row r="410" hidden="1" spans="1:12">
      <c r="A410" s="428"/>
      <c r="B410" s="445"/>
      <c r="C410" s="445"/>
      <c r="D410" s="430"/>
      <c r="E410" s="430"/>
      <c r="F410" s="430"/>
      <c r="G410" s="430"/>
      <c r="H410" s="430"/>
      <c r="I410" s="430"/>
      <c r="J410" s="430"/>
      <c r="K410" s="425" t="s">
        <v>14210</v>
      </c>
      <c r="L410" s="426">
        <v>0</v>
      </c>
    </row>
    <row r="411" hidden="1" spans="1:12">
      <c r="A411" s="446" t="s">
        <v>14211</v>
      </c>
      <c r="B411" s="445"/>
      <c r="C411" s="445"/>
      <c r="D411" s="447" t="s">
        <v>55</v>
      </c>
      <c r="E411" s="445" t="s">
        <v>74</v>
      </c>
      <c r="F411" s="447" t="s">
        <v>1123</v>
      </c>
      <c r="G411" s="445"/>
      <c r="H411" s="447" t="s">
        <v>72</v>
      </c>
      <c r="I411" s="447" t="s">
        <v>75</v>
      </c>
      <c r="J411" s="445"/>
      <c r="K411" s="448"/>
      <c r="L411" s="449" t="s">
        <v>14194</v>
      </c>
    </row>
    <row r="412" hidden="1" spans="1:12">
      <c r="A412" s="404">
        <v>0</v>
      </c>
      <c r="B412" s="433" t="e">
        <v>#N/A</v>
      </c>
      <c r="C412" s="433"/>
      <c r="D412" s="442">
        <v>0</v>
      </c>
      <c r="E412" s="450">
        <v>0</v>
      </c>
      <c r="F412" s="333" t="s">
        <v>13063</v>
      </c>
      <c r="G412" s="333" t="s">
        <v>14212</v>
      </c>
      <c r="H412" s="346">
        <v>0</v>
      </c>
      <c r="I412" s="346">
        <v>0</v>
      </c>
      <c r="J412" s="346"/>
      <c r="K412" s="334"/>
      <c r="L412" s="346" t="s">
        <v>932</v>
      </c>
    </row>
    <row r="413" hidden="1" spans="1:12">
      <c r="A413" s="404"/>
      <c r="B413" s="404"/>
      <c r="C413" s="334"/>
      <c r="D413" s="442">
        <v>0</v>
      </c>
      <c r="E413" s="450">
        <v>0</v>
      </c>
      <c r="F413" s="333" t="s">
        <v>13063</v>
      </c>
      <c r="G413" s="333" t="s">
        <v>14213</v>
      </c>
      <c r="H413" s="346">
        <v>0</v>
      </c>
      <c r="I413" s="346">
        <v>0</v>
      </c>
      <c r="J413" s="346"/>
      <c r="K413" s="334"/>
      <c r="L413" s="346" t="s">
        <v>932</v>
      </c>
    </row>
    <row r="414" hidden="1" spans="1:12">
      <c r="A414" s="404"/>
      <c r="B414" s="404"/>
      <c r="C414" s="334"/>
      <c r="D414" s="442">
        <v>0</v>
      </c>
      <c r="E414" s="450">
        <v>0</v>
      </c>
      <c r="F414" s="333" t="s">
        <v>13063</v>
      </c>
      <c r="G414" s="333" t="s">
        <v>14214</v>
      </c>
      <c r="H414" s="346">
        <v>0</v>
      </c>
      <c r="I414" s="346">
        <v>0</v>
      </c>
      <c r="J414" s="346"/>
      <c r="K414" s="334"/>
      <c r="L414" s="346" t="s">
        <v>932</v>
      </c>
    </row>
    <row r="415" hidden="1" spans="1:12">
      <c r="A415" s="404">
        <v>0</v>
      </c>
      <c r="B415" s="404" t="e">
        <v>#N/A</v>
      </c>
      <c r="C415" s="404"/>
      <c r="D415" s="442">
        <v>0</v>
      </c>
      <c r="E415" s="450">
        <v>0</v>
      </c>
      <c r="F415" s="333" t="s">
        <v>13063</v>
      </c>
      <c r="G415" s="333" t="s">
        <v>14212</v>
      </c>
      <c r="H415" s="346">
        <v>0</v>
      </c>
      <c r="I415" s="346">
        <v>0</v>
      </c>
      <c r="J415" s="346"/>
      <c r="K415" s="334"/>
      <c r="L415" s="346" t="s">
        <v>932</v>
      </c>
    </row>
    <row r="416" hidden="1" spans="1:12">
      <c r="A416" s="404"/>
      <c r="B416" s="404"/>
      <c r="C416" s="334"/>
      <c r="D416" s="442">
        <v>0</v>
      </c>
      <c r="E416" s="450">
        <v>0</v>
      </c>
      <c r="F416" s="333" t="s">
        <v>13063</v>
      </c>
      <c r="G416" s="333" t="s">
        <v>14213</v>
      </c>
      <c r="H416" s="346">
        <v>0</v>
      </c>
      <c r="I416" s="346">
        <v>0</v>
      </c>
      <c r="J416" s="346"/>
      <c r="K416" s="334"/>
      <c r="L416" s="346" t="s">
        <v>932</v>
      </c>
    </row>
    <row r="417" hidden="1" spans="1:12">
      <c r="A417" s="404"/>
      <c r="B417" s="404"/>
      <c r="C417" s="334"/>
      <c r="D417" s="442">
        <v>0</v>
      </c>
      <c r="E417" s="450">
        <v>0</v>
      </c>
      <c r="F417" s="333" t="s">
        <v>13063</v>
      </c>
      <c r="G417" s="333" t="s">
        <v>14214</v>
      </c>
      <c r="H417" s="346">
        <v>0</v>
      </c>
      <c r="I417" s="346">
        <v>0</v>
      </c>
      <c r="J417" s="346"/>
      <c r="K417" s="334"/>
      <c r="L417" s="346" t="s">
        <v>932</v>
      </c>
    </row>
    <row r="418" hidden="1" spans="1:12">
      <c r="A418" s="404">
        <v>0</v>
      </c>
      <c r="B418" s="404" t="e">
        <v>#N/A</v>
      </c>
      <c r="C418" s="404"/>
      <c r="D418" s="442">
        <v>0</v>
      </c>
      <c r="E418" s="450">
        <v>0</v>
      </c>
      <c r="F418" s="333" t="s">
        <v>13063</v>
      </c>
      <c r="G418" s="333" t="s">
        <v>14212</v>
      </c>
      <c r="H418" s="346">
        <v>0</v>
      </c>
      <c r="I418" s="346">
        <v>0</v>
      </c>
      <c r="J418" s="346"/>
      <c r="K418" s="334"/>
      <c r="L418" s="346" t="s">
        <v>932</v>
      </c>
    </row>
    <row r="419" hidden="1" spans="1:12">
      <c r="A419" s="404"/>
      <c r="B419" s="404"/>
      <c r="C419" s="334"/>
      <c r="D419" s="442">
        <v>0</v>
      </c>
      <c r="E419" s="450">
        <v>0</v>
      </c>
      <c r="F419" s="333" t="s">
        <v>13063</v>
      </c>
      <c r="G419" s="333" t="s">
        <v>14213</v>
      </c>
      <c r="H419" s="346">
        <v>0</v>
      </c>
      <c r="I419" s="346">
        <v>0</v>
      </c>
      <c r="J419" s="346"/>
      <c r="K419" s="334"/>
      <c r="L419" s="346" t="s">
        <v>932</v>
      </c>
    </row>
    <row r="420" hidden="1" spans="1:12">
      <c r="A420" s="404"/>
      <c r="B420" s="404"/>
      <c r="C420" s="334"/>
      <c r="D420" s="442">
        <v>0</v>
      </c>
      <c r="E420" s="450">
        <v>0</v>
      </c>
      <c r="F420" s="333" t="s">
        <v>13063</v>
      </c>
      <c r="G420" s="333" t="s">
        <v>14214</v>
      </c>
      <c r="H420" s="346">
        <v>0</v>
      </c>
      <c r="I420" s="346">
        <v>0</v>
      </c>
      <c r="J420" s="346"/>
      <c r="K420" s="334"/>
      <c r="L420" s="346" t="s">
        <v>932</v>
      </c>
    </row>
    <row r="421" hidden="1" spans="1:12">
      <c r="A421" s="404">
        <v>0</v>
      </c>
      <c r="B421" s="404" t="e">
        <v>#N/A</v>
      </c>
      <c r="C421" s="404"/>
      <c r="D421" s="442">
        <v>0</v>
      </c>
      <c r="E421" s="450">
        <v>0</v>
      </c>
      <c r="F421" s="333" t="s">
        <v>13063</v>
      </c>
      <c r="G421" s="333" t="s">
        <v>14212</v>
      </c>
      <c r="H421" s="346">
        <v>0</v>
      </c>
      <c r="I421" s="346">
        <v>0</v>
      </c>
      <c r="J421" s="346"/>
      <c r="K421" s="334"/>
      <c r="L421" s="346" t="s">
        <v>932</v>
      </c>
    </row>
    <row r="422" hidden="1" spans="1:12">
      <c r="A422" s="404"/>
      <c r="B422" s="404"/>
      <c r="C422" s="334"/>
      <c r="D422" s="442">
        <v>0</v>
      </c>
      <c r="E422" s="450">
        <v>0</v>
      </c>
      <c r="F422" s="333" t="s">
        <v>13063</v>
      </c>
      <c r="G422" s="333" t="s">
        <v>14213</v>
      </c>
      <c r="H422" s="346">
        <v>0</v>
      </c>
      <c r="I422" s="346">
        <v>0</v>
      </c>
      <c r="J422" s="346"/>
      <c r="K422" s="334"/>
      <c r="L422" s="346" t="s">
        <v>932</v>
      </c>
    </row>
    <row r="423" hidden="1" spans="1:12">
      <c r="A423" s="404"/>
      <c r="B423" s="404"/>
      <c r="C423" s="334"/>
      <c r="D423" s="442">
        <v>0</v>
      </c>
      <c r="E423" s="450">
        <v>0</v>
      </c>
      <c r="F423" s="333" t="s">
        <v>13063</v>
      </c>
      <c r="G423" s="333" t="s">
        <v>14214</v>
      </c>
      <c r="H423" s="346">
        <v>0</v>
      </c>
      <c r="I423" s="346">
        <v>0</v>
      </c>
      <c r="J423" s="346"/>
      <c r="K423" s="334"/>
      <c r="L423" s="346" t="s">
        <v>932</v>
      </c>
    </row>
    <row r="424" hidden="1" spans="1:12">
      <c r="A424" s="404">
        <v>0</v>
      </c>
      <c r="B424" s="404" t="e">
        <v>#N/A</v>
      </c>
      <c r="C424" s="404"/>
      <c r="D424" s="442">
        <v>0</v>
      </c>
      <c r="E424" s="450">
        <v>0</v>
      </c>
      <c r="F424" s="333" t="s">
        <v>13063</v>
      </c>
      <c r="G424" s="333" t="s">
        <v>14212</v>
      </c>
      <c r="H424" s="346">
        <v>0</v>
      </c>
      <c r="I424" s="346">
        <v>0</v>
      </c>
      <c r="J424" s="346"/>
      <c r="K424" s="334"/>
      <c r="L424" s="346" t="s">
        <v>932</v>
      </c>
    </row>
    <row r="425" hidden="1" spans="1:12">
      <c r="A425" s="404"/>
      <c r="B425" s="404"/>
      <c r="C425" s="334"/>
      <c r="D425" s="442">
        <v>0</v>
      </c>
      <c r="E425" s="450">
        <v>0</v>
      </c>
      <c r="F425" s="333" t="s">
        <v>13063</v>
      </c>
      <c r="G425" s="333" t="s">
        <v>14213</v>
      </c>
      <c r="H425" s="346">
        <v>0</v>
      </c>
      <c r="I425" s="346">
        <v>0</v>
      </c>
      <c r="J425" s="346"/>
      <c r="K425" s="334"/>
      <c r="L425" s="346" t="s">
        <v>932</v>
      </c>
    </row>
    <row r="426" hidden="1" spans="1:12">
      <c r="A426" s="404"/>
      <c r="B426" s="404"/>
      <c r="C426" s="334"/>
      <c r="D426" s="442">
        <v>0</v>
      </c>
      <c r="E426" s="450">
        <v>0</v>
      </c>
      <c r="F426" s="333" t="s">
        <v>13063</v>
      </c>
      <c r="G426" s="333" t="s">
        <v>14214</v>
      </c>
      <c r="H426" s="346">
        <v>0</v>
      </c>
      <c r="I426" s="346">
        <v>0</v>
      </c>
      <c r="J426" s="346"/>
      <c r="K426" s="334"/>
      <c r="L426" s="346" t="s">
        <v>932</v>
      </c>
    </row>
    <row r="427" hidden="1" spans="1:12">
      <c r="A427" s="401">
        <v>0</v>
      </c>
      <c r="B427" s="401" t="e">
        <v>#N/A</v>
      </c>
      <c r="C427" s="401"/>
      <c r="D427" s="442">
        <v>0</v>
      </c>
      <c r="E427" s="450">
        <v>0</v>
      </c>
      <c r="F427" s="439" t="s">
        <v>13063</v>
      </c>
      <c r="G427" s="439" t="s">
        <v>14212</v>
      </c>
      <c r="H427" s="346">
        <v>0</v>
      </c>
      <c r="I427" s="346">
        <v>0</v>
      </c>
      <c r="J427" s="395"/>
      <c r="L427" s="346" t="s">
        <v>932</v>
      </c>
    </row>
    <row r="428" hidden="1" spans="1:12">
      <c r="A428" s="401"/>
      <c r="B428" s="401"/>
      <c r="D428" s="442">
        <v>0</v>
      </c>
      <c r="E428" s="450">
        <v>0</v>
      </c>
      <c r="F428" s="439" t="s">
        <v>13063</v>
      </c>
      <c r="G428" s="439" t="s">
        <v>14213</v>
      </c>
      <c r="H428" s="346">
        <v>0</v>
      </c>
      <c r="I428" s="346">
        <v>0</v>
      </c>
      <c r="J428" s="395"/>
      <c r="L428" s="346" t="s">
        <v>932</v>
      </c>
    </row>
    <row r="429" hidden="1" spans="1:12">
      <c r="A429" s="401"/>
      <c r="B429" s="401"/>
      <c r="D429" s="442">
        <v>0</v>
      </c>
      <c r="E429" s="450">
        <v>0</v>
      </c>
      <c r="F429" s="439" t="s">
        <v>13063</v>
      </c>
      <c r="G429" s="439" t="s">
        <v>14214</v>
      </c>
      <c r="H429" s="346">
        <v>0</v>
      </c>
      <c r="I429" s="346">
        <v>0</v>
      </c>
      <c r="J429" s="395"/>
      <c r="L429" s="346" t="s">
        <v>932</v>
      </c>
    </row>
    <row r="430" hidden="1" spans="1:12">
      <c r="A430" s="401">
        <v>0</v>
      </c>
      <c r="B430" s="401" t="e">
        <v>#N/A</v>
      </c>
      <c r="C430" s="401"/>
      <c r="D430" s="442">
        <v>0</v>
      </c>
      <c r="E430" s="450">
        <v>0</v>
      </c>
      <c r="F430" s="439" t="s">
        <v>13063</v>
      </c>
      <c r="G430" s="439" t="s">
        <v>14212</v>
      </c>
      <c r="H430" s="346">
        <v>0</v>
      </c>
      <c r="I430" s="346">
        <v>0</v>
      </c>
      <c r="J430" s="395"/>
      <c r="L430" s="346" t="s">
        <v>932</v>
      </c>
    </row>
    <row r="431" hidden="1" spans="1:12">
      <c r="A431" s="401"/>
      <c r="B431" s="401"/>
      <c r="D431" s="442">
        <v>0</v>
      </c>
      <c r="E431" s="450">
        <v>0</v>
      </c>
      <c r="F431" s="439" t="s">
        <v>13063</v>
      </c>
      <c r="G431" s="439" t="s">
        <v>14213</v>
      </c>
      <c r="H431" s="346">
        <v>0</v>
      </c>
      <c r="I431" s="346">
        <v>0</v>
      </c>
      <c r="J431" s="395"/>
      <c r="L431" s="346" t="s">
        <v>932</v>
      </c>
    </row>
    <row r="432" hidden="1" spans="1:12">
      <c r="A432" s="401"/>
      <c r="B432" s="401"/>
      <c r="D432" s="442">
        <v>0</v>
      </c>
      <c r="E432" s="450">
        <v>0</v>
      </c>
      <c r="F432" s="439" t="s">
        <v>13063</v>
      </c>
      <c r="G432" s="439" t="s">
        <v>14214</v>
      </c>
      <c r="H432" s="346">
        <v>0</v>
      </c>
      <c r="I432" s="346">
        <v>0</v>
      </c>
      <c r="J432" s="395"/>
      <c r="L432" s="346" t="s">
        <v>932</v>
      </c>
    </row>
    <row r="433" hidden="1" spans="1:14">
      <c r="A433" s="401">
        <v>0</v>
      </c>
      <c r="B433" s="401" t="e">
        <v>#N/A</v>
      </c>
      <c r="C433" s="401"/>
      <c r="D433" s="442">
        <v>0</v>
      </c>
      <c r="E433" s="450">
        <v>0</v>
      </c>
      <c r="F433" s="439" t="s">
        <v>13063</v>
      </c>
      <c r="G433" s="439" t="s">
        <v>14212</v>
      </c>
      <c r="H433" s="346">
        <v>0</v>
      </c>
      <c r="I433" s="346">
        <v>0</v>
      </c>
      <c r="J433" s="395"/>
      <c r="L433" s="346" t="s">
        <v>932</v>
      </c>
    </row>
    <row r="434" hidden="1" spans="1:14">
      <c r="A434" s="401"/>
      <c r="B434" s="401"/>
      <c r="D434" s="442">
        <v>0</v>
      </c>
      <c r="E434" s="450">
        <v>0</v>
      </c>
      <c r="F434" s="439" t="s">
        <v>13063</v>
      </c>
      <c r="G434" s="439" t="s">
        <v>14213</v>
      </c>
      <c r="H434" s="346">
        <v>0</v>
      </c>
      <c r="I434" s="346">
        <v>0</v>
      </c>
      <c r="J434" s="395"/>
      <c r="L434" s="346" t="s">
        <v>932</v>
      </c>
    </row>
    <row r="435" hidden="1" spans="1:14">
      <c r="A435" s="401"/>
      <c r="B435" s="401"/>
      <c r="D435" s="442">
        <v>0</v>
      </c>
      <c r="E435" s="450">
        <v>0</v>
      </c>
      <c r="F435" s="439" t="s">
        <v>13063</v>
      </c>
      <c r="G435" s="439" t="s">
        <v>14214</v>
      </c>
      <c r="H435" s="346">
        <v>0</v>
      </c>
      <c r="I435" s="346">
        <v>0</v>
      </c>
      <c r="J435" s="395"/>
      <c r="L435" s="346" t="s">
        <v>932</v>
      </c>
    </row>
    <row r="436" hidden="1" spans="1:14">
      <c r="A436" s="421"/>
      <c r="B436" s="422"/>
      <c r="C436" s="422"/>
      <c r="D436" s="422"/>
      <c r="E436" s="422"/>
      <c r="F436" s="422"/>
      <c r="G436" s="422"/>
      <c r="H436" s="422"/>
      <c r="I436" s="430"/>
      <c r="J436" s="430"/>
      <c r="K436" s="425" t="s">
        <v>14215</v>
      </c>
      <c r="L436" s="426">
        <v>0</v>
      </c>
    </row>
    <row r="437" spans="1:14">
      <c r="A437" s="451"/>
      <c r="B437" s="452"/>
      <c r="C437" s="452"/>
      <c r="D437" s="452"/>
      <c r="E437" s="452"/>
      <c r="F437" s="452"/>
      <c r="G437" s="452"/>
      <c r="H437" s="452"/>
      <c r="I437" s="453"/>
      <c r="J437" s="453"/>
      <c r="K437" s="454" t="s">
        <v>14216</v>
      </c>
      <c r="L437" s="455">
        <v>14.62</v>
      </c>
    </row>
    <row r="439" spans="1:14">
      <c r="A439" s="391" t="s">
        <v>14172</v>
      </c>
      <c r="B439" s="392"/>
      <c r="C439" s="392"/>
      <c r="D439" s="392"/>
      <c r="E439" s="392"/>
      <c r="F439" s="392"/>
      <c r="G439" s="393"/>
      <c r="H439" s="393"/>
      <c r="I439" s="393"/>
      <c r="J439" s="393"/>
      <c r="K439" s="393"/>
      <c r="L439" s="471"/>
    </row>
    <row r="440" spans="1:14">
      <c r="A440" s="396">
        <v>407819</v>
      </c>
      <c r="B440" s="397" t="s">
        <v>100</v>
      </c>
      <c r="C440" s="397"/>
      <c r="D440" s="397"/>
      <c r="E440" s="397"/>
      <c r="F440" s="397"/>
      <c r="G440" s="397"/>
      <c r="H440" s="397" t="s">
        <v>101</v>
      </c>
      <c r="I440" s="398">
        <v>46023</v>
      </c>
      <c r="J440" s="397"/>
      <c r="K440" s="399" t="s">
        <v>14173</v>
      </c>
      <c r="L440" s="400">
        <v>0</v>
      </c>
    </row>
    <row r="441" spans="1:14">
      <c r="A441" s="401"/>
      <c r="H441" s="402" t="s">
        <v>14174</v>
      </c>
      <c r="I441" s="438">
        <v>1</v>
      </c>
      <c r="J441" s="404" t="s">
        <v>101</v>
      </c>
      <c r="K441" s="402" t="s">
        <v>14175</v>
      </c>
      <c r="L441" s="346">
        <v>0</v>
      </c>
    </row>
    <row r="442" hidden="1" spans="1:14">
      <c r="A442" s="405"/>
      <c r="B442" s="405"/>
      <c r="C442" s="405"/>
      <c r="D442" s="406"/>
      <c r="E442" s="406"/>
      <c r="F442" s="406"/>
      <c r="G442" s="407" t="s">
        <v>14176</v>
      </c>
      <c r="H442" s="408"/>
      <c r="I442" s="407" t="s">
        <v>14177</v>
      </c>
      <c r="J442" s="408"/>
      <c r="K442" s="405"/>
      <c r="L442" s="409" t="s">
        <v>14178</v>
      </c>
    </row>
    <row r="443" hidden="1" spans="1:14">
      <c r="A443" s="410" t="s">
        <v>14179</v>
      </c>
      <c r="B443" s="411"/>
      <c r="C443" s="412"/>
      <c r="D443" s="412"/>
      <c r="E443" s="413" t="s">
        <v>74</v>
      </c>
      <c r="F443" s="412"/>
      <c r="G443" s="413" t="s">
        <v>14180</v>
      </c>
      <c r="H443" s="413" t="s">
        <v>14181</v>
      </c>
      <c r="I443" s="413" t="s">
        <v>14182</v>
      </c>
      <c r="J443" s="413" t="s">
        <v>14183</v>
      </c>
      <c r="K443" s="411"/>
      <c r="L443" s="414" t="s">
        <v>14184</v>
      </c>
    </row>
    <row r="444" hidden="1" spans="1:14">
      <c r="A444" s="404">
        <v>0</v>
      </c>
      <c r="B444" s="415" t="e">
        <v>#N/A</v>
      </c>
      <c r="C444" s="415"/>
      <c r="E444" s="434">
        <v>0</v>
      </c>
      <c r="F444" s="334"/>
      <c r="G444" s="346">
        <v>0</v>
      </c>
      <c r="H444" s="417">
        <v>1</v>
      </c>
      <c r="I444" s="395" t="e">
        <v>#N/A</v>
      </c>
      <c r="J444" s="418" t="e">
        <v>#N/A</v>
      </c>
      <c r="K444" s="402"/>
      <c r="L444" s="395" t="s">
        <v>932</v>
      </c>
      <c r="N444" s="395" t="s">
        <v>932</v>
      </c>
    </row>
    <row r="445" hidden="1" spans="1:14">
      <c r="A445" s="404">
        <v>0</v>
      </c>
      <c r="B445" s="404" t="e">
        <v>#N/A</v>
      </c>
      <c r="C445" s="404"/>
      <c r="D445" s="334"/>
      <c r="E445" s="434">
        <v>0</v>
      </c>
      <c r="F445" s="334"/>
      <c r="G445" s="346">
        <v>0</v>
      </c>
      <c r="H445" s="417">
        <v>1</v>
      </c>
      <c r="I445" s="346" t="e">
        <v>#N/A</v>
      </c>
      <c r="J445" s="419" t="e">
        <v>#N/A</v>
      </c>
      <c r="K445" s="420"/>
      <c r="L445" s="395" t="s">
        <v>932</v>
      </c>
      <c r="N445" s="395" t="s">
        <v>932</v>
      </c>
    </row>
    <row r="446" hidden="1" spans="1:14">
      <c r="A446" s="404">
        <v>0</v>
      </c>
      <c r="B446" s="404" t="e">
        <v>#N/A</v>
      </c>
      <c r="C446" s="404"/>
      <c r="D446" s="334"/>
      <c r="E446" s="416">
        <v>0</v>
      </c>
      <c r="F446" s="334"/>
      <c r="G446" s="346">
        <v>0</v>
      </c>
      <c r="H446" s="417">
        <v>1</v>
      </c>
      <c r="I446" s="346" t="e">
        <v>#N/A</v>
      </c>
      <c r="J446" s="419" t="e">
        <v>#N/A</v>
      </c>
      <c r="K446" s="420"/>
      <c r="L446" s="395" t="s">
        <v>932</v>
      </c>
      <c r="N446" s="395" t="s">
        <v>932</v>
      </c>
    </row>
    <row r="447" hidden="1" spans="1:14">
      <c r="A447" s="404">
        <v>0</v>
      </c>
      <c r="B447" s="404" t="e">
        <v>#N/A</v>
      </c>
      <c r="C447" s="404"/>
      <c r="D447" s="334"/>
      <c r="E447" s="416">
        <v>0</v>
      </c>
      <c r="F447" s="334"/>
      <c r="G447" s="346">
        <v>0</v>
      </c>
      <c r="H447" s="417">
        <v>1</v>
      </c>
      <c r="I447" s="346" t="e">
        <v>#N/A</v>
      </c>
      <c r="J447" s="419" t="e">
        <v>#N/A</v>
      </c>
      <c r="K447" s="420"/>
      <c r="L447" s="395" t="s">
        <v>932</v>
      </c>
      <c r="N447" s="395" t="s">
        <v>932</v>
      </c>
    </row>
    <row r="448" hidden="1" spans="1:14">
      <c r="A448" s="404">
        <v>0</v>
      </c>
      <c r="B448" s="404" t="e">
        <v>#N/A</v>
      </c>
      <c r="C448" s="404"/>
      <c r="D448" s="334"/>
      <c r="E448" s="416">
        <v>0</v>
      </c>
      <c r="F448" s="334"/>
      <c r="G448" s="346">
        <v>0</v>
      </c>
      <c r="H448" s="417">
        <v>1</v>
      </c>
      <c r="I448" s="346" t="e">
        <v>#N/A</v>
      </c>
      <c r="J448" s="419" t="e">
        <v>#N/A</v>
      </c>
      <c r="K448" s="420"/>
      <c r="L448" s="395" t="s">
        <v>932</v>
      </c>
      <c r="N448" s="395" t="s">
        <v>932</v>
      </c>
    </row>
    <row r="449" hidden="1" spans="1:15">
      <c r="A449" s="404">
        <v>0</v>
      </c>
      <c r="B449" s="404" t="e">
        <v>#N/A</v>
      </c>
      <c r="C449" s="404"/>
      <c r="D449" s="334"/>
      <c r="E449" s="416">
        <v>0</v>
      </c>
      <c r="F449" s="334"/>
      <c r="G449" s="346">
        <v>0</v>
      </c>
      <c r="H449" s="417">
        <v>1</v>
      </c>
      <c r="I449" s="346" t="e">
        <v>#N/A</v>
      </c>
      <c r="J449" s="419" t="e">
        <v>#N/A</v>
      </c>
      <c r="K449" s="420"/>
      <c r="L449" s="395" t="s">
        <v>932</v>
      </c>
      <c r="N449" s="395" t="s">
        <v>932</v>
      </c>
    </row>
    <row r="450" hidden="1" spans="1:15">
      <c r="A450" s="404">
        <v>0</v>
      </c>
      <c r="B450" s="404" t="e">
        <v>#N/A</v>
      </c>
      <c r="C450" s="404"/>
      <c r="D450" s="334"/>
      <c r="E450" s="416">
        <v>0</v>
      </c>
      <c r="F450" s="334"/>
      <c r="G450" s="346">
        <v>0</v>
      </c>
      <c r="H450" s="417">
        <v>1</v>
      </c>
      <c r="I450" s="346" t="e">
        <v>#N/A</v>
      </c>
      <c r="J450" s="419" t="e">
        <v>#N/A</v>
      </c>
      <c r="K450" s="420"/>
      <c r="L450" s="395" t="s">
        <v>932</v>
      </c>
      <c r="N450" s="395" t="s">
        <v>932</v>
      </c>
    </row>
    <row r="451" hidden="1" spans="1:15">
      <c r="A451" s="404">
        <v>0</v>
      </c>
      <c r="B451" s="404" t="e">
        <v>#N/A</v>
      </c>
      <c r="C451" s="404"/>
      <c r="D451" s="334"/>
      <c r="E451" s="416">
        <v>0</v>
      </c>
      <c r="F451" s="334"/>
      <c r="G451" s="346">
        <v>0</v>
      </c>
      <c r="H451" s="417">
        <v>1</v>
      </c>
      <c r="I451" s="346" t="e">
        <v>#N/A</v>
      </c>
      <c r="J451" s="419" t="e">
        <v>#N/A</v>
      </c>
      <c r="K451" s="420"/>
      <c r="L451" s="395" t="s">
        <v>932</v>
      </c>
      <c r="N451" s="395" t="s">
        <v>932</v>
      </c>
    </row>
    <row r="452" hidden="1" spans="1:15">
      <c r="A452" s="421"/>
      <c r="B452" s="422"/>
      <c r="C452" s="422"/>
      <c r="D452" s="422"/>
      <c r="E452" s="423"/>
      <c r="F452" s="424"/>
      <c r="G452" s="422"/>
      <c r="H452" s="422"/>
      <c r="I452" s="422"/>
      <c r="J452" s="422"/>
      <c r="K452" s="425" t="s">
        <v>14185</v>
      </c>
      <c r="L452" s="426">
        <v>0</v>
      </c>
      <c r="N452" s="427">
        <v>0</v>
      </c>
    </row>
    <row r="453" spans="1:15">
      <c r="A453" s="428" t="s">
        <v>14186</v>
      </c>
      <c r="B453" s="429"/>
      <c r="C453" s="429"/>
      <c r="D453" s="430"/>
      <c r="E453" s="431" t="s">
        <v>74</v>
      </c>
      <c r="F453" s="431" t="s">
        <v>1123</v>
      </c>
      <c r="G453" s="430"/>
      <c r="H453" s="422"/>
      <c r="I453" s="431" t="s">
        <v>14177</v>
      </c>
      <c r="J453" s="430"/>
      <c r="K453" s="430"/>
      <c r="L453" s="432" t="s">
        <v>14187</v>
      </c>
    </row>
    <row r="454" spans="1:15">
      <c r="A454" s="404" t="s">
        <v>937</v>
      </c>
      <c r="B454" s="433" t="s">
        <v>938</v>
      </c>
      <c r="C454" s="433"/>
      <c r="D454" s="334"/>
      <c r="E454" s="434">
        <v>0.09</v>
      </c>
      <c r="F454" s="333" t="s">
        <v>104</v>
      </c>
      <c r="G454" s="334"/>
      <c r="H454" s="334"/>
      <c r="I454" s="435">
        <v>26.2149</v>
      </c>
      <c r="J454" s="334"/>
      <c r="K454" s="334"/>
      <c r="L454" s="346">
        <v>2.359341</v>
      </c>
      <c r="N454" s="395">
        <v>2.359341</v>
      </c>
    </row>
    <row r="455" spans="1:15">
      <c r="A455" s="404" t="s">
        <v>939</v>
      </c>
      <c r="B455" s="404" t="s">
        <v>940</v>
      </c>
      <c r="C455" s="404"/>
      <c r="D455" s="334"/>
      <c r="E455" s="434">
        <v>0.09</v>
      </c>
      <c r="F455" s="333" t="s">
        <v>104</v>
      </c>
      <c r="G455" s="334"/>
      <c r="H455" s="334"/>
      <c r="I455" s="435">
        <v>35.4472</v>
      </c>
      <c r="J455" s="334"/>
      <c r="K455" s="334"/>
      <c r="L455" s="346">
        <v>3.190248</v>
      </c>
      <c r="N455" s="395">
        <v>3.190248</v>
      </c>
    </row>
    <row r="456" hidden="1" spans="1:15">
      <c r="A456" s="404">
        <v>0</v>
      </c>
      <c r="B456" s="404" t="e">
        <v>#N/A</v>
      </c>
      <c r="C456" s="404"/>
      <c r="D456" s="334"/>
      <c r="E456" s="434">
        <v>0</v>
      </c>
      <c r="F456" s="333" t="s">
        <v>104</v>
      </c>
      <c r="G456" s="334"/>
      <c r="H456" s="334"/>
      <c r="I456" s="435" t="e">
        <v>#N/A</v>
      </c>
      <c r="J456" s="334"/>
      <c r="K456" s="334"/>
      <c r="L456" s="346" t="s">
        <v>932</v>
      </c>
      <c r="N456" s="395" t="s">
        <v>932</v>
      </c>
    </row>
    <row r="457" hidden="1" spans="1:15">
      <c r="A457" s="404">
        <v>0</v>
      </c>
      <c r="B457" s="404" t="e">
        <v>#N/A</v>
      </c>
      <c r="C457" s="404"/>
      <c r="D457" s="334"/>
      <c r="E457" s="434">
        <v>0</v>
      </c>
      <c r="F457" s="333" t="s">
        <v>104</v>
      </c>
      <c r="G457" s="334"/>
      <c r="H457" s="334"/>
      <c r="I457" s="435" t="e">
        <v>#N/A</v>
      </c>
      <c r="J457" s="334"/>
      <c r="K457" s="334"/>
      <c r="L457" s="346" t="s">
        <v>932</v>
      </c>
      <c r="N457" s="395" t="s">
        <v>932</v>
      </c>
    </row>
    <row r="458" hidden="1" spans="1:15">
      <c r="A458" s="404">
        <v>0</v>
      </c>
      <c r="B458" s="404" t="e">
        <v>#N/A</v>
      </c>
      <c r="C458" s="404"/>
      <c r="D458" s="334"/>
      <c r="E458" s="434">
        <v>0</v>
      </c>
      <c r="F458" s="333" t="s">
        <v>104</v>
      </c>
      <c r="G458" s="334"/>
      <c r="H458" s="334"/>
      <c r="I458" s="435" t="e">
        <v>#N/A</v>
      </c>
      <c r="J458" s="334"/>
      <c r="K458" s="334"/>
      <c r="L458" s="346" t="s">
        <v>932</v>
      </c>
      <c r="N458" s="395" t="s">
        <v>932</v>
      </c>
    </row>
    <row r="459" hidden="1" spans="1:15">
      <c r="A459" s="404">
        <v>0</v>
      </c>
      <c r="B459" s="404" t="e">
        <v>#N/A</v>
      </c>
      <c r="C459" s="404"/>
      <c r="D459" s="334"/>
      <c r="E459" s="434">
        <v>0</v>
      </c>
      <c r="F459" s="333" t="s">
        <v>104</v>
      </c>
      <c r="G459" s="334"/>
      <c r="H459" s="334"/>
      <c r="I459" s="435" t="e">
        <v>#N/A</v>
      </c>
      <c r="J459" s="334"/>
      <c r="K459" s="334"/>
      <c r="L459" s="346" t="s">
        <v>932</v>
      </c>
      <c r="N459" s="395" t="s">
        <v>932</v>
      </c>
    </row>
    <row r="460" hidden="1" spans="1:15">
      <c r="A460" s="404">
        <v>0</v>
      </c>
      <c r="B460" s="404" t="e">
        <v>#N/A</v>
      </c>
      <c r="C460" s="404"/>
      <c r="D460" s="334"/>
      <c r="E460" s="434">
        <v>0</v>
      </c>
      <c r="F460" s="333" t="s">
        <v>104</v>
      </c>
      <c r="G460" s="334"/>
      <c r="H460" s="334"/>
      <c r="I460" s="435" t="e">
        <v>#N/A</v>
      </c>
      <c r="J460" s="334"/>
      <c r="K460" s="334"/>
      <c r="L460" s="346" t="s">
        <v>932</v>
      </c>
      <c r="N460" s="395" t="s">
        <v>932</v>
      </c>
    </row>
    <row r="461" hidden="1" spans="1:15">
      <c r="A461" s="404">
        <v>0</v>
      </c>
      <c r="B461" s="436" t="e">
        <v>#N/A</v>
      </c>
      <c r="C461" s="436"/>
      <c r="D461" s="334"/>
      <c r="E461" s="434">
        <v>0</v>
      </c>
      <c r="F461" s="333" t="s">
        <v>104</v>
      </c>
      <c r="G461" s="334"/>
      <c r="H461" s="334"/>
      <c r="I461" s="435" t="e">
        <v>#N/A</v>
      </c>
      <c r="J461" s="334"/>
      <c r="K461" s="334"/>
      <c r="L461" s="346" t="s">
        <v>932</v>
      </c>
      <c r="N461" s="395" t="s">
        <v>932</v>
      </c>
    </row>
    <row r="462" spans="1:15">
      <c r="A462" s="421"/>
      <c r="B462" s="62"/>
      <c r="C462" s="62"/>
      <c r="D462" s="422"/>
      <c r="E462" s="423"/>
      <c r="F462" s="424"/>
      <c r="G462" s="422"/>
      <c r="H462" s="422"/>
      <c r="I462" s="422"/>
      <c r="J462" s="422"/>
      <c r="K462" s="425" t="s">
        <v>14188</v>
      </c>
      <c r="L462" s="426">
        <v>5.549589</v>
      </c>
      <c r="N462" s="427">
        <v>5.549589</v>
      </c>
    </row>
    <row r="463" spans="1:15">
      <c r="I463" s="437"/>
      <c r="K463" s="383" t="s">
        <v>14189</v>
      </c>
      <c r="L463" s="427">
        <v>5.549589</v>
      </c>
      <c r="N463" s="395">
        <v>5.549589</v>
      </c>
    </row>
    <row r="464" spans="1:15">
      <c r="K464" s="383" t="s">
        <v>14190</v>
      </c>
      <c r="L464" s="427">
        <v>5.549589</v>
      </c>
      <c r="N464" s="395">
        <v>5.549589</v>
      </c>
      <c r="O464" s="395">
        <v>0</v>
      </c>
    </row>
    <row r="465" spans="1:12">
      <c r="K465" s="383" t="s">
        <v>14191</v>
      </c>
      <c r="L465" s="427">
        <v>0</v>
      </c>
    </row>
    <row r="466" spans="1:12">
      <c r="K466" s="383" t="s">
        <v>14192</v>
      </c>
      <c r="L466" s="395">
        <v>0</v>
      </c>
    </row>
    <row r="467" spans="1:12">
      <c r="A467" s="428" t="s">
        <v>14193</v>
      </c>
      <c r="B467" s="430"/>
      <c r="C467" s="430"/>
      <c r="D467" s="430"/>
      <c r="E467" s="431" t="s">
        <v>74</v>
      </c>
      <c r="F467" s="431" t="s">
        <v>1123</v>
      </c>
      <c r="G467" s="430"/>
      <c r="H467" s="430"/>
      <c r="I467" s="425" t="s">
        <v>75</v>
      </c>
      <c r="J467" s="430"/>
      <c r="K467" s="430"/>
      <c r="L467" s="426" t="s">
        <v>14194</v>
      </c>
    </row>
    <row r="468" spans="1:12">
      <c r="A468" s="404" t="s">
        <v>843</v>
      </c>
      <c r="B468" s="433" t="s">
        <v>14219</v>
      </c>
      <c r="C468" s="433"/>
      <c r="D468" s="334"/>
      <c r="E468" s="434">
        <v>1.1</v>
      </c>
      <c r="F468" s="333" t="s">
        <v>101</v>
      </c>
      <c r="G468" s="334"/>
      <c r="I468" s="395">
        <v>6.47139450553941</v>
      </c>
      <c r="J468" s="395"/>
      <c r="K468" s="395"/>
      <c r="L468" s="346">
        <v>7.11853395609335</v>
      </c>
    </row>
    <row r="469" spans="1:12">
      <c r="A469" s="404" t="s">
        <v>14220</v>
      </c>
      <c r="B469" s="404" t="s">
        <v>14221</v>
      </c>
      <c r="C469" s="404"/>
      <c r="D469" s="334"/>
      <c r="E469" s="434">
        <v>0.015</v>
      </c>
      <c r="F469" s="333" t="s">
        <v>101</v>
      </c>
      <c r="G469" s="334"/>
      <c r="I469" s="395">
        <v>11.8043</v>
      </c>
      <c r="J469" s="395"/>
      <c r="K469" s="395"/>
      <c r="L469" s="346">
        <v>0.1770645</v>
      </c>
    </row>
    <row r="470" hidden="1" spans="1:12">
      <c r="A470" s="404">
        <v>0</v>
      </c>
      <c r="B470" s="404" t="e">
        <v>#N/A</v>
      </c>
      <c r="C470" s="404"/>
      <c r="D470" s="334"/>
      <c r="E470" s="434">
        <v>0</v>
      </c>
      <c r="F470" s="333" t="e">
        <v>#N/A</v>
      </c>
      <c r="G470" s="334"/>
      <c r="I470" s="395" t="e">
        <v>#N/A</v>
      </c>
      <c r="J470" s="395"/>
      <c r="K470" s="395"/>
      <c r="L470" s="346" t="s">
        <v>932</v>
      </c>
    </row>
    <row r="471" hidden="1" spans="1:12">
      <c r="A471" s="404">
        <v>0</v>
      </c>
      <c r="B471" s="404" t="e">
        <v>#N/A</v>
      </c>
      <c r="C471" s="404"/>
      <c r="D471" s="334"/>
      <c r="E471" s="434">
        <v>0</v>
      </c>
      <c r="F471" s="333" t="e">
        <v>#N/A</v>
      </c>
      <c r="G471" s="334"/>
      <c r="I471" s="395" t="e">
        <v>#N/A</v>
      </c>
      <c r="J471" s="395"/>
      <c r="K471" s="395"/>
      <c r="L471" s="346" t="s">
        <v>932</v>
      </c>
    </row>
    <row r="472" hidden="1" spans="1:12">
      <c r="A472" s="404">
        <v>0</v>
      </c>
      <c r="B472" s="404" t="e">
        <v>#N/A</v>
      </c>
      <c r="C472" s="404"/>
      <c r="D472" s="334"/>
      <c r="E472" s="434">
        <v>0</v>
      </c>
      <c r="F472" s="333" t="e">
        <v>#N/A</v>
      </c>
      <c r="G472" s="334"/>
      <c r="H472" s="334"/>
      <c r="I472" s="395" t="e">
        <v>#N/A</v>
      </c>
      <c r="J472" s="395"/>
      <c r="K472" s="395"/>
      <c r="L472" s="346" t="s">
        <v>932</v>
      </c>
    </row>
    <row r="473" hidden="1" spans="1:12">
      <c r="A473" s="404">
        <v>0</v>
      </c>
      <c r="B473" s="404" t="e">
        <v>#N/A</v>
      </c>
      <c r="C473" s="404"/>
      <c r="D473" s="334"/>
      <c r="E473" s="434">
        <v>0</v>
      </c>
      <c r="F473" s="333" t="e">
        <v>#N/A</v>
      </c>
      <c r="G473" s="334"/>
      <c r="H473" s="334"/>
      <c r="I473" s="395" t="e">
        <v>#N/A</v>
      </c>
      <c r="J473" s="395"/>
      <c r="K473" s="395"/>
      <c r="L473" s="346" t="s">
        <v>932</v>
      </c>
    </row>
    <row r="474" hidden="1" spans="1:12">
      <c r="A474" s="404">
        <v>0</v>
      </c>
      <c r="B474" s="404" t="e">
        <v>#N/A</v>
      </c>
      <c r="C474" s="404"/>
      <c r="D474" s="334"/>
      <c r="E474" s="434">
        <v>0</v>
      </c>
      <c r="F474" s="333" t="e">
        <v>#N/A</v>
      </c>
      <c r="G474" s="334"/>
      <c r="H474" s="334"/>
      <c r="I474" s="395" t="e">
        <v>#N/A</v>
      </c>
      <c r="J474" s="395"/>
      <c r="K474" s="395"/>
      <c r="L474" s="346" t="s">
        <v>932</v>
      </c>
    </row>
    <row r="475" hidden="1" spans="1:12">
      <c r="A475" s="404">
        <v>0</v>
      </c>
      <c r="B475" s="404" t="e">
        <v>#N/A</v>
      </c>
      <c r="C475" s="404"/>
      <c r="D475" s="438"/>
      <c r="E475" s="434">
        <v>0</v>
      </c>
      <c r="F475" s="333" t="e">
        <v>#N/A</v>
      </c>
      <c r="G475" s="334"/>
      <c r="H475" s="334"/>
      <c r="I475" s="395" t="e">
        <v>#N/A</v>
      </c>
      <c r="J475" s="395"/>
      <c r="K475" s="395"/>
      <c r="L475" s="346" t="s">
        <v>932</v>
      </c>
    </row>
    <row r="476" spans="1:12">
      <c r="A476" s="421"/>
      <c r="B476" s="422"/>
      <c r="C476" s="422"/>
      <c r="D476" s="422"/>
      <c r="E476" s="423"/>
      <c r="F476" s="424"/>
      <c r="G476" s="422"/>
      <c r="H476" s="422"/>
      <c r="I476" s="430"/>
      <c r="J476" s="430"/>
      <c r="K476" s="425" t="s">
        <v>14203</v>
      </c>
      <c r="L476" s="426">
        <v>7.29559845609335</v>
      </c>
    </row>
    <row r="477" hidden="1" spans="1:12">
      <c r="A477" s="428" t="s">
        <v>14204</v>
      </c>
      <c r="B477" s="430"/>
      <c r="C477" s="430"/>
      <c r="D477" s="430"/>
      <c r="E477" s="431" t="s">
        <v>74</v>
      </c>
      <c r="F477" s="431" t="s">
        <v>1123</v>
      </c>
      <c r="G477" s="430"/>
      <c r="H477" s="430"/>
      <c r="I477" s="425" t="s">
        <v>75</v>
      </c>
      <c r="J477" s="430"/>
      <c r="K477" s="430"/>
      <c r="L477" s="426" t="s">
        <v>14194</v>
      </c>
    </row>
    <row r="478" hidden="1" spans="1:12">
      <c r="A478" s="404">
        <v>0</v>
      </c>
      <c r="B478" s="334" t="e">
        <v>#N/A</v>
      </c>
      <c r="C478" s="334"/>
      <c r="D478" s="334"/>
      <c r="E478" s="434">
        <v>0</v>
      </c>
      <c r="F478" s="333" t="e">
        <v>#N/A</v>
      </c>
      <c r="G478" s="439"/>
      <c r="I478" s="346" t="e">
        <v>#N/A</v>
      </c>
      <c r="L478" s="346" t="s">
        <v>932</v>
      </c>
    </row>
    <row r="479" hidden="1" spans="1:12">
      <c r="A479" s="401">
        <v>0</v>
      </c>
      <c r="B479" s="334" t="e">
        <v>#N/A</v>
      </c>
      <c r="E479" s="440">
        <v>0</v>
      </c>
      <c r="F479" s="333" t="e">
        <v>#N/A</v>
      </c>
      <c r="G479" s="439"/>
      <c r="I479" s="346" t="e">
        <v>#N/A</v>
      </c>
      <c r="L479" s="346" t="s">
        <v>932</v>
      </c>
    </row>
    <row r="480" hidden="1" spans="1:12">
      <c r="A480" s="401">
        <v>0</v>
      </c>
      <c r="B480" s="334" t="e">
        <v>#N/A</v>
      </c>
      <c r="E480" s="440">
        <v>0</v>
      </c>
      <c r="F480" s="333" t="e">
        <v>#N/A</v>
      </c>
      <c r="G480" s="439"/>
      <c r="I480" s="346" t="e">
        <v>#N/A</v>
      </c>
      <c r="L480" s="346" t="s">
        <v>932</v>
      </c>
    </row>
    <row r="481" hidden="1" spans="1:12">
      <c r="A481" s="401">
        <v>0</v>
      </c>
      <c r="B481" s="334" t="e">
        <v>#N/A</v>
      </c>
      <c r="E481" s="440">
        <v>0</v>
      </c>
      <c r="F481" s="333" t="e">
        <v>#N/A</v>
      </c>
      <c r="G481" s="439"/>
      <c r="I481" s="346" t="e">
        <v>#N/A</v>
      </c>
      <c r="L481" s="346" t="s">
        <v>932</v>
      </c>
    </row>
    <row r="482" hidden="1" spans="1:12">
      <c r="A482" s="401">
        <v>0</v>
      </c>
      <c r="B482" s="334" t="e">
        <v>#N/A</v>
      </c>
      <c r="E482" s="440">
        <v>0</v>
      </c>
      <c r="F482" s="333" t="e">
        <v>#N/A</v>
      </c>
      <c r="G482" s="439"/>
      <c r="I482" s="346" t="e">
        <v>#N/A</v>
      </c>
      <c r="L482" s="346" t="s">
        <v>932</v>
      </c>
    </row>
    <row r="483" hidden="1" spans="1:12">
      <c r="A483" s="401">
        <v>0</v>
      </c>
      <c r="B483" s="334" t="e">
        <v>#N/A</v>
      </c>
      <c r="E483" s="440">
        <v>0</v>
      </c>
      <c r="F483" s="333" t="e">
        <v>#N/A</v>
      </c>
      <c r="G483" s="439"/>
      <c r="I483" s="346" t="e">
        <v>#N/A</v>
      </c>
      <c r="L483" s="346" t="s">
        <v>932</v>
      </c>
    </row>
    <row r="484" hidden="1" spans="1:12">
      <c r="A484" s="421"/>
      <c r="B484" s="422"/>
      <c r="C484" s="422"/>
      <c r="D484" s="422"/>
      <c r="E484" s="422"/>
      <c r="F484" s="422"/>
      <c r="G484" s="422"/>
      <c r="H484" s="422"/>
      <c r="I484" s="430"/>
      <c r="J484" s="430"/>
      <c r="K484" s="425" t="s">
        <v>14206</v>
      </c>
      <c r="L484" s="426">
        <v>0</v>
      </c>
    </row>
    <row r="485" spans="1:12">
      <c r="A485" s="421"/>
      <c r="B485" s="422"/>
      <c r="C485" s="422"/>
      <c r="D485" s="422"/>
      <c r="E485" s="422"/>
      <c r="F485" s="422"/>
      <c r="G485" s="422"/>
      <c r="H485" s="422"/>
      <c r="I485" s="430"/>
      <c r="J485" s="430"/>
      <c r="K485" s="425" t="s">
        <v>14207</v>
      </c>
      <c r="L485" s="426">
        <v>12.8451874560934</v>
      </c>
    </row>
    <row r="486" spans="1:12">
      <c r="A486" s="428" t="s">
        <v>14208</v>
      </c>
      <c r="B486" s="430"/>
      <c r="C486" s="430"/>
      <c r="D486" s="431" t="s">
        <v>55</v>
      </c>
      <c r="E486" s="431" t="s">
        <v>74</v>
      </c>
      <c r="F486" s="431" t="s">
        <v>1123</v>
      </c>
      <c r="G486" s="430"/>
      <c r="H486" s="430"/>
      <c r="I486" s="425" t="s">
        <v>75</v>
      </c>
      <c r="J486" s="430"/>
      <c r="K486" s="430"/>
      <c r="L486" s="426" t="s">
        <v>14194</v>
      </c>
    </row>
    <row r="487" spans="1:12">
      <c r="A487" s="404" t="s">
        <v>843</v>
      </c>
      <c r="B487" s="441" t="s">
        <v>14219</v>
      </c>
      <c r="C487" s="441"/>
      <c r="D487" s="442">
        <v>5914655</v>
      </c>
      <c r="E487" s="434">
        <v>0.0011</v>
      </c>
      <c r="F487" s="333" t="s">
        <v>9885</v>
      </c>
      <c r="G487" s="443" t="s">
        <v>14209</v>
      </c>
      <c r="H487" s="334"/>
      <c r="I487" s="346">
        <v>35.43</v>
      </c>
      <c r="J487" s="334"/>
      <c r="K487" s="346"/>
      <c r="L487" s="346">
        <v>0.038973</v>
      </c>
    </row>
    <row r="488" spans="1:12">
      <c r="A488" s="404" t="s">
        <v>14220</v>
      </c>
      <c r="B488" s="334" t="s">
        <v>14221</v>
      </c>
      <c r="C488" s="334"/>
      <c r="D488" s="442">
        <v>5914655</v>
      </c>
      <c r="E488" s="434">
        <v>2e-5</v>
      </c>
      <c r="F488" s="333" t="s">
        <v>9885</v>
      </c>
      <c r="G488" s="334"/>
      <c r="H488" s="334"/>
      <c r="I488" s="346">
        <v>35.43</v>
      </c>
      <c r="J488" s="334"/>
      <c r="K488" s="346"/>
      <c r="L488" s="346">
        <v>0.0007086</v>
      </c>
    </row>
    <row r="489" hidden="1" spans="1:12">
      <c r="A489" s="404">
        <v>0</v>
      </c>
      <c r="B489" s="334" t="e">
        <v>#N/A</v>
      </c>
      <c r="C489" s="334"/>
      <c r="D489" s="442">
        <v>0</v>
      </c>
      <c r="E489" s="434">
        <v>0</v>
      </c>
      <c r="F489" s="333" t="s">
        <v>9885</v>
      </c>
      <c r="G489" s="334"/>
      <c r="H489" s="334"/>
      <c r="I489" s="346">
        <v>0</v>
      </c>
      <c r="J489" s="334"/>
      <c r="K489" s="346"/>
      <c r="L489" s="346" t="s">
        <v>932</v>
      </c>
    </row>
    <row r="490" hidden="1" spans="1:12">
      <c r="A490" s="404">
        <v>0</v>
      </c>
      <c r="B490" s="334" t="e">
        <v>#N/A</v>
      </c>
      <c r="C490" s="334"/>
      <c r="D490" s="442">
        <v>0</v>
      </c>
      <c r="E490" s="434">
        <v>0</v>
      </c>
      <c r="F490" s="333" t="s">
        <v>9885</v>
      </c>
      <c r="G490" s="334"/>
      <c r="H490" s="334"/>
      <c r="I490" s="346">
        <v>0</v>
      </c>
      <c r="J490" s="334"/>
      <c r="K490" s="346"/>
      <c r="L490" s="346" t="s">
        <v>932</v>
      </c>
    </row>
    <row r="491" hidden="1" spans="1:12">
      <c r="A491" s="404">
        <v>0</v>
      </c>
      <c r="B491" s="334" t="e">
        <v>#N/A</v>
      </c>
      <c r="C491" s="334"/>
      <c r="D491" s="442">
        <v>0</v>
      </c>
      <c r="E491" s="434">
        <v>0</v>
      </c>
      <c r="F491" s="333" t="s">
        <v>9885</v>
      </c>
      <c r="G491" s="334"/>
      <c r="H491" s="334"/>
      <c r="I491" s="346">
        <v>0</v>
      </c>
      <c r="J491" s="334"/>
      <c r="K491" s="346"/>
      <c r="L491" s="346" t="s">
        <v>932</v>
      </c>
    </row>
    <row r="492" hidden="1" spans="1:12">
      <c r="A492" s="404">
        <v>0</v>
      </c>
      <c r="B492" s="334" t="e">
        <v>#N/A</v>
      </c>
      <c r="C492" s="334"/>
      <c r="D492" s="442">
        <v>0</v>
      </c>
      <c r="E492" s="434">
        <v>0</v>
      </c>
      <c r="F492" s="333" t="s">
        <v>9885</v>
      </c>
      <c r="G492" s="334"/>
      <c r="H492" s="334"/>
      <c r="I492" s="346">
        <v>0</v>
      </c>
      <c r="J492" s="334"/>
      <c r="K492" s="346"/>
      <c r="L492" s="346" t="s">
        <v>932</v>
      </c>
    </row>
    <row r="493" hidden="1" spans="1:12">
      <c r="A493" s="404">
        <v>0</v>
      </c>
      <c r="B493" s="334" t="e">
        <v>#N/A</v>
      </c>
      <c r="C493" s="334"/>
      <c r="D493" s="442">
        <v>0</v>
      </c>
      <c r="E493" s="434">
        <v>0</v>
      </c>
      <c r="F493" s="333" t="s">
        <v>9885</v>
      </c>
      <c r="G493" s="334"/>
      <c r="H493" s="334"/>
      <c r="I493" s="346">
        <v>0</v>
      </c>
      <c r="J493" s="334"/>
      <c r="K493" s="346"/>
      <c r="L493" s="346" t="s">
        <v>932</v>
      </c>
    </row>
    <row r="494" hidden="1" spans="1:12">
      <c r="A494" s="404">
        <v>0</v>
      </c>
      <c r="B494" s="444" t="e">
        <v>#N/A</v>
      </c>
      <c r="C494" s="444"/>
      <c r="D494" s="442">
        <v>0</v>
      </c>
      <c r="E494" s="434">
        <v>0</v>
      </c>
      <c r="F494" s="333" t="s">
        <v>9885</v>
      </c>
      <c r="G494" s="334"/>
      <c r="H494" s="334"/>
      <c r="I494" s="346">
        <v>0</v>
      </c>
      <c r="J494" s="334"/>
      <c r="K494" s="346"/>
      <c r="L494" s="346" t="s">
        <v>932</v>
      </c>
    </row>
    <row r="495" spans="1:12">
      <c r="A495" s="428"/>
      <c r="B495" s="445"/>
      <c r="C495" s="445"/>
      <c r="D495" s="430"/>
      <c r="E495" s="430"/>
      <c r="F495" s="430"/>
      <c r="G495" s="430"/>
      <c r="H495" s="430"/>
      <c r="I495" s="430"/>
      <c r="J495" s="430"/>
      <c r="K495" s="425" t="s">
        <v>14210</v>
      </c>
      <c r="L495" s="426">
        <v>0.0396816</v>
      </c>
    </row>
    <row r="496" hidden="1" spans="1:12">
      <c r="A496" s="446" t="s">
        <v>14211</v>
      </c>
      <c r="B496" s="445"/>
      <c r="C496" s="445"/>
      <c r="D496" s="447" t="s">
        <v>55</v>
      </c>
      <c r="E496" s="445" t="s">
        <v>74</v>
      </c>
      <c r="F496" s="447" t="s">
        <v>1123</v>
      </c>
      <c r="G496" s="445"/>
      <c r="H496" s="447" t="s">
        <v>72</v>
      </c>
      <c r="I496" s="447" t="s">
        <v>75</v>
      </c>
      <c r="J496" s="445"/>
      <c r="K496" s="448"/>
      <c r="L496" s="449" t="s">
        <v>14194</v>
      </c>
    </row>
    <row r="497" hidden="1" spans="1:12">
      <c r="A497" s="404" t="s">
        <v>843</v>
      </c>
      <c r="B497" s="433" t="s">
        <v>14219</v>
      </c>
      <c r="C497" s="433"/>
      <c r="D497" s="442">
        <v>5914449</v>
      </c>
      <c r="E497" s="450">
        <v>0.0011</v>
      </c>
      <c r="F497" s="333" t="s">
        <v>13063</v>
      </c>
      <c r="G497" s="333" t="s">
        <v>14212</v>
      </c>
      <c r="H497" s="346">
        <v>0</v>
      </c>
      <c r="I497" s="346">
        <v>1.11</v>
      </c>
      <c r="J497" s="346"/>
      <c r="K497" s="334"/>
      <c r="L497" s="346">
        <v>0</v>
      </c>
    </row>
    <row r="498" hidden="1" spans="1:12">
      <c r="A498" s="404"/>
      <c r="B498" s="404"/>
      <c r="C498" s="334"/>
      <c r="D498" s="442">
        <v>5914464</v>
      </c>
      <c r="E498" s="450">
        <v>0.0011</v>
      </c>
      <c r="F498" s="333" t="s">
        <v>13063</v>
      </c>
      <c r="G498" s="333" t="s">
        <v>14213</v>
      </c>
      <c r="H498" s="346">
        <v>0</v>
      </c>
      <c r="I498" s="346">
        <v>0.89</v>
      </c>
      <c r="J498" s="346"/>
      <c r="K498" s="334"/>
      <c r="L498" s="346">
        <v>0</v>
      </c>
    </row>
    <row r="499" hidden="1" spans="1:12">
      <c r="A499" s="404"/>
      <c r="B499" s="404"/>
      <c r="C499" s="334"/>
      <c r="D499" s="442">
        <v>5914479</v>
      </c>
      <c r="E499" s="450">
        <v>0.0011</v>
      </c>
      <c r="F499" s="333" t="s">
        <v>13063</v>
      </c>
      <c r="G499" s="333" t="s">
        <v>14214</v>
      </c>
      <c r="H499" s="346">
        <v>0</v>
      </c>
      <c r="I499" s="346">
        <v>0.73</v>
      </c>
      <c r="J499" s="346"/>
      <c r="K499" s="334"/>
      <c r="L499" s="346">
        <v>0</v>
      </c>
    </row>
    <row r="500" hidden="1" spans="1:12">
      <c r="A500" s="404" t="s">
        <v>14220</v>
      </c>
      <c r="B500" s="404" t="s">
        <v>14221</v>
      </c>
      <c r="C500" s="404"/>
      <c r="D500" s="442">
        <v>5914449</v>
      </c>
      <c r="E500" s="450">
        <v>2e-5</v>
      </c>
      <c r="F500" s="333" t="s">
        <v>13063</v>
      </c>
      <c r="G500" s="333" t="s">
        <v>14212</v>
      </c>
      <c r="H500" s="346">
        <v>0</v>
      </c>
      <c r="I500" s="346">
        <v>1.11</v>
      </c>
      <c r="J500" s="346"/>
      <c r="K500" s="334"/>
      <c r="L500" s="346">
        <v>0</v>
      </c>
    </row>
    <row r="501" hidden="1" spans="1:12">
      <c r="A501" s="404"/>
      <c r="B501" s="404"/>
      <c r="C501" s="334"/>
      <c r="D501" s="442">
        <v>5914464</v>
      </c>
      <c r="E501" s="450">
        <v>2e-5</v>
      </c>
      <c r="F501" s="333" t="s">
        <v>13063</v>
      </c>
      <c r="G501" s="333" t="s">
        <v>14213</v>
      </c>
      <c r="H501" s="346">
        <v>0</v>
      </c>
      <c r="I501" s="346">
        <v>0.89</v>
      </c>
      <c r="J501" s="346"/>
      <c r="K501" s="334"/>
      <c r="L501" s="346">
        <v>0</v>
      </c>
    </row>
    <row r="502" hidden="1" spans="1:12">
      <c r="A502" s="404"/>
      <c r="B502" s="404"/>
      <c r="C502" s="334"/>
      <c r="D502" s="442">
        <v>5914479</v>
      </c>
      <c r="E502" s="450">
        <v>2e-5</v>
      </c>
      <c r="F502" s="333" t="s">
        <v>13063</v>
      </c>
      <c r="G502" s="333" t="s">
        <v>14214</v>
      </c>
      <c r="H502" s="346">
        <v>0</v>
      </c>
      <c r="I502" s="346">
        <v>0.73</v>
      </c>
      <c r="J502" s="346"/>
      <c r="K502" s="334"/>
      <c r="L502" s="346">
        <v>0</v>
      </c>
    </row>
    <row r="503" hidden="1" spans="1:12">
      <c r="A503" s="404">
        <v>0</v>
      </c>
      <c r="B503" s="404" t="e">
        <v>#N/A</v>
      </c>
      <c r="C503" s="404"/>
      <c r="D503" s="442">
        <v>0</v>
      </c>
      <c r="E503" s="450">
        <v>0</v>
      </c>
      <c r="F503" s="333" t="s">
        <v>13063</v>
      </c>
      <c r="G503" s="333" t="s">
        <v>14212</v>
      </c>
      <c r="H503" s="346">
        <v>0</v>
      </c>
      <c r="I503" s="346">
        <v>0</v>
      </c>
      <c r="J503" s="346"/>
      <c r="K503" s="334"/>
      <c r="L503" s="346" t="s">
        <v>932</v>
      </c>
    </row>
    <row r="504" hidden="1" spans="1:12">
      <c r="A504" s="404"/>
      <c r="B504" s="404"/>
      <c r="C504" s="334"/>
      <c r="D504" s="442">
        <v>0</v>
      </c>
      <c r="E504" s="450">
        <v>0</v>
      </c>
      <c r="F504" s="333" t="s">
        <v>13063</v>
      </c>
      <c r="G504" s="333" t="s">
        <v>14213</v>
      </c>
      <c r="H504" s="346">
        <v>0</v>
      </c>
      <c r="I504" s="346">
        <v>0</v>
      </c>
      <c r="J504" s="346"/>
      <c r="K504" s="334"/>
      <c r="L504" s="346" t="s">
        <v>932</v>
      </c>
    </row>
    <row r="505" hidden="1" spans="1:12">
      <c r="A505" s="404"/>
      <c r="B505" s="404"/>
      <c r="C505" s="334"/>
      <c r="D505" s="442">
        <v>0</v>
      </c>
      <c r="E505" s="450">
        <v>0</v>
      </c>
      <c r="F505" s="333" t="s">
        <v>13063</v>
      </c>
      <c r="G505" s="333" t="s">
        <v>14214</v>
      </c>
      <c r="H505" s="346">
        <v>0</v>
      </c>
      <c r="I505" s="346">
        <v>0</v>
      </c>
      <c r="J505" s="346"/>
      <c r="K505" s="334"/>
      <c r="L505" s="346" t="s">
        <v>932</v>
      </c>
    </row>
    <row r="506" hidden="1" spans="1:12">
      <c r="A506" s="404">
        <v>0</v>
      </c>
      <c r="B506" s="404" t="e">
        <v>#N/A</v>
      </c>
      <c r="C506" s="404"/>
      <c r="D506" s="442">
        <v>0</v>
      </c>
      <c r="E506" s="450">
        <v>0</v>
      </c>
      <c r="F506" s="333" t="s">
        <v>13063</v>
      </c>
      <c r="G506" s="333" t="s">
        <v>14212</v>
      </c>
      <c r="H506" s="346">
        <v>0</v>
      </c>
      <c r="I506" s="346">
        <v>0</v>
      </c>
      <c r="J506" s="346"/>
      <c r="K506" s="334"/>
      <c r="L506" s="346" t="s">
        <v>932</v>
      </c>
    </row>
    <row r="507" hidden="1" spans="1:12">
      <c r="A507" s="404"/>
      <c r="B507" s="404"/>
      <c r="C507" s="334"/>
      <c r="D507" s="442">
        <v>0</v>
      </c>
      <c r="E507" s="450">
        <v>0</v>
      </c>
      <c r="F507" s="333" t="s">
        <v>13063</v>
      </c>
      <c r="G507" s="333" t="s">
        <v>14213</v>
      </c>
      <c r="H507" s="346">
        <v>0</v>
      </c>
      <c r="I507" s="346">
        <v>0</v>
      </c>
      <c r="J507" s="346"/>
      <c r="K507" s="334"/>
      <c r="L507" s="346" t="s">
        <v>932</v>
      </c>
    </row>
    <row r="508" hidden="1" spans="1:12">
      <c r="A508" s="404"/>
      <c r="B508" s="404"/>
      <c r="C508" s="334"/>
      <c r="D508" s="442">
        <v>0</v>
      </c>
      <c r="E508" s="450">
        <v>0</v>
      </c>
      <c r="F508" s="333" t="s">
        <v>13063</v>
      </c>
      <c r="G508" s="333" t="s">
        <v>14214</v>
      </c>
      <c r="H508" s="346">
        <v>0</v>
      </c>
      <c r="I508" s="346">
        <v>0</v>
      </c>
      <c r="J508" s="346"/>
      <c r="K508" s="334"/>
      <c r="L508" s="346" t="s">
        <v>932</v>
      </c>
    </row>
    <row r="509" hidden="1" spans="1:12">
      <c r="A509" s="404">
        <v>0</v>
      </c>
      <c r="B509" s="404" t="e">
        <v>#N/A</v>
      </c>
      <c r="C509" s="404"/>
      <c r="D509" s="442">
        <v>0</v>
      </c>
      <c r="E509" s="450">
        <v>0</v>
      </c>
      <c r="F509" s="333" t="s">
        <v>13063</v>
      </c>
      <c r="G509" s="333" t="s">
        <v>14212</v>
      </c>
      <c r="H509" s="346">
        <v>0</v>
      </c>
      <c r="I509" s="346">
        <v>0</v>
      </c>
      <c r="J509" s="346"/>
      <c r="K509" s="334"/>
      <c r="L509" s="346" t="s">
        <v>932</v>
      </c>
    </row>
    <row r="510" hidden="1" spans="1:12">
      <c r="A510" s="404"/>
      <c r="B510" s="404"/>
      <c r="C510" s="334"/>
      <c r="D510" s="442">
        <v>0</v>
      </c>
      <c r="E510" s="450">
        <v>0</v>
      </c>
      <c r="F510" s="333" t="s">
        <v>13063</v>
      </c>
      <c r="G510" s="333" t="s">
        <v>14213</v>
      </c>
      <c r="H510" s="346">
        <v>0</v>
      </c>
      <c r="I510" s="346">
        <v>0</v>
      </c>
      <c r="J510" s="346"/>
      <c r="K510" s="334"/>
      <c r="L510" s="346" t="s">
        <v>932</v>
      </c>
    </row>
    <row r="511" hidden="1" spans="1:12">
      <c r="A511" s="404"/>
      <c r="B511" s="404"/>
      <c r="C511" s="334"/>
      <c r="D511" s="442">
        <v>0</v>
      </c>
      <c r="E511" s="450">
        <v>0</v>
      </c>
      <c r="F511" s="333" t="s">
        <v>13063</v>
      </c>
      <c r="G511" s="333" t="s">
        <v>14214</v>
      </c>
      <c r="H511" s="346">
        <v>0</v>
      </c>
      <c r="I511" s="346">
        <v>0</v>
      </c>
      <c r="J511" s="346"/>
      <c r="K511" s="334"/>
      <c r="L511" s="346" t="s">
        <v>932</v>
      </c>
    </row>
    <row r="512" hidden="1" spans="1:12">
      <c r="A512" s="401">
        <v>0</v>
      </c>
      <c r="B512" s="401" t="e">
        <v>#N/A</v>
      </c>
      <c r="C512" s="401"/>
      <c r="D512" s="442">
        <v>0</v>
      </c>
      <c r="E512" s="450">
        <v>0</v>
      </c>
      <c r="F512" s="439" t="s">
        <v>13063</v>
      </c>
      <c r="G512" s="439" t="s">
        <v>14212</v>
      </c>
      <c r="H512" s="346">
        <v>0</v>
      </c>
      <c r="I512" s="346">
        <v>0</v>
      </c>
      <c r="J512" s="395"/>
      <c r="L512" s="346" t="s">
        <v>932</v>
      </c>
    </row>
    <row r="513" hidden="1" spans="1:12">
      <c r="A513" s="401"/>
      <c r="B513" s="401"/>
      <c r="D513" s="442">
        <v>0</v>
      </c>
      <c r="E513" s="450">
        <v>0</v>
      </c>
      <c r="F513" s="439" t="s">
        <v>13063</v>
      </c>
      <c r="G513" s="439" t="s">
        <v>14213</v>
      </c>
      <c r="H513" s="346">
        <v>0</v>
      </c>
      <c r="I513" s="346">
        <v>0</v>
      </c>
      <c r="J513" s="395"/>
      <c r="L513" s="346" t="s">
        <v>932</v>
      </c>
    </row>
    <row r="514" hidden="1" spans="1:12">
      <c r="A514" s="401"/>
      <c r="B514" s="401"/>
      <c r="D514" s="442">
        <v>0</v>
      </c>
      <c r="E514" s="450">
        <v>0</v>
      </c>
      <c r="F514" s="439" t="s">
        <v>13063</v>
      </c>
      <c r="G514" s="439" t="s">
        <v>14214</v>
      </c>
      <c r="H514" s="346">
        <v>0</v>
      </c>
      <c r="I514" s="346">
        <v>0</v>
      </c>
      <c r="J514" s="395"/>
      <c r="L514" s="346" t="s">
        <v>932</v>
      </c>
    </row>
    <row r="515" hidden="1" spans="1:12">
      <c r="A515" s="401">
        <v>0</v>
      </c>
      <c r="B515" s="401" t="e">
        <v>#N/A</v>
      </c>
      <c r="C515" s="401"/>
      <c r="D515" s="442">
        <v>0</v>
      </c>
      <c r="E515" s="450">
        <v>0</v>
      </c>
      <c r="F515" s="439" t="s">
        <v>13063</v>
      </c>
      <c r="G515" s="439" t="s">
        <v>14212</v>
      </c>
      <c r="H515" s="346">
        <v>0</v>
      </c>
      <c r="I515" s="346">
        <v>0</v>
      </c>
      <c r="J515" s="395"/>
      <c r="L515" s="346" t="s">
        <v>932</v>
      </c>
    </row>
    <row r="516" hidden="1" spans="1:12">
      <c r="A516" s="401"/>
      <c r="B516" s="401"/>
      <c r="D516" s="442">
        <v>0</v>
      </c>
      <c r="E516" s="450">
        <v>0</v>
      </c>
      <c r="F516" s="439" t="s">
        <v>13063</v>
      </c>
      <c r="G516" s="439" t="s">
        <v>14213</v>
      </c>
      <c r="H516" s="346">
        <v>0</v>
      </c>
      <c r="I516" s="346">
        <v>0</v>
      </c>
      <c r="J516" s="395"/>
      <c r="L516" s="346" t="s">
        <v>932</v>
      </c>
    </row>
    <row r="517" hidden="1" spans="1:12">
      <c r="A517" s="401"/>
      <c r="B517" s="401"/>
      <c r="D517" s="442">
        <v>0</v>
      </c>
      <c r="E517" s="450">
        <v>0</v>
      </c>
      <c r="F517" s="439" t="s">
        <v>13063</v>
      </c>
      <c r="G517" s="439" t="s">
        <v>14214</v>
      </c>
      <c r="H517" s="346">
        <v>0</v>
      </c>
      <c r="I517" s="346">
        <v>0</v>
      </c>
      <c r="J517" s="395"/>
      <c r="L517" s="346" t="s">
        <v>932</v>
      </c>
    </row>
    <row r="518" hidden="1" spans="1:12">
      <c r="A518" s="401">
        <v>0</v>
      </c>
      <c r="B518" s="401" t="e">
        <v>#N/A</v>
      </c>
      <c r="C518" s="401"/>
      <c r="D518" s="442">
        <v>0</v>
      </c>
      <c r="E518" s="450">
        <v>0</v>
      </c>
      <c r="F518" s="439" t="s">
        <v>13063</v>
      </c>
      <c r="G518" s="439" t="s">
        <v>14212</v>
      </c>
      <c r="H518" s="346">
        <v>0</v>
      </c>
      <c r="I518" s="346">
        <v>0</v>
      </c>
      <c r="J518" s="395"/>
      <c r="L518" s="346" t="s">
        <v>932</v>
      </c>
    </row>
    <row r="519" hidden="1" spans="1:12">
      <c r="A519" s="401"/>
      <c r="B519" s="401"/>
      <c r="D519" s="442">
        <v>0</v>
      </c>
      <c r="E519" s="450">
        <v>0</v>
      </c>
      <c r="F519" s="439" t="s">
        <v>13063</v>
      </c>
      <c r="G519" s="439" t="s">
        <v>14213</v>
      </c>
      <c r="H519" s="346">
        <v>0</v>
      </c>
      <c r="I519" s="346">
        <v>0</v>
      </c>
      <c r="J519" s="395"/>
      <c r="L519" s="346" t="s">
        <v>932</v>
      </c>
    </row>
    <row r="520" hidden="1" spans="1:12">
      <c r="A520" s="401"/>
      <c r="B520" s="401"/>
      <c r="D520" s="442">
        <v>0</v>
      </c>
      <c r="E520" s="450">
        <v>0</v>
      </c>
      <c r="F520" s="439" t="s">
        <v>13063</v>
      </c>
      <c r="G520" s="439" t="s">
        <v>14214</v>
      </c>
      <c r="H520" s="346">
        <v>0</v>
      </c>
      <c r="I520" s="346">
        <v>0</v>
      </c>
      <c r="J520" s="395"/>
      <c r="L520" s="346" t="s">
        <v>932</v>
      </c>
    </row>
    <row r="521" hidden="1" spans="1:12">
      <c r="A521" s="421"/>
      <c r="B521" s="422"/>
      <c r="C521" s="422"/>
      <c r="D521" s="422"/>
      <c r="E521" s="422"/>
      <c r="F521" s="422"/>
      <c r="G521" s="422"/>
      <c r="H521" s="422"/>
      <c r="I521" s="430"/>
      <c r="J521" s="430"/>
      <c r="K521" s="425" t="s">
        <v>14215</v>
      </c>
      <c r="L521" s="426">
        <v>0</v>
      </c>
    </row>
    <row r="522" spans="1:12">
      <c r="A522" s="451"/>
      <c r="B522" s="452"/>
      <c r="C522" s="452"/>
      <c r="D522" s="452"/>
      <c r="E522" s="452"/>
      <c r="F522" s="452"/>
      <c r="G522" s="452"/>
      <c r="H522" s="452"/>
      <c r="I522" s="453"/>
      <c r="J522" s="453"/>
      <c r="K522" s="454" t="s">
        <v>14216</v>
      </c>
      <c r="L522" s="455">
        <v>12.88</v>
      </c>
    </row>
    <row r="524" spans="1:12">
      <c r="A524" s="391" t="s">
        <v>14172</v>
      </c>
      <c r="B524" s="392"/>
      <c r="C524" s="392"/>
      <c r="D524" s="392"/>
      <c r="E524" s="392"/>
      <c r="F524" s="392"/>
      <c r="G524" s="393"/>
      <c r="H524" s="393"/>
      <c r="I524" s="393"/>
      <c r="J524" s="393"/>
      <c r="K524" s="393"/>
      <c r="L524" s="471"/>
    </row>
    <row r="525" spans="1:12">
      <c r="A525" s="396">
        <v>2306113</v>
      </c>
      <c r="B525" s="397" t="s">
        <v>102</v>
      </c>
      <c r="C525" s="397"/>
      <c r="D525" s="397"/>
      <c r="E525" s="397"/>
      <c r="F525" s="397"/>
      <c r="G525" s="397"/>
      <c r="H525" s="397" t="s">
        <v>9</v>
      </c>
      <c r="I525" s="398">
        <v>46023</v>
      </c>
      <c r="J525" s="397"/>
      <c r="K525" s="399" t="s">
        <v>14173</v>
      </c>
      <c r="L525" s="400">
        <v>0</v>
      </c>
    </row>
    <row r="526" spans="1:12">
      <c r="A526" s="401"/>
      <c r="H526" s="402" t="s">
        <v>14174</v>
      </c>
      <c r="I526" s="438">
        <v>8.3</v>
      </c>
      <c r="J526" s="404" t="s">
        <v>9</v>
      </c>
      <c r="K526" s="402" t="s">
        <v>14175</v>
      </c>
      <c r="L526" s="456">
        <v>0.13329</v>
      </c>
    </row>
    <row r="527" spans="1:12">
      <c r="A527" s="405"/>
      <c r="B527" s="405"/>
      <c r="C527" s="405"/>
      <c r="D527" s="406"/>
      <c r="E527" s="406"/>
      <c r="F527" s="406"/>
      <c r="G527" s="407" t="s">
        <v>14176</v>
      </c>
      <c r="H527" s="408"/>
      <c r="I527" s="407" t="s">
        <v>14177</v>
      </c>
      <c r="J527" s="408"/>
      <c r="K527" s="405"/>
      <c r="L527" s="409" t="s">
        <v>14178</v>
      </c>
    </row>
    <row r="528" spans="1:12">
      <c r="A528" s="410" t="s">
        <v>14179</v>
      </c>
      <c r="B528" s="411"/>
      <c r="C528" s="412"/>
      <c r="D528" s="412"/>
      <c r="E528" s="413" t="s">
        <v>74</v>
      </c>
      <c r="F528" s="412"/>
      <c r="G528" s="413" t="s">
        <v>14180</v>
      </c>
      <c r="H528" s="413" t="s">
        <v>14181</v>
      </c>
      <c r="I528" s="413" t="s">
        <v>14182</v>
      </c>
      <c r="J528" s="413" t="s">
        <v>14183</v>
      </c>
      <c r="K528" s="411"/>
      <c r="L528" s="414" t="s">
        <v>14184</v>
      </c>
    </row>
    <row r="529" spans="1:14">
      <c r="A529" s="404" t="s">
        <v>1060</v>
      </c>
      <c r="B529" s="415" t="s">
        <v>1061</v>
      </c>
      <c r="C529" s="415"/>
      <c r="E529" s="434">
        <v>1</v>
      </c>
      <c r="F529" s="334"/>
      <c r="G529" s="346">
        <v>1</v>
      </c>
      <c r="H529" s="417">
        <v>0</v>
      </c>
      <c r="I529" s="395">
        <v>360.705</v>
      </c>
      <c r="J529" s="418">
        <v>179.9847</v>
      </c>
      <c r="K529" s="402"/>
      <c r="L529" s="395">
        <v>360.705</v>
      </c>
      <c r="N529" s="395">
        <v>179.9847</v>
      </c>
    </row>
    <row r="530" hidden="1" spans="1:14">
      <c r="A530" s="404">
        <v>0</v>
      </c>
      <c r="B530" s="404" t="e">
        <v>#N/A</v>
      </c>
      <c r="C530" s="404"/>
      <c r="D530" s="334"/>
      <c r="E530" s="434">
        <v>0</v>
      </c>
      <c r="F530" s="334"/>
      <c r="G530" s="346">
        <v>0</v>
      </c>
      <c r="H530" s="417">
        <v>1</v>
      </c>
      <c r="I530" s="346" t="e">
        <v>#N/A</v>
      </c>
      <c r="J530" s="419" t="e">
        <v>#N/A</v>
      </c>
      <c r="K530" s="420"/>
      <c r="L530" s="395" t="s">
        <v>932</v>
      </c>
      <c r="N530" s="395" t="s">
        <v>932</v>
      </c>
    </row>
    <row r="531" hidden="1" spans="1:14">
      <c r="A531" s="404">
        <v>0</v>
      </c>
      <c r="B531" s="404" t="e">
        <v>#N/A</v>
      </c>
      <c r="C531" s="404"/>
      <c r="D531" s="334"/>
      <c r="E531" s="416">
        <v>0</v>
      </c>
      <c r="F531" s="334"/>
      <c r="G531" s="346">
        <v>0</v>
      </c>
      <c r="H531" s="417">
        <v>1</v>
      </c>
      <c r="I531" s="346" t="e">
        <v>#N/A</v>
      </c>
      <c r="J531" s="419" t="e">
        <v>#N/A</v>
      </c>
      <c r="K531" s="420"/>
      <c r="L531" s="395" t="s">
        <v>932</v>
      </c>
      <c r="N531" s="395" t="s">
        <v>932</v>
      </c>
    </row>
    <row r="532" hidden="1" spans="1:14">
      <c r="A532" s="404">
        <v>0</v>
      </c>
      <c r="B532" s="404" t="e">
        <v>#N/A</v>
      </c>
      <c r="C532" s="404"/>
      <c r="D532" s="334"/>
      <c r="E532" s="416">
        <v>0</v>
      </c>
      <c r="F532" s="334"/>
      <c r="G532" s="346">
        <v>0</v>
      </c>
      <c r="H532" s="417">
        <v>1</v>
      </c>
      <c r="I532" s="346" t="e">
        <v>#N/A</v>
      </c>
      <c r="J532" s="419" t="e">
        <v>#N/A</v>
      </c>
      <c r="K532" s="420"/>
      <c r="L532" s="395" t="s">
        <v>932</v>
      </c>
      <c r="N532" s="395" t="s">
        <v>932</v>
      </c>
    </row>
    <row r="533" hidden="1" spans="1:14">
      <c r="A533" s="404">
        <v>0</v>
      </c>
      <c r="B533" s="404" t="e">
        <v>#N/A</v>
      </c>
      <c r="C533" s="404"/>
      <c r="D533" s="334"/>
      <c r="E533" s="416">
        <v>0</v>
      </c>
      <c r="F533" s="334"/>
      <c r="G533" s="346">
        <v>0</v>
      </c>
      <c r="H533" s="417">
        <v>1</v>
      </c>
      <c r="I533" s="346" t="e">
        <v>#N/A</v>
      </c>
      <c r="J533" s="419" t="e">
        <v>#N/A</v>
      </c>
      <c r="K533" s="420"/>
      <c r="L533" s="395" t="s">
        <v>932</v>
      </c>
      <c r="N533" s="395" t="s">
        <v>932</v>
      </c>
    </row>
    <row r="534" hidden="1" spans="1:14">
      <c r="A534" s="404">
        <v>0</v>
      </c>
      <c r="B534" s="404" t="e">
        <v>#N/A</v>
      </c>
      <c r="C534" s="404"/>
      <c r="D534" s="334"/>
      <c r="E534" s="416">
        <v>0</v>
      </c>
      <c r="F534" s="334"/>
      <c r="G534" s="346">
        <v>0</v>
      </c>
      <c r="H534" s="417">
        <v>1</v>
      </c>
      <c r="I534" s="346" t="e">
        <v>#N/A</v>
      </c>
      <c r="J534" s="419" t="e">
        <v>#N/A</v>
      </c>
      <c r="K534" s="420"/>
      <c r="L534" s="395" t="s">
        <v>932</v>
      </c>
      <c r="N534" s="395" t="s">
        <v>932</v>
      </c>
    </row>
    <row r="535" hidden="1" spans="1:14">
      <c r="A535" s="404">
        <v>0</v>
      </c>
      <c r="B535" s="404" t="e">
        <v>#N/A</v>
      </c>
      <c r="C535" s="404"/>
      <c r="D535" s="334"/>
      <c r="E535" s="416">
        <v>0</v>
      </c>
      <c r="F535" s="334"/>
      <c r="G535" s="346">
        <v>0</v>
      </c>
      <c r="H535" s="417">
        <v>1</v>
      </c>
      <c r="I535" s="346" t="e">
        <v>#N/A</v>
      </c>
      <c r="J535" s="419" t="e">
        <v>#N/A</v>
      </c>
      <c r="K535" s="420"/>
      <c r="L535" s="395" t="s">
        <v>932</v>
      </c>
      <c r="N535" s="395" t="s">
        <v>932</v>
      </c>
    </row>
    <row r="536" hidden="1" spans="1:14">
      <c r="A536" s="404">
        <v>0</v>
      </c>
      <c r="B536" s="404" t="e">
        <v>#N/A</v>
      </c>
      <c r="C536" s="404"/>
      <c r="D536" s="334"/>
      <c r="E536" s="416">
        <v>0</v>
      </c>
      <c r="F536" s="334"/>
      <c r="G536" s="346">
        <v>0</v>
      </c>
      <c r="H536" s="417">
        <v>1</v>
      </c>
      <c r="I536" s="346" t="e">
        <v>#N/A</v>
      </c>
      <c r="J536" s="419" t="e">
        <v>#N/A</v>
      </c>
      <c r="K536" s="420"/>
      <c r="L536" s="395" t="s">
        <v>932</v>
      </c>
      <c r="N536" s="395" t="s">
        <v>932</v>
      </c>
    </row>
    <row r="537" spans="1:14">
      <c r="A537" s="421"/>
      <c r="B537" s="422"/>
      <c r="C537" s="422"/>
      <c r="D537" s="422"/>
      <c r="E537" s="423"/>
      <c r="F537" s="424"/>
      <c r="G537" s="422"/>
      <c r="H537" s="422"/>
      <c r="I537" s="422"/>
      <c r="J537" s="422"/>
      <c r="K537" s="425" t="s">
        <v>14185</v>
      </c>
      <c r="L537" s="426">
        <v>360.705</v>
      </c>
      <c r="N537" s="427">
        <v>179.9847</v>
      </c>
    </row>
    <row r="538" spans="1:14">
      <c r="A538" s="428" t="s">
        <v>14186</v>
      </c>
      <c r="B538" s="429"/>
      <c r="C538" s="429"/>
      <c r="D538" s="430"/>
      <c r="E538" s="431" t="s">
        <v>74</v>
      </c>
      <c r="F538" s="431" t="s">
        <v>1123</v>
      </c>
      <c r="G538" s="430"/>
      <c r="H538" s="422"/>
      <c r="I538" s="431" t="s">
        <v>14177</v>
      </c>
      <c r="J538" s="430"/>
      <c r="K538" s="430"/>
      <c r="L538" s="432" t="s">
        <v>14187</v>
      </c>
    </row>
    <row r="539" spans="1:14">
      <c r="A539" s="404" t="s">
        <v>935</v>
      </c>
      <c r="B539" s="433" t="s">
        <v>936</v>
      </c>
      <c r="C539" s="433"/>
      <c r="D539" s="334"/>
      <c r="E539" s="434">
        <v>2</v>
      </c>
      <c r="F539" s="333" t="s">
        <v>104</v>
      </c>
      <c r="G539" s="334"/>
      <c r="H539" s="334"/>
      <c r="I539" s="435">
        <v>23.6025</v>
      </c>
      <c r="J539" s="334"/>
      <c r="K539" s="334"/>
      <c r="L539" s="346">
        <v>47.205</v>
      </c>
      <c r="N539" s="395">
        <v>47.205</v>
      </c>
    </row>
    <row r="540" hidden="1" spans="1:14">
      <c r="A540" s="404">
        <v>0</v>
      </c>
      <c r="B540" s="404" t="e">
        <v>#N/A</v>
      </c>
      <c r="C540" s="404"/>
      <c r="D540" s="334"/>
      <c r="E540" s="434">
        <v>0</v>
      </c>
      <c r="F540" s="333" t="s">
        <v>104</v>
      </c>
      <c r="G540" s="334"/>
      <c r="H540" s="334"/>
      <c r="I540" s="435" t="e">
        <v>#N/A</v>
      </c>
      <c r="J540" s="334"/>
      <c r="K540" s="334"/>
      <c r="L540" s="346" t="s">
        <v>932</v>
      </c>
      <c r="N540" s="395" t="s">
        <v>932</v>
      </c>
    </row>
    <row r="541" hidden="1" spans="1:14">
      <c r="A541" s="404">
        <v>0</v>
      </c>
      <c r="B541" s="404" t="e">
        <v>#N/A</v>
      </c>
      <c r="C541" s="404"/>
      <c r="D541" s="334"/>
      <c r="E541" s="434">
        <v>0</v>
      </c>
      <c r="F541" s="333" t="s">
        <v>104</v>
      </c>
      <c r="G541" s="334"/>
      <c r="H541" s="334"/>
      <c r="I541" s="435" t="e">
        <v>#N/A</v>
      </c>
      <c r="J541" s="334"/>
      <c r="K541" s="334"/>
      <c r="L541" s="346" t="s">
        <v>932</v>
      </c>
      <c r="N541" s="395" t="s">
        <v>932</v>
      </c>
    </row>
    <row r="542" hidden="1" spans="1:14">
      <c r="A542" s="404">
        <v>0</v>
      </c>
      <c r="B542" s="404" t="e">
        <v>#N/A</v>
      </c>
      <c r="C542" s="404"/>
      <c r="D542" s="334"/>
      <c r="E542" s="434">
        <v>0</v>
      </c>
      <c r="F542" s="333" t="s">
        <v>104</v>
      </c>
      <c r="G542" s="334"/>
      <c r="H542" s="334"/>
      <c r="I542" s="435" t="e">
        <v>#N/A</v>
      </c>
      <c r="J542" s="334"/>
      <c r="K542" s="334"/>
      <c r="L542" s="346" t="s">
        <v>932</v>
      </c>
      <c r="N542" s="395" t="s">
        <v>932</v>
      </c>
    </row>
    <row r="543" hidden="1" spans="1:14">
      <c r="A543" s="404">
        <v>0</v>
      </c>
      <c r="B543" s="404" t="e">
        <v>#N/A</v>
      </c>
      <c r="C543" s="404"/>
      <c r="D543" s="334"/>
      <c r="E543" s="434">
        <v>0</v>
      </c>
      <c r="F543" s="333" t="s">
        <v>104</v>
      </c>
      <c r="G543" s="334"/>
      <c r="H543" s="334"/>
      <c r="I543" s="435" t="e">
        <v>#N/A</v>
      </c>
      <c r="J543" s="334"/>
      <c r="K543" s="334"/>
      <c r="L543" s="346" t="s">
        <v>932</v>
      </c>
      <c r="N543" s="395" t="s">
        <v>932</v>
      </c>
    </row>
    <row r="544" hidden="1" spans="1:14">
      <c r="A544" s="404">
        <v>0</v>
      </c>
      <c r="B544" s="404" t="e">
        <v>#N/A</v>
      </c>
      <c r="C544" s="404"/>
      <c r="D544" s="334"/>
      <c r="E544" s="434">
        <v>0</v>
      </c>
      <c r="F544" s="333" t="s">
        <v>104</v>
      </c>
      <c r="G544" s="334"/>
      <c r="H544" s="334"/>
      <c r="I544" s="435" t="e">
        <v>#N/A</v>
      </c>
      <c r="J544" s="334"/>
      <c r="K544" s="334"/>
      <c r="L544" s="346" t="s">
        <v>932</v>
      </c>
      <c r="N544" s="395" t="s">
        <v>932</v>
      </c>
    </row>
    <row r="545" hidden="1" spans="1:15">
      <c r="A545" s="404">
        <v>0</v>
      </c>
      <c r="B545" s="404" t="e">
        <v>#N/A</v>
      </c>
      <c r="C545" s="404"/>
      <c r="D545" s="334"/>
      <c r="E545" s="434">
        <v>0</v>
      </c>
      <c r="F545" s="333" t="s">
        <v>104</v>
      </c>
      <c r="G545" s="334"/>
      <c r="H545" s="334"/>
      <c r="I545" s="435" t="e">
        <v>#N/A</v>
      </c>
      <c r="J545" s="334"/>
      <c r="K545" s="334"/>
      <c r="L545" s="346" t="s">
        <v>932</v>
      </c>
      <c r="N545" s="395" t="s">
        <v>932</v>
      </c>
    </row>
    <row r="546" hidden="1" spans="1:15">
      <c r="A546" s="404">
        <v>0</v>
      </c>
      <c r="B546" s="436" t="e">
        <v>#N/A</v>
      </c>
      <c r="C546" s="436"/>
      <c r="D546" s="334"/>
      <c r="E546" s="434">
        <v>0</v>
      </c>
      <c r="F546" s="333" t="s">
        <v>104</v>
      </c>
      <c r="G546" s="334"/>
      <c r="H546" s="334"/>
      <c r="I546" s="435" t="e">
        <v>#N/A</v>
      </c>
      <c r="J546" s="334"/>
      <c r="K546" s="334"/>
      <c r="L546" s="346" t="s">
        <v>932</v>
      </c>
      <c r="N546" s="395" t="s">
        <v>932</v>
      </c>
    </row>
    <row r="547" spans="1:15">
      <c r="A547" s="421"/>
      <c r="B547" s="62"/>
      <c r="C547" s="62"/>
      <c r="D547" s="422"/>
      <c r="E547" s="423"/>
      <c r="F547" s="424"/>
      <c r="G547" s="422"/>
      <c r="H547" s="422"/>
      <c r="I547" s="422"/>
      <c r="J547" s="422"/>
      <c r="K547" s="425" t="s">
        <v>14188</v>
      </c>
      <c r="L547" s="426">
        <v>47.205</v>
      </c>
      <c r="N547" s="427">
        <v>47.205</v>
      </c>
    </row>
    <row r="548" spans="1:15">
      <c r="I548" s="437"/>
      <c r="K548" s="383" t="s">
        <v>14189</v>
      </c>
      <c r="L548" s="427">
        <v>407.91</v>
      </c>
      <c r="N548" s="395">
        <v>227.1897</v>
      </c>
    </row>
    <row r="549" spans="1:15">
      <c r="K549" s="383" t="s">
        <v>14190</v>
      </c>
      <c r="L549" s="427">
        <v>49.1457831325301</v>
      </c>
      <c r="N549" s="395">
        <v>27.3722530120482</v>
      </c>
      <c r="O549" s="395">
        <v>3.6484476039759</v>
      </c>
    </row>
    <row r="550" spans="1:15">
      <c r="K550" s="383" t="s">
        <v>14191</v>
      </c>
      <c r="L550" s="427">
        <v>3.6484476039759</v>
      </c>
    </row>
    <row r="551" spans="1:15">
      <c r="K551" s="383" t="s">
        <v>14192</v>
      </c>
      <c r="L551" s="395">
        <v>0</v>
      </c>
    </row>
    <row r="552" spans="1:15">
      <c r="A552" s="428" t="s">
        <v>14193</v>
      </c>
      <c r="B552" s="430"/>
      <c r="C552" s="430"/>
      <c r="D552" s="430"/>
      <c r="E552" s="431" t="s">
        <v>74</v>
      </c>
      <c r="F552" s="431" t="s">
        <v>1123</v>
      </c>
      <c r="G552" s="430"/>
      <c r="H552" s="430"/>
      <c r="I552" s="425" t="s">
        <v>75</v>
      </c>
      <c r="J552" s="430"/>
      <c r="K552" s="430"/>
      <c r="L552" s="426" t="s">
        <v>14194</v>
      </c>
    </row>
    <row r="553" spans="1:15">
      <c r="A553" s="404" t="s">
        <v>14222</v>
      </c>
      <c r="B553" s="433" t="s">
        <v>14223</v>
      </c>
      <c r="C553" s="433"/>
      <c r="D553" s="334"/>
      <c r="E553" s="434">
        <v>67.6</v>
      </c>
      <c r="F553" s="333" t="s">
        <v>101</v>
      </c>
      <c r="G553" s="334"/>
      <c r="I553" s="395">
        <v>5.00920104368051</v>
      </c>
      <c r="J553" s="395"/>
      <c r="K553" s="395"/>
      <c r="L553" s="346">
        <v>338.621990552803</v>
      </c>
    </row>
    <row r="554" hidden="1" spans="1:15">
      <c r="A554" s="404">
        <v>0</v>
      </c>
      <c r="B554" s="404" t="e">
        <v>#N/A</v>
      </c>
      <c r="C554" s="404"/>
      <c r="D554" s="334"/>
      <c r="E554" s="434">
        <v>0</v>
      </c>
      <c r="F554" s="333" t="e">
        <v>#N/A</v>
      </c>
      <c r="G554" s="334"/>
      <c r="I554" s="395" t="e">
        <v>#N/A</v>
      </c>
      <c r="J554" s="395"/>
      <c r="K554" s="395"/>
      <c r="L554" s="346" t="s">
        <v>932</v>
      </c>
    </row>
    <row r="555" hidden="1" spans="1:15">
      <c r="A555" s="404">
        <v>0</v>
      </c>
      <c r="B555" s="404" t="e">
        <v>#N/A</v>
      </c>
      <c r="C555" s="404"/>
      <c r="D555" s="334"/>
      <c r="E555" s="434">
        <v>0</v>
      </c>
      <c r="F555" s="333" t="e">
        <v>#N/A</v>
      </c>
      <c r="G555" s="334"/>
      <c r="I555" s="395" t="e">
        <v>#N/A</v>
      </c>
      <c r="J555" s="395"/>
      <c r="K555" s="395"/>
      <c r="L555" s="346" t="s">
        <v>932</v>
      </c>
    </row>
    <row r="556" hidden="1" spans="1:15">
      <c r="A556" s="404">
        <v>0</v>
      </c>
      <c r="B556" s="404" t="e">
        <v>#N/A</v>
      </c>
      <c r="C556" s="404"/>
      <c r="D556" s="334"/>
      <c r="E556" s="434">
        <v>0</v>
      </c>
      <c r="F556" s="333" t="e">
        <v>#N/A</v>
      </c>
      <c r="G556" s="334"/>
      <c r="I556" s="395" t="e">
        <v>#N/A</v>
      </c>
      <c r="J556" s="395"/>
      <c r="K556" s="395"/>
      <c r="L556" s="346" t="s">
        <v>932</v>
      </c>
    </row>
    <row r="557" hidden="1" spans="1:15">
      <c r="A557" s="404">
        <v>0</v>
      </c>
      <c r="B557" s="404" t="e">
        <v>#N/A</v>
      </c>
      <c r="C557" s="404"/>
      <c r="D557" s="334"/>
      <c r="E557" s="434">
        <v>0</v>
      </c>
      <c r="F557" s="333" t="e">
        <v>#N/A</v>
      </c>
      <c r="G557" s="334"/>
      <c r="H557" s="334"/>
      <c r="I557" s="395" t="e">
        <v>#N/A</v>
      </c>
      <c r="J557" s="395"/>
      <c r="K557" s="395"/>
      <c r="L557" s="346" t="s">
        <v>932</v>
      </c>
    </row>
    <row r="558" hidden="1" spans="1:15">
      <c r="A558" s="404">
        <v>0</v>
      </c>
      <c r="B558" s="404" t="e">
        <v>#N/A</v>
      </c>
      <c r="C558" s="404"/>
      <c r="D558" s="334"/>
      <c r="E558" s="434">
        <v>0</v>
      </c>
      <c r="F558" s="333" t="e">
        <v>#N/A</v>
      </c>
      <c r="G558" s="334"/>
      <c r="H558" s="334"/>
      <c r="I558" s="395" t="e">
        <v>#N/A</v>
      </c>
      <c r="J558" s="395"/>
      <c r="K558" s="395"/>
      <c r="L558" s="346" t="s">
        <v>932</v>
      </c>
    </row>
    <row r="559" hidden="1" spans="1:15">
      <c r="A559" s="404">
        <v>0</v>
      </c>
      <c r="B559" s="404" t="e">
        <v>#N/A</v>
      </c>
      <c r="C559" s="404"/>
      <c r="D559" s="334"/>
      <c r="E559" s="434">
        <v>0</v>
      </c>
      <c r="F559" s="333" t="e">
        <v>#N/A</v>
      </c>
      <c r="G559" s="334"/>
      <c r="H559" s="334"/>
      <c r="I559" s="395" t="e">
        <v>#N/A</v>
      </c>
      <c r="J559" s="395"/>
      <c r="K559" s="395"/>
      <c r="L559" s="346" t="s">
        <v>932</v>
      </c>
    </row>
    <row r="560" hidden="1" spans="1:15">
      <c r="A560" s="404">
        <v>0</v>
      </c>
      <c r="B560" s="404" t="e">
        <v>#N/A</v>
      </c>
      <c r="C560" s="404"/>
      <c r="D560" s="438"/>
      <c r="E560" s="434">
        <v>0</v>
      </c>
      <c r="F560" s="333" t="e">
        <v>#N/A</v>
      </c>
      <c r="G560" s="334"/>
      <c r="H560" s="334"/>
      <c r="I560" s="395" t="e">
        <v>#N/A</v>
      </c>
      <c r="J560" s="395"/>
      <c r="K560" s="395"/>
      <c r="L560" s="346" t="s">
        <v>932</v>
      </c>
    </row>
    <row r="561" spans="1:12">
      <c r="A561" s="421"/>
      <c r="B561" s="422"/>
      <c r="C561" s="422"/>
      <c r="D561" s="422"/>
      <c r="E561" s="423"/>
      <c r="F561" s="424"/>
      <c r="G561" s="422"/>
      <c r="H561" s="422"/>
      <c r="I561" s="430"/>
      <c r="J561" s="430"/>
      <c r="K561" s="425" t="s">
        <v>14203</v>
      </c>
      <c r="L561" s="426">
        <v>338.621990552803</v>
      </c>
    </row>
    <row r="562" hidden="1" spans="1:12">
      <c r="A562" s="428" t="s">
        <v>14204</v>
      </c>
      <c r="B562" s="430"/>
      <c r="C562" s="430"/>
      <c r="D562" s="430"/>
      <c r="E562" s="431" t="s">
        <v>74</v>
      </c>
      <c r="F562" s="431" t="s">
        <v>1123</v>
      </c>
      <c r="G562" s="430"/>
      <c r="H562" s="430"/>
      <c r="I562" s="425" t="s">
        <v>75</v>
      </c>
      <c r="J562" s="430"/>
      <c r="K562" s="430"/>
      <c r="L562" s="426" t="s">
        <v>14194</v>
      </c>
    </row>
    <row r="563" hidden="1" spans="1:12">
      <c r="A563" s="404">
        <v>0</v>
      </c>
      <c r="B563" s="334" t="e">
        <v>#N/A</v>
      </c>
      <c r="C563" s="334"/>
      <c r="D563" s="334"/>
      <c r="E563" s="434">
        <v>0</v>
      </c>
      <c r="F563" s="333" t="e">
        <v>#N/A</v>
      </c>
      <c r="G563" s="439"/>
      <c r="I563" s="346" t="e">
        <v>#N/A</v>
      </c>
      <c r="L563" s="346" t="s">
        <v>932</v>
      </c>
    </row>
    <row r="564" hidden="1" spans="1:12">
      <c r="A564" s="401">
        <v>0</v>
      </c>
      <c r="B564" s="334" t="e">
        <v>#N/A</v>
      </c>
      <c r="E564" s="440">
        <v>0</v>
      </c>
      <c r="F564" s="333" t="e">
        <v>#N/A</v>
      </c>
      <c r="G564" s="439"/>
      <c r="I564" s="346" t="e">
        <v>#N/A</v>
      </c>
      <c r="L564" s="346" t="s">
        <v>932</v>
      </c>
    </row>
    <row r="565" hidden="1" spans="1:12">
      <c r="A565" s="401">
        <v>0</v>
      </c>
      <c r="B565" s="334" t="e">
        <v>#N/A</v>
      </c>
      <c r="E565" s="440">
        <v>0</v>
      </c>
      <c r="F565" s="333" t="e">
        <v>#N/A</v>
      </c>
      <c r="G565" s="439"/>
      <c r="I565" s="346" t="e">
        <v>#N/A</v>
      </c>
      <c r="L565" s="346" t="s">
        <v>932</v>
      </c>
    </row>
    <row r="566" hidden="1" spans="1:12">
      <c r="A566" s="401">
        <v>0</v>
      </c>
      <c r="B566" s="334" t="e">
        <v>#N/A</v>
      </c>
      <c r="E566" s="440">
        <v>0</v>
      </c>
      <c r="F566" s="333" t="e">
        <v>#N/A</v>
      </c>
      <c r="G566" s="439"/>
      <c r="I566" s="346" t="e">
        <v>#N/A</v>
      </c>
      <c r="L566" s="346" t="s">
        <v>932</v>
      </c>
    </row>
    <row r="567" hidden="1" spans="1:12">
      <c r="A567" s="401">
        <v>0</v>
      </c>
      <c r="B567" s="334" t="e">
        <v>#N/A</v>
      </c>
      <c r="E567" s="440">
        <v>0</v>
      </c>
      <c r="F567" s="333" t="e">
        <v>#N/A</v>
      </c>
      <c r="G567" s="439"/>
      <c r="I567" s="346" t="e">
        <v>#N/A</v>
      </c>
      <c r="L567" s="346" t="s">
        <v>932</v>
      </c>
    </row>
    <row r="568" hidden="1" spans="1:12">
      <c r="A568" s="401">
        <v>0</v>
      </c>
      <c r="B568" s="334" t="e">
        <v>#N/A</v>
      </c>
      <c r="E568" s="440">
        <v>0</v>
      </c>
      <c r="F568" s="333" t="e">
        <v>#N/A</v>
      </c>
      <c r="G568" s="439"/>
      <c r="I568" s="346" t="e">
        <v>#N/A</v>
      </c>
      <c r="L568" s="346" t="s">
        <v>932</v>
      </c>
    </row>
    <row r="569" hidden="1" spans="1:12">
      <c r="A569" s="421"/>
      <c r="B569" s="422"/>
      <c r="C569" s="422"/>
      <c r="D569" s="422"/>
      <c r="E569" s="422"/>
      <c r="F569" s="422"/>
      <c r="G569" s="422"/>
      <c r="H569" s="422"/>
      <c r="I569" s="430"/>
      <c r="J569" s="430"/>
      <c r="K569" s="425" t="s">
        <v>14206</v>
      </c>
      <c r="L569" s="426">
        <v>0</v>
      </c>
    </row>
    <row r="570" spans="1:12">
      <c r="A570" s="421"/>
      <c r="B570" s="422"/>
      <c r="C570" s="422"/>
      <c r="D570" s="422"/>
      <c r="E570" s="422"/>
      <c r="F570" s="422"/>
      <c r="G570" s="422"/>
      <c r="H570" s="422"/>
      <c r="I570" s="430"/>
      <c r="J570" s="430"/>
      <c r="K570" s="425" t="s">
        <v>14207</v>
      </c>
      <c r="L570" s="426">
        <v>391.416221289309</v>
      </c>
    </row>
    <row r="571" spans="1:12">
      <c r="A571" s="428" t="s">
        <v>14208</v>
      </c>
      <c r="B571" s="430"/>
      <c r="C571" s="430"/>
      <c r="D571" s="431" t="s">
        <v>55</v>
      </c>
      <c r="E571" s="431" t="s">
        <v>74</v>
      </c>
      <c r="F571" s="431" t="s">
        <v>1123</v>
      </c>
      <c r="G571" s="430"/>
      <c r="H571" s="430"/>
      <c r="I571" s="425" t="s">
        <v>75</v>
      </c>
      <c r="J571" s="430"/>
      <c r="K571" s="430"/>
      <c r="L571" s="426" t="s">
        <v>14194</v>
      </c>
    </row>
    <row r="572" spans="1:12">
      <c r="A572" s="404" t="s">
        <v>14222</v>
      </c>
      <c r="B572" s="441" t="s">
        <v>14223</v>
      </c>
      <c r="C572" s="441"/>
      <c r="D572" s="442">
        <v>5915015</v>
      </c>
      <c r="E572" s="434">
        <v>0.0676</v>
      </c>
      <c r="F572" s="333" t="s">
        <v>9885</v>
      </c>
      <c r="G572" s="443" t="s">
        <v>14209</v>
      </c>
      <c r="H572" s="334"/>
      <c r="I572" s="346">
        <v>22.07</v>
      </c>
      <c r="J572" s="334"/>
      <c r="K572" s="346"/>
      <c r="L572" s="346">
        <v>1.491932</v>
      </c>
    </row>
    <row r="573" hidden="1" spans="1:12">
      <c r="A573" s="404">
        <v>0</v>
      </c>
      <c r="B573" s="334" t="e">
        <v>#N/A</v>
      </c>
      <c r="C573" s="334"/>
      <c r="D573" s="442">
        <v>0</v>
      </c>
      <c r="E573" s="434">
        <v>0</v>
      </c>
      <c r="F573" s="333" t="s">
        <v>9885</v>
      </c>
      <c r="G573" s="334"/>
      <c r="H573" s="334"/>
      <c r="I573" s="346">
        <v>0</v>
      </c>
      <c r="J573" s="334"/>
      <c r="K573" s="346"/>
      <c r="L573" s="346" t="s">
        <v>932</v>
      </c>
    </row>
    <row r="574" hidden="1" spans="1:12">
      <c r="A574" s="404">
        <v>0</v>
      </c>
      <c r="B574" s="334" t="e">
        <v>#N/A</v>
      </c>
      <c r="C574" s="334"/>
      <c r="D574" s="442">
        <v>0</v>
      </c>
      <c r="E574" s="434">
        <v>0</v>
      </c>
      <c r="F574" s="333" t="s">
        <v>9885</v>
      </c>
      <c r="G574" s="334"/>
      <c r="H574" s="334"/>
      <c r="I574" s="346">
        <v>0</v>
      </c>
      <c r="J574" s="334"/>
      <c r="K574" s="346"/>
      <c r="L574" s="346" t="s">
        <v>932</v>
      </c>
    </row>
    <row r="575" hidden="1" spans="1:12">
      <c r="A575" s="404">
        <v>0</v>
      </c>
      <c r="B575" s="334" t="e">
        <v>#N/A</v>
      </c>
      <c r="C575" s="334"/>
      <c r="D575" s="442">
        <v>0</v>
      </c>
      <c r="E575" s="434">
        <v>0</v>
      </c>
      <c r="F575" s="333" t="s">
        <v>9885</v>
      </c>
      <c r="G575" s="334"/>
      <c r="H575" s="334"/>
      <c r="I575" s="346">
        <v>0</v>
      </c>
      <c r="J575" s="334"/>
      <c r="K575" s="346"/>
      <c r="L575" s="346" t="s">
        <v>932</v>
      </c>
    </row>
    <row r="576" hidden="1" spans="1:12">
      <c r="A576" s="404">
        <v>0</v>
      </c>
      <c r="B576" s="334" t="e">
        <v>#N/A</v>
      </c>
      <c r="C576" s="334"/>
      <c r="D576" s="442">
        <v>0</v>
      </c>
      <c r="E576" s="434">
        <v>0</v>
      </c>
      <c r="F576" s="333" t="s">
        <v>9885</v>
      </c>
      <c r="G576" s="334"/>
      <c r="H576" s="334"/>
      <c r="I576" s="346">
        <v>0</v>
      </c>
      <c r="J576" s="334"/>
      <c r="K576" s="346"/>
      <c r="L576" s="346" t="s">
        <v>932</v>
      </c>
    </row>
    <row r="577" hidden="1" spans="1:12">
      <c r="A577" s="404">
        <v>0</v>
      </c>
      <c r="B577" s="334" t="e">
        <v>#N/A</v>
      </c>
      <c r="C577" s="334"/>
      <c r="D577" s="442">
        <v>0</v>
      </c>
      <c r="E577" s="434">
        <v>0</v>
      </c>
      <c r="F577" s="333" t="s">
        <v>9885</v>
      </c>
      <c r="G577" s="334"/>
      <c r="H577" s="334"/>
      <c r="I577" s="346">
        <v>0</v>
      </c>
      <c r="J577" s="334"/>
      <c r="K577" s="346"/>
      <c r="L577" s="346" t="s">
        <v>932</v>
      </c>
    </row>
    <row r="578" hidden="1" spans="1:12">
      <c r="A578" s="404">
        <v>0</v>
      </c>
      <c r="B578" s="334" t="e">
        <v>#N/A</v>
      </c>
      <c r="C578" s="334"/>
      <c r="D578" s="442">
        <v>0</v>
      </c>
      <c r="E578" s="434">
        <v>0</v>
      </c>
      <c r="F578" s="333" t="s">
        <v>9885</v>
      </c>
      <c r="G578" s="334"/>
      <c r="H578" s="334"/>
      <c r="I578" s="346">
        <v>0</v>
      </c>
      <c r="J578" s="334"/>
      <c r="K578" s="346"/>
      <c r="L578" s="346" t="s">
        <v>932</v>
      </c>
    </row>
    <row r="579" hidden="1" spans="1:12">
      <c r="A579" s="404">
        <v>0</v>
      </c>
      <c r="B579" s="444" t="e">
        <v>#N/A</v>
      </c>
      <c r="C579" s="444"/>
      <c r="D579" s="442">
        <v>0</v>
      </c>
      <c r="E579" s="434">
        <v>0</v>
      </c>
      <c r="F579" s="333" t="s">
        <v>9885</v>
      </c>
      <c r="G579" s="334"/>
      <c r="H579" s="334"/>
      <c r="I579" s="346">
        <v>0</v>
      </c>
      <c r="J579" s="334"/>
      <c r="K579" s="346"/>
      <c r="L579" s="346" t="s">
        <v>932</v>
      </c>
    </row>
    <row r="580" spans="1:12">
      <c r="A580" s="428"/>
      <c r="B580" s="445"/>
      <c r="C580" s="445"/>
      <c r="D580" s="430"/>
      <c r="E580" s="430"/>
      <c r="F580" s="430"/>
      <c r="G580" s="430"/>
      <c r="H580" s="430"/>
      <c r="I580" s="430"/>
      <c r="J580" s="430"/>
      <c r="K580" s="425" t="s">
        <v>14210</v>
      </c>
      <c r="L580" s="426">
        <v>1.491932</v>
      </c>
    </row>
    <row r="581" hidden="1" spans="1:12">
      <c r="A581" s="446" t="s">
        <v>14211</v>
      </c>
      <c r="B581" s="445"/>
      <c r="C581" s="445"/>
      <c r="D581" s="447" t="s">
        <v>55</v>
      </c>
      <c r="E581" s="445" t="s">
        <v>74</v>
      </c>
      <c r="F581" s="447" t="s">
        <v>1123</v>
      </c>
      <c r="G581" s="445"/>
      <c r="H581" s="447" t="s">
        <v>72</v>
      </c>
      <c r="I581" s="447" t="s">
        <v>75</v>
      </c>
      <c r="J581" s="445"/>
      <c r="K581" s="448"/>
      <c r="L581" s="449" t="s">
        <v>14194</v>
      </c>
    </row>
    <row r="582" hidden="1" spans="1:12">
      <c r="A582" s="404" t="s">
        <v>14222</v>
      </c>
      <c r="B582" s="433" t="s">
        <v>14223</v>
      </c>
      <c r="C582" s="433"/>
      <c r="D582" s="442">
        <v>5915012</v>
      </c>
      <c r="E582" s="450">
        <v>0.0676</v>
      </c>
      <c r="F582" s="333" t="s">
        <v>13063</v>
      </c>
      <c r="G582" s="333" t="s">
        <v>14212</v>
      </c>
      <c r="H582" s="346">
        <v>0</v>
      </c>
      <c r="I582" s="346">
        <v>2.07</v>
      </c>
      <c r="J582" s="346"/>
      <c r="K582" s="334"/>
      <c r="L582" s="346">
        <v>0</v>
      </c>
    </row>
    <row r="583" hidden="1" spans="1:12">
      <c r="A583" s="404"/>
      <c r="B583" s="404"/>
      <c r="C583" s="334"/>
      <c r="D583" s="442">
        <v>5915013</v>
      </c>
      <c r="E583" s="450">
        <v>0.0676</v>
      </c>
      <c r="F583" s="333" t="s">
        <v>13063</v>
      </c>
      <c r="G583" s="333" t="s">
        <v>14213</v>
      </c>
      <c r="H583" s="346">
        <v>0</v>
      </c>
      <c r="I583" s="346">
        <v>1.66</v>
      </c>
      <c r="J583" s="346"/>
      <c r="K583" s="334"/>
      <c r="L583" s="346">
        <v>0</v>
      </c>
    </row>
    <row r="584" hidden="1" spans="1:12">
      <c r="A584" s="404"/>
      <c r="B584" s="404"/>
      <c r="C584" s="334"/>
      <c r="D584" s="442">
        <v>5915014</v>
      </c>
      <c r="E584" s="450">
        <v>0.0676</v>
      </c>
      <c r="F584" s="333" t="s">
        <v>13063</v>
      </c>
      <c r="G584" s="333" t="s">
        <v>14214</v>
      </c>
      <c r="H584" s="346">
        <v>0</v>
      </c>
      <c r="I584" s="346">
        <v>1.36</v>
      </c>
      <c r="J584" s="346"/>
      <c r="K584" s="334"/>
      <c r="L584" s="346">
        <v>0</v>
      </c>
    </row>
    <row r="585" hidden="1" spans="1:12">
      <c r="A585" s="404">
        <v>0</v>
      </c>
      <c r="B585" s="404" t="e">
        <v>#N/A</v>
      </c>
      <c r="C585" s="404"/>
      <c r="D585" s="442">
        <v>0</v>
      </c>
      <c r="E585" s="450">
        <v>0</v>
      </c>
      <c r="F585" s="333" t="s">
        <v>13063</v>
      </c>
      <c r="G585" s="333" t="s">
        <v>14212</v>
      </c>
      <c r="H585" s="346">
        <v>0</v>
      </c>
      <c r="I585" s="346">
        <v>0</v>
      </c>
      <c r="J585" s="346"/>
      <c r="K585" s="334"/>
      <c r="L585" s="346" t="s">
        <v>932</v>
      </c>
    </row>
    <row r="586" hidden="1" spans="1:12">
      <c r="A586" s="404"/>
      <c r="B586" s="404"/>
      <c r="C586" s="334"/>
      <c r="D586" s="442">
        <v>0</v>
      </c>
      <c r="E586" s="450">
        <v>0</v>
      </c>
      <c r="F586" s="333" t="s">
        <v>13063</v>
      </c>
      <c r="G586" s="333" t="s">
        <v>14213</v>
      </c>
      <c r="H586" s="346">
        <v>0</v>
      </c>
      <c r="I586" s="346">
        <v>0</v>
      </c>
      <c r="J586" s="346"/>
      <c r="K586" s="334"/>
      <c r="L586" s="346" t="s">
        <v>932</v>
      </c>
    </row>
    <row r="587" hidden="1" spans="1:12">
      <c r="A587" s="404"/>
      <c r="B587" s="404"/>
      <c r="C587" s="334"/>
      <c r="D587" s="442">
        <v>0</v>
      </c>
      <c r="E587" s="450">
        <v>0</v>
      </c>
      <c r="F587" s="333" t="s">
        <v>13063</v>
      </c>
      <c r="G587" s="333" t="s">
        <v>14214</v>
      </c>
      <c r="H587" s="346">
        <v>0</v>
      </c>
      <c r="I587" s="346">
        <v>0</v>
      </c>
      <c r="J587" s="346"/>
      <c r="K587" s="334"/>
      <c r="L587" s="346" t="s">
        <v>932</v>
      </c>
    </row>
    <row r="588" hidden="1" spans="1:12">
      <c r="A588" s="404">
        <v>0</v>
      </c>
      <c r="B588" s="404" t="e">
        <v>#N/A</v>
      </c>
      <c r="C588" s="404"/>
      <c r="D588" s="442">
        <v>0</v>
      </c>
      <c r="E588" s="450">
        <v>0</v>
      </c>
      <c r="F588" s="333" t="s">
        <v>13063</v>
      </c>
      <c r="G588" s="333" t="s">
        <v>14212</v>
      </c>
      <c r="H588" s="346">
        <v>0</v>
      </c>
      <c r="I588" s="346">
        <v>0</v>
      </c>
      <c r="J588" s="346"/>
      <c r="K588" s="334"/>
      <c r="L588" s="346" t="s">
        <v>932</v>
      </c>
    </row>
    <row r="589" hidden="1" spans="1:12">
      <c r="A589" s="404"/>
      <c r="B589" s="404"/>
      <c r="C589" s="334"/>
      <c r="D589" s="442">
        <v>0</v>
      </c>
      <c r="E589" s="450">
        <v>0</v>
      </c>
      <c r="F589" s="333" t="s">
        <v>13063</v>
      </c>
      <c r="G589" s="333" t="s">
        <v>14213</v>
      </c>
      <c r="H589" s="346">
        <v>0</v>
      </c>
      <c r="I589" s="346">
        <v>0</v>
      </c>
      <c r="J589" s="346"/>
      <c r="K589" s="334"/>
      <c r="L589" s="346" t="s">
        <v>932</v>
      </c>
    </row>
    <row r="590" hidden="1" spans="1:12">
      <c r="A590" s="404"/>
      <c r="B590" s="404"/>
      <c r="C590" s="334"/>
      <c r="D590" s="442">
        <v>0</v>
      </c>
      <c r="E590" s="450">
        <v>0</v>
      </c>
      <c r="F590" s="333" t="s">
        <v>13063</v>
      </c>
      <c r="G590" s="333" t="s">
        <v>14214</v>
      </c>
      <c r="H590" s="346">
        <v>0</v>
      </c>
      <c r="I590" s="346">
        <v>0</v>
      </c>
      <c r="J590" s="346"/>
      <c r="K590" s="334"/>
      <c r="L590" s="346" t="s">
        <v>932</v>
      </c>
    </row>
    <row r="591" hidden="1" spans="1:12">
      <c r="A591" s="404">
        <v>0</v>
      </c>
      <c r="B591" s="404" t="e">
        <v>#N/A</v>
      </c>
      <c r="C591" s="404"/>
      <c r="D591" s="442">
        <v>0</v>
      </c>
      <c r="E591" s="450">
        <v>0</v>
      </c>
      <c r="F591" s="333" t="s">
        <v>13063</v>
      </c>
      <c r="G591" s="333" t="s">
        <v>14212</v>
      </c>
      <c r="H591" s="346">
        <v>0</v>
      </c>
      <c r="I591" s="346">
        <v>0</v>
      </c>
      <c r="J591" s="346"/>
      <c r="K591" s="334"/>
      <c r="L591" s="346" t="s">
        <v>932</v>
      </c>
    </row>
    <row r="592" hidden="1" spans="1:12">
      <c r="A592" s="404"/>
      <c r="B592" s="404"/>
      <c r="C592" s="334"/>
      <c r="D592" s="442">
        <v>0</v>
      </c>
      <c r="E592" s="450">
        <v>0</v>
      </c>
      <c r="F592" s="333" t="s">
        <v>13063</v>
      </c>
      <c r="G592" s="333" t="s">
        <v>14213</v>
      </c>
      <c r="H592" s="346">
        <v>0</v>
      </c>
      <c r="I592" s="346">
        <v>0</v>
      </c>
      <c r="J592" s="346"/>
      <c r="K592" s="334"/>
      <c r="L592" s="346" t="s">
        <v>932</v>
      </c>
    </row>
    <row r="593" hidden="1" spans="1:12">
      <c r="A593" s="404"/>
      <c r="B593" s="404"/>
      <c r="C593" s="334"/>
      <c r="D593" s="442">
        <v>0</v>
      </c>
      <c r="E593" s="450">
        <v>0</v>
      </c>
      <c r="F593" s="333" t="s">
        <v>13063</v>
      </c>
      <c r="G593" s="333" t="s">
        <v>14214</v>
      </c>
      <c r="H593" s="346">
        <v>0</v>
      </c>
      <c r="I593" s="346">
        <v>0</v>
      </c>
      <c r="J593" s="346"/>
      <c r="K593" s="334"/>
      <c r="L593" s="346" t="s">
        <v>932</v>
      </c>
    </row>
    <row r="594" hidden="1" spans="1:12">
      <c r="A594" s="404">
        <v>0</v>
      </c>
      <c r="B594" s="404" t="e">
        <v>#N/A</v>
      </c>
      <c r="C594" s="404"/>
      <c r="D594" s="442">
        <v>0</v>
      </c>
      <c r="E594" s="450">
        <v>0</v>
      </c>
      <c r="F594" s="333" t="s">
        <v>13063</v>
      </c>
      <c r="G594" s="333" t="s">
        <v>14212</v>
      </c>
      <c r="H594" s="346">
        <v>0</v>
      </c>
      <c r="I594" s="346">
        <v>0</v>
      </c>
      <c r="J594" s="346"/>
      <c r="K594" s="334"/>
      <c r="L594" s="346" t="s">
        <v>932</v>
      </c>
    </row>
    <row r="595" hidden="1" spans="1:12">
      <c r="A595" s="404"/>
      <c r="B595" s="404"/>
      <c r="C595" s="334"/>
      <c r="D595" s="442">
        <v>0</v>
      </c>
      <c r="E595" s="450">
        <v>0</v>
      </c>
      <c r="F595" s="333" t="s">
        <v>13063</v>
      </c>
      <c r="G595" s="333" t="s">
        <v>14213</v>
      </c>
      <c r="H595" s="346">
        <v>0</v>
      </c>
      <c r="I595" s="346">
        <v>0</v>
      </c>
      <c r="J595" s="346"/>
      <c r="K595" s="334"/>
      <c r="L595" s="346" t="s">
        <v>932</v>
      </c>
    </row>
    <row r="596" hidden="1" spans="1:12">
      <c r="A596" s="404"/>
      <c r="B596" s="404"/>
      <c r="C596" s="334"/>
      <c r="D596" s="442">
        <v>0</v>
      </c>
      <c r="E596" s="450">
        <v>0</v>
      </c>
      <c r="F596" s="333" t="s">
        <v>13063</v>
      </c>
      <c r="G596" s="333" t="s">
        <v>14214</v>
      </c>
      <c r="H596" s="346">
        <v>0</v>
      </c>
      <c r="I596" s="346">
        <v>0</v>
      </c>
      <c r="J596" s="346"/>
      <c r="K596" s="334"/>
      <c r="L596" s="346" t="s">
        <v>932</v>
      </c>
    </row>
    <row r="597" hidden="1" spans="1:12">
      <c r="A597" s="401">
        <v>0</v>
      </c>
      <c r="B597" s="401" t="e">
        <v>#N/A</v>
      </c>
      <c r="C597" s="401"/>
      <c r="D597" s="442">
        <v>0</v>
      </c>
      <c r="E597" s="450">
        <v>0</v>
      </c>
      <c r="F597" s="439" t="s">
        <v>13063</v>
      </c>
      <c r="G597" s="439" t="s">
        <v>14212</v>
      </c>
      <c r="H597" s="346">
        <v>0</v>
      </c>
      <c r="I597" s="346">
        <v>0</v>
      </c>
      <c r="J597" s="395"/>
      <c r="L597" s="346" t="s">
        <v>932</v>
      </c>
    </row>
    <row r="598" hidden="1" spans="1:12">
      <c r="A598" s="401"/>
      <c r="B598" s="401"/>
      <c r="D598" s="442">
        <v>0</v>
      </c>
      <c r="E598" s="450">
        <v>0</v>
      </c>
      <c r="F598" s="439" t="s">
        <v>13063</v>
      </c>
      <c r="G598" s="439" t="s">
        <v>14213</v>
      </c>
      <c r="H598" s="346">
        <v>0</v>
      </c>
      <c r="I598" s="346">
        <v>0</v>
      </c>
      <c r="J598" s="395"/>
      <c r="L598" s="346" t="s">
        <v>932</v>
      </c>
    </row>
    <row r="599" hidden="1" spans="1:12">
      <c r="A599" s="401"/>
      <c r="B599" s="401"/>
      <c r="D599" s="442">
        <v>0</v>
      </c>
      <c r="E599" s="450">
        <v>0</v>
      </c>
      <c r="F599" s="439" t="s">
        <v>13063</v>
      </c>
      <c r="G599" s="439" t="s">
        <v>14214</v>
      </c>
      <c r="H599" s="346">
        <v>0</v>
      </c>
      <c r="I599" s="346">
        <v>0</v>
      </c>
      <c r="J599" s="395"/>
      <c r="L599" s="346" t="s">
        <v>932</v>
      </c>
    </row>
    <row r="600" hidden="1" spans="1:12">
      <c r="A600" s="401">
        <v>0</v>
      </c>
      <c r="B600" s="401" t="e">
        <v>#N/A</v>
      </c>
      <c r="C600" s="401"/>
      <c r="D600" s="442">
        <v>0</v>
      </c>
      <c r="E600" s="450">
        <v>0</v>
      </c>
      <c r="F600" s="439" t="s">
        <v>13063</v>
      </c>
      <c r="G600" s="439" t="s">
        <v>14212</v>
      </c>
      <c r="H600" s="346">
        <v>0</v>
      </c>
      <c r="I600" s="346">
        <v>0</v>
      </c>
      <c r="J600" s="395"/>
      <c r="L600" s="346" t="s">
        <v>932</v>
      </c>
    </row>
    <row r="601" hidden="1" spans="1:12">
      <c r="A601" s="401"/>
      <c r="B601" s="401"/>
      <c r="D601" s="442">
        <v>0</v>
      </c>
      <c r="E601" s="450">
        <v>0</v>
      </c>
      <c r="F601" s="439" t="s">
        <v>13063</v>
      </c>
      <c r="G601" s="439" t="s">
        <v>14213</v>
      </c>
      <c r="H601" s="346">
        <v>0</v>
      </c>
      <c r="I601" s="346">
        <v>0</v>
      </c>
      <c r="J601" s="395"/>
      <c r="L601" s="346" t="s">
        <v>932</v>
      </c>
    </row>
    <row r="602" hidden="1" spans="1:12">
      <c r="A602" s="401"/>
      <c r="B602" s="401"/>
      <c r="D602" s="442">
        <v>0</v>
      </c>
      <c r="E602" s="450">
        <v>0</v>
      </c>
      <c r="F602" s="439" t="s">
        <v>13063</v>
      </c>
      <c r="G602" s="439" t="s">
        <v>14214</v>
      </c>
      <c r="H602" s="346">
        <v>0</v>
      </c>
      <c r="I602" s="346">
        <v>0</v>
      </c>
      <c r="J602" s="395"/>
      <c r="L602" s="346" t="s">
        <v>932</v>
      </c>
    </row>
    <row r="603" hidden="1" spans="1:12">
      <c r="A603" s="401">
        <v>0</v>
      </c>
      <c r="B603" s="401" t="e">
        <v>#N/A</v>
      </c>
      <c r="C603" s="401"/>
      <c r="D603" s="442">
        <v>0</v>
      </c>
      <c r="E603" s="450">
        <v>0</v>
      </c>
      <c r="F603" s="439" t="s">
        <v>13063</v>
      </c>
      <c r="G603" s="439" t="s">
        <v>14212</v>
      </c>
      <c r="H603" s="346">
        <v>0</v>
      </c>
      <c r="I603" s="346">
        <v>0</v>
      </c>
      <c r="J603" s="395"/>
      <c r="L603" s="346" t="s">
        <v>932</v>
      </c>
    </row>
    <row r="604" hidden="1" spans="1:12">
      <c r="A604" s="401"/>
      <c r="B604" s="401"/>
      <c r="D604" s="442">
        <v>0</v>
      </c>
      <c r="E604" s="450">
        <v>0</v>
      </c>
      <c r="F604" s="439" t="s">
        <v>13063</v>
      </c>
      <c r="G604" s="439" t="s">
        <v>14213</v>
      </c>
      <c r="H604" s="346">
        <v>0</v>
      </c>
      <c r="I604" s="346">
        <v>0</v>
      </c>
      <c r="J604" s="395"/>
      <c r="L604" s="346" t="s">
        <v>932</v>
      </c>
    </row>
    <row r="605" hidden="1" spans="1:12">
      <c r="A605" s="401"/>
      <c r="B605" s="401"/>
      <c r="D605" s="442">
        <v>0</v>
      </c>
      <c r="E605" s="450">
        <v>0</v>
      </c>
      <c r="F605" s="439" t="s">
        <v>13063</v>
      </c>
      <c r="G605" s="439" t="s">
        <v>14214</v>
      </c>
      <c r="H605" s="346">
        <v>0</v>
      </c>
      <c r="I605" s="346">
        <v>0</v>
      </c>
      <c r="J605" s="395"/>
      <c r="L605" s="346" t="s">
        <v>932</v>
      </c>
    </row>
    <row r="606" hidden="1" spans="1:12">
      <c r="A606" s="421"/>
      <c r="B606" s="422"/>
      <c r="C606" s="422"/>
      <c r="D606" s="422"/>
      <c r="E606" s="422"/>
      <c r="F606" s="422"/>
      <c r="G606" s="422"/>
      <c r="H606" s="422"/>
      <c r="I606" s="430"/>
      <c r="J606" s="430"/>
      <c r="K606" s="425" t="s">
        <v>14215</v>
      </c>
      <c r="L606" s="426">
        <v>0</v>
      </c>
    </row>
    <row r="607" spans="1:12">
      <c r="A607" s="451"/>
      <c r="B607" s="452"/>
      <c r="C607" s="452"/>
      <c r="D607" s="452"/>
      <c r="E607" s="452"/>
      <c r="F607" s="452"/>
      <c r="G607" s="452"/>
      <c r="H607" s="452"/>
      <c r="I607" s="453"/>
      <c r="J607" s="453"/>
      <c r="K607" s="454" t="s">
        <v>14216</v>
      </c>
      <c r="L607" s="455">
        <v>392.91</v>
      </c>
    </row>
    <row r="609" spans="1:14">
      <c r="A609" s="391" t="s">
        <v>14172</v>
      </c>
      <c r="B609" s="392"/>
      <c r="C609" s="392"/>
      <c r="D609" s="392"/>
      <c r="E609" s="392"/>
      <c r="F609" s="392"/>
      <c r="G609" s="393"/>
      <c r="H609" s="393"/>
      <c r="I609" s="393"/>
      <c r="J609" s="393"/>
      <c r="K609" s="393"/>
      <c r="L609" s="471"/>
    </row>
    <row r="610" spans="1:14">
      <c r="A610" s="396">
        <v>1107900</v>
      </c>
      <c r="B610" s="397" t="s">
        <v>108</v>
      </c>
      <c r="C610" s="397"/>
      <c r="D610" s="397"/>
      <c r="E610" s="397"/>
      <c r="F610" s="397"/>
      <c r="G610" s="397"/>
      <c r="H610" s="397" t="s">
        <v>99</v>
      </c>
      <c r="I610" s="398">
        <v>46023</v>
      </c>
      <c r="J610" s="397"/>
      <c r="K610" s="399" t="s">
        <v>14173</v>
      </c>
      <c r="L610" s="400">
        <v>0</v>
      </c>
    </row>
    <row r="611" spans="1:14">
      <c r="A611" s="401"/>
      <c r="H611" s="402" t="s">
        <v>14174</v>
      </c>
      <c r="I611" s="434">
        <v>3.853</v>
      </c>
      <c r="J611" s="404" t="s">
        <v>99</v>
      </c>
      <c r="K611" s="402" t="s">
        <v>14175</v>
      </c>
      <c r="L611" s="456">
        <v>0.03632</v>
      </c>
    </row>
    <row r="612" spans="1:14">
      <c r="A612" s="405"/>
      <c r="B612" s="405"/>
      <c r="C612" s="405"/>
      <c r="D612" s="406"/>
      <c r="E612" s="406"/>
      <c r="F612" s="406"/>
      <c r="G612" s="407" t="s">
        <v>14176</v>
      </c>
      <c r="H612" s="408"/>
      <c r="I612" s="407" t="s">
        <v>14177</v>
      </c>
      <c r="J612" s="408"/>
      <c r="K612" s="405"/>
      <c r="L612" s="409" t="s">
        <v>14178</v>
      </c>
    </row>
    <row r="613" spans="1:14">
      <c r="A613" s="410" t="s">
        <v>14179</v>
      </c>
      <c r="B613" s="411"/>
      <c r="C613" s="412"/>
      <c r="D613" s="412"/>
      <c r="E613" s="413" t="s">
        <v>74</v>
      </c>
      <c r="F613" s="412"/>
      <c r="G613" s="413" t="s">
        <v>14180</v>
      </c>
      <c r="H613" s="413" t="s">
        <v>14181</v>
      </c>
      <c r="I613" s="413" t="s">
        <v>14182</v>
      </c>
      <c r="J613" s="413" t="s">
        <v>14183</v>
      </c>
      <c r="K613" s="411"/>
      <c r="L613" s="414" t="s">
        <v>14184</v>
      </c>
    </row>
    <row r="614" spans="1:14">
      <c r="A614" s="404" t="s">
        <v>1066</v>
      </c>
      <c r="B614" s="415" t="s">
        <v>1067</v>
      </c>
      <c r="C614" s="415"/>
      <c r="E614" s="434">
        <v>1</v>
      </c>
      <c r="F614" s="334"/>
      <c r="G614" s="346">
        <v>1</v>
      </c>
      <c r="H614" s="417">
        <v>0</v>
      </c>
      <c r="I614" s="395">
        <v>1.1002</v>
      </c>
      <c r="J614" s="418">
        <v>0.7391</v>
      </c>
      <c r="K614" s="402"/>
      <c r="L614" s="395">
        <v>1.1002</v>
      </c>
      <c r="N614" s="395">
        <v>0.7391</v>
      </c>
    </row>
    <row r="615" spans="1:14">
      <c r="A615" s="404" t="s">
        <v>1068</v>
      </c>
      <c r="B615" s="404" t="s">
        <v>1069</v>
      </c>
      <c r="C615" s="404"/>
      <c r="D615" s="334"/>
      <c r="E615" s="434">
        <v>1</v>
      </c>
      <c r="F615" s="334"/>
      <c r="G615" s="346">
        <v>1</v>
      </c>
      <c r="H615" s="417">
        <v>0</v>
      </c>
      <c r="I615" s="346">
        <v>56.8627</v>
      </c>
      <c r="J615" s="419">
        <v>33.7088</v>
      </c>
      <c r="K615" s="420"/>
      <c r="L615" s="395">
        <v>56.8627</v>
      </c>
      <c r="N615" s="395">
        <v>33.7088</v>
      </c>
    </row>
    <row r="616" spans="1:14">
      <c r="A616" s="404" t="s">
        <v>1070</v>
      </c>
      <c r="B616" s="404" t="s">
        <v>1071</v>
      </c>
      <c r="C616" s="404"/>
      <c r="D616" s="334"/>
      <c r="E616" s="434">
        <v>4</v>
      </c>
      <c r="F616" s="334"/>
      <c r="G616" s="346">
        <v>0.86</v>
      </c>
      <c r="H616" s="417">
        <v>0.14</v>
      </c>
      <c r="I616" s="346">
        <v>0.7083</v>
      </c>
      <c r="J616" s="419">
        <v>0.4793</v>
      </c>
      <c r="K616" s="420"/>
      <c r="L616" s="395">
        <v>2.70496</v>
      </c>
      <c r="N616" s="395">
        <v>1.9172</v>
      </c>
    </row>
    <row r="617" spans="1:14">
      <c r="A617" s="404" t="s">
        <v>1072</v>
      </c>
      <c r="B617" s="404" t="s">
        <v>1073</v>
      </c>
      <c r="C617" s="404"/>
      <c r="D617" s="334"/>
      <c r="E617" s="434">
        <v>3</v>
      </c>
      <c r="F617" s="334"/>
      <c r="G617" s="346">
        <v>0.4</v>
      </c>
      <c r="H617" s="417">
        <v>0.6</v>
      </c>
      <c r="I617" s="346">
        <v>1.5493</v>
      </c>
      <c r="J617" s="419">
        <v>1.0483</v>
      </c>
      <c r="K617" s="420"/>
      <c r="L617" s="395">
        <v>3.7461</v>
      </c>
      <c r="N617" s="395">
        <v>3.1449</v>
      </c>
    </row>
    <row r="618" hidden="1" spans="1:14">
      <c r="A618" s="404">
        <v>0</v>
      </c>
      <c r="B618" s="404" t="e">
        <v>#N/A</v>
      </c>
      <c r="C618" s="404"/>
      <c r="D618" s="334"/>
      <c r="E618" s="434">
        <v>0</v>
      </c>
      <c r="F618" s="334"/>
      <c r="G618" s="346">
        <v>0</v>
      </c>
      <c r="H618" s="417">
        <v>1</v>
      </c>
      <c r="I618" s="346" t="e">
        <v>#N/A</v>
      </c>
      <c r="J618" s="419" t="e">
        <v>#N/A</v>
      </c>
      <c r="K618" s="420"/>
      <c r="L618" s="395" t="s">
        <v>932</v>
      </c>
      <c r="N618" s="395" t="s">
        <v>932</v>
      </c>
    </row>
    <row r="619" hidden="1" spans="1:14">
      <c r="A619" s="404">
        <v>0</v>
      </c>
      <c r="B619" s="404" t="e">
        <v>#N/A</v>
      </c>
      <c r="C619" s="404"/>
      <c r="D619" s="334"/>
      <c r="E619" s="416">
        <v>0</v>
      </c>
      <c r="F619" s="334"/>
      <c r="G619" s="346">
        <v>0</v>
      </c>
      <c r="H619" s="417">
        <v>1</v>
      </c>
      <c r="I619" s="346" t="e">
        <v>#N/A</v>
      </c>
      <c r="J619" s="419" t="e">
        <v>#N/A</v>
      </c>
      <c r="K619" s="420"/>
      <c r="L619" s="395" t="s">
        <v>932</v>
      </c>
      <c r="N619" s="395" t="s">
        <v>932</v>
      </c>
    </row>
    <row r="620" hidden="1" spans="1:14">
      <c r="A620" s="404">
        <v>0</v>
      </c>
      <c r="B620" s="404" t="e">
        <v>#N/A</v>
      </c>
      <c r="C620" s="404"/>
      <c r="D620" s="334"/>
      <c r="E620" s="416">
        <v>0</v>
      </c>
      <c r="F620" s="334"/>
      <c r="G620" s="346">
        <v>0</v>
      </c>
      <c r="H620" s="417">
        <v>1</v>
      </c>
      <c r="I620" s="346" t="e">
        <v>#N/A</v>
      </c>
      <c r="J620" s="419" t="e">
        <v>#N/A</v>
      </c>
      <c r="K620" s="420"/>
      <c r="L620" s="395" t="s">
        <v>932</v>
      </c>
      <c r="N620" s="395" t="s">
        <v>932</v>
      </c>
    </row>
    <row r="621" hidden="1" spans="1:14">
      <c r="A621" s="404">
        <v>0</v>
      </c>
      <c r="B621" s="404" t="e">
        <v>#N/A</v>
      </c>
      <c r="C621" s="404"/>
      <c r="D621" s="334"/>
      <c r="E621" s="416">
        <v>0</v>
      </c>
      <c r="F621" s="334"/>
      <c r="G621" s="346">
        <v>0</v>
      </c>
      <c r="H621" s="417">
        <v>1</v>
      </c>
      <c r="I621" s="346" t="e">
        <v>#N/A</v>
      </c>
      <c r="J621" s="419" t="e">
        <v>#N/A</v>
      </c>
      <c r="K621" s="420"/>
      <c r="L621" s="395" t="s">
        <v>932</v>
      </c>
      <c r="N621" s="395" t="s">
        <v>932</v>
      </c>
    </row>
    <row r="622" spans="1:14">
      <c r="A622" s="421"/>
      <c r="B622" s="422"/>
      <c r="C622" s="422"/>
      <c r="D622" s="422"/>
      <c r="E622" s="423"/>
      <c r="F622" s="424"/>
      <c r="G622" s="422"/>
      <c r="H622" s="422"/>
      <c r="I622" s="422"/>
      <c r="J622" s="422"/>
      <c r="K622" s="425" t="s">
        <v>14185</v>
      </c>
      <c r="L622" s="426">
        <v>64.41396</v>
      </c>
      <c r="N622" s="427">
        <v>39.51</v>
      </c>
    </row>
    <row r="623" spans="1:14">
      <c r="A623" s="428" t="s">
        <v>14186</v>
      </c>
      <c r="B623" s="429"/>
      <c r="C623" s="429"/>
      <c r="D623" s="430"/>
      <c r="E623" s="431" t="s">
        <v>74</v>
      </c>
      <c r="F623" s="431" t="s">
        <v>1123</v>
      </c>
      <c r="G623" s="430"/>
      <c r="H623" s="422"/>
      <c r="I623" s="431" t="s">
        <v>14177</v>
      </c>
      <c r="J623" s="430"/>
      <c r="K623" s="430"/>
      <c r="L623" s="432" t="s">
        <v>14187</v>
      </c>
    </row>
    <row r="624" spans="1:14">
      <c r="A624" s="404" t="s">
        <v>946</v>
      </c>
      <c r="B624" s="433" t="s">
        <v>947</v>
      </c>
      <c r="C624" s="433"/>
      <c r="D624" s="334"/>
      <c r="E624" s="434">
        <v>1</v>
      </c>
      <c r="F624" s="333" t="s">
        <v>104</v>
      </c>
      <c r="G624" s="334"/>
      <c r="H624" s="334"/>
      <c r="I624" s="435">
        <v>29.6171</v>
      </c>
      <c r="J624" s="334"/>
      <c r="K624" s="334"/>
      <c r="L624" s="346">
        <v>29.6171</v>
      </c>
      <c r="N624" s="395">
        <v>29.6171</v>
      </c>
    </row>
    <row r="625" spans="1:15">
      <c r="A625" s="404" t="s">
        <v>935</v>
      </c>
      <c r="B625" s="404" t="s">
        <v>936</v>
      </c>
      <c r="C625" s="404"/>
      <c r="D625" s="334"/>
      <c r="E625" s="434">
        <v>9</v>
      </c>
      <c r="F625" s="333" t="s">
        <v>104</v>
      </c>
      <c r="G625" s="334"/>
      <c r="H625" s="334"/>
      <c r="I625" s="435">
        <v>23.6025</v>
      </c>
      <c r="J625" s="334"/>
      <c r="K625" s="334"/>
      <c r="L625" s="346">
        <v>212.4225</v>
      </c>
      <c r="N625" s="395">
        <v>212.4225</v>
      </c>
    </row>
    <row r="626" hidden="1" spans="1:15">
      <c r="A626" s="404">
        <v>0</v>
      </c>
      <c r="B626" s="404" t="e">
        <v>#N/A</v>
      </c>
      <c r="C626" s="404"/>
      <c r="D626" s="334"/>
      <c r="E626" s="434">
        <v>0</v>
      </c>
      <c r="F626" s="333" t="s">
        <v>104</v>
      </c>
      <c r="G626" s="334"/>
      <c r="H626" s="334"/>
      <c r="I626" s="435" t="e">
        <v>#N/A</v>
      </c>
      <c r="J626" s="334"/>
      <c r="K626" s="334"/>
      <c r="L626" s="346" t="s">
        <v>932</v>
      </c>
      <c r="N626" s="395" t="s">
        <v>932</v>
      </c>
    </row>
    <row r="627" hidden="1" spans="1:15">
      <c r="A627" s="404">
        <v>0</v>
      </c>
      <c r="B627" s="404" t="e">
        <v>#N/A</v>
      </c>
      <c r="C627" s="404"/>
      <c r="D627" s="334"/>
      <c r="E627" s="434">
        <v>0</v>
      </c>
      <c r="F627" s="333" t="s">
        <v>104</v>
      </c>
      <c r="G627" s="334"/>
      <c r="H627" s="334"/>
      <c r="I627" s="435" t="e">
        <v>#N/A</v>
      </c>
      <c r="J627" s="334"/>
      <c r="K627" s="334"/>
      <c r="L627" s="346" t="s">
        <v>932</v>
      </c>
      <c r="N627" s="395" t="s">
        <v>932</v>
      </c>
    </row>
    <row r="628" hidden="1" spans="1:15">
      <c r="A628" s="404">
        <v>0</v>
      </c>
      <c r="B628" s="404" t="e">
        <v>#N/A</v>
      </c>
      <c r="C628" s="404"/>
      <c r="D628" s="334"/>
      <c r="E628" s="434">
        <v>0</v>
      </c>
      <c r="F628" s="333" t="s">
        <v>104</v>
      </c>
      <c r="G628" s="334"/>
      <c r="H628" s="334"/>
      <c r="I628" s="435" t="e">
        <v>#N/A</v>
      </c>
      <c r="J628" s="334"/>
      <c r="K628" s="334"/>
      <c r="L628" s="346" t="s">
        <v>932</v>
      </c>
      <c r="N628" s="395" t="s">
        <v>932</v>
      </c>
    </row>
    <row r="629" hidden="1" spans="1:15">
      <c r="A629" s="404">
        <v>0</v>
      </c>
      <c r="B629" s="404" t="e">
        <v>#N/A</v>
      </c>
      <c r="C629" s="404"/>
      <c r="D629" s="334"/>
      <c r="E629" s="434">
        <v>0</v>
      </c>
      <c r="F629" s="333" t="s">
        <v>104</v>
      </c>
      <c r="G629" s="334"/>
      <c r="H629" s="334"/>
      <c r="I629" s="435" t="e">
        <v>#N/A</v>
      </c>
      <c r="J629" s="334"/>
      <c r="K629" s="334"/>
      <c r="L629" s="346" t="s">
        <v>932</v>
      </c>
      <c r="N629" s="395" t="s">
        <v>932</v>
      </c>
    </row>
    <row r="630" hidden="1" spans="1:15">
      <c r="A630" s="404">
        <v>0</v>
      </c>
      <c r="B630" s="404" t="e">
        <v>#N/A</v>
      </c>
      <c r="C630" s="404"/>
      <c r="D630" s="334"/>
      <c r="E630" s="434">
        <v>0</v>
      </c>
      <c r="F630" s="333" t="s">
        <v>104</v>
      </c>
      <c r="G630" s="334"/>
      <c r="H630" s="334"/>
      <c r="I630" s="435" t="e">
        <v>#N/A</v>
      </c>
      <c r="J630" s="334"/>
      <c r="K630" s="334"/>
      <c r="L630" s="346" t="s">
        <v>932</v>
      </c>
      <c r="N630" s="395" t="s">
        <v>932</v>
      </c>
    </row>
    <row r="631" hidden="1" spans="1:15">
      <c r="A631" s="404">
        <v>0</v>
      </c>
      <c r="B631" s="436" t="e">
        <v>#N/A</v>
      </c>
      <c r="C631" s="436"/>
      <c r="D631" s="334"/>
      <c r="E631" s="434">
        <v>0</v>
      </c>
      <c r="F631" s="333" t="s">
        <v>104</v>
      </c>
      <c r="G631" s="334"/>
      <c r="H631" s="334"/>
      <c r="I631" s="435" t="e">
        <v>#N/A</v>
      </c>
      <c r="J631" s="334"/>
      <c r="K631" s="334"/>
      <c r="L631" s="346" t="s">
        <v>932</v>
      </c>
      <c r="N631" s="395" t="s">
        <v>932</v>
      </c>
    </row>
    <row r="632" spans="1:15">
      <c r="A632" s="421"/>
      <c r="B632" s="62"/>
      <c r="C632" s="62"/>
      <c r="D632" s="422"/>
      <c r="E632" s="423"/>
      <c r="F632" s="424"/>
      <c r="G632" s="422"/>
      <c r="H632" s="422"/>
      <c r="I632" s="422"/>
      <c r="J632" s="422"/>
      <c r="K632" s="425" t="s">
        <v>14188</v>
      </c>
      <c r="L632" s="426">
        <v>242.0396</v>
      </c>
      <c r="N632" s="427">
        <v>242.0396</v>
      </c>
    </row>
    <row r="633" spans="1:15">
      <c r="I633" s="437"/>
      <c r="K633" s="383" t="s">
        <v>14189</v>
      </c>
      <c r="L633" s="427">
        <v>306.45356</v>
      </c>
      <c r="N633" s="395">
        <v>281.5496</v>
      </c>
    </row>
    <row r="634" spans="1:15">
      <c r="K634" s="383" t="s">
        <v>14190</v>
      </c>
      <c r="L634" s="427">
        <v>79.5363508954062</v>
      </c>
      <c r="N634" s="395">
        <v>73.0728263690631</v>
      </c>
      <c r="O634" s="395">
        <v>2.65400505372437</v>
      </c>
    </row>
    <row r="635" spans="1:15">
      <c r="K635" s="383" t="s">
        <v>14191</v>
      </c>
      <c r="L635" s="427">
        <v>2.65400505372437</v>
      </c>
    </row>
    <row r="636" spans="1:15">
      <c r="K636" s="383" t="s">
        <v>14192</v>
      </c>
      <c r="L636" s="395">
        <v>0</v>
      </c>
    </row>
    <row r="637" spans="1:15">
      <c r="A637" s="428" t="s">
        <v>14193</v>
      </c>
      <c r="B637" s="430"/>
      <c r="C637" s="430"/>
      <c r="D637" s="430"/>
      <c r="E637" s="431" t="s">
        <v>74</v>
      </c>
      <c r="F637" s="431" t="s">
        <v>1123</v>
      </c>
      <c r="G637" s="430"/>
      <c r="H637" s="430"/>
      <c r="I637" s="425" t="s">
        <v>75</v>
      </c>
      <c r="J637" s="430"/>
      <c r="K637" s="430"/>
      <c r="L637" s="426" t="s">
        <v>14194</v>
      </c>
    </row>
    <row r="638" spans="1:15">
      <c r="A638" s="404" t="s">
        <v>14224</v>
      </c>
      <c r="B638" s="433" t="s">
        <v>14225</v>
      </c>
      <c r="C638" s="433"/>
      <c r="D638" s="334"/>
      <c r="E638" s="434">
        <v>1.0571</v>
      </c>
      <c r="F638" s="333" t="s">
        <v>101</v>
      </c>
      <c r="G638" s="334"/>
      <c r="I638" s="395">
        <v>6.6001</v>
      </c>
      <c r="J638" s="395"/>
      <c r="K638" s="395"/>
      <c r="L638" s="346">
        <v>6.97696571</v>
      </c>
    </row>
    <row r="639" spans="1:15">
      <c r="A639" s="404" t="s">
        <v>851</v>
      </c>
      <c r="B639" s="404" t="s">
        <v>14226</v>
      </c>
      <c r="C639" s="404"/>
      <c r="D639" s="334"/>
      <c r="E639" s="434">
        <v>0.59363</v>
      </c>
      <c r="F639" s="333" t="s">
        <v>99</v>
      </c>
      <c r="G639" s="334"/>
      <c r="I639" s="395">
        <v>412.326997156484</v>
      </c>
      <c r="J639" s="395"/>
      <c r="K639" s="395"/>
      <c r="L639" s="346">
        <v>244.769675322003</v>
      </c>
    </row>
    <row r="640" spans="1:15">
      <c r="A640" s="404" t="s">
        <v>859</v>
      </c>
      <c r="B640" s="404" t="s">
        <v>171</v>
      </c>
      <c r="C640" s="404"/>
      <c r="D640" s="334"/>
      <c r="E640" s="434">
        <v>0.36754</v>
      </c>
      <c r="F640" s="333" t="s">
        <v>99</v>
      </c>
      <c r="G640" s="334"/>
      <c r="I640" s="395">
        <v>495.717992658558</v>
      </c>
      <c r="J640" s="395"/>
      <c r="K640" s="395"/>
      <c r="L640" s="346">
        <v>182.196191021726</v>
      </c>
    </row>
    <row r="641" spans="1:12">
      <c r="A641" s="404" t="s">
        <v>854</v>
      </c>
      <c r="B641" s="404" t="s">
        <v>172</v>
      </c>
      <c r="C641" s="404"/>
      <c r="D641" s="334"/>
      <c r="E641" s="434">
        <v>0.36754</v>
      </c>
      <c r="F641" s="333" t="s">
        <v>99</v>
      </c>
      <c r="G641" s="334"/>
      <c r="I641" s="395">
        <v>496.690992606858</v>
      </c>
      <c r="J641" s="395"/>
      <c r="K641" s="395"/>
      <c r="L641" s="346">
        <v>182.553807422724</v>
      </c>
    </row>
    <row r="642" spans="1:12">
      <c r="A642" s="404" t="s">
        <v>836</v>
      </c>
      <c r="B642" s="404" t="s">
        <v>14227</v>
      </c>
      <c r="C642" s="404"/>
      <c r="D642" s="334"/>
      <c r="E642" s="434">
        <v>352.36529</v>
      </c>
      <c r="F642" s="333" t="s">
        <v>101</v>
      </c>
      <c r="G642" s="334"/>
      <c r="H642" s="334"/>
      <c r="I642" s="395">
        <v>0.973615959156765</v>
      </c>
      <c r="J642" s="395"/>
      <c r="K642" s="395"/>
      <c r="L642" s="346">
        <v>343.068469796902</v>
      </c>
    </row>
    <row r="643" hidden="1" spans="1:12">
      <c r="A643" s="404">
        <v>0</v>
      </c>
      <c r="B643" s="404" t="e">
        <v>#N/A</v>
      </c>
      <c r="C643" s="404"/>
      <c r="D643" s="334"/>
      <c r="E643" s="434">
        <v>0</v>
      </c>
      <c r="F643" s="333" t="e">
        <v>#N/A</v>
      </c>
      <c r="G643" s="334"/>
      <c r="H643" s="334"/>
      <c r="I643" s="395" t="e">
        <v>#N/A</v>
      </c>
      <c r="J643" s="395"/>
      <c r="K643" s="395"/>
      <c r="L643" s="346" t="s">
        <v>932</v>
      </c>
    </row>
    <row r="644" hidden="1" spans="1:12">
      <c r="A644" s="404">
        <v>0</v>
      </c>
      <c r="B644" s="404" t="e">
        <v>#N/A</v>
      </c>
      <c r="C644" s="404"/>
      <c r="D644" s="334"/>
      <c r="E644" s="434">
        <v>0</v>
      </c>
      <c r="F644" s="333" t="e">
        <v>#N/A</v>
      </c>
      <c r="G644" s="334"/>
      <c r="H644" s="334"/>
      <c r="I644" s="395" t="e">
        <v>#N/A</v>
      </c>
      <c r="J644" s="395"/>
      <c r="K644" s="395"/>
      <c r="L644" s="346" t="s">
        <v>932</v>
      </c>
    </row>
    <row r="645" hidden="1" spans="1:12">
      <c r="A645" s="404">
        <v>0</v>
      </c>
      <c r="B645" s="404" t="e">
        <v>#N/A</v>
      </c>
      <c r="C645" s="404"/>
      <c r="D645" s="438"/>
      <c r="E645" s="434">
        <v>0</v>
      </c>
      <c r="F645" s="333" t="e">
        <v>#N/A</v>
      </c>
      <c r="G645" s="334"/>
      <c r="H645" s="334"/>
      <c r="I645" s="395" t="e">
        <v>#N/A</v>
      </c>
      <c r="J645" s="395"/>
      <c r="K645" s="395"/>
      <c r="L645" s="346" t="s">
        <v>932</v>
      </c>
    </row>
    <row r="646" spans="1:12">
      <c r="A646" s="421"/>
      <c r="B646" s="422"/>
      <c r="C646" s="422"/>
      <c r="D646" s="422"/>
      <c r="E646" s="423"/>
      <c r="F646" s="424"/>
      <c r="G646" s="422"/>
      <c r="H646" s="422"/>
      <c r="I646" s="430"/>
      <c r="J646" s="430"/>
      <c r="K646" s="425" t="s">
        <v>14203</v>
      </c>
      <c r="L646" s="426">
        <v>959.565109273356</v>
      </c>
    </row>
    <row r="647" hidden="1" spans="1:12">
      <c r="A647" s="428" t="s">
        <v>14204</v>
      </c>
      <c r="B647" s="430"/>
      <c r="C647" s="430"/>
      <c r="D647" s="430"/>
      <c r="E647" s="431" t="s">
        <v>74</v>
      </c>
      <c r="F647" s="431" t="s">
        <v>1123</v>
      </c>
      <c r="G647" s="430"/>
      <c r="H647" s="430"/>
      <c r="I647" s="425" t="s">
        <v>75</v>
      </c>
      <c r="J647" s="430"/>
      <c r="K647" s="430"/>
      <c r="L647" s="426" t="s">
        <v>14194</v>
      </c>
    </row>
    <row r="648" hidden="1" spans="1:12">
      <c r="A648" s="404">
        <v>0</v>
      </c>
      <c r="B648" s="334" t="e">
        <v>#N/A</v>
      </c>
      <c r="C648" s="334"/>
      <c r="D648" s="334"/>
      <c r="E648" s="434">
        <v>0</v>
      </c>
      <c r="F648" s="333" t="e">
        <v>#N/A</v>
      </c>
      <c r="G648" s="439"/>
      <c r="I648" s="346" t="e">
        <v>#N/A</v>
      </c>
      <c r="L648" s="346" t="s">
        <v>932</v>
      </c>
    </row>
    <row r="649" hidden="1" spans="1:12">
      <c r="A649" s="401">
        <v>0</v>
      </c>
      <c r="B649" s="334" t="e">
        <v>#N/A</v>
      </c>
      <c r="E649" s="440">
        <v>0</v>
      </c>
      <c r="F649" s="333" t="e">
        <v>#N/A</v>
      </c>
      <c r="G649" s="439"/>
      <c r="I649" s="346" t="e">
        <v>#N/A</v>
      </c>
      <c r="L649" s="346" t="s">
        <v>932</v>
      </c>
    </row>
    <row r="650" hidden="1" spans="1:12">
      <c r="A650" s="401">
        <v>0</v>
      </c>
      <c r="B650" s="334" t="e">
        <v>#N/A</v>
      </c>
      <c r="E650" s="440">
        <v>0</v>
      </c>
      <c r="F650" s="333" t="e">
        <v>#N/A</v>
      </c>
      <c r="G650" s="439"/>
      <c r="I650" s="346" t="e">
        <v>#N/A</v>
      </c>
      <c r="L650" s="346" t="s">
        <v>932</v>
      </c>
    </row>
    <row r="651" hidden="1" spans="1:12">
      <c r="A651" s="401">
        <v>0</v>
      </c>
      <c r="B651" s="334" t="e">
        <v>#N/A</v>
      </c>
      <c r="E651" s="440">
        <v>0</v>
      </c>
      <c r="F651" s="333" t="e">
        <v>#N/A</v>
      </c>
      <c r="G651" s="439"/>
      <c r="I651" s="346" t="e">
        <v>#N/A</v>
      </c>
      <c r="L651" s="346" t="s">
        <v>932</v>
      </c>
    </row>
    <row r="652" hidden="1" spans="1:12">
      <c r="A652" s="401">
        <v>0</v>
      </c>
      <c r="B652" s="334" t="e">
        <v>#N/A</v>
      </c>
      <c r="E652" s="440">
        <v>0</v>
      </c>
      <c r="F652" s="333" t="e">
        <v>#N/A</v>
      </c>
      <c r="G652" s="439"/>
      <c r="I652" s="346" t="e">
        <v>#N/A</v>
      </c>
      <c r="L652" s="346" t="s">
        <v>932</v>
      </c>
    </row>
    <row r="653" hidden="1" spans="1:12">
      <c r="A653" s="401">
        <v>0</v>
      </c>
      <c r="B653" s="334" t="e">
        <v>#N/A</v>
      </c>
      <c r="E653" s="440">
        <v>0</v>
      </c>
      <c r="F653" s="333" t="e">
        <v>#N/A</v>
      </c>
      <c r="G653" s="439"/>
      <c r="I653" s="346" t="e">
        <v>#N/A</v>
      </c>
      <c r="L653" s="346" t="s">
        <v>932</v>
      </c>
    </row>
    <row r="654" hidden="1" spans="1:12">
      <c r="A654" s="421"/>
      <c r="B654" s="422"/>
      <c r="C654" s="422"/>
      <c r="D654" s="422"/>
      <c r="E654" s="422"/>
      <c r="F654" s="422"/>
      <c r="G654" s="422"/>
      <c r="H654" s="422"/>
      <c r="I654" s="430"/>
      <c r="J654" s="430"/>
      <c r="K654" s="425" t="s">
        <v>14206</v>
      </c>
      <c r="L654" s="426">
        <v>0</v>
      </c>
    </row>
    <row r="655" spans="1:12">
      <c r="A655" s="421"/>
      <c r="B655" s="422"/>
      <c r="C655" s="422"/>
      <c r="D655" s="422"/>
      <c r="E655" s="422"/>
      <c r="F655" s="422"/>
      <c r="G655" s="422"/>
      <c r="H655" s="422"/>
      <c r="I655" s="430"/>
      <c r="J655" s="430"/>
      <c r="K655" s="425" t="s">
        <v>14207</v>
      </c>
      <c r="L655" s="426">
        <v>1041.75546522249</v>
      </c>
    </row>
    <row r="656" spans="1:12">
      <c r="A656" s="428" t="s">
        <v>14208</v>
      </c>
      <c r="B656" s="430"/>
      <c r="C656" s="430"/>
      <c r="D656" s="431" t="s">
        <v>55</v>
      </c>
      <c r="E656" s="431" t="s">
        <v>74</v>
      </c>
      <c r="F656" s="431" t="s">
        <v>1123</v>
      </c>
      <c r="G656" s="430"/>
      <c r="H656" s="430"/>
      <c r="I656" s="425" t="s">
        <v>75</v>
      </c>
      <c r="J656" s="430"/>
      <c r="K656" s="430"/>
      <c r="L656" s="426" t="s">
        <v>14194</v>
      </c>
    </row>
    <row r="657" spans="1:12">
      <c r="A657" s="404" t="s">
        <v>14224</v>
      </c>
      <c r="B657" s="441" t="s">
        <v>14225</v>
      </c>
      <c r="C657" s="441"/>
      <c r="D657" s="442">
        <v>5914655</v>
      </c>
      <c r="E657" s="434">
        <v>0.00106</v>
      </c>
      <c r="F657" s="333" t="s">
        <v>9885</v>
      </c>
      <c r="G657" s="443" t="s">
        <v>14209</v>
      </c>
      <c r="H657" s="334"/>
      <c r="I657" s="346">
        <v>35.43</v>
      </c>
      <c r="J657" s="334"/>
      <c r="K657" s="346"/>
      <c r="L657" s="346">
        <v>0.0375558</v>
      </c>
    </row>
    <row r="658" spans="1:12">
      <c r="A658" s="404" t="s">
        <v>851</v>
      </c>
      <c r="B658" s="334" t="s">
        <v>14226</v>
      </c>
      <c r="C658" s="334"/>
      <c r="D658" s="442">
        <v>5914647</v>
      </c>
      <c r="E658" s="434">
        <v>0.89045</v>
      </c>
      <c r="F658" s="333" t="s">
        <v>9885</v>
      </c>
      <c r="G658" s="334"/>
      <c r="H658" s="334"/>
      <c r="I658" s="346">
        <v>1.88</v>
      </c>
      <c r="J658" s="334"/>
      <c r="K658" s="346"/>
      <c r="L658" s="346">
        <v>1.674046</v>
      </c>
    </row>
    <row r="659" spans="1:12">
      <c r="A659" s="404" t="s">
        <v>859</v>
      </c>
      <c r="B659" s="334" t="s">
        <v>171</v>
      </c>
      <c r="C659" s="334"/>
      <c r="D659" s="442">
        <v>5914647</v>
      </c>
      <c r="E659" s="434">
        <v>0.55131</v>
      </c>
      <c r="F659" s="333" t="s">
        <v>9885</v>
      </c>
      <c r="G659" s="334"/>
      <c r="H659" s="334"/>
      <c r="I659" s="346">
        <v>1.88</v>
      </c>
      <c r="J659" s="334"/>
      <c r="K659" s="346"/>
      <c r="L659" s="346">
        <v>1.0364628</v>
      </c>
    </row>
    <row r="660" spans="1:12">
      <c r="A660" s="404" t="s">
        <v>854</v>
      </c>
      <c r="B660" s="334" t="s">
        <v>172</v>
      </c>
      <c r="C660" s="334"/>
      <c r="D660" s="442">
        <v>5914647</v>
      </c>
      <c r="E660" s="434">
        <v>0.55131</v>
      </c>
      <c r="F660" s="333" t="s">
        <v>9885</v>
      </c>
      <c r="G660" s="334"/>
      <c r="H660" s="334"/>
      <c r="I660" s="346">
        <v>1.88</v>
      </c>
      <c r="J660" s="334"/>
      <c r="K660" s="346"/>
      <c r="L660" s="346">
        <v>1.0364628</v>
      </c>
    </row>
    <row r="661" spans="1:12">
      <c r="A661" s="404" t="s">
        <v>836</v>
      </c>
      <c r="B661" s="334" t="s">
        <v>14227</v>
      </c>
      <c r="C661" s="334"/>
      <c r="D661" s="442">
        <v>5914655</v>
      </c>
      <c r="E661" s="434">
        <v>0.35237</v>
      </c>
      <c r="F661" s="333" t="s">
        <v>9885</v>
      </c>
      <c r="G661" s="334"/>
      <c r="H661" s="334"/>
      <c r="I661" s="346">
        <v>35.43</v>
      </c>
      <c r="J661" s="334"/>
      <c r="K661" s="346"/>
      <c r="L661" s="346">
        <v>12.4844691</v>
      </c>
    </row>
    <row r="662" hidden="1" spans="1:12">
      <c r="A662" s="404">
        <v>0</v>
      </c>
      <c r="B662" s="334" t="e">
        <v>#N/A</v>
      </c>
      <c r="C662" s="334"/>
      <c r="D662" s="442">
        <v>0</v>
      </c>
      <c r="E662" s="434">
        <v>0</v>
      </c>
      <c r="F662" s="333" t="s">
        <v>9885</v>
      </c>
      <c r="G662" s="334"/>
      <c r="H662" s="334"/>
      <c r="I662" s="346">
        <v>0</v>
      </c>
      <c r="J662" s="334"/>
      <c r="K662" s="346"/>
      <c r="L662" s="346" t="s">
        <v>932</v>
      </c>
    </row>
    <row r="663" hidden="1" spans="1:12">
      <c r="A663" s="404">
        <v>0</v>
      </c>
      <c r="B663" s="334" t="e">
        <v>#N/A</v>
      </c>
      <c r="C663" s="334"/>
      <c r="D663" s="442">
        <v>0</v>
      </c>
      <c r="E663" s="434">
        <v>0</v>
      </c>
      <c r="F663" s="333" t="s">
        <v>9885</v>
      </c>
      <c r="G663" s="334"/>
      <c r="H663" s="334"/>
      <c r="I663" s="346">
        <v>0</v>
      </c>
      <c r="J663" s="334"/>
      <c r="K663" s="346"/>
      <c r="L663" s="346" t="s">
        <v>932</v>
      </c>
    </row>
    <row r="664" hidden="1" spans="1:12">
      <c r="A664" s="404">
        <v>0</v>
      </c>
      <c r="B664" s="444" t="e">
        <v>#N/A</v>
      </c>
      <c r="C664" s="444"/>
      <c r="D664" s="442">
        <v>0</v>
      </c>
      <c r="E664" s="434">
        <v>0</v>
      </c>
      <c r="F664" s="333" t="s">
        <v>9885</v>
      </c>
      <c r="G664" s="334"/>
      <c r="H664" s="334"/>
      <c r="I664" s="346">
        <v>0</v>
      </c>
      <c r="J664" s="334"/>
      <c r="K664" s="346"/>
      <c r="L664" s="346" t="s">
        <v>932</v>
      </c>
    </row>
    <row r="665" spans="1:12">
      <c r="A665" s="428"/>
      <c r="B665" s="445"/>
      <c r="C665" s="445"/>
      <c r="D665" s="430"/>
      <c r="E665" s="430"/>
      <c r="F665" s="430"/>
      <c r="G665" s="430"/>
      <c r="H665" s="430"/>
      <c r="I665" s="430"/>
      <c r="J665" s="430"/>
      <c r="K665" s="425" t="s">
        <v>14210</v>
      </c>
      <c r="L665" s="426">
        <v>16.2689965</v>
      </c>
    </row>
    <row r="666" hidden="1" spans="1:12">
      <c r="A666" s="446" t="s">
        <v>14211</v>
      </c>
      <c r="B666" s="445"/>
      <c r="C666" s="445"/>
      <c r="D666" s="447" t="s">
        <v>55</v>
      </c>
      <c r="E666" s="445" t="s">
        <v>74</v>
      </c>
      <c r="F666" s="447" t="s">
        <v>1123</v>
      </c>
      <c r="G666" s="445"/>
      <c r="H666" s="447" t="s">
        <v>72</v>
      </c>
      <c r="I666" s="447" t="s">
        <v>75</v>
      </c>
      <c r="J666" s="445"/>
      <c r="K666" s="448"/>
      <c r="L666" s="449" t="s">
        <v>14194</v>
      </c>
    </row>
    <row r="667" hidden="1" spans="1:12">
      <c r="A667" s="404" t="s">
        <v>14224</v>
      </c>
      <c r="B667" s="433" t="s">
        <v>14225</v>
      </c>
      <c r="C667" s="433"/>
      <c r="D667" s="442">
        <v>5914449</v>
      </c>
      <c r="E667" s="450">
        <v>0.00106</v>
      </c>
      <c r="F667" s="333" t="s">
        <v>13063</v>
      </c>
      <c r="G667" s="333" t="s">
        <v>14212</v>
      </c>
      <c r="H667" s="346">
        <v>0</v>
      </c>
      <c r="I667" s="346">
        <v>1.11</v>
      </c>
      <c r="J667" s="346"/>
      <c r="K667" s="334"/>
      <c r="L667" s="346">
        <v>0</v>
      </c>
    </row>
    <row r="668" hidden="1" spans="1:12">
      <c r="A668" s="404"/>
      <c r="B668" s="404"/>
      <c r="C668" s="334"/>
      <c r="D668" s="442">
        <v>5914464</v>
      </c>
      <c r="E668" s="450">
        <v>0.00106</v>
      </c>
      <c r="F668" s="333" t="s">
        <v>13063</v>
      </c>
      <c r="G668" s="333" t="s">
        <v>14213</v>
      </c>
      <c r="H668" s="346">
        <v>0</v>
      </c>
      <c r="I668" s="346">
        <v>0.89</v>
      </c>
      <c r="J668" s="346"/>
      <c r="K668" s="334"/>
      <c r="L668" s="346">
        <v>0</v>
      </c>
    </row>
    <row r="669" hidden="1" spans="1:12">
      <c r="A669" s="404"/>
      <c r="B669" s="404"/>
      <c r="C669" s="334"/>
      <c r="D669" s="442">
        <v>5914479</v>
      </c>
      <c r="E669" s="450">
        <v>0.00106</v>
      </c>
      <c r="F669" s="333" t="s">
        <v>13063</v>
      </c>
      <c r="G669" s="333" t="s">
        <v>14214</v>
      </c>
      <c r="H669" s="346">
        <v>0</v>
      </c>
      <c r="I669" s="346">
        <v>0.73</v>
      </c>
      <c r="J669" s="346"/>
      <c r="K669" s="334"/>
      <c r="L669" s="346">
        <v>0</v>
      </c>
    </row>
    <row r="670" hidden="1" spans="1:12">
      <c r="A670" s="404" t="s">
        <v>851</v>
      </c>
      <c r="B670" s="404" t="s">
        <v>14226</v>
      </c>
      <c r="C670" s="404"/>
      <c r="D670" s="442">
        <v>5914359</v>
      </c>
      <c r="E670" s="450">
        <v>0.89045</v>
      </c>
      <c r="F670" s="333" t="s">
        <v>13063</v>
      </c>
      <c r="G670" s="333" t="s">
        <v>14212</v>
      </c>
      <c r="H670" s="346">
        <v>0</v>
      </c>
      <c r="I670" s="346">
        <v>1.28</v>
      </c>
      <c r="J670" s="346"/>
      <c r="K670" s="334"/>
      <c r="L670" s="346">
        <v>0</v>
      </c>
    </row>
    <row r="671" hidden="1" spans="1:12">
      <c r="A671" s="404"/>
      <c r="B671" s="404"/>
      <c r="C671" s="334"/>
      <c r="D671" s="442">
        <v>5914374</v>
      </c>
      <c r="E671" s="450">
        <v>0.89045</v>
      </c>
      <c r="F671" s="333" t="s">
        <v>13063</v>
      </c>
      <c r="G671" s="333" t="s">
        <v>14213</v>
      </c>
      <c r="H671" s="346">
        <v>0</v>
      </c>
      <c r="I671" s="346">
        <v>1.02</v>
      </c>
      <c r="J671" s="346"/>
      <c r="K671" s="334"/>
      <c r="L671" s="346">
        <v>0</v>
      </c>
    </row>
    <row r="672" hidden="1" spans="1:12">
      <c r="A672" s="404"/>
      <c r="B672" s="404"/>
      <c r="C672" s="334"/>
      <c r="D672" s="442">
        <v>5914389</v>
      </c>
      <c r="E672" s="450">
        <v>0.89045</v>
      </c>
      <c r="F672" s="333" t="s">
        <v>13063</v>
      </c>
      <c r="G672" s="333" t="s">
        <v>14214</v>
      </c>
      <c r="H672" s="346">
        <v>0</v>
      </c>
      <c r="I672" s="346">
        <v>0.84</v>
      </c>
      <c r="J672" s="346"/>
      <c r="K672" s="334"/>
      <c r="L672" s="346">
        <v>0</v>
      </c>
    </row>
    <row r="673" hidden="1" spans="1:12">
      <c r="A673" s="404" t="s">
        <v>859</v>
      </c>
      <c r="B673" s="404" t="s">
        <v>171</v>
      </c>
      <c r="C673" s="404"/>
      <c r="D673" s="442">
        <v>5914359</v>
      </c>
      <c r="E673" s="450">
        <v>0.55131</v>
      </c>
      <c r="F673" s="333" t="s">
        <v>13063</v>
      </c>
      <c r="G673" s="333" t="s">
        <v>14212</v>
      </c>
      <c r="H673" s="346">
        <v>0</v>
      </c>
      <c r="I673" s="346">
        <v>1.28</v>
      </c>
      <c r="J673" s="346"/>
      <c r="K673" s="334"/>
      <c r="L673" s="346">
        <v>0</v>
      </c>
    </row>
    <row r="674" hidden="1" spans="1:12">
      <c r="A674" s="404"/>
      <c r="B674" s="404"/>
      <c r="C674" s="334"/>
      <c r="D674" s="442">
        <v>5914374</v>
      </c>
      <c r="E674" s="450">
        <v>0.55131</v>
      </c>
      <c r="F674" s="333" t="s">
        <v>13063</v>
      </c>
      <c r="G674" s="333" t="s">
        <v>14213</v>
      </c>
      <c r="H674" s="346">
        <v>0</v>
      </c>
      <c r="I674" s="346">
        <v>1.02</v>
      </c>
      <c r="J674" s="346"/>
      <c r="K674" s="334"/>
      <c r="L674" s="346">
        <v>0</v>
      </c>
    </row>
    <row r="675" hidden="1" spans="1:12">
      <c r="A675" s="404"/>
      <c r="B675" s="404"/>
      <c r="C675" s="334"/>
      <c r="D675" s="442">
        <v>5914389</v>
      </c>
      <c r="E675" s="450">
        <v>0.55131</v>
      </c>
      <c r="F675" s="333" t="s">
        <v>13063</v>
      </c>
      <c r="G675" s="333" t="s">
        <v>14214</v>
      </c>
      <c r="H675" s="346">
        <v>0</v>
      </c>
      <c r="I675" s="346">
        <v>0.84</v>
      </c>
      <c r="J675" s="346"/>
      <c r="K675" s="334"/>
      <c r="L675" s="346">
        <v>0</v>
      </c>
    </row>
    <row r="676" hidden="1" spans="1:12">
      <c r="A676" s="404" t="s">
        <v>854</v>
      </c>
      <c r="B676" s="404" t="s">
        <v>172</v>
      </c>
      <c r="C676" s="404"/>
      <c r="D676" s="442">
        <v>5914359</v>
      </c>
      <c r="E676" s="450">
        <v>0.55131</v>
      </c>
      <c r="F676" s="333" t="s">
        <v>13063</v>
      </c>
      <c r="G676" s="333" t="s">
        <v>14212</v>
      </c>
      <c r="H676" s="346">
        <v>0</v>
      </c>
      <c r="I676" s="346">
        <v>1.28</v>
      </c>
      <c r="J676" s="346"/>
      <c r="K676" s="334"/>
      <c r="L676" s="346">
        <v>0</v>
      </c>
    </row>
    <row r="677" hidden="1" spans="1:12">
      <c r="A677" s="404"/>
      <c r="B677" s="404"/>
      <c r="C677" s="334"/>
      <c r="D677" s="442">
        <v>5914374</v>
      </c>
      <c r="E677" s="450">
        <v>0.55131</v>
      </c>
      <c r="F677" s="333" t="s">
        <v>13063</v>
      </c>
      <c r="G677" s="333" t="s">
        <v>14213</v>
      </c>
      <c r="H677" s="346">
        <v>0</v>
      </c>
      <c r="I677" s="346">
        <v>1.02</v>
      </c>
      <c r="J677" s="346"/>
      <c r="K677" s="334"/>
      <c r="L677" s="346">
        <v>0</v>
      </c>
    </row>
    <row r="678" hidden="1" spans="1:12">
      <c r="A678" s="404"/>
      <c r="B678" s="404"/>
      <c r="C678" s="334"/>
      <c r="D678" s="442">
        <v>5914389</v>
      </c>
      <c r="E678" s="450">
        <v>0.55131</v>
      </c>
      <c r="F678" s="333" t="s">
        <v>13063</v>
      </c>
      <c r="G678" s="333" t="s">
        <v>14214</v>
      </c>
      <c r="H678" s="346">
        <v>0</v>
      </c>
      <c r="I678" s="346">
        <v>0.84</v>
      </c>
      <c r="J678" s="346"/>
      <c r="K678" s="334"/>
      <c r="L678" s="346">
        <v>0</v>
      </c>
    </row>
    <row r="679" hidden="1" spans="1:12">
      <c r="A679" s="404" t="s">
        <v>836</v>
      </c>
      <c r="B679" s="404" t="s">
        <v>14227</v>
      </c>
      <c r="C679" s="404"/>
      <c r="D679" s="442">
        <v>5914449</v>
      </c>
      <c r="E679" s="450">
        <v>0.35237</v>
      </c>
      <c r="F679" s="333" t="s">
        <v>13063</v>
      </c>
      <c r="G679" s="333" t="s">
        <v>14212</v>
      </c>
      <c r="H679" s="346">
        <v>0</v>
      </c>
      <c r="I679" s="346">
        <v>1.11</v>
      </c>
      <c r="J679" s="346"/>
      <c r="K679" s="334"/>
      <c r="L679" s="346">
        <v>0</v>
      </c>
    </row>
    <row r="680" hidden="1" spans="1:12">
      <c r="A680" s="404"/>
      <c r="B680" s="404"/>
      <c r="C680" s="334"/>
      <c r="D680" s="442">
        <v>5914464</v>
      </c>
      <c r="E680" s="450">
        <v>0.35237</v>
      </c>
      <c r="F680" s="333" t="s">
        <v>13063</v>
      </c>
      <c r="G680" s="333" t="s">
        <v>14213</v>
      </c>
      <c r="H680" s="346">
        <v>0</v>
      </c>
      <c r="I680" s="346">
        <v>0.89</v>
      </c>
      <c r="J680" s="346"/>
      <c r="K680" s="334"/>
      <c r="L680" s="346">
        <v>0</v>
      </c>
    </row>
    <row r="681" hidden="1" spans="1:12">
      <c r="A681" s="404"/>
      <c r="B681" s="404"/>
      <c r="C681" s="334"/>
      <c r="D681" s="442">
        <v>5914479</v>
      </c>
      <c r="E681" s="450">
        <v>0.35237</v>
      </c>
      <c r="F681" s="333" t="s">
        <v>13063</v>
      </c>
      <c r="G681" s="333" t="s">
        <v>14214</v>
      </c>
      <c r="H681" s="346">
        <v>0</v>
      </c>
      <c r="I681" s="346">
        <v>0.73</v>
      </c>
      <c r="J681" s="346"/>
      <c r="K681" s="334"/>
      <c r="L681" s="346">
        <v>0</v>
      </c>
    </row>
    <row r="682" hidden="1" spans="1:12">
      <c r="A682" s="401">
        <v>0</v>
      </c>
      <c r="B682" s="401" t="e">
        <v>#N/A</v>
      </c>
      <c r="C682" s="401"/>
      <c r="D682" s="442">
        <v>0</v>
      </c>
      <c r="E682" s="450">
        <v>0</v>
      </c>
      <c r="F682" s="439" t="s">
        <v>13063</v>
      </c>
      <c r="G682" s="439" t="s">
        <v>14212</v>
      </c>
      <c r="H682" s="346">
        <v>0</v>
      </c>
      <c r="I682" s="346">
        <v>0</v>
      </c>
      <c r="J682" s="395"/>
      <c r="L682" s="346" t="s">
        <v>932</v>
      </c>
    </row>
    <row r="683" hidden="1" spans="1:12">
      <c r="A683" s="401"/>
      <c r="B683" s="401"/>
      <c r="D683" s="442">
        <v>0</v>
      </c>
      <c r="E683" s="450">
        <v>0</v>
      </c>
      <c r="F683" s="439" t="s">
        <v>13063</v>
      </c>
      <c r="G683" s="439" t="s">
        <v>14213</v>
      </c>
      <c r="H683" s="346">
        <v>0</v>
      </c>
      <c r="I683" s="346">
        <v>0</v>
      </c>
      <c r="J683" s="395"/>
      <c r="L683" s="346" t="s">
        <v>932</v>
      </c>
    </row>
    <row r="684" hidden="1" spans="1:12">
      <c r="A684" s="401"/>
      <c r="B684" s="401"/>
      <c r="D684" s="442">
        <v>0</v>
      </c>
      <c r="E684" s="450">
        <v>0</v>
      </c>
      <c r="F684" s="439" t="s">
        <v>13063</v>
      </c>
      <c r="G684" s="439" t="s">
        <v>14214</v>
      </c>
      <c r="H684" s="346">
        <v>0</v>
      </c>
      <c r="I684" s="346">
        <v>0</v>
      </c>
      <c r="J684" s="395"/>
      <c r="L684" s="346" t="s">
        <v>932</v>
      </c>
    </row>
    <row r="685" hidden="1" spans="1:12">
      <c r="A685" s="401">
        <v>0</v>
      </c>
      <c r="B685" s="401" t="e">
        <v>#N/A</v>
      </c>
      <c r="C685" s="401"/>
      <c r="D685" s="442">
        <v>0</v>
      </c>
      <c r="E685" s="450">
        <v>0</v>
      </c>
      <c r="F685" s="439" t="s">
        <v>13063</v>
      </c>
      <c r="G685" s="439" t="s">
        <v>14212</v>
      </c>
      <c r="H685" s="346">
        <v>0</v>
      </c>
      <c r="I685" s="346">
        <v>0</v>
      </c>
      <c r="J685" s="395"/>
      <c r="L685" s="346" t="s">
        <v>932</v>
      </c>
    </row>
    <row r="686" hidden="1" spans="1:12">
      <c r="A686" s="401"/>
      <c r="B686" s="401"/>
      <c r="D686" s="442">
        <v>0</v>
      </c>
      <c r="E686" s="450">
        <v>0</v>
      </c>
      <c r="F686" s="439" t="s">
        <v>13063</v>
      </c>
      <c r="G686" s="439" t="s">
        <v>14213</v>
      </c>
      <c r="H686" s="346">
        <v>0</v>
      </c>
      <c r="I686" s="346">
        <v>0</v>
      </c>
      <c r="J686" s="395"/>
      <c r="L686" s="346" t="s">
        <v>932</v>
      </c>
    </row>
    <row r="687" hidden="1" spans="1:12">
      <c r="A687" s="401"/>
      <c r="B687" s="401"/>
      <c r="D687" s="442">
        <v>0</v>
      </c>
      <c r="E687" s="450">
        <v>0</v>
      </c>
      <c r="F687" s="439" t="s">
        <v>13063</v>
      </c>
      <c r="G687" s="439" t="s">
        <v>14214</v>
      </c>
      <c r="H687" s="346">
        <v>0</v>
      </c>
      <c r="I687" s="346">
        <v>0</v>
      </c>
      <c r="J687" s="395"/>
      <c r="L687" s="346" t="s">
        <v>932</v>
      </c>
    </row>
    <row r="688" hidden="1" spans="1:12">
      <c r="A688" s="401">
        <v>0</v>
      </c>
      <c r="B688" s="401" t="e">
        <v>#N/A</v>
      </c>
      <c r="C688" s="401"/>
      <c r="D688" s="442">
        <v>0</v>
      </c>
      <c r="E688" s="450">
        <v>0</v>
      </c>
      <c r="F688" s="439" t="s">
        <v>13063</v>
      </c>
      <c r="G688" s="439" t="s">
        <v>14212</v>
      </c>
      <c r="H688" s="346">
        <v>0</v>
      </c>
      <c r="I688" s="346">
        <v>0</v>
      </c>
      <c r="J688" s="395"/>
      <c r="L688" s="346" t="s">
        <v>932</v>
      </c>
    </row>
    <row r="689" hidden="1" spans="1:14">
      <c r="A689" s="401"/>
      <c r="B689" s="401"/>
      <c r="D689" s="442">
        <v>0</v>
      </c>
      <c r="E689" s="450">
        <v>0</v>
      </c>
      <c r="F689" s="439" t="s">
        <v>13063</v>
      </c>
      <c r="G689" s="439" t="s">
        <v>14213</v>
      </c>
      <c r="H689" s="346">
        <v>0</v>
      </c>
      <c r="I689" s="346">
        <v>0</v>
      </c>
      <c r="J689" s="395"/>
      <c r="L689" s="346" t="s">
        <v>932</v>
      </c>
    </row>
    <row r="690" hidden="1" spans="1:14">
      <c r="A690" s="401"/>
      <c r="B690" s="401"/>
      <c r="D690" s="442">
        <v>0</v>
      </c>
      <c r="E690" s="450">
        <v>0</v>
      </c>
      <c r="F690" s="439" t="s">
        <v>13063</v>
      </c>
      <c r="G690" s="439" t="s">
        <v>14214</v>
      </c>
      <c r="H690" s="346">
        <v>0</v>
      </c>
      <c r="I690" s="346">
        <v>0</v>
      </c>
      <c r="J690" s="395"/>
      <c r="L690" s="346" t="s">
        <v>932</v>
      </c>
    </row>
    <row r="691" hidden="1" spans="1:14">
      <c r="A691" s="421"/>
      <c r="B691" s="422"/>
      <c r="C691" s="422"/>
      <c r="D691" s="422"/>
      <c r="E691" s="422"/>
      <c r="F691" s="422"/>
      <c r="G691" s="422"/>
      <c r="H691" s="422"/>
      <c r="I691" s="430"/>
      <c r="J691" s="430"/>
      <c r="K691" s="425" t="s">
        <v>14215</v>
      </c>
      <c r="L691" s="426">
        <v>0</v>
      </c>
    </row>
    <row r="692" spans="1:14">
      <c r="A692" s="451"/>
      <c r="B692" s="452"/>
      <c r="C692" s="452"/>
      <c r="D692" s="452"/>
      <c r="E692" s="452"/>
      <c r="F692" s="452"/>
      <c r="G692" s="452"/>
      <c r="H692" s="452"/>
      <c r="I692" s="453"/>
      <c r="J692" s="453"/>
      <c r="K692" s="454" t="s">
        <v>14216</v>
      </c>
      <c r="L692" s="455">
        <v>1058.02</v>
      </c>
    </row>
    <row r="694" spans="1:14">
      <c r="A694" s="391" t="s">
        <v>14172</v>
      </c>
      <c r="B694" s="392"/>
      <c r="C694" s="392"/>
      <c r="D694" s="392"/>
      <c r="E694" s="392"/>
      <c r="F694" s="392"/>
      <c r="G694" s="393"/>
      <c r="H694" s="393"/>
      <c r="I694" s="393"/>
      <c r="J694" s="393"/>
      <c r="K694" s="393"/>
      <c r="L694" s="471"/>
    </row>
    <row r="695" spans="1:14">
      <c r="A695" s="396">
        <v>1100657</v>
      </c>
      <c r="B695" s="397" t="s">
        <v>114</v>
      </c>
      <c r="C695" s="397"/>
      <c r="D695" s="397"/>
      <c r="E695" s="397"/>
      <c r="F695" s="397"/>
      <c r="G695" s="397"/>
      <c r="H695" s="397" t="s">
        <v>99</v>
      </c>
      <c r="I695" s="398">
        <v>46023</v>
      </c>
      <c r="J695" s="397"/>
      <c r="K695" s="399" t="s">
        <v>14173</v>
      </c>
      <c r="L695" s="400">
        <v>0</v>
      </c>
    </row>
    <row r="696" spans="1:14">
      <c r="A696" s="401"/>
      <c r="H696" s="402" t="s">
        <v>14174</v>
      </c>
      <c r="I696" s="438">
        <v>9</v>
      </c>
      <c r="J696" s="404" t="s">
        <v>99</v>
      </c>
      <c r="K696" s="402" t="s">
        <v>14175</v>
      </c>
      <c r="L696" s="456">
        <v>0.03632</v>
      </c>
    </row>
    <row r="697" spans="1:14">
      <c r="A697" s="405"/>
      <c r="B697" s="405"/>
      <c r="C697" s="405"/>
      <c r="D697" s="406"/>
      <c r="E697" s="406"/>
      <c r="F697" s="406"/>
      <c r="G697" s="407" t="s">
        <v>14176</v>
      </c>
      <c r="H697" s="408"/>
      <c r="I697" s="407" t="s">
        <v>14177</v>
      </c>
      <c r="J697" s="408"/>
      <c r="K697" s="405"/>
      <c r="L697" s="409" t="s">
        <v>14178</v>
      </c>
    </row>
    <row r="698" spans="1:14">
      <c r="A698" s="410" t="s">
        <v>14179</v>
      </c>
      <c r="B698" s="411"/>
      <c r="C698" s="412"/>
      <c r="D698" s="412"/>
      <c r="E698" s="413" t="s">
        <v>74</v>
      </c>
      <c r="F698" s="412"/>
      <c r="G698" s="413" t="s">
        <v>14180</v>
      </c>
      <c r="H698" s="413" t="s">
        <v>14181</v>
      </c>
      <c r="I698" s="413" t="s">
        <v>14182</v>
      </c>
      <c r="J698" s="413" t="s">
        <v>14183</v>
      </c>
      <c r="K698" s="411"/>
      <c r="L698" s="414" t="s">
        <v>14184</v>
      </c>
    </row>
    <row r="699" spans="1:14">
      <c r="A699" s="404" t="s">
        <v>1080</v>
      </c>
      <c r="B699" s="415" t="s">
        <v>1081</v>
      </c>
      <c r="C699" s="415"/>
      <c r="E699" s="434">
        <v>1</v>
      </c>
      <c r="F699" s="334"/>
      <c r="G699" s="346">
        <v>1</v>
      </c>
      <c r="H699" s="417">
        <v>0</v>
      </c>
      <c r="I699" s="395">
        <v>9.0004</v>
      </c>
      <c r="J699" s="418">
        <v>0.9216</v>
      </c>
      <c r="K699" s="402"/>
      <c r="L699" s="395">
        <v>9.0004</v>
      </c>
      <c r="N699" s="395">
        <v>0.9216</v>
      </c>
    </row>
    <row r="700" hidden="1" spans="1:14">
      <c r="A700" s="404">
        <v>0</v>
      </c>
      <c r="B700" s="404" t="e">
        <v>#N/A</v>
      </c>
      <c r="C700" s="404"/>
      <c r="D700" s="334"/>
      <c r="E700" s="434">
        <v>0</v>
      </c>
      <c r="F700" s="334"/>
      <c r="G700" s="346">
        <v>0</v>
      </c>
      <c r="H700" s="417">
        <v>1</v>
      </c>
      <c r="I700" s="346" t="e">
        <v>#N/A</v>
      </c>
      <c r="J700" s="419" t="e">
        <v>#N/A</v>
      </c>
      <c r="K700" s="420"/>
      <c r="L700" s="395" t="s">
        <v>932</v>
      </c>
      <c r="N700" s="395" t="s">
        <v>932</v>
      </c>
    </row>
    <row r="701" hidden="1" spans="1:14">
      <c r="A701" s="404">
        <v>0</v>
      </c>
      <c r="B701" s="404" t="e">
        <v>#N/A</v>
      </c>
      <c r="C701" s="404"/>
      <c r="D701" s="334"/>
      <c r="E701" s="434">
        <v>0</v>
      </c>
      <c r="F701" s="334"/>
      <c r="G701" s="346">
        <v>0</v>
      </c>
      <c r="H701" s="417">
        <v>1</v>
      </c>
      <c r="I701" s="346" t="e">
        <v>#N/A</v>
      </c>
      <c r="J701" s="419" t="e">
        <v>#N/A</v>
      </c>
      <c r="K701" s="420"/>
      <c r="L701" s="395" t="s">
        <v>932</v>
      </c>
      <c r="N701" s="395" t="s">
        <v>932</v>
      </c>
    </row>
    <row r="702" hidden="1" spans="1:14">
      <c r="A702" s="404">
        <v>0</v>
      </c>
      <c r="B702" s="404" t="e">
        <v>#N/A</v>
      </c>
      <c r="C702" s="404"/>
      <c r="D702" s="334"/>
      <c r="E702" s="434">
        <v>0</v>
      </c>
      <c r="F702" s="334"/>
      <c r="G702" s="346">
        <v>0</v>
      </c>
      <c r="H702" s="417">
        <v>1</v>
      </c>
      <c r="I702" s="346" t="e">
        <v>#N/A</v>
      </c>
      <c r="J702" s="419" t="e">
        <v>#N/A</v>
      </c>
      <c r="K702" s="420"/>
      <c r="L702" s="395" t="s">
        <v>932</v>
      </c>
      <c r="N702" s="395" t="s">
        <v>932</v>
      </c>
    </row>
    <row r="703" hidden="1" spans="1:14">
      <c r="A703" s="404">
        <v>0</v>
      </c>
      <c r="B703" s="404" t="e">
        <v>#N/A</v>
      </c>
      <c r="C703" s="404"/>
      <c r="D703" s="334"/>
      <c r="E703" s="434">
        <v>0</v>
      </c>
      <c r="F703" s="334"/>
      <c r="G703" s="346">
        <v>0</v>
      </c>
      <c r="H703" s="417">
        <v>1</v>
      </c>
      <c r="I703" s="346" t="e">
        <v>#N/A</v>
      </c>
      <c r="J703" s="419" t="e">
        <v>#N/A</v>
      </c>
      <c r="K703" s="420"/>
      <c r="L703" s="395" t="s">
        <v>932</v>
      </c>
      <c r="N703" s="395" t="s">
        <v>932</v>
      </c>
    </row>
    <row r="704" hidden="1" spans="1:14">
      <c r="A704" s="404">
        <v>0</v>
      </c>
      <c r="B704" s="404" t="e">
        <v>#N/A</v>
      </c>
      <c r="C704" s="404"/>
      <c r="D704" s="334"/>
      <c r="E704" s="416">
        <v>0</v>
      </c>
      <c r="F704" s="334"/>
      <c r="G704" s="346">
        <v>0</v>
      </c>
      <c r="H704" s="417">
        <v>1</v>
      </c>
      <c r="I704" s="346" t="e">
        <v>#N/A</v>
      </c>
      <c r="J704" s="419" t="e">
        <v>#N/A</v>
      </c>
      <c r="K704" s="420"/>
      <c r="L704" s="395" t="s">
        <v>932</v>
      </c>
      <c r="N704" s="395" t="s">
        <v>932</v>
      </c>
    </row>
    <row r="705" hidden="1" spans="1:15">
      <c r="A705" s="404">
        <v>0</v>
      </c>
      <c r="B705" s="404" t="e">
        <v>#N/A</v>
      </c>
      <c r="C705" s="404"/>
      <c r="D705" s="334"/>
      <c r="E705" s="416">
        <v>0</v>
      </c>
      <c r="F705" s="334"/>
      <c r="G705" s="346">
        <v>0</v>
      </c>
      <c r="H705" s="417">
        <v>1</v>
      </c>
      <c r="I705" s="346" t="e">
        <v>#N/A</v>
      </c>
      <c r="J705" s="419" t="e">
        <v>#N/A</v>
      </c>
      <c r="K705" s="420"/>
      <c r="L705" s="395" t="s">
        <v>932</v>
      </c>
      <c r="N705" s="395" t="s">
        <v>932</v>
      </c>
    </row>
    <row r="706" hidden="1" spans="1:15">
      <c r="A706" s="404">
        <v>0</v>
      </c>
      <c r="B706" s="404" t="e">
        <v>#N/A</v>
      </c>
      <c r="C706" s="404"/>
      <c r="D706" s="334"/>
      <c r="E706" s="416">
        <v>0</v>
      </c>
      <c r="F706" s="334"/>
      <c r="G706" s="346">
        <v>0</v>
      </c>
      <c r="H706" s="417">
        <v>1</v>
      </c>
      <c r="I706" s="346" t="e">
        <v>#N/A</v>
      </c>
      <c r="J706" s="419" t="e">
        <v>#N/A</v>
      </c>
      <c r="K706" s="420"/>
      <c r="L706" s="395" t="s">
        <v>932</v>
      </c>
      <c r="N706" s="395" t="s">
        <v>932</v>
      </c>
    </row>
    <row r="707" spans="1:15">
      <c r="A707" s="421"/>
      <c r="B707" s="422"/>
      <c r="C707" s="422"/>
      <c r="D707" s="422"/>
      <c r="E707" s="423"/>
      <c r="F707" s="424"/>
      <c r="G707" s="422"/>
      <c r="H707" s="422"/>
      <c r="I707" s="422"/>
      <c r="J707" s="422"/>
      <c r="K707" s="425" t="s">
        <v>14185</v>
      </c>
      <c r="L707" s="426">
        <v>9.0004</v>
      </c>
      <c r="N707" s="427">
        <v>0.9216</v>
      </c>
    </row>
    <row r="708" spans="1:15">
      <c r="A708" s="428" t="s">
        <v>14186</v>
      </c>
      <c r="B708" s="429"/>
      <c r="C708" s="429"/>
      <c r="D708" s="430"/>
      <c r="E708" s="431" t="s">
        <v>74</v>
      </c>
      <c r="F708" s="431" t="s">
        <v>1123</v>
      </c>
      <c r="G708" s="430"/>
      <c r="H708" s="422"/>
      <c r="I708" s="431" t="s">
        <v>14177</v>
      </c>
      <c r="J708" s="430"/>
      <c r="K708" s="430"/>
      <c r="L708" s="432" t="s">
        <v>14187</v>
      </c>
    </row>
    <row r="709" spans="1:15">
      <c r="A709" s="404" t="s">
        <v>935</v>
      </c>
      <c r="B709" s="433" t="s">
        <v>936</v>
      </c>
      <c r="C709" s="433"/>
      <c r="D709" s="334"/>
      <c r="E709" s="434">
        <v>1</v>
      </c>
      <c r="F709" s="333" t="s">
        <v>104</v>
      </c>
      <c r="G709" s="334"/>
      <c r="H709" s="334"/>
      <c r="I709" s="435">
        <v>23.6025</v>
      </c>
      <c r="J709" s="334"/>
      <c r="K709" s="334"/>
      <c r="L709" s="346">
        <v>23.6025</v>
      </c>
      <c r="N709" s="395">
        <v>23.6025</v>
      </c>
    </row>
    <row r="710" hidden="1" spans="1:15">
      <c r="A710" s="404">
        <v>0</v>
      </c>
      <c r="B710" s="404" t="e">
        <v>#N/A</v>
      </c>
      <c r="C710" s="404"/>
      <c r="D710" s="334"/>
      <c r="E710" s="434">
        <v>0</v>
      </c>
      <c r="F710" s="333" t="s">
        <v>104</v>
      </c>
      <c r="G710" s="334"/>
      <c r="H710" s="334"/>
      <c r="I710" s="435" t="e">
        <v>#N/A</v>
      </c>
      <c r="J710" s="334"/>
      <c r="K710" s="334"/>
      <c r="L710" s="346" t="s">
        <v>932</v>
      </c>
      <c r="N710" s="395" t="s">
        <v>932</v>
      </c>
    </row>
    <row r="711" hidden="1" spans="1:15">
      <c r="A711" s="404">
        <v>0</v>
      </c>
      <c r="B711" s="404" t="e">
        <v>#N/A</v>
      </c>
      <c r="C711" s="404"/>
      <c r="D711" s="334"/>
      <c r="E711" s="434">
        <v>0</v>
      </c>
      <c r="F711" s="333" t="s">
        <v>104</v>
      </c>
      <c r="G711" s="334"/>
      <c r="H711" s="334"/>
      <c r="I711" s="435" t="e">
        <v>#N/A</v>
      </c>
      <c r="J711" s="334"/>
      <c r="K711" s="334"/>
      <c r="L711" s="346" t="s">
        <v>932</v>
      </c>
      <c r="N711" s="395" t="s">
        <v>932</v>
      </c>
    </row>
    <row r="712" hidden="1" spans="1:15">
      <c r="A712" s="404">
        <v>0</v>
      </c>
      <c r="B712" s="404" t="e">
        <v>#N/A</v>
      </c>
      <c r="C712" s="404"/>
      <c r="D712" s="334"/>
      <c r="E712" s="434">
        <v>0</v>
      </c>
      <c r="F712" s="333" t="s">
        <v>104</v>
      </c>
      <c r="G712" s="334"/>
      <c r="H712" s="334"/>
      <c r="I712" s="435" t="e">
        <v>#N/A</v>
      </c>
      <c r="J712" s="334"/>
      <c r="K712" s="334"/>
      <c r="L712" s="346" t="s">
        <v>932</v>
      </c>
      <c r="N712" s="395" t="s">
        <v>932</v>
      </c>
    </row>
    <row r="713" hidden="1" spans="1:15">
      <c r="A713" s="404">
        <v>0</v>
      </c>
      <c r="B713" s="404" t="e">
        <v>#N/A</v>
      </c>
      <c r="C713" s="404"/>
      <c r="D713" s="334"/>
      <c r="E713" s="434">
        <v>0</v>
      </c>
      <c r="F713" s="333" t="s">
        <v>104</v>
      </c>
      <c r="G713" s="334"/>
      <c r="H713" s="334"/>
      <c r="I713" s="435" t="e">
        <v>#N/A</v>
      </c>
      <c r="J713" s="334"/>
      <c r="K713" s="334"/>
      <c r="L713" s="346" t="s">
        <v>932</v>
      </c>
      <c r="N713" s="395" t="s">
        <v>932</v>
      </c>
    </row>
    <row r="714" hidden="1" spans="1:15">
      <c r="A714" s="404">
        <v>0</v>
      </c>
      <c r="B714" s="404" t="e">
        <v>#N/A</v>
      </c>
      <c r="C714" s="404"/>
      <c r="D714" s="334"/>
      <c r="E714" s="434">
        <v>0</v>
      </c>
      <c r="F714" s="333" t="s">
        <v>104</v>
      </c>
      <c r="G714" s="334"/>
      <c r="H714" s="334"/>
      <c r="I714" s="435" t="e">
        <v>#N/A</v>
      </c>
      <c r="J714" s="334"/>
      <c r="K714" s="334"/>
      <c r="L714" s="346" t="s">
        <v>932</v>
      </c>
      <c r="N714" s="395" t="s">
        <v>932</v>
      </c>
    </row>
    <row r="715" hidden="1" spans="1:15">
      <c r="A715" s="404">
        <v>0</v>
      </c>
      <c r="B715" s="404" t="e">
        <v>#N/A</v>
      </c>
      <c r="C715" s="404"/>
      <c r="D715" s="334"/>
      <c r="E715" s="434">
        <v>0</v>
      </c>
      <c r="F715" s="333" t="s">
        <v>104</v>
      </c>
      <c r="G715" s="334"/>
      <c r="H715" s="334"/>
      <c r="I715" s="435" t="e">
        <v>#N/A</v>
      </c>
      <c r="J715" s="334"/>
      <c r="K715" s="334"/>
      <c r="L715" s="346" t="s">
        <v>932</v>
      </c>
      <c r="N715" s="395" t="s">
        <v>932</v>
      </c>
    </row>
    <row r="716" hidden="1" spans="1:15">
      <c r="A716" s="404">
        <v>0</v>
      </c>
      <c r="B716" s="436" t="e">
        <v>#N/A</v>
      </c>
      <c r="C716" s="436"/>
      <c r="D716" s="334"/>
      <c r="E716" s="434">
        <v>0</v>
      </c>
      <c r="F716" s="333" t="s">
        <v>104</v>
      </c>
      <c r="G716" s="334"/>
      <c r="H716" s="334"/>
      <c r="I716" s="435" t="e">
        <v>#N/A</v>
      </c>
      <c r="J716" s="334"/>
      <c r="K716" s="334"/>
      <c r="L716" s="346" t="s">
        <v>932</v>
      </c>
      <c r="N716" s="395" t="s">
        <v>932</v>
      </c>
    </row>
    <row r="717" spans="1:15">
      <c r="A717" s="421"/>
      <c r="B717" s="62"/>
      <c r="C717" s="62"/>
      <c r="D717" s="422"/>
      <c r="E717" s="423"/>
      <c r="F717" s="424"/>
      <c r="G717" s="422"/>
      <c r="H717" s="422"/>
      <c r="I717" s="422"/>
      <c r="J717" s="422"/>
      <c r="K717" s="425" t="s">
        <v>14188</v>
      </c>
      <c r="L717" s="426">
        <v>23.6025</v>
      </c>
      <c r="N717" s="427">
        <v>23.6025</v>
      </c>
    </row>
    <row r="718" spans="1:15">
      <c r="I718" s="437"/>
      <c r="K718" s="383" t="s">
        <v>14189</v>
      </c>
      <c r="L718" s="427">
        <v>32.6029</v>
      </c>
      <c r="N718" s="395">
        <v>24.5241</v>
      </c>
    </row>
    <row r="719" spans="1:15">
      <c r="K719" s="383" t="s">
        <v>14190</v>
      </c>
      <c r="L719" s="427">
        <v>3.62254444444444</v>
      </c>
      <c r="N719" s="395">
        <v>2.7249</v>
      </c>
      <c r="O719" s="395">
        <v>0.098968368</v>
      </c>
    </row>
    <row r="720" spans="1:15">
      <c r="K720" s="383" t="s">
        <v>14191</v>
      </c>
      <c r="L720" s="427">
        <v>0.098968368</v>
      </c>
    </row>
    <row r="721" spans="1:12">
      <c r="K721" s="383" t="s">
        <v>14192</v>
      </c>
      <c r="L721" s="395">
        <v>0</v>
      </c>
    </row>
    <row r="722" hidden="1" spans="1:12">
      <c r="A722" s="428" t="s">
        <v>14193</v>
      </c>
      <c r="B722" s="430"/>
      <c r="C722" s="430"/>
      <c r="D722" s="430"/>
      <c r="E722" s="431" t="s">
        <v>74</v>
      </c>
      <c r="F722" s="431" t="s">
        <v>1123</v>
      </c>
      <c r="G722" s="430"/>
      <c r="H722" s="430"/>
      <c r="I722" s="425" t="s">
        <v>75</v>
      </c>
      <c r="J722" s="430"/>
      <c r="K722" s="430"/>
      <c r="L722" s="426" t="s">
        <v>14194</v>
      </c>
    </row>
    <row r="723" hidden="1" spans="1:12">
      <c r="A723" s="404">
        <v>0</v>
      </c>
      <c r="B723" s="433" t="e">
        <v>#N/A</v>
      </c>
      <c r="C723" s="433"/>
      <c r="D723" s="334"/>
      <c r="E723" s="434">
        <v>0</v>
      </c>
      <c r="F723" s="333" t="e">
        <v>#N/A</v>
      </c>
      <c r="G723" s="334"/>
      <c r="I723" s="395" t="e">
        <v>#N/A</v>
      </c>
      <c r="J723" s="395"/>
      <c r="K723" s="395"/>
      <c r="L723" s="346" t="s">
        <v>932</v>
      </c>
    </row>
    <row r="724" hidden="1" spans="1:12">
      <c r="A724" s="404">
        <v>0</v>
      </c>
      <c r="B724" s="404" t="e">
        <v>#N/A</v>
      </c>
      <c r="C724" s="404"/>
      <c r="D724" s="334"/>
      <c r="E724" s="434">
        <v>0</v>
      </c>
      <c r="F724" s="333" t="e">
        <v>#N/A</v>
      </c>
      <c r="G724" s="334"/>
      <c r="I724" s="395" t="e">
        <v>#N/A</v>
      </c>
      <c r="J724" s="395"/>
      <c r="K724" s="395"/>
      <c r="L724" s="346" t="s">
        <v>932</v>
      </c>
    </row>
    <row r="725" hidden="1" spans="1:12">
      <c r="A725" s="404">
        <v>0</v>
      </c>
      <c r="B725" s="404" t="e">
        <v>#N/A</v>
      </c>
      <c r="C725" s="404"/>
      <c r="D725" s="334"/>
      <c r="E725" s="434">
        <v>0</v>
      </c>
      <c r="F725" s="333" t="e">
        <v>#N/A</v>
      </c>
      <c r="G725" s="334"/>
      <c r="I725" s="395" t="e">
        <v>#N/A</v>
      </c>
      <c r="J725" s="395"/>
      <c r="K725" s="395"/>
      <c r="L725" s="346" t="s">
        <v>932</v>
      </c>
    </row>
    <row r="726" hidden="1" spans="1:12">
      <c r="A726" s="404">
        <v>0</v>
      </c>
      <c r="B726" s="404" t="e">
        <v>#N/A</v>
      </c>
      <c r="C726" s="404"/>
      <c r="D726" s="334"/>
      <c r="E726" s="434">
        <v>0</v>
      </c>
      <c r="F726" s="333" t="e">
        <v>#N/A</v>
      </c>
      <c r="G726" s="334"/>
      <c r="I726" s="395" t="e">
        <v>#N/A</v>
      </c>
      <c r="J726" s="395"/>
      <c r="K726" s="395"/>
      <c r="L726" s="346" t="s">
        <v>932</v>
      </c>
    </row>
    <row r="727" hidden="1" spans="1:12">
      <c r="A727" s="404">
        <v>0</v>
      </c>
      <c r="B727" s="404" t="e">
        <v>#N/A</v>
      </c>
      <c r="C727" s="404"/>
      <c r="D727" s="334"/>
      <c r="E727" s="434">
        <v>0</v>
      </c>
      <c r="F727" s="333" t="e">
        <v>#N/A</v>
      </c>
      <c r="G727" s="334"/>
      <c r="H727" s="334"/>
      <c r="I727" s="395" t="e">
        <v>#N/A</v>
      </c>
      <c r="J727" s="395"/>
      <c r="K727" s="395"/>
      <c r="L727" s="346" t="s">
        <v>932</v>
      </c>
    </row>
    <row r="728" hidden="1" spans="1:12">
      <c r="A728" s="404">
        <v>0</v>
      </c>
      <c r="B728" s="404" t="e">
        <v>#N/A</v>
      </c>
      <c r="C728" s="404"/>
      <c r="D728" s="334"/>
      <c r="E728" s="434">
        <v>0</v>
      </c>
      <c r="F728" s="333" t="e">
        <v>#N/A</v>
      </c>
      <c r="G728" s="334"/>
      <c r="H728" s="334"/>
      <c r="I728" s="395" t="e">
        <v>#N/A</v>
      </c>
      <c r="J728" s="395"/>
      <c r="K728" s="395"/>
      <c r="L728" s="346" t="s">
        <v>932</v>
      </c>
    </row>
    <row r="729" hidden="1" spans="1:12">
      <c r="A729" s="404">
        <v>0</v>
      </c>
      <c r="B729" s="404" t="e">
        <v>#N/A</v>
      </c>
      <c r="C729" s="404"/>
      <c r="D729" s="334"/>
      <c r="E729" s="434">
        <v>0</v>
      </c>
      <c r="F729" s="333" t="e">
        <v>#N/A</v>
      </c>
      <c r="G729" s="334"/>
      <c r="H729" s="334"/>
      <c r="I729" s="395" t="e">
        <v>#N/A</v>
      </c>
      <c r="J729" s="395"/>
      <c r="K729" s="395"/>
      <c r="L729" s="346" t="s">
        <v>932</v>
      </c>
    </row>
    <row r="730" hidden="1" spans="1:12">
      <c r="A730" s="404">
        <v>0</v>
      </c>
      <c r="B730" s="404" t="e">
        <v>#N/A</v>
      </c>
      <c r="C730" s="404"/>
      <c r="D730" s="438"/>
      <c r="E730" s="434">
        <v>0</v>
      </c>
      <c r="F730" s="333" t="e">
        <v>#N/A</v>
      </c>
      <c r="G730" s="334"/>
      <c r="H730" s="334"/>
      <c r="I730" s="395" t="e">
        <v>#N/A</v>
      </c>
      <c r="J730" s="395"/>
      <c r="K730" s="395"/>
      <c r="L730" s="346" t="s">
        <v>932</v>
      </c>
    </row>
    <row r="731" hidden="1" spans="1:12">
      <c r="A731" s="421"/>
      <c r="B731" s="422"/>
      <c r="C731" s="422"/>
      <c r="D731" s="422"/>
      <c r="E731" s="423"/>
      <c r="F731" s="424"/>
      <c r="G731" s="422"/>
      <c r="H731" s="422"/>
      <c r="I731" s="430"/>
      <c r="J731" s="430"/>
      <c r="K731" s="425" t="s">
        <v>14203</v>
      </c>
      <c r="L731" s="426">
        <v>0</v>
      </c>
    </row>
    <row r="732" hidden="1" spans="1:12">
      <c r="A732" s="428" t="s">
        <v>14204</v>
      </c>
      <c r="B732" s="430"/>
      <c r="C732" s="430"/>
      <c r="D732" s="430"/>
      <c r="E732" s="431" t="s">
        <v>74</v>
      </c>
      <c r="F732" s="431" t="s">
        <v>1123</v>
      </c>
      <c r="G732" s="430"/>
      <c r="H732" s="430"/>
      <c r="I732" s="425" t="s">
        <v>75</v>
      </c>
      <c r="J732" s="430"/>
      <c r="K732" s="430"/>
      <c r="L732" s="426" t="s">
        <v>14194</v>
      </c>
    </row>
    <row r="733" hidden="1" spans="1:12">
      <c r="A733" s="404">
        <v>0</v>
      </c>
      <c r="B733" s="334" t="e">
        <v>#N/A</v>
      </c>
      <c r="C733" s="334"/>
      <c r="D733" s="334"/>
      <c r="E733" s="434">
        <v>0</v>
      </c>
      <c r="F733" s="333" t="e">
        <v>#N/A</v>
      </c>
      <c r="G733" s="439"/>
      <c r="I733" s="346" t="e">
        <v>#N/A</v>
      </c>
      <c r="L733" s="346" t="s">
        <v>932</v>
      </c>
    </row>
    <row r="734" hidden="1" spans="1:12">
      <c r="A734" s="401">
        <v>0</v>
      </c>
      <c r="B734" s="334" t="e">
        <v>#N/A</v>
      </c>
      <c r="E734" s="440">
        <v>0</v>
      </c>
      <c r="F734" s="333" t="e">
        <v>#N/A</v>
      </c>
      <c r="G734" s="439"/>
      <c r="I734" s="346" t="e">
        <v>#N/A</v>
      </c>
      <c r="L734" s="346" t="s">
        <v>932</v>
      </c>
    </row>
    <row r="735" hidden="1" spans="1:12">
      <c r="A735" s="401">
        <v>0</v>
      </c>
      <c r="B735" s="334" t="e">
        <v>#N/A</v>
      </c>
      <c r="E735" s="440">
        <v>0</v>
      </c>
      <c r="F735" s="333" t="e">
        <v>#N/A</v>
      </c>
      <c r="G735" s="439"/>
      <c r="I735" s="346" t="e">
        <v>#N/A</v>
      </c>
      <c r="L735" s="346" t="s">
        <v>932</v>
      </c>
    </row>
    <row r="736" hidden="1" spans="1:12">
      <c r="A736" s="401">
        <v>0</v>
      </c>
      <c r="B736" s="334" t="e">
        <v>#N/A</v>
      </c>
      <c r="E736" s="440">
        <v>0</v>
      </c>
      <c r="F736" s="333" t="e">
        <v>#N/A</v>
      </c>
      <c r="G736" s="439"/>
      <c r="I736" s="346" t="e">
        <v>#N/A</v>
      </c>
      <c r="L736" s="346" t="s">
        <v>932</v>
      </c>
    </row>
    <row r="737" hidden="1" spans="1:12">
      <c r="A737" s="401">
        <v>0</v>
      </c>
      <c r="B737" s="334" t="e">
        <v>#N/A</v>
      </c>
      <c r="E737" s="440">
        <v>0</v>
      </c>
      <c r="F737" s="333" t="e">
        <v>#N/A</v>
      </c>
      <c r="G737" s="439"/>
      <c r="I737" s="346" t="e">
        <v>#N/A</v>
      </c>
      <c r="L737" s="346" t="s">
        <v>932</v>
      </c>
    </row>
    <row r="738" hidden="1" spans="1:12">
      <c r="A738" s="401">
        <v>0</v>
      </c>
      <c r="B738" s="334" t="e">
        <v>#N/A</v>
      </c>
      <c r="E738" s="440">
        <v>0</v>
      </c>
      <c r="F738" s="333" t="e">
        <v>#N/A</v>
      </c>
      <c r="G738" s="439"/>
      <c r="I738" s="346" t="e">
        <v>#N/A</v>
      </c>
      <c r="L738" s="346" t="s">
        <v>932</v>
      </c>
    </row>
    <row r="739" hidden="1" spans="1:12">
      <c r="A739" s="421"/>
      <c r="B739" s="422"/>
      <c r="C739" s="422"/>
      <c r="D739" s="422"/>
      <c r="E739" s="422"/>
      <c r="F739" s="422"/>
      <c r="G739" s="422"/>
      <c r="H739" s="422"/>
      <c r="I739" s="430"/>
      <c r="J739" s="430"/>
      <c r="K739" s="425" t="s">
        <v>14206</v>
      </c>
      <c r="L739" s="426">
        <v>0</v>
      </c>
    </row>
    <row r="740" spans="1:12">
      <c r="A740" s="421"/>
      <c r="B740" s="422"/>
      <c r="C740" s="422"/>
      <c r="D740" s="422"/>
      <c r="E740" s="422"/>
      <c r="F740" s="422"/>
      <c r="G740" s="422"/>
      <c r="H740" s="422"/>
      <c r="I740" s="430"/>
      <c r="J740" s="430"/>
      <c r="K740" s="425" t="s">
        <v>14207</v>
      </c>
      <c r="L740" s="426">
        <v>3.72151281244444</v>
      </c>
    </row>
    <row r="741" hidden="1" spans="1:12">
      <c r="A741" s="428" t="s">
        <v>14208</v>
      </c>
      <c r="B741" s="430"/>
      <c r="C741" s="430"/>
      <c r="D741" s="431" t="s">
        <v>55</v>
      </c>
      <c r="E741" s="431" t="s">
        <v>74</v>
      </c>
      <c r="F741" s="431" t="s">
        <v>1123</v>
      </c>
      <c r="G741" s="430"/>
      <c r="H741" s="430"/>
      <c r="I741" s="425" t="s">
        <v>75</v>
      </c>
      <c r="J741" s="430"/>
      <c r="K741" s="430"/>
      <c r="L741" s="426" t="s">
        <v>14194</v>
      </c>
    </row>
    <row r="742" hidden="1" spans="1:12">
      <c r="A742" s="404">
        <v>0</v>
      </c>
      <c r="B742" s="441" t="e">
        <v>#N/A</v>
      </c>
      <c r="C742" s="441"/>
      <c r="D742" s="442">
        <v>0</v>
      </c>
      <c r="E742" s="434">
        <v>0</v>
      </c>
      <c r="F742" s="333" t="s">
        <v>9885</v>
      </c>
      <c r="G742" s="443" t="s">
        <v>14209</v>
      </c>
      <c r="H742" s="334"/>
      <c r="I742" s="346">
        <v>0</v>
      </c>
      <c r="J742" s="334"/>
      <c r="K742" s="346"/>
      <c r="L742" s="346" t="s">
        <v>932</v>
      </c>
    </row>
    <row r="743" hidden="1" spans="1:12">
      <c r="A743" s="404">
        <v>0</v>
      </c>
      <c r="B743" s="334" t="e">
        <v>#N/A</v>
      </c>
      <c r="C743" s="334"/>
      <c r="D743" s="442">
        <v>0</v>
      </c>
      <c r="E743" s="434">
        <v>0</v>
      </c>
      <c r="F743" s="333" t="s">
        <v>9885</v>
      </c>
      <c r="G743" s="334"/>
      <c r="H743" s="334"/>
      <c r="I743" s="346">
        <v>0</v>
      </c>
      <c r="J743" s="334"/>
      <c r="K743" s="346"/>
      <c r="L743" s="346" t="s">
        <v>932</v>
      </c>
    </row>
    <row r="744" hidden="1" spans="1:12">
      <c r="A744" s="404">
        <v>0</v>
      </c>
      <c r="B744" s="334" t="e">
        <v>#N/A</v>
      </c>
      <c r="C744" s="334"/>
      <c r="D744" s="442">
        <v>0</v>
      </c>
      <c r="E744" s="434">
        <v>0</v>
      </c>
      <c r="F744" s="333" t="s">
        <v>9885</v>
      </c>
      <c r="G744" s="334"/>
      <c r="H744" s="334"/>
      <c r="I744" s="346">
        <v>0</v>
      </c>
      <c r="J744" s="334"/>
      <c r="K744" s="346"/>
      <c r="L744" s="346" t="s">
        <v>932</v>
      </c>
    </row>
    <row r="745" hidden="1" spans="1:12">
      <c r="A745" s="404">
        <v>0</v>
      </c>
      <c r="B745" s="334" t="e">
        <v>#N/A</v>
      </c>
      <c r="C745" s="334"/>
      <c r="D745" s="442">
        <v>0</v>
      </c>
      <c r="E745" s="434">
        <v>0</v>
      </c>
      <c r="F745" s="333" t="s">
        <v>9885</v>
      </c>
      <c r="G745" s="334"/>
      <c r="H745" s="334"/>
      <c r="I745" s="346">
        <v>0</v>
      </c>
      <c r="J745" s="334"/>
      <c r="K745" s="346"/>
      <c r="L745" s="346" t="s">
        <v>932</v>
      </c>
    </row>
    <row r="746" hidden="1" spans="1:12">
      <c r="A746" s="404">
        <v>0</v>
      </c>
      <c r="B746" s="334" t="e">
        <v>#N/A</v>
      </c>
      <c r="C746" s="334"/>
      <c r="D746" s="442">
        <v>0</v>
      </c>
      <c r="E746" s="434">
        <v>0</v>
      </c>
      <c r="F746" s="333" t="s">
        <v>9885</v>
      </c>
      <c r="G746" s="334"/>
      <c r="H746" s="334"/>
      <c r="I746" s="346">
        <v>0</v>
      </c>
      <c r="J746" s="334"/>
      <c r="K746" s="346"/>
      <c r="L746" s="346" t="s">
        <v>932</v>
      </c>
    </row>
    <row r="747" hidden="1" spans="1:12">
      <c r="A747" s="404">
        <v>0</v>
      </c>
      <c r="B747" s="334" t="e">
        <v>#N/A</v>
      </c>
      <c r="C747" s="334"/>
      <c r="D747" s="442">
        <v>0</v>
      </c>
      <c r="E747" s="434">
        <v>0</v>
      </c>
      <c r="F747" s="333" t="s">
        <v>9885</v>
      </c>
      <c r="G747" s="334"/>
      <c r="H747" s="334"/>
      <c r="I747" s="346">
        <v>0</v>
      </c>
      <c r="J747" s="334"/>
      <c r="K747" s="346"/>
      <c r="L747" s="346" t="s">
        <v>932</v>
      </c>
    </row>
    <row r="748" hidden="1" spans="1:12">
      <c r="A748" s="404">
        <v>0</v>
      </c>
      <c r="B748" s="334" t="e">
        <v>#N/A</v>
      </c>
      <c r="C748" s="334"/>
      <c r="D748" s="442">
        <v>0</v>
      </c>
      <c r="E748" s="434">
        <v>0</v>
      </c>
      <c r="F748" s="333" t="s">
        <v>9885</v>
      </c>
      <c r="G748" s="334"/>
      <c r="H748" s="334"/>
      <c r="I748" s="346">
        <v>0</v>
      </c>
      <c r="J748" s="334"/>
      <c r="K748" s="346"/>
      <c r="L748" s="346" t="s">
        <v>932</v>
      </c>
    </row>
    <row r="749" hidden="1" spans="1:12">
      <c r="A749" s="404">
        <v>0</v>
      </c>
      <c r="B749" s="444" t="e">
        <v>#N/A</v>
      </c>
      <c r="C749" s="444"/>
      <c r="D749" s="442">
        <v>0</v>
      </c>
      <c r="E749" s="434">
        <v>0</v>
      </c>
      <c r="F749" s="333" t="s">
        <v>9885</v>
      </c>
      <c r="G749" s="334"/>
      <c r="H749" s="334"/>
      <c r="I749" s="346">
        <v>0</v>
      </c>
      <c r="J749" s="334"/>
      <c r="K749" s="346"/>
      <c r="L749" s="346" t="s">
        <v>932</v>
      </c>
    </row>
    <row r="750" hidden="1" spans="1:12">
      <c r="A750" s="428"/>
      <c r="B750" s="445"/>
      <c r="C750" s="445"/>
      <c r="D750" s="430"/>
      <c r="E750" s="430"/>
      <c r="F750" s="430"/>
      <c r="G750" s="430"/>
      <c r="H750" s="430"/>
      <c r="I750" s="430"/>
      <c r="J750" s="430"/>
      <c r="K750" s="425" t="s">
        <v>14210</v>
      </c>
      <c r="L750" s="426">
        <v>0</v>
      </c>
    </row>
    <row r="751" hidden="1" spans="1:12">
      <c r="A751" s="446" t="s">
        <v>14211</v>
      </c>
      <c r="B751" s="445"/>
      <c r="C751" s="445"/>
      <c r="D751" s="447" t="s">
        <v>55</v>
      </c>
      <c r="E751" s="445" t="s">
        <v>74</v>
      </c>
      <c r="F751" s="447" t="s">
        <v>1123</v>
      </c>
      <c r="G751" s="445"/>
      <c r="H751" s="447" t="s">
        <v>72</v>
      </c>
      <c r="I751" s="447" t="s">
        <v>75</v>
      </c>
      <c r="J751" s="445"/>
      <c r="K751" s="448"/>
      <c r="L751" s="449" t="s">
        <v>14194</v>
      </c>
    </row>
    <row r="752" hidden="1" spans="1:12">
      <c r="A752" s="404">
        <v>0</v>
      </c>
      <c r="B752" s="433" t="e">
        <v>#N/A</v>
      </c>
      <c r="C752" s="433"/>
      <c r="D752" s="442">
        <v>0</v>
      </c>
      <c r="E752" s="450">
        <v>0</v>
      </c>
      <c r="F752" s="333" t="s">
        <v>13063</v>
      </c>
      <c r="G752" s="333" t="s">
        <v>14212</v>
      </c>
      <c r="H752" s="346">
        <v>0</v>
      </c>
      <c r="I752" s="346">
        <v>0</v>
      </c>
      <c r="J752" s="346"/>
      <c r="K752" s="334"/>
      <c r="L752" s="346" t="s">
        <v>932</v>
      </c>
    </row>
    <row r="753" hidden="1" spans="1:12">
      <c r="A753" s="404"/>
      <c r="B753" s="404"/>
      <c r="C753" s="334"/>
      <c r="D753" s="442">
        <v>0</v>
      </c>
      <c r="E753" s="450">
        <v>0</v>
      </c>
      <c r="F753" s="333" t="s">
        <v>13063</v>
      </c>
      <c r="G753" s="333" t="s">
        <v>14213</v>
      </c>
      <c r="H753" s="346">
        <v>0</v>
      </c>
      <c r="I753" s="346">
        <v>0</v>
      </c>
      <c r="J753" s="346"/>
      <c r="K753" s="334"/>
      <c r="L753" s="346" t="s">
        <v>932</v>
      </c>
    </row>
    <row r="754" hidden="1" spans="1:12">
      <c r="A754" s="404"/>
      <c r="B754" s="404"/>
      <c r="C754" s="334"/>
      <c r="D754" s="442">
        <v>0</v>
      </c>
      <c r="E754" s="450">
        <v>0</v>
      </c>
      <c r="F754" s="333" t="s">
        <v>13063</v>
      </c>
      <c r="G754" s="333" t="s">
        <v>14214</v>
      </c>
      <c r="H754" s="346">
        <v>0</v>
      </c>
      <c r="I754" s="346">
        <v>0</v>
      </c>
      <c r="J754" s="346"/>
      <c r="K754" s="334"/>
      <c r="L754" s="346" t="s">
        <v>932</v>
      </c>
    </row>
    <row r="755" hidden="1" spans="1:12">
      <c r="A755" s="404">
        <v>0</v>
      </c>
      <c r="B755" s="404" t="e">
        <v>#N/A</v>
      </c>
      <c r="C755" s="404"/>
      <c r="D755" s="442">
        <v>0</v>
      </c>
      <c r="E755" s="450">
        <v>0</v>
      </c>
      <c r="F755" s="333" t="s">
        <v>13063</v>
      </c>
      <c r="G755" s="333" t="s">
        <v>14212</v>
      </c>
      <c r="H755" s="346">
        <v>0</v>
      </c>
      <c r="I755" s="346">
        <v>0</v>
      </c>
      <c r="J755" s="346"/>
      <c r="K755" s="334"/>
      <c r="L755" s="346" t="s">
        <v>932</v>
      </c>
    </row>
    <row r="756" hidden="1" spans="1:12">
      <c r="A756" s="404"/>
      <c r="B756" s="404"/>
      <c r="C756" s="334"/>
      <c r="D756" s="442">
        <v>0</v>
      </c>
      <c r="E756" s="450">
        <v>0</v>
      </c>
      <c r="F756" s="333" t="s">
        <v>13063</v>
      </c>
      <c r="G756" s="333" t="s">
        <v>14213</v>
      </c>
      <c r="H756" s="346">
        <v>0</v>
      </c>
      <c r="I756" s="346">
        <v>0</v>
      </c>
      <c r="J756" s="346"/>
      <c r="K756" s="334"/>
      <c r="L756" s="346" t="s">
        <v>932</v>
      </c>
    </row>
    <row r="757" hidden="1" spans="1:12">
      <c r="A757" s="404"/>
      <c r="B757" s="404"/>
      <c r="C757" s="334"/>
      <c r="D757" s="442">
        <v>0</v>
      </c>
      <c r="E757" s="450">
        <v>0</v>
      </c>
      <c r="F757" s="333" t="s">
        <v>13063</v>
      </c>
      <c r="G757" s="333" t="s">
        <v>14214</v>
      </c>
      <c r="H757" s="346">
        <v>0</v>
      </c>
      <c r="I757" s="346">
        <v>0</v>
      </c>
      <c r="J757" s="346"/>
      <c r="K757" s="334"/>
      <c r="L757" s="346" t="s">
        <v>932</v>
      </c>
    </row>
    <row r="758" hidden="1" spans="1:12">
      <c r="A758" s="404">
        <v>0</v>
      </c>
      <c r="B758" s="404" t="e">
        <v>#N/A</v>
      </c>
      <c r="C758" s="404"/>
      <c r="D758" s="442">
        <v>0</v>
      </c>
      <c r="E758" s="450">
        <v>0</v>
      </c>
      <c r="F758" s="333" t="s">
        <v>13063</v>
      </c>
      <c r="G758" s="333" t="s">
        <v>14212</v>
      </c>
      <c r="H758" s="346">
        <v>0</v>
      </c>
      <c r="I758" s="346">
        <v>0</v>
      </c>
      <c r="J758" s="346"/>
      <c r="K758" s="334"/>
      <c r="L758" s="346" t="s">
        <v>932</v>
      </c>
    </row>
    <row r="759" hidden="1" spans="1:12">
      <c r="A759" s="404"/>
      <c r="B759" s="404"/>
      <c r="C759" s="334"/>
      <c r="D759" s="442">
        <v>0</v>
      </c>
      <c r="E759" s="450">
        <v>0</v>
      </c>
      <c r="F759" s="333" t="s">
        <v>13063</v>
      </c>
      <c r="G759" s="333" t="s">
        <v>14213</v>
      </c>
      <c r="H759" s="346">
        <v>0</v>
      </c>
      <c r="I759" s="346">
        <v>0</v>
      </c>
      <c r="J759" s="346"/>
      <c r="K759" s="334"/>
      <c r="L759" s="346" t="s">
        <v>932</v>
      </c>
    </row>
    <row r="760" hidden="1" spans="1:12">
      <c r="A760" s="404"/>
      <c r="B760" s="404"/>
      <c r="C760" s="334"/>
      <c r="D760" s="442">
        <v>0</v>
      </c>
      <c r="E760" s="450">
        <v>0</v>
      </c>
      <c r="F760" s="333" t="s">
        <v>13063</v>
      </c>
      <c r="G760" s="333" t="s">
        <v>14214</v>
      </c>
      <c r="H760" s="346">
        <v>0</v>
      </c>
      <c r="I760" s="346">
        <v>0</v>
      </c>
      <c r="J760" s="346"/>
      <c r="K760" s="334"/>
      <c r="L760" s="346" t="s">
        <v>932</v>
      </c>
    </row>
    <row r="761" hidden="1" spans="1:12">
      <c r="A761" s="404">
        <v>0</v>
      </c>
      <c r="B761" s="404" t="e">
        <v>#N/A</v>
      </c>
      <c r="C761" s="404"/>
      <c r="D761" s="442">
        <v>0</v>
      </c>
      <c r="E761" s="450">
        <v>0</v>
      </c>
      <c r="F761" s="333" t="s">
        <v>13063</v>
      </c>
      <c r="G761" s="333" t="s">
        <v>14212</v>
      </c>
      <c r="H761" s="346">
        <v>0</v>
      </c>
      <c r="I761" s="346">
        <v>0</v>
      </c>
      <c r="J761" s="346"/>
      <c r="K761" s="334"/>
      <c r="L761" s="346" t="s">
        <v>932</v>
      </c>
    </row>
    <row r="762" hidden="1" spans="1:12">
      <c r="A762" s="404"/>
      <c r="B762" s="404"/>
      <c r="C762" s="334"/>
      <c r="D762" s="442">
        <v>0</v>
      </c>
      <c r="E762" s="450">
        <v>0</v>
      </c>
      <c r="F762" s="333" t="s">
        <v>13063</v>
      </c>
      <c r="G762" s="333" t="s">
        <v>14213</v>
      </c>
      <c r="H762" s="346">
        <v>0</v>
      </c>
      <c r="I762" s="346">
        <v>0</v>
      </c>
      <c r="J762" s="346"/>
      <c r="K762" s="334"/>
      <c r="L762" s="346" t="s">
        <v>932</v>
      </c>
    </row>
    <row r="763" hidden="1" spans="1:12">
      <c r="A763" s="404"/>
      <c r="B763" s="404"/>
      <c r="C763" s="334"/>
      <c r="D763" s="442">
        <v>0</v>
      </c>
      <c r="E763" s="450">
        <v>0</v>
      </c>
      <c r="F763" s="333" t="s">
        <v>13063</v>
      </c>
      <c r="G763" s="333" t="s">
        <v>14214</v>
      </c>
      <c r="H763" s="346">
        <v>0</v>
      </c>
      <c r="I763" s="346">
        <v>0</v>
      </c>
      <c r="J763" s="346"/>
      <c r="K763" s="334"/>
      <c r="L763" s="346" t="s">
        <v>932</v>
      </c>
    </row>
    <row r="764" hidden="1" spans="1:12">
      <c r="A764" s="404">
        <v>0</v>
      </c>
      <c r="B764" s="404" t="e">
        <v>#N/A</v>
      </c>
      <c r="C764" s="404"/>
      <c r="D764" s="442">
        <v>0</v>
      </c>
      <c r="E764" s="450">
        <v>0</v>
      </c>
      <c r="F764" s="333" t="s">
        <v>13063</v>
      </c>
      <c r="G764" s="333" t="s">
        <v>14212</v>
      </c>
      <c r="H764" s="346">
        <v>0</v>
      </c>
      <c r="I764" s="346">
        <v>0</v>
      </c>
      <c r="J764" s="346"/>
      <c r="K764" s="334"/>
      <c r="L764" s="346" t="s">
        <v>932</v>
      </c>
    </row>
    <row r="765" hidden="1" spans="1:12">
      <c r="A765" s="404"/>
      <c r="B765" s="404"/>
      <c r="C765" s="334"/>
      <c r="D765" s="442">
        <v>0</v>
      </c>
      <c r="E765" s="450">
        <v>0</v>
      </c>
      <c r="F765" s="333" t="s">
        <v>13063</v>
      </c>
      <c r="G765" s="333" t="s">
        <v>14213</v>
      </c>
      <c r="H765" s="346">
        <v>0</v>
      </c>
      <c r="I765" s="346">
        <v>0</v>
      </c>
      <c r="J765" s="346"/>
      <c r="K765" s="334"/>
      <c r="L765" s="346" t="s">
        <v>932</v>
      </c>
    </row>
    <row r="766" hidden="1" spans="1:12">
      <c r="A766" s="404"/>
      <c r="B766" s="404"/>
      <c r="C766" s="334"/>
      <c r="D766" s="442">
        <v>0</v>
      </c>
      <c r="E766" s="450">
        <v>0</v>
      </c>
      <c r="F766" s="333" t="s">
        <v>13063</v>
      </c>
      <c r="G766" s="333" t="s">
        <v>14214</v>
      </c>
      <c r="H766" s="346">
        <v>0</v>
      </c>
      <c r="I766" s="346">
        <v>0</v>
      </c>
      <c r="J766" s="346"/>
      <c r="K766" s="334"/>
      <c r="L766" s="346" t="s">
        <v>932</v>
      </c>
    </row>
    <row r="767" hidden="1" spans="1:12">
      <c r="A767" s="401">
        <v>0</v>
      </c>
      <c r="B767" s="401" t="e">
        <v>#N/A</v>
      </c>
      <c r="C767" s="401"/>
      <c r="D767" s="442">
        <v>0</v>
      </c>
      <c r="E767" s="450">
        <v>0</v>
      </c>
      <c r="F767" s="439" t="s">
        <v>13063</v>
      </c>
      <c r="G767" s="439" t="s">
        <v>14212</v>
      </c>
      <c r="H767" s="346">
        <v>0</v>
      </c>
      <c r="I767" s="346">
        <v>0</v>
      </c>
      <c r="J767" s="395"/>
      <c r="L767" s="346" t="s">
        <v>932</v>
      </c>
    </row>
    <row r="768" hidden="1" spans="1:12">
      <c r="A768" s="401"/>
      <c r="B768" s="401"/>
      <c r="D768" s="442">
        <v>0</v>
      </c>
      <c r="E768" s="450">
        <v>0</v>
      </c>
      <c r="F768" s="439" t="s">
        <v>13063</v>
      </c>
      <c r="G768" s="439" t="s">
        <v>14213</v>
      </c>
      <c r="H768" s="346">
        <v>0</v>
      </c>
      <c r="I768" s="346">
        <v>0</v>
      </c>
      <c r="J768" s="395"/>
      <c r="L768" s="346" t="s">
        <v>932</v>
      </c>
    </row>
    <row r="769" hidden="1" spans="1:14">
      <c r="A769" s="401"/>
      <c r="B769" s="401"/>
      <c r="D769" s="442">
        <v>0</v>
      </c>
      <c r="E769" s="450">
        <v>0</v>
      </c>
      <c r="F769" s="439" t="s">
        <v>13063</v>
      </c>
      <c r="G769" s="439" t="s">
        <v>14214</v>
      </c>
      <c r="H769" s="346">
        <v>0</v>
      </c>
      <c r="I769" s="346">
        <v>0</v>
      </c>
      <c r="J769" s="395"/>
      <c r="L769" s="346" t="s">
        <v>932</v>
      </c>
    </row>
    <row r="770" hidden="1" spans="1:14">
      <c r="A770" s="401">
        <v>0</v>
      </c>
      <c r="B770" s="401" t="e">
        <v>#N/A</v>
      </c>
      <c r="C770" s="401"/>
      <c r="D770" s="442">
        <v>0</v>
      </c>
      <c r="E770" s="450">
        <v>0</v>
      </c>
      <c r="F770" s="439" t="s">
        <v>13063</v>
      </c>
      <c r="G770" s="439" t="s">
        <v>14212</v>
      </c>
      <c r="H770" s="346">
        <v>0</v>
      </c>
      <c r="I770" s="346">
        <v>0</v>
      </c>
      <c r="J770" s="395"/>
      <c r="L770" s="346" t="s">
        <v>932</v>
      </c>
    </row>
    <row r="771" hidden="1" spans="1:14">
      <c r="A771" s="401"/>
      <c r="B771" s="401"/>
      <c r="D771" s="442">
        <v>0</v>
      </c>
      <c r="E771" s="450">
        <v>0</v>
      </c>
      <c r="F771" s="439" t="s">
        <v>13063</v>
      </c>
      <c r="G771" s="439" t="s">
        <v>14213</v>
      </c>
      <c r="H771" s="346">
        <v>0</v>
      </c>
      <c r="I771" s="346">
        <v>0</v>
      </c>
      <c r="J771" s="395"/>
      <c r="L771" s="346" t="s">
        <v>932</v>
      </c>
    </row>
    <row r="772" hidden="1" spans="1:14">
      <c r="A772" s="401"/>
      <c r="B772" s="401"/>
      <c r="D772" s="442">
        <v>0</v>
      </c>
      <c r="E772" s="450">
        <v>0</v>
      </c>
      <c r="F772" s="439" t="s">
        <v>13063</v>
      </c>
      <c r="G772" s="439" t="s">
        <v>14214</v>
      </c>
      <c r="H772" s="346">
        <v>0</v>
      </c>
      <c r="I772" s="346">
        <v>0</v>
      </c>
      <c r="J772" s="395"/>
      <c r="L772" s="346" t="s">
        <v>932</v>
      </c>
    </row>
    <row r="773" hidden="1" spans="1:14">
      <c r="A773" s="401">
        <v>0</v>
      </c>
      <c r="B773" s="401" t="e">
        <v>#N/A</v>
      </c>
      <c r="C773" s="401"/>
      <c r="D773" s="442">
        <v>0</v>
      </c>
      <c r="E773" s="450">
        <v>0</v>
      </c>
      <c r="F773" s="439" t="s">
        <v>13063</v>
      </c>
      <c r="G773" s="439" t="s">
        <v>14212</v>
      </c>
      <c r="H773" s="346">
        <v>0</v>
      </c>
      <c r="I773" s="346">
        <v>0</v>
      </c>
      <c r="J773" s="395"/>
      <c r="L773" s="346" t="s">
        <v>932</v>
      </c>
    </row>
    <row r="774" hidden="1" spans="1:14">
      <c r="A774" s="401"/>
      <c r="B774" s="401"/>
      <c r="D774" s="442">
        <v>0</v>
      </c>
      <c r="E774" s="450">
        <v>0</v>
      </c>
      <c r="F774" s="439" t="s">
        <v>13063</v>
      </c>
      <c r="G774" s="439" t="s">
        <v>14213</v>
      </c>
      <c r="H774" s="346">
        <v>0</v>
      </c>
      <c r="I774" s="346">
        <v>0</v>
      </c>
      <c r="J774" s="395"/>
      <c r="L774" s="346" t="s">
        <v>932</v>
      </c>
    </row>
    <row r="775" hidden="1" spans="1:14">
      <c r="A775" s="401"/>
      <c r="B775" s="401"/>
      <c r="D775" s="442">
        <v>0</v>
      </c>
      <c r="E775" s="450">
        <v>0</v>
      </c>
      <c r="F775" s="439" t="s">
        <v>13063</v>
      </c>
      <c r="G775" s="439" t="s">
        <v>14214</v>
      </c>
      <c r="H775" s="346">
        <v>0</v>
      </c>
      <c r="I775" s="346">
        <v>0</v>
      </c>
      <c r="J775" s="395"/>
      <c r="L775" s="346" t="s">
        <v>932</v>
      </c>
    </row>
    <row r="776" hidden="1" spans="1:14">
      <c r="A776" s="421"/>
      <c r="B776" s="422"/>
      <c r="C776" s="422"/>
      <c r="D776" s="422"/>
      <c r="E776" s="422"/>
      <c r="F776" s="422"/>
      <c r="G776" s="422"/>
      <c r="H776" s="422"/>
      <c r="I776" s="430"/>
      <c r="J776" s="430"/>
      <c r="K776" s="425" t="s">
        <v>14215</v>
      </c>
      <c r="L776" s="426">
        <v>0</v>
      </c>
    </row>
    <row r="777" spans="1:14">
      <c r="A777" s="451"/>
      <c r="B777" s="452"/>
      <c r="C777" s="452"/>
      <c r="D777" s="452"/>
      <c r="E777" s="452"/>
      <c r="F777" s="452"/>
      <c r="G777" s="452"/>
      <c r="H777" s="452"/>
      <c r="I777" s="453"/>
      <c r="J777" s="453"/>
      <c r="K777" s="454" t="s">
        <v>14216</v>
      </c>
      <c r="L777" s="455">
        <v>3.72</v>
      </c>
    </row>
    <row r="779" spans="1:14">
      <c r="A779" s="391" t="s">
        <v>14172</v>
      </c>
      <c r="B779" s="392"/>
      <c r="C779" s="392"/>
      <c r="D779" s="392"/>
      <c r="E779" s="392"/>
      <c r="F779" s="392"/>
      <c r="G779" s="393"/>
      <c r="H779" s="393"/>
      <c r="I779" s="393"/>
      <c r="J779" s="393"/>
      <c r="K779" s="393"/>
      <c r="L779" s="471"/>
    </row>
    <row r="780" spans="1:14">
      <c r="A780" s="396">
        <v>3108000</v>
      </c>
      <c r="B780" s="397" t="s">
        <v>110</v>
      </c>
      <c r="C780" s="397"/>
      <c r="D780" s="397"/>
      <c r="E780" s="397"/>
      <c r="F780" s="397"/>
      <c r="G780" s="397"/>
      <c r="H780" s="397" t="s">
        <v>7</v>
      </c>
      <c r="I780" s="398">
        <v>46023</v>
      </c>
      <c r="J780" s="397"/>
      <c r="K780" s="399" t="s">
        <v>14173</v>
      </c>
      <c r="L780" s="400">
        <v>0</v>
      </c>
    </row>
    <row r="781" spans="1:14">
      <c r="A781" s="401"/>
      <c r="H781" s="402" t="s">
        <v>14174</v>
      </c>
      <c r="I781" s="434">
        <v>1</v>
      </c>
      <c r="J781" s="404" t="s">
        <v>7</v>
      </c>
      <c r="K781" s="402" t="s">
        <v>14175</v>
      </c>
      <c r="L781" s="346">
        <v>0</v>
      </c>
    </row>
    <row r="782" spans="1:14">
      <c r="A782" s="405"/>
      <c r="B782" s="405"/>
      <c r="C782" s="405"/>
      <c r="D782" s="406"/>
      <c r="E782" s="406"/>
      <c r="F782" s="406"/>
      <c r="G782" s="407" t="s">
        <v>14176</v>
      </c>
      <c r="H782" s="408"/>
      <c r="I782" s="407" t="s">
        <v>14177</v>
      </c>
      <c r="J782" s="408"/>
      <c r="K782" s="405"/>
      <c r="L782" s="409" t="s">
        <v>14178</v>
      </c>
    </row>
    <row r="783" spans="1:14">
      <c r="A783" s="410" t="s">
        <v>14179</v>
      </c>
      <c r="B783" s="411"/>
      <c r="C783" s="412"/>
      <c r="D783" s="412"/>
      <c r="E783" s="413" t="s">
        <v>74</v>
      </c>
      <c r="F783" s="412"/>
      <c r="G783" s="413" t="s">
        <v>14180</v>
      </c>
      <c r="H783" s="413" t="s">
        <v>14181</v>
      </c>
      <c r="I783" s="413" t="s">
        <v>14182</v>
      </c>
      <c r="J783" s="413" t="s">
        <v>14183</v>
      </c>
      <c r="K783" s="411"/>
      <c r="L783" s="414" t="s">
        <v>14184</v>
      </c>
    </row>
    <row r="784" spans="1:14">
      <c r="A784" s="404" t="s">
        <v>1074</v>
      </c>
      <c r="B784" s="415" t="s">
        <v>1075</v>
      </c>
      <c r="C784" s="415"/>
      <c r="E784" s="434">
        <v>0.06024</v>
      </c>
      <c r="F784" s="334"/>
      <c r="G784" s="346">
        <v>1</v>
      </c>
      <c r="H784" s="417">
        <v>0</v>
      </c>
      <c r="I784" s="395">
        <v>20.935</v>
      </c>
      <c r="J784" s="418">
        <v>5.9789</v>
      </c>
      <c r="K784" s="402"/>
      <c r="L784" s="395">
        <v>1.2611244</v>
      </c>
      <c r="N784" s="395">
        <v>0.360168936</v>
      </c>
    </row>
    <row r="785" spans="1:14">
      <c r="A785" s="404" t="s">
        <v>1076</v>
      </c>
      <c r="B785" s="404" t="s">
        <v>1077</v>
      </c>
      <c r="C785" s="404"/>
      <c r="D785" s="334"/>
      <c r="E785" s="434">
        <v>0.06024</v>
      </c>
      <c r="F785" s="334"/>
      <c r="G785" s="346">
        <v>1</v>
      </c>
      <c r="H785" s="417">
        <v>0</v>
      </c>
      <c r="I785" s="346">
        <v>27.7894</v>
      </c>
      <c r="J785" s="419">
        <v>27.4088</v>
      </c>
      <c r="K785" s="420"/>
      <c r="L785" s="395">
        <v>1.674033456</v>
      </c>
      <c r="N785" s="395">
        <v>1.651106112</v>
      </c>
    </row>
    <row r="786" hidden="1" spans="1:14">
      <c r="A786" s="404">
        <v>0</v>
      </c>
      <c r="B786" s="404" t="e">
        <v>#N/A</v>
      </c>
      <c r="C786" s="404"/>
      <c r="D786" s="334"/>
      <c r="E786" s="416">
        <v>0</v>
      </c>
      <c r="F786" s="334"/>
      <c r="G786" s="346">
        <v>0</v>
      </c>
      <c r="H786" s="417">
        <v>1</v>
      </c>
      <c r="I786" s="346" t="e">
        <v>#N/A</v>
      </c>
      <c r="J786" s="419" t="e">
        <v>#N/A</v>
      </c>
      <c r="K786" s="420"/>
      <c r="L786" s="395" t="s">
        <v>932</v>
      </c>
      <c r="N786" s="395" t="s">
        <v>932</v>
      </c>
    </row>
    <row r="787" hidden="1" spans="1:14">
      <c r="A787" s="404">
        <v>0</v>
      </c>
      <c r="B787" s="404" t="e">
        <v>#N/A</v>
      </c>
      <c r="C787" s="404"/>
      <c r="D787" s="334"/>
      <c r="E787" s="416">
        <v>0</v>
      </c>
      <c r="F787" s="334"/>
      <c r="G787" s="346">
        <v>0</v>
      </c>
      <c r="H787" s="417">
        <v>1</v>
      </c>
      <c r="I787" s="346" t="e">
        <v>#N/A</v>
      </c>
      <c r="J787" s="419" t="e">
        <v>#N/A</v>
      </c>
      <c r="K787" s="420"/>
      <c r="L787" s="395" t="s">
        <v>932</v>
      </c>
      <c r="N787" s="395" t="s">
        <v>932</v>
      </c>
    </row>
    <row r="788" hidden="1" spans="1:14">
      <c r="A788" s="404">
        <v>0</v>
      </c>
      <c r="B788" s="404" t="e">
        <v>#N/A</v>
      </c>
      <c r="C788" s="404"/>
      <c r="D788" s="334"/>
      <c r="E788" s="416">
        <v>0</v>
      </c>
      <c r="F788" s="334"/>
      <c r="G788" s="346">
        <v>0</v>
      </c>
      <c r="H788" s="417">
        <v>1</v>
      </c>
      <c r="I788" s="346" t="e">
        <v>#N/A</v>
      </c>
      <c r="J788" s="419" t="e">
        <v>#N/A</v>
      </c>
      <c r="K788" s="420"/>
      <c r="L788" s="395" t="s">
        <v>932</v>
      </c>
      <c r="N788" s="395" t="s">
        <v>932</v>
      </c>
    </row>
    <row r="789" hidden="1" spans="1:14">
      <c r="A789" s="404">
        <v>0</v>
      </c>
      <c r="B789" s="404" t="e">
        <v>#N/A</v>
      </c>
      <c r="C789" s="404"/>
      <c r="D789" s="334"/>
      <c r="E789" s="416">
        <v>0</v>
      </c>
      <c r="F789" s="334"/>
      <c r="G789" s="346">
        <v>0</v>
      </c>
      <c r="H789" s="417">
        <v>1</v>
      </c>
      <c r="I789" s="346" t="e">
        <v>#N/A</v>
      </c>
      <c r="J789" s="419" t="e">
        <v>#N/A</v>
      </c>
      <c r="K789" s="420"/>
      <c r="L789" s="395" t="s">
        <v>932</v>
      </c>
      <c r="N789" s="395" t="s">
        <v>932</v>
      </c>
    </row>
    <row r="790" hidden="1" spans="1:14">
      <c r="A790" s="404">
        <v>0</v>
      </c>
      <c r="B790" s="404" t="e">
        <v>#N/A</v>
      </c>
      <c r="C790" s="404"/>
      <c r="D790" s="334"/>
      <c r="E790" s="416">
        <v>0</v>
      </c>
      <c r="F790" s="334"/>
      <c r="G790" s="346">
        <v>0</v>
      </c>
      <c r="H790" s="417">
        <v>1</v>
      </c>
      <c r="I790" s="346" t="e">
        <v>#N/A</v>
      </c>
      <c r="J790" s="419" t="e">
        <v>#N/A</v>
      </c>
      <c r="K790" s="420"/>
      <c r="L790" s="395" t="s">
        <v>932</v>
      </c>
      <c r="N790" s="395" t="s">
        <v>932</v>
      </c>
    </row>
    <row r="791" hidden="1" spans="1:14">
      <c r="A791" s="404">
        <v>0</v>
      </c>
      <c r="B791" s="404" t="e">
        <v>#N/A</v>
      </c>
      <c r="C791" s="404"/>
      <c r="D791" s="334"/>
      <c r="E791" s="416">
        <v>0</v>
      </c>
      <c r="F791" s="334"/>
      <c r="G791" s="346">
        <v>0</v>
      </c>
      <c r="H791" s="417">
        <v>1</v>
      </c>
      <c r="I791" s="346" t="e">
        <v>#N/A</v>
      </c>
      <c r="J791" s="419" t="e">
        <v>#N/A</v>
      </c>
      <c r="K791" s="420"/>
      <c r="L791" s="395" t="s">
        <v>932</v>
      </c>
      <c r="N791" s="395" t="s">
        <v>932</v>
      </c>
    </row>
    <row r="792" spans="1:14">
      <c r="A792" s="421"/>
      <c r="B792" s="422"/>
      <c r="C792" s="422"/>
      <c r="D792" s="422"/>
      <c r="E792" s="423"/>
      <c r="F792" s="424"/>
      <c r="G792" s="422"/>
      <c r="H792" s="422"/>
      <c r="I792" s="422"/>
      <c r="J792" s="422"/>
      <c r="K792" s="425" t="s">
        <v>14185</v>
      </c>
      <c r="L792" s="426">
        <v>2.935157856</v>
      </c>
      <c r="N792" s="427">
        <v>2.011275048</v>
      </c>
    </row>
    <row r="793" spans="1:14">
      <c r="A793" s="428" t="s">
        <v>14186</v>
      </c>
      <c r="B793" s="429"/>
      <c r="C793" s="429"/>
      <c r="D793" s="430"/>
      <c r="E793" s="431" t="s">
        <v>74</v>
      </c>
      <c r="F793" s="431" t="s">
        <v>1123</v>
      </c>
      <c r="G793" s="430"/>
      <c r="H793" s="422"/>
      <c r="I793" s="431" t="s">
        <v>14177</v>
      </c>
      <c r="J793" s="430"/>
      <c r="K793" s="430"/>
      <c r="L793" s="432" t="s">
        <v>14187</v>
      </c>
    </row>
    <row r="794" spans="1:14">
      <c r="A794" s="404" t="s">
        <v>937</v>
      </c>
      <c r="B794" s="433" t="s">
        <v>938</v>
      </c>
      <c r="C794" s="433"/>
      <c r="D794" s="334"/>
      <c r="E794" s="434">
        <v>0.65</v>
      </c>
      <c r="F794" s="333" t="s">
        <v>104</v>
      </c>
      <c r="G794" s="334"/>
      <c r="H794" s="334"/>
      <c r="I794" s="435">
        <v>26.2149</v>
      </c>
      <c r="J794" s="334"/>
      <c r="K794" s="334"/>
      <c r="L794" s="346">
        <v>17.039685</v>
      </c>
      <c r="N794" s="395">
        <v>17.039685</v>
      </c>
    </row>
    <row r="795" spans="1:14">
      <c r="A795" s="404" t="s">
        <v>950</v>
      </c>
      <c r="B795" s="404" t="s">
        <v>951</v>
      </c>
      <c r="C795" s="404"/>
      <c r="D795" s="334"/>
      <c r="E795" s="434">
        <v>0.65</v>
      </c>
      <c r="F795" s="333" t="s">
        <v>104</v>
      </c>
      <c r="G795" s="334"/>
      <c r="H795" s="334"/>
      <c r="I795" s="435">
        <v>29.9425</v>
      </c>
      <c r="J795" s="334"/>
      <c r="K795" s="334"/>
      <c r="L795" s="346">
        <v>19.462625</v>
      </c>
      <c r="N795" s="395">
        <v>19.462625</v>
      </c>
    </row>
    <row r="796" hidden="1" spans="1:14">
      <c r="A796" s="404">
        <v>0</v>
      </c>
      <c r="B796" s="404" t="e">
        <v>#N/A</v>
      </c>
      <c r="C796" s="404"/>
      <c r="D796" s="334"/>
      <c r="E796" s="434">
        <v>0</v>
      </c>
      <c r="F796" s="333" t="s">
        <v>104</v>
      </c>
      <c r="G796" s="334"/>
      <c r="H796" s="334"/>
      <c r="I796" s="435" t="e">
        <v>#N/A</v>
      </c>
      <c r="J796" s="334"/>
      <c r="K796" s="334"/>
      <c r="L796" s="346" t="s">
        <v>932</v>
      </c>
      <c r="N796" s="395" t="s">
        <v>932</v>
      </c>
    </row>
    <row r="797" hidden="1" spans="1:14">
      <c r="A797" s="404">
        <v>0</v>
      </c>
      <c r="B797" s="404" t="e">
        <v>#N/A</v>
      </c>
      <c r="C797" s="404"/>
      <c r="D797" s="334"/>
      <c r="E797" s="434">
        <v>0</v>
      </c>
      <c r="F797" s="333" t="s">
        <v>104</v>
      </c>
      <c r="G797" s="334"/>
      <c r="H797" s="334"/>
      <c r="I797" s="435" t="e">
        <v>#N/A</v>
      </c>
      <c r="J797" s="334"/>
      <c r="K797" s="334"/>
      <c r="L797" s="346" t="s">
        <v>932</v>
      </c>
      <c r="N797" s="395" t="s">
        <v>932</v>
      </c>
    </row>
    <row r="798" hidden="1" spans="1:14">
      <c r="A798" s="404">
        <v>0</v>
      </c>
      <c r="B798" s="404" t="e">
        <v>#N/A</v>
      </c>
      <c r="C798" s="404"/>
      <c r="D798" s="334"/>
      <c r="E798" s="434">
        <v>0</v>
      </c>
      <c r="F798" s="333" t="s">
        <v>104</v>
      </c>
      <c r="G798" s="334"/>
      <c r="H798" s="334"/>
      <c r="I798" s="435" t="e">
        <v>#N/A</v>
      </c>
      <c r="J798" s="334"/>
      <c r="K798" s="334"/>
      <c r="L798" s="346" t="s">
        <v>932</v>
      </c>
      <c r="N798" s="395" t="s">
        <v>932</v>
      </c>
    </row>
    <row r="799" hidden="1" spans="1:14">
      <c r="A799" s="404">
        <v>0</v>
      </c>
      <c r="B799" s="404" t="e">
        <v>#N/A</v>
      </c>
      <c r="C799" s="404"/>
      <c r="D799" s="334"/>
      <c r="E799" s="434">
        <v>0</v>
      </c>
      <c r="F799" s="333" t="s">
        <v>104</v>
      </c>
      <c r="G799" s="334"/>
      <c r="H799" s="334"/>
      <c r="I799" s="435" t="e">
        <v>#N/A</v>
      </c>
      <c r="J799" s="334"/>
      <c r="K799" s="334"/>
      <c r="L799" s="346" t="s">
        <v>932</v>
      </c>
      <c r="N799" s="395" t="s">
        <v>932</v>
      </c>
    </row>
    <row r="800" hidden="1" spans="1:14">
      <c r="A800" s="404">
        <v>0</v>
      </c>
      <c r="B800" s="404" t="e">
        <v>#N/A</v>
      </c>
      <c r="C800" s="404"/>
      <c r="D800" s="334"/>
      <c r="E800" s="434">
        <v>0</v>
      </c>
      <c r="F800" s="333" t="s">
        <v>104</v>
      </c>
      <c r="G800" s="334"/>
      <c r="H800" s="334"/>
      <c r="I800" s="435" t="e">
        <v>#N/A</v>
      </c>
      <c r="J800" s="334"/>
      <c r="K800" s="334"/>
      <c r="L800" s="346" t="s">
        <v>932</v>
      </c>
      <c r="N800" s="395" t="s">
        <v>932</v>
      </c>
    </row>
    <row r="801" hidden="1" spans="1:15">
      <c r="A801" s="404">
        <v>0</v>
      </c>
      <c r="B801" s="436" t="e">
        <v>#N/A</v>
      </c>
      <c r="C801" s="436"/>
      <c r="D801" s="334"/>
      <c r="E801" s="434">
        <v>0</v>
      </c>
      <c r="F801" s="333" t="s">
        <v>104</v>
      </c>
      <c r="G801" s="334"/>
      <c r="H801" s="334"/>
      <c r="I801" s="435" t="e">
        <v>#N/A</v>
      </c>
      <c r="J801" s="334"/>
      <c r="K801" s="334"/>
      <c r="L801" s="346" t="s">
        <v>932</v>
      </c>
      <c r="N801" s="395" t="s">
        <v>932</v>
      </c>
    </row>
    <row r="802" spans="1:15">
      <c r="A802" s="421"/>
      <c r="B802" s="62"/>
      <c r="C802" s="62"/>
      <c r="D802" s="422"/>
      <c r="E802" s="423"/>
      <c r="F802" s="424"/>
      <c r="G802" s="422"/>
      <c r="H802" s="422"/>
      <c r="I802" s="422"/>
      <c r="J802" s="422"/>
      <c r="K802" s="425" t="s">
        <v>14188</v>
      </c>
      <c r="L802" s="426">
        <v>36.50231</v>
      </c>
      <c r="N802" s="427">
        <v>36.50231</v>
      </c>
    </row>
    <row r="803" spans="1:15">
      <c r="I803" s="437"/>
      <c r="K803" s="383" t="s">
        <v>14189</v>
      </c>
      <c r="L803" s="427">
        <v>39.437467856</v>
      </c>
      <c r="N803" s="395">
        <v>38.513585048</v>
      </c>
    </row>
    <row r="804" spans="1:15">
      <c r="K804" s="383" t="s">
        <v>14190</v>
      </c>
      <c r="L804" s="427">
        <v>39.437467856</v>
      </c>
      <c r="N804" s="395">
        <v>38.513585048</v>
      </c>
      <c r="O804" s="395">
        <v>0</v>
      </c>
    </row>
    <row r="805" spans="1:15">
      <c r="K805" s="383" t="s">
        <v>14191</v>
      </c>
      <c r="L805" s="427">
        <v>0</v>
      </c>
    </row>
    <row r="806" spans="1:15">
      <c r="K806" s="383" t="s">
        <v>14192</v>
      </c>
      <c r="L806" s="395">
        <v>0</v>
      </c>
    </row>
    <row r="807" spans="1:15">
      <c r="A807" s="428" t="s">
        <v>14193</v>
      </c>
      <c r="B807" s="430"/>
      <c r="C807" s="430"/>
      <c r="D807" s="430"/>
      <c r="E807" s="431" t="s">
        <v>74</v>
      </c>
      <c r="F807" s="431" t="s">
        <v>1123</v>
      </c>
      <c r="G807" s="430"/>
      <c r="H807" s="430"/>
      <c r="I807" s="425" t="s">
        <v>75</v>
      </c>
      <c r="J807" s="430"/>
      <c r="K807" s="430"/>
      <c r="L807" s="426" t="s">
        <v>14194</v>
      </c>
    </row>
    <row r="808" spans="1:15">
      <c r="A808" s="404" t="s">
        <v>14228</v>
      </c>
      <c r="B808" s="433" t="s">
        <v>14229</v>
      </c>
      <c r="C808" s="433"/>
      <c r="D808" s="334"/>
      <c r="E808" s="434">
        <v>0.64166</v>
      </c>
      <c r="F808" s="333" t="s">
        <v>9</v>
      </c>
      <c r="G808" s="334"/>
      <c r="I808" s="395">
        <v>12.99</v>
      </c>
      <c r="J808" s="395"/>
      <c r="K808" s="395"/>
      <c r="L808" s="346">
        <v>8.3351634</v>
      </c>
    </row>
    <row r="809" spans="1:15">
      <c r="A809" s="404" t="s">
        <v>14230</v>
      </c>
      <c r="B809" s="404" t="s">
        <v>14231</v>
      </c>
      <c r="C809" s="404"/>
      <c r="D809" s="334"/>
      <c r="E809" s="434">
        <v>0.5775</v>
      </c>
      <c r="F809" s="333" t="s">
        <v>7</v>
      </c>
      <c r="G809" s="334"/>
      <c r="I809" s="395">
        <v>32.6249</v>
      </c>
      <c r="J809" s="395"/>
      <c r="K809" s="395"/>
      <c r="L809" s="346">
        <v>18.84087975</v>
      </c>
    </row>
    <row r="810" spans="1:15">
      <c r="A810" s="404" t="s">
        <v>14232</v>
      </c>
      <c r="B810" s="404" t="s">
        <v>14233</v>
      </c>
      <c r="C810" s="404"/>
      <c r="D810" s="334"/>
      <c r="E810" s="434">
        <v>0.01754</v>
      </c>
      <c r="F810" s="333" t="s">
        <v>14234</v>
      </c>
      <c r="G810" s="334"/>
      <c r="I810" s="395">
        <v>12.7534</v>
      </c>
      <c r="J810" s="395"/>
      <c r="K810" s="395"/>
      <c r="L810" s="346">
        <v>0.223694636</v>
      </c>
    </row>
    <row r="811" spans="1:15">
      <c r="A811" s="404" t="s">
        <v>14235</v>
      </c>
      <c r="B811" s="404" t="s">
        <v>14236</v>
      </c>
      <c r="C811" s="404"/>
      <c r="D811" s="334"/>
      <c r="E811" s="434">
        <v>0.28436</v>
      </c>
      <c r="F811" s="333" t="s">
        <v>9</v>
      </c>
      <c r="G811" s="334"/>
      <c r="I811" s="395">
        <v>4.33</v>
      </c>
      <c r="J811" s="395"/>
      <c r="K811" s="395"/>
      <c r="L811" s="346">
        <v>1.2312788</v>
      </c>
    </row>
    <row r="812" spans="1:15">
      <c r="A812" s="404" t="s">
        <v>14237</v>
      </c>
      <c r="B812" s="404" t="s">
        <v>14238</v>
      </c>
      <c r="C812" s="404"/>
      <c r="D812" s="334"/>
      <c r="E812" s="434">
        <v>0.20396</v>
      </c>
      <c r="F812" s="333" t="s">
        <v>101</v>
      </c>
      <c r="G812" s="334"/>
      <c r="H812" s="334"/>
      <c r="I812" s="395">
        <v>14.43</v>
      </c>
      <c r="J812" s="395"/>
      <c r="K812" s="395"/>
      <c r="L812" s="346">
        <v>2.9431428</v>
      </c>
    </row>
    <row r="813" spans="1:15">
      <c r="A813" s="404" t="s">
        <v>14239</v>
      </c>
      <c r="B813" s="404" t="s">
        <v>14240</v>
      </c>
      <c r="C813" s="404"/>
      <c r="D813" s="334"/>
      <c r="E813" s="434">
        <v>2.98539</v>
      </c>
      <c r="F813" s="333" t="s">
        <v>9</v>
      </c>
      <c r="G813" s="334"/>
      <c r="H813" s="334"/>
      <c r="I813" s="395">
        <v>3.5723</v>
      </c>
      <c r="J813" s="395"/>
      <c r="K813" s="395"/>
      <c r="L813" s="346">
        <v>10.664708697</v>
      </c>
    </row>
    <row r="814" spans="1:15">
      <c r="A814" s="404" t="s">
        <v>14241</v>
      </c>
      <c r="B814" s="404" t="s">
        <v>14242</v>
      </c>
      <c r="C814" s="404"/>
      <c r="D814" s="334"/>
      <c r="E814" s="434">
        <v>0.51334</v>
      </c>
      <c r="F814" s="333" t="s">
        <v>9</v>
      </c>
      <c r="G814" s="334"/>
      <c r="H814" s="334"/>
      <c r="I814" s="395">
        <v>10.1655</v>
      </c>
      <c r="J814" s="395"/>
      <c r="K814" s="395"/>
      <c r="L814" s="346">
        <v>5.21835777</v>
      </c>
    </row>
    <row r="815" hidden="1" spans="1:15">
      <c r="A815" s="404">
        <v>0</v>
      </c>
      <c r="B815" s="404" t="e">
        <v>#N/A</v>
      </c>
      <c r="C815" s="404"/>
      <c r="D815" s="438"/>
      <c r="E815" s="434">
        <v>0</v>
      </c>
      <c r="F815" s="333" t="e">
        <v>#N/A</v>
      </c>
      <c r="G815" s="334"/>
      <c r="H815" s="334"/>
      <c r="I815" s="395" t="e">
        <v>#N/A</v>
      </c>
      <c r="J815" s="395"/>
      <c r="K815" s="395"/>
      <c r="L815" s="346" t="s">
        <v>932</v>
      </c>
    </row>
    <row r="816" spans="1:15">
      <c r="A816" s="421"/>
      <c r="B816" s="422"/>
      <c r="C816" s="422"/>
      <c r="D816" s="422"/>
      <c r="E816" s="423"/>
      <c r="F816" s="424"/>
      <c r="G816" s="422"/>
      <c r="H816" s="422"/>
      <c r="I816" s="430"/>
      <c r="J816" s="430"/>
      <c r="K816" s="425" t="s">
        <v>14203</v>
      </c>
      <c r="L816" s="426">
        <v>47.457225853</v>
      </c>
    </row>
    <row r="817" hidden="1" spans="1:12">
      <c r="A817" s="428" t="s">
        <v>14204</v>
      </c>
      <c r="B817" s="430"/>
      <c r="C817" s="430"/>
      <c r="D817" s="430"/>
      <c r="E817" s="431" t="s">
        <v>74</v>
      </c>
      <c r="F817" s="431" t="s">
        <v>1123</v>
      </c>
      <c r="G817" s="430"/>
      <c r="H817" s="430"/>
      <c r="I817" s="425" t="s">
        <v>75</v>
      </c>
      <c r="J817" s="430"/>
      <c r="K817" s="430"/>
      <c r="L817" s="426" t="s">
        <v>14194</v>
      </c>
    </row>
    <row r="818" hidden="1" spans="1:12">
      <c r="A818" s="404">
        <v>0</v>
      </c>
      <c r="B818" s="334" t="e">
        <v>#N/A</v>
      </c>
      <c r="C818" s="334"/>
      <c r="D818" s="334"/>
      <c r="E818" s="434">
        <v>0</v>
      </c>
      <c r="F818" s="333" t="e">
        <v>#N/A</v>
      </c>
      <c r="G818" s="439"/>
      <c r="I818" s="346" t="e">
        <v>#N/A</v>
      </c>
      <c r="L818" s="346" t="s">
        <v>932</v>
      </c>
    </row>
    <row r="819" hidden="1" spans="1:12">
      <c r="A819" s="401">
        <v>0</v>
      </c>
      <c r="B819" s="334" t="e">
        <v>#N/A</v>
      </c>
      <c r="E819" s="440">
        <v>0</v>
      </c>
      <c r="F819" s="333" t="e">
        <v>#N/A</v>
      </c>
      <c r="G819" s="439"/>
      <c r="I819" s="346" t="e">
        <v>#N/A</v>
      </c>
      <c r="L819" s="346" t="s">
        <v>932</v>
      </c>
    </row>
    <row r="820" hidden="1" spans="1:12">
      <c r="A820" s="401">
        <v>0</v>
      </c>
      <c r="B820" s="334" t="e">
        <v>#N/A</v>
      </c>
      <c r="E820" s="440">
        <v>0</v>
      </c>
      <c r="F820" s="333" t="e">
        <v>#N/A</v>
      </c>
      <c r="G820" s="439"/>
      <c r="I820" s="346" t="e">
        <v>#N/A</v>
      </c>
      <c r="L820" s="346" t="s">
        <v>932</v>
      </c>
    </row>
    <row r="821" hidden="1" spans="1:12">
      <c r="A821" s="401">
        <v>0</v>
      </c>
      <c r="B821" s="334" t="e">
        <v>#N/A</v>
      </c>
      <c r="E821" s="440">
        <v>0</v>
      </c>
      <c r="F821" s="333" t="e">
        <v>#N/A</v>
      </c>
      <c r="G821" s="439"/>
      <c r="I821" s="346" t="e">
        <v>#N/A</v>
      </c>
      <c r="L821" s="346" t="s">
        <v>932</v>
      </c>
    </row>
    <row r="822" hidden="1" spans="1:12">
      <c r="A822" s="401">
        <v>0</v>
      </c>
      <c r="B822" s="334" t="e">
        <v>#N/A</v>
      </c>
      <c r="E822" s="440">
        <v>0</v>
      </c>
      <c r="F822" s="333" t="e">
        <v>#N/A</v>
      </c>
      <c r="G822" s="439"/>
      <c r="I822" s="346" t="e">
        <v>#N/A</v>
      </c>
      <c r="L822" s="346" t="s">
        <v>932</v>
      </c>
    </row>
    <row r="823" hidden="1" spans="1:12">
      <c r="A823" s="401">
        <v>0</v>
      </c>
      <c r="B823" s="334" t="e">
        <v>#N/A</v>
      </c>
      <c r="E823" s="440">
        <v>0</v>
      </c>
      <c r="F823" s="333" t="e">
        <v>#N/A</v>
      </c>
      <c r="G823" s="439"/>
      <c r="I823" s="346" t="e">
        <v>#N/A</v>
      </c>
      <c r="L823" s="346" t="s">
        <v>932</v>
      </c>
    </row>
    <row r="824" hidden="1" spans="1:12">
      <c r="A824" s="421"/>
      <c r="B824" s="422"/>
      <c r="C824" s="422"/>
      <c r="D824" s="422"/>
      <c r="E824" s="422"/>
      <c r="F824" s="422"/>
      <c r="G824" s="422"/>
      <c r="H824" s="422"/>
      <c r="I824" s="430"/>
      <c r="J824" s="430"/>
      <c r="K824" s="425" t="s">
        <v>14206</v>
      </c>
      <c r="L824" s="426">
        <v>0</v>
      </c>
    </row>
    <row r="825" spans="1:12">
      <c r="A825" s="421"/>
      <c r="B825" s="422"/>
      <c r="C825" s="422"/>
      <c r="D825" s="422"/>
      <c r="E825" s="422"/>
      <c r="F825" s="422"/>
      <c r="G825" s="422"/>
      <c r="H825" s="422"/>
      <c r="I825" s="430"/>
      <c r="J825" s="430"/>
      <c r="K825" s="425" t="s">
        <v>14207</v>
      </c>
      <c r="L825" s="426">
        <v>86.894693709</v>
      </c>
    </row>
    <row r="826" spans="1:12">
      <c r="A826" s="428" t="s">
        <v>14208</v>
      </c>
      <c r="B826" s="430"/>
      <c r="C826" s="430"/>
      <c r="D826" s="431" t="s">
        <v>55</v>
      </c>
      <c r="E826" s="431" t="s">
        <v>74</v>
      </c>
      <c r="F826" s="431" t="s">
        <v>1123</v>
      </c>
      <c r="G826" s="430"/>
      <c r="H826" s="430"/>
      <c r="I826" s="425" t="s">
        <v>75</v>
      </c>
      <c r="J826" s="430"/>
      <c r="K826" s="430"/>
      <c r="L826" s="426" t="s">
        <v>14194</v>
      </c>
    </row>
    <row r="827" spans="1:12">
      <c r="A827" s="404" t="s">
        <v>14228</v>
      </c>
      <c r="B827" s="441" t="s">
        <v>14229</v>
      </c>
      <c r="C827" s="441"/>
      <c r="D827" s="442">
        <v>5914655</v>
      </c>
      <c r="E827" s="434">
        <v>0.00361</v>
      </c>
      <c r="F827" s="333" t="s">
        <v>9885</v>
      </c>
      <c r="G827" s="443" t="s">
        <v>14209</v>
      </c>
      <c r="H827" s="334"/>
      <c r="I827" s="346">
        <v>35.43</v>
      </c>
      <c r="J827" s="334"/>
      <c r="K827" s="346"/>
      <c r="L827" s="346">
        <v>0.1279023</v>
      </c>
    </row>
    <row r="828" spans="1:12">
      <c r="A828" s="404" t="s">
        <v>14230</v>
      </c>
      <c r="B828" s="334" t="s">
        <v>14231</v>
      </c>
      <c r="C828" s="334"/>
      <c r="D828" s="442">
        <v>5914655</v>
      </c>
      <c r="E828" s="434">
        <v>0.00693</v>
      </c>
      <c r="F828" s="333" t="s">
        <v>9885</v>
      </c>
      <c r="G828" s="334"/>
      <c r="H828" s="334"/>
      <c r="I828" s="346">
        <v>35.43</v>
      </c>
      <c r="J828" s="334"/>
      <c r="K828" s="346"/>
      <c r="L828" s="346">
        <v>0.2455299</v>
      </c>
    </row>
    <row r="829" spans="1:12">
      <c r="A829" s="404" t="s">
        <v>14232</v>
      </c>
      <c r="B829" s="334" t="s">
        <v>14233</v>
      </c>
      <c r="C829" s="334"/>
      <c r="D829" s="442">
        <v>5914655</v>
      </c>
      <c r="E829" s="434">
        <v>2e-5</v>
      </c>
      <c r="F829" s="333" t="s">
        <v>9885</v>
      </c>
      <c r="G829" s="334"/>
      <c r="H829" s="334"/>
      <c r="I829" s="346">
        <v>35.43</v>
      </c>
      <c r="J829" s="334"/>
      <c r="K829" s="346"/>
      <c r="L829" s="346">
        <v>0.0007086</v>
      </c>
    </row>
    <row r="830" spans="1:12">
      <c r="A830" s="404" t="s">
        <v>14235</v>
      </c>
      <c r="B830" s="334" t="s">
        <v>14236</v>
      </c>
      <c r="C830" s="334"/>
      <c r="D830" s="442">
        <v>5914655</v>
      </c>
      <c r="E830" s="434">
        <v>0.00053</v>
      </c>
      <c r="F830" s="333" t="s">
        <v>9885</v>
      </c>
      <c r="G830" s="334"/>
      <c r="H830" s="334"/>
      <c r="I830" s="346">
        <v>35.43</v>
      </c>
      <c r="J830" s="334"/>
      <c r="K830" s="346"/>
      <c r="L830" s="346">
        <v>0.0187779</v>
      </c>
    </row>
    <row r="831" spans="1:12">
      <c r="A831" s="404" t="s">
        <v>14237</v>
      </c>
      <c r="B831" s="334" t="s">
        <v>14238</v>
      </c>
      <c r="C831" s="334"/>
      <c r="D831" s="442">
        <v>5914655</v>
      </c>
      <c r="E831" s="434">
        <v>0.0002</v>
      </c>
      <c r="F831" s="333" t="s">
        <v>9885</v>
      </c>
      <c r="G831" s="334"/>
      <c r="H831" s="334"/>
      <c r="I831" s="346">
        <v>35.43</v>
      </c>
      <c r="J831" s="334"/>
      <c r="K831" s="346"/>
      <c r="L831" s="346">
        <v>0.007086</v>
      </c>
    </row>
    <row r="832" spans="1:12">
      <c r="A832" s="404" t="s">
        <v>14239</v>
      </c>
      <c r="B832" s="334" t="s">
        <v>14240</v>
      </c>
      <c r="C832" s="334"/>
      <c r="D832" s="442">
        <v>5914655</v>
      </c>
      <c r="E832" s="434">
        <v>0.00746</v>
      </c>
      <c r="F832" s="333" t="s">
        <v>9885</v>
      </c>
      <c r="G832" s="334"/>
      <c r="H832" s="334"/>
      <c r="I832" s="346">
        <v>35.43</v>
      </c>
      <c r="J832" s="334"/>
      <c r="K832" s="346"/>
      <c r="L832" s="346">
        <v>0.2643078</v>
      </c>
    </row>
    <row r="833" spans="1:12">
      <c r="A833" s="404" t="s">
        <v>14241</v>
      </c>
      <c r="B833" s="334" t="s">
        <v>14242</v>
      </c>
      <c r="C833" s="334"/>
      <c r="D833" s="442">
        <v>5914655</v>
      </c>
      <c r="E833" s="434">
        <v>0.00385</v>
      </c>
      <c r="F833" s="333" t="s">
        <v>9885</v>
      </c>
      <c r="G833" s="334"/>
      <c r="H833" s="334"/>
      <c r="I833" s="346">
        <v>35.43</v>
      </c>
      <c r="J833" s="334"/>
      <c r="K833" s="346"/>
      <c r="L833" s="346">
        <v>0.1364055</v>
      </c>
    </row>
    <row r="834" hidden="1" spans="1:12">
      <c r="A834" s="404">
        <v>0</v>
      </c>
      <c r="B834" s="444" t="e">
        <v>#N/A</v>
      </c>
      <c r="C834" s="444"/>
      <c r="D834" s="442">
        <v>0</v>
      </c>
      <c r="E834" s="434">
        <v>0</v>
      </c>
      <c r="F834" s="333" t="s">
        <v>9885</v>
      </c>
      <c r="G834" s="334"/>
      <c r="H834" s="334"/>
      <c r="I834" s="346">
        <v>0</v>
      </c>
      <c r="J834" s="334"/>
      <c r="K834" s="346"/>
      <c r="L834" s="346" t="s">
        <v>932</v>
      </c>
    </row>
    <row r="835" spans="1:12">
      <c r="A835" s="428"/>
      <c r="B835" s="445"/>
      <c r="C835" s="445"/>
      <c r="D835" s="430"/>
      <c r="E835" s="430"/>
      <c r="F835" s="430"/>
      <c r="G835" s="430"/>
      <c r="H835" s="430"/>
      <c r="I835" s="430"/>
      <c r="J835" s="430"/>
      <c r="K835" s="425" t="s">
        <v>14210</v>
      </c>
      <c r="L835" s="426">
        <v>0.800718</v>
      </c>
    </row>
    <row r="836" hidden="1" spans="1:12">
      <c r="A836" s="446" t="s">
        <v>14211</v>
      </c>
      <c r="B836" s="445"/>
      <c r="C836" s="445"/>
      <c r="D836" s="447" t="s">
        <v>55</v>
      </c>
      <c r="E836" s="445" t="s">
        <v>74</v>
      </c>
      <c r="F836" s="447" t="s">
        <v>1123</v>
      </c>
      <c r="G836" s="445"/>
      <c r="H836" s="447" t="s">
        <v>72</v>
      </c>
      <c r="I836" s="447" t="s">
        <v>75</v>
      </c>
      <c r="J836" s="445"/>
      <c r="K836" s="448"/>
      <c r="L836" s="449" t="s">
        <v>14194</v>
      </c>
    </row>
    <row r="837" hidden="1" spans="1:12">
      <c r="A837" s="404" t="s">
        <v>14228</v>
      </c>
      <c r="B837" s="433" t="s">
        <v>14229</v>
      </c>
      <c r="C837" s="433"/>
      <c r="D837" s="442">
        <v>5914449</v>
      </c>
      <c r="E837" s="450">
        <v>0.00361</v>
      </c>
      <c r="F837" s="333" t="s">
        <v>13063</v>
      </c>
      <c r="G837" s="333" t="s">
        <v>14212</v>
      </c>
      <c r="H837" s="346">
        <v>0</v>
      </c>
      <c r="I837" s="346">
        <v>1.11</v>
      </c>
      <c r="J837" s="346"/>
      <c r="K837" s="334"/>
      <c r="L837" s="346">
        <v>0</v>
      </c>
    </row>
    <row r="838" hidden="1" spans="1:12">
      <c r="A838" s="404"/>
      <c r="B838" s="404"/>
      <c r="C838" s="334"/>
      <c r="D838" s="442">
        <v>5914464</v>
      </c>
      <c r="E838" s="450">
        <v>0.00361</v>
      </c>
      <c r="F838" s="333" t="s">
        <v>13063</v>
      </c>
      <c r="G838" s="333" t="s">
        <v>14213</v>
      </c>
      <c r="H838" s="346">
        <v>0</v>
      </c>
      <c r="I838" s="346">
        <v>0.89</v>
      </c>
      <c r="J838" s="346"/>
      <c r="K838" s="334"/>
      <c r="L838" s="346">
        <v>0</v>
      </c>
    </row>
    <row r="839" hidden="1" spans="1:12">
      <c r="A839" s="404"/>
      <c r="B839" s="404"/>
      <c r="C839" s="334"/>
      <c r="D839" s="442">
        <v>5914479</v>
      </c>
      <c r="E839" s="450">
        <v>0.00361</v>
      </c>
      <c r="F839" s="333" t="s">
        <v>13063</v>
      </c>
      <c r="G839" s="333" t="s">
        <v>14214</v>
      </c>
      <c r="H839" s="346">
        <v>0</v>
      </c>
      <c r="I839" s="346">
        <v>0.73</v>
      </c>
      <c r="J839" s="346"/>
      <c r="K839" s="334"/>
      <c r="L839" s="346">
        <v>0</v>
      </c>
    </row>
    <row r="840" hidden="1" spans="1:12">
      <c r="A840" s="404" t="s">
        <v>14230</v>
      </c>
      <c r="B840" s="404" t="s">
        <v>14231</v>
      </c>
      <c r="C840" s="404"/>
      <c r="D840" s="442">
        <v>5914449</v>
      </c>
      <c r="E840" s="450">
        <v>0.00693</v>
      </c>
      <c r="F840" s="333" t="s">
        <v>13063</v>
      </c>
      <c r="G840" s="333" t="s">
        <v>14212</v>
      </c>
      <c r="H840" s="346">
        <v>0</v>
      </c>
      <c r="I840" s="346">
        <v>1.11</v>
      </c>
      <c r="J840" s="346"/>
      <c r="K840" s="334"/>
      <c r="L840" s="346">
        <v>0</v>
      </c>
    </row>
    <row r="841" hidden="1" spans="1:12">
      <c r="A841" s="404"/>
      <c r="B841" s="404"/>
      <c r="C841" s="334"/>
      <c r="D841" s="442">
        <v>5914464</v>
      </c>
      <c r="E841" s="450">
        <v>0.00693</v>
      </c>
      <c r="F841" s="333" t="s">
        <v>13063</v>
      </c>
      <c r="G841" s="333" t="s">
        <v>14213</v>
      </c>
      <c r="H841" s="346">
        <v>0</v>
      </c>
      <c r="I841" s="346">
        <v>0.89</v>
      </c>
      <c r="J841" s="346"/>
      <c r="K841" s="334"/>
      <c r="L841" s="346">
        <v>0</v>
      </c>
    </row>
    <row r="842" hidden="1" spans="1:12">
      <c r="A842" s="404"/>
      <c r="B842" s="404"/>
      <c r="C842" s="334"/>
      <c r="D842" s="442">
        <v>5914479</v>
      </c>
      <c r="E842" s="450">
        <v>0.00693</v>
      </c>
      <c r="F842" s="333" t="s">
        <v>13063</v>
      </c>
      <c r="G842" s="333" t="s">
        <v>14214</v>
      </c>
      <c r="H842" s="346">
        <v>0</v>
      </c>
      <c r="I842" s="346">
        <v>0.73</v>
      </c>
      <c r="J842" s="346"/>
      <c r="K842" s="334"/>
      <c r="L842" s="346">
        <v>0</v>
      </c>
    </row>
    <row r="843" hidden="1" spans="1:12">
      <c r="A843" s="404" t="s">
        <v>14232</v>
      </c>
      <c r="B843" s="404" t="s">
        <v>14233</v>
      </c>
      <c r="C843" s="404"/>
      <c r="D843" s="442">
        <v>5914449</v>
      </c>
      <c r="E843" s="450">
        <v>2e-5</v>
      </c>
      <c r="F843" s="333" t="s">
        <v>13063</v>
      </c>
      <c r="G843" s="333" t="s">
        <v>14212</v>
      </c>
      <c r="H843" s="346">
        <v>0</v>
      </c>
      <c r="I843" s="346">
        <v>1.11</v>
      </c>
      <c r="J843" s="346"/>
      <c r="K843" s="334"/>
      <c r="L843" s="346">
        <v>0</v>
      </c>
    </row>
    <row r="844" hidden="1" spans="1:12">
      <c r="A844" s="404"/>
      <c r="B844" s="404"/>
      <c r="C844" s="334"/>
      <c r="D844" s="442">
        <v>5914464</v>
      </c>
      <c r="E844" s="450">
        <v>2e-5</v>
      </c>
      <c r="F844" s="333" t="s">
        <v>13063</v>
      </c>
      <c r="G844" s="333" t="s">
        <v>14213</v>
      </c>
      <c r="H844" s="346">
        <v>0</v>
      </c>
      <c r="I844" s="346">
        <v>0.89</v>
      </c>
      <c r="J844" s="346"/>
      <c r="K844" s="334"/>
      <c r="L844" s="346">
        <v>0</v>
      </c>
    </row>
    <row r="845" hidden="1" spans="1:12">
      <c r="A845" s="404"/>
      <c r="B845" s="404"/>
      <c r="C845" s="334"/>
      <c r="D845" s="442">
        <v>5914479</v>
      </c>
      <c r="E845" s="450">
        <v>2e-5</v>
      </c>
      <c r="F845" s="333" t="s">
        <v>13063</v>
      </c>
      <c r="G845" s="333" t="s">
        <v>14214</v>
      </c>
      <c r="H845" s="346">
        <v>0</v>
      </c>
      <c r="I845" s="346">
        <v>0.73</v>
      </c>
      <c r="J845" s="346"/>
      <c r="K845" s="334"/>
      <c r="L845" s="346">
        <v>0</v>
      </c>
    </row>
    <row r="846" hidden="1" spans="1:12">
      <c r="A846" s="404" t="s">
        <v>14235</v>
      </c>
      <c r="B846" s="404" t="s">
        <v>14236</v>
      </c>
      <c r="C846" s="404"/>
      <c r="D846" s="442">
        <v>5914449</v>
      </c>
      <c r="E846" s="450">
        <v>0.00053</v>
      </c>
      <c r="F846" s="333" t="s">
        <v>13063</v>
      </c>
      <c r="G846" s="333" t="s">
        <v>14212</v>
      </c>
      <c r="H846" s="346">
        <v>0</v>
      </c>
      <c r="I846" s="346">
        <v>1.11</v>
      </c>
      <c r="J846" s="346"/>
      <c r="K846" s="334"/>
      <c r="L846" s="346">
        <v>0</v>
      </c>
    </row>
    <row r="847" hidden="1" spans="1:12">
      <c r="A847" s="404"/>
      <c r="B847" s="404"/>
      <c r="C847" s="334"/>
      <c r="D847" s="442">
        <v>5914464</v>
      </c>
      <c r="E847" s="450">
        <v>0.00053</v>
      </c>
      <c r="F847" s="333" t="s">
        <v>13063</v>
      </c>
      <c r="G847" s="333" t="s">
        <v>14213</v>
      </c>
      <c r="H847" s="346">
        <v>0</v>
      </c>
      <c r="I847" s="346">
        <v>0.89</v>
      </c>
      <c r="J847" s="346"/>
      <c r="K847" s="334"/>
      <c r="L847" s="346">
        <v>0</v>
      </c>
    </row>
    <row r="848" hidden="1" spans="1:12">
      <c r="A848" s="404"/>
      <c r="B848" s="404"/>
      <c r="C848" s="334"/>
      <c r="D848" s="442">
        <v>5914479</v>
      </c>
      <c r="E848" s="450">
        <v>0.00053</v>
      </c>
      <c r="F848" s="333" t="s">
        <v>13063</v>
      </c>
      <c r="G848" s="333" t="s">
        <v>14214</v>
      </c>
      <c r="H848" s="346">
        <v>0</v>
      </c>
      <c r="I848" s="346">
        <v>0.73</v>
      </c>
      <c r="J848" s="346"/>
      <c r="K848" s="334"/>
      <c r="L848" s="346">
        <v>0</v>
      </c>
    </row>
    <row r="849" hidden="1" spans="1:12">
      <c r="A849" s="404" t="s">
        <v>14237</v>
      </c>
      <c r="B849" s="404" t="s">
        <v>14238</v>
      </c>
      <c r="C849" s="404"/>
      <c r="D849" s="442">
        <v>5914449</v>
      </c>
      <c r="E849" s="450">
        <v>0.0002</v>
      </c>
      <c r="F849" s="333" t="s">
        <v>13063</v>
      </c>
      <c r="G849" s="333" t="s">
        <v>14212</v>
      </c>
      <c r="H849" s="346">
        <v>0</v>
      </c>
      <c r="I849" s="346">
        <v>1.11</v>
      </c>
      <c r="J849" s="346"/>
      <c r="K849" s="334"/>
      <c r="L849" s="346">
        <v>0</v>
      </c>
    </row>
    <row r="850" hidden="1" spans="1:12">
      <c r="A850" s="404"/>
      <c r="B850" s="404"/>
      <c r="C850" s="334"/>
      <c r="D850" s="442">
        <v>5914464</v>
      </c>
      <c r="E850" s="450">
        <v>0.0002</v>
      </c>
      <c r="F850" s="333" t="s">
        <v>13063</v>
      </c>
      <c r="G850" s="333" t="s">
        <v>14213</v>
      </c>
      <c r="H850" s="346">
        <v>0</v>
      </c>
      <c r="I850" s="346">
        <v>0.89</v>
      </c>
      <c r="J850" s="346"/>
      <c r="K850" s="334"/>
      <c r="L850" s="346">
        <v>0</v>
      </c>
    </row>
    <row r="851" hidden="1" spans="1:12">
      <c r="A851" s="404"/>
      <c r="B851" s="404"/>
      <c r="C851" s="334"/>
      <c r="D851" s="442">
        <v>5914479</v>
      </c>
      <c r="E851" s="450">
        <v>0.0002</v>
      </c>
      <c r="F851" s="333" t="s">
        <v>13063</v>
      </c>
      <c r="G851" s="333" t="s">
        <v>14214</v>
      </c>
      <c r="H851" s="346">
        <v>0</v>
      </c>
      <c r="I851" s="346">
        <v>0.73</v>
      </c>
      <c r="J851" s="346"/>
      <c r="K851" s="334"/>
      <c r="L851" s="346">
        <v>0</v>
      </c>
    </row>
    <row r="852" hidden="1" spans="1:12">
      <c r="A852" s="401" t="s">
        <v>14239</v>
      </c>
      <c r="B852" s="401" t="s">
        <v>14240</v>
      </c>
      <c r="C852" s="401"/>
      <c r="D852" s="442">
        <v>5914449</v>
      </c>
      <c r="E852" s="450">
        <v>0.00746</v>
      </c>
      <c r="F852" s="439" t="s">
        <v>13063</v>
      </c>
      <c r="G852" s="439" t="s">
        <v>14212</v>
      </c>
      <c r="H852" s="346">
        <v>0</v>
      </c>
      <c r="I852" s="346">
        <v>1.11</v>
      </c>
      <c r="J852" s="395"/>
      <c r="L852" s="346">
        <v>0</v>
      </c>
    </row>
    <row r="853" hidden="1" spans="1:12">
      <c r="A853" s="401"/>
      <c r="B853" s="401"/>
      <c r="D853" s="442">
        <v>5914464</v>
      </c>
      <c r="E853" s="450">
        <v>0.00746</v>
      </c>
      <c r="F853" s="439" t="s">
        <v>13063</v>
      </c>
      <c r="G853" s="439" t="s">
        <v>14213</v>
      </c>
      <c r="H853" s="346">
        <v>0</v>
      </c>
      <c r="I853" s="346">
        <v>0.89</v>
      </c>
      <c r="J853" s="395"/>
      <c r="L853" s="346">
        <v>0</v>
      </c>
    </row>
    <row r="854" hidden="1" spans="1:12">
      <c r="A854" s="401"/>
      <c r="B854" s="401"/>
      <c r="D854" s="442">
        <v>5914479</v>
      </c>
      <c r="E854" s="450">
        <v>0.00746</v>
      </c>
      <c r="F854" s="439" t="s">
        <v>13063</v>
      </c>
      <c r="G854" s="439" t="s">
        <v>14214</v>
      </c>
      <c r="H854" s="346">
        <v>0</v>
      </c>
      <c r="I854" s="346">
        <v>0.73</v>
      </c>
      <c r="J854" s="395"/>
      <c r="L854" s="346">
        <v>0</v>
      </c>
    </row>
    <row r="855" hidden="1" spans="1:12">
      <c r="A855" s="401" t="s">
        <v>14241</v>
      </c>
      <c r="B855" s="401" t="s">
        <v>14242</v>
      </c>
      <c r="C855" s="401"/>
      <c r="D855" s="442">
        <v>5914449</v>
      </c>
      <c r="E855" s="450">
        <v>0.00385</v>
      </c>
      <c r="F855" s="439" t="s">
        <v>13063</v>
      </c>
      <c r="G855" s="439" t="s">
        <v>14212</v>
      </c>
      <c r="H855" s="346">
        <v>0</v>
      </c>
      <c r="I855" s="346">
        <v>1.11</v>
      </c>
      <c r="J855" s="395"/>
      <c r="L855" s="346">
        <v>0</v>
      </c>
    </row>
    <row r="856" hidden="1" spans="1:12">
      <c r="A856" s="401"/>
      <c r="B856" s="401"/>
      <c r="D856" s="442">
        <v>5914464</v>
      </c>
      <c r="E856" s="450">
        <v>0.00385</v>
      </c>
      <c r="F856" s="439" t="s">
        <v>13063</v>
      </c>
      <c r="G856" s="439" t="s">
        <v>14213</v>
      </c>
      <c r="H856" s="346">
        <v>0</v>
      </c>
      <c r="I856" s="346">
        <v>0.89</v>
      </c>
      <c r="J856" s="395"/>
      <c r="L856" s="346">
        <v>0</v>
      </c>
    </row>
    <row r="857" hidden="1" spans="1:12">
      <c r="A857" s="401"/>
      <c r="B857" s="401"/>
      <c r="D857" s="442">
        <v>5914479</v>
      </c>
      <c r="E857" s="450">
        <v>0.00385</v>
      </c>
      <c r="F857" s="439" t="s">
        <v>13063</v>
      </c>
      <c r="G857" s="439" t="s">
        <v>14214</v>
      </c>
      <c r="H857" s="346">
        <v>0</v>
      </c>
      <c r="I857" s="346">
        <v>0.73</v>
      </c>
      <c r="J857" s="395"/>
      <c r="L857" s="346">
        <v>0</v>
      </c>
    </row>
    <row r="858" hidden="1" spans="1:12">
      <c r="A858" s="401">
        <v>0</v>
      </c>
      <c r="B858" s="401" t="e">
        <v>#N/A</v>
      </c>
      <c r="C858" s="401"/>
      <c r="D858" s="442">
        <v>0</v>
      </c>
      <c r="E858" s="450">
        <v>0</v>
      </c>
      <c r="F858" s="439" t="s">
        <v>13063</v>
      </c>
      <c r="G858" s="439" t="s">
        <v>14212</v>
      </c>
      <c r="H858" s="346">
        <v>0</v>
      </c>
      <c r="I858" s="346">
        <v>0</v>
      </c>
      <c r="J858" s="395"/>
      <c r="L858" s="346" t="s">
        <v>932</v>
      </c>
    </row>
    <row r="859" hidden="1" spans="1:12">
      <c r="A859" s="401"/>
      <c r="B859" s="401"/>
      <c r="D859" s="442">
        <v>0</v>
      </c>
      <c r="E859" s="450">
        <v>0</v>
      </c>
      <c r="F859" s="439" t="s">
        <v>13063</v>
      </c>
      <c r="G859" s="439" t="s">
        <v>14213</v>
      </c>
      <c r="H859" s="346">
        <v>0</v>
      </c>
      <c r="I859" s="346">
        <v>0</v>
      </c>
      <c r="J859" s="395"/>
      <c r="L859" s="346" t="s">
        <v>932</v>
      </c>
    </row>
    <row r="860" hidden="1" spans="1:12">
      <c r="A860" s="401"/>
      <c r="B860" s="401"/>
      <c r="D860" s="442">
        <v>0</v>
      </c>
      <c r="E860" s="450">
        <v>0</v>
      </c>
      <c r="F860" s="439" t="s">
        <v>13063</v>
      </c>
      <c r="G860" s="439" t="s">
        <v>14214</v>
      </c>
      <c r="H860" s="346">
        <v>0</v>
      </c>
      <c r="I860" s="346">
        <v>0</v>
      </c>
      <c r="J860" s="395"/>
      <c r="L860" s="346" t="s">
        <v>932</v>
      </c>
    </row>
    <row r="861" hidden="1" spans="1:12">
      <c r="A861" s="421"/>
      <c r="B861" s="422"/>
      <c r="C861" s="422"/>
      <c r="D861" s="422"/>
      <c r="E861" s="422"/>
      <c r="F861" s="422"/>
      <c r="G861" s="422"/>
      <c r="H861" s="422"/>
      <c r="I861" s="430"/>
      <c r="J861" s="430"/>
      <c r="K861" s="425" t="s">
        <v>14215</v>
      </c>
      <c r="L861" s="426">
        <v>0</v>
      </c>
    </row>
    <row r="862" spans="1:12">
      <c r="A862" s="451"/>
      <c r="B862" s="452"/>
      <c r="C862" s="452"/>
      <c r="D862" s="452"/>
      <c r="E862" s="452"/>
      <c r="F862" s="452"/>
      <c r="G862" s="452"/>
      <c r="H862" s="452"/>
      <c r="I862" s="453"/>
      <c r="J862" s="453"/>
      <c r="K862" s="454" t="s">
        <v>14216</v>
      </c>
      <c r="L862" s="455">
        <v>87.7</v>
      </c>
    </row>
    <row r="864" spans="1:12">
      <c r="A864" s="391" t="s">
        <v>14172</v>
      </c>
      <c r="B864" s="472"/>
      <c r="C864" s="472"/>
      <c r="D864" s="472"/>
      <c r="E864" s="472"/>
      <c r="F864" s="472"/>
      <c r="G864" s="393"/>
      <c r="H864" s="393"/>
      <c r="I864" s="393"/>
      <c r="J864" s="393"/>
      <c r="K864" s="393"/>
      <c r="L864" s="471"/>
    </row>
    <row r="865" spans="1:14">
      <c r="A865" s="396">
        <v>3806429</v>
      </c>
      <c r="B865" s="397" t="s">
        <v>111</v>
      </c>
      <c r="C865" s="397"/>
      <c r="D865" s="397"/>
      <c r="E865" s="397"/>
      <c r="F865" s="397"/>
      <c r="G865" s="397"/>
      <c r="H865" s="397" t="s">
        <v>99</v>
      </c>
      <c r="I865" s="398">
        <v>46023</v>
      </c>
      <c r="J865" s="397"/>
      <c r="K865" s="399" t="s">
        <v>14173</v>
      </c>
      <c r="L865" s="400">
        <v>0</v>
      </c>
    </row>
    <row r="866" spans="1:14">
      <c r="A866" s="401"/>
      <c r="H866" s="402" t="s">
        <v>14174</v>
      </c>
      <c r="I866" s="434">
        <v>4.28571</v>
      </c>
      <c r="J866" s="404" t="s">
        <v>99</v>
      </c>
      <c r="K866" s="402" t="s">
        <v>14175</v>
      </c>
      <c r="L866" s="456">
        <v>0.03632</v>
      </c>
    </row>
    <row r="867" hidden="1" spans="1:14">
      <c r="A867" s="405"/>
      <c r="B867" s="405"/>
      <c r="C867" s="405"/>
      <c r="D867" s="406"/>
      <c r="E867" s="406"/>
      <c r="F867" s="406"/>
      <c r="G867" s="407" t="s">
        <v>14176</v>
      </c>
      <c r="H867" s="408"/>
      <c r="I867" s="407" t="s">
        <v>14177</v>
      </c>
      <c r="J867" s="408"/>
      <c r="K867" s="405"/>
      <c r="L867" s="409" t="s">
        <v>14178</v>
      </c>
    </row>
    <row r="868" hidden="1" spans="1:14">
      <c r="A868" s="410" t="s">
        <v>14179</v>
      </c>
      <c r="B868" s="411"/>
      <c r="C868" s="412"/>
      <c r="D868" s="412"/>
      <c r="E868" s="413" t="s">
        <v>74</v>
      </c>
      <c r="F868" s="412"/>
      <c r="G868" s="413" t="s">
        <v>14180</v>
      </c>
      <c r="H868" s="413" t="s">
        <v>14181</v>
      </c>
      <c r="I868" s="413" t="s">
        <v>14182</v>
      </c>
      <c r="J868" s="413" t="s">
        <v>14183</v>
      </c>
      <c r="K868" s="411"/>
      <c r="L868" s="414" t="s">
        <v>14184</v>
      </c>
    </row>
    <row r="869" hidden="1" spans="1:14">
      <c r="A869" s="404">
        <v>0</v>
      </c>
      <c r="B869" s="415" t="e">
        <v>#N/A</v>
      </c>
      <c r="C869" s="415"/>
      <c r="E869" s="434">
        <v>0</v>
      </c>
      <c r="F869" s="334"/>
      <c r="G869" s="346">
        <v>0</v>
      </c>
      <c r="H869" s="417">
        <v>1</v>
      </c>
      <c r="I869" s="395" t="e">
        <v>#N/A</v>
      </c>
      <c r="J869" s="418" t="e">
        <v>#N/A</v>
      </c>
      <c r="K869" s="402"/>
      <c r="L869" s="395" t="s">
        <v>932</v>
      </c>
      <c r="N869" s="395" t="s">
        <v>932</v>
      </c>
    </row>
    <row r="870" hidden="1" spans="1:14">
      <c r="A870" s="404">
        <v>0</v>
      </c>
      <c r="B870" s="404" t="e">
        <v>#N/A</v>
      </c>
      <c r="C870" s="404"/>
      <c r="D870" s="334"/>
      <c r="E870" s="434">
        <v>0</v>
      </c>
      <c r="F870" s="334"/>
      <c r="G870" s="346">
        <v>0</v>
      </c>
      <c r="H870" s="417">
        <v>1</v>
      </c>
      <c r="I870" s="346" t="e">
        <v>#N/A</v>
      </c>
      <c r="J870" s="419" t="e">
        <v>#N/A</v>
      </c>
      <c r="K870" s="420"/>
      <c r="L870" s="395" t="s">
        <v>932</v>
      </c>
      <c r="N870" s="395" t="s">
        <v>932</v>
      </c>
    </row>
    <row r="871" hidden="1" spans="1:14">
      <c r="A871" s="404">
        <v>0</v>
      </c>
      <c r="B871" s="404" t="e">
        <v>#N/A</v>
      </c>
      <c r="C871" s="404"/>
      <c r="D871" s="334"/>
      <c r="E871" s="416">
        <v>0</v>
      </c>
      <c r="F871" s="334"/>
      <c r="G871" s="346">
        <v>0</v>
      </c>
      <c r="H871" s="417">
        <v>1</v>
      </c>
      <c r="I871" s="346" t="e">
        <v>#N/A</v>
      </c>
      <c r="J871" s="419" t="e">
        <v>#N/A</v>
      </c>
      <c r="K871" s="420"/>
      <c r="L871" s="395" t="s">
        <v>932</v>
      </c>
      <c r="N871" s="395" t="s">
        <v>932</v>
      </c>
    </row>
    <row r="872" hidden="1" spans="1:14">
      <c r="A872" s="404">
        <v>0</v>
      </c>
      <c r="B872" s="404" t="e">
        <v>#N/A</v>
      </c>
      <c r="C872" s="404"/>
      <c r="D872" s="334"/>
      <c r="E872" s="416">
        <v>0</v>
      </c>
      <c r="F872" s="334"/>
      <c r="G872" s="346">
        <v>0</v>
      </c>
      <c r="H872" s="417">
        <v>1</v>
      </c>
      <c r="I872" s="346" t="e">
        <v>#N/A</v>
      </c>
      <c r="J872" s="419" t="e">
        <v>#N/A</v>
      </c>
      <c r="K872" s="420"/>
      <c r="L872" s="395" t="s">
        <v>932</v>
      </c>
      <c r="N872" s="395" t="s">
        <v>932</v>
      </c>
    </row>
    <row r="873" hidden="1" spans="1:14">
      <c r="A873" s="404">
        <v>0</v>
      </c>
      <c r="B873" s="404" t="e">
        <v>#N/A</v>
      </c>
      <c r="C873" s="404"/>
      <c r="D873" s="334"/>
      <c r="E873" s="416">
        <v>0</v>
      </c>
      <c r="F873" s="334"/>
      <c r="G873" s="346">
        <v>0</v>
      </c>
      <c r="H873" s="417">
        <v>1</v>
      </c>
      <c r="I873" s="346" t="e">
        <v>#N/A</v>
      </c>
      <c r="J873" s="419" t="e">
        <v>#N/A</v>
      </c>
      <c r="K873" s="420"/>
      <c r="L873" s="395" t="s">
        <v>932</v>
      </c>
      <c r="N873" s="395" t="s">
        <v>932</v>
      </c>
    </row>
    <row r="874" hidden="1" spans="1:14">
      <c r="A874" s="404">
        <v>0</v>
      </c>
      <c r="B874" s="404" t="e">
        <v>#N/A</v>
      </c>
      <c r="C874" s="404"/>
      <c r="D874" s="334"/>
      <c r="E874" s="416">
        <v>0</v>
      </c>
      <c r="F874" s="334"/>
      <c r="G874" s="346">
        <v>0</v>
      </c>
      <c r="H874" s="417">
        <v>1</v>
      </c>
      <c r="I874" s="346" t="e">
        <v>#N/A</v>
      </c>
      <c r="J874" s="419" t="e">
        <v>#N/A</v>
      </c>
      <c r="K874" s="420"/>
      <c r="L874" s="395" t="s">
        <v>932</v>
      </c>
      <c r="N874" s="395" t="s">
        <v>932</v>
      </c>
    </row>
    <row r="875" hidden="1" spans="1:14">
      <c r="A875" s="404">
        <v>0</v>
      </c>
      <c r="B875" s="404" t="e">
        <v>#N/A</v>
      </c>
      <c r="C875" s="404"/>
      <c r="D875" s="334"/>
      <c r="E875" s="416">
        <v>0</v>
      </c>
      <c r="F875" s="334"/>
      <c r="G875" s="346">
        <v>0</v>
      </c>
      <c r="H875" s="417">
        <v>1</v>
      </c>
      <c r="I875" s="346" t="e">
        <v>#N/A</v>
      </c>
      <c r="J875" s="419" t="e">
        <v>#N/A</v>
      </c>
      <c r="K875" s="420"/>
      <c r="L875" s="395" t="s">
        <v>932</v>
      </c>
      <c r="N875" s="395" t="s">
        <v>932</v>
      </c>
    </row>
    <row r="876" hidden="1" spans="1:14">
      <c r="A876" s="404">
        <v>0</v>
      </c>
      <c r="B876" s="404" t="e">
        <v>#N/A</v>
      </c>
      <c r="C876" s="404"/>
      <c r="D876" s="334"/>
      <c r="E876" s="416">
        <v>0</v>
      </c>
      <c r="F876" s="334"/>
      <c r="G876" s="346">
        <v>0</v>
      </c>
      <c r="H876" s="417">
        <v>1</v>
      </c>
      <c r="I876" s="346" t="e">
        <v>#N/A</v>
      </c>
      <c r="J876" s="419" t="e">
        <v>#N/A</v>
      </c>
      <c r="K876" s="420"/>
      <c r="L876" s="395" t="s">
        <v>932</v>
      </c>
      <c r="N876" s="395" t="s">
        <v>932</v>
      </c>
    </row>
    <row r="877" hidden="1" spans="1:14">
      <c r="A877" s="421"/>
      <c r="B877" s="422"/>
      <c r="C877" s="422"/>
      <c r="D877" s="422"/>
      <c r="E877" s="423"/>
      <c r="F877" s="424"/>
      <c r="G877" s="422"/>
      <c r="H877" s="422"/>
      <c r="I877" s="422"/>
      <c r="J877" s="422"/>
      <c r="K877" s="425" t="s">
        <v>14185</v>
      </c>
      <c r="L877" s="426">
        <v>0</v>
      </c>
      <c r="N877" s="427">
        <v>0</v>
      </c>
    </row>
    <row r="878" spans="1:14">
      <c r="A878" s="428" t="s">
        <v>14186</v>
      </c>
      <c r="B878" s="429"/>
      <c r="C878" s="429"/>
      <c r="D878" s="430"/>
      <c r="E878" s="431" t="s">
        <v>74</v>
      </c>
      <c r="F878" s="431" t="s">
        <v>1123</v>
      </c>
      <c r="G878" s="430"/>
      <c r="H878" s="422"/>
      <c r="I878" s="431" t="s">
        <v>14177</v>
      </c>
      <c r="J878" s="430"/>
      <c r="K878" s="430"/>
      <c r="L878" s="432" t="s">
        <v>14187</v>
      </c>
    </row>
    <row r="879" spans="1:14">
      <c r="A879" s="404" t="s">
        <v>937</v>
      </c>
      <c r="B879" s="433" t="s">
        <v>938</v>
      </c>
      <c r="C879" s="433"/>
      <c r="D879" s="334"/>
      <c r="E879" s="434">
        <v>1</v>
      </c>
      <c r="F879" s="333" t="s">
        <v>104</v>
      </c>
      <c r="G879" s="334"/>
      <c r="H879" s="334"/>
      <c r="I879" s="435">
        <v>26.2149</v>
      </c>
      <c r="J879" s="334"/>
      <c r="K879" s="334"/>
      <c r="L879" s="346">
        <v>26.2149</v>
      </c>
      <c r="N879" s="395">
        <v>26.2149</v>
      </c>
    </row>
    <row r="880" spans="1:14">
      <c r="A880" s="404" t="s">
        <v>954</v>
      </c>
      <c r="B880" s="404" t="s">
        <v>955</v>
      </c>
      <c r="C880" s="404"/>
      <c r="D880" s="334"/>
      <c r="E880" s="434">
        <v>1</v>
      </c>
      <c r="F880" s="333" t="s">
        <v>104</v>
      </c>
      <c r="G880" s="334"/>
      <c r="H880" s="334"/>
      <c r="I880" s="435">
        <v>34.5245</v>
      </c>
      <c r="J880" s="334"/>
      <c r="K880" s="334"/>
      <c r="L880" s="346">
        <v>34.5245</v>
      </c>
      <c r="N880" s="395">
        <v>34.5245</v>
      </c>
    </row>
    <row r="881" hidden="1" spans="1:15">
      <c r="A881" s="404">
        <v>0</v>
      </c>
      <c r="B881" s="404" t="e">
        <v>#N/A</v>
      </c>
      <c r="C881" s="404"/>
      <c r="D881" s="334"/>
      <c r="E881" s="434">
        <v>0</v>
      </c>
      <c r="F881" s="333" t="s">
        <v>104</v>
      </c>
      <c r="G881" s="334"/>
      <c r="H881" s="334"/>
      <c r="I881" s="435" t="e">
        <v>#N/A</v>
      </c>
      <c r="J881" s="334"/>
      <c r="K881" s="334"/>
      <c r="L881" s="346" t="s">
        <v>932</v>
      </c>
      <c r="N881" s="395" t="s">
        <v>932</v>
      </c>
    </row>
    <row r="882" hidden="1" spans="1:15">
      <c r="A882" s="404">
        <v>0</v>
      </c>
      <c r="B882" s="404" t="e">
        <v>#N/A</v>
      </c>
      <c r="C882" s="404"/>
      <c r="D882" s="334"/>
      <c r="E882" s="434">
        <v>0</v>
      </c>
      <c r="F882" s="333" t="s">
        <v>104</v>
      </c>
      <c r="G882" s="334"/>
      <c r="H882" s="334"/>
      <c r="I882" s="435" t="e">
        <v>#N/A</v>
      </c>
      <c r="J882" s="334"/>
      <c r="K882" s="334"/>
      <c r="L882" s="346" t="s">
        <v>932</v>
      </c>
      <c r="N882" s="395" t="s">
        <v>932</v>
      </c>
    </row>
    <row r="883" hidden="1" spans="1:15">
      <c r="A883" s="404">
        <v>0</v>
      </c>
      <c r="B883" s="404" t="e">
        <v>#N/A</v>
      </c>
      <c r="C883" s="404"/>
      <c r="D883" s="334"/>
      <c r="E883" s="434">
        <v>0</v>
      </c>
      <c r="F883" s="333" t="s">
        <v>104</v>
      </c>
      <c r="G883" s="334"/>
      <c r="H883" s="334"/>
      <c r="I883" s="435" t="e">
        <v>#N/A</v>
      </c>
      <c r="J883" s="334"/>
      <c r="K883" s="334"/>
      <c r="L883" s="346" t="s">
        <v>932</v>
      </c>
      <c r="N883" s="395" t="s">
        <v>932</v>
      </c>
    </row>
    <row r="884" hidden="1" spans="1:15">
      <c r="A884" s="404">
        <v>0</v>
      </c>
      <c r="B884" s="404" t="e">
        <v>#N/A</v>
      </c>
      <c r="C884" s="404"/>
      <c r="D884" s="334"/>
      <c r="E884" s="434">
        <v>0</v>
      </c>
      <c r="F884" s="333" t="s">
        <v>104</v>
      </c>
      <c r="G884" s="334"/>
      <c r="H884" s="334"/>
      <c r="I884" s="435" t="e">
        <v>#N/A</v>
      </c>
      <c r="J884" s="334"/>
      <c r="K884" s="334"/>
      <c r="L884" s="346" t="s">
        <v>932</v>
      </c>
      <c r="N884" s="395" t="s">
        <v>932</v>
      </c>
    </row>
    <row r="885" hidden="1" spans="1:15">
      <c r="A885" s="404">
        <v>0</v>
      </c>
      <c r="B885" s="404" t="e">
        <v>#N/A</v>
      </c>
      <c r="C885" s="404"/>
      <c r="D885" s="334"/>
      <c r="E885" s="434">
        <v>0</v>
      </c>
      <c r="F885" s="333" t="s">
        <v>104</v>
      </c>
      <c r="G885" s="334"/>
      <c r="H885" s="334"/>
      <c r="I885" s="435" t="e">
        <v>#N/A</v>
      </c>
      <c r="J885" s="334"/>
      <c r="K885" s="334"/>
      <c r="L885" s="346" t="s">
        <v>932</v>
      </c>
      <c r="N885" s="395" t="s">
        <v>932</v>
      </c>
    </row>
    <row r="886" hidden="1" spans="1:15">
      <c r="A886" s="404">
        <v>0</v>
      </c>
      <c r="B886" s="436" t="e">
        <v>#N/A</v>
      </c>
      <c r="C886" s="436"/>
      <c r="D886" s="334"/>
      <c r="E886" s="434">
        <v>0</v>
      </c>
      <c r="F886" s="333" t="s">
        <v>104</v>
      </c>
      <c r="G886" s="334"/>
      <c r="H886" s="334"/>
      <c r="I886" s="435" t="e">
        <v>#N/A</v>
      </c>
      <c r="J886" s="334"/>
      <c r="K886" s="334"/>
      <c r="L886" s="346" t="s">
        <v>932</v>
      </c>
      <c r="N886" s="395" t="s">
        <v>932</v>
      </c>
    </row>
    <row r="887" spans="1:15">
      <c r="A887" s="421"/>
      <c r="B887" s="62"/>
      <c r="C887" s="62"/>
      <c r="D887" s="422"/>
      <c r="E887" s="423"/>
      <c r="F887" s="424"/>
      <c r="G887" s="422"/>
      <c r="H887" s="422"/>
      <c r="I887" s="422"/>
      <c r="J887" s="422"/>
      <c r="K887" s="425" t="s">
        <v>14188</v>
      </c>
      <c r="L887" s="426">
        <v>60.7394</v>
      </c>
      <c r="N887" s="427">
        <v>60.7394</v>
      </c>
    </row>
    <row r="888" spans="1:15">
      <c r="I888" s="437"/>
      <c r="K888" s="383" t="s">
        <v>14189</v>
      </c>
      <c r="L888" s="427">
        <v>60.7394</v>
      </c>
      <c r="N888" s="395">
        <v>60.7394</v>
      </c>
    </row>
    <row r="889" spans="1:15">
      <c r="K889" s="383" t="s">
        <v>14190</v>
      </c>
      <c r="L889" s="427">
        <v>14.1725408392075</v>
      </c>
      <c r="N889" s="395">
        <v>14.1725408392075</v>
      </c>
      <c r="O889" s="395">
        <v>0.514746683280017</v>
      </c>
    </row>
    <row r="890" spans="1:15">
      <c r="K890" s="383" t="s">
        <v>14191</v>
      </c>
      <c r="L890" s="427">
        <v>0.514746683280017</v>
      </c>
    </row>
    <row r="891" spans="1:15">
      <c r="K891" s="383" t="s">
        <v>14192</v>
      </c>
      <c r="L891" s="395">
        <v>0</v>
      </c>
    </row>
    <row r="892" spans="1:15">
      <c r="A892" s="428" t="s">
        <v>14193</v>
      </c>
      <c r="B892" s="430"/>
      <c r="C892" s="430"/>
      <c r="D892" s="430"/>
      <c r="E892" s="431" t="s">
        <v>74</v>
      </c>
      <c r="F892" s="431" t="s">
        <v>1123</v>
      </c>
      <c r="G892" s="430"/>
      <c r="H892" s="430"/>
      <c r="I892" s="425" t="s">
        <v>75</v>
      </c>
      <c r="J892" s="430"/>
      <c r="K892" s="430"/>
      <c r="L892" s="426" t="s">
        <v>14194</v>
      </c>
    </row>
    <row r="893" spans="1:15">
      <c r="A893" s="404" t="s">
        <v>14243</v>
      </c>
      <c r="B893" s="433" t="s">
        <v>14244</v>
      </c>
      <c r="C893" s="433"/>
      <c r="D893" s="334"/>
      <c r="E893" s="434">
        <v>0.00089</v>
      </c>
      <c r="F893" s="333" t="s">
        <v>82</v>
      </c>
      <c r="G893" s="334"/>
      <c r="I893" s="395">
        <v>71.4413</v>
      </c>
      <c r="J893" s="395"/>
      <c r="K893" s="395"/>
      <c r="L893" s="346">
        <v>0.063582757</v>
      </c>
    </row>
    <row r="894" spans="1:15">
      <c r="A894" s="404" t="s">
        <v>14245</v>
      </c>
      <c r="B894" s="404" t="s">
        <v>14246</v>
      </c>
      <c r="C894" s="404"/>
      <c r="D894" s="334"/>
      <c r="E894" s="434">
        <v>0.00444</v>
      </c>
      <c r="F894" s="333" t="s">
        <v>9</v>
      </c>
      <c r="G894" s="334"/>
      <c r="I894" s="395">
        <v>202.7678</v>
      </c>
      <c r="J894" s="395"/>
      <c r="K894" s="395"/>
      <c r="L894" s="346">
        <v>0.900289032</v>
      </c>
    </row>
    <row r="895" spans="1:15">
      <c r="A895" s="404" t="s">
        <v>14247</v>
      </c>
      <c r="B895" s="404" t="s">
        <v>14248</v>
      </c>
      <c r="C895" s="404"/>
      <c r="D895" s="334"/>
      <c r="E895" s="434">
        <v>0.00356</v>
      </c>
      <c r="F895" s="333" t="s">
        <v>82</v>
      </c>
      <c r="G895" s="334"/>
      <c r="I895" s="395">
        <v>233.7258</v>
      </c>
      <c r="J895" s="395"/>
      <c r="K895" s="395"/>
      <c r="L895" s="346">
        <v>0.832063848</v>
      </c>
    </row>
    <row r="896" spans="1:15">
      <c r="A896" s="404" t="s">
        <v>14249</v>
      </c>
      <c r="B896" s="404" t="s">
        <v>14250</v>
      </c>
      <c r="C896" s="404"/>
      <c r="D896" s="334"/>
      <c r="E896" s="434">
        <v>0.00889</v>
      </c>
      <c r="F896" s="333" t="s">
        <v>82</v>
      </c>
      <c r="G896" s="334"/>
      <c r="I896" s="395">
        <v>223.6073</v>
      </c>
      <c r="J896" s="395"/>
      <c r="K896" s="395"/>
      <c r="L896" s="346">
        <v>1.987868897</v>
      </c>
    </row>
    <row r="897" spans="1:12">
      <c r="A897" s="404" t="s">
        <v>14251</v>
      </c>
      <c r="B897" s="404" t="s">
        <v>14252</v>
      </c>
      <c r="C897" s="404"/>
      <c r="D897" s="334"/>
      <c r="E897" s="434">
        <v>0.00356</v>
      </c>
      <c r="F897" s="333" t="s">
        <v>82</v>
      </c>
      <c r="G897" s="334"/>
      <c r="H897" s="334"/>
      <c r="I897" s="395">
        <v>323.5624</v>
      </c>
      <c r="J897" s="395"/>
      <c r="K897" s="395"/>
      <c r="L897" s="346">
        <v>1.151882144</v>
      </c>
    </row>
    <row r="898" spans="1:12">
      <c r="A898" s="404" t="s">
        <v>14253</v>
      </c>
      <c r="B898" s="404" t="s">
        <v>14254</v>
      </c>
      <c r="C898" s="404"/>
      <c r="D898" s="334"/>
      <c r="E898" s="434">
        <v>0.00356</v>
      </c>
      <c r="F898" s="333" t="s">
        <v>82</v>
      </c>
      <c r="G898" s="334"/>
      <c r="H898" s="334"/>
      <c r="I898" s="395">
        <v>97.4055</v>
      </c>
      <c r="J898" s="395"/>
      <c r="K898" s="395"/>
      <c r="L898" s="346">
        <v>0.34676358</v>
      </c>
    </row>
    <row r="899" hidden="1" spans="1:12">
      <c r="A899" s="404">
        <v>0</v>
      </c>
      <c r="B899" s="404" t="e">
        <v>#N/A</v>
      </c>
      <c r="C899" s="404"/>
      <c r="D899" s="334"/>
      <c r="E899" s="434">
        <v>0</v>
      </c>
      <c r="F899" s="333" t="e">
        <v>#N/A</v>
      </c>
      <c r="G899" s="334"/>
      <c r="H899" s="334"/>
      <c r="I899" s="395" t="e">
        <v>#N/A</v>
      </c>
      <c r="J899" s="395"/>
      <c r="K899" s="395"/>
      <c r="L899" s="346" t="s">
        <v>932</v>
      </c>
    </row>
    <row r="900" hidden="1" spans="1:12">
      <c r="A900" s="404">
        <v>0</v>
      </c>
      <c r="B900" s="404" t="e">
        <v>#N/A</v>
      </c>
      <c r="C900" s="404"/>
      <c r="D900" s="438"/>
      <c r="E900" s="434">
        <v>0</v>
      </c>
      <c r="F900" s="333" t="e">
        <v>#N/A</v>
      </c>
      <c r="G900" s="334"/>
      <c r="H900" s="334"/>
      <c r="I900" s="395" t="e">
        <v>#N/A</v>
      </c>
      <c r="J900" s="395"/>
      <c r="K900" s="395"/>
      <c r="L900" s="346" t="s">
        <v>932</v>
      </c>
    </row>
    <row r="901" spans="1:12">
      <c r="A901" s="421"/>
      <c r="B901" s="422"/>
      <c r="C901" s="422"/>
      <c r="D901" s="422"/>
      <c r="E901" s="423"/>
      <c r="F901" s="424"/>
      <c r="G901" s="422"/>
      <c r="H901" s="422"/>
      <c r="I901" s="430"/>
      <c r="J901" s="430"/>
      <c r="K901" s="425" t="s">
        <v>14203</v>
      </c>
      <c r="L901" s="426">
        <v>5.282450258</v>
      </c>
    </row>
    <row r="902" hidden="1" spans="1:12">
      <c r="A902" s="428" t="s">
        <v>14204</v>
      </c>
      <c r="B902" s="430"/>
      <c r="C902" s="430"/>
      <c r="D902" s="430"/>
      <c r="E902" s="431" t="s">
        <v>74</v>
      </c>
      <c r="F902" s="431" t="s">
        <v>1123</v>
      </c>
      <c r="G902" s="430"/>
      <c r="H902" s="430"/>
      <c r="I902" s="425" t="s">
        <v>75</v>
      </c>
      <c r="J902" s="430"/>
      <c r="K902" s="430"/>
      <c r="L902" s="426" t="s">
        <v>14194</v>
      </c>
    </row>
    <row r="903" hidden="1" spans="1:12">
      <c r="A903" s="404">
        <v>0</v>
      </c>
      <c r="B903" s="334" t="e">
        <v>#N/A</v>
      </c>
      <c r="C903" s="334"/>
      <c r="D903" s="334"/>
      <c r="E903" s="434">
        <v>0</v>
      </c>
      <c r="F903" s="333" t="e">
        <v>#N/A</v>
      </c>
      <c r="G903" s="439"/>
      <c r="I903" s="346" t="e">
        <v>#N/A</v>
      </c>
      <c r="L903" s="346" t="s">
        <v>932</v>
      </c>
    </row>
    <row r="904" hidden="1" spans="1:12">
      <c r="A904" s="401">
        <v>0</v>
      </c>
      <c r="B904" s="334" t="e">
        <v>#N/A</v>
      </c>
      <c r="E904" s="440">
        <v>0</v>
      </c>
      <c r="F904" s="333" t="e">
        <v>#N/A</v>
      </c>
      <c r="G904" s="439"/>
      <c r="I904" s="346" t="e">
        <v>#N/A</v>
      </c>
      <c r="L904" s="346" t="s">
        <v>932</v>
      </c>
    </row>
    <row r="905" hidden="1" spans="1:12">
      <c r="A905" s="401">
        <v>0</v>
      </c>
      <c r="B905" s="334" t="e">
        <v>#N/A</v>
      </c>
      <c r="E905" s="440">
        <v>0</v>
      </c>
      <c r="F905" s="333" t="e">
        <v>#N/A</v>
      </c>
      <c r="G905" s="439"/>
      <c r="I905" s="346" t="e">
        <v>#N/A</v>
      </c>
      <c r="L905" s="346" t="s">
        <v>932</v>
      </c>
    </row>
    <row r="906" hidden="1" spans="1:12">
      <c r="A906" s="401">
        <v>0</v>
      </c>
      <c r="B906" s="334" t="e">
        <v>#N/A</v>
      </c>
      <c r="E906" s="440">
        <v>0</v>
      </c>
      <c r="F906" s="333" t="e">
        <v>#N/A</v>
      </c>
      <c r="G906" s="439"/>
      <c r="I906" s="346" t="e">
        <v>#N/A</v>
      </c>
      <c r="L906" s="346" t="s">
        <v>932</v>
      </c>
    </row>
    <row r="907" hidden="1" spans="1:12">
      <c r="A907" s="401">
        <v>0</v>
      </c>
      <c r="B907" s="334" t="e">
        <v>#N/A</v>
      </c>
      <c r="E907" s="440">
        <v>0</v>
      </c>
      <c r="F907" s="333" t="e">
        <v>#N/A</v>
      </c>
      <c r="G907" s="439"/>
      <c r="I907" s="346" t="e">
        <v>#N/A</v>
      </c>
      <c r="L907" s="346" t="s">
        <v>932</v>
      </c>
    </row>
    <row r="908" hidden="1" spans="1:12">
      <c r="A908" s="401">
        <v>0</v>
      </c>
      <c r="B908" s="334" t="e">
        <v>#N/A</v>
      </c>
      <c r="E908" s="440">
        <v>0</v>
      </c>
      <c r="F908" s="333" t="e">
        <v>#N/A</v>
      </c>
      <c r="G908" s="439"/>
      <c r="I908" s="346" t="e">
        <v>#N/A</v>
      </c>
      <c r="L908" s="346" t="s">
        <v>932</v>
      </c>
    </row>
    <row r="909" hidden="1" spans="1:12">
      <c r="A909" s="421"/>
      <c r="B909" s="422"/>
      <c r="C909" s="422"/>
      <c r="D909" s="422"/>
      <c r="E909" s="422"/>
      <c r="F909" s="422"/>
      <c r="G909" s="422"/>
      <c r="H909" s="422"/>
      <c r="I909" s="430"/>
      <c r="J909" s="430"/>
      <c r="K909" s="425" t="s">
        <v>14206</v>
      </c>
      <c r="L909" s="426">
        <v>0</v>
      </c>
    </row>
    <row r="910" spans="1:12">
      <c r="A910" s="421"/>
      <c r="B910" s="422"/>
      <c r="C910" s="422"/>
      <c r="D910" s="422"/>
      <c r="E910" s="422"/>
      <c r="F910" s="422"/>
      <c r="G910" s="422"/>
      <c r="H910" s="422"/>
      <c r="I910" s="430"/>
      <c r="J910" s="430"/>
      <c r="K910" s="425" t="s">
        <v>14207</v>
      </c>
      <c r="L910" s="426">
        <v>19.9697377804875</v>
      </c>
    </row>
    <row r="911" spans="1:12">
      <c r="A911" s="428" t="s">
        <v>14208</v>
      </c>
      <c r="B911" s="430"/>
      <c r="C911" s="430"/>
      <c r="D911" s="431" t="s">
        <v>55</v>
      </c>
      <c r="E911" s="431" t="s">
        <v>74</v>
      </c>
      <c r="F911" s="431" t="s">
        <v>1123</v>
      </c>
      <c r="G911" s="430"/>
      <c r="H911" s="430"/>
      <c r="I911" s="425" t="s">
        <v>75</v>
      </c>
      <c r="J911" s="430"/>
      <c r="K911" s="430"/>
      <c r="L911" s="426" t="s">
        <v>14194</v>
      </c>
    </row>
    <row r="912" hidden="1" spans="1:12">
      <c r="A912" s="404" t="s">
        <v>14243</v>
      </c>
      <c r="B912" s="441" t="s">
        <v>14244</v>
      </c>
      <c r="C912" s="441"/>
      <c r="D912" s="442">
        <v>0</v>
      </c>
      <c r="E912" s="434">
        <v>0</v>
      </c>
      <c r="F912" s="333" t="s">
        <v>9885</v>
      </c>
      <c r="G912" s="443" t="s">
        <v>14209</v>
      </c>
      <c r="H912" s="334"/>
      <c r="I912" s="346">
        <v>0</v>
      </c>
      <c r="J912" s="334"/>
      <c r="K912" s="346"/>
      <c r="L912" s="346" t="s">
        <v>932</v>
      </c>
    </row>
    <row r="913" spans="1:12">
      <c r="A913" s="404" t="s">
        <v>14245</v>
      </c>
      <c r="B913" s="334" t="s">
        <v>14246</v>
      </c>
      <c r="C913" s="334"/>
      <c r="D913" s="442">
        <v>5914655</v>
      </c>
      <c r="E913" s="434">
        <v>3e-5</v>
      </c>
      <c r="F913" s="333" t="s">
        <v>9885</v>
      </c>
      <c r="G913" s="334"/>
      <c r="H913" s="334"/>
      <c r="I913" s="346">
        <v>35.43</v>
      </c>
      <c r="J913" s="334"/>
      <c r="K913" s="346"/>
      <c r="L913" s="346">
        <v>0.0010629</v>
      </c>
    </row>
    <row r="914" spans="1:12">
      <c r="A914" s="404" t="s">
        <v>14247</v>
      </c>
      <c r="B914" s="334" t="s">
        <v>14248</v>
      </c>
      <c r="C914" s="334"/>
      <c r="D914" s="442">
        <v>5914655</v>
      </c>
      <c r="E914" s="434">
        <v>4e-5</v>
      </c>
      <c r="F914" s="333" t="s">
        <v>9885</v>
      </c>
      <c r="G914" s="334"/>
      <c r="H914" s="334"/>
      <c r="I914" s="346">
        <v>35.43</v>
      </c>
      <c r="J914" s="334"/>
      <c r="K914" s="346"/>
      <c r="L914" s="346">
        <v>0.0014172</v>
      </c>
    </row>
    <row r="915" spans="1:12">
      <c r="A915" s="404" t="s">
        <v>14249</v>
      </c>
      <c r="B915" s="334" t="s">
        <v>14250</v>
      </c>
      <c r="C915" s="334"/>
      <c r="D915" s="442">
        <v>5914655</v>
      </c>
      <c r="E915" s="434">
        <v>0.00011</v>
      </c>
      <c r="F915" s="333" t="s">
        <v>9885</v>
      </c>
      <c r="G915" s="334"/>
      <c r="H915" s="334"/>
      <c r="I915" s="346">
        <v>35.43</v>
      </c>
      <c r="J915" s="334"/>
      <c r="K915" s="346"/>
      <c r="L915" s="346">
        <v>0.0038973</v>
      </c>
    </row>
    <row r="916" spans="1:12">
      <c r="A916" s="404" t="s">
        <v>14251</v>
      </c>
      <c r="B916" s="334" t="s">
        <v>14252</v>
      </c>
      <c r="C916" s="334"/>
      <c r="D916" s="442">
        <v>5914655</v>
      </c>
      <c r="E916" s="434">
        <v>4e-5</v>
      </c>
      <c r="F916" s="333" t="s">
        <v>9885</v>
      </c>
      <c r="G916" s="334"/>
      <c r="H916" s="334"/>
      <c r="I916" s="346">
        <v>35.43</v>
      </c>
      <c r="J916" s="334"/>
      <c r="K916" s="346"/>
      <c r="L916" s="346">
        <v>0.0014172</v>
      </c>
    </row>
    <row r="917" spans="1:12">
      <c r="A917" s="404" t="s">
        <v>14253</v>
      </c>
      <c r="B917" s="334" t="s">
        <v>14254</v>
      </c>
      <c r="C917" s="334"/>
      <c r="D917" s="442">
        <v>5914655</v>
      </c>
      <c r="E917" s="434">
        <v>1e-5</v>
      </c>
      <c r="F917" s="333" t="s">
        <v>9885</v>
      </c>
      <c r="G917" s="334"/>
      <c r="H917" s="334"/>
      <c r="I917" s="346">
        <v>35.43</v>
      </c>
      <c r="J917" s="334"/>
      <c r="K917" s="346"/>
      <c r="L917" s="346">
        <v>0.0003543</v>
      </c>
    </row>
    <row r="918" hidden="1" spans="1:12">
      <c r="A918" s="404">
        <v>0</v>
      </c>
      <c r="B918" s="334" t="e">
        <v>#N/A</v>
      </c>
      <c r="C918" s="334"/>
      <c r="D918" s="442">
        <v>0</v>
      </c>
      <c r="E918" s="434">
        <v>0</v>
      </c>
      <c r="F918" s="333" t="s">
        <v>9885</v>
      </c>
      <c r="G918" s="334"/>
      <c r="H918" s="334"/>
      <c r="I918" s="346">
        <v>0</v>
      </c>
      <c r="J918" s="334"/>
      <c r="K918" s="346"/>
      <c r="L918" s="346" t="s">
        <v>932</v>
      </c>
    </row>
    <row r="919" hidden="1" spans="1:12">
      <c r="A919" s="404">
        <v>0</v>
      </c>
      <c r="B919" s="444" t="e">
        <v>#N/A</v>
      </c>
      <c r="C919" s="444"/>
      <c r="D919" s="442">
        <v>0</v>
      </c>
      <c r="E919" s="434">
        <v>0</v>
      </c>
      <c r="F919" s="333" t="s">
        <v>9885</v>
      </c>
      <c r="G919" s="334"/>
      <c r="H919" s="334"/>
      <c r="I919" s="346">
        <v>0</v>
      </c>
      <c r="J919" s="334"/>
      <c r="K919" s="346"/>
      <c r="L919" s="346" t="s">
        <v>932</v>
      </c>
    </row>
    <row r="920" spans="1:12">
      <c r="A920" s="428"/>
      <c r="B920" s="445"/>
      <c r="C920" s="445"/>
      <c r="D920" s="430"/>
      <c r="E920" s="430"/>
      <c r="F920" s="430"/>
      <c r="G920" s="430"/>
      <c r="H920" s="430"/>
      <c r="I920" s="430"/>
      <c r="J920" s="430"/>
      <c r="K920" s="425" t="s">
        <v>14210</v>
      </c>
      <c r="L920" s="426">
        <v>0.0081489</v>
      </c>
    </row>
    <row r="921" hidden="1" spans="1:12">
      <c r="A921" s="446" t="s">
        <v>14211</v>
      </c>
      <c r="B921" s="445"/>
      <c r="C921" s="445"/>
      <c r="D921" s="447" t="s">
        <v>55</v>
      </c>
      <c r="E921" s="445" t="s">
        <v>74</v>
      </c>
      <c r="F921" s="447" t="s">
        <v>1123</v>
      </c>
      <c r="G921" s="445"/>
      <c r="H921" s="447" t="s">
        <v>72</v>
      </c>
      <c r="I921" s="447" t="s">
        <v>75</v>
      </c>
      <c r="J921" s="445"/>
      <c r="K921" s="448"/>
      <c r="L921" s="449" t="s">
        <v>14194</v>
      </c>
    </row>
    <row r="922" hidden="1" spans="1:12">
      <c r="A922" s="404" t="s">
        <v>14243</v>
      </c>
      <c r="B922" s="433" t="s">
        <v>14244</v>
      </c>
      <c r="C922" s="433"/>
      <c r="D922" s="442">
        <v>0</v>
      </c>
      <c r="E922" s="450">
        <v>0</v>
      </c>
      <c r="F922" s="333" t="s">
        <v>13063</v>
      </c>
      <c r="G922" s="333" t="s">
        <v>14212</v>
      </c>
      <c r="H922" s="346">
        <v>0</v>
      </c>
      <c r="I922" s="346">
        <v>0</v>
      </c>
      <c r="J922" s="346"/>
      <c r="K922" s="334"/>
      <c r="L922" s="346" t="s">
        <v>932</v>
      </c>
    </row>
    <row r="923" hidden="1" spans="1:12">
      <c r="A923" s="404"/>
      <c r="B923" s="404"/>
      <c r="C923" s="334"/>
      <c r="D923" s="442">
        <v>0</v>
      </c>
      <c r="E923" s="450">
        <v>0</v>
      </c>
      <c r="F923" s="333" t="s">
        <v>13063</v>
      </c>
      <c r="G923" s="333" t="s">
        <v>14213</v>
      </c>
      <c r="H923" s="346">
        <v>0</v>
      </c>
      <c r="I923" s="346">
        <v>0</v>
      </c>
      <c r="J923" s="346"/>
      <c r="K923" s="334"/>
      <c r="L923" s="346" t="s">
        <v>932</v>
      </c>
    </row>
    <row r="924" hidden="1" spans="1:12">
      <c r="A924" s="404"/>
      <c r="B924" s="404"/>
      <c r="C924" s="334"/>
      <c r="D924" s="442">
        <v>0</v>
      </c>
      <c r="E924" s="450">
        <v>0</v>
      </c>
      <c r="F924" s="333" t="s">
        <v>13063</v>
      </c>
      <c r="G924" s="333" t="s">
        <v>14214</v>
      </c>
      <c r="H924" s="346">
        <v>0</v>
      </c>
      <c r="I924" s="346">
        <v>0</v>
      </c>
      <c r="J924" s="346"/>
      <c r="K924" s="334"/>
      <c r="L924" s="346" t="s">
        <v>932</v>
      </c>
    </row>
    <row r="925" hidden="1" spans="1:12">
      <c r="A925" s="404" t="s">
        <v>14245</v>
      </c>
      <c r="B925" s="404" t="s">
        <v>14246</v>
      </c>
      <c r="C925" s="404"/>
      <c r="D925" s="442">
        <v>0</v>
      </c>
      <c r="E925" s="450">
        <v>3e-5</v>
      </c>
      <c r="F925" s="333" t="s">
        <v>13063</v>
      </c>
      <c r="G925" s="333" t="s">
        <v>14212</v>
      </c>
      <c r="H925" s="346">
        <v>0</v>
      </c>
      <c r="I925" s="346">
        <v>0</v>
      </c>
      <c r="J925" s="346"/>
      <c r="K925" s="334"/>
      <c r="L925" s="346">
        <v>0</v>
      </c>
    </row>
    <row r="926" hidden="1" spans="1:12">
      <c r="A926" s="404"/>
      <c r="B926" s="404"/>
      <c r="C926" s="334"/>
      <c r="D926" s="442">
        <v>0</v>
      </c>
      <c r="E926" s="450">
        <v>3e-5</v>
      </c>
      <c r="F926" s="333" t="s">
        <v>13063</v>
      </c>
      <c r="G926" s="333" t="s">
        <v>14213</v>
      </c>
      <c r="H926" s="346">
        <v>0</v>
      </c>
      <c r="I926" s="346">
        <v>0</v>
      </c>
      <c r="J926" s="346"/>
      <c r="K926" s="334"/>
      <c r="L926" s="346">
        <v>0</v>
      </c>
    </row>
    <row r="927" hidden="1" spans="1:12">
      <c r="A927" s="404"/>
      <c r="B927" s="404"/>
      <c r="C927" s="334"/>
      <c r="D927" s="442">
        <v>0</v>
      </c>
      <c r="E927" s="450">
        <v>3e-5</v>
      </c>
      <c r="F927" s="333" t="s">
        <v>13063</v>
      </c>
      <c r="G927" s="333" t="s">
        <v>14214</v>
      </c>
      <c r="H927" s="346">
        <v>0</v>
      </c>
      <c r="I927" s="346">
        <v>0</v>
      </c>
      <c r="J927" s="346"/>
      <c r="K927" s="334"/>
      <c r="L927" s="346">
        <v>0</v>
      </c>
    </row>
    <row r="928" hidden="1" spans="1:12">
      <c r="A928" s="404" t="s">
        <v>14247</v>
      </c>
      <c r="B928" s="404" t="s">
        <v>14248</v>
      </c>
      <c r="C928" s="404"/>
      <c r="D928" s="442">
        <v>0</v>
      </c>
      <c r="E928" s="450">
        <v>4e-5</v>
      </c>
      <c r="F928" s="333" t="s">
        <v>13063</v>
      </c>
      <c r="G928" s="333" t="s">
        <v>14212</v>
      </c>
      <c r="H928" s="346">
        <v>0</v>
      </c>
      <c r="I928" s="346">
        <v>0</v>
      </c>
      <c r="J928" s="346"/>
      <c r="K928" s="334"/>
      <c r="L928" s="346">
        <v>0</v>
      </c>
    </row>
    <row r="929" hidden="1" spans="1:12">
      <c r="A929" s="404"/>
      <c r="B929" s="404"/>
      <c r="C929" s="334"/>
      <c r="D929" s="442">
        <v>0</v>
      </c>
      <c r="E929" s="450">
        <v>4e-5</v>
      </c>
      <c r="F929" s="333" t="s">
        <v>13063</v>
      </c>
      <c r="G929" s="333" t="s">
        <v>14213</v>
      </c>
      <c r="H929" s="346">
        <v>0</v>
      </c>
      <c r="I929" s="346">
        <v>0</v>
      </c>
      <c r="J929" s="346"/>
      <c r="K929" s="334"/>
      <c r="L929" s="346">
        <v>0</v>
      </c>
    </row>
    <row r="930" hidden="1" spans="1:12">
      <c r="A930" s="404"/>
      <c r="B930" s="404"/>
      <c r="C930" s="334"/>
      <c r="D930" s="442">
        <v>0</v>
      </c>
      <c r="E930" s="450">
        <v>4e-5</v>
      </c>
      <c r="F930" s="333" t="s">
        <v>13063</v>
      </c>
      <c r="G930" s="333" t="s">
        <v>14214</v>
      </c>
      <c r="H930" s="346">
        <v>0</v>
      </c>
      <c r="I930" s="346">
        <v>0</v>
      </c>
      <c r="J930" s="346"/>
      <c r="K930" s="334"/>
      <c r="L930" s="346">
        <v>0</v>
      </c>
    </row>
    <row r="931" hidden="1" spans="1:12">
      <c r="A931" s="404" t="s">
        <v>14249</v>
      </c>
      <c r="B931" s="404" t="s">
        <v>14250</v>
      </c>
      <c r="C931" s="404"/>
      <c r="D931" s="442">
        <v>0</v>
      </c>
      <c r="E931" s="450">
        <v>0.00011</v>
      </c>
      <c r="F931" s="333" t="s">
        <v>13063</v>
      </c>
      <c r="G931" s="333" t="s">
        <v>14212</v>
      </c>
      <c r="H931" s="346">
        <v>0</v>
      </c>
      <c r="I931" s="346">
        <v>0</v>
      </c>
      <c r="J931" s="346"/>
      <c r="K931" s="334"/>
      <c r="L931" s="346">
        <v>0</v>
      </c>
    </row>
    <row r="932" hidden="1" spans="1:12">
      <c r="A932" s="404"/>
      <c r="B932" s="404"/>
      <c r="C932" s="334"/>
      <c r="D932" s="442">
        <v>0</v>
      </c>
      <c r="E932" s="450">
        <v>0.00011</v>
      </c>
      <c r="F932" s="333" t="s">
        <v>13063</v>
      </c>
      <c r="G932" s="333" t="s">
        <v>14213</v>
      </c>
      <c r="H932" s="346">
        <v>0</v>
      </c>
      <c r="I932" s="346">
        <v>0</v>
      </c>
      <c r="J932" s="346"/>
      <c r="K932" s="334"/>
      <c r="L932" s="346">
        <v>0</v>
      </c>
    </row>
    <row r="933" hidden="1" spans="1:12">
      <c r="A933" s="404"/>
      <c r="B933" s="404"/>
      <c r="C933" s="334"/>
      <c r="D933" s="442">
        <v>0</v>
      </c>
      <c r="E933" s="450">
        <v>0.00011</v>
      </c>
      <c r="F933" s="333" t="s">
        <v>13063</v>
      </c>
      <c r="G933" s="333" t="s">
        <v>14214</v>
      </c>
      <c r="H933" s="346">
        <v>0</v>
      </c>
      <c r="I933" s="346">
        <v>0</v>
      </c>
      <c r="J933" s="346"/>
      <c r="K933" s="334"/>
      <c r="L933" s="346">
        <v>0</v>
      </c>
    </row>
    <row r="934" hidden="1" spans="1:12">
      <c r="A934" s="404" t="s">
        <v>14251</v>
      </c>
      <c r="B934" s="404" t="s">
        <v>14252</v>
      </c>
      <c r="C934" s="404"/>
      <c r="D934" s="442">
        <v>0</v>
      </c>
      <c r="E934" s="450">
        <v>4e-5</v>
      </c>
      <c r="F934" s="333" t="s">
        <v>13063</v>
      </c>
      <c r="G934" s="333" t="s">
        <v>14212</v>
      </c>
      <c r="H934" s="346">
        <v>0</v>
      </c>
      <c r="I934" s="346">
        <v>0</v>
      </c>
      <c r="J934" s="346"/>
      <c r="K934" s="334"/>
      <c r="L934" s="346">
        <v>0</v>
      </c>
    </row>
    <row r="935" hidden="1" spans="1:12">
      <c r="A935" s="404"/>
      <c r="B935" s="404"/>
      <c r="C935" s="334"/>
      <c r="D935" s="442">
        <v>0</v>
      </c>
      <c r="E935" s="450">
        <v>4e-5</v>
      </c>
      <c r="F935" s="333" t="s">
        <v>13063</v>
      </c>
      <c r="G935" s="333" t="s">
        <v>14213</v>
      </c>
      <c r="H935" s="346">
        <v>0</v>
      </c>
      <c r="I935" s="346">
        <v>0</v>
      </c>
      <c r="J935" s="346"/>
      <c r="K935" s="334"/>
      <c r="L935" s="346">
        <v>0</v>
      </c>
    </row>
    <row r="936" hidden="1" spans="1:12">
      <c r="A936" s="404"/>
      <c r="B936" s="404"/>
      <c r="C936" s="334"/>
      <c r="D936" s="442">
        <v>0</v>
      </c>
      <c r="E936" s="450">
        <v>4e-5</v>
      </c>
      <c r="F936" s="333" t="s">
        <v>13063</v>
      </c>
      <c r="G936" s="333" t="s">
        <v>14214</v>
      </c>
      <c r="H936" s="346">
        <v>0</v>
      </c>
      <c r="I936" s="346">
        <v>0</v>
      </c>
      <c r="J936" s="346"/>
      <c r="K936" s="334"/>
      <c r="L936" s="346">
        <v>0</v>
      </c>
    </row>
    <row r="937" hidden="1" spans="1:12">
      <c r="A937" s="401" t="s">
        <v>14253</v>
      </c>
      <c r="B937" s="401" t="s">
        <v>14254</v>
      </c>
      <c r="C937" s="401"/>
      <c r="D937" s="442">
        <v>0</v>
      </c>
      <c r="E937" s="450">
        <v>1e-5</v>
      </c>
      <c r="F937" s="439" t="s">
        <v>13063</v>
      </c>
      <c r="G937" s="439" t="s">
        <v>14212</v>
      </c>
      <c r="H937" s="346">
        <v>0</v>
      </c>
      <c r="I937" s="346">
        <v>0</v>
      </c>
      <c r="J937" s="395"/>
      <c r="L937" s="346">
        <v>0</v>
      </c>
    </row>
    <row r="938" hidden="1" spans="1:12">
      <c r="A938" s="401"/>
      <c r="B938" s="401"/>
      <c r="D938" s="442">
        <v>0</v>
      </c>
      <c r="E938" s="450">
        <v>1e-5</v>
      </c>
      <c r="F938" s="439" t="s">
        <v>13063</v>
      </c>
      <c r="G938" s="439" t="s">
        <v>14213</v>
      </c>
      <c r="H938" s="346">
        <v>0</v>
      </c>
      <c r="I938" s="346">
        <v>0</v>
      </c>
      <c r="J938" s="395"/>
      <c r="L938" s="346">
        <v>0</v>
      </c>
    </row>
    <row r="939" hidden="1" spans="1:12">
      <c r="A939" s="401"/>
      <c r="B939" s="401"/>
      <c r="D939" s="442">
        <v>0</v>
      </c>
      <c r="E939" s="450">
        <v>1e-5</v>
      </c>
      <c r="F939" s="439" t="s">
        <v>13063</v>
      </c>
      <c r="G939" s="439" t="s">
        <v>14214</v>
      </c>
      <c r="H939" s="346">
        <v>0</v>
      </c>
      <c r="I939" s="346">
        <v>0</v>
      </c>
      <c r="J939" s="395"/>
      <c r="L939" s="346">
        <v>0</v>
      </c>
    </row>
    <row r="940" hidden="1" spans="1:12">
      <c r="A940" s="401">
        <v>0</v>
      </c>
      <c r="B940" s="401" t="e">
        <v>#N/A</v>
      </c>
      <c r="C940" s="401"/>
      <c r="D940" s="442">
        <v>0</v>
      </c>
      <c r="E940" s="450">
        <v>0</v>
      </c>
      <c r="F940" s="439" t="s">
        <v>13063</v>
      </c>
      <c r="G940" s="439" t="s">
        <v>14212</v>
      </c>
      <c r="H940" s="346">
        <v>0</v>
      </c>
      <c r="I940" s="346">
        <v>0</v>
      </c>
      <c r="J940" s="395"/>
      <c r="L940" s="346" t="s">
        <v>932</v>
      </c>
    </row>
    <row r="941" hidden="1" spans="1:12">
      <c r="A941" s="401"/>
      <c r="B941" s="401"/>
      <c r="D941" s="442">
        <v>0</v>
      </c>
      <c r="E941" s="450">
        <v>0</v>
      </c>
      <c r="F941" s="439" t="s">
        <v>13063</v>
      </c>
      <c r="G941" s="439" t="s">
        <v>14213</v>
      </c>
      <c r="H941" s="346">
        <v>0</v>
      </c>
      <c r="I941" s="346">
        <v>0</v>
      </c>
      <c r="J941" s="395"/>
      <c r="L941" s="346" t="s">
        <v>932</v>
      </c>
    </row>
    <row r="942" hidden="1" spans="1:12">
      <c r="A942" s="401"/>
      <c r="B942" s="401"/>
      <c r="D942" s="442">
        <v>0</v>
      </c>
      <c r="E942" s="450">
        <v>0</v>
      </c>
      <c r="F942" s="439" t="s">
        <v>13063</v>
      </c>
      <c r="G942" s="439" t="s">
        <v>14214</v>
      </c>
      <c r="H942" s="346">
        <v>0</v>
      </c>
      <c r="I942" s="346">
        <v>0</v>
      </c>
      <c r="J942" s="395"/>
      <c r="L942" s="346" t="s">
        <v>932</v>
      </c>
    </row>
    <row r="943" hidden="1" spans="1:12">
      <c r="A943" s="401">
        <v>0</v>
      </c>
      <c r="B943" s="401" t="e">
        <v>#N/A</v>
      </c>
      <c r="C943" s="401"/>
      <c r="D943" s="442">
        <v>0</v>
      </c>
      <c r="E943" s="450">
        <v>0</v>
      </c>
      <c r="F943" s="439" t="s">
        <v>13063</v>
      </c>
      <c r="G943" s="439" t="s">
        <v>14212</v>
      </c>
      <c r="H943" s="346">
        <v>0</v>
      </c>
      <c r="I943" s="346">
        <v>0</v>
      </c>
      <c r="J943" s="395"/>
      <c r="L943" s="346" t="s">
        <v>932</v>
      </c>
    </row>
    <row r="944" hidden="1" spans="1:12">
      <c r="A944" s="401"/>
      <c r="B944" s="401"/>
      <c r="D944" s="442">
        <v>0</v>
      </c>
      <c r="E944" s="450">
        <v>0</v>
      </c>
      <c r="F944" s="439" t="s">
        <v>13063</v>
      </c>
      <c r="G944" s="439" t="s">
        <v>14213</v>
      </c>
      <c r="H944" s="346">
        <v>0</v>
      </c>
      <c r="I944" s="346">
        <v>0</v>
      </c>
      <c r="J944" s="395"/>
      <c r="L944" s="346" t="s">
        <v>932</v>
      </c>
    </row>
    <row r="945" hidden="1" spans="1:14">
      <c r="A945" s="401"/>
      <c r="B945" s="401"/>
      <c r="D945" s="442">
        <v>0</v>
      </c>
      <c r="E945" s="450">
        <v>0</v>
      </c>
      <c r="F945" s="439" t="s">
        <v>13063</v>
      </c>
      <c r="G945" s="439" t="s">
        <v>14214</v>
      </c>
      <c r="H945" s="346">
        <v>0</v>
      </c>
      <c r="I945" s="346">
        <v>0</v>
      </c>
      <c r="J945" s="395"/>
      <c r="L945" s="346" t="s">
        <v>932</v>
      </c>
    </row>
    <row r="946" hidden="1" spans="1:14">
      <c r="A946" s="421"/>
      <c r="B946" s="422"/>
      <c r="C946" s="422"/>
      <c r="D946" s="422"/>
      <c r="E946" s="422"/>
      <c r="F946" s="422"/>
      <c r="G946" s="422"/>
      <c r="H946" s="422"/>
      <c r="I946" s="430"/>
      <c r="J946" s="430"/>
      <c r="K946" s="425" t="s">
        <v>14215</v>
      </c>
      <c r="L946" s="426">
        <v>0</v>
      </c>
    </row>
    <row r="947" spans="1:14">
      <c r="A947" s="451"/>
      <c r="B947" s="452"/>
      <c r="C947" s="452"/>
      <c r="D947" s="452"/>
      <c r="E947" s="452"/>
      <c r="F947" s="452"/>
      <c r="G947" s="452"/>
      <c r="H947" s="452"/>
      <c r="I947" s="453"/>
      <c r="J947" s="453"/>
      <c r="K947" s="454" t="s">
        <v>14216</v>
      </c>
      <c r="L947" s="455">
        <v>19.98</v>
      </c>
    </row>
    <row r="949" spans="1:14">
      <c r="A949" s="391" t="s">
        <v>14172</v>
      </c>
      <c r="B949" s="472"/>
      <c r="C949" s="472"/>
      <c r="D949" s="472"/>
      <c r="E949" s="472"/>
      <c r="F949" s="472"/>
      <c r="G949" s="393"/>
      <c r="H949" s="393"/>
      <c r="I949" s="393"/>
      <c r="J949" s="393"/>
      <c r="K949" s="393"/>
      <c r="L949" s="471"/>
    </row>
    <row r="950" spans="1:14">
      <c r="A950" s="396">
        <v>4815671</v>
      </c>
      <c r="B950" s="397" t="s">
        <v>112</v>
      </c>
      <c r="C950" s="397"/>
      <c r="D950" s="397"/>
      <c r="E950" s="397"/>
      <c r="F950" s="397"/>
      <c r="G950" s="397"/>
      <c r="H950" s="397" t="s">
        <v>99</v>
      </c>
      <c r="I950" s="398">
        <v>46023</v>
      </c>
      <c r="J950" s="397"/>
      <c r="K950" s="399" t="s">
        <v>14173</v>
      </c>
      <c r="L950" s="400">
        <v>0</v>
      </c>
    </row>
    <row r="951" spans="1:14">
      <c r="A951" s="401"/>
      <c r="H951" s="402" t="s">
        <v>14174</v>
      </c>
      <c r="I951" s="434">
        <v>3.1125</v>
      </c>
      <c r="J951" s="404" t="s">
        <v>99</v>
      </c>
      <c r="K951" s="402" t="s">
        <v>14175</v>
      </c>
      <c r="L951" s="456">
        <v>0.04367</v>
      </c>
    </row>
    <row r="952" spans="1:14">
      <c r="A952" s="405"/>
      <c r="B952" s="405"/>
      <c r="C952" s="405"/>
      <c r="D952" s="406"/>
      <c r="E952" s="406"/>
      <c r="F952" s="406"/>
      <c r="G952" s="407" t="s">
        <v>14176</v>
      </c>
      <c r="H952" s="408"/>
      <c r="I952" s="407" t="s">
        <v>14177</v>
      </c>
      <c r="J952" s="408"/>
      <c r="K952" s="405"/>
      <c r="L952" s="409" t="s">
        <v>14178</v>
      </c>
    </row>
    <row r="953" spans="1:14">
      <c r="A953" s="410" t="s">
        <v>14179</v>
      </c>
      <c r="B953" s="411"/>
      <c r="C953" s="412"/>
      <c r="D953" s="412"/>
      <c r="E953" s="413" t="s">
        <v>74</v>
      </c>
      <c r="F953" s="412"/>
      <c r="G953" s="413" t="s">
        <v>14180</v>
      </c>
      <c r="H953" s="413" t="s">
        <v>14181</v>
      </c>
      <c r="I953" s="413" t="s">
        <v>14182</v>
      </c>
      <c r="J953" s="413" t="s">
        <v>14183</v>
      </c>
      <c r="K953" s="411"/>
      <c r="L953" s="414" t="s">
        <v>14184</v>
      </c>
    </row>
    <row r="954" spans="1:14">
      <c r="A954" s="404" t="s">
        <v>1078</v>
      </c>
      <c r="B954" s="415" t="s">
        <v>1079</v>
      </c>
      <c r="C954" s="415"/>
      <c r="E954" s="434">
        <v>1</v>
      </c>
      <c r="F954" s="334"/>
      <c r="G954" s="346">
        <v>1</v>
      </c>
      <c r="H954" s="417">
        <v>0</v>
      </c>
      <c r="I954" s="395">
        <v>12.821</v>
      </c>
      <c r="J954" s="418">
        <v>2.773</v>
      </c>
      <c r="K954" s="402"/>
      <c r="L954" s="395">
        <v>12.821</v>
      </c>
      <c r="N954" s="395">
        <v>2.773</v>
      </c>
    </row>
    <row r="955" hidden="1" spans="1:14">
      <c r="A955" s="404">
        <v>0</v>
      </c>
      <c r="B955" s="404" t="e">
        <v>#N/A</v>
      </c>
      <c r="C955" s="404"/>
      <c r="D955" s="334"/>
      <c r="E955" s="434">
        <v>0</v>
      </c>
      <c r="F955" s="334"/>
      <c r="G955" s="346">
        <v>0</v>
      </c>
      <c r="H955" s="417">
        <v>1</v>
      </c>
      <c r="I955" s="346" t="e">
        <v>#N/A</v>
      </c>
      <c r="J955" s="419" t="e">
        <v>#N/A</v>
      </c>
      <c r="K955" s="420"/>
      <c r="L955" s="395" t="s">
        <v>932</v>
      </c>
      <c r="N955" s="395" t="s">
        <v>932</v>
      </c>
    </row>
    <row r="956" hidden="1" spans="1:14">
      <c r="A956" s="404">
        <v>0</v>
      </c>
      <c r="B956" s="404" t="e">
        <v>#N/A</v>
      </c>
      <c r="C956" s="404"/>
      <c r="D956" s="334"/>
      <c r="E956" s="416">
        <v>0</v>
      </c>
      <c r="F956" s="334"/>
      <c r="G956" s="346">
        <v>0</v>
      </c>
      <c r="H956" s="417">
        <v>1</v>
      </c>
      <c r="I956" s="346" t="e">
        <v>#N/A</v>
      </c>
      <c r="J956" s="419" t="e">
        <v>#N/A</v>
      </c>
      <c r="K956" s="420"/>
      <c r="L956" s="395" t="s">
        <v>932</v>
      </c>
      <c r="N956" s="395" t="s">
        <v>932</v>
      </c>
    </row>
    <row r="957" hidden="1" spans="1:14">
      <c r="A957" s="404">
        <v>0</v>
      </c>
      <c r="B957" s="404" t="e">
        <v>#N/A</v>
      </c>
      <c r="C957" s="404"/>
      <c r="D957" s="334"/>
      <c r="E957" s="416">
        <v>0</v>
      </c>
      <c r="F957" s="334"/>
      <c r="G957" s="346">
        <v>0</v>
      </c>
      <c r="H957" s="417">
        <v>1</v>
      </c>
      <c r="I957" s="346" t="e">
        <v>#N/A</v>
      </c>
      <c r="J957" s="419" t="e">
        <v>#N/A</v>
      </c>
      <c r="K957" s="420"/>
      <c r="L957" s="395" t="s">
        <v>932</v>
      </c>
      <c r="N957" s="395" t="s">
        <v>932</v>
      </c>
    </row>
    <row r="958" hidden="1" spans="1:14">
      <c r="A958" s="404">
        <v>0</v>
      </c>
      <c r="B958" s="404" t="e">
        <v>#N/A</v>
      </c>
      <c r="C958" s="404"/>
      <c r="D958" s="334"/>
      <c r="E958" s="416">
        <v>0</v>
      </c>
      <c r="F958" s="334"/>
      <c r="G958" s="346">
        <v>0</v>
      </c>
      <c r="H958" s="417">
        <v>1</v>
      </c>
      <c r="I958" s="346" t="e">
        <v>#N/A</v>
      </c>
      <c r="J958" s="419" t="e">
        <v>#N/A</v>
      </c>
      <c r="K958" s="420"/>
      <c r="L958" s="395" t="s">
        <v>932</v>
      </c>
      <c r="N958" s="395" t="s">
        <v>932</v>
      </c>
    </row>
    <row r="959" hidden="1" spans="1:14">
      <c r="A959" s="404">
        <v>0</v>
      </c>
      <c r="B959" s="404" t="e">
        <v>#N/A</v>
      </c>
      <c r="C959" s="404"/>
      <c r="D959" s="334"/>
      <c r="E959" s="416">
        <v>0</v>
      </c>
      <c r="F959" s="334"/>
      <c r="G959" s="346">
        <v>0</v>
      </c>
      <c r="H959" s="417">
        <v>1</v>
      </c>
      <c r="I959" s="346" t="e">
        <v>#N/A</v>
      </c>
      <c r="J959" s="419" t="e">
        <v>#N/A</v>
      </c>
      <c r="K959" s="420"/>
      <c r="L959" s="395" t="s">
        <v>932</v>
      </c>
      <c r="N959" s="395" t="s">
        <v>932</v>
      </c>
    </row>
    <row r="960" hidden="1" spans="1:14">
      <c r="A960" s="404">
        <v>0</v>
      </c>
      <c r="B960" s="404" t="e">
        <v>#N/A</v>
      </c>
      <c r="C960" s="404"/>
      <c r="D960" s="334"/>
      <c r="E960" s="416">
        <v>0</v>
      </c>
      <c r="F960" s="334"/>
      <c r="G960" s="346">
        <v>0</v>
      </c>
      <c r="H960" s="417">
        <v>1</v>
      </c>
      <c r="I960" s="346" t="e">
        <v>#N/A</v>
      </c>
      <c r="J960" s="419" t="e">
        <v>#N/A</v>
      </c>
      <c r="K960" s="420"/>
      <c r="L960" s="395" t="s">
        <v>932</v>
      </c>
      <c r="N960" s="395" t="s">
        <v>932</v>
      </c>
    </row>
    <row r="961" hidden="1" spans="1:15">
      <c r="A961" s="404">
        <v>0</v>
      </c>
      <c r="B961" s="404" t="e">
        <v>#N/A</v>
      </c>
      <c r="C961" s="404"/>
      <c r="D961" s="334"/>
      <c r="E961" s="416">
        <v>0</v>
      </c>
      <c r="F961" s="334"/>
      <c r="G961" s="346">
        <v>0</v>
      </c>
      <c r="H961" s="417">
        <v>1</v>
      </c>
      <c r="I961" s="346" t="e">
        <v>#N/A</v>
      </c>
      <c r="J961" s="419" t="e">
        <v>#N/A</v>
      </c>
      <c r="K961" s="420"/>
      <c r="L961" s="395" t="s">
        <v>932</v>
      </c>
      <c r="N961" s="395" t="s">
        <v>932</v>
      </c>
    </row>
    <row r="962" spans="1:15">
      <c r="A962" s="421"/>
      <c r="B962" s="422"/>
      <c r="C962" s="422"/>
      <c r="D962" s="422"/>
      <c r="E962" s="423"/>
      <c r="F962" s="424"/>
      <c r="G962" s="422"/>
      <c r="H962" s="422"/>
      <c r="I962" s="422"/>
      <c r="J962" s="422"/>
      <c r="K962" s="425" t="s">
        <v>14185</v>
      </c>
      <c r="L962" s="426">
        <v>12.821</v>
      </c>
      <c r="N962" s="427">
        <v>2.773</v>
      </c>
    </row>
    <row r="963" spans="1:15">
      <c r="A963" s="428" t="s">
        <v>14186</v>
      </c>
      <c r="B963" s="429"/>
      <c r="C963" s="429"/>
      <c r="D963" s="430"/>
      <c r="E963" s="431" t="s">
        <v>74</v>
      </c>
      <c r="F963" s="431" t="s">
        <v>1123</v>
      </c>
      <c r="G963" s="430"/>
      <c r="H963" s="422"/>
      <c r="I963" s="431" t="s">
        <v>14177</v>
      </c>
      <c r="J963" s="430"/>
      <c r="K963" s="430"/>
      <c r="L963" s="432" t="s">
        <v>14187</v>
      </c>
    </row>
    <row r="964" spans="1:15">
      <c r="A964" s="404" t="s">
        <v>935</v>
      </c>
      <c r="B964" s="433" t="s">
        <v>936</v>
      </c>
      <c r="C964" s="433"/>
      <c r="D964" s="334"/>
      <c r="E964" s="434">
        <v>2</v>
      </c>
      <c r="F964" s="333" t="s">
        <v>104</v>
      </c>
      <c r="G964" s="334"/>
      <c r="H964" s="334"/>
      <c r="I964" s="435">
        <v>23.6025</v>
      </c>
      <c r="J964" s="334"/>
      <c r="K964" s="334"/>
      <c r="L964" s="346">
        <v>47.205</v>
      </c>
      <c r="N964" s="395">
        <v>47.205</v>
      </c>
    </row>
    <row r="965" hidden="1" spans="1:15">
      <c r="A965" s="404">
        <v>0</v>
      </c>
      <c r="B965" s="404" t="e">
        <v>#N/A</v>
      </c>
      <c r="C965" s="404"/>
      <c r="D965" s="334"/>
      <c r="E965" s="434">
        <v>0</v>
      </c>
      <c r="F965" s="333" t="s">
        <v>104</v>
      </c>
      <c r="G965" s="334"/>
      <c r="H965" s="334"/>
      <c r="I965" s="435" t="e">
        <v>#N/A</v>
      </c>
      <c r="J965" s="334"/>
      <c r="K965" s="334"/>
      <c r="L965" s="346" t="s">
        <v>932</v>
      </c>
      <c r="N965" s="395" t="s">
        <v>932</v>
      </c>
    </row>
    <row r="966" hidden="1" spans="1:15">
      <c r="A966" s="404">
        <v>0</v>
      </c>
      <c r="B966" s="404" t="e">
        <v>#N/A</v>
      </c>
      <c r="C966" s="404"/>
      <c r="D966" s="334"/>
      <c r="E966" s="434">
        <v>0</v>
      </c>
      <c r="F966" s="333" t="s">
        <v>104</v>
      </c>
      <c r="G966" s="334"/>
      <c r="H966" s="334"/>
      <c r="I966" s="435" t="e">
        <v>#N/A</v>
      </c>
      <c r="J966" s="334"/>
      <c r="K966" s="334"/>
      <c r="L966" s="346" t="s">
        <v>932</v>
      </c>
      <c r="N966" s="395" t="s">
        <v>932</v>
      </c>
    </row>
    <row r="967" hidden="1" spans="1:15">
      <c r="A967" s="404">
        <v>0</v>
      </c>
      <c r="B967" s="404" t="e">
        <v>#N/A</v>
      </c>
      <c r="C967" s="404"/>
      <c r="D967" s="334"/>
      <c r="E967" s="434">
        <v>0</v>
      </c>
      <c r="F967" s="333" t="s">
        <v>104</v>
      </c>
      <c r="G967" s="334"/>
      <c r="H967" s="334"/>
      <c r="I967" s="435" t="e">
        <v>#N/A</v>
      </c>
      <c r="J967" s="334"/>
      <c r="K967" s="334"/>
      <c r="L967" s="346" t="s">
        <v>932</v>
      </c>
      <c r="N967" s="395" t="s">
        <v>932</v>
      </c>
    </row>
    <row r="968" hidden="1" spans="1:15">
      <c r="A968" s="404">
        <v>0</v>
      </c>
      <c r="B968" s="404" t="e">
        <v>#N/A</v>
      </c>
      <c r="C968" s="404"/>
      <c r="D968" s="334"/>
      <c r="E968" s="434">
        <v>0</v>
      </c>
      <c r="F968" s="333" t="s">
        <v>104</v>
      </c>
      <c r="G968" s="334"/>
      <c r="H968" s="334"/>
      <c r="I968" s="435" t="e">
        <v>#N/A</v>
      </c>
      <c r="J968" s="334"/>
      <c r="K968" s="334"/>
      <c r="L968" s="346" t="s">
        <v>932</v>
      </c>
      <c r="N968" s="395" t="s">
        <v>932</v>
      </c>
    </row>
    <row r="969" hidden="1" spans="1:15">
      <c r="A969" s="404">
        <v>0</v>
      </c>
      <c r="B969" s="404" t="e">
        <v>#N/A</v>
      </c>
      <c r="C969" s="404"/>
      <c r="D969" s="334"/>
      <c r="E969" s="434">
        <v>0</v>
      </c>
      <c r="F969" s="333" t="s">
        <v>104</v>
      </c>
      <c r="G969" s="334"/>
      <c r="H969" s="334"/>
      <c r="I969" s="435" t="e">
        <v>#N/A</v>
      </c>
      <c r="J969" s="334"/>
      <c r="K969" s="334"/>
      <c r="L969" s="346" t="s">
        <v>932</v>
      </c>
      <c r="N969" s="395" t="s">
        <v>932</v>
      </c>
    </row>
    <row r="970" hidden="1" spans="1:15">
      <c r="A970" s="404">
        <v>0</v>
      </c>
      <c r="B970" s="404" t="e">
        <v>#N/A</v>
      </c>
      <c r="C970" s="404"/>
      <c r="D970" s="334"/>
      <c r="E970" s="434">
        <v>0</v>
      </c>
      <c r="F970" s="333" t="s">
        <v>104</v>
      </c>
      <c r="G970" s="334"/>
      <c r="H970" s="334"/>
      <c r="I970" s="435" t="e">
        <v>#N/A</v>
      </c>
      <c r="J970" s="334"/>
      <c r="K970" s="334"/>
      <c r="L970" s="346" t="s">
        <v>932</v>
      </c>
      <c r="N970" s="395" t="s">
        <v>932</v>
      </c>
    </row>
    <row r="971" hidden="1" spans="1:15">
      <c r="A971" s="404">
        <v>0</v>
      </c>
      <c r="B971" s="436" t="e">
        <v>#N/A</v>
      </c>
      <c r="C971" s="436"/>
      <c r="D971" s="334"/>
      <c r="E971" s="434">
        <v>0</v>
      </c>
      <c r="F971" s="333" t="s">
        <v>104</v>
      </c>
      <c r="G971" s="334"/>
      <c r="H971" s="334"/>
      <c r="I971" s="435" t="e">
        <v>#N/A</v>
      </c>
      <c r="J971" s="334"/>
      <c r="K971" s="334"/>
      <c r="L971" s="346" t="s">
        <v>932</v>
      </c>
      <c r="N971" s="395" t="s">
        <v>932</v>
      </c>
    </row>
    <row r="972" spans="1:15">
      <c r="A972" s="421"/>
      <c r="B972" s="62"/>
      <c r="C972" s="62"/>
      <c r="D972" s="422"/>
      <c r="E972" s="423"/>
      <c r="F972" s="424"/>
      <c r="G972" s="422"/>
      <c r="H972" s="422"/>
      <c r="I972" s="422"/>
      <c r="J972" s="422"/>
      <c r="K972" s="425" t="s">
        <v>14188</v>
      </c>
      <c r="L972" s="426">
        <v>47.205</v>
      </c>
      <c r="N972" s="427">
        <v>47.205</v>
      </c>
    </row>
    <row r="973" spans="1:15">
      <c r="I973" s="437"/>
      <c r="K973" s="383" t="s">
        <v>14189</v>
      </c>
      <c r="L973" s="427">
        <v>60.026</v>
      </c>
      <c r="N973" s="395">
        <v>49.978</v>
      </c>
    </row>
    <row r="974" spans="1:15">
      <c r="K974" s="383" t="s">
        <v>14190</v>
      </c>
      <c r="L974" s="427">
        <v>19.2854618473896</v>
      </c>
      <c r="N974" s="395">
        <v>16.0571887550201</v>
      </c>
      <c r="O974" s="395">
        <v>0.701217432931727</v>
      </c>
    </row>
    <row r="975" spans="1:15">
      <c r="K975" s="383" t="s">
        <v>14191</v>
      </c>
      <c r="L975" s="427">
        <v>0.701217432931727</v>
      </c>
    </row>
    <row r="976" spans="1:15">
      <c r="K976" s="383" t="s">
        <v>14192</v>
      </c>
      <c r="L976" s="395">
        <v>0</v>
      </c>
    </row>
    <row r="977" hidden="1" spans="1:12">
      <c r="A977" s="428" t="s">
        <v>14193</v>
      </c>
      <c r="B977" s="430"/>
      <c r="C977" s="430"/>
      <c r="D977" s="430"/>
      <c r="E977" s="431" t="s">
        <v>74</v>
      </c>
      <c r="F977" s="431" t="s">
        <v>1123</v>
      </c>
      <c r="G977" s="430"/>
      <c r="H977" s="430"/>
      <c r="I977" s="425" t="s">
        <v>75</v>
      </c>
      <c r="J977" s="430"/>
      <c r="K977" s="430"/>
      <c r="L977" s="426" t="s">
        <v>14194</v>
      </c>
    </row>
    <row r="978" hidden="1" spans="1:12">
      <c r="A978" s="404">
        <v>0</v>
      </c>
      <c r="B978" s="433" t="e">
        <v>#N/A</v>
      </c>
      <c r="C978" s="433"/>
      <c r="D978" s="334"/>
      <c r="E978" s="434">
        <v>0</v>
      </c>
      <c r="F978" s="333" t="e">
        <v>#N/A</v>
      </c>
      <c r="G978" s="334"/>
      <c r="I978" s="395" t="e">
        <v>#N/A</v>
      </c>
      <c r="J978" s="395"/>
      <c r="K978" s="395"/>
      <c r="L978" s="346" t="s">
        <v>932</v>
      </c>
    </row>
    <row r="979" hidden="1" spans="1:12">
      <c r="A979" s="404">
        <v>0</v>
      </c>
      <c r="B979" s="404" t="e">
        <v>#N/A</v>
      </c>
      <c r="C979" s="404"/>
      <c r="D979" s="334"/>
      <c r="E979" s="434">
        <v>0</v>
      </c>
      <c r="F979" s="333" t="e">
        <v>#N/A</v>
      </c>
      <c r="G979" s="334"/>
      <c r="I979" s="395" t="e">
        <v>#N/A</v>
      </c>
      <c r="J979" s="395"/>
      <c r="K979" s="395"/>
      <c r="L979" s="346" t="s">
        <v>932</v>
      </c>
    </row>
    <row r="980" hidden="1" spans="1:12">
      <c r="A980" s="404">
        <v>0</v>
      </c>
      <c r="B980" s="404" t="e">
        <v>#N/A</v>
      </c>
      <c r="C980" s="404"/>
      <c r="D980" s="334"/>
      <c r="E980" s="434">
        <v>0</v>
      </c>
      <c r="F980" s="333" t="e">
        <v>#N/A</v>
      </c>
      <c r="G980" s="334"/>
      <c r="I980" s="395" t="e">
        <v>#N/A</v>
      </c>
      <c r="J980" s="395"/>
      <c r="K980" s="395"/>
      <c r="L980" s="346" t="s">
        <v>932</v>
      </c>
    </row>
    <row r="981" hidden="1" spans="1:12">
      <c r="A981" s="404">
        <v>0</v>
      </c>
      <c r="B981" s="404" t="e">
        <v>#N/A</v>
      </c>
      <c r="C981" s="404"/>
      <c r="D981" s="334"/>
      <c r="E981" s="434">
        <v>0</v>
      </c>
      <c r="F981" s="333" t="e">
        <v>#N/A</v>
      </c>
      <c r="G981" s="334"/>
      <c r="I981" s="395" t="e">
        <v>#N/A</v>
      </c>
      <c r="J981" s="395"/>
      <c r="K981" s="395"/>
      <c r="L981" s="346" t="s">
        <v>932</v>
      </c>
    </row>
    <row r="982" hidden="1" spans="1:12">
      <c r="A982" s="404">
        <v>0</v>
      </c>
      <c r="B982" s="404" t="e">
        <v>#N/A</v>
      </c>
      <c r="C982" s="404"/>
      <c r="D982" s="334"/>
      <c r="E982" s="434">
        <v>0</v>
      </c>
      <c r="F982" s="333" t="e">
        <v>#N/A</v>
      </c>
      <c r="G982" s="334"/>
      <c r="H982" s="334"/>
      <c r="I982" s="395" t="e">
        <v>#N/A</v>
      </c>
      <c r="J982" s="395"/>
      <c r="K982" s="395"/>
      <c r="L982" s="346" t="s">
        <v>932</v>
      </c>
    </row>
    <row r="983" hidden="1" spans="1:12">
      <c r="A983" s="404">
        <v>0</v>
      </c>
      <c r="B983" s="404" t="e">
        <v>#N/A</v>
      </c>
      <c r="C983" s="404"/>
      <c r="D983" s="334"/>
      <c r="E983" s="434">
        <v>0</v>
      </c>
      <c r="F983" s="333" t="e">
        <v>#N/A</v>
      </c>
      <c r="G983" s="334"/>
      <c r="H983" s="334"/>
      <c r="I983" s="395" t="e">
        <v>#N/A</v>
      </c>
      <c r="J983" s="395"/>
      <c r="K983" s="395"/>
      <c r="L983" s="346" t="s">
        <v>932</v>
      </c>
    </row>
    <row r="984" hidden="1" spans="1:12">
      <c r="A984" s="404">
        <v>0</v>
      </c>
      <c r="B984" s="404" t="e">
        <v>#N/A</v>
      </c>
      <c r="C984" s="404"/>
      <c r="D984" s="334"/>
      <c r="E984" s="434">
        <v>0</v>
      </c>
      <c r="F984" s="333" t="e">
        <v>#N/A</v>
      </c>
      <c r="G984" s="334"/>
      <c r="H984" s="334"/>
      <c r="I984" s="395" t="e">
        <v>#N/A</v>
      </c>
      <c r="J984" s="395"/>
      <c r="K984" s="395"/>
      <c r="L984" s="346" t="s">
        <v>932</v>
      </c>
    </row>
    <row r="985" hidden="1" spans="1:12">
      <c r="A985" s="404">
        <v>0</v>
      </c>
      <c r="B985" s="404" t="e">
        <v>#N/A</v>
      </c>
      <c r="C985" s="404"/>
      <c r="D985" s="438"/>
      <c r="E985" s="434">
        <v>0</v>
      </c>
      <c r="F985" s="333" t="e">
        <v>#N/A</v>
      </c>
      <c r="G985" s="334"/>
      <c r="H985" s="334"/>
      <c r="I985" s="395" t="e">
        <v>#N/A</v>
      </c>
      <c r="J985" s="395"/>
      <c r="K985" s="395"/>
      <c r="L985" s="346" t="s">
        <v>932</v>
      </c>
    </row>
    <row r="986" hidden="1" spans="1:12">
      <c r="A986" s="421"/>
      <c r="B986" s="422"/>
      <c r="C986" s="422"/>
      <c r="D986" s="422"/>
      <c r="E986" s="423"/>
      <c r="F986" s="424"/>
      <c r="G986" s="422"/>
      <c r="H986" s="422"/>
      <c r="I986" s="430"/>
      <c r="J986" s="430"/>
      <c r="K986" s="425" t="s">
        <v>14203</v>
      </c>
      <c r="L986" s="426">
        <v>0</v>
      </c>
    </row>
    <row r="987" hidden="1" spans="1:12">
      <c r="A987" s="428" t="s">
        <v>14204</v>
      </c>
      <c r="B987" s="430"/>
      <c r="C987" s="430"/>
      <c r="D987" s="430"/>
      <c r="E987" s="431" t="s">
        <v>74</v>
      </c>
      <c r="F987" s="431" t="s">
        <v>1123</v>
      </c>
      <c r="G987" s="430"/>
      <c r="H987" s="430"/>
      <c r="I987" s="425" t="s">
        <v>75</v>
      </c>
      <c r="J987" s="430"/>
      <c r="K987" s="430"/>
      <c r="L987" s="426" t="s">
        <v>14194</v>
      </c>
    </row>
    <row r="988" hidden="1" spans="1:12">
      <c r="A988" s="404">
        <v>0</v>
      </c>
      <c r="B988" s="334" t="e">
        <v>#N/A</v>
      </c>
      <c r="C988" s="334"/>
      <c r="D988" s="334"/>
      <c r="E988" s="434">
        <v>0</v>
      </c>
      <c r="F988" s="333" t="e">
        <v>#N/A</v>
      </c>
      <c r="G988" s="439"/>
      <c r="I988" s="346" t="e">
        <v>#N/A</v>
      </c>
      <c r="L988" s="346" t="s">
        <v>932</v>
      </c>
    </row>
    <row r="989" hidden="1" spans="1:12">
      <c r="A989" s="401">
        <v>0</v>
      </c>
      <c r="B989" s="334" t="e">
        <v>#N/A</v>
      </c>
      <c r="E989" s="440">
        <v>0</v>
      </c>
      <c r="F989" s="333" t="e">
        <v>#N/A</v>
      </c>
      <c r="G989" s="439"/>
      <c r="I989" s="346" t="e">
        <v>#N/A</v>
      </c>
      <c r="L989" s="346" t="s">
        <v>932</v>
      </c>
    </row>
    <row r="990" hidden="1" spans="1:12">
      <c r="A990" s="401">
        <v>0</v>
      </c>
      <c r="B990" s="334" t="e">
        <v>#N/A</v>
      </c>
      <c r="E990" s="440">
        <v>0</v>
      </c>
      <c r="F990" s="333" t="e">
        <v>#N/A</v>
      </c>
      <c r="G990" s="439"/>
      <c r="I990" s="346" t="e">
        <v>#N/A</v>
      </c>
      <c r="L990" s="346" t="s">
        <v>932</v>
      </c>
    </row>
    <row r="991" hidden="1" spans="1:12">
      <c r="A991" s="401">
        <v>0</v>
      </c>
      <c r="B991" s="334" t="e">
        <v>#N/A</v>
      </c>
      <c r="E991" s="440">
        <v>0</v>
      </c>
      <c r="F991" s="333" t="e">
        <v>#N/A</v>
      </c>
      <c r="G991" s="439"/>
      <c r="I991" s="346" t="e">
        <v>#N/A</v>
      </c>
      <c r="L991" s="346" t="s">
        <v>932</v>
      </c>
    </row>
    <row r="992" hidden="1" spans="1:12">
      <c r="A992" s="401">
        <v>0</v>
      </c>
      <c r="B992" s="334" t="e">
        <v>#N/A</v>
      </c>
      <c r="E992" s="440">
        <v>0</v>
      </c>
      <c r="F992" s="333" t="e">
        <v>#N/A</v>
      </c>
      <c r="G992" s="439"/>
      <c r="I992" s="346" t="e">
        <v>#N/A</v>
      </c>
      <c r="L992" s="346" t="s">
        <v>932</v>
      </c>
    </row>
    <row r="993" hidden="1" spans="1:12">
      <c r="A993" s="401">
        <v>0</v>
      </c>
      <c r="B993" s="334" t="e">
        <v>#N/A</v>
      </c>
      <c r="E993" s="440">
        <v>0</v>
      </c>
      <c r="F993" s="333" t="e">
        <v>#N/A</v>
      </c>
      <c r="G993" s="439"/>
      <c r="I993" s="346" t="e">
        <v>#N/A</v>
      </c>
      <c r="L993" s="346" t="s">
        <v>932</v>
      </c>
    </row>
    <row r="994" hidden="1" spans="1:12">
      <c r="A994" s="421"/>
      <c r="B994" s="422"/>
      <c r="C994" s="422"/>
      <c r="D994" s="422"/>
      <c r="E994" s="422"/>
      <c r="F994" s="422"/>
      <c r="G994" s="422"/>
      <c r="H994" s="422"/>
      <c r="I994" s="430"/>
      <c r="J994" s="430"/>
      <c r="K994" s="425" t="s">
        <v>14206</v>
      </c>
      <c r="L994" s="426">
        <v>0</v>
      </c>
    </row>
    <row r="995" spans="1:12">
      <c r="A995" s="421"/>
      <c r="B995" s="422"/>
      <c r="C995" s="422"/>
      <c r="D995" s="422"/>
      <c r="E995" s="422"/>
      <c r="F995" s="422"/>
      <c r="G995" s="422"/>
      <c r="H995" s="422"/>
      <c r="I995" s="430"/>
      <c r="J995" s="430"/>
      <c r="K995" s="425" t="s">
        <v>14207</v>
      </c>
      <c r="L995" s="426">
        <v>19.9866792803213</v>
      </c>
    </row>
    <row r="996" hidden="1" spans="1:12">
      <c r="A996" s="428" t="s">
        <v>14208</v>
      </c>
      <c r="B996" s="430"/>
      <c r="C996" s="430"/>
      <c r="D996" s="431" t="s">
        <v>55</v>
      </c>
      <c r="E996" s="431" t="s">
        <v>74</v>
      </c>
      <c r="F996" s="431" t="s">
        <v>1123</v>
      </c>
      <c r="G996" s="430"/>
      <c r="H996" s="430"/>
      <c r="I996" s="425" t="s">
        <v>75</v>
      </c>
      <c r="J996" s="430"/>
      <c r="K996" s="430"/>
      <c r="L996" s="426" t="s">
        <v>14194</v>
      </c>
    </row>
    <row r="997" hidden="1" spans="1:12">
      <c r="A997" s="404">
        <v>0</v>
      </c>
      <c r="B997" s="441" t="e">
        <v>#N/A</v>
      </c>
      <c r="C997" s="441"/>
      <c r="D997" s="442">
        <v>0</v>
      </c>
      <c r="E997" s="434">
        <v>0</v>
      </c>
      <c r="F997" s="333" t="s">
        <v>9885</v>
      </c>
      <c r="G997" s="443" t="s">
        <v>14209</v>
      </c>
      <c r="H997" s="334"/>
      <c r="I997" s="346">
        <v>0</v>
      </c>
      <c r="J997" s="334"/>
      <c r="K997" s="346"/>
      <c r="L997" s="346" t="s">
        <v>932</v>
      </c>
    </row>
    <row r="998" hidden="1" spans="1:12">
      <c r="A998" s="404">
        <v>0</v>
      </c>
      <c r="B998" s="334" t="e">
        <v>#N/A</v>
      </c>
      <c r="C998" s="334"/>
      <c r="D998" s="442">
        <v>0</v>
      </c>
      <c r="E998" s="434">
        <v>0</v>
      </c>
      <c r="F998" s="333" t="s">
        <v>9885</v>
      </c>
      <c r="G998" s="334"/>
      <c r="H998" s="334"/>
      <c r="I998" s="346">
        <v>0</v>
      </c>
      <c r="J998" s="334"/>
      <c r="K998" s="346"/>
      <c r="L998" s="346" t="s">
        <v>932</v>
      </c>
    </row>
    <row r="999" hidden="1" spans="1:12">
      <c r="A999" s="404">
        <v>0</v>
      </c>
      <c r="B999" s="334" t="e">
        <v>#N/A</v>
      </c>
      <c r="C999" s="334"/>
      <c r="D999" s="442">
        <v>0</v>
      </c>
      <c r="E999" s="434">
        <v>0</v>
      </c>
      <c r="F999" s="333" t="s">
        <v>9885</v>
      </c>
      <c r="G999" s="334"/>
      <c r="H999" s="334"/>
      <c r="I999" s="346">
        <v>0</v>
      </c>
      <c r="J999" s="334"/>
      <c r="K999" s="346"/>
      <c r="L999" s="346" t="s">
        <v>932</v>
      </c>
    </row>
    <row r="1000" hidden="1" spans="1:12">
      <c r="A1000" s="404">
        <v>0</v>
      </c>
      <c r="B1000" s="334" t="e">
        <v>#N/A</v>
      </c>
      <c r="C1000" s="334"/>
      <c r="D1000" s="442">
        <v>0</v>
      </c>
      <c r="E1000" s="434">
        <v>0</v>
      </c>
      <c r="F1000" s="333" t="s">
        <v>9885</v>
      </c>
      <c r="G1000" s="334"/>
      <c r="H1000" s="334"/>
      <c r="I1000" s="346">
        <v>0</v>
      </c>
      <c r="J1000" s="334"/>
      <c r="K1000" s="346"/>
      <c r="L1000" s="346" t="s">
        <v>932</v>
      </c>
    </row>
    <row r="1001" hidden="1" spans="1:12">
      <c r="A1001" s="404">
        <v>0</v>
      </c>
      <c r="B1001" s="334" t="e">
        <v>#N/A</v>
      </c>
      <c r="C1001" s="334"/>
      <c r="D1001" s="442">
        <v>0</v>
      </c>
      <c r="E1001" s="434">
        <v>0</v>
      </c>
      <c r="F1001" s="333" t="s">
        <v>9885</v>
      </c>
      <c r="G1001" s="334"/>
      <c r="H1001" s="334"/>
      <c r="I1001" s="346">
        <v>0</v>
      </c>
      <c r="J1001" s="334"/>
      <c r="K1001" s="346"/>
      <c r="L1001" s="346" t="s">
        <v>932</v>
      </c>
    </row>
    <row r="1002" hidden="1" spans="1:12">
      <c r="A1002" s="404">
        <v>0</v>
      </c>
      <c r="B1002" s="334" t="e">
        <v>#N/A</v>
      </c>
      <c r="C1002" s="334"/>
      <c r="D1002" s="442">
        <v>0</v>
      </c>
      <c r="E1002" s="434">
        <v>0</v>
      </c>
      <c r="F1002" s="333" t="s">
        <v>9885</v>
      </c>
      <c r="G1002" s="334"/>
      <c r="H1002" s="334"/>
      <c r="I1002" s="346">
        <v>0</v>
      </c>
      <c r="J1002" s="334"/>
      <c r="K1002" s="346"/>
      <c r="L1002" s="346" t="s">
        <v>932</v>
      </c>
    </row>
    <row r="1003" hidden="1" spans="1:12">
      <c r="A1003" s="404">
        <v>0</v>
      </c>
      <c r="B1003" s="334" t="e">
        <v>#N/A</v>
      </c>
      <c r="C1003" s="334"/>
      <c r="D1003" s="442">
        <v>0</v>
      </c>
      <c r="E1003" s="434">
        <v>0</v>
      </c>
      <c r="F1003" s="333" t="s">
        <v>9885</v>
      </c>
      <c r="G1003" s="334"/>
      <c r="H1003" s="334"/>
      <c r="I1003" s="346">
        <v>0</v>
      </c>
      <c r="J1003" s="334"/>
      <c r="K1003" s="346"/>
      <c r="L1003" s="346" t="s">
        <v>932</v>
      </c>
    </row>
    <row r="1004" hidden="1" spans="1:12">
      <c r="A1004" s="404">
        <v>0</v>
      </c>
      <c r="B1004" s="444" t="e">
        <v>#N/A</v>
      </c>
      <c r="C1004" s="444"/>
      <c r="D1004" s="442">
        <v>0</v>
      </c>
      <c r="E1004" s="434">
        <v>0</v>
      </c>
      <c r="F1004" s="333" t="s">
        <v>9885</v>
      </c>
      <c r="G1004" s="334"/>
      <c r="H1004" s="334"/>
      <c r="I1004" s="346">
        <v>0</v>
      </c>
      <c r="J1004" s="334"/>
      <c r="K1004" s="346"/>
      <c r="L1004" s="346" t="s">
        <v>932</v>
      </c>
    </row>
    <row r="1005" hidden="1" spans="1:12">
      <c r="A1005" s="428"/>
      <c r="B1005" s="445"/>
      <c r="C1005" s="445"/>
      <c r="D1005" s="430"/>
      <c r="E1005" s="430"/>
      <c r="F1005" s="430"/>
      <c r="G1005" s="430"/>
      <c r="H1005" s="430"/>
      <c r="I1005" s="430"/>
      <c r="J1005" s="430"/>
      <c r="K1005" s="425" t="s">
        <v>14210</v>
      </c>
      <c r="L1005" s="426">
        <v>0</v>
      </c>
    </row>
    <row r="1006" hidden="1" spans="1:12">
      <c r="A1006" s="446" t="s">
        <v>14211</v>
      </c>
      <c r="B1006" s="445"/>
      <c r="C1006" s="445"/>
      <c r="D1006" s="447" t="s">
        <v>55</v>
      </c>
      <c r="E1006" s="445" t="s">
        <v>74</v>
      </c>
      <c r="F1006" s="447" t="s">
        <v>1123</v>
      </c>
      <c r="G1006" s="445"/>
      <c r="H1006" s="447" t="s">
        <v>72</v>
      </c>
      <c r="I1006" s="447" t="s">
        <v>75</v>
      </c>
      <c r="J1006" s="445"/>
      <c r="K1006" s="448"/>
      <c r="L1006" s="449" t="s">
        <v>14194</v>
      </c>
    </row>
    <row r="1007" hidden="1" spans="1:12">
      <c r="A1007" s="404">
        <v>0</v>
      </c>
      <c r="B1007" s="433" t="e">
        <v>#N/A</v>
      </c>
      <c r="C1007" s="433"/>
      <c r="D1007" s="442">
        <v>0</v>
      </c>
      <c r="E1007" s="450">
        <v>0</v>
      </c>
      <c r="F1007" s="333" t="s">
        <v>13063</v>
      </c>
      <c r="G1007" s="333" t="s">
        <v>14212</v>
      </c>
      <c r="H1007" s="346">
        <v>0</v>
      </c>
      <c r="I1007" s="346">
        <v>0</v>
      </c>
      <c r="J1007" s="346"/>
      <c r="K1007" s="334"/>
      <c r="L1007" s="346" t="s">
        <v>932</v>
      </c>
    </row>
    <row r="1008" hidden="1" spans="1:12">
      <c r="A1008" s="404"/>
      <c r="B1008" s="404"/>
      <c r="C1008" s="334"/>
      <c r="D1008" s="442">
        <v>0</v>
      </c>
      <c r="E1008" s="450">
        <v>0</v>
      </c>
      <c r="F1008" s="333" t="s">
        <v>13063</v>
      </c>
      <c r="G1008" s="333" t="s">
        <v>14213</v>
      </c>
      <c r="H1008" s="346">
        <v>0</v>
      </c>
      <c r="I1008" s="346">
        <v>0</v>
      </c>
      <c r="J1008" s="346"/>
      <c r="K1008" s="334"/>
      <c r="L1008" s="346" t="s">
        <v>932</v>
      </c>
    </row>
    <row r="1009" hidden="1" spans="1:12">
      <c r="A1009" s="404"/>
      <c r="B1009" s="404"/>
      <c r="C1009" s="334"/>
      <c r="D1009" s="442">
        <v>0</v>
      </c>
      <c r="E1009" s="450">
        <v>0</v>
      </c>
      <c r="F1009" s="333" t="s">
        <v>13063</v>
      </c>
      <c r="G1009" s="333" t="s">
        <v>14214</v>
      </c>
      <c r="H1009" s="346">
        <v>0</v>
      </c>
      <c r="I1009" s="346">
        <v>0</v>
      </c>
      <c r="J1009" s="346"/>
      <c r="K1009" s="334"/>
      <c r="L1009" s="346" t="s">
        <v>932</v>
      </c>
    </row>
    <row r="1010" hidden="1" spans="1:12">
      <c r="A1010" s="404">
        <v>0</v>
      </c>
      <c r="B1010" s="404" t="e">
        <v>#N/A</v>
      </c>
      <c r="C1010" s="404"/>
      <c r="D1010" s="442">
        <v>0</v>
      </c>
      <c r="E1010" s="450">
        <v>0</v>
      </c>
      <c r="F1010" s="333" t="s">
        <v>13063</v>
      </c>
      <c r="G1010" s="333" t="s">
        <v>14212</v>
      </c>
      <c r="H1010" s="346">
        <v>0</v>
      </c>
      <c r="I1010" s="346">
        <v>0</v>
      </c>
      <c r="J1010" s="346"/>
      <c r="K1010" s="334"/>
      <c r="L1010" s="346" t="s">
        <v>932</v>
      </c>
    </row>
    <row r="1011" hidden="1" spans="1:12">
      <c r="A1011" s="404"/>
      <c r="B1011" s="404"/>
      <c r="C1011" s="334"/>
      <c r="D1011" s="442">
        <v>0</v>
      </c>
      <c r="E1011" s="450">
        <v>0</v>
      </c>
      <c r="F1011" s="333" t="s">
        <v>13063</v>
      </c>
      <c r="G1011" s="333" t="s">
        <v>14213</v>
      </c>
      <c r="H1011" s="346">
        <v>0</v>
      </c>
      <c r="I1011" s="346">
        <v>0</v>
      </c>
      <c r="J1011" s="346"/>
      <c r="K1011" s="334"/>
      <c r="L1011" s="346" t="s">
        <v>932</v>
      </c>
    </row>
    <row r="1012" hidden="1" spans="1:12">
      <c r="A1012" s="404"/>
      <c r="B1012" s="404"/>
      <c r="C1012" s="334"/>
      <c r="D1012" s="442">
        <v>0</v>
      </c>
      <c r="E1012" s="450">
        <v>0</v>
      </c>
      <c r="F1012" s="333" t="s">
        <v>13063</v>
      </c>
      <c r="G1012" s="333" t="s">
        <v>14214</v>
      </c>
      <c r="H1012" s="346">
        <v>0</v>
      </c>
      <c r="I1012" s="346">
        <v>0</v>
      </c>
      <c r="J1012" s="346"/>
      <c r="K1012" s="334"/>
      <c r="L1012" s="346" t="s">
        <v>932</v>
      </c>
    </row>
    <row r="1013" hidden="1" spans="1:12">
      <c r="A1013" s="404">
        <v>0</v>
      </c>
      <c r="B1013" s="404" t="e">
        <v>#N/A</v>
      </c>
      <c r="C1013" s="404"/>
      <c r="D1013" s="442">
        <v>0</v>
      </c>
      <c r="E1013" s="450">
        <v>0</v>
      </c>
      <c r="F1013" s="333" t="s">
        <v>13063</v>
      </c>
      <c r="G1013" s="333" t="s">
        <v>14212</v>
      </c>
      <c r="H1013" s="346">
        <v>0</v>
      </c>
      <c r="I1013" s="346">
        <v>0</v>
      </c>
      <c r="J1013" s="346"/>
      <c r="K1013" s="334"/>
      <c r="L1013" s="346" t="s">
        <v>932</v>
      </c>
    </row>
    <row r="1014" hidden="1" spans="1:12">
      <c r="A1014" s="404"/>
      <c r="B1014" s="404"/>
      <c r="C1014" s="334"/>
      <c r="D1014" s="442">
        <v>0</v>
      </c>
      <c r="E1014" s="450">
        <v>0</v>
      </c>
      <c r="F1014" s="333" t="s">
        <v>13063</v>
      </c>
      <c r="G1014" s="333" t="s">
        <v>14213</v>
      </c>
      <c r="H1014" s="346">
        <v>0</v>
      </c>
      <c r="I1014" s="346">
        <v>0</v>
      </c>
      <c r="J1014" s="346"/>
      <c r="K1014" s="334"/>
      <c r="L1014" s="346" t="s">
        <v>932</v>
      </c>
    </row>
    <row r="1015" hidden="1" spans="1:12">
      <c r="A1015" s="404"/>
      <c r="B1015" s="404"/>
      <c r="C1015" s="334"/>
      <c r="D1015" s="442">
        <v>0</v>
      </c>
      <c r="E1015" s="450">
        <v>0</v>
      </c>
      <c r="F1015" s="333" t="s">
        <v>13063</v>
      </c>
      <c r="G1015" s="333" t="s">
        <v>14214</v>
      </c>
      <c r="H1015" s="346">
        <v>0</v>
      </c>
      <c r="I1015" s="346">
        <v>0</v>
      </c>
      <c r="J1015" s="346"/>
      <c r="K1015" s="334"/>
      <c r="L1015" s="346" t="s">
        <v>932</v>
      </c>
    </row>
    <row r="1016" hidden="1" spans="1:12">
      <c r="A1016" s="404">
        <v>0</v>
      </c>
      <c r="B1016" s="404" t="e">
        <v>#N/A</v>
      </c>
      <c r="C1016" s="404"/>
      <c r="D1016" s="442">
        <v>0</v>
      </c>
      <c r="E1016" s="450">
        <v>0</v>
      </c>
      <c r="F1016" s="333" t="s">
        <v>13063</v>
      </c>
      <c r="G1016" s="333" t="s">
        <v>14212</v>
      </c>
      <c r="H1016" s="346">
        <v>0</v>
      </c>
      <c r="I1016" s="346">
        <v>0</v>
      </c>
      <c r="J1016" s="346"/>
      <c r="K1016" s="334"/>
      <c r="L1016" s="346" t="s">
        <v>932</v>
      </c>
    </row>
    <row r="1017" hidden="1" spans="1:12">
      <c r="A1017" s="404"/>
      <c r="B1017" s="404"/>
      <c r="C1017" s="334"/>
      <c r="D1017" s="442">
        <v>0</v>
      </c>
      <c r="E1017" s="450">
        <v>0</v>
      </c>
      <c r="F1017" s="333" t="s">
        <v>13063</v>
      </c>
      <c r="G1017" s="333" t="s">
        <v>14213</v>
      </c>
      <c r="H1017" s="346">
        <v>0</v>
      </c>
      <c r="I1017" s="346">
        <v>0</v>
      </c>
      <c r="J1017" s="346"/>
      <c r="K1017" s="334"/>
      <c r="L1017" s="346" t="s">
        <v>932</v>
      </c>
    </row>
    <row r="1018" hidden="1" spans="1:12">
      <c r="A1018" s="404"/>
      <c r="B1018" s="404"/>
      <c r="C1018" s="334"/>
      <c r="D1018" s="442">
        <v>0</v>
      </c>
      <c r="E1018" s="450">
        <v>0</v>
      </c>
      <c r="F1018" s="333" t="s">
        <v>13063</v>
      </c>
      <c r="G1018" s="333" t="s">
        <v>14214</v>
      </c>
      <c r="H1018" s="346">
        <v>0</v>
      </c>
      <c r="I1018" s="346">
        <v>0</v>
      </c>
      <c r="J1018" s="346"/>
      <c r="K1018" s="334"/>
      <c r="L1018" s="346" t="s">
        <v>932</v>
      </c>
    </row>
    <row r="1019" hidden="1" spans="1:12">
      <c r="A1019" s="404">
        <v>0</v>
      </c>
      <c r="B1019" s="404" t="e">
        <v>#N/A</v>
      </c>
      <c r="C1019" s="404"/>
      <c r="D1019" s="442">
        <v>0</v>
      </c>
      <c r="E1019" s="450">
        <v>0</v>
      </c>
      <c r="F1019" s="333" t="s">
        <v>13063</v>
      </c>
      <c r="G1019" s="333" t="s">
        <v>14212</v>
      </c>
      <c r="H1019" s="346">
        <v>0</v>
      </c>
      <c r="I1019" s="346">
        <v>0</v>
      </c>
      <c r="J1019" s="346"/>
      <c r="K1019" s="334"/>
      <c r="L1019" s="346" t="s">
        <v>932</v>
      </c>
    </row>
    <row r="1020" hidden="1" spans="1:12">
      <c r="A1020" s="404"/>
      <c r="B1020" s="404"/>
      <c r="C1020" s="334"/>
      <c r="D1020" s="442">
        <v>0</v>
      </c>
      <c r="E1020" s="450">
        <v>0</v>
      </c>
      <c r="F1020" s="333" t="s">
        <v>13063</v>
      </c>
      <c r="G1020" s="333" t="s">
        <v>14213</v>
      </c>
      <c r="H1020" s="346">
        <v>0</v>
      </c>
      <c r="I1020" s="346">
        <v>0</v>
      </c>
      <c r="J1020" s="346"/>
      <c r="K1020" s="334"/>
      <c r="L1020" s="346" t="s">
        <v>932</v>
      </c>
    </row>
    <row r="1021" hidden="1" spans="1:12">
      <c r="A1021" s="404"/>
      <c r="B1021" s="404"/>
      <c r="C1021" s="334"/>
      <c r="D1021" s="442">
        <v>0</v>
      </c>
      <c r="E1021" s="450">
        <v>0</v>
      </c>
      <c r="F1021" s="333" t="s">
        <v>13063</v>
      </c>
      <c r="G1021" s="333" t="s">
        <v>14214</v>
      </c>
      <c r="H1021" s="346">
        <v>0</v>
      </c>
      <c r="I1021" s="346">
        <v>0</v>
      </c>
      <c r="J1021" s="346"/>
      <c r="K1021" s="334"/>
      <c r="L1021" s="346" t="s">
        <v>932</v>
      </c>
    </row>
    <row r="1022" hidden="1" spans="1:12">
      <c r="A1022" s="401">
        <v>0</v>
      </c>
      <c r="B1022" s="401" t="e">
        <v>#N/A</v>
      </c>
      <c r="C1022" s="401"/>
      <c r="D1022" s="442">
        <v>0</v>
      </c>
      <c r="E1022" s="450">
        <v>0</v>
      </c>
      <c r="F1022" s="439" t="s">
        <v>13063</v>
      </c>
      <c r="G1022" s="439" t="s">
        <v>14212</v>
      </c>
      <c r="H1022" s="346">
        <v>0</v>
      </c>
      <c r="I1022" s="346">
        <v>0</v>
      </c>
      <c r="J1022" s="395"/>
      <c r="L1022" s="346" t="s">
        <v>932</v>
      </c>
    </row>
    <row r="1023" hidden="1" spans="1:12">
      <c r="A1023" s="401"/>
      <c r="B1023" s="401"/>
      <c r="D1023" s="442">
        <v>0</v>
      </c>
      <c r="E1023" s="450">
        <v>0</v>
      </c>
      <c r="F1023" s="439" t="s">
        <v>13063</v>
      </c>
      <c r="G1023" s="439" t="s">
        <v>14213</v>
      </c>
      <c r="H1023" s="346">
        <v>0</v>
      </c>
      <c r="I1023" s="346">
        <v>0</v>
      </c>
      <c r="J1023" s="395"/>
      <c r="L1023" s="346" t="s">
        <v>932</v>
      </c>
    </row>
    <row r="1024" hidden="1" spans="1:12">
      <c r="A1024" s="401"/>
      <c r="B1024" s="401"/>
      <c r="D1024" s="442">
        <v>0</v>
      </c>
      <c r="E1024" s="450">
        <v>0</v>
      </c>
      <c r="F1024" s="439" t="s">
        <v>13063</v>
      </c>
      <c r="G1024" s="439" t="s">
        <v>14214</v>
      </c>
      <c r="H1024" s="346">
        <v>0</v>
      </c>
      <c r="I1024" s="346">
        <v>0</v>
      </c>
      <c r="J1024" s="395"/>
      <c r="L1024" s="346" t="s">
        <v>932</v>
      </c>
    </row>
    <row r="1025" hidden="1" spans="1:14">
      <c r="A1025" s="401">
        <v>0</v>
      </c>
      <c r="B1025" s="401" t="e">
        <v>#N/A</v>
      </c>
      <c r="C1025" s="401"/>
      <c r="D1025" s="442">
        <v>0</v>
      </c>
      <c r="E1025" s="450">
        <v>0</v>
      </c>
      <c r="F1025" s="439" t="s">
        <v>13063</v>
      </c>
      <c r="G1025" s="439" t="s">
        <v>14212</v>
      </c>
      <c r="H1025" s="346">
        <v>0</v>
      </c>
      <c r="I1025" s="346">
        <v>0</v>
      </c>
      <c r="J1025" s="395"/>
      <c r="L1025" s="346" t="s">
        <v>932</v>
      </c>
    </row>
    <row r="1026" hidden="1" spans="1:14">
      <c r="A1026" s="401"/>
      <c r="B1026" s="401"/>
      <c r="D1026" s="442">
        <v>0</v>
      </c>
      <c r="E1026" s="450">
        <v>0</v>
      </c>
      <c r="F1026" s="439" t="s">
        <v>13063</v>
      </c>
      <c r="G1026" s="439" t="s">
        <v>14213</v>
      </c>
      <c r="H1026" s="346">
        <v>0</v>
      </c>
      <c r="I1026" s="346">
        <v>0</v>
      </c>
      <c r="J1026" s="395"/>
      <c r="L1026" s="346" t="s">
        <v>932</v>
      </c>
    </row>
    <row r="1027" hidden="1" spans="1:14">
      <c r="A1027" s="401"/>
      <c r="B1027" s="401"/>
      <c r="D1027" s="442">
        <v>0</v>
      </c>
      <c r="E1027" s="450">
        <v>0</v>
      </c>
      <c r="F1027" s="439" t="s">
        <v>13063</v>
      </c>
      <c r="G1027" s="439" t="s">
        <v>14214</v>
      </c>
      <c r="H1027" s="346">
        <v>0</v>
      </c>
      <c r="I1027" s="346">
        <v>0</v>
      </c>
      <c r="J1027" s="395"/>
      <c r="L1027" s="346" t="s">
        <v>932</v>
      </c>
    </row>
    <row r="1028" hidden="1" spans="1:14">
      <c r="A1028" s="401">
        <v>0</v>
      </c>
      <c r="B1028" s="401" t="e">
        <v>#N/A</v>
      </c>
      <c r="C1028" s="401"/>
      <c r="D1028" s="442">
        <v>0</v>
      </c>
      <c r="E1028" s="450">
        <v>0</v>
      </c>
      <c r="F1028" s="439" t="s">
        <v>13063</v>
      </c>
      <c r="G1028" s="439" t="s">
        <v>14212</v>
      </c>
      <c r="H1028" s="346">
        <v>0</v>
      </c>
      <c r="I1028" s="346">
        <v>0</v>
      </c>
      <c r="J1028" s="395"/>
      <c r="L1028" s="346" t="s">
        <v>932</v>
      </c>
    </row>
    <row r="1029" hidden="1" spans="1:14">
      <c r="A1029" s="401"/>
      <c r="B1029" s="401"/>
      <c r="D1029" s="442">
        <v>0</v>
      </c>
      <c r="E1029" s="450">
        <v>0</v>
      </c>
      <c r="F1029" s="439" t="s">
        <v>13063</v>
      </c>
      <c r="G1029" s="439" t="s">
        <v>14213</v>
      </c>
      <c r="H1029" s="346">
        <v>0</v>
      </c>
      <c r="I1029" s="346">
        <v>0</v>
      </c>
      <c r="J1029" s="395"/>
      <c r="L1029" s="346" t="s">
        <v>932</v>
      </c>
    </row>
    <row r="1030" hidden="1" spans="1:14">
      <c r="A1030" s="401"/>
      <c r="B1030" s="401"/>
      <c r="D1030" s="442">
        <v>0</v>
      </c>
      <c r="E1030" s="450">
        <v>0</v>
      </c>
      <c r="F1030" s="439" t="s">
        <v>13063</v>
      </c>
      <c r="G1030" s="439" t="s">
        <v>14214</v>
      </c>
      <c r="H1030" s="346">
        <v>0</v>
      </c>
      <c r="I1030" s="346">
        <v>0</v>
      </c>
      <c r="J1030" s="395"/>
      <c r="L1030" s="346" t="s">
        <v>932</v>
      </c>
    </row>
    <row r="1031" hidden="1" spans="1:14">
      <c r="A1031" s="421"/>
      <c r="B1031" s="422"/>
      <c r="C1031" s="422"/>
      <c r="D1031" s="422"/>
      <c r="E1031" s="422"/>
      <c r="F1031" s="422"/>
      <c r="G1031" s="422"/>
      <c r="H1031" s="422"/>
      <c r="I1031" s="430"/>
      <c r="J1031" s="430"/>
      <c r="K1031" s="425" t="s">
        <v>14215</v>
      </c>
      <c r="L1031" s="426">
        <v>0</v>
      </c>
    </row>
    <row r="1032" spans="1:14">
      <c r="A1032" s="451"/>
      <c r="B1032" s="452"/>
      <c r="C1032" s="452"/>
      <c r="D1032" s="452"/>
      <c r="E1032" s="452"/>
      <c r="F1032" s="452"/>
      <c r="G1032" s="452"/>
      <c r="H1032" s="452"/>
      <c r="I1032" s="453"/>
      <c r="J1032" s="453"/>
      <c r="K1032" s="454" t="s">
        <v>14216</v>
      </c>
      <c r="L1032" s="455">
        <v>19.99</v>
      </c>
    </row>
    <row r="1034" spans="1:14">
      <c r="A1034" s="391" t="s">
        <v>14172</v>
      </c>
      <c r="B1034" s="472"/>
      <c r="C1034" s="472"/>
      <c r="D1034" s="472"/>
      <c r="E1034" s="472"/>
      <c r="F1034" s="472"/>
      <c r="G1034" s="393"/>
      <c r="H1034" s="393"/>
      <c r="I1034" s="393"/>
      <c r="J1034" s="393"/>
      <c r="K1034" s="393"/>
      <c r="L1034" s="471"/>
    </row>
    <row r="1035" spans="1:14">
      <c r="A1035" s="396">
        <v>1505860</v>
      </c>
      <c r="B1035" s="397" t="s">
        <v>113</v>
      </c>
      <c r="C1035" s="397"/>
      <c r="D1035" s="397"/>
      <c r="E1035" s="397"/>
      <c r="F1035" s="397"/>
      <c r="G1035" s="397"/>
      <c r="H1035" s="397" t="s">
        <v>99</v>
      </c>
      <c r="I1035" s="398">
        <v>46023</v>
      </c>
      <c r="J1035" s="397"/>
      <c r="K1035" s="399" t="s">
        <v>14173</v>
      </c>
      <c r="L1035" s="400">
        <v>0</v>
      </c>
    </row>
    <row r="1036" spans="1:14">
      <c r="A1036" s="401"/>
      <c r="H1036" s="402" t="s">
        <v>14174</v>
      </c>
      <c r="I1036" s="434">
        <v>4</v>
      </c>
      <c r="J1036" s="404" t="s">
        <v>99</v>
      </c>
      <c r="K1036" s="402" t="s">
        <v>14175</v>
      </c>
      <c r="L1036" s="456">
        <v>0.11084</v>
      </c>
    </row>
    <row r="1037" hidden="1" spans="1:14">
      <c r="A1037" s="405"/>
      <c r="B1037" s="405"/>
      <c r="C1037" s="405"/>
      <c r="D1037" s="406"/>
      <c r="E1037" s="406"/>
      <c r="F1037" s="406"/>
      <c r="G1037" s="407" t="s">
        <v>14176</v>
      </c>
      <c r="H1037" s="408"/>
      <c r="I1037" s="407" t="s">
        <v>14177</v>
      </c>
      <c r="J1037" s="408"/>
      <c r="K1037" s="405"/>
      <c r="L1037" s="409" t="s">
        <v>14178</v>
      </c>
    </row>
    <row r="1038" hidden="1" spans="1:14">
      <c r="A1038" s="410" t="s">
        <v>14179</v>
      </c>
      <c r="B1038" s="411"/>
      <c r="C1038" s="412"/>
      <c r="D1038" s="412"/>
      <c r="E1038" s="413" t="s">
        <v>74</v>
      </c>
      <c r="F1038" s="412"/>
      <c r="G1038" s="413" t="s">
        <v>14180</v>
      </c>
      <c r="H1038" s="413" t="s">
        <v>14181</v>
      </c>
      <c r="I1038" s="413" t="s">
        <v>14182</v>
      </c>
      <c r="J1038" s="413" t="s">
        <v>14183</v>
      </c>
      <c r="K1038" s="411"/>
      <c r="L1038" s="414" t="s">
        <v>14184</v>
      </c>
    </row>
    <row r="1039" hidden="1" spans="1:14">
      <c r="A1039" s="404">
        <v>0</v>
      </c>
      <c r="B1039" s="415" t="e">
        <v>#N/A</v>
      </c>
      <c r="C1039" s="415"/>
      <c r="E1039" s="434">
        <v>0</v>
      </c>
      <c r="F1039" s="334"/>
      <c r="G1039" s="346">
        <v>0</v>
      </c>
      <c r="H1039" s="417">
        <v>1</v>
      </c>
      <c r="I1039" s="395" t="e">
        <v>#N/A</v>
      </c>
      <c r="J1039" s="418" t="e">
        <v>#N/A</v>
      </c>
      <c r="K1039" s="402"/>
      <c r="L1039" s="395" t="s">
        <v>932</v>
      </c>
      <c r="N1039" s="395" t="s">
        <v>932</v>
      </c>
    </row>
    <row r="1040" hidden="1" spans="1:14">
      <c r="A1040" s="404">
        <v>0</v>
      </c>
      <c r="B1040" s="404" t="e">
        <v>#N/A</v>
      </c>
      <c r="C1040" s="404"/>
      <c r="D1040" s="334"/>
      <c r="E1040" s="434">
        <v>0</v>
      </c>
      <c r="F1040" s="334"/>
      <c r="G1040" s="346">
        <v>0</v>
      </c>
      <c r="H1040" s="417">
        <v>1</v>
      </c>
      <c r="I1040" s="346" t="e">
        <v>#N/A</v>
      </c>
      <c r="J1040" s="419" t="e">
        <v>#N/A</v>
      </c>
      <c r="K1040" s="420"/>
      <c r="L1040" s="395" t="s">
        <v>932</v>
      </c>
      <c r="N1040" s="395" t="s">
        <v>932</v>
      </c>
    </row>
    <row r="1041" hidden="1" spans="1:14">
      <c r="A1041" s="404">
        <v>0</v>
      </c>
      <c r="B1041" s="404" t="e">
        <v>#N/A</v>
      </c>
      <c r="C1041" s="404"/>
      <c r="D1041" s="334"/>
      <c r="E1041" s="416">
        <v>0</v>
      </c>
      <c r="F1041" s="334"/>
      <c r="G1041" s="346">
        <v>0</v>
      </c>
      <c r="H1041" s="417">
        <v>1</v>
      </c>
      <c r="I1041" s="346" t="e">
        <v>#N/A</v>
      </c>
      <c r="J1041" s="419" t="e">
        <v>#N/A</v>
      </c>
      <c r="K1041" s="420"/>
      <c r="L1041" s="395" t="s">
        <v>932</v>
      </c>
      <c r="N1041" s="395" t="s">
        <v>932</v>
      </c>
    </row>
    <row r="1042" hidden="1" spans="1:14">
      <c r="A1042" s="404">
        <v>0</v>
      </c>
      <c r="B1042" s="404" t="e">
        <v>#N/A</v>
      </c>
      <c r="C1042" s="404"/>
      <c r="D1042" s="334"/>
      <c r="E1042" s="416">
        <v>0</v>
      </c>
      <c r="F1042" s="334"/>
      <c r="G1042" s="346">
        <v>0</v>
      </c>
      <c r="H1042" s="417">
        <v>1</v>
      </c>
      <c r="I1042" s="346" t="e">
        <v>#N/A</v>
      </c>
      <c r="J1042" s="419" t="e">
        <v>#N/A</v>
      </c>
      <c r="K1042" s="420"/>
      <c r="L1042" s="395" t="s">
        <v>932</v>
      </c>
      <c r="N1042" s="395" t="s">
        <v>932</v>
      </c>
    </row>
    <row r="1043" hidden="1" spans="1:14">
      <c r="A1043" s="404">
        <v>0</v>
      </c>
      <c r="B1043" s="404" t="e">
        <v>#N/A</v>
      </c>
      <c r="C1043" s="404"/>
      <c r="D1043" s="334"/>
      <c r="E1043" s="416">
        <v>0</v>
      </c>
      <c r="F1043" s="334"/>
      <c r="G1043" s="346">
        <v>0</v>
      </c>
      <c r="H1043" s="417">
        <v>1</v>
      </c>
      <c r="I1043" s="346" t="e">
        <v>#N/A</v>
      </c>
      <c r="J1043" s="419" t="e">
        <v>#N/A</v>
      </c>
      <c r="K1043" s="420"/>
      <c r="L1043" s="395" t="s">
        <v>932</v>
      </c>
      <c r="N1043" s="395" t="s">
        <v>932</v>
      </c>
    </row>
    <row r="1044" hidden="1" spans="1:14">
      <c r="A1044" s="404">
        <v>0</v>
      </c>
      <c r="B1044" s="404" t="e">
        <v>#N/A</v>
      </c>
      <c r="C1044" s="404"/>
      <c r="D1044" s="334"/>
      <c r="E1044" s="416">
        <v>0</v>
      </c>
      <c r="F1044" s="334"/>
      <c r="G1044" s="346">
        <v>0</v>
      </c>
      <c r="H1044" s="417">
        <v>1</v>
      </c>
      <c r="I1044" s="346" t="e">
        <v>#N/A</v>
      </c>
      <c r="J1044" s="419" t="e">
        <v>#N/A</v>
      </c>
      <c r="K1044" s="420"/>
      <c r="L1044" s="395" t="s">
        <v>932</v>
      </c>
      <c r="N1044" s="395" t="s">
        <v>932</v>
      </c>
    </row>
    <row r="1045" hidden="1" spans="1:14">
      <c r="A1045" s="404">
        <v>0</v>
      </c>
      <c r="B1045" s="404" t="e">
        <v>#N/A</v>
      </c>
      <c r="C1045" s="404"/>
      <c r="D1045" s="334"/>
      <c r="E1045" s="416">
        <v>0</v>
      </c>
      <c r="F1045" s="334"/>
      <c r="G1045" s="346">
        <v>0</v>
      </c>
      <c r="H1045" s="417">
        <v>1</v>
      </c>
      <c r="I1045" s="346" t="e">
        <v>#N/A</v>
      </c>
      <c r="J1045" s="419" t="e">
        <v>#N/A</v>
      </c>
      <c r="K1045" s="420"/>
      <c r="L1045" s="395" t="s">
        <v>932</v>
      </c>
      <c r="N1045" s="395" t="s">
        <v>932</v>
      </c>
    </row>
    <row r="1046" hidden="1" spans="1:14">
      <c r="A1046" s="404">
        <v>0</v>
      </c>
      <c r="B1046" s="404" t="e">
        <v>#N/A</v>
      </c>
      <c r="C1046" s="404"/>
      <c r="D1046" s="334"/>
      <c r="E1046" s="416">
        <v>0</v>
      </c>
      <c r="F1046" s="334"/>
      <c r="G1046" s="346">
        <v>0</v>
      </c>
      <c r="H1046" s="417">
        <v>1</v>
      </c>
      <c r="I1046" s="346" t="e">
        <v>#N/A</v>
      </c>
      <c r="J1046" s="419" t="e">
        <v>#N/A</v>
      </c>
      <c r="K1046" s="420"/>
      <c r="L1046" s="395" t="s">
        <v>932</v>
      </c>
      <c r="N1046" s="395" t="s">
        <v>932</v>
      </c>
    </row>
    <row r="1047" hidden="1" spans="1:14">
      <c r="A1047" s="421"/>
      <c r="B1047" s="422"/>
      <c r="C1047" s="422"/>
      <c r="D1047" s="422"/>
      <c r="E1047" s="423"/>
      <c r="F1047" s="424"/>
      <c r="G1047" s="422"/>
      <c r="H1047" s="422"/>
      <c r="I1047" s="422"/>
      <c r="J1047" s="422"/>
      <c r="K1047" s="425" t="s">
        <v>14185</v>
      </c>
      <c r="L1047" s="426">
        <v>0</v>
      </c>
      <c r="N1047" s="427">
        <v>0</v>
      </c>
    </row>
    <row r="1048" spans="1:14">
      <c r="A1048" s="428" t="s">
        <v>14186</v>
      </c>
      <c r="B1048" s="429"/>
      <c r="C1048" s="429"/>
      <c r="D1048" s="430"/>
      <c r="E1048" s="431" t="s">
        <v>74</v>
      </c>
      <c r="F1048" s="431" t="s">
        <v>1123</v>
      </c>
      <c r="G1048" s="430"/>
      <c r="H1048" s="422"/>
      <c r="I1048" s="431" t="s">
        <v>14177</v>
      </c>
      <c r="J1048" s="430"/>
      <c r="K1048" s="430"/>
      <c r="L1048" s="432" t="s">
        <v>14187</v>
      </c>
    </row>
    <row r="1049" spans="1:14">
      <c r="A1049" s="404" t="s">
        <v>946</v>
      </c>
      <c r="B1049" s="433" t="s">
        <v>947</v>
      </c>
      <c r="C1049" s="433"/>
      <c r="D1049" s="334"/>
      <c r="E1049" s="434">
        <v>1</v>
      </c>
      <c r="F1049" s="333" t="s">
        <v>104</v>
      </c>
      <c r="G1049" s="334"/>
      <c r="H1049" s="334"/>
      <c r="I1049" s="435">
        <v>29.6171</v>
      </c>
      <c r="J1049" s="334"/>
      <c r="K1049" s="334"/>
      <c r="L1049" s="346">
        <v>29.6171</v>
      </c>
      <c r="N1049" s="395">
        <v>29.6171</v>
      </c>
    </row>
    <row r="1050" spans="1:14">
      <c r="A1050" s="404" t="s">
        <v>935</v>
      </c>
      <c r="B1050" s="404" t="s">
        <v>936</v>
      </c>
      <c r="C1050" s="404"/>
      <c r="D1050" s="334"/>
      <c r="E1050" s="434">
        <v>8</v>
      </c>
      <c r="F1050" s="333" t="s">
        <v>104</v>
      </c>
      <c r="G1050" s="334"/>
      <c r="H1050" s="334"/>
      <c r="I1050" s="435">
        <v>23.6025</v>
      </c>
      <c r="J1050" s="334"/>
      <c r="K1050" s="334"/>
      <c r="L1050" s="346">
        <v>188.82</v>
      </c>
      <c r="N1050" s="395">
        <v>188.82</v>
      </c>
    </row>
    <row r="1051" hidden="1" spans="1:14">
      <c r="A1051" s="404">
        <v>0</v>
      </c>
      <c r="B1051" s="404" t="e">
        <v>#N/A</v>
      </c>
      <c r="C1051" s="404"/>
      <c r="D1051" s="334"/>
      <c r="E1051" s="434">
        <v>0</v>
      </c>
      <c r="F1051" s="333" t="s">
        <v>104</v>
      </c>
      <c r="G1051" s="334"/>
      <c r="H1051" s="334"/>
      <c r="I1051" s="435" t="e">
        <v>#N/A</v>
      </c>
      <c r="J1051" s="334"/>
      <c r="K1051" s="334"/>
      <c r="L1051" s="346" t="s">
        <v>932</v>
      </c>
      <c r="N1051" s="395" t="s">
        <v>932</v>
      </c>
    </row>
    <row r="1052" hidden="1" spans="1:14">
      <c r="A1052" s="404">
        <v>0</v>
      </c>
      <c r="B1052" s="404" t="e">
        <v>#N/A</v>
      </c>
      <c r="C1052" s="404"/>
      <c r="D1052" s="334"/>
      <c r="E1052" s="434">
        <v>0</v>
      </c>
      <c r="F1052" s="333" t="s">
        <v>104</v>
      </c>
      <c r="G1052" s="334"/>
      <c r="H1052" s="334"/>
      <c r="I1052" s="435" t="e">
        <v>#N/A</v>
      </c>
      <c r="J1052" s="334"/>
      <c r="K1052" s="334"/>
      <c r="L1052" s="346" t="s">
        <v>932</v>
      </c>
      <c r="N1052" s="395" t="s">
        <v>932</v>
      </c>
    </row>
    <row r="1053" hidden="1" spans="1:14">
      <c r="A1053" s="404">
        <v>0</v>
      </c>
      <c r="B1053" s="404" t="e">
        <v>#N/A</v>
      </c>
      <c r="C1053" s="404"/>
      <c r="D1053" s="334"/>
      <c r="E1053" s="434">
        <v>0</v>
      </c>
      <c r="F1053" s="333" t="s">
        <v>104</v>
      </c>
      <c r="G1053" s="334"/>
      <c r="H1053" s="334"/>
      <c r="I1053" s="435" t="e">
        <v>#N/A</v>
      </c>
      <c r="J1053" s="334"/>
      <c r="K1053" s="334"/>
      <c r="L1053" s="346" t="s">
        <v>932</v>
      </c>
      <c r="N1053" s="395" t="s">
        <v>932</v>
      </c>
    </row>
    <row r="1054" hidden="1" spans="1:14">
      <c r="A1054" s="404">
        <v>0</v>
      </c>
      <c r="B1054" s="404" t="e">
        <v>#N/A</v>
      </c>
      <c r="C1054" s="404"/>
      <c r="D1054" s="334"/>
      <c r="E1054" s="434">
        <v>0</v>
      </c>
      <c r="F1054" s="333" t="s">
        <v>104</v>
      </c>
      <c r="G1054" s="334"/>
      <c r="H1054" s="334"/>
      <c r="I1054" s="435" t="e">
        <v>#N/A</v>
      </c>
      <c r="J1054" s="334"/>
      <c r="K1054" s="334"/>
      <c r="L1054" s="346" t="s">
        <v>932</v>
      </c>
      <c r="N1054" s="395" t="s">
        <v>932</v>
      </c>
    </row>
    <row r="1055" hidden="1" spans="1:14">
      <c r="A1055" s="404">
        <v>0</v>
      </c>
      <c r="B1055" s="404" t="e">
        <v>#N/A</v>
      </c>
      <c r="C1055" s="404"/>
      <c r="D1055" s="334"/>
      <c r="E1055" s="434">
        <v>0</v>
      </c>
      <c r="F1055" s="333" t="s">
        <v>104</v>
      </c>
      <c r="G1055" s="334"/>
      <c r="H1055" s="334"/>
      <c r="I1055" s="435" t="e">
        <v>#N/A</v>
      </c>
      <c r="J1055" s="334"/>
      <c r="K1055" s="334"/>
      <c r="L1055" s="346" t="s">
        <v>932</v>
      </c>
      <c r="N1055" s="395" t="s">
        <v>932</v>
      </c>
    </row>
    <row r="1056" hidden="1" spans="1:14">
      <c r="A1056" s="404">
        <v>0</v>
      </c>
      <c r="B1056" s="436" t="e">
        <v>#N/A</v>
      </c>
      <c r="C1056" s="436"/>
      <c r="D1056" s="334"/>
      <c r="E1056" s="434">
        <v>0</v>
      </c>
      <c r="F1056" s="333" t="s">
        <v>104</v>
      </c>
      <c r="G1056" s="334"/>
      <c r="H1056" s="334"/>
      <c r="I1056" s="435" t="e">
        <v>#N/A</v>
      </c>
      <c r="J1056" s="334"/>
      <c r="K1056" s="334"/>
      <c r="L1056" s="346" t="s">
        <v>932</v>
      </c>
      <c r="N1056" s="395" t="s">
        <v>932</v>
      </c>
    </row>
    <row r="1057" spans="1:15">
      <c r="A1057" s="421"/>
      <c r="B1057" s="62"/>
      <c r="C1057" s="62"/>
      <c r="D1057" s="422"/>
      <c r="E1057" s="423"/>
      <c r="F1057" s="424"/>
      <c r="G1057" s="422"/>
      <c r="H1057" s="422"/>
      <c r="I1057" s="422"/>
      <c r="J1057" s="422"/>
      <c r="K1057" s="425" t="s">
        <v>14188</v>
      </c>
      <c r="L1057" s="426">
        <v>218.4371</v>
      </c>
      <c r="N1057" s="427">
        <v>218.4371</v>
      </c>
    </row>
    <row r="1058" spans="1:15">
      <c r="I1058" s="437"/>
      <c r="K1058" s="383" t="s">
        <v>14189</v>
      </c>
      <c r="L1058" s="427">
        <v>218.4371</v>
      </c>
      <c r="N1058" s="395">
        <v>218.4371</v>
      </c>
    </row>
    <row r="1059" spans="1:15">
      <c r="K1059" s="383" t="s">
        <v>14190</v>
      </c>
      <c r="L1059" s="427">
        <v>54.609275</v>
      </c>
      <c r="N1059" s="395">
        <v>54.609275</v>
      </c>
      <c r="O1059" s="395">
        <v>6.052892041</v>
      </c>
    </row>
    <row r="1060" spans="1:15">
      <c r="K1060" s="383" t="s">
        <v>14191</v>
      </c>
      <c r="L1060" s="427">
        <v>6.052892041</v>
      </c>
    </row>
    <row r="1061" spans="1:15">
      <c r="K1061" s="383" t="s">
        <v>14192</v>
      </c>
      <c r="L1061" s="395">
        <v>0</v>
      </c>
    </row>
    <row r="1062" spans="1:15">
      <c r="A1062" s="428" t="s">
        <v>14193</v>
      </c>
      <c r="B1062" s="430"/>
      <c r="C1062" s="430"/>
      <c r="D1062" s="430"/>
      <c r="E1062" s="431" t="s">
        <v>74</v>
      </c>
      <c r="F1062" s="431" t="s">
        <v>1123</v>
      </c>
      <c r="G1062" s="430"/>
      <c r="H1062" s="430"/>
      <c r="I1062" s="425" t="s">
        <v>75</v>
      </c>
      <c r="J1062" s="430"/>
      <c r="K1062" s="430"/>
      <c r="L1062" s="426" t="s">
        <v>14194</v>
      </c>
    </row>
    <row r="1063" spans="1:15">
      <c r="A1063" s="404" t="s">
        <v>14255</v>
      </c>
      <c r="B1063" s="433" t="s">
        <v>14256</v>
      </c>
      <c r="C1063" s="433"/>
      <c r="D1063" s="334"/>
      <c r="E1063" s="434">
        <v>1</v>
      </c>
      <c r="F1063" s="333" t="s">
        <v>99</v>
      </c>
      <c r="G1063" s="334"/>
      <c r="I1063" s="395">
        <v>117.3231</v>
      </c>
      <c r="J1063" s="395"/>
      <c r="K1063" s="395"/>
      <c r="L1063" s="346">
        <v>117.3231</v>
      </c>
    </row>
    <row r="1064" hidden="1" spans="1:15">
      <c r="A1064" s="404">
        <v>0</v>
      </c>
      <c r="B1064" s="404" t="e">
        <v>#N/A</v>
      </c>
      <c r="C1064" s="404"/>
      <c r="D1064" s="334"/>
      <c r="E1064" s="434">
        <v>0</v>
      </c>
      <c r="F1064" s="333" t="e">
        <v>#N/A</v>
      </c>
      <c r="G1064" s="334"/>
      <c r="I1064" s="395" t="e">
        <v>#N/A</v>
      </c>
      <c r="J1064" s="395"/>
      <c r="K1064" s="395"/>
      <c r="L1064" s="346" t="s">
        <v>932</v>
      </c>
    </row>
    <row r="1065" hidden="1" spans="1:15">
      <c r="A1065" s="404">
        <v>0</v>
      </c>
      <c r="B1065" s="404" t="e">
        <v>#N/A</v>
      </c>
      <c r="C1065" s="404"/>
      <c r="D1065" s="334"/>
      <c r="E1065" s="434">
        <v>0</v>
      </c>
      <c r="F1065" s="333" t="e">
        <v>#N/A</v>
      </c>
      <c r="G1065" s="334"/>
      <c r="I1065" s="395" t="e">
        <v>#N/A</v>
      </c>
      <c r="J1065" s="395"/>
      <c r="K1065" s="395"/>
      <c r="L1065" s="346" t="s">
        <v>932</v>
      </c>
    </row>
    <row r="1066" hidden="1" spans="1:15">
      <c r="A1066" s="404">
        <v>0</v>
      </c>
      <c r="B1066" s="404" t="e">
        <v>#N/A</v>
      </c>
      <c r="C1066" s="404"/>
      <c r="D1066" s="334"/>
      <c r="E1066" s="434">
        <v>0</v>
      </c>
      <c r="F1066" s="333" t="e">
        <v>#N/A</v>
      </c>
      <c r="G1066" s="334"/>
      <c r="I1066" s="395" t="e">
        <v>#N/A</v>
      </c>
      <c r="J1066" s="395"/>
      <c r="K1066" s="395"/>
      <c r="L1066" s="346" t="s">
        <v>932</v>
      </c>
    </row>
    <row r="1067" hidden="1" spans="1:15">
      <c r="A1067" s="404">
        <v>0</v>
      </c>
      <c r="B1067" s="404" t="e">
        <v>#N/A</v>
      </c>
      <c r="C1067" s="404"/>
      <c r="D1067" s="334"/>
      <c r="E1067" s="434">
        <v>0</v>
      </c>
      <c r="F1067" s="333" t="e">
        <v>#N/A</v>
      </c>
      <c r="G1067" s="334"/>
      <c r="H1067" s="334"/>
      <c r="I1067" s="395" t="e">
        <v>#N/A</v>
      </c>
      <c r="J1067" s="395"/>
      <c r="K1067" s="395"/>
      <c r="L1067" s="346" t="s">
        <v>932</v>
      </c>
    </row>
    <row r="1068" hidden="1" spans="1:15">
      <c r="A1068" s="404">
        <v>0</v>
      </c>
      <c r="B1068" s="404" t="e">
        <v>#N/A</v>
      </c>
      <c r="C1068" s="404"/>
      <c r="D1068" s="334"/>
      <c r="E1068" s="434">
        <v>0</v>
      </c>
      <c r="F1068" s="333" t="e">
        <v>#N/A</v>
      </c>
      <c r="G1068" s="334"/>
      <c r="H1068" s="334"/>
      <c r="I1068" s="395" t="e">
        <v>#N/A</v>
      </c>
      <c r="J1068" s="395"/>
      <c r="K1068" s="395"/>
      <c r="L1068" s="346" t="s">
        <v>932</v>
      </c>
    </row>
    <row r="1069" hidden="1" spans="1:15">
      <c r="A1069" s="404">
        <v>0</v>
      </c>
      <c r="B1069" s="404" t="e">
        <v>#N/A</v>
      </c>
      <c r="C1069" s="404"/>
      <c r="D1069" s="334"/>
      <c r="E1069" s="434">
        <v>0</v>
      </c>
      <c r="F1069" s="333" t="e">
        <v>#N/A</v>
      </c>
      <c r="G1069" s="334"/>
      <c r="H1069" s="334"/>
      <c r="I1069" s="395" t="e">
        <v>#N/A</v>
      </c>
      <c r="J1069" s="395"/>
      <c r="K1069" s="395"/>
      <c r="L1069" s="346" t="s">
        <v>932</v>
      </c>
    </row>
    <row r="1070" hidden="1" spans="1:15">
      <c r="A1070" s="404">
        <v>0</v>
      </c>
      <c r="B1070" s="404" t="e">
        <v>#N/A</v>
      </c>
      <c r="C1070" s="404"/>
      <c r="D1070" s="438"/>
      <c r="E1070" s="434">
        <v>0</v>
      </c>
      <c r="F1070" s="333" t="e">
        <v>#N/A</v>
      </c>
      <c r="G1070" s="334"/>
      <c r="H1070" s="334"/>
      <c r="I1070" s="395" t="e">
        <v>#N/A</v>
      </c>
      <c r="J1070" s="395"/>
      <c r="K1070" s="395"/>
      <c r="L1070" s="346" t="s">
        <v>932</v>
      </c>
    </row>
    <row r="1071" spans="1:15">
      <c r="A1071" s="421"/>
      <c r="B1071" s="422"/>
      <c r="C1071" s="422"/>
      <c r="D1071" s="422"/>
      <c r="E1071" s="423"/>
      <c r="F1071" s="424"/>
      <c r="G1071" s="422"/>
      <c r="H1071" s="422"/>
      <c r="I1071" s="430"/>
      <c r="J1071" s="430"/>
      <c r="K1071" s="425" t="s">
        <v>14203</v>
      </c>
      <c r="L1071" s="426">
        <v>117.3231</v>
      </c>
    </row>
    <row r="1072" hidden="1" spans="1:15">
      <c r="A1072" s="428" t="s">
        <v>14204</v>
      </c>
      <c r="B1072" s="430"/>
      <c r="C1072" s="430"/>
      <c r="D1072" s="430"/>
      <c r="E1072" s="431" t="s">
        <v>74</v>
      </c>
      <c r="F1072" s="431" t="s">
        <v>1123</v>
      </c>
      <c r="G1072" s="430"/>
      <c r="H1072" s="430"/>
      <c r="I1072" s="425" t="s">
        <v>75</v>
      </c>
      <c r="J1072" s="430"/>
      <c r="K1072" s="430"/>
      <c r="L1072" s="426" t="s">
        <v>14194</v>
      </c>
    </row>
    <row r="1073" hidden="1" spans="1:12">
      <c r="A1073" s="404">
        <v>0</v>
      </c>
      <c r="B1073" s="334" t="e">
        <v>#N/A</v>
      </c>
      <c r="C1073" s="334"/>
      <c r="D1073" s="334"/>
      <c r="E1073" s="434">
        <v>0</v>
      </c>
      <c r="F1073" s="333" t="e">
        <v>#N/A</v>
      </c>
      <c r="G1073" s="439"/>
      <c r="I1073" s="346" t="e">
        <v>#N/A</v>
      </c>
      <c r="L1073" s="346" t="s">
        <v>932</v>
      </c>
    </row>
    <row r="1074" hidden="1" spans="1:12">
      <c r="A1074" s="401">
        <v>0</v>
      </c>
      <c r="B1074" s="334" t="e">
        <v>#N/A</v>
      </c>
      <c r="E1074" s="440">
        <v>0</v>
      </c>
      <c r="F1074" s="333" t="e">
        <v>#N/A</v>
      </c>
      <c r="G1074" s="439"/>
      <c r="I1074" s="346" t="e">
        <v>#N/A</v>
      </c>
      <c r="L1074" s="346" t="s">
        <v>932</v>
      </c>
    </row>
    <row r="1075" hidden="1" spans="1:12">
      <c r="A1075" s="401">
        <v>0</v>
      </c>
      <c r="B1075" s="334" t="e">
        <v>#N/A</v>
      </c>
      <c r="E1075" s="440">
        <v>0</v>
      </c>
      <c r="F1075" s="333" t="e">
        <v>#N/A</v>
      </c>
      <c r="G1075" s="439"/>
      <c r="I1075" s="346" t="e">
        <v>#N/A</v>
      </c>
      <c r="L1075" s="346" t="s">
        <v>932</v>
      </c>
    </row>
    <row r="1076" hidden="1" spans="1:12">
      <c r="A1076" s="401">
        <v>0</v>
      </c>
      <c r="B1076" s="334" t="e">
        <v>#N/A</v>
      </c>
      <c r="E1076" s="440">
        <v>0</v>
      </c>
      <c r="F1076" s="333" t="e">
        <v>#N/A</v>
      </c>
      <c r="G1076" s="439"/>
      <c r="I1076" s="346" t="e">
        <v>#N/A</v>
      </c>
      <c r="L1076" s="346" t="s">
        <v>932</v>
      </c>
    </row>
    <row r="1077" hidden="1" spans="1:12">
      <c r="A1077" s="401">
        <v>0</v>
      </c>
      <c r="B1077" s="334" t="e">
        <v>#N/A</v>
      </c>
      <c r="E1077" s="440">
        <v>0</v>
      </c>
      <c r="F1077" s="333" t="e">
        <v>#N/A</v>
      </c>
      <c r="G1077" s="439"/>
      <c r="I1077" s="346" t="e">
        <v>#N/A</v>
      </c>
      <c r="L1077" s="346" t="s">
        <v>932</v>
      </c>
    </row>
    <row r="1078" hidden="1" spans="1:12">
      <c r="A1078" s="401">
        <v>0</v>
      </c>
      <c r="B1078" s="334" t="e">
        <v>#N/A</v>
      </c>
      <c r="E1078" s="440">
        <v>0</v>
      </c>
      <c r="F1078" s="333" t="e">
        <v>#N/A</v>
      </c>
      <c r="G1078" s="439"/>
      <c r="I1078" s="346" t="e">
        <v>#N/A</v>
      </c>
      <c r="L1078" s="346" t="s">
        <v>932</v>
      </c>
    </row>
    <row r="1079" hidden="1" spans="1:12">
      <c r="A1079" s="421"/>
      <c r="B1079" s="422"/>
      <c r="C1079" s="422"/>
      <c r="D1079" s="422"/>
      <c r="E1079" s="422"/>
      <c r="F1079" s="422"/>
      <c r="G1079" s="422"/>
      <c r="H1079" s="422"/>
      <c r="I1079" s="430"/>
      <c r="J1079" s="430"/>
      <c r="K1079" s="425" t="s">
        <v>14206</v>
      </c>
      <c r="L1079" s="426">
        <v>0</v>
      </c>
    </row>
    <row r="1080" spans="1:12">
      <c r="A1080" s="421"/>
      <c r="B1080" s="422"/>
      <c r="C1080" s="422"/>
      <c r="D1080" s="422"/>
      <c r="E1080" s="422"/>
      <c r="F1080" s="422"/>
      <c r="G1080" s="422"/>
      <c r="H1080" s="422"/>
      <c r="I1080" s="430"/>
      <c r="J1080" s="430"/>
      <c r="K1080" s="425" t="s">
        <v>14207</v>
      </c>
      <c r="L1080" s="426">
        <v>177.985267041</v>
      </c>
    </row>
    <row r="1081" spans="1:12">
      <c r="A1081" s="428" t="s">
        <v>14208</v>
      </c>
      <c r="B1081" s="430"/>
      <c r="C1081" s="430"/>
      <c r="D1081" s="431" t="s">
        <v>55</v>
      </c>
      <c r="E1081" s="431" t="s">
        <v>74</v>
      </c>
      <c r="F1081" s="431" t="s">
        <v>1123</v>
      </c>
      <c r="G1081" s="430"/>
      <c r="H1081" s="430"/>
      <c r="I1081" s="425" t="s">
        <v>75</v>
      </c>
      <c r="J1081" s="430"/>
      <c r="K1081" s="430"/>
      <c r="L1081" s="426" t="s">
        <v>14194</v>
      </c>
    </row>
    <row r="1082" spans="1:12">
      <c r="A1082" s="404" t="s">
        <v>14255</v>
      </c>
      <c r="B1082" s="441" t="s">
        <v>14256</v>
      </c>
      <c r="C1082" s="441"/>
      <c r="D1082" s="442">
        <v>5914647</v>
      </c>
      <c r="E1082" s="434">
        <v>1.5</v>
      </c>
      <c r="F1082" s="333" t="s">
        <v>9885</v>
      </c>
      <c r="G1082" s="443" t="s">
        <v>14209</v>
      </c>
      <c r="H1082" s="334"/>
      <c r="I1082" s="346">
        <v>1.88</v>
      </c>
      <c r="J1082" s="334"/>
      <c r="K1082" s="346"/>
      <c r="L1082" s="346">
        <v>2.82</v>
      </c>
    </row>
    <row r="1083" hidden="1" spans="1:12">
      <c r="A1083" s="404">
        <v>0</v>
      </c>
      <c r="B1083" s="334" t="e">
        <v>#N/A</v>
      </c>
      <c r="C1083" s="334"/>
      <c r="D1083" s="442">
        <v>0</v>
      </c>
      <c r="E1083" s="434">
        <v>0</v>
      </c>
      <c r="F1083" s="333" t="s">
        <v>9885</v>
      </c>
      <c r="G1083" s="334"/>
      <c r="H1083" s="334"/>
      <c r="I1083" s="346">
        <v>0</v>
      </c>
      <c r="J1083" s="334"/>
      <c r="K1083" s="346"/>
      <c r="L1083" s="346" t="s">
        <v>932</v>
      </c>
    </row>
    <row r="1084" hidden="1" spans="1:12">
      <c r="A1084" s="404">
        <v>0</v>
      </c>
      <c r="B1084" s="334" t="e">
        <v>#N/A</v>
      </c>
      <c r="C1084" s="334"/>
      <c r="D1084" s="442">
        <v>0</v>
      </c>
      <c r="E1084" s="434">
        <v>0</v>
      </c>
      <c r="F1084" s="333" t="s">
        <v>9885</v>
      </c>
      <c r="G1084" s="334"/>
      <c r="H1084" s="334"/>
      <c r="I1084" s="346">
        <v>0</v>
      </c>
      <c r="J1084" s="334"/>
      <c r="K1084" s="346"/>
      <c r="L1084" s="346" t="s">
        <v>932</v>
      </c>
    </row>
    <row r="1085" hidden="1" spans="1:12">
      <c r="A1085" s="404">
        <v>0</v>
      </c>
      <c r="B1085" s="334" t="e">
        <v>#N/A</v>
      </c>
      <c r="C1085" s="334"/>
      <c r="D1085" s="442">
        <v>0</v>
      </c>
      <c r="E1085" s="434">
        <v>0</v>
      </c>
      <c r="F1085" s="333" t="s">
        <v>9885</v>
      </c>
      <c r="G1085" s="334"/>
      <c r="H1085" s="334"/>
      <c r="I1085" s="346">
        <v>0</v>
      </c>
      <c r="J1085" s="334"/>
      <c r="K1085" s="346"/>
      <c r="L1085" s="346" t="s">
        <v>932</v>
      </c>
    </row>
    <row r="1086" hidden="1" spans="1:12">
      <c r="A1086" s="404">
        <v>0</v>
      </c>
      <c r="B1086" s="334" t="e">
        <v>#N/A</v>
      </c>
      <c r="C1086" s="334"/>
      <c r="D1086" s="442">
        <v>0</v>
      </c>
      <c r="E1086" s="434">
        <v>0</v>
      </c>
      <c r="F1086" s="333" t="s">
        <v>9885</v>
      </c>
      <c r="G1086" s="334"/>
      <c r="H1086" s="334"/>
      <c r="I1086" s="346">
        <v>0</v>
      </c>
      <c r="J1086" s="334"/>
      <c r="K1086" s="346"/>
      <c r="L1086" s="346" t="s">
        <v>932</v>
      </c>
    </row>
    <row r="1087" hidden="1" spans="1:12">
      <c r="A1087" s="404">
        <v>0</v>
      </c>
      <c r="B1087" s="334" t="e">
        <v>#N/A</v>
      </c>
      <c r="C1087" s="334"/>
      <c r="D1087" s="442">
        <v>0</v>
      </c>
      <c r="E1087" s="434">
        <v>0</v>
      </c>
      <c r="F1087" s="333" t="s">
        <v>9885</v>
      </c>
      <c r="G1087" s="334"/>
      <c r="H1087" s="334"/>
      <c r="I1087" s="346">
        <v>0</v>
      </c>
      <c r="J1087" s="334"/>
      <c r="K1087" s="346"/>
      <c r="L1087" s="346" t="s">
        <v>932</v>
      </c>
    </row>
    <row r="1088" hidden="1" spans="1:12">
      <c r="A1088" s="404">
        <v>0</v>
      </c>
      <c r="B1088" s="334" t="e">
        <v>#N/A</v>
      </c>
      <c r="C1088" s="334"/>
      <c r="D1088" s="442">
        <v>0</v>
      </c>
      <c r="E1088" s="434">
        <v>0</v>
      </c>
      <c r="F1088" s="333" t="s">
        <v>9885</v>
      </c>
      <c r="G1088" s="334"/>
      <c r="H1088" s="334"/>
      <c r="I1088" s="346">
        <v>0</v>
      </c>
      <c r="J1088" s="334"/>
      <c r="K1088" s="346"/>
      <c r="L1088" s="346" t="s">
        <v>932</v>
      </c>
    </row>
    <row r="1089" hidden="1" spans="1:12">
      <c r="A1089" s="404">
        <v>0</v>
      </c>
      <c r="B1089" s="444" t="e">
        <v>#N/A</v>
      </c>
      <c r="C1089" s="444"/>
      <c r="D1089" s="442">
        <v>0</v>
      </c>
      <c r="E1089" s="434">
        <v>0</v>
      </c>
      <c r="F1089" s="333" t="s">
        <v>9885</v>
      </c>
      <c r="G1089" s="334"/>
      <c r="H1089" s="334"/>
      <c r="I1089" s="346">
        <v>0</v>
      </c>
      <c r="J1089" s="334"/>
      <c r="K1089" s="346"/>
      <c r="L1089" s="346" t="s">
        <v>932</v>
      </c>
    </row>
    <row r="1090" spans="1:12">
      <c r="A1090" s="428"/>
      <c r="B1090" s="445"/>
      <c r="C1090" s="445"/>
      <c r="D1090" s="430"/>
      <c r="E1090" s="430"/>
      <c r="F1090" s="430"/>
      <c r="G1090" s="430"/>
      <c r="H1090" s="430"/>
      <c r="I1090" s="430"/>
      <c r="J1090" s="430"/>
      <c r="K1090" s="425" t="s">
        <v>14210</v>
      </c>
      <c r="L1090" s="426">
        <v>2.82</v>
      </c>
    </row>
    <row r="1091" hidden="1" spans="1:12">
      <c r="A1091" s="446" t="s">
        <v>14211</v>
      </c>
      <c r="B1091" s="445"/>
      <c r="C1091" s="445"/>
      <c r="D1091" s="447" t="s">
        <v>55</v>
      </c>
      <c r="E1091" s="445" t="s">
        <v>74</v>
      </c>
      <c r="F1091" s="447" t="s">
        <v>1123</v>
      </c>
      <c r="G1091" s="445"/>
      <c r="H1091" s="447" t="s">
        <v>72</v>
      </c>
      <c r="I1091" s="447" t="s">
        <v>75</v>
      </c>
      <c r="J1091" s="445"/>
      <c r="K1091" s="448"/>
      <c r="L1091" s="449" t="s">
        <v>14194</v>
      </c>
    </row>
    <row r="1092" hidden="1" spans="1:12">
      <c r="A1092" s="404" t="s">
        <v>14255</v>
      </c>
      <c r="B1092" s="433" t="s">
        <v>14256</v>
      </c>
      <c r="C1092" s="433"/>
      <c r="D1092" s="442">
        <v>0</v>
      </c>
      <c r="E1092" s="450">
        <v>1.5</v>
      </c>
      <c r="F1092" s="333" t="s">
        <v>13063</v>
      </c>
      <c r="G1092" s="333" t="s">
        <v>14212</v>
      </c>
      <c r="H1092" s="346">
        <v>0</v>
      </c>
      <c r="I1092" s="346">
        <v>0</v>
      </c>
      <c r="J1092" s="346"/>
      <c r="K1092" s="334"/>
      <c r="L1092" s="346">
        <v>0</v>
      </c>
    </row>
    <row r="1093" hidden="1" spans="1:12">
      <c r="A1093" s="404"/>
      <c r="B1093" s="404"/>
      <c r="C1093" s="334"/>
      <c r="D1093" s="442">
        <v>0</v>
      </c>
      <c r="E1093" s="450">
        <v>1.5</v>
      </c>
      <c r="F1093" s="333" t="s">
        <v>13063</v>
      </c>
      <c r="G1093" s="333" t="s">
        <v>14213</v>
      </c>
      <c r="H1093" s="346">
        <v>0</v>
      </c>
      <c r="I1093" s="346">
        <v>0</v>
      </c>
      <c r="J1093" s="346"/>
      <c r="K1093" s="334"/>
      <c r="L1093" s="346">
        <v>0</v>
      </c>
    </row>
    <row r="1094" hidden="1" spans="1:12">
      <c r="A1094" s="404"/>
      <c r="B1094" s="404"/>
      <c r="C1094" s="334"/>
      <c r="D1094" s="442">
        <v>0</v>
      </c>
      <c r="E1094" s="450">
        <v>1.5</v>
      </c>
      <c r="F1094" s="333" t="s">
        <v>13063</v>
      </c>
      <c r="G1094" s="333" t="s">
        <v>14214</v>
      </c>
      <c r="H1094" s="346">
        <v>0</v>
      </c>
      <c r="I1094" s="346">
        <v>0</v>
      </c>
      <c r="J1094" s="346"/>
      <c r="K1094" s="334"/>
      <c r="L1094" s="346">
        <v>0</v>
      </c>
    </row>
    <row r="1095" hidden="1" spans="1:12">
      <c r="A1095" s="404">
        <v>0</v>
      </c>
      <c r="B1095" s="404" t="e">
        <v>#N/A</v>
      </c>
      <c r="C1095" s="404"/>
      <c r="D1095" s="442">
        <v>0</v>
      </c>
      <c r="E1095" s="450">
        <v>0</v>
      </c>
      <c r="F1095" s="333" t="s">
        <v>13063</v>
      </c>
      <c r="G1095" s="333" t="s">
        <v>14212</v>
      </c>
      <c r="H1095" s="346">
        <v>0</v>
      </c>
      <c r="I1095" s="346">
        <v>0</v>
      </c>
      <c r="J1095" s="346"/>
      <c r="K1095" s="334"/>
      <c r="L1095" s="346" t="s">
        <v>932</v>
      </c>
    </row>
    <row r="1096" hidden="1" spans="1:12">
      <c r="A1096" s="404"/>
      <c r="B1096" s="404"/>
      <c r="C1096" s="334"/>
      <c r="D1096" s="442">
        <v>0</v>
      </c>
      <c r="E1096" s="450">
        <v>0</v>
      </c>
      <c r="F1096" s="333" t="s">
        <v>13063</v>
      </c>
      <c r="G1096" s="333" t="s">
        <v>14213</v>
      </c>
      <c r="H1096" s="346">
        <v>0</v>
      </c>
      <c r="I1096" s="346">
        <v>0</v>
      </c>
      <c r="J1096" s="346"/>
      <c r="K1096" s="334"/>
      <c r="L1096" s="346" t="s">
        <v>932</v>
      </c>
    </row>
    <row r="1097" hidden="1" spans="1:12">
      <c r="A1097" s="404"/>
      <c r="B1097" s="404"/>
      <c r="C1097" s="334"/>
      <c r="D1097" s="442">
        <v>0</v>
      </c>
      <c r="E1097" s="450">
        <v>0</v>
      </c>
      <c r="F1097" s="333" t="s">
        <v>13063</v>
      </c>
      <c r="G1097" s="333" t="s">
        <v>14214</v>
      </c>
      <c r="H1097" s="346">
        <v>0</v>
      </c>
      <c r="I1097" s="346">
        <v>0</v>
      </c>
      <c r="J1097" s="346"/>
      <c r="K1097" s="334"/>
      <c r="L1097" s="346" t="s">
        <v>932</v>
      </c>
    </row>
    <row r="1098" hidden="1" spans="1:12">
      <c r="A1098" s="404">
        <v>0</v>
      </c>
      <c r="B1098" s="404" t="e">
        <v>#N/A</v>
      </c>
      <c r="C1098" s="404"/>
      <c r="D1098" s="442">
        <v>0</v>
      </c>
      <c r="E1098" s="450">
        <v>0</v>
      </c>
      <c r="F1098" s="333" t="s">
        <v>13063</v>
      </c>
      <c r="G1098" s="333" t="s">
        <v>14212</v>
      </c>
      <c r="H1098" s="346">
        <v>0</v>
      </c>
      <c r="I1098" s="346">
        <v>0</v>
      </c>
      <c r="J1098" s="346"/>
      <c r="K1098" s="334"/>
      <c r="L1098" s="346" t="s">
        <v>932</v>
      </c>
    </row>
    <row r="1099" hidden="1" spans="1:12">
      <c r="A1099" s="404"/>
      <c r="B1099" s="404"/>
      <c r="C1099" s="334"/>
      <c r="D1099" s="442">
        <v>0</v>
      </c>
      <c r="E1099" s="450">
        <v>0</v>
      </c>
      <c r="F1099" s="333" t="s">
        <v>13063</v>
      </c>
      <c r="G1099" s="333" t="s">
        <v>14213</v>
      </c>
      <c r="H1099" s="346">
        <v>0</v>
      </c>
      <c r="I1099" s="346">
        <v>0</v>
      </c>
      <c r="J1099" s="346"/>
      <c r="K1099" s="334"/>
      <c r="L1099" s="346" t="s">
        <v>932</v>
      </c>
    </row>
    <row r="1100" hidden="1" spans="1:12">
      <c r="A1100" s="404"/>
      <c r="B1100" s="404"/>
      <c r="C1100" s="334"/>
      <c r="D1100" s="442">
        <v>0</v>
      </c>
      <c r="E1100" s="450">
        <v>0</v>
      </c>
      <c r="F1100" s="333" t="s">
        <v>13063</v>
      </c>
      <c r="G1100" s="333" t="s">
        <v>14214</v>
      </c>
      <c r="H1100" s="346">
        <v>0</v>
      </c>
      <c r="I1100" s="346">
        <v>0</v>
      </c>
      <c r="J1100" s="346"/>
      <c r="K1100" s="334"/>
      <c r="L1100" s="346" t="s">
        <v>932</v>
      </c>
    </row>
    <row r="1101" hidden="1" spans="1:12">
      <c r="A1101" s="404">
        <v>0</v>
      </c>
      <c r="B1101" s="404" t="e">
        <v>#N/A</v>
      </c>
      <c r="C1101" s="404"/>
      <c r="D1101" s="442">
        <v>0</v>
      </c>
      <c r="E1101" s="450">
        <v>0</v>
      </c>
      <c r="F1101" s="333" t="s">
        <v>13063</v>
      </c>
      <c r="G1101" s="333" t="s">
        <v>14212</v>
      </c>
      <c r="H1101" s="346">
        <v>0</v>
      </c>
      <c r="I1101" s="346">
        <v>0</v>
      </c>
      <c r="J1101" s="346"/>
      <c r="K1101" s="334"/>
      <c r="L1101" s="346" t="s">
        <v>932</v>
      </c>
    </row>
    <row r="1102" hidden="1" spans="1:12">
      <c r="A1102" s="404"/>
      <c r="B1102" s="404"/>
      <c r="C1102" s="334"/>
      <c r="D1102" s="442">
        <v>0</v>
      </c>
      <c r="E1102" s="450">
        <v>0</v>
      </c>
      <c r="F1102" s="333" t="s">
        <v>13063</v>
      </c>
      <c r="G1102" s="333" t="s">
        <v>14213</v>
      </c>
      <c r="H1102" s="346">
        <v>0</v>
      </c>
      <c r="I1102" s="346">
        <v>0</v>
      </c>
      <c r="J1102" s="346"/>
      <c r="K1102" s="334"/>
      <c r="L1102" s="346" t="s">
        <v>932</v>
      </c>
    </row>
    <row r="1103" hidden="1" spans="1:12">
      <c r="A1103" s="404"/>
      <c r="B1103" s="404"/>
      <c r="C1103" s="334"/>
      <c r="D1103" s="442">
        <v>0</v>
      </c>
      <c r="E1103" s="450">
        <v>0</v>
      </c>
      <c r="F1103" s="333" t="s">
        <v>13063</v>
      </c>
      <c r="G1103" s="333" t="s">
        <v>14214</v>
      </c>
      <c r="H1103" s="346">
        <v>0</v>
      </c>
      <c r="I1103" s="346">
        <v>0</v>
      </c>
      <c r="J1103" s="346"/>
      <c r="K1103" s="334"/>
      <c r="L1103" s="346" t="s">
        <v>932</v>
      </c>
    </row>
    <row r="1104" hidden="1" spans="1:12">
      <c r="A1104" s="404">
        <v>0</v>
      </c>
      <c r="B1104" s="404" t="e">
        <v>#N/A</v>
      </c>
      <c r="C1104" s="404"/>
      <c r="D1104" s="442">
        <v>0</v>
      </c>
      <c r="E1104" s="450">
        <v>0</v>
      </c>
      <c r="F1104" s="333" t="s">
        <v>13063</v>
      </c>
      <c r="G1104" s="333" t="s">
        <v>14212</v>
      </c>
      <c r="H1104" s="346">
        <v>0</v>
      </c>
      <c r="I1104" s="346">
        <v>0</v>
      </c>
      <c r="J1104" s="346"/>
      <c r="K1104" s="334"/>
      <c r="L1104" s="346" t="s">
        <v>932</v>
      </c>
    </row>
    <row r="1105" hidden="1" spans="1:12">
      <c r="A1105" s="404"/>
      <c r="B1105" s="404"/>
      <c r="C1105" s="334"/>
      <c r="D1105" s="442">
        <v>0</v>
      </c>
      <c r="E1105" s="450">
        <v>0</v>
      </c>
      <c r="F1105" s="333" t="s">
        <v>13063</v>
      </c>
      <c r="G1105" s="333" t="s">
        <v>14213</v>
      </c>
      <c r="H1105" s="346">
        <v>0</v>
      </c>
      <c r="I1105" s="346">
        <v>0</v>
      </c>
      <c r="J1105" s="346"/>
      <c r="K1105" s="334"/>
      <c r="L1105" s="346" t="s">
        <v>932</v>
      </c>
    </row>
    <row r="1106" hidden="1" spans="1:12">
      <c r="A1106" s="404"/>
      <c r="B1106" s="404"/>
      <c r="C1106" s="334"/>
      <c r="D1106" s="442">
        <v>0</v>
      </c>
      <c r="E1106" s="450">
        <v>0</v>
      </c>
      <c r="F1106" s="333" t="s">
        <v>13063</v>
      </c>
      <c r="G1106" s="333" t="s">
        <v>14214</v>
      </c>
      <c r="H1106" s="346">
        <v>0</v>
      </c>
      <c r="I1106" s="346">
        <v>0</v>
      </c>
      <c r="J1106" s="346"/>
      <c r="K1106" s="334"/>
      <c r="L1106" s="346" t="s">
        <v>932</v>
      </c>
    </row>
    <row r="1107" hidden="1" spans="1:12">
      <c r="A1107" s="401">
        <v>0</v>
      </c>
      <c r="B1107" s="401" t="e">
        <v>#N/A</v>
      </c>
      <c r="C1107" s="401"/>
      <c r="D1107" s="442">
        <v>0</v>
      </c>
      <c r="E1107" s="450">
        <v>0</v>
      </c>
      <c r="F1107" s="439" t="s">
        <v>13063</v>
      </c>
      <c r="G1107" s="439" t="s">
        <v>14212</v>
      </c>
      <c r="H1107" s="346">
        <v>0</v>
      </c>
      <c r="I1107" s="346">
        <v>0</v>
      </c>
      <c r="J1107" s="395"/>
      <c r="L1107" s="346" t="s">
        <v>932</v>
      </c>
    </row>
    <row r="1108" hidden="1" spans="1:12">
      <c r="A1108" s="401"/>
      <c r="B1108" s="401"/>
      <c r="D1108" s="442">
        <v>0</v>
      </c>
      <c r="E1108" s="450">
        <v>0</v>
      </c>
      <c r="F1108" s="439" t="s">
        <v>13063</v>
      </c>
      <c r="G1108" s="439" t="s">
        <v>14213</v>
      </c>
      <c r="H1108" s="346">
        <v>0</v>
      </c>
      <c r="I1108" s="346">
        <v>0</v>
      </c>
      <c r="J1108" s="395"/>
      <c r="L1108" s="346" t="s">
        <v>932</v>
      </c>
    </row>
    <row r="1109" hidden="1" spans="1:12">
      <c r="A1109" s="401"/>
      <c r="B1109" s="401"/>
      <c r="D1109" s="442">
        <v>0</v>
      </c>
      <c r="E1109" s="450">
        <v>0</v>
      </c>
      <c r="F1109" s="439" t="s">
        <v>13063</v>
      </c>
      <c r="G1109" s="439" t="s">
        <v>14214</v>
      </c>
      <c r="H1109" s="346">
        <v>0</v>
      </c>
      <c r="I1109" s="346">
        <v>0</v>
      </c>
      <c r="J1109" s="395"/>
      <c r="L1109" s="346" t="s">
        <v>932</v>
      </c>
    </row>
    <row r="1110" hidden="1" spans="1:12">
      <c r="A1110" s="401">
        <v>0</v>
      </c>
      <c r="B1110" s="401" t="e">
        <v>#N/A</v>
      </c>
      <c r="C1110" s="401"/>
      <c r="D1110" s="442">
        <v>0</v>
      </c>
      <c r="E1110" s="450">
        <v>0</v>
      </c>
      <c r="F1110" s="439" t="s">
        <v>13063</v>
      </c>
      <c r="G1110" s="439" t="s">
        <v>14212</v>
      </c>
      <c r="H1110" s="346">
        <v>0</v>
      </c>
      <c r="I1110" s="346">
        <v>0</v>
      </c>
      <c r="J1110" s="395"/>
      <c r="L1110" s="346" t="s">
        <v>932</v>
      </c>
    </row>
    <row r="1111" hidden="1" spans="1:12">
      <c r="A1111" s="401"/>
      <c r="B1111" s="401"/>
      <c r="D1111" s="442">
        <v>0</v>
      </c>
      <c r="E1111" s="450">
        <v>0</v>
      </c>
      <c r="F1111" s="439" t="s">
        <v>13063</v>
      </c>
      <c r="G1111" s="439" t="s">
        <v>14213</v>
      </c>
      <c r="H1111" s="346">
        <v>0</v>
      </c>
      <c r="I1111" s="346">
        <v>0</v>
      </c>
      <c r="J1111" s="395"/>
      <c r="L1111" s="346" t="s">
        <v>932</v>
      </c>
    </row>
    <row r="1112" hidden="1" spans="1:12">
      <c r="A1112" s="401"/>
      <c r="B1112" s="401"/>
      <c r="D1112" s="442">
        <v>0</v>
      </c>
      <c r="E1112" s="450">
        <v>0</v>
      </c>
      <c r="F1112" s="439" t="s">
        <v>13063</v>
      </c>
      <c r="G1112" s="439" t="s">
        <v>14214</v>
      </c>
      <c r="H1112" s="346">
        <v>0</v>
      </c>
      <c r="I1112" s="346">
        <v>0</v>
      </c>
      <c r="J1112" s="395"/>
      <c r="L1112" s="346" t="s">
        <v>932</v>
      </c>
    </row>
    <row r="1113" hidden="1" spans="1:12">
      <c r="A1113" s="401">
        <v>0</v>
      </c>
      <c r="B1113" s="401" t="e">
        <v>#N/A</v>
      </c>
      <c r="C1113" s="401"/>
      <c r="D1113" s="442">
        <v>0</v>
      </c>
      <c r="E1113" s="450">
        <v>0</v>
      </c>
      <c r="F1113" s="439" t="s">
        <v>13063</v>
      </c>
      <c r="G1113" s="439" t="s">
        <v>14212</v>
      </c>
      <c r="H1113" s="346">
        <v>0</v>
      </c>
      <c r="I1113" s="346">
        <v>0</v>
      </c>
      <c r="J1113" s="395"/>
      <c r="L1113" s="346" t="s">
        <v>932</v>
      </c>
    </row>
    <row r="1114" hidden="1" spans="1:12">
      <c r="A1114" s="401"/>
      <c r="B1114" s="401"/>
      <c r="D1114" s="442">
        <v>0</v>
      </c>
      <c r="E1114" s="450">
        <v>0</v>
      </c>
      <c r="F1114" s="439" t="s">
        <v>13063</v>
      </c>
      <c r="G1114" s="439" t="s">
        <v>14213</v>
      </c>
      <c r="H1114" s="346">
        <v>0</v>
      </c>
      <c r="I1114" s="346">
        <v>0</v>
      </c>
      <c r="J1114" s="395"/>
      <c r="L1114" s="346" t="s">
        <v>932</v>
      </c>
    </row>
    <row r="1115" hidden="1" spans="1:12">
      <c r="A1115" s="401"/>
      <c r="B1115" s="401"/>
      <c r="D1115" s="442">
        <v>0</v>
      </c>
      <c r="E1115" s="450">
        <v>0</v>
      </c>
      <c r="F1115" s="439" t="s">
        <v>13063</v>
      </c>
      <c r="G1115" s="439" t="s">
        <v>14214</v>
      </c>
      <c r="H1115" s="346">
        <v>0</v>
      </c>
      <c r="I1115" s="346">
        <v>0</v>
      </c>
      <c r="J1115" s="395"/>
      <c r="L1115" s="346" t="s">
        <v>932</v>
      </c>
    </row>
    <row r="1116" hidden="1" spans="1:12">
      <c r="A1116" s="421"/>
      <c r="B1116" s="422"/>
      <c r="C1116" s="422"/>
      <c r="D1116" s="422"/>
      <c r="E1116" s="422"/>
      <c r="F1116" s="422"/>
      <c r="G1116" s="422"/>
      <c r="H1116" s="422"/>
      <c r="I1116" s="430"/>
      <c r="J1116" s="430"/>
      <c r="K1116" s="425" t="s">
        <v>14215</v>
      </c>
      <c r="L1116" s="426">
        <v>0</v>
      </c>
    </row>
    <row r="1117" spans="1:12">
      <c r="A1117" s="451"/>
      <c r="B1117" s="452"/>
      <c r="C1117" s="452"/>
      <c r="D1117" s="452"/>
      <c r="E1117" s="452"/>
      <c r="F1117" s="452"/>
      <c r="G1117" s="452"/>
      <c r="H1117" s="452"/>
      <c r="I1117" s="453"/>
      <c r="J1117" s="453"/>
      <c r="K1117" s="454" t="s">
        <v>14216</v>
      </c>
      <c r="L1117" s="455">
        <v>180.81</v>
      </c>
    </row>
    <row r="1119" spans="1:12">
      <c r="A1119" s="391" t="s">
        <v>14172</v>
      </c>
      <c r="B1119" s="392"/>
      <c r="C1119" s="392"/>
      <c r="D1119" s="392"/>
      <c r="E1119" s="392"/>
      <c r="F1119" s="392"/>
      <c r="G1119" s="393"/>
      <c r="H1119" s="393"/>
      <c r="I1119" s="393"/>
      <c r="J1119" s="393"/>
      <c r="K1119" s="393"/>
      <c r="L1119" s="471"/>
    </row>
    <row r="1120" spans="1:12">
      <c r="A1120" s="396">
        <v>1106057</v>
      </c>
      <c r="B1120" s="397" t="s">
        <v>109</v>
      </c>
      <c r="C1120" s="397"/>
      <c r="D1120" s="397"/>
      <c r="E1120" s="397"/>
      <c r="F1120" s="397"/>
      <c r="G1120" s="397"/>
      <c r="H1120" s="397" t="s">
        <v>99</v>
      </c>
      <c r="I1120" s="398">
        <v>46023</v>
      </c>
      <c r="J1120" s="397"/>
      <c r="K1120" s="399" t="s">
        <v>14173</v>
      </c>
      <c r="L1120" s="400">
        <v>0</v>
      </c>
    </row>
    <row r="1121" spans="1:14">
      <c r="A1121" s="401"/>
      <c r="H1121" s="402" t="s">
        <v>14174</v>
      </c>
      <c r="I1121" s="434">
        <v>3.92899</v>
      </c>
      <c r="J1121" s="404" t="s">
        <v>99</v>
      </c>
      <c r="K1121" s="402" t="s">
        <v>14175</v>
      </c>
      <c r="L1121" s="456">
        <v>0.03632</v>
      </c>
    </row>
    <row r="1122" spans="1:14">
      <c r="A1122" s="405"/>
      <c r="B1122" s="405"/>
      <c r="C1122" s="405"/>
      <c r="D1122" s="406"/>
      <c r="E1122" s="406"/>
      <c r="F1122" s="406"/>
      <c r="G1122" s="407" t="s">
        <v>14176</v>
      </c>
      <c r="H1122" s="408"/>
      <c r="I1122" s="407" t="s">
        <v>14177</v>
      </c>
      <c r="J1122" s="408"/>
      <c r="K1122" s="405"/>
      <c r="L1122" s="409" t="s">
        <v>14178</v>
      </c>
    </row>
    <row r="1123" spans="1:14">
      <c r="A1123" s="410" t="s">
        <v>14179</v>
      </c>
      <c r="B1123" s="411"/>
      <c r="C1123" s="412"/>
      <c r="D1123" s="412"/>
      <c r="E1123" s="413" t="s">
        <v>74</v>
      </c>
      <c r="F1123" s="412"/>
      <c r="G1123" s="413" t="s">
        <v>14180</v>
      </c>
      <c r="H1123" s="413" t="s">
        <v>14181</v>
      </c>
      <c r="I1123" s="413" t="s">
        <v>14182</v>
      </c>
      <c r="J1123" s="413" t="s">
        <v>14183</v>
      </c>
      <c r="K1123" s="411"/>
      <c r="L1123" s="414" t="s">
        <v>14184</v>
      </c>
    </row>
    <row r="1124" spans="1:14">
      <c r="A1124" s="404" t="s">
        <v>1068</v>
      </c>
      <c r="B1124" s="415" t="s">
        <v>1069</v>
      </c>
      <c r="C1124" s="415"/>
      <c r="E1124" s="434">
        <v>1</v>
      </c>
      <c r="F1124" s="334"/>
      <c r="G1124" s="346">
        <v>1</v>
      </c>
      <c r="H1124" s="417">
        <v>0</v>
      </c>
      <c r="I1124" s="395">
        <v>56.8627</v>
      </c>
      <c r="J1124" s="418">
        <v>33.7088</v>
      </c>
      <c r="K1124" s="402"/>
      <c r="L1124" s="395">
        <v>56.8627</v>
      </c>
      <c r="N1124" s="395">
        <v>33.7088</v>
      </c>
    </row>
    <row r="1125" spans="1:14">
      <c r="A1125" s="404" t="s">
        <v>1070</v>
      </c>
      <c r="B1125" s="404" t="s">
        <v>1071</v>
      </c>
      <c r="C1125" s="404"/>
      <c r="D1125" s="334"/>
      <c r="E1125" s="434">
        <v>4</v>
      </c>
      <c r="F1125" s="334"/>
      <c r="G1125" s="346">
        <v>0.88</v>
      </c>
      <c r="H1125" s="417">
        <v>0.12</v>
      </c>
      <c r="I1125" s="346">
        <v>0.7083</v>
      </c>
      <c r="J1125" s="419">
        <v>0.4793</v>
      </c>
      <c r="K1125" s="420"/>
      <c r="L1125" s="395">
        <v>2.72328</v>
      </c>
      <c r="N1125" s="395">
        <v>1.9172</v>
      </c>
    </row>
    <row r="1126" spans="1:14">
      <c r="A1126" s="404" t="s">
        <v>1072</v>
      </c>
      <c r="B1126" s="404" t="s">
        <v>1073</v>
      </c>
      <c r="C1126" s="404"/>
      <c r="D1126" s="334"/>
      <c r="E1126" s="434">
        <v>3</v>
      </c>
      <c r="F1126" s="334"/>
      <c r="G1126" s="346">
        <v>0.41</v>
      </c>
      <c r="H1126" s="417">
        <v>0.59</v>
      </c>
      <c r="I1126" s="346">
        <v>1.5493</v>
      </c>
      <c r="J1126" s="419">
        <v>1.0483</v>
      </c>
      <c r="K1126" s="420"/>
      <c r="L1126" s="395">
        <v>3.76113</v>
      </c>
      <c r="N1126" s="395">
        <v>3.1449</v>
      </c>
    </row>
    <row r="1127" hidden="1" spans="1:14">
      <c r="A1127" s="404">
        <v>0</v>
      </c>
      <c r="B1127" s="404" t="e">
        <v>#N/A</v>
      </c>
      <c r="C1127" s="404"/>
      <c r="D1127" s="334"/>
      <c r="E1127" s="434">
        <v>0</v>
      </c>
      <c r="F1127" s="334"/>
      <c r="G1127" s="346">
        <v>0</v>
      </c>
      <c r="H1127" s="417">
        <v>1</v>
      </c>
      <c r="I1127" s="346" t="e">
        <v>#N/A</v>
      </c>
      <c r="J1127" s="419" t="e">
        <v>#N/A</v>
      </c>
      <c r="K1127" s="420"/>
      <c r="L1127" s="395" t="s">
        <v>932</v>
      </c>
      <c r="N1127" s="395" t="s">
        <v>932</v>
      </c>
    </row>
    <row r="1128" hidden="1" spans="1:14">
      <c r="A1128" s="404">
        <v>0</v>
      </c>
      <c r="B1128" s="404" t="e">
        <v>#N/A</v>
      </c>
      <c r="C1128" s="404"/>
      <c r="D1128" s="334"/>
      <c r="E1128" s="434">
        <v>0</v>
      </c>
      <c r="F1128" s="334"/>
      <c r="G1128" s="346">
        <v>0</v>
      </c>
      <c r="H1128" s="417">
        <v>1</v>
      </c>
      <c r="I1128" s="346" t="e">
        <v>#N/A</v>
      </c>
      <c r="J1128" s="419" t="e">
        <v>#N/A</v>
      </c>
      <c r="K1128" s="420"/>
      <c r="L1128" s="395" t="s">
        <v>932</v>
      </c>
      <c r="N1128" s="395" t="s">
        <v>932</v>
      </c>
    </row>
    <row r="1129" hidden="1" spans="1:14">
      <c r="A1129" s="404">
        <v>0</v>
      </c>
      <c r="B1129" s="404" t="e">
        <v>#N/A</v>
      </c>
      <c r="C1129" s="404"/>
      <c r="D1129" s="334"/>
      <c r="E1129" s="416">
        <v>0</v>
      </c>
      <c r="F1129" s="334"/>
      <c r="G1129" s="346">
        <v>0</v>
      </c>
      <c r="H1129" s="417">
        <v>1</v>
      </c>
      <c r="I1129" s="346" t="e">
        <v>#N/A</v>
      </c>
      <c r="J1129" s="419" t="e">
        <v>#N/A</v>
      </c>
      <c r="K1129" s="420"/>
      <c r="L1129" s="395" t="s">
        <v>932</v>
      </c>
      <c r="N1129" s="395" t="s">
        <v>932</v>
      </c>
    </row>
    <row r="1130" hidden="1" spans="1:14">
      <c r="A1130" s="404">
        <v>0</v>
      </c>
      <c r="B1130" s="404" t="e">
        <v>#N/A</v>
      </c>
      <c r="C1130" s="404"/>
      <c r="D1130" s="334"/>
      <c r="E1130" s="416">
        <v>0</v>
      </c>
      <c r="F1130" s="334"/>
      <c r="G1130" s="346">
        <v>0</v>
      </c>
      <c r="H1130" s="417">
        <v>1</v>
      </c>
      <c r="I1130" s="346" t="e">
        <v>#N/A</v>
      </c>
      <c r="J1130" s="419" t="e">
        <v>#N/A</v>
      </c>
      <c r="K1130" s="420"/>
      <c r="L1130" s="395" t="s">
        <v>932</v>
      </c>
      <c r="N1130" s="395" t="s">
        <v>932</v>
      </c>
    </row>
    <row r="1131" hidden="1" spans="1:14">
      <c r="A1131" s="404">
        <v>0</v>
      </c>
      <c r="B1131" s="404" t="e">
        <v>#N/A</v>
      </c>
      <c r="C1131" s="404"/>
      <c r="D1131" s="334"/>
      <c r="E1131" s="416">
        <v>0</v>
      </c>
      <c r="F1131" s="334"/>
      <c r="G1131" s="346">
        <v>0</v>
      </c>
      <c r="H1131" s="417">
        <v>1</v>
      </c>
      <c r="I1131" s="346" t="e">
        <v>#N/A</v>
      </c>
      <c r="J1131" s="419" t="e">
        <v>#N/A</v>
      </c>
      <c r="K1131" s="420"/>
      <c r="L1131" s="395" t="s">
        <v>932</v>
      </c>
      <c r="N1131" s="395" t="s">
        <v>932</v>
      </c>
    </row>
    <row r="1132" spans="1:14">
      <c r="A1132" s="421"/>
      <c r="B1132" s="422"/>
      <c r="C1132" s="422"/>
      <c r="D1132" s="422"/>
      <c r="E1132" s="423"/>
      <c r="F1132" s="424"/>
      <c r="G1132" s="422"/>
      <c r="H1132" s="422"/>
      <c r="I1132" s="422"/>
      <c r="J1132" s="422"/>
      <c r="K1132" s="425" t="s">
        <v>14185</v>
      </c>
      <c r="L1132" s="426">
        <v>63.34711</v>
      </c>
      <c r="N1132" s="427">
        <v>38.7709</v>
      </c>
    </row>
    <row r="1133" spans="1:14">
      <c r="A1133" s="428" t="s">
        <v>14186</v>
      </c>
      <c r="B1133" s="429"/>
      <c r="C1133" s="429"/>
      <c r="D1133" s="430"/>
      <c r="E1133" s="431" t="s">
        <v>74</v>
      </c>
      <c r="F1133" s="431" t="s">
        <v>1123</v>
      </c>
      <c r="G1133" s="430"/>
      <c r="H1133" s="422"/>
      <c r="I1133" s="431" t="s">
        <v>14177</v>
      </c>
      <c r="J1133" s="430"/>
      <c r="K1133" s="430"/>
      <c r="L1133" s="432" t="s">
        <v>14187</v>
      </c>
    </row>
    <row r="1134" spans="1:14">
      <c r="A1134" s="404" t="s">
        <v>946</v>
      </c>
      <c r="B1134" s="433" t="s">
        <v>947</v>
      </c>
      <c r="C1134" s="433"/>
      <c r="D1134" s="334"/>
      <c r="E1134" s="434">
        <v>1</v>
      </c>
      <c r="F1134" s="333" t="s">
        <v>104</v>
      </c>
      <c r="G1134" s="334"/>
      <c r="H1134" s="334"/>
      <c r="I1134" s="435">
        <v>29.6171</v>
      </c>
      <c r="J1134" s="334"/>
      <c r="K1134" s="334"/>
      <c r="L1134" s="346">
        <v>29.6171</v>
      </c>
      <c r="N1134" s="395">
        <v>29.6171</v>
      </c>
    </row>
    <row r="1135" spans="1:14">
      <c r="A1135" s="404" t="s">
        <v>935</v>
      </c>
      <c r="B1135" s="404" t="s">
        <v>936</v>
      </c>
      <c r="C1135" s="404"/>
      <c r="D1135" s="334"/>
      <c r="E1135" s="434">
        <v>9</v>
      </c>
      <c r="F1135" s="333" t="s">
        <v>104</v>
      </c>
      <c r="G1135" s="334"/>
      <c r="H1135" s="334"/>
      <c r="I1135" s="435">
        <v>23.6025</v>
      </c>
      <c r="J1135" s="334"/>
      <c r="K1135" s="334"/>
      <c r="L1135" s="346">
        <v>212.4225</v>
      </c>
      <c r="N1135" s="395">
        <v>212.4225</v>
      </c>
    </row>
    <row r="1136" hidden="1" spans="1:14">
      <c r="A1136" s="404">
        <v>0</v>
      </c>
      <c r="B1136" s="404" t="e">
        <v>#N/A</v>
      </c>
      <c r="C1136" s="404"/>
      <c r="D1136" s="334"/>
      <c r="E1136" s="434">
        <v>0</v>
      </c>
      <c r="F1136" s="333" t="s">
        <v>104</v>
      </c>
      <c r="G1136" s="334"/>
      <c r="H1136" s="334"/>
      <c r="I1136" s="435" t="e">
        <v>#N/A</v>
      </c>
      <c r="J1136" s="334"/>
      <c r="K1136" s="334"/>
      <c r="L1136" s="346" t="s">
        <v>932</v>
      </c>
      <c r="N1136" s="395" t="s">
        <v>932</v>
      </c>
    </row>
    <row r="1137" hidden="1" spans="1:15">
      <c r="A1137" s="404">
        <v>0</v>
      </c>
      <c r="B1137" s="404" t="e">
        <v>#N/A</v>
      </c>
      <c r="C1137" s="404"/>
      <c r="D1137" s="334"/>
      <c r="E1137" s="434">
        <v>0</v>
      </c>
      <c r="F1137" s="333" t="s">
        <v>104</v>
      </c>
      <c r="G1137" s="334"/>
      <c r="H1137" s="334"/>
      <c r="I1137" s="435" t="e">
        <v>#N/A</v>
      </c>
      <c r="J1137" s="334"/>
      <c r="K1137" s="334"/>
      <c r="L1137" s="346" t="s">
        <v>932</v>
      </c>
      <c r="N1137" s="395" t="s">
        <v>932</v>
      </c>
    </row>
    <row r="1138" hidden="1" spans="1:15">
      <c r="A1138" s="404">
        <v>0</v>
      </c>
      <c r="B1138" s="404" t="e">
        <v>#N/A</v>
      </c>
      <c r="C1138" s="404"/>
      <c r="D1138" s="334"/>
      <c r="E1138" s="434">
        <v>0</v>
      </c>
      <c r="F1138" s="333" t="s">
        <v>104</v>
      </c>
      <c r="G1138" s="334"/>
      <c r="H1138" s="334"/>
      <c r="I1138" s="435" t="e">
        <v>#N/A</v>
      </c>
      <c r="J1138" s="334"/>
      <c r="K1138" s="334"/>
      <c r="L1138" s="346" t="s">
        <v>932</v>
      </c>
      <c r="N1138" s="395" t="s">
        <v>932</v>
      </c>
    </row>
    <row r="1139" hidden="1" spans="1:15">
      <c r="A1139" s="404">
        <v>0</v>
      </c>
      <c r="B1139" s="404" t="e">
        <v>#N/A</v>
      </c>
      <c r="C1139" s="404"/>
      <c r="D1139" s="334"/>
      <c r="E1139" s="434">
        <v>0</v>
      </c>
      <c r="F1139" s="333" t="s">
        <v>104</v>
      </c>
      <c r="G1139" s="334"/>
      <c r="H1139" s="334"/>
      <c r="I1139" s="435" t="e">
        <v>#N/A</v>
      </c>
      <c r="J1139" s="334"/>
      <c r="K1139" s="334"/>
      <c r="L1139" s="346" t="s">
        <v>932</v>
      </c>
      <c r="N1139" s="395" t="s">
        <v>932</v>
      </c>
    </row>
    <row r="1140" hidden="1" spans="1:15">
      <c r="A1140" s="404">
        <v>0</v>
      </c>
      <c r="B1140" s="404" t="e">
        <v>#N/A</v>
      </c>
      <c r="C1140" s="404"/>
      <c r="D1140" s="334"/>
      <c r="E1140" s="434">
        <v>0</v>
      </c>
      <c r="F1140" s="333" t="s">
        <v>104</v>
      </c>
      <c r="G1140" s="334"/>
      <c r="H1140" s="334"/>
      <c r="I1140" s="435" t="e">
        <v>#N/A</v>
      </c>
      <c r="J1140" s="334"/>
      <c r="K1140" s="334"/>
      <c r="L1140" s="346" t="s">
        <v>932</v>
      </c>
      <c r="N1140" s="395" t="s">
        <v>932</v>
      </c>
    </row>
    <row r="1141" hidden="1" spans="1:15">
      <c r="A1141" s="404">
        <v>0</v>
      </c>
      <c r="B1141" s="436" t="e">
        <v>#N/A</v>
      </c>
      <c r="C1141" s="436"/>
      <c r="D1141" s="334"/>
      <c r="E1141" s="434">
        <v>0</v>
      </c>
      <c r="F1141" s="333" t="s">
        <v>104</v>
      </c>
      <c r="G1141" s="334"/>
      <c r="H1141" s="334"/>
      <c r="I1141" s="435" t="e">
        <v>#N/A</v>
      </c>
      <c r="J1141" s="334"/>
      <c r="K1141" s="334"/>
      <c r="L1141" s="346" t="s">
        <v>932</v>
      </c>
      <c r="N1141" s="395" t="s">
        <v>932</v>
      </c>
    </row>
    <row r="1142" spans="1:15">
      <c r="A1142" s="421"/>
      <c r="B1142" s="62"/>
      <c r="C1142" s="62"/>
      <c r="D1142" s="422"/>
      <c r="E1142" s="423"/>
      <c r="F1142" s="424"/>
      <c r="G1142" s="422"/>
      <c r="H1142" s="422"/>
      <c r="I1142" s="422"/>
      <c r="J1142" s="422"/>
      <c r="K1142" s="425" t="s">
        <v>14188</v>
      </c>
      <c r="L1142" s="426">
        <v>242.0396</v>
      </c>
      <c r="N1142" s="427">
        <v>242.0396</v>
      </c>
    </row>
    <row r="1143" spans="1:15">
      <c r="I1143" s="437"/>
      <c r="K1143" s="383" t="s">
        <v>14189</v>
      </c>
      <c r="L1143" s="427">
        <v>305.38671</v>
      </c>
      <c r="N1143" s="395">
        <v>280.8105</v>
      </c>
    </row>
    <row r="1144" spans="1:15">
      <c r="K1144" s="383" t="s">
        <v>14190</v>
      </c>
      <c r="L1144" s="427">
        <v>77.7265175019534</v>
      </c>
      <c r="N1144" s="395">
        <v>71.4714214085554</v>
      </c>
      <c r="O1144" s="395">
        <v>2.59584202555873</v>
      </c>
    </row>
    <row r="1145" spans="1:15">
      <c r="K1145" s="383" t="s">
        <v>14191</v>
      </c>
      <c r="L1145" s="427">
        <v>2.59584202555873</v>
      </c>
    </row>
    <row r="1146" spans="1:15">
      <c r="K1146" s="383" t="s">
        <v>14192</v>
      </c>
      <c r="L1146" s="395">
        <v>0</v>
      </c>
    </row>
    <row r="1147" spans="1:15">
      <c r="A1147" s="428" t="s">
        <v>14193</v>
      </c>
      <c r="B1147" s="430"/>
      <c r="C1147" s="430"/>
      <c r="D1147" s="430"/>
      <c r="E1147" s="431" t="s">
        <v>74</v>
      </c>
      <c r="F1147" s="431" t="s">
        <v>1123</v>
      </c>
      <c r="G1147" s="430"/>
      <c r="H1147" s="430"/>
      <c r="I1147" s="425" t="s">
        <v>75</v>
      </c>
      <c r="J1147" s="430"/>
      <c r="K1147" s="430"/>
      <c r="L1147" s="426" t="s">
        <v>14194</v>
      </c>
    </row>
    <row r="1148" spans="1:15">
      <c r="A1148" s="404" t="s">
        <v>851</v>
      </c>
      <c r="B1148" s="433" t="s">
        <v>14226</v>
      </c>
      <c r="C1148" s="433"/>
      <c r="D1148" s="334"/>
      <c r="E1148" s="434">
        <v>0.59948</v>
      </c>
      <c r="F1148" s="333" t="s">
        <v>99</v>
      </c>
      <c r="G1148" s="334"/>
      <c r="I1148" s="395">
        <v>412.326997156484</v>
      </c>
      <c r="J1148" s="395"/>
      <c r="K1148" s="395"/>
      <c r="L1148" s="346">
        <v>247.181788255369</v>
      </c>
    </row>
    <row r="1149" spans="1:15">
      <c r="A1149" s="404" t="s">
        <v>854</v>
      </c>
      <c r="B1149" s="404" t="s">
        <v>172</v>
      </c>
      <c r="C1149" s="404"/>
      <c r="D1149" s="334"/>
      <c r="E1149" s="434">
        <v>0.73508</v>
      </c>
      <c r="F1149" s="333" t="s">
        <v>99</v>
      </c>
      <c r="G1149" s="334"/>
      <c r="I1149" s="395">
        <v>496.690992606858</v>
      </c>
      <c r="J1149" s="395"/>
      <c r="K1149" s="395"/>
      <c r="L1149" s="346">
        <v>365.107614845449</v>
      </c>
    </row>
    <row r="1150" spans="1:15">
      <c r="A1150" s="404" t="s">
        <v>836</v>
      </c>
      <c r="B1150" s="404" t="s">
        <v>14227</v>
      </c>
      <c r="C1150" s="404"/>
      <c r="D1150" s="334"/>
      <c r="E1150" s="434">
        <v>280.53418</v>
      </c>
      <c r="F1150" s="333" t="s">
        <v>101</v>
      </c>
      <c r="G1150" s="334"/>
      <c r="I1150" s="395">
        <v>0.973615959156765</v>
      </c>
      <c r="J1150" s="395"/>
      <c r="K1150" s="395"/>
      <c r="L1150" s="346">
        <v>273.132554736957</v>
      </c>
    </row>
    <row r="1151" hidden="1" spans="1:15">
      <c r="A1151" s="404">
        <v>0</v>
      </c>
      <c r="B1151" s="404" t="e">
        <v>#N/A</v>
      </c>
      <c r="C1151" s="404"/>
      <c r="D1151" s="334"/>
      <c r="E1151" s="434">
        <v>0</v>
      </c>
      <c r="F1151" s="333" t="e">
        <v>#N/A</v>
      </c>
      <c r="G1151" s="334"/>
      <c r="I1151" s="395" t="e">
        <v>#N/A</v>
      </c>
      <c r="J1151" s="395"/>
      <c r="K1151" s="395"/>
      <c r="L1151" s="346" t="s">
        <v>932</v>
      </c>
    </row>
    <row r="1152" hidden="1" spans="1:15">
      <c r="A1152" s="404">
        <v>0</v>
      </c>
      <c r="B1152" s="404" t="e">
        <v>#N/A</v>
      </c>
      <c r="C1152" s="404"/>
      <c r="D1152" s="334"/>
      <c r="E1152" s="434">
        <v>0</v>
      </c>
      <c r="F1152" s="333" t="e">
        <v>#N/A</v>
      </c>
      <c r="G1152" s="334"/>
      <c r="H1152" s="334"/>
      <c r="I1152" s="395" t="e">
        <v>#N/A</v>
      </c>
      <c r="J1152" s="395"/>
      <c r="K1152" s="395"/>
      <c r="L1152" s="346" t="s">
        <v>932</v>
      </c>
    </row>
    <row r="1153" hidden="1" spans="1:12">
      <c r="A1153" s="404">
        <v>0</v>
      </c>
      <c r="B1153" s="404" t="e">
        <v>#N/A</v>
      </c>
      <c r="C1153" s="404"/>
      <c r="D1153" s="334"/>
      <c r="E1153" s="434">
        <v>0</v>
      </c>
      <c r="F1153" s="333" t="e">
        <v>#N/A</v>
      </c>
      <c r="G1153" s="334"/>
      <c r="H1153" s="334"/>
      <c r="I1153" s="395" t="e">
        <v>#N/A</v>
      </c>
      <c r="J1153" s="395"/>
      <c r="K1153" s="395"/>
      <c r="L1153" s="346" t="s">
        <v>932</v>
      </c>
    </row>
    <row r="1154" hidden="1" spans="1:12">
      <c r="A1154" s="404">
        <v>0</v>
      </c>
      <c r="B1154" s="404" t="e">
        <v>#N/A</v>
      </c>
      <c r="C1154" s="404"/>
      <c r="D1154" s="334"/>
      <c r="E1154" s="434">
        <v>0</v>
      </c>
      <c r="F1154" s="333" t="e">
        <v>#N/A</v>
      </c>
      <c r="G1154" s="334"/>
      <c r="H1154" s="334"/>
      <c r="I1154" s="395" t="e">
        <v>#N/A</v>
      </c>
      <c r="J1154" s="395"/>
      <c r="K1154" s="395"/>
      <c r="L1154" s="346" t="s">
        <v>932</v>
      </c>
    </row>
    <row r="1155" hidden="1" spans="1:12">
      <c r="A1155" s="404">
        <v>0</v>
      </c>
      <c r="B1155" s="404" t="e">
        <v>#N/A</v>
      </c>
      <c r="C1155" s="404"/>
      <c r="D1155" s="438"/>
      <c r="E1155" s="434">
        <v>0</v>
      </c>
      <c r="F1155" s="333" t="e">
        <v>#N/A</v>
      </c>
      <c r="G1155" s="334"/>
      <c r="H1155" s="334"/>
      <c r="I1155" s="395" t="e">
        <v>#N/A</v>
      </c>
      <c r="J1155" s="395"/>
      <c r="K1155" s="395"/>
      <c r="L1155" s="346" t="s">
        <v>932</v>
      </c>
    </row>
    <row r="1156" spans="1:12">
      <c r="A1156" s="421"/>
      <c r="B1156" s="422"/>
      <c r="C1156" s="422"/>
      <c r="D1156" s="422"/>
      <c r="E1156" s="423"/>
      <c r="F1156" s="424"/>
      <c r="G1156" s="422"/>
      <c r="H1156" s="422"/>
      <c r="I1156" s="430"/>
      <c r="J1156" s="430"/>
      <c r="K1156" s="425" t="s">
        <v>14203</v>
      </c>
      <c r="L1156" s="426">
        <v>885.421957837774</v>
      </c>
    </row>
    <row r="1157" hidden="1" spans="1:12">
      <c r="A1157" s="428" t="s">
        <v>14204</v>
      </c>
      <c r="B1157" s="430"/>
      <c r="C1157" s="430"/>
      <c r="D1157" s="430"/>
      <c r="E1157" s="431" t="s">
        <v>74</v>
      </c>
      <c r="F1157" s="431" t="s">
        <v>1123</v>
      </c>
      <c r="G1157" s="430"/>
      <c r="H1157" s="430"/>
      <c r="I1157" s="425" t="s">
        <v>75</v>
      </c>
      <c r="J1157" s="430"/>
      <c r="K1157" s="430"/>
      <c r="L1157" s="426" t="s">
        <v>14194</v>
      </c>
    </row>
    <row r="1158" hidden="1" spans="1:12">
      <c r="A1158" s="404">
        <v>0</v>
      </c>
      <c r="B1158" s="334" t="e">
        <v>#N/A</v>
      </c>
      <c r="C1158" s="334"/>
      <c r="D1158" s="334"/>
      <c r="E1158" s="434">
        <v>0</v>
      </c>
      <c r="F1158" s="333" t="e">
        <v>#N/A</v>
      </c>
      <c r="G1158" s="439"/>
      <c r="I1158" s="346" t="e">
        <v>#N/A</v>
      </c>
      <c r="L1158" s="346" t="s">
        <v>932</v>
      </c>
    </row>
    <row r="1159" hidden="1" spans="1:12">
      <c r="A1159" s="401">
        <v>0</v>
      </c>
      <c r="B1159" s="334" t="e">
        <v>#N/A</v>
      </c>
      <c r="E1159" s="440">
        <v>0</v>
      </c>
      <c r="F1159" s="333" t="e">
        <v>#N/A</v>
      </c>
      <c r="G1159" s="439"/>
      <c r="I1159" s="346" t="e">
        <v>#N/A</v>
      </c>
      <c r="L1159" s="346" t="s">
        <v>932</v>
      </c>
    </row>
    <row r="1160" hidden="1" spans="1:12">
      <c r="A1160" s="401">
        <v>0</v>
      </c>
      <c r="B1160" s="334" t="e">
        <v>#N/A</v>
      </c>
      <c r="E1160" s="440">
        <v>0</v>
      </c>
      <c r="F1160" s="333" t="e">
        <v>#N/A</v>
      </c>
      <c r="G1160" s="439"/>
      <c r="I1160" s="346" t="e">
        <v>#N/A</v>
      </c>
      <c r="L1160" s="346" t="s">
        <v>932</v>
      </c>
    </row>
    <row r="1161" hidden="1" spans="1:12">
      <c r="A1161" s="401">
        <v>0</v>
      </c>
      <c r="B1161" s="334" t="e">
        <v>#N/A</v>
      </c>
      <c r="E1161" s="440">
        <v>0</v>
      </c>
      <c r="F1161" s="333" t="e">
        <v>#N/A</v>
      </c>
      <c r="G1161" s="439"/>
      <c r="I1161" s="346" t="e">
        <v>#N/A</v>
      </c>
      <c r="L1161" s="346" t="s">
        <v>932</v>
      </c>
    </row>
    <row r="1162" hidden="1" spans="1:12">
      <c r="A1162" s="401">
        <v>0</v>
      </c>
      <c r="B1162" s="334" t="e">
        <v>#N/A</v>
      </c>
      <c r="E1162" s="440">
        <v>0</v>
      </c>
      <c r="F1162" s="333" t="e">
        <v>#N/A</v>
      </c>
      <c r="G1162" s="439"/>
      <c r="I1162" s="346" t="e">
        <v>#N/A</v>
      </c>
      <c r="L1162" s="346" t="s">
        <v>932</v>
      </c>
    </row>
    <row r="1163" hidden="1" spans="1:12">
      <c r="A1163" s="401">
        <v>0</v>
      </c>
      <c r="B1163" s="334" t="e">
        <v>#N/A</v>
      </c>
      <c r="E1163" s="440">
        <v>0</v>
      </c>
      <c r="F1163" s="333" t="e">
        <v>#N/A</v>
      </c>
      <c r="G1163" s="439"/>
      <c r="I1163" s="346" t="e">
        <v>#N/A</v>
      </c>
      <c r="L1163" s="346" t="s">
        <v>932</v>
      </c>
    </row>
    <row r="1164" hidden="1" spans="1:12">
      <c r="A1164" s="421"/>
      <c r="B1164" s="422"/>
      <c r="C1164" s="422"/>
      <c r="D1164" s="422"/>
      <c r="E1164" s="422"/>
      <c r="F1164" s="422"/>
      <c r="G1164" s="422"/>
      <c r="H1164" s="422"/>
      <c r="I1164" s="430"/>
      <c r="J1164" s="430"/>
      <c r="K1164" s="425" t="s">
        <v>14206</v>
      </c>
      <c r="L1164" s="426">
        <v>0</v>
      </c>
    </row>
    <row r="1165" spans="1:12">
      <c r="A1165" s="421"/>
      <c r="B1165" s="422"/>
      <c r="C1165" s="422"/>
      <c r="D1165" s="422"/>
      <c r="E1165" s="422"/>
      <c r="F1165" s="422"/>
      <c r="G1165" s="422"/>
      <c r="H1165" s="422"/>
      <c r="I1165" s="430"/>
      <c r="J1165" s="430"/>
      <c r="K1165" s="425" t="s">
        <v>14207</v>
      </c>
      <c r="L1165" s="426">
        <v>965.744317365286</v>
      </c>
    </row>
    <row r="1166" spans="1:12">
      <c r="A1166" s="428" t="s">
        <v>14208</v>
      </c>
      <c r="B1166" s="430"/>
      <c r="C1166" s="430"/>
      <c r="D1166" s="431" t="s">
        <v>55</v>
      </c>
      <c r="E1166" s="431" t="s">
        <v>74</v>
      </c>
      <c r="F1166" s="431" t="s">
        <v>1123</v>
      </c>
      <c r="G1166" s="430"/>
      <c r="H1166" s="430"/>
      <c r="I1166" s="425" t="s">
        <v>75</v>
      </c>
      <c r="J1166" s="430"/>
      <c r="K1166" s="430"/>
      <c r="L1166" s="426" t="s">
        <v>14194</v>
      </c>
    </row>
    <row r="1167" spans="1:12">
      <c r="A1167" s="404" t="s">
        <v>851</v>
      </c>
      <c r="B1167" s="441" t="s">
        <v>14226</v>
      </c>
      <c r="C1167" s="441"/>
      <c r="D1167" s="442">
        <v>5914647</v>
      </c>
      <c r="E1167" s="434">
        <v>0.89922</v>
      </c>
      <c r="F1167" s="333" t="s">
        <v>9885</v>
      </c>
      <c r="G1167" s="443" t="s">
        <v>14209</v>
      </c>
      <c r="H1167" s="334"/>
      <c r="I1167" s="346">
        <v>1.88</v>
      </c>
      <c r="J1167" s="334"/>
      <c r="K1167" s="346"/>
      <c r="L1167" s="346">
        <v>1.6905336</v>
      </c>
    </row>
    <row r="1168" spans="1:12">
      <c r="A1168" s="404" t="s">
        <v>854</v>
      </c>
      <c r="B1168" s="334" t="s">
        <v>172</v>
      </c>
      <c r="C1168" s="334"/>
      <c r="D1168" s="442">
        <v>5914647</v>
      </c>
      <c r="E1168" s="434">
        <v>1.10262</v>
      </c>
      <c r="F1168" s="333" t="s">
        <v>9885</v>
      </c>
      <c r="G1168" s="334"/>
      <c r="H1168" s="334"/>
      <c r="I1168" s="346">
        <v>1.88</v>
      </c>
      <c r="J1168" s="334"/>
      <c r="K1168" s="346"/>
      <c r="L1168" s="346">
        <v>2.0729256</v>
      </c>
    </row>
    <row r="1169" spans="1:12">
      <c r="A1169" s="404" t="s">
        <v>836</v>
      </c>
      <c r="B1169" s="334" t="s">
        <v>14227</v>
      </c>
      <c r="C1169" s="334"/>
      <c r="D1169" s="442">
        <v>5914655</v>
      </c>
      <c r="E1169" s="434">
        <v>0.28053</v>
      </c>
      <c r="F1169" s="333" t="s">
        <v>9885</v>
      </c>
      <c r="G1169" s="334"/>
      <c r="H1169" s="334"/>
      <c r="I1169" s="346">
        <v>35.43</v>
      </c>
      <c r="J1169" s="334"/>
      <c r="K1169" s="346"/>
      <c r="L1169" s="346">
        <v>9.9391779</v>
      </c>
    </row>
    <row r="1170" hidden="1" spans="1:12">
      <c r="A1170" s="404">
        <v>0</v>
      </c>
      <c r="B1170" s="334" t="e">
        <v>#N/A</v>
      </c>
      <c r="C1170" s="334"/>
      <c r="D1170" s="442">
        <v>0</v>
      </c>
      <c r="E1170" s="434">
        <v>0</v>
      </c>
      <c r="F1170" s="333" t="s">
        <v>9885</v>
      </c>
      <c r="G1170" s="334"/>
      <c r="H1170" s="334"/>
      <c r="I1170" s="346">
        <v>0</v>
      </c>
      <c r="J1170" s="334"/>
      <c r="K1170" s="346"/>
      <c r="L1170" s="346" t="s">
        <v>932</v>
      </c>
    </row>
    <row r="1171" hidden="1" spans="1:12">
      <c r="A1171" s="404">
        <v>0</v>
      </c>
      <c r="B1171" s="334" t="e">
        <v>#N/A</v>
      </c>
      <c r="C1171" s="334"/>
      <c r="D1171" s="442">
        <v>0</v>
      </c>
      <c r="E1171" s="434">
        <v>0</v>
      </c>
      <c r="F1171" s="333" t="s">
        <v>9885</v>
      </c>
      <c r="G1171" s="334"/>
      <c r="H1171" s="334"/>
      <c r="I1171" s="346">
        <v>0</v>
      </c>
      <c r="J1171" s="334"/>
      <c r="K1171" s="346"/>
      <c r="L1171" s="346" t="s">
        <v>932</v>
      </c>
    </row>
    <row r="1172" hidden="1" spans="1:12">
      <c r="A1172" s="404">
        <v>0</v>
      </c>
      <c r="B1172" s="334" t="e">
        <v>#N/A</v>
      </c>
      <c r="C1172" s="334"/>
      <c r="D1172" s="442">
        <v>0</v>
      </c>
      <c r="E1172" s="434">
        <v>0</v>
      </c>
      <c r="F1172" s="333" t="s">
        <v>9885</v>
      </c>
      <c r="G1172" s="334"/>
      <c r="H1172" s="334"/>
      <c r="I1172" s="346">
        <v>0</v>
      </c>
      <c r="J1172" s="334"/>
      <c r="K1172" s="346"/>
      <c r="L1172" s="346" t="s">
        <v>932</v>
      </c>
    </row>
    <row r="1173" hidden="1" spans="1:12">
      <c r="A1173" s="404">
        <v>0</v>
      </c>
      <c r="B1173" s="334" t="e">
        <v>#N/A</v>
      </c>
      <c r="C1173" s="334"/>
      <c r="D1173" s="442">
        <v>0</v>
      </c>
      <c r="E1173" s="434">
        <v>0</v>
      </c>
      <c r="F1173" s="333" t="s">
        <v>9885</v>
      </c>
      <c r="G1173" s="334"/>
      <c r="H1173" s="334"/>
      <c r="I1173" s="346">
        <v>0</v>
      </c>
      <c r="J1173" s="334"/>
      <c r="K1173" s="346"/>
      <c r="L1173" s="346" t="s">
        <v>932</v>
      </c>
    </row>
    <row r="1174" hidden="1" spans="1:12">
      <c r="A1174" s="404">
        <v>0</v>
      </c>
      <c r="B1174" s="444" t="e">
        <v>#N/A</v>
      </c>
      <c r="C1174" s="444"/>
      <c r="D1174" s="442">
        <v>0</v>
      </c>
      <c r="E1174" s="434">
        <v>0</v>
      </c>
      <c r="F1174" s="333" t="s">
        <v>9885</v>
      </c>
      <c r="G1174" s="334"/>
      <c r="H1174" s="334"/>
      <c r="I1174" s="346">
        <v>0</v>
      </c>
      <c r="J1174" s="334"/>
      <c r="K1174" s="346"/>
      <c r="L1174" s="346" t="s">
        <v>932</v>
      </c>
    </row>
    <row r="1175" spans="1:12">
      <c r="A1175" s="428"/>
      <c r="B1175" s="445"/>
      <c r="C1175" s="445"/>
      <c r="D1175" s="430"/>
      <c r="E1175" s="430"/>
      <c r="F1175" s="430"/>
      <c r="G1175" s="430"/>
      <c r="H1175" s="430"/>
      <c r="I1175" s="430"/>
      <c r="J1175" s="430"/>
      <c r="K1175" s="425" t="s">
        <v>14210</v>
      </c>
      <c r="L1175" s="426">
        <v>13.7026371</v>
      </c>
    </row>
    <row r="1176" hidden="1" spans="1:12">
      <c r="A1176" s="446" t="s">
        <v>14211</v>
      </c>
      <c r="B1176" s="445"/>
      <c r="C1176" s="445"/>
      <c r="D1176" s="447" t="s">
        <v>55</v>
      </c>
      <c r="E1176" s="445" t="s">
        <v>74</v>
      </c>
      <c r="F1176" s="447" t="s">
        <v>1123</v>
      </c>
      <c r="G1176" s="445"/>
      <c r="H1176" s="447" t="s">
        <v>72</v>
      </c>
      <c r="I1176" s="447" t="s">
        <v>75</v>
      </c>
      <c r="J1176" s="445"/>
      <c r="K1176" s="448"/>
      <c r="L1176" s="449" t="s">
        <v>14194</v>
      </c>
    </row>
    <row r="1177" hidden="1" spans="1:12">
      <c r="A1177" s="404" t="s">
        <v>851</v>
      </c>
      <c r="B1177" s="433" t="s">
        <v>14226</v>
      </c>
      <c r="C1177" s="433"/>
      <c r="D1177" s="442">
        <v>5914359</v>
      </c>
      <c r="E1177" s="450">
        <v>0.89922</v>
      </c>
      <c r="F1177" s="333" t="s">
        <v>13063</v>
      </c>
      <c r="G1177" s="333" t="s">
        <v>14212</v>
      </c>
      <c r="H1177" s="346">
        <v>0</v>
      </c>
      <c r="I1177" s="346">
        <v>1.28</v>
      </c>
      <c r="J1177" s="346"/>
      <c r="K1177" s="334"/>
      <c r="L1177" s="346">
        <v>0</v>
      </c>
    </row>
    <row r="1178" hidden="1" spans="1:12">
      <c r="A1178" s="404"/>
      <c r="B1178" s="404"/>
      <c r="C1178" s="334"/>
      <c r="D1178" s="442">
        <v>5914374</v>
      </c>
      <c r="E1178" s="450">
        <v>0.89922</v>
      </c>
      <c r="F1178" s="333" t="s">
        <v>13063</v>
      </c>
      <c r="G1178" s="333" t="s">
        <v>14213</v>
      </c>
      <c r="H1178" s="346">
        <v>0</v>
      </c>
      <c r="I1178" s="346">
        <v>1.02</v>
      </c>
      <c r="J1178" s="346"/>
      <c r="K1178" s="334"/>
      <c r="L1178" s="346">
        <v>0</v>
      </c>
    </row>
    <row r="1179" hidden="1" spans="1:12">
      <c r="A1179" s="404"/>
      <c r="B1179" s="404"/>
      <c r="C1179" s="334"/>
      <c r="D1179" s="442">
        <v>5914389</v>
      </c>
      <c r="E1179" s="450">
        <v>0.89922</v>
      </c>
      <c r="F1179" s="333" t="s">
        <v>13063</v>
      </c>
      <c r="G1179" s="333" t="s">
        <v>14214</v>
      </c>
      <c r="H1179" s="346">
        <v>0</v>
      </c>
      <c r="I1179" s="346">
        <v>0.84</v>
      </c>
      <c r="J1179" s="346"/>
      <c r="K1179" s="334"/>
      <c r="L1179" s="346">
        <v>0</v>
      </c>
    </row>
    <row r="1180" hidden="1" spans="1:12">
      <c r="A1180" s="404" t="s">
        <v>854</v>
      </c>
      <c r="B1180" s="404" t="s">
        <v>172</v>
      </c>
      <c r="C1180" s="404"/>
      <c r="D1180" s="442">
        <v>5914359</v>
      </c>
      <c r="E1180" s="450">
        <v>1.10262</v>
      </c>
      <c r="F1180" s="333" t="s">
        <v>13063</v>
      </c>
      <c r="G1180" s="333" t="s">
        <v>14212</v>
      </c>
      <c r="H1180" s="346">
        <v>0</v>
      </c>
      <c r="I1180" s="346">
        <v>1.28</v>
      </c>
      <c r="J1180" s="346"/>
      <c r="K1180" s="334"/>
      <c r="L1180" s="346">
        <v>0</v>
      </c>
    </row>
    <row r="1181" hidden="1" spans="1:12">
      <c r="A1181" s="404"/>
      <c r="B1181" s="404"/>
      <c r="C1181" s="334"/>
      <c r="D1181" s="442">
        <v>5914374</v>
      </c>
      <c r="E1181" s="450">
        <v>1.10262</v>
      </c>
      <c r="F1181" s="333" t="s">
        <v>13063</v>
      </c>
      <c r="G1181" s="333" t="s">
        <v>14213</v>
      </c>
      <c r="H1181" s="346">
        <v>0</v>
      </c>
      <c r="I1181" s="346">
        <v>1.02</v>
      </c>
      <c r="J1181" s="346"/>
      <c r="K1181" s="334"/>
      <c r="L1181" s="346">
        <v>0</v>
      </c>
    </row>
    <row r="1182" hidden="1" spans="1:12">
      <c r="A1182" s="404"/>
      <c r="B1182" s="404"/>
      <c r="C1182" s="334"/>
      <c r="D1182" s="442">
        <v>5914389</v>
      </c>
      <c r="E1182" s="450">
        <v>1.10262</v>
      </c>
      <c r="F1182" s="333" t="s">
        <v>13063</v>
      </c>
      <c r="G1182" s="333" t="s">
        <v>14214</v>
      </c>
      <c r="H1182" s="346">
        <v>0</v>
      </c>
      <c r="I1182" s="346">
        <v>0.84</v>
      </c>
      <c r="J1182" s="346"/>
      <c r="K1182" s="334"/>
      <c r="L1182" s="346">
        <v>0</v>
      </c>
    </row>
    <row r="1183" hidden="1" spans="1:12">
      <c r="A1183" s="404" t="s">
        <v>836</v>
      </c>
      <c r="B1183" s="404" t="s">
        <v>14227</v>
      </c>
      <c r="C1183" s="404"/>
      <c r="D1183" s="442">
        <v>5914449</v>
      </c>
      <c r="E1183" s="450">
        <v>0.28053</v>
      </c>
      <c r="F1183" s="333" t="s">
        <v>13063</v>
      </c>
      <c r="G1183" s="333" t="s">
        <v>14212</v>
      </c>
      <c r="H1183" s="346">
        <v>0</v>
      </c>
      <c r="I1183" s="346">
        <v>1.11</v>
      </c>
      <c r="J1183" s="346"/>
      <c r="K1183" s="334"/>
      <c r="L1183" s="346">
        <v>0</v>
      </c>
    </row>
    <row r="1184" hidden="1" spans="1:12">
      <c r="A1184" s="404"/>
      <c r="B1184" s="404"/>
      <c r="C1184" s="334"/>
      <c r="D1184" s="442">
        <v>5914464</v>
      </c>
      <c r="E1184" s="450">
        <v>0.28053</v>
      </c>
      <c r="F1184" s="333" t="s">
        <v>13063</v>
      </c>
      <c r="G1184" s="333" t="s">
        <v>14213</v>
      </c>
      <c r="H1184" s="346">
        <v>0</v>
      </c>
      <c r="I1184" s="346">
        <v>0.89</v>
      </c>
      <c r="J1184" s="346"/>
      <c r="K1184" s="334"/>
      <c r="L1184" s="346">
        <v>0</v>
      </c>
    </row>
    <row r="1185" hidden="1" spans="1:12">
      <c r="A1185" s="404"/>
      <c r="B1185" s="404"/>
      <c r="C1185" s="334"/>
      <c r="D1185" s="442">
        <v>5914479</v>
      </c>
      <c r="E1185" s="450">
        <v>0.28053</v>
      </c>
      <c r="F1185" s="333" t="s">
        <v>13063</v>
      </c>
      <c r="G1185" s="333" t="s">
        <v>14214</v>
      </c>
      <c r="H1185" s="346">
        <v>0</v>
      </c>
      <c r="I1185" s="346">
        <v>0.73</v>
      </c>
      <c r="J1185" s="346"/>
      <c r="K1185" s="334"/>
      <c r="L1185" s="346">
        <v>0</v>
      </c>
    </row>
    <row r="1186" hidden="1" spans="1:12">
      <c r="A1186" s="404">
        <v>0</v>
      </c>
      <c r="B1186" s="404" t="e">
        <v>#N/A</v>
      </c>
      <c r="C1186" s="404"/>
      <c r="D1186" s="442">
        <v>0</v>
      </c>
      <c r="E1186" s="450">
        <v>0</v>
      </c>
      <c r="F1186" s="333" t="s">
        <v>13063</v>
      </c>
      <c r="G1186" s="333" t="s">
        <v>14212</v>
      </c>
      <c r="H1186" s="346">
        <v>0</v>
      </c>
      <c r="I1186" s="346">
        <v>0</v>
      </c>
      <c r="J1186" s="346"/>
      <c r="K1186" s="334"/>
      <c r="L1186" s="346" t="s">
        <v>932</v>
      </c>
    </row>
    <row r="1187" hidden="1" spans="1:12">
      <c r="A1187" s="404"/>
      <c r="B1187" s="404"/>
      <c r="C1187" s="334"/>
      <c r="D1187" s="442">
        <v>0</v>
      </c>
      <c r="E1187" s="450">
        <v>0</v>
      </c>
      <c r="F1187" s="333" t="s">
        <v>13063</v>
      </c>
      <c r="G1187" s="333" t="s">
        <v>14213</v>
      </c>
      <c r="H1187" s="346">
        <v>0</v>
      </c>
      <c r="I1187" s="346">
        <v>0</v>
      </c>
      <c r="J1187" s="346"/>
      <c r="K1187" s="334"/>
      <c r="L1187" s="346" t="s">
        <v>932</v>
      </c>
    </row>
    <row r="1188" hidden="1" spans="1:12">
      <c r="A1188" s="404"/>
      <c r="B1188" s="404"/>
      <c r="C1188" s="334"/>
      <c r="D1188" s="442">
        <v>0</v>
      </c>
      <c r="E1188" s="450">
        <v>0</v>
      </c>
      <c r="F1188" s="333" t="s">
        <v>13063</v>
      </c>
      <c r="G1188" s="333" t="s">
        <v>14214</v>
      </c>
      <c r="H1188" s="346">
        <v>0</v>
      </c>
      <c r="I1188" s="346">
        <v>0</v>
      </c>
      <c r="J1188" s="346"/>
      <c r="K1188" s="334"/>
      <c r="L1188" s="346" t="s">
        <v>932</v>
      </c>
    </row>
    <row r="1189" hidden="1" spans="1:12">
      <c r="A1189" s="404">
        <v>0</v>
      </c>
      <c r="B1189" s="404" t="e">
        <v>#N/A</v>
      </c>
      <c r="C1189" s="404"/>
      <c r="D1189" s="442">
        <v>0</v>
      </c>
      <c r="E1189" s="450">
        <v>0</v>
      </c>
      <c r="F1189" s="333" t="s">
        <v>13063</v>
      </c>
      <c r="G1189" s="333" t="s">
        <v>14212</v>
      </c>
      <c r="H1189" s="346">
        <v>0</v>
      </c>
      <c r="I1189" s="346">
        <v>0</v>
      </c>
      <c r="J1189" s="346"/>
      <c r="K1189" s="334"/>
      <c r="L1189" s="346" t="s">
        <v>932</v>
      </c>
    </row>
    <row r="1190" hidden="1" spans="1:12">
      <c r="A1190" s="404"/>
      <c r="B1190" s="404"/>
      <c r="C1190" s="334"/>
      <c r="D1190" s="442">
        <v>0</v>
      </c>
      <c r="E1190" s="450">
        <v>0</v>
      </c>
      <c r="F1190" s="333" t="s">
        <v>13063</v>
      </c>
      <c r="G1190" s="333" t="s">
        <v>14213</v>
      </c>
      <c r="H1190" s="346">
        <v>0</v>
      </c>
      <c r="I1190" s="346">
        <v>0</v>
      </c>
      <c r="J1190" s="346"/>
      <c r="K1190" s="334"/>
      <c r="L1190" s="346" t="s">
        <v>932</v>
      </c>
    </row>
    <row r="1191" hidden="1" spans="1:12">
      <c r="A1191" s="404"/>
      <c r="B1191" s="404"/>
      <c r="C1191" s="334"/>
      <c r="D1191" s="442">
        <v>0</v>
      </c>
      <c r="E1191" s="450">
        <v>0</v>
      </c>
      <c r="F1191" s="333" t="s">
        <v>13063</v>
      </c>
      <c r="G1191" s="333" t="s">
        <v>14214</v>
      </c>
      <c r="H1191" s="346">
        <v>0</v>
      </c>
      <c r="I1191" s="346">
        <v>0</v>
      </c>
      <c r="J1191" s="346"/>
      <c r="K1191" s="334"/>
      <c r="L1191" s="346" t="s">
        <v>932</v>
      </c>
    </row>
    <row r="1192" hidden="1" spans="1:12">
      <c r="A1192" s="401">
        <v>0</v>
      </c>
      <c r="B1192" s="401" t="e">
        <v>#N/A</v>
      </c>
      <c r="C1192" s="401"/>
      <c r="D1192" s="442">
        <v>0</v>
      </c>
      <c r="E1192" s="450">
        <v>0</v>
      </c>
      <c r="F1192" s="439" t="s">
        <v>13063</v>
      </c>
      <c r="G1192" s="439" t="s">
        <v>14212</v>
      </c>
      <c r="H1192" s="346">
        <v>0</v>
      </c>
      <c r="I1192" s="346">
        <v>0</v>
      </c>
      <c r="J1192" s="395"/>
      <c r="L1192" s="346" t="s">
        <v>932</v>
      </c>
    </row>
    <row r="1193" hidden="1" spans="1:12">
      <c r="A1193" s="401"/>
      <c r="B1193" s="401"/>
      <c r="D1193" s="442">
        <v>0</v>
      </c>
      <c r="E1193" s="450">
        <v>0</v>
      </c>
      <c r="F1193" s="439" t="s">
        <v>13063</v>
      </c>
      <c r="G1193" s="439" t="s">
        <v>14213</v>
      </c>
      <c r="H1193" s="346">
        <v>0</v>
      </c>
      <c r="I1193" s="346">
        <v>0</v>
      </c>
      <c r="J1193" s="395"/>
      <c r="L1193" s="346" t="s">
        <v>932</v>
      </c>
    </row>
    <row r="1194" hidden="1" spans="1:12">
      <c r="A1194" s="401"/>
      <c r="B1194" s="401"/>
      <c r="D1194" s="442">
        <v>0</v>
      </c>
      <c r="E1194" s="450">
        <v>0</v>
      </c>
      <c r="F1194" s="439" t="s">
        <v>13063</v>
      </c>
      <c r="G1194" s="439" t="s">
        <v>14214</v>
      </c>
      <c r="H1194" s="346">
        <v>0</v>
      </c>
      <c r="I1194" s="346">
        <v>0</v>
      </c>
      <c r="J1194" s="395"/>
      <c r="L1194" s="346" t="s">
        <v>932</v>
      </c>
    </row>
    <row r="1195" hidden="1" spans="1:12">
      <c r="A1195" s="401">
        <v>0</v>
      </c>
      <c r="B1195" s="401" t="e">
        <v>#N/A</v>
      </c>
      <c r="C1195" s="401"/>
      <c r="D1195" s="442">
        <v>0</v>
      </c>
      <c r="E1195" s="450">
        <v>0</v>
      </c>
      <c r="F1195" s="439" t="s">
        <v>13063</v>
      </c>
      <c r="G1195" s="439" t="s">
        <v>14212</v>
      </c>
      <c r="H1195" s="346">
        <v>0</v>
      </c>
      <c r="I1195" s="346">
        <v>0</v>
      </c>
      <c r="J1195" s="395"/>
      <c r="L1195" s="346" t="s">
        <v>932</v>
      </c>
    </row>
    <row r="1196" hidden="1" spans="1:12">
      <c r="A1196" s="401"/>
      <c r="B1196" s="401"/>
      <c r="D1196" s="442">
        <v>0</v>
      </c>
      <c r="E1196" s="450">
        <v>0</v>
      </c>
      <c r="F1196" s="439" t="s">
        <v>13063</v>
      </c>
      <c r="G1196" s="439" t="s">
        <v>14213</v>
      </c>
      <c r="H1196" s="346">
        <v>0</v>
      </c>
      <c r="I1196" s="346">
        <v>0</v>
      </c>
      <c r="J1196" s="395"/>
      <c r="L1196" s="346" t="s">
        <v>932</v>
      </c>
    </row>
    <row r="1197" hidden="1" spans="1:12">
      <c r="A1197" s="401"/>
      <c r="B1197" s="401"/>
      <c r="D1197" s="442">
        <v>0</v>
      </c>
      <c r="E1197" s="450">
        <v>0</v>
      </c>
      <c r="F1197" s="439" t="s">
        <v>13063</v>
      </c>
      <c r="G1197" s="439" t="s">
        <v>14214</v>
      </c>
      <c r="H1197" s="346">
        <v>0</v>
      </c>
      <c r="I1197" s="346">
        <v>0</v>
      </c>
      <c r="J1197" s="395"/>
      <c r="L1197" s="346" t="s">
        <v>932</v>
      </c>
    </row>
    <row r="1198" hidden="1" spans="1:12">
      <c r="A1198" s="401">
        <v>0</v>
      </c>
      <c r="B1198" s="401" t="e">
        <v>#N/A</v>
      </c>
      <c r="C1198" s="401"/>
      <c r="D1198" s="442">
        <v>0</v>
      </c>
      <c r="E1198" s="450">
        <v>0</v>
      </c>
      <c r="F1198" s="439" t="s">
        <v>13063</v>
      </c>
      <c r="G1198" s="439" t="s">
        <v>14212</v>
      </c>
      <c r="H1198" s="346">
        <v>0</v>
      </c>
      <c r="I1198" s="346">
        <v>0</v>
      </c>
      <c r="J1198" s="395"/>
      <c r="L1198" s="346" t="s">
        <v>932</v>
      </c>
    </row>
    <row r="1199" hidden="1" spans="1:12">
      <c r="A1199" s="401"/>
      <c r="B1199" s="401"/>
      <c r="D1199" s="442">
        <v>0</v>
      </c>
      <c r="E1199" s="450">
        <v>0</v>
      </c>
      <c r="F1199" s="439" t="s">
        <v>13063</v>
      </c>
      <c r="G1199" s="439" t="s">
        <v>14213</v>
      </c>
      <c r="H1199" s="346">
        <v>0</v>
      </c>
      <c r="I1199" s="346">
        <v>0</v>
      </c>
      <c r="J1199" s="395"/>
      <c r="L1199" s="346" t="s">
        <v>932</v>
      </c>
    </row>
    <row r="1200" hidden="1" spans="1:12">
      <c r="A1200" s="401"/>
      <c r="B1200" s="401"/>
      <c r="D1200" s="442">
        <v>0</v>
      </c>
      <c r="E1200" s="450">
        <v>0</v>
      </c>
      <c r="F1200" s="439" t="s">
        <v>13063</v>
      </c>
      <c r="G1200" s="439" t="s">
        <v>14214</v>
      </c>
      <c r="H1200" s="346">
        <v>0</v>
      </c>
      <c r="I1200" s="346">
        <v>0</v>
      </c>
      <c r="J1200" s="395"/>
      <c r="L1200" s="346" t="s">
        <v>932</v>
      </c>
    </row>
    <row r="1201" hidden="1" spans="1:14">
      <c r="A1201" s="421"/>
      <c r="B1201" s="422"/>
      <c r="C1201" s="422"/>
      <c r="D1201" s="422"/>
      <c r="E1201" s="422"/>
      <c r="F1201" s="422"/>
      <c r="G1201" s="422"/>
      <c r="H1201" s="422"/>
      <c r="I1201" s="430"/>
      <c r="J1201" s="430"/>
      <c r="K1201" s="425" t="s">
        <v>14215</v>
      </c>
      <c r="L1201" s="426">
        <v>0</v>
      </c>
    </row>
    <row r="1202" spans="1:14">
      <c r="A1202" s="451"/>
      <c r="B1202" s="452"/>
      <c r="C1202" s="452"/>
      <c r="D1202" s="452"/>
      <c r="E1202" s="452"/>
      <c r="F1202" s="452"/>
      <c r="G1202" s="452"/>
      <c r="H1202" s="452"/>
      <c r="I1202" s="453"/>
      <c r="J1202" s="453"/>
      <c r="K1202" s="454" t="s">
        <v>14216</v>
      </c>
      <c r="L1202" s="455">
        <v>979.45</v>
      </c>
    </row>
    <row r="1204" spans="1:14">
      <c r="A1204" s="391" t="s">
        <v>14172</v>
      </c>
      <c r="B1204" s="472"/>
      <c r="C1204" s="472"/>
      <c r="D1204" s="472"/>
      <c r="E1204" s="472"/>
      <c r="F1204" s="472"/>
      <c r="G1204" s="393"/>
      <c r="H1204" s="393"/>
      <c r="I1204" s="393"/>
      <c r="J1204" s="393"/>
      <c r="K1204" s="393"/>
      <c r="L1204" s="471"/>
    </row>
    <row r="1205" spans="1:14">
      <c r="A1205" s="473" t="s">
        <v>119</v>
      </c>
      <c r="B1205" s="397" t="s">
        <v>120</v>
      </c>
      <c r="C1205" s="397"/>
      <c r="D1205" s="397"/>
      <c r="E1205" s="397"/>
      <c r="F1205" s="397"/>
      <c r="G1205" s="397"/>
      <c r="H1205" s="397" t="s">
        <v>82</v>
      </c>
      <c r="I1205" s="398">
        <v>46023</v>
      </c>
      <c r="J1205" s="397"/>
      <c r="K1205" s="399" t="s">
        <v>14173</v>
      </c>
      <c r="L1205" s="400">
        <v>0</v>
      </c>
    </row>
    <row r="1206" spans="1:14">
      <c r="A1206" s="401"/>
      <c r="H1206" s="402" t="s">
        <v>14174</v>
      </c>
      <c r="I1206" s="434">
        <v>1</v>
      </c>
      <c r="J1206" s="404" t="s">
        <v>82</v>
      </c>
      <c r="K1206" s="402" t="s">
        <v>14175</v>
      </c>
      <c r="L1206" s="346">
        <v>0</v>
      </c>
    </row>
    <row r="1207" hidden="1" spans="1:14">
      <c r="A1207" s="405"/>
      <c r="B1207" s="405"/>
      <c r="C1207" s="405"/>
      <c r="D1207" s="406"/>
      <c r="E1207" s="406"/>
      <c r="F1207" s="406"/>
      <c r="G1207" s="407" t="s">
        <v>14176</v>
      </c>
      <c r="H1207" s="408"/>
      <c r="I1207" s="407" t="s">
        <v>14177</v>
      </c>
      <c r="J1207" s="408"/>
      <c r="K1207" s="405"/>
      <c r="L1207" s="409" t="s">
        <v>14178</v>
      </c>
    </row>
    <row r="1208" hidden="1" spans="1:14">
      <c r="A1208" s="410" t="s">
        <v>14179</v>
      </c>
      <c r="B1208" s="411"/>
      <c r="C1208" s="412"/>
      <c r="D1208" s="412"/>
      <c r="E1208" s="413" t="s">
        <v>74</v>
      </c>
      <c r="F1208" s="412"/>
      <c r="G1208" s="413" t="s">
        <v>14180</v>
      </c>
      <c r="H1208" s="413" t="s">
        <v>14181</v>
      </c>
      <c r="I1208" s="413" t="s">
        <v>14182</v>
      </c>
      <c r="J1208" s="413" t="s">
        <v>14183</v>
      </c>
      <c r="K1208" s="411"/>
      <c r="L1208" s="414" t="s">
        <v>14184</v>
      </c>
    </row>
    <row r="1209" hidden="1" spans="1:14">
      <c r="A1209" s="404">
        <v>0</v>
      </c>
      <c r="B1209" s="415" t="e">
        <v>#N/A</v>
      </c>
      <c r="C1209" s="415"/>
      <c r="E1209" s="416">
        <v>0</v>
      </c>
      <c r="F1209" s="334"/>
      <c r="G1209" s="346">
        <v>0</v>
      </c>
      <c r="H1209" s="417">
        <v>1</v>
      </c>
      <c r="I1209" s="395" t="e">
        <v>#N/A</v>
      </c>
      <c r="J1209" s="418" t="e">
        <v>#N/A</v>
      </c>
      <c r="K1209" s="402"/>
      <c r="L1209" s="395" t="s">
        <v>932</v>
      </c>
      <c r="N1209" s="395" t="s">
        <v>932</v>
      </c>
    </row>
    <row r="1210" hidden="1" spans="1:14">
      <c r="A1210" s="404">
        <v>0</v>
      </c>
      <c r="B1210" s="404" t="e">
        <v>#N/A</v>
      </c>
      <c r="C1210" s="404"/>
      <c r="D1210" s="334"/>
      <c r="E1210" s="416">
        <v>0</v>
      </c>
      <c r="F1210" s="334"/>
      <c r="G1210" s="346">
        <v>0</v>
      </c>
      <c r="H1210" s="417">
        <v>1</v>
      </c>
      <c r="I1210" s="346" t="e">
        <v>#N/A</v>
      </c>
      <c r="J1210" s="419" t="e">
        <v>#N/A</v>
      </c>
      <c r="K1210" s="420"/>
      <c r="L1210" s="395" t="s">
        <v>932</v>
      </c>
      <c r="N1210" s="395" t="s">
        <v>932</v>
      </c>
    </row>
    <row r="1211" hidden="1" spans="1:14">
      <c r="A1211" s="404">
        <v>0</v>
      </c>
      <c r="B1211" s="404" t="e">
        <v>#N/A</v>
      </c>
      <c r="C1211" s="404"/>
      <c r="D1211" s="334"/>
      <c r="E1211" s="416">
        <v>0</v>
      </c>
      <c r="F1211" s="334"/>
      <c r="G1211" s="346">
        <v>0</v>
      </c>
      <c r="H1211" s="417">
        <v>1</v>
      </c>
      <c r="I1211" s="346" t="e">
        <v>#N/A</v>
      </c>
      <c r="J1211" s="419" t="e">
        <v>#N/A</v>
      </c>
      <c r="K1211" s="420"/>
      <c r="L1211" s="395" t="s">
        <v>932</v>
      </c>
      <c r="N1211" s="395" t="s">
        <v>932</v>
      </c>
    </row>
    <row r="1212" hidden="1" spans="1:14">
      <c r="A1212" s="404">
        <v>0</v>
      </c>
      <c r="B1212" s="404" t="e">
        <v>#N/A</v>
      </c>
      <c r="C1212" s="404"/>
      <c r="D1212" s="334"/>
      <c r="E1212" s="416">
        <v>0</v>
      </c>
      <c r="F1212" s="334"/>
      <c r="G1212" s="346">
        <v>0</v>
      </c>
      <c r="H1212" s="417">
        <v>1</v>
      </c>
      <c r="I1212" s="346" t="e">
        <v>#N/A</v>
      </c>
      <c r="J1212" s="419" t="e">
        <v>#N/A</v>
      </c>
      <c r="K1212" s="420"/>
      <c r="L1212" s="395" t="s">
        <v>932</v>
      </c>
      <c r="N1212" s="395" t="s">
        <v>932</v>
      </c>
    </row>
    <row r="1213" hidden="1" spans="1:14">
      <c r="A1213" s="404">
        <v>0</v>
      </c>
      <c r="B1213" s="404" t="e">
        <v>#N/A</v>
      </c>
      <c r="C1213" s="404"/>
      <c r="D1213" s="334"/>
      <c r="E1213" s="416">
        <v>0</v>
      </c>
      <c r="F1213" s="334"/>
      <c r="G1213" s="346">
        <v>0</v>
      </c>
      <c r="H1213" s="417">
        <v>1</v>
      </c>
      <c r="I1213" s="346" t="e">
        <v>#N/A</v>
      </c>
      <c r="J1213" s="419" t="e">
        <v>#N/A</v>
      </c>
      <c r="K1213" s="420"/>
      <c r="L1213" s="395" t="s">
        <v>932</v>
      </c>
      <c r="N1213" s="395" t="s">
        <v>932</v>
      </c>
    </row>
    <row r="1214" hidden="1" spans="1:14">
      <c r="A1214" s="404">
        <v>0</v>
      </c>
      <c r="B1214" s="404" t="e">
        <v>#N/A</v>
      </c>
      <c r="C1214" s="404"/>
      <c r="D1214" s="334"/>
      <c r="E1214" s="416">
        <v>0</v>
      </c>
      <c r="F1214" s="334"/>
      <c r="G1214" s="346">
        <v>0</v>
      </c>
      <c r="H1214" s="417">
        <v>1</v>
      </c>
      <c r="I1214" s="346" t="e">
        <v>#N/A</v>
      </c>
      <c r="J1214" s="419" t="e">
        <v>#N/A</v>
      </c>
      <c r="K1214" s="420"/>
      <c r="L1214" s="395" t="s">
        <v>932</v>
      </c>
      <c r="N1214" s="395" t="s">
        <v>932</v>
      </c>
    </row>
    <row r="1215" hidden="1" spans="1:14">
      <c r="A1215" s="404">
        <v>0</v>
      </c>
      <c r="B1215" s="404" t="e">
        <v>#N/A</v>
      </c>
      <c r="C1215" s="404"/>
      <c r="D1215" s="334"/>
      <c r="E1215" s="416">
        <v>0</v>
      </c>
      <c r="F1215" s="334"/>
      <c r="G1215" s="346">
        <v>0</v>
      </c>
      <c r="H1215" s="417">
        <v>1</v>
      </c>
      <c r="I1215" s="346" t="e">
        <v>#N/A</v>
      </c>
      <c r="J1215" s="419" t="e">
        <v>#N/A</v>
      </c>
      <c r="K1215" s="420"/>
      <c r="L1215" s="395" t="s">
        <v>932</v>
      </c>
      <c r="N1215" s="395" t="s">
        <v>932</v>
      </c>
    </row>
    <row r="1216" hidden="1" spans="1:14">
      <c r="A1216" s="404">
        <v>0</v>
      </c>
      <c r="B1216" s="404" t="e">
        <v>#N/A</v>
      </c>
      <c r="C1216" s="404"/>
      <c r="D1216" s="334"/>
      <c r="E1216" s="416">
        <v>0</v>
      </c>
      <c r="F1216" s="334"/>
      <c r="G1216" s="346">
        <v>0</v>
      </c>
      <c r="H1216" s="417">
        <v>1</v>
      </c>
      <c r="I1216" s="346" t="e">
        <v>#N/A</v>
      </c>
      <c r="J1216" s="419" t="e">
        <v>#N/A</v>
      </c>
      <c r="K1216" s="420"/>
      <c r="L1216" s="395" t="s">
        <v>932</v>
      </c>
      <c r="N1216" s="395" t="s">
        <v>932</v>
      </c>
    </row>
    <row r="1217" hidden="1" spans="1:15">
      <c r="A1217" s="421"/>
      <c r="B1217" s="422"/>
      <c r="C1217" s="422"/>
      <c r="D1217" s="422"/>
      <c r="E1217" s="423"/>
      <c r="F1217" s="424"/>
      <c r="G1217" s="422"/>
      <c r="H1217" s="422"/>
      <c r="I1217" s="422"/>
      <c r="J1217" s="422"/>
      <c r="K1217" s="425" t="s">
        <v>14185</v>
      </c>
      <c r="L1217" s="426">
        <v>0</v>
      </c>
      <c r="N1217" s="427">
        <v>0</v>
      </c>
    </row>
    <row r="1218" spans="1:15">
      <c r="A1218" s="428" t="s">
        <v>14186</v>
      </c>
      <c r="B1218" s="429"/>
      <c r="C1218" s="429"/>
      <c r="D1218" s="430"/>
      <c r="E1218" s="431" t="s">
        <v>74</v>
      </c>
      <c r="F1218" s="431" t="s">
        <v>1123</v>
      </c>
      <c r="G1218" s="430"/>
      <c r="H1218" s="422"/>
      <c r="I1218" s="431" t="s">
        <v>14177</v>
      </c>
      <c r="J1218" s="430"/>
      <c r="K1218" s="430"/>
      <c r="L1218" s="432" t="s">
        <v>14187</v>
      </c>
    </row>
    <row r="1219" spans="1:15">
      <c r="A1219" s="404" t="s">
        <v>935</v>
      </c>
      <c r="B1219" s="433" t="s">
        <v>936</v>
      </c>
      <c r="C1219" s="433"/>
      <c r="D1219" s="334"/>
      <c r="E1219" s="434">
        <v>1</v>
      </c>
      <c r="F1219" s="333" t="s">
        <v>104</v>
      </c>
      <c r="G1219" s="334"/>
      <c r="H1219" s="334"/>
      <c r="I1219" s="435">
        <v>23.6025</v>
      </c>
      <c r="J1219" s="334"/>
      <c r="K1219" s="334"/>
      <c r="L1219" s="346">
        <v>23.6025</v>
      </c>
      <c r="N1219" s="395">
        <v>23.6025</v>
      </c>
    </row>
    <row r="1220" hidden="1" spans="1:15">
      <c r="A1220" s="404">
        <v>0</v>
      </c>
      <c r="B1220" s="404" t="e">
        <v>#N/A</v>
      </c>
      <c r="C1220" s="404"/>
      <c r="D1220" s="334"/>
      <c r="E1220" s="434">
        <v>0</v>
      </c>
      <c r="F1220" s="333" t="s">
        <v>104</v>
      </c>
      <c r="G1220" s="334"/>
      <c r="H1220" s="334"/>
      <c r="I1220" s="435" t="e">
        <v>#N/A</v>
      </c>
      <c r="J1220" s="334"/>
      <c r="K1220" s="334"/>
      <c r="L1220" s="346" t="s">
        <v>932</v>
      </c>
      <c r="N1220" s="395" t="s">
        <v>932</v>
      </c>
    </row>
    <row r="1221" hidden="1" spans="1:15">
      <c r="A1221" s="404">
        <v>0</v>
      </c>
      <c r="B1221" s="404" t="e">
        <v>#N/A</v>
      </c>
      <c r="C1221" s="404"/>
      <c r="D1221" s="334"/>
      <c r="E1221" s="434">
        <v>0</v>
      </c>
      <c r="F1221" s="333" t="s">
        <v>104</v>
      </c>
      <c r="G1221" s="334"/>
      <c r="H1221" s="334"/>
      <c r="I1221" s="435" t="e">
        <v>#N/A</v>
      </c>
      <c r="J1221" s="334"/>
      <c r="K1221" s="334"/>
      <c r="L1221" s="346" t="s">
        <v>932</v>
      </c>
      <c r="N1221" s="395" t="s">
        <v>932</v>
      </c>
    </row>
    <row r="1222" hidden="1" spans="1:15">
      <c r="A1222" s="404">
        <v>0</v>
      </c>
      <c r="B1222" s="404" t="e">
        <v>#N/A</v>
      </c>
      <c r="C1222" s="404"/>
      <c r="D1222" s="334"/>
      <c r="E1222" s="434">
        <v>0</v>
      </c>
      <c r="F1222" s="333" t="s">
        <v>104</v>
      </c>
      <c r="G1222" s="334"/>
      <c r="H1222" s="334"/>
      <c r="I1222" s="435" t="e">
        <v>#N/A</v>
      </c>
      <c r="J1222" s="334"/>
      <c r="K1222" s="334"/>
      <c r="L1222" s="346" t="s">
        <v>932</v>
      </c>
      <c r="N1222" s="395" t="s">
        <v>932</v>
      </c>
    </row>
    <row r="1223" hidden="1" spans="1:15">
      <c r="A1223" s="404">
        <v>0</v>
      </c>
      <c r="B1223" s="404" t="e">
        <v>#N/A</v>
      </c>
      <c r="C1223" s="404"/>
      <c r="D1223" s="334"/>
      <c r="E1223" s="434">
        <v>0</v>
      </c>
      <c r="F1223" s="333" t="s">
        <v>104</v>
      </c>
      <c r="G1223" s="334"/>
      <c r="H1223" s="334"/>
      <c r="I1223" s="435" t="e">
        <v>#N/A</v>
      </c>
      <c r="J1223" s="334"/>
      <c r="K1223" s="334"/>
      <c r="L1223" s="346" t="s">
        <v>932</v>
      </c>
      <c r="N1223" s="395" t="s">
        <v>932</v>
      </c>
    </row>
    <row r="1224" hidden="1" spans="1:15">
      <c r="A1224" s="404">
        <v>0</v>
      </c>
      <c r="B1224" s="404" t="e">
        <v>#N/A</v>
      </c>
      <c r="C1224" s="404"/>
      <c r="D1224" s="334"/>
      <c r="E1224" s="434">
        <v>0</v>
      </c>
      <c r="F1224" s="333" t="s">
        <v>104</v>
      </c>
      <c r="G1224" s="334"/>
      <c r="H1224" s="334"/>
      <c r="I1224" s="435" t="e">
        <v>#N/A</v>
      </c>
      <c r="J1224" s="334"/>
      <c r="K1224" s="334"/>
      <c r="L1224" s="346" t="s">
        <v>932</v>
      </c>
      <c r="N1224" s="395" t="s">
        <v>932</v>
      </c>
    </row>
    <row r="1225" hidden="1" spans="1:15">
      <c r="A1225" s="404">
        <v>0</v>
      </c>
      <c r="B1225" s="404" t="e">
        <v>#N/A</v>
      </c>
      <c r="C1225" s="404"/>
      <c r="D1225" s="334"/>
      <c r="E1225" s="434">
        <v>0</v>
      </c>
      <c r="F1225" s="333" t="s">
        <v>104</v>
      </c>
      <c r="G1225" s="334"/>
      <c r="H1225" s="334"/>
      <c r="I1225" s="435" t="e">
        <v>#N/A</v>
      </c>
      <c r="J1225" s="334"/>
      <c r="K1225" s="334"/>
      <c r="L1225" s="346" t="s">
        <v>932</v>
      </c>
      <c r="N1225" s="395" t="s">
        <v>932</v>
      </c>
    </row>
    <row r="1226" hidden="1" spans="1:15">
      <c r="A1226" s="404">
        <v>0</v>
      </c>
      <c r="B1226" s="436" t="e">
        <v>#N/A</v>
      </c>
      <c r="C1226" s="436"/>
      <c r="D1226" s="334"/>
      <c r="E1226" s="434">
        <v>0</v>
      </c>
      <c r="F1226" s="333" t="s">
        <v>104</v>
      </c>
      <c r="G1226" s="334"/>
      <c r="H1226" s="334"/>
      <c r="I1226" s="435" t="e">
        <v>#N/A</v>
      </c>
      <c r="J1226" s="334"/>
      <c r="K1226" s="334"/>
      <c r="L1226" s="346" t="s">
        <v>932</v>
      </c>
      <c r="N1226" s="395" t="s">
        <v>932</v>
      </c>
    </row>
    <row r="1227" spans="1:15">
      <c r="A1227" s="421"/>
      <c r="B1227" s="62"/>
      <c r="C1227" s="62"/>
      <c r="D1227" s="422"/>
      <c r="E1227" s="423"/>
      <c r="F1227" s="424"/>
      <c r="G1227" s="422"/>
      <c r="H1227" s="422"/>
      <c r="I1227" s="422"/>
      <c r="J1227" s="422"/>
      <c r="K1227" s="425" t="s">
        <v>14188</v>
      </c>
      <c r="L1227" s="426">
        <v>23.6025</v>
      </c>
      <c r="N1227" s="427">
        <v>23.6025</v>
      </c>
    </row>
    <row r="1228" spans="1:15">
      <c r="I1228" s="437"/>
      <c r="K1228" s="383" t="s">
        <v>14189</v>
      </c>
      <c r="L1228" s="427">
        <v>23.6025</v>
      </c>
      <c r="N1228" s="395">
        <v>23.6025</v>
      </c>
    </row>
    <row r="1229" spans="1:15">
      <c r="K1229" s="383" t="s">
        <v>14190</v>
      </c>
      <c r="L1229" s="427">
        <v>23.6025</v>
      </c>
      <c r="N1229" s="395">
        <v>23.6025</v>
      </c>
      <c r="O1229" s="395">
        <v>0</v>
      </c>
    </row>
    <row r="1230" spans="1:15">
      <c r="K1230" s="383" t="s">
        <v>14191</v>
      </c>
      <c r="L1230" s="427">
        <v>0</v>
      </c>
    </row>
    <row r="1231" spans="1:15">
      <c r="K1231" s="383" t="s">
        <v>14192</v>
      </c>
      <c r="L1231" s="395">
        <v>0</v>
      </c>
    </row>
    <row r="1232" spans="1:15">
      <c r="A1232" s="428" t="s">
        <v>14193</v>
      </c>
      <c r="B1232" s="430"/>
      <c r="C1232" s="430"/>
      <c r="D1232" s="430"/>
      <c r="E1232" s="431" t="s">
        <v>74</v>
      </c>
      <c r="F1232" s="431" t="s">
        <v>1123</v>
      </c>
      <c r="G1232" s="430"/>
      <c r="H1232" s="430"/>
      <c r="I1232" s="425" t="s">
        <v>75</v>
      </c>
      <c r="J1232" s="430"/>
      <c r="K1232" s="430"/>
      <c r="L1232" s="426" t="s">
        <v>14194</v>
      </c>
    </row>
    <row r="1233" spans="1:12">
      <c r="A1233" s="404" t="s">
        <v>14257</v>
      </c>
      <c r="B1233" s="433" t="s">
        <v>14258</v>
      </c>
      <c r="C1233" s="433"/>
      <c r="D1233" s="334"/>
      <c r="E1233" s="434">
        <v>7.1</v>
      </c>
      <c r="F1233" s="333" t="s">
        <v>7</v>
      </c>
      <c r="G1233" s="334"/>
      <c r="I1233" s="395">
        <v>9.9</v>
      </c>
      <c r="J1233" s="395"/>
      <c r="K1233" s="395"/>
      <c r="L1233" s="346">
        <v>70.29</v>
      </c>
    </row>
    <row r="1234" spans="1:12">
      <c r="A1234" s="404" t="s">
        <v>14259</v>
      </c>
      <c r="B1234" s="404" t="s">
        <v>14260</v>
      </c>
      <c r="C1234" s="404"/>
      <c r="D1234" s="334"/>
      <c r="E1234" s="434">
        <v>2</v>
      </c>
      <c r="F1234" s="333" t="s">
        <v>82</v>
      </c>
      <c r="G1234" s="334"/>
      <c r="I1234" s="395">
        <v>10.2</v>
      </c>
      <c r="J1234" s="395"/>
      <c r="K1234" s="395"/>
      <c r="L1234" s="346">
        <v>20.4</v>
      </c>
    </row>
    <row r="1235" spans="1:12">
      <c r="A1235" s="404" t="s">
        <v>14261</v>
      </c>
      <c r="B1235" s="404" t="s">
        <v>14262</v>
      </c>
      <c r="C1235" s="404"/>
      <c r="D1235" s="334"/>
      <c r="E1235" s="434">
        <v>2</v>
      </c>
      <c r="F1235" s="333" t="s">
        <v>101</v>
      </c>
      <c r="G1235" s="334"/>
      <c r="I1235" s="395">
        <v>35.96</v>
      </c>
      <c r="J1235" s="395"/>
      <c r="K1235" s="395"/>
      <c r="L1235" s="346">
        <v>71.92</v>
      </c>
    </row>
    <row r="1236" hidden="1" spans="1:12">
      <c r="A1236" s="404">
        <v>0</v>
      </c>
      <c r="B1236" s="404" t="e">
        <v>#N/A</v>
      </c>
      <c r="C1236" s="404"/>
      <c r="D1236" s="334"/>
      <c r="E1236" s="434">
        <v>0</v>
      </c>
      <c r="F1236" s="333" t="e">
        <v>#N/A</v>
      </c>
      <c r="G1236" s="334"/>
      <c r="I1236" s="395" t="e">
        <v>#N/A</v>
      </c>
      <c r="J1236" s="395"/>
      <c r="K1236" s="395"/>
      <c r="L1236" s="346" t="s">
        <v>932</v>
      </c>
    </row>
    <row r="1237" hidden="1" spans="1:12">
      <c r="A1237" s="404">
        <v>0</v>
      </c>
      <c r="B1237" s="404" t="e">
        <v>#N/A</v>
      </c>
      <c r="C1237" s="404"/>
      <c r="D1237" s="334"/>
      <c r="E1237" s="434">
        <v>0</v>
      </c>
      <c r="F1237" s="333" t="e">
        <v>#N/A</v>
      </c>
      <c r="G1237" s="334"/>
      <c r="H1237" s="334"/>
      <c r="I1237" s="395" t="e">
        <v>#N/A</v>
      </c>
      <c r="J1237" s="395"/>
      <c r="K1237" s="395"/>
      <c r="L1237" s="346" t="s">
        <v>932</v>
      </c>
    </row>
    <row r="1238" hidden="1" spans="1:12">
      <c r="A1238" s="404">
        <v>0</v>
      </c>
      <c r="B1238" s="404" t="e">
        <v>#N/A</v>
      </c>
      <c r="C1238" s="404"/>
      <c r="D1238" s="334"/>
      <c r="E1238" s="434">
        <v>0</v>
      </c>
      <c r="F1238" s="333" t="e">
        <v>#N/A</v>
      </c>
      <c r="G1238" s="334"/>
      <c r="H1238" s="334"/>
      <c r="I1238" s="395" t="e">
        <v>#N/A</v>
      </c>
      <c r="J1238" s="395"/>
      <c r="K1238" s="395"/>
      <c r="L1238" s="346" t="s">
        <v>932</v>
      </c>
    </row>
    <row r="1239" hidden="1" spans="1:12">
      <c r="A1239" s="404">
        <v>0</v>
      </c>
      <c r="B1239" s="404" t="e">
        <v>#N/A</v>
      </c>
      <c r="C1239" s="404"/>
      <c r="D1239" s="334"/>
      <c r="E1239" s="434">
        <v>0</v>
      </c>
      <c r="F1239" s="333" t="e">
        <v>#N/A</v>
      </c>
      <c r="G1239" s="334"/>
      <c r="H1239" s="334"/>
      <c r="I1239" s="395" t="e">
        <v>#N/A</v>
      </c>
      <c r="J1239" s="395"/>
      <c r="K1239" s="395"/>
      <c r="L1239" s="346" t="s">
        <v>932</v>
      </c>
    </row>
    <row r="1240" hidden="1" spans="1:12">
      <c r="A1240" s="404">
        <v>0</v>
      </c>
      <c r="B1240" s="404" t="e">
        <v>#N/A</v>
      </c>
      <c r="C1240" s="404"/>
      <c r="D1240" s="438"/>
      <c r="E1240" s="434">
        <v>0</v>
      </c>
      <c r="F1240" s="333" t="e">
        <v>#N/A</v>
      </c>
      <c r="G1240" s="334"/>
      <c r="H1240" s="334"/>
      <c r="I1240" s="395" t="e">
        <v>#N/A</v>
      </c>
      <c r="J1240" s="395"/>
      <c r="K1240" s="395"/>
      <c r="L1240" s="346" t="s">
        <v>932</v>
      </c>
    </row>
    <row r="1241" spans="1:12">
      <c r="A1241" s="421"/>
      <c r="B1241" s="422"/>
      <c r="C1241" s="422"/>
      <c r="D1241" s="422"/>
      <c r="E1241" s="423"/>
      <c r="F1241" s="424"/>
      <c r="G1241" s="422"/>
      <c r="H1241" s="422"/>
      <c r="I1241" s="430"/>
      <c r="J1241" s="430"/>
      <c r="K1241" s="425" t="s">
        <v>14203</v>
      </c>
      <c r="L1241" s="426">
        <v>162.61</v>
      </c>
    </row>
    <row r="1242" spans="1:12">
      <c r="A1242" s="428" t="s">
        <v>14204</v>
      </c>
      <c r="B1242" s="430"/>
      <c r="C1242" s="430"/>
      <c r="D1242" s="430"/>
      <c r="E1242" s="431" t="s">
        <v>74</v>
      </c>
      <c r="F1242" s="431" t="s">
        <v>1123</v>
      </c>
      <c r="G1242" s="430"/>
      <c r="H1242" s="430"/>
      <c r="I1242" s="425" t="s">
        <v>75</v>
      </c>
      <c r="J1242" s="430"/>
      <c r="K1242" s="430"/>
      <c r="L1242" s="426" t="s">
        <v>14194</v>
      </c>
    </row>
    <row r="1243" spans="1:12">
      <c r="A1243" s="404">
        <v>407819</v>
      </c>
      <c r="B1243" s="334" t="s">
        <v>100</v>
      </c>
      <c r="C1243" s="334"/>
      <c r="D1243" s="334"/>
      <c r="E1243" s="434">
        <v>46.24</v>
      </c>
      <c r="F1243" s="333" t="s">
        <v>101</v>
      </c>
      <c r="G1243" s="439"/>
      <c r="I1243" s="346">
        <v>12.88</v>
      </c>
      <c r="L1243" s="346">
        <v>595.5712</v>
      </c>
    </row>
    <row r="1244" hidden="1" spans="1:12">
      <c r="A1244" s="401">
        <v>0</v>
      </c>
      <c r="B1244" s="334" t="e">
        <v>#N/A</v>
      </c>
      <c r="E1244" s="440">
        <v>0</v>
      </c>
      <c r="F1244" s="333" t="e">
        <v>#N/A</v>
      </c>
      <c r="G1244" s="439"/>
      <c r="I1244" s="346" t="e">
        <v>#N/A</v>
      </c>
      <c r="L1244" s="346" t="s">
        <v>932</v>
      </c>
    </row>
    <row r="1245" hidden="1" spans="1:12">
      <c r="A1245" s="401">
        <v>0</v>
      </c>
      <c r="B1245" s="334" t="e">
        <v>#N/A</v>
      </c>
      <c r="E1245" s="440">
        <v>0</v>
      </c>
      <c r="F1245" s="333" t="e">
        <v>#N/A</v>
      </c>
      <c r="G1245" s="439"/>
      <c r="I1245" s="346" t="e">
        <v>#N/A</v>
      </c>
      <c r="L1245" s="346" t="s">
        <v>932</v>
      </c>
    </row>
    <row r="1246" hidden="1" spans="1:12">
      <c r="A1246" s="401">
        <v>0</v>
      </c>
      <c r="B1246" s="334" t="e">
        <v>#N/A</v>
      </c>
      <c r="E1246" s="440">
        <v>0</v>
      </c>
      <c r="F1246" s="333" t="e">
        <v>#N/A</v>
      </c>
      <c r="G1246" s="439"/>
      <c r="I1246" s="346" t="e">
        <v>#N/A</v>
      </c>
      <c r="L1246" s="346" t="s">
        <v>932</v>
      </c>
    </row>
    <row r="1247" hidden="1" spans="1:12">
      <c r="A1247" s="401">
        <v>0</v>
      </c>
      <c r="B1247" s="334" t="e">
        <v>#N/A</v>
      </c>
      <c r="E1247" s="440">
        <v>0</v>
      </c>
      <c r="F1247" s="333" t="e">
        <v>#N/A</v>
      </c>
      <c r="G1247" s="439"/>
      <c r="I1247" s="346" t="e">
        <v>#N/A</v>
      </c>
      <c r="L1247" s="346" t="s">
        <v>932</v>
      </c>
    </row>
    <row r="1248" hidden="1" spans="1:12">
      <c r="A1248" s="401">
        <v>0</v>
      </c>
      <c r="B1248" s="334" t="e">
        <v>#N/A</v>
      </c>
      <c r="E1248" s="440">
        <v>0</v>
      </c>
      <c r="F1248" s="333" t="e">
        <v>#N/A</v>
      </c>
      <c r="G1248" s="439"/>
      <c r="I1248" s="346" t="e">
        <v>#N/A</v>
      </c>
      <c r="L1248" s="346" t="s">
        <v>932</v>
      </c>
    </row>
    <row r="1249" spans="1:12">
      <c r="A1249" s="421"/>
      <c r="B1249" s="422"/>
      <c r="C1249" s="422"/>
      <c r="D1249" s="422"/>
      <c r="E1249" s="422"/>
      <c r="F1249" s="422"/>
      <c r="G1249" s="422"/>
      <c r="H1249" s="422"/>
      <c r="I1249" s="430"/>
      <c r="J1249" s="430"/>
      <c r="K1249" s="425" t="s">
        <v>14206</v>
      </c>
      <c r="L1249" s="426">
        <v>595.5712</v>
      </c>
    </row>
    <row r="1250" spans="1:12">
      <c r="A1250" s="421"/>
      <c r="B1250" s="422"/>
      <c r="C1250" s="422"/>
      <c r="D1250" s="422"/>
      <c r="E1250" s="422"/>
      <c r="F1250" s="422"/>
      <c r="G1250" s="422"/>
      <c r="H1250" s="422"/>
      <c r="I1250" s="430"/>
      <c r="J1250" s="430"/>
      <c r="K1250" s="425" t="s">
        <v>14207</v>
      </c>
      <c r="L1250" s="426">
        <v>781.7837</v>
      </c>
    </row>
    <row r="1251" hidden="1" spans="1:12">
      <c r="A1251" s="428" t="s">
        <v>14208</v>
      </c>
      <c r="B1251" s="430"/>
      <c r="C1251" s="430"/>
      <c r="D1251" s="431" t="s">
        <v>55</v>
      </c>
      <c r="E1251" s="431" t="s">
        <v>74</v>
      </c>
      <c r="F1251" s="431" t="s">
        <v>1123</v>
      </c>
      <c r="G1251" s="430"/>
      <c r="H1251" s="430"/>
      <c r="I1251" s="425" t="s">
        <v>75</v>
      </c>
      <c r="J1251" s="430"/>
      <c r="K1251" s="430"/>
      <c r="L1251" s="426" t="s">
        <v>14194</v>
      </c>
    </row>
    <row r="1252" hidden="1" spans="1:12">
      <c r="A1252" s="404" t="s">
        <v>14257</v>
      </c>
      <c r="B1252" s="441" t="s">
        <v>14258</v>
      </c>
      <c r="C1252" s="441"/>
      <c r="D1252" s="442">
        <v>0</v>
      </c>
      <c r="E1252" s="434">
        <v>0</v>
      </c>
      <c r="F1252" s="333" t="s">
        <v>9885</v>
      </c>
      <c r="G1252" s="443" t="s">
        <v>14209</v>
      </c>
      <c r="H1252" s="334"/>
      <c r="I1252" s="346">
        <v>0</v>
      </c>
      <c r="J1252" s="334"/>
      <c r="K1252" s="346"/>
      <c r="L1252" s="346" t="s">
        <v>932</v>
      </c>
    </row>
    <row r="1253" hidden="1" spans="1:12">
      <c r="A1253" s="404" t="s">
        <v>14259</v>
      </c>
      <c r="B1253" s="334" t="s">
        <v>14260</v>
      </c>
      <c r="C1253" s="334"/>
      <c r="D1253" s="442">
        <v>0</v>
      </c>
      <c r="E1253" s="434">
        <v>0</v>
      </c>
      <c r="F1253" s="333" t="s">
        <v>9885</v>
      </c>
      <c r="G1253" s="334"/>
      <c r="H1253" s="334"/>
      <c r="I1253" s="346">
        <v>0</v>
      </c>
      <c r="J1253" s="334"/>
      <c r="K1253" s="346"/>
      <c r="L1253" s="346" t="s">
        <v>932</v>
      </c>
    </row>
    <row r="1254" hidden="1" spans="1:12">
      <c r="A1254" s="404" t="s">
        <v>14261</v>
      </c>
      <c r="B1254" s="334" t="s">
        <v>14262</v>
      </c>
      <c r="C1254" s="334"/>
      <c r="D1254" s="442">
        <v>0</v>
      </c>
      <c r="E1254" s="434">
        <v>0</v>
      </c>
      <c r="F1254" s="333" t="s">
        <v>9885</v>
      </c>
      <c r="G1254" s="334"/>
      <c r="H1254" s="334"/>
      <c r="I1254" s="346">
        <v>0</v>
      </c>
      <c r="J1254" s="334"/>
      <c r="K1254" s="346"/>
      <c r="L1254" s="346" t="s">
        <v>932</v>
      </c>
    </row>
    <row r="1255" hidden="1" spans="1:12">
      <c r="A1255" s="404">
        <v>0</v>
      </c>
      <c r="B1255" s="334" t="e">
        <v>#N/A</v>
      </c>
      <c r="C1255" s="334"/>
      <c r="D1255" s="442">
        <v>0</v>
      </c>
      <c r="E1255" s="434">
        <v>0</v>
      </c>
      <c r="F1255" s="333" t="s">
        <v>9885</v>
      </c>
      <c r="G1255" s="334"/>
      <c r="H1255" s="334"/>
      <c r="I1255" s="346">
        <v>0</v>
      </c>
      <c r="J1255" s="334"/>
      <c r="K1255" s="346"/>
      <c r="L1255" s="346" t="s">
        <v>932</v>
      </c>
    </row>
    <row r="1256" hidden="1" spans="1:12">
      <c r="A1256" s="404">
        <v>0</v>
      </c>
      <c r="B1256" s="334" t="e">
        <v>#N/A</v>
      </c>
      <c r="C1256" s="334"/>
      <c r="D1256" s="442">
        <v>0</v>
      </c>
      <c r="E1256" s="434">
        <v>0</v>
      </c>
      <c r="F1256" s="333" t="s">
        <v>9885</v>
      </c>
      <c r="G1256" s="334"/>
      <c r="H1256" s="334"/>
      <c r="I1256" s="346">
        <v>0</v>
      </c>
      <c r="J1256" s="334"/>
      <c r="K1256" s="346"/>
      <c r="L1256" s="346" t="s">
        <v>932</v>
      </c>
    </row>
    <row r="1257" hidden="1" spans="1:12">
      <c r="A1257" s="404">
        <v>0</v>
      </c>
      <c r="B1257" s="334" t="e">
        <v>#N/A</v>
      </c>
      <c r="C1257" s="334"/>
      <c r="D1257" s="442">
        <v>0</v>
      </c>
      <c r="E1257" s="434">
        <v>0</v>
      </c>
      <c r="F1257" s="333" t="s">
        <v>9885</v>
      </c>
      <c r="G1257" s="334"/>
      <c r="H1257" s="334"/>
      <c r="I1257" s="346">
        <v>0</v>
      </c>
      <c r="J1257" s="334"/>
      <c r="K1257" s="346"/>
      <c r="L1257" s="346" t="s">
        <v>932</v>
      </c>
    </row>
    <row r="1258" hidden="1" spans="1:12">
      <c r="A1258" s="404">
        <v>0</v>
      </c>
      <c r="B1258" s="334" t="e">
        <v>#N/A</v>
      </c>
      <c r="C1258" s="334"/>
      <c r="D1258" s="442">
        <v>0</v>
      </c>
      <c r="E1258" s="434">
        <v>0</v>
      </c>
      <c r="F1258" s="333" t="s">
        <v>9885</v>
      </c>
      <c r="G1258" s="334"/>
      <c r="H1258" s="334"/>
      <c r="I1258" s="346">
        <v>0</v>
      </c>
      <c r="J1258" s="334"/>
      <c r="K1258" s="346"/>
      <c r="L1258" s="346" t="s">
        <v>932</v>
      </c>
    </row>
    <row r="1259" hidden="1" spans="1:12">
      <c r="A1259" s="404">
        <v>0</v>
      </c>
      <c r="B1259" s="444" t="e">
        <v>#N/A</v>
      </c>
      <c r="C1259" s="444"/>
      <c r="D1259" s="442">
        <v>0</v>
      </c>
      <c r="E1259" s="434">
        <v>0</v>
      </c>
      <c r="F1259" s="333" t="s">
        <v>9885</v>
      </c>
      <c r="G1259" s="334"/>
      <c r="H1259" s="334"/>
      <c r="I1259" s="346">
        <v>0</v>
      </c>
      <c r="J1259" s="334"/>
      <c r="K1259" s="346"/>
      <c r="L1259" s="346" t="s">
        <v>932</v>
      </c>
    </row>
    <row r="1260" hidden="1" spans="1:12">
      <c r="A1260" s="428"/>
      <c r="B1260" s="445"/>
      <c r="C1260" s="445"/>
      <c r="D1260" s="430"/>
      <c r="E1260" s="430"/>
      <c r="F1260" s="430"/>
      <c r="G1260" s="430"/>
      <c r="H1260" s="430"/>
      <c r="I1260" s="430"/>
      <c r="J1260" s="430"/>
      <c r="K1260" s="425" t="s">
        <v>14210</v>
      </c>
      <c r="L1260" s="426">
        <v>0</v>
      </c>
    </row>
    <row r="1261" hidden="1" spans="1:12">
      <c r="A1261" s="446" t="s">
        <v>14211</v>
      </c>
      <c r="B1261" s="445"/>
      <c r="C1261" s="445"/>
      <c r="D1261" s="447" t="s">
        <v>55</v>
      </c>
      <c r="E1261" s="445" t="s">
        <v>74</v>
      </c>
      <c r="F1261" s="447" t="s">
        <v>1123</v>
      </c>
      <c r="G1261" s="445"/>
      <c r="H1261" s="447" t="s">
        <v>72</v>
      </c>
      <c r="I1261" s="447" t="s">
        <v>75</v>
      </c>
      <c r="J1261" s="445"/>
      <c r="K1261" s="448"/>
      <c r="L1261" s="449" t="s">
        <v>14194</v>
      </c>
    </row>
    <row r="1262" hidden="1" spans="1:12">
      <c r="A1262" s="404" t="s">
        <v>14257</v>
      </c>
      <c r="B1262" s="433" t="s">
        <v>14258</v>
      </c>
      <c r="C1262" s="433"/>
      <c r="D1262" s="442">
        <v>0</v>
      </c>
      <c r="E1262" s="450">
        <v>0</v>
      </c>
      <c r="F1262" s="333" t="s">
        <v>13063</v>
      </c>
      <c r="G1262" s="333" t="s">
        <v>14212</v>
      </c>
      <c r="H1262" s="346">
        <v>0</v>
      </c>
      <c r="I1262" s="346">
        <v>0</v>
      </c>
      <c r="J1262" s="346"/>
      <c r="K1262" s="334"/>
      <c r="L1262" s="346" t="s">
        <v>932</v>
      </c>
    </row>
    <row r="1263" hidden="1" spans="1:12">
      <c r="A1263" s="404"/>
      <c r="B1263" s="404"/>
      <c r="C1263" s="334"/>
      <c r="D1263" s="442">
        <v>0</v>
      </c>
      <c r="E1263" s="450">
        <v>0</v>
      </c>
      <c r="F1263" s="333" t="s">
        <v>13063</v>
      </c>
      <c r="G1263" s="333" t="s">
        <v>14213</v>
      </c>
      <c r="H1263" s="346">
        <v>0</v>
      </c>
      <c r="I1263" s="346">
        <v>0</v>
      </c>
      <c r="J1263" s="346"/>
      <c r="K1263" s="334"/>
      <c r="L1263" s="346" t="s">
        <v>932</v>
      </c>
    </row>
    <row r="1264" hidden="1" spans="1:12">
      <c r="A1264" s="404"/>
      <c r="B1264" s="404"/>
      <c r="C1264" s="334"/>
      <c r="D1264" s="442">
        <v>0</v>
      </c>
      <c r="E1264" s="450">
        <v>0</v>
      </c>
      <c r="F1264" s="333" t="s">
        <v>13063</v>
      </c>
      <c r="G1264" s="333" t="s">
        <v>14214</v>
      </c>
      <c r="H1264" s="346">
        <v>0</v>
      </c>
      <c r="I1264" s="346">
        <v>0</v>
      </c>
      <c r="J1264" s="346"/>
      <c r="K1264" s="334"/>
      <c r="L1264" s="346" t="s">
        <v>932</v>
      </c>
    </row>
    <row r="1265" hidden="1" spans="1:12">
      <c r="A1265" s="404" t="s">
        <v>14259</v>
      </c>
      <c r="B1265" s="404" t="s">
        <v>14260</v>
      </c>
      <c r="C1265" s="404"/>
      <c r="D1265" s="442">
        <v>0</v>
      </c>
      <c r="E1265" s="450">
        <v>0</v>
      </c>
      <c r="F1265" s="333" t="s">
        <v>13063</v>
      </c>
      <c r="G1265" s="333" t="s">
        <v>14212</v>
      </c>
      <c r="H1265" s="346">
        <v>0</v>
      </c>
      <c r="I1265" s="346">
        <v>0</v>
      </c>
      <c r="J1265" s="346"/>
      <c r="K1265" s="334"/>
      <c r="L1265" s="346" t="s">
        <v>932</v>
      </c>
    </row>
    <row r="1266" hidden="1" spans="1:12">
      <c r="A1266" s="404"/>
      <c r="B1266" s="404"/>
      <c r="C1266" s="334"/>
      <c r="D1266" s="442">
        <v>0</v>
      </c>
      <c r="E1266" s="450">
        <v>0</v>
      </c>
      <c r="F1266" s="333" t="s">
        <v>13063</v>
      </c>
      <c r="G1266" s="333" t="s">
        <v>14213</v>
      </c>
      <c r="H1266" s="346">
        <v>0</v>
      </c>
      <c r="I1266" s="346">
        <v>0</v>
      </c>
      <c r="J1266" s="346"/>
      <c r="K1266" s="334"/>
      <c r="L1266" s="346" t="s">
        <v>932</v>
      </c>
    </row>
    <row r="1267" hidden="1" spans="1:12">
      <c r="A1267" s="404"/>
      <c r="B1267" s="404"/>
      <c r="C1267" s="334"/>
      <c r="D1267" s="442">
        <v>0</v>
      </c>
      <c r="E1267" s="450">
        <v>0</v>
      </c>
      <c r="F1267" s="333" t="s">
        <v>13063</v>
      </c>
      <c r="G1267" s="333" t="s">
        <v>14214</v>
      </c>
      <c r="H1267" s="346">
        <v>0</v>
      </c>
      <c r="I1267" s="346">
        <v>0</v>
      </c>
      <c r="J1267" s="346"/>
      <c r="K1267" s="334"/>
      <c r="L1267" s="346" t="s">
        <v>932</v>
      </c>
    </row>
    <row r="1268" hidden="1" spans="1:12">
      <c r="A1268" s="404" t="s">
        <v>14261</v>
      </c>
      <c r="B1268" s="404" t="s">
        <v>14262</v>
      </c>
      <c r="C1268" s="404"/>
      <c r="D1268" s="442">
        <v>0</v>
      </c>
      <c r="E1268" s="450">
        <v>0</v>
      </c>
      <c r="F1268" s="333" t="s">
        <v>13063</v>
      </c>
      <c r="G1268" s="333" t="s">
        <v>14212</v>
      </c>
      <c r="H1268" s="346">
        <v>0</v>
      </c>
      <c r="I1268" s="346">
        <v>0</v>
      </c>
      <c r="J1268" s="346"/>
      <c r="K1268" s="334"/>
      <c r="L1268" s="346" t="s">
        <v>932</v>
      </c>
    </row>
    <row r="1269" hidden="1" spans="1:12">
      <c r="A1269" s="404"/>
      <c r="B1269" s="404"/>
      <c r="C1269" s="334"/>
      <c r="D1269" s="442">
        <v>0</v>
      </c>
      <c r="E1269" s="450">
        <v>0</v>
      </c>
      <c r="F1269" s="333" t="s">
        <v>13063</v>
      </c>
      <c r="G1269" s="333" t="s">
        <v>14213</v>
      </c>
      <c r="H1269" s="346">
        <v>0</v>
      </c>
      <c r="I1269" s="346">
        <v>0</v>
      </c>
      <c r="J1269" s="346"/>
      <c r="K1269" s="334"/>
      <c r="L1269" s="346" t="s">
        <v>932</v>
      </c>
    </row>
    <row r="1270" hidden="1" spans="1:12">
      <c r="A1270" s="404"/>
      <c r="B1270" s="404"/>
      <c r="C1270" s="334"/>
      <c r="D1270" s="442">
        <v>0</v>
      </c>
      <c r="E1270" s="450">
        <v>0</v>
      </c>
      <c r="F1270" s="333" t="s">
        <v>13063</v>
      </c>
      <c r="G1270" s="333" t="s">
        <v>14214</v>
      </c>
      <c r="H1270" s="346">
        <v>0</v>
      </c>
      <c r="I1270" s="346">
        <v>0</v>
      </c>
      <c r="J1270" s="346"/>
      <c r="K1270" s="334"/>
      <c r="L1270" s="346" t="s">
        <v>932</v>
      </c>
    </row>
    <row r="1271" hidden="1" spans="1:12">
      <c r="A1271" s="404">
        <v>0</v>
      </c>
      <c r="B1271" s="404" t="e">
        <v>#N/A</v>
      </c>
      <c r="C1271" s="404"/>
      <c r="D1271" s="442">
        <v>0</v>
      </c>
      <c r="E1271" s="450">
        <v>0</v>
      </c>
      <c r="F1271" s="333" t="s">
        <v>13063</v>
      </c>
      <c r="G1271" s="333" t="s">
        <v>14212</v>
      </c>
      <c r="H1271" s="346">
        <v>0</v>
      </c>
      <c r="I1271" s="346">
        <v>0</v>
      </c>
      <c r="J1271" s="346"/>
      <c r="K1271" s="334"/>
      <c r="L1271" s="346" t="s">
        <v>932</v>
      </c>
    </row>
    <row r="1272" hidden="1" spans="1:12">
      <c r="A1272" s="404"/>
      <c r="B1272" s="404"/>
      <c r="C1272" s="334"/>
      <c r="D1272" s="442">
        <v>0</v>
      </c>
      <c r="E1272" s="450">
        <v>0</v>
      </c>
      <c r="F1272" s="333" t="s">
        <v>13063</v>
      </c>
      <c r="G1272" s="333" t="s">
        <v>14213</v>
      </c>
      <c r="H1272" s="346">
        <v>0</v>
      </c>
      <c r="I1272" s="346">
        <v>0</v>
      </c>
      <c r="J1272" s="346"/>
      <c r="K1272" s="334"/>
      <c r="L1272" s="346" t="s">
        <v>932</v>
      </c>
    </row>
    <row r="1273" hidden="1" spans="1:12">
      <c r="A1273" s="404"/>
      <c r="B1273" s="404"/>
      <c r="C1273" s="334"/>
      <c r="D1273" s="442">
        <v>0</v>
      </c>
      <c r="E1273" s="450">
        <v>0</v>
      </c>
      <c r="F1273" s="333" t="s">
        <v>13063</v>
      </c>
      <c r="G1273" s="333" t="s">
        <v>14214</v>
      </c>
      <c r="H1273" s="346">
        <v>0</v>
      </c>
      <c r="I1273" s="346">
        <v>0</v>
      </c>
      <c r="J1273" s="346"/>
      <c r="K1273" s="334"/>
      <c r="L1273" s="346" t="s">
        <v>932</v>
      </c>
    </row>
    <row r="1274" hidden="1" spans="1:12">
      <c r="A1274" s="404">
        <v>0</v>
      </c>
      <c r="B1274" s="404" t="e">
        <v>#N/A</v>
      </c>
      <c r="C1274" s="404"/>
      <c r="D1274" s="442">
        <v>0</v>
      </c>
      <c r="E1274" s="450">
        <v>0</v>
      </c>
      <c r="F1274" s="333" t="s">
        <v>13063</v>
      </c>
      <c r="G1274" s="333" t="s">
        <v>14212</v>
      </c>
      <c r="H1274" s="346">
        <v>0</v>
      </c>
      <c r="I1274" s="346">
        <v>0</v>
      </c>
      <c r="J1274" s="346"/>
      <c r="K1274" s="334"/>
      <c r="L1274" s="346" t="s">
        <v>932</v>
      </c>
    </row>
    <row r="1275" hidden="1" spans="1:12">
      <c r="A1275" s="404"/>
      <c r="B1275" s="404"/>
      <c r="C1275" s="334"/>
      <c r="D1275" s="442">
        <v>0</v>
      </c>
      <c r="E1275" s="450">
        <v>0</v>
      </c>
      <c r="F1275" s="333" t="s">
        <v>13063</v>
      </c>
      <c r="G1275" s="333" t="s">
        <v>14213</v>
      </c>
      <c r="H1275" s="346">
        <v>0</v>
      </c>
      <c r="I1275" s="346">
        <v>0</v>
      </c>
      <c r="J1275" s="346"/>
      <c r="K1275" s="334"/>
      <c r="L1275" s="346" t="s">
        <v>932</v>
      </c>
    </row>
    <row r="1276" hidden="1" spans="1:12">
      <c r="A1276" s="404"/>
      <c r="B1276" s="404"/>
      <c r="C1276" s="334"/>
      <c r="D1276" s="442">
        <v>0</v>
      </c>
      <c r="E1276" s="450">
        <v>0</v>
      </c>
      <c r="F1276" s="333" t="s">
        <v>13063</v>
      </c>
      <c r="G1276" s="333" t="s">
        <v>14214</v>
      </c>
      <c r="H1276" s="346">
        <v>0</v>
      </c>
      <c r="I1276" s="346">
        <v>0</v>
      </c>
      <c r="J1276" s="346"/>
      <c r="K1276" s="334"/>
      <c r="L1276" s="346" t="s">
        <v>932</v>
      </c>
    </row>
    <row r="1277" hidden="1" spans="1:12">
      <c r="A1277" s="401">
        <v>0</v>
      </c>
      <c r="B1277" s="401" t="e">
        <v>#N/A</v>
      </c>
      <c r="C1277" s="401"/>
      <c r="D1277" s="442">
        <v>0</v>
      </c>
      <c r="E1277" s="450">
        <v>0</v>
      </c>
      <c r="F1277" s="439" t="s">
        <v>13063</v>
      </c>
      <c r="G1277" s="439" t="s">
        <v>14212</v>
      </c>
      <c r="H1277" s="346">
        <v>0</v>
      </c>
      <c r="I1277" s="346">
        <v>0</v>
      </c>
      <c r="J1277" s="395"/>
      <c r="L1277" s="346" t="s">
        <v>932</v>
      </c>
    </row>
    <row r="1278" hidden="1" spans="1:12">
      <c r="A1278" s="401"/>
      <c r="B1278" s="401"/>
      <c r="D1278" s="442">
        <v>0</v>
      </c>
      <c r="E1278" s="450">
        <v>0</v>
      </c>
      <c r="F1278" s="439" t="s">
        <v>13063</v>
      </c>
      <c r="G1278" s="439" t="s">
        <v>14213</v>
      </c>
      <c r="H1278" s="346">
        <v>0</v>
      </c>
      <c r="I1278" s="346">
        <v>0</v>
      </c>
      <c r="J1278" s="395"/>
      <c r="L1278" s="346" t="s">
        <v>932</v>
      </c>
    </row>
    <row r="1279" hidden="1" spans="1:12">
      <c r="A1279" s="401"/>
      <c r="B1279" s="401"/>
      <c r="D1279" s="442">
        <v>0</v>
      </c>
      <c r="E1279" s="450">
        <v>0</v>
      </c>
      <c r="F1279" s="439" t="s">
        <v>13063</v>
      </c>
      <c r="G1279" s="439" t="s">
        <v>14214</v>
      </c>
      <c r="H1279" s="346">
        <v>0</v>
      </c>
      <c r="I1279" s="346">
        <v>0</v>
      </c>
      <c r="J1279" s="395"/>
      <c r="L1279" s="346" t="s">
        <v>932</v>
      </c>
    </row>
    <row r="1280" hidden="1" spans="1:12">
      <c r="A1280" s="401">
        <v>0</v>
      </c>
      <c r="B1280" s="401" t="e">
        <v>#N/A</v>
      </c>
      <c r="C1280" s="401"/>
      <c r="D1280" s="442">
        <v>0</v>
      </c>
      <c r="E1280" s="450">
        <v>0</v>
      </c>
      <c r="F1280" s="439" t="s">
        <v>13063</v>
      </c>
      <c r="G1280" s="439" t="s">
        <v>14212</v>
      </c>
      <c r="H1280" s="346">
        <v>0</v>
      </c>
      <c r="I1280" s="346">
        <v>0</v>
      </c>
      <c r="J1280" s="395"/>
      <c r="L1280" s="346" t="s">
        <v>932</v>
      </c>
    </row>
    <row r="1281" hidden="1" spans="1:14">
      <c r="A1281" s="401"/>
      <c r="B1281" s="401"/>
      <c r="D1281" s="442">
        <v>0</v>
      </c>
      <c r="E1281" s="450">
        <v>0</v>
      </c>
      <c r="F1281" s="439" t="s">
        <v>13063</v>
      </c>
      <c r="G1281" s="439" t="s">
        <v>14213</v>
      </c>
      <c r="H1281" s="346">
        <v>0</v>
      </c>
      <c r="I1281" s="346">
        <v>0</v>
      </c>
      <c r="J1281" s="395"/>
      <c r="L1281" s="346" t="s">
        <v>932</v>
      </c>
    </row>
    <row r="1282" hidden="1" spans="1:14">
      <c r="A1282" s="401"/>
      <c r="B1282" s="401"/>
      <c r="D1282" s="442">
        <v>0</v>
      </c>
      <c r="E1282" s="450">
        <v>0</v>
      </c>
      <c r="F1282" s="439" t="s">
        <v>13063</v>
      </c>
      <c r="G1282" s="439" t="s">
        <v>14214</v>
      </c>
      <c r="H1282" s="346">
        <v>0</v>
      </c>
      <c r="I1282" s="346">
        <v>0</v>
      </c>
      <c r="J1282" s="395"/>
      <c r="L1282" s="346" t="s">
        <v>932</v>
      </c>
    </row>
    <row r="1283" hidden="1" spans="1:14">
      <c r="A1283" s="401">
        <v>0</v>
      </c>
      <c r="B1283" s="401" t="e">
        <v>#N/A</v>
      </c>
      <c r="C1283" s="401"/>
      <c r="D1283" s="442">
        <v>0</v>
      </c>
      <c r="E1283" s="450">
        <v>0</v>
      </c>
      <c r="F1283" s="439" t="s">
        <v>13063</v>
      </c>
      <c r="G1283" s="439" t="s">
        <v>14212</v>
      </c>
      <c r="H1283" s="346">
        <v>0</v>
      </c>
      <c r="I1283" s="346">
        <v>0</v>
      </c>
      <c r="J1283" s="395"/>
      <c r="L1283" s="346" t="s">
        <v>932</v>
      </c>
    </row>
    <row r="1284" hidden="1" spans="1:14">
      <c r="A1284" s="401"/>
      <c r="B1284" s="401"/>
      <c r="D1284" s="442">
        <v>0</v>
      </c>
      <c r="E1284" s="450">
        <v>0</v>
      </c>
      <c r="F1284" s="439" t="s">
        <v>13063</v>
      </c>
      <c r="G1284" s="439" t="s">
        <v>14213</v>
      </c>
      <c r="H1284" s="346">
        <v>0</v>
      </c>
      <c r="I1284" s="346">
        <v>0</v>
      </c>
      <c r="J1284" s="395"/>
      <c r="L1284" s="346" t="s">
        <v>932</v>
      </c>
    </row>
    <row r="1285" hidden="1" spans="1:14">
      <c r="A1285" s="401"/>
      <c r="B1285" s="401"/>
      <c r="D1285" s="442">
        <v>0</v>
      </c>
      <c r="E1285" s="450">
        <v>0</v>
      </c>
      <c r="F1285" s="439" t="s">
        <v>13063</v>
      </c>
      <c r="G1285" s="439" t="s">
        <v>14214</v>
      </c>
      <c r="H1285" s="346">
        <v>0</v>
      </c>
      <c r="I1285" s="346">
        <v>0</v>
      </c>
      <c r="J1285" s="395"/>
      <c r="L1285" s="346" t="s">
        <v>932</v>
      </c>
    </row>
    <row r="1286" hidden="1" spans="1:14">
      <c r="A1286" s="421"/>
      <c r="B1286" s="422"/>
      <c r="C1286" s="422"/>
      <c r="D1286" s="422"/>
      <c r="E1286" s="422"/>
      <c r="F1286" s="422"/>
      <c r="G1286" s="422"/>
      <c r="H1286" s="422"/>
      <c r="I1286" s="430"/>
      <c r="J1286" s="430"/>
      <c r="K1286" s="425" t="s">
        <v>14215</v>
      </c>
      <c r="L1286" s="426">
        <v>0</v>
      </c>
    </row>
    <row r="1287" spans="1:14">
      <c r="A1287" s="451"/>
      <c r="B1287" s="452"/>
      <c r="C1287" s="452"/>
      <c r="D1287" s="452"/>
      <c r="E1287" s="452"/>
      <c r="F1287" s="452"/>
      <c r="G1287" s="452"/>
      <c r="H1287" s="452"/>
      <c r="I1287" s="453"/>
      <c r="J1287" s="453"/>
      <c r="K1287" s="454" t="s">
        <v>14216</v>
      </c>
      <c r="L1287" s="455">
        <v>781.78</v>
      </c>
    </row>
    <row r="1289" spans="1:14">
      <c r="A1289" s="391" t="s">
        <v>14172</v>
      </c>
      <c r="B1289" s="472"/>
      <c r="C1289" s="472"/>
      <c r="D1289" s="472"/>
      <c r="E1289" s="472"/>
      <c r="F1289" s="472"/>
      <c r="G1289" s="393"/>
      <c r="H1289" s="393"/>
      <c r="I1289" s="393"/>
      <c r="J1289" s="393"/>
      <c r="K1289" s="393"/>
      <c r="L1289" s="471"/>
    </row>
    <row r="1290" spans="1:14">
      <c r="A1290" s="473">
        <v>1107908</v>
      </c>
      <c r="B1290" s="397" t="s">
        <v>128</v>
      </c>
      <c r="C1290" s="397"/>
      <c r="D1290" s="397"/>
      <c r="E1290" s="397"/>
      <c r="F1290" s="397"/>
      <c r="G1290" s="397"/>
      <c r="H1290" s="397" t="s">
        <v>99</v>
      </c>
      <c r="I1290" s="398">
        <v>46023</v>
      </c>
      <c r="J1290" s="397"/>
      <c r="K1290" s="399" t="s">
        <v>14173</v>
      </c>
      <c r="L1290" s="400">
        <v>0</v>
      </c>
    </row>
    <row r="1291" spans="1:14">
      <c r="A1291" s="401"/>
      <c r="H1291" s="402" t="s">
        <v>14174</v>
      </c>
      <c r="I1291" s="434">
        <v>3.7656</v>
      </c>
      <c r="J1291" s="404" t="s">
        <v>99</v>
      </c>
      <c r="K1291" s="402" t="s">
        <v>14175</v>
      </c>
      <c r="L1291" s="456">
        <v>0.03632</v>
      </c>
    </row>
    <row r="1292" spans="1:14">
      <c r="A1292" s="405"/>
      <c r="B1292" s="405"/>
      <c r="C1292" s="405"/>
      <c r="D1292" s="406"/>
      <c r="E1292" s="406"/>
      <c r="F1292" s="406"/>
      <c r="G1292" s="407" t="s">
        <v>14176</v>
      </c>
      <c r="H1292" s="408"/>
      <c r="I1292" s="407" t="s">
        <v>14177</v>
      </c>
      <c r="J1292" s="408"/>
      <c r="K1292" s="405"/>
      <c r="L1292" s="409" t="s">
        <v>14178</v>
      </c>
    </row>
    <row r="1293" spans="1:14">
      <c r="A1293" s="410" t="s">
        <v>14179</v>
      </c>
      <c r="B1293" s="411"/>
      <c r="C1293" s="412"/>
      <c r="D1293" s="412"/>
      <c r="E1293" s="413" t="s">
        <v>74</v>
      </c>
      <c r="F1293" s="412"/>
      <c r="G1293" s="413" t="s">
        <v>14180</v>
      </c>
      <c r="H1293" s="413" t="s">
        <v>14181</v>
      </c>
      <c r="I1293" s="413" t="s">
        <v>14182</v>
      </c>
      <c r="J1293" s="413" t="s">
        <v>14183</v>
      </c>
      <c r="K1293" s="411"/>
      <c r="L1293" s="414" t="s">
        <v>14184</v>
      </c>
    </row>
    <row r="1294" spans="1:14">
      <c r="A1294" s="404" t="s">
        <v>1066</v>
      </c>
      <c r="B1294" s="415" t="s">
        <v>1067</v>
      </c>
      <c r="C1294" s="415"/>
      <c r="E1294" s="416">
        <v>1</v>
      </c>
      <c r="F1294" s="334"/>
      <c r="G1294" s="346">
        <v>1</v>
      </c>
      <c r="H1294" s="417">
        <v>0</v>
      </c>
      <c r="I1294" s="395">
        <v>1.1002</v>
      </c>
      <c r="J1294" s="418">
        <v>0.7391</v>
      </c>
      <c r="K1294" s="402"/>
      <c r="L1294" s="395">
        <v>1.1002</v>
      </c>
      <c r="N1294" s="395">
        <v>0.7391</v>
      </c>
    </row>
    <row r="1295" spans="1:14">
      <c r="A1295" s="404" t="s">
        <v>1068</v>
      </c>
      <c r="B1295" s="404" t="s">
        <v>1069</v>
      </c>
      <c r="C1295" s="404"/>
      <c r="D1295" s="334"/>
      <c r="E1295" s="416">
        <v>1</v>
      </c>
      <c r="F1295" s="334"/>
      <c r="G1295" s="346">
        <v>1</v>
      </c>
      <c r="H1295" s="417">
        <v>0</v>
      </c>
      <c r="I1295" s="346">
        <v>56.8627</v>
      </c>
      <c r="J1295" s="419">
        <v>33.7088</v>
      </c>
      <c r="K1295" s="420"/>
      <c r="L1295" s="395">
        <v>56.8627</v>
      </c>
      <c r="N1295" s="395">
        <v>33.7088</v>
      </c>
    </row>
    <row r="1296" spans="1:14">
      <c r="A1296" s="404" t="s">
        <v>1070</v>
      </c>
      <c r="B1296" s="404" t="s">
        <v>1071</v>
      </c>
      <c r="C1296" s="404"/>
      <c r="D1296" s="334"/>
      <c r="E1296" s="416">
        <v>4</v>
      </c>
      <c r="F1296" s="334"/>
      <c r="G1296" s="346">
        <v>0.81</v>
      </c>
      <c r="H1296" s="417">
        <v>0.19</v>
      </c>
      <c r="I1296" s="346">
        <v>0.7083</v>
      </c>
      <c r="J1296" s="419">
        <v>0.4793</v>
      </c>
      <c r="K1296" s="420"/>
      <c r="L1296" s="395">
        <v>2.65916</v>
      </c>
      <c r="N1296" s="395">
        <v>1.9172</v>
      </c>
    </row>
    <row r="1297" spans="1:14">
      <c r="A1297" s="404" t="s">
        <v>1072</v>
      </c>
      <c r="B1297" s="404" t="s">
        <v>1073</v>
      </c>
      <c r="C1297" s="404"/>
      <c r="D1297" s="334"/>
      <c r="E1297" s="416">
        <v>3</v>
      </c>
      <c r="F1297" s="334"/>
      <c r="G1297" s="346">
        <v>0.39</v>
      </c>
      <c r="H1297" s="417">
        <v>0.61</v>
      </c>
      <c r="I1297" s="346">
        <v>1.5493</v>
      </c>
      <c r="J1297" s="419">
        <v>1.0483</v>
      </c>
      <c r="K1297" s="420"/>
      <c r="L1297" s="395">
        <v>3.73107</v>
      </c>
      <c r="N1297" s="395">
        <v>3.1449</v>
      </c>
    </row>
    <row r="1298" hidden="1" spans="1:14">
      <c r="A1298" s="404">
        <v>0</v>
      </c>
      <c r="B1298" s="404" t="e">
        <v>#N/A</v>
      </c>
      <c r="C1298" s="404"/>
      <c r="D1298" s="334"/>
      <c r="E1298" s="416">
        <v>0</v>
      </c>
      <c r="F1298" s="334"/>
      <c r="G1298" s="346">
        <v>0</v>
      </c>
      <c r="H1298" s="417">
        <v>1</v>
      </c>
      <c r="I1298" s="346" t="e">
        <v>#N/A</v>
      </c>
      <c r="J1298" s="419" t="e">
        <v>#N/A</v>
      </c>
      <c r="K1298" s="420"/>
      <c r="L1298" s="395" t="s">
        <v>932</v>
      </c>
      <c r="N1298" s="395" t="s">
        <v>932</v>
      </c>
    </row>
    <row r="1299" hidden="1" spans="1:14">
      <c r="A1299" s="404">
        <v>0</v>
      </c>
      <c r="B1299" s="404" t="e">
        <v>#N/A</v>
      </c>
      <c r="C1299" s="404"/>
      <c r="D1299" s="334"/>
      <c r="E1299" s="416">
        <v>0</v>
      </c>
      <c r="F1299" s="334"/>
      <c r="G1299" s="346">
        <v>0</v>
      </c>
      <c r="H1299" s="417">
        <v>1</v>
      </c>
      <c r="I1299" s="346" t="e">
        <v>#N/A</v>
      </c>
      <c r="J1299" s="419" t="e">
        <v>#N/A</v>
      </c>
      <c r="K1299" s="420"/>
      <c r="L1299" s="395" t="s">
        <v>932</v>
      </c>
      <c r="N1299" s="395" t="s">
        <v>932</v>
      </c>
    </row>
    <row r="1300" hidden="1" spans="1:14">
      <c r="A1300" s="404">
        <v>0</v>
      </c>
      <c r="B1300" s="404" t="e">
        <v>#N/A</v>
      </c>
      <c r="C1300" s="404"/>
      <c r="D1300" s="334"/>
      <c r="E1300" s="416">
        <v>0</v>
      </c>
      <c r="F1300" s="334"/>
      <c r="G1300" s="346">
        <v>0</v>
      </c>
      <c r="H1300" s="417">
        <v>1</v>
      </c>
      <c r="I1300" s="346" t="e">
        <v>#N/A</v>
      </c>
      <c r="J1300" s="419" t="e">
        <v>#N/A</v>
      </c>
      <c r="K1300" s="420"/>
      <c r="L1300" s="395" t="s">
        <v>932</v>
      </c>
      <c r="N1300" s="395" t="s">
        <v>932</v>
      </c>
    </row>
    <row r="1301" hidden="1" spans="1:14">
      <c r="A1301" s="404">
        <v>0</v>
      </c>
      <c r="B1301" s="404" t="e">
        <v>#N/A</v>
      </c>
      <c r="C1301" s="404"/>
      <c r="D1301" s="334"/>
      <c r="E1301" s="416">
        <v>0</v>
      </c>
      <c r="F1301" s="334"/>
      <c r="G1301" s="346">
        <v>0</v>
      </c>
      <c r="H1301" s="417">
        <v>1</v>
      </c>
      <c r="I1301" s="346" t="e">
        <v>#N/A</v>
      </c>
      <c r="J1301" s="419" t="e">
        <v>#N/A</v>
      </c>
      <c r="K1301" s="420"/>
      <c r="L1301" s="395" t="s">
        <v>932</v>
      </c>
      <c r="N1301" s="395" t="s">
        <v>932</v>
      </c>
    </row>
    <row r="1302" spans="1:14">
      <c r="A1302" s="421"/>
      <c r="B1302" s="422"/>
      <c r="C1302" s="422"/>
      <c r="D1302" s="422"/>
      <c r="E1302" s="423"/>
      <c r="F1302" s="424"/>
      <c r="G1302" s="422"/>
      <c r="H1302" s="422"/>
      <c r="I1302" s="422"/>
      <c r="J1302" s="422"/>
      <c r="K1302" s="425" t="s">
        <v>14185</v>
      </c>
      <c r="L1302" s="426">
        <v>64.35313</v>
      </c>
      <c r="N1302" s="427">
        <v>39.51</v>
      </c>
    </row>
    <row r="1303" spans="1:14">
      <c r="A1303" s="428" t="s">
        <v>14186</v>
      </c>
      <c r="B1303" s="429"/>
      <c r="C1303" s="429"/>
      <c r="D1303" s="430"/>
      <c r="E1303" s="431" t="s">
        <v>74</v>
      </c>
      <c r="F1303" s="431" t="s">
        <v>1123</v>
      </c>
      <c r="G1303" s="430"/>
      <c r="H1303" s="422"/>
      <c r="I1303" s="431" t="s">
        <v>14177</v>
      </c>
      <c r="J1303" s="430"/>
      <c r="K1303" s="430"/>
      <c r="L1303" s="432" t="s">
        <v>14187</v>
      </c>
    </row>
    <row r="1304" spans="1:14">
      <c r="A1304" s="404" t="s">
        <v>946</v>
      </c>
      <c r="B1304" s="433" t="s">
        <v>947</v>
      </c>
      <c r="C1304" s="433"/>
      <c r="D1304" s="334"/>
      <c r="E1304" s="434">
        <v>1</v>
      </c>
      <c r="F1304" s="333" t="s">
        <v>104</v>
      </c>
      <c r="G1304" s="334"/>
      <c r="H1304" s="334"/>
      <c r="I1304" s="435">
        <v>29.6171</v>
      </c>
      <c r="J1304" s="334"/>
      <c r="K1304" s="334"/>
      <c r="L1304" s="346">
        <v>29.6171</v>
      </c>
      <c r="N1304" s="395">
        <v>29.6171</v>
      </c>
    </row>
    <row r="1305" spans="1:14">
      <c r="A1305" s="404" t="s">
        <v>935</v>
      </c>
      <c r="B1305" s="404" t="s">
        <v>936</v>
      </c>
      <c r="C1305" s="404"/>
      <c r="D1305" s="334"/>
      <c r="E1305" s="434">
        <v>9</v>
      </c>
      <c r="F1305" s="333" t="s">
        <v>104</v>
      </c>
      <c r="G1305" s="334"/>
      <c r="H1305" s="334"/>
      <c r="I1305" s="435">
        <v>23.6025</v>
      </c>
      <c r="J1305" s="334"/>
      <c r="K1305" s="334"/>
      <c r="L1305" s="346">
        <v>212.4225</v>
      </c>
      <c r="N1305" s="395">
        <v>212.4225</v>
      </c>
    </row>
    <row r="1306" hidden="1" spans="1:14">
      <c r="A1306" s="404">
        <v>0</v>
      </c>
      <c r="B1306" s="404" t="e">
        <v>#N/A</v>
      </c>
      <c r="C1306" s="404"/>
      <c r="D1306" s="334"/>
      <c r="E1306" s="434">
        <v>0</v>
      </c>
      <c r="F1306" s="333" t="s">
        <v>104</v>
      </c>
      <c r="G1306" s="334"/>
      <c r="H1306" s="334"/>
      <c r="I1306" s="435" t="e">
        <v>#N/A</v>
      </c>
      <c r="J1306" s="334"/>
      <c r="K1306" s="334"/>
      <c r="L1306" s="346" t="s">
        <v>932</v>
      </c>
      <c r="N1306" s="395" t="s">
        <v>932</v>
      </c>
    </row>
    <row r="1307" hidden="1" spans="1:14">
      <c r="A1307" s="404">
        <v>0</v>
      </c>
      <c r="B1307" s="404" t="e">
        <v>#N/A</v>
      </c>
      <c r="C1307" s="404"/>
      <c r="D1307" s="334"/>
      <c r="E1307" s="434">
        <v>0</v>
      </c>
      <c r="F1307" s="333" t="s">
        <v>104</v>
      </c>
      <c r="G1307" s="334"/>
      <c r="H1307" s="334"/>
      <c r="I1307" s="435" t="e">
        <v>#N/A</v>
      </c>
      <c r="J1307" s="334"/>
      <c r="K1307" s="334"/>
      <c r="L1307" s="346" t="s">
        <v>932</v>
      </c>
      <c r="N1307" s="395" t="s">
        <v>932</v>
      </c>
    </row>
    <row r="1308" hidden="1" spans="1:14">
      <c r="A1308" s="404">
        <v>0</v>
      </c>
      <c r="B1308" s="404" t="e">
        <v>#N/A</v>
      </c>
      <c r="C1308" s="404"/>
      <c r="D1308" s="334"/>
      <c r="E1308" s="434">
        <v>0</v>
      </c>
      <c r="F1308" s="333" t="s">
        <v>104</v>
      </c>
      <c r="G1308" s="334"/>
      <c r="H1308" s="334"/>
      <c r="I1308" s="435" t="e">
        <v>#N/A</v>
      </c>
      <c r="J1308" s="334"/>
      <c r="K1308" s="334"/>
      <c r="L1308" s="346" t="s">
        <v>932</v>
      </c>
      <c r="N1308" s="395" t="s">
        <v>932</v>
      </c>
    </row>
    <row r="1309" hidden="1" spans="1:14">
      <c r="A1309" s="404">
        <v>0</v>
      </c>
      <c r="B1309" s="404" t="e">
        <v>#N/A</v>
      </c>
      <c r="C1309" s="404"/>
      <c r="D1309" s="334"/>
      <c r="E1309" s="434">
        <v>0</v>
      </c>
      <c r="F1309" s="333" t="s">
        <v>104</v>
      </c>
      <c r="G1309" s="334"/>
      <c r="H1309" s="334"/>
      <c r="I1309" s="435" t="e">
        <v>#N/A</v>
      </c>
      <c r="J1309" s="334"/>
      <c r="K1309" s="334"/>
      <c r="L1309" s="346" t="s">
        <v>932</v>
      </c>
      <c r="N1309" s="395" t="s">
        <v>932</v>
      </c>
    </row>
    <row r="1310" hidden="1" spans="1:14">
      <c r="A1310" s="404">
        <v>0</v>
      </c>
      <c r="B1310" s="404" t="e">
        <v>#N/A</v>
      </c>
      <c r="C1310" s="404"/>
      <c r="D1310" s="334"/>
      <c r="E1310" s="434">
        <v>0</v>
      </c>
      <c r="F1310" s="333" t="s">
        <v>104</v>
      </c>
      <c r="G1310" s="334"/>
      <c r="H1310" s="334"/>
      <c r="I1310" s="435" t="e">
        <v>#N/A</v>
      </c>
      <c r="J1310" s="334"/>
      <c r="K1310" s="334"/>
      <c r="L1310" s="346" t="s">
        <v>932</v>
      </c>
      <c r="N1310" s="395" t="s">
        <v>932</v>
      </c>
    </row>
    <row r="1311" hidden="1" spans="1:14">
      <c r="A1311" s="404">
        <v>0</v>
      </c>
      <c r="B1311" s="436" t="e">
        <v>#N/A</v>
      </c>
      <c r="C1311" s="436"/>
      <c r="D1311" s="334"/>
      <c r="E1311" s="434">
        <v>0</v>
      </c>
      <c r="F1311" s="333" t="s">
        <v>104</v>
      </c>
      <c r="G1311" s="334"/>
      <c r="H1311" s="334"/>
      <c r="I1311" s="435" t="e">
        <v>#N/A</v>
      </c>
      <c r="J1311" s="334"/>
      <c r="K1311" s="334"/>
      <c r="L1311" s="346" t="s">
        <v>932</v>
      </c>
      <c r="N1311" s="395" t="s">
        <v>932</v>
      </c>
    </row>
    <row r="1312" spans="1:14">
      <c r="A1312" s="421"/>
      <c r="B1312" s="62"/>
      <c r="C1312" s="62"/>
      <c r="D1312" s="422"/>
      <c r="E1312" s="423"/>
      <c r="F1312" s="424"/>
      <c r="G1312" s="422"/>
      <c r="H1312" s="422"/>
      <c r="I1312" s="422"/>
      <c r="J1312" s="422"/>
      <c r="K1312" s="425" t="s">
        <v>14188</v>
      </c>
      <c r="L1312" s="426">
        <v>242.0396</v>
      </c>
      <c r="N1312" s="427">
        <v>242.0396</v>
      </c>
    </row>
    <row r="1313" spans="1:15">
      <c r="I1313" s="437"/>
      <c r="K1313" s="383" t="s">
        <v>14189</v>
      </c>
      <c r="L1313" s="427">
        <v>306.39273</v>
      </c>
      <c r="N1313" s="395">
        <v>281.5496</v>
      </c>
    </row>
    <row r="1314" spans="1:15">
      <c r="K1314" s="383" t="s">
        <v>14190</v>
      </c>
      <c r="L1314" s="427">
        <v>81.3662444231995</v>
      </c>
      <c r="N1314" s="395">
        <v>74.768854896962</v>
      </c>
      <c r="O1314" s="395">
        <v>2.71560480985766</v>
      </c>
    </row>
    <row r="1315" spans="1:15">
      <c r="K1315" s="383" t="s">
        <v>14191</v>
      </c>
      <c r="L1315" s="427">
        <v>2.71560480985766</v>
      </c>
    </row>
    <row r="1316" spans="1:15">
      <c r="K1316" s="383" t="s">
        <v>14192</v>
      </c>
      <c r="L1316" s="395">
        <v>0</v>
      </c>
    </row>
    <row r="1317" spans="1:15">
      <c r="A1317" s="428" t="s">
        <v>14193</v>
      </c>
      <c r="B1317" s="430"/>
      <c r="C1317" s="430"/>
      <c r="D1317" s="430"/>
      <c r="E1317" s="431" t="s">
        <v>74</v>
      </c>
      <c r="F1317" s="431" t="s">
        <v>1123</v>
      </c>
      <c r="G1317" s="430"/>
      <c r="H1317" s="430"/>
      <c r="I1317" s="425" t="s">
        <v>75</v>
      </c>
      <c r="J1317" s="430"/>
      <c r="K1317" s="430"/>
      <c r="L1317" s="426" t="s">
        <v>14194</v>
      </c>
    </row>
    <row r="1318" spans="1:15">
      <c r="A1318" s="404" t="s">
        <v>14224</v>
      </c>
      <c r="B1318" s="433" t="s">
        <v>14225</v>
      </c>
      <c r="C1318" s="433"/>
      <c r="D1318" s="334"/>
      <c r="E1318" s="434">
        <v>1.32015</v>
      </c>
      <c r="F1318" s="333" t="s">
        <v>101</v>
      </c>
      <c r="G1318" s="334"/>
      <c r="I1318" s="395">
        <v>6.6001</v>
      </c>
      <c r="J1318" s="395"/>
      <c r="K1318" s="395"/>
      <c r="L1318" s="346">
        <v>8.713122015</v>
      </c>
    </row>
    <row r="1319" spans="1:15">
      <c r="A1319" s="404" t="s">
        <v>851</v>
      </c>
      <c r="B1319" s="404" t="s">
        <v>14226</v>
      </c>
      <c r="C1319" s="404"/>
      <c r="D1319" s="334"/>
      <c r="E1319" s="434">
        <v>0.54403</v>
      </c>
      <c r="F1319" s="333" t="s">
        <v>99</v>
      </c>
      <c r="G1319" s="334"/>
      <c r="I1319" s="395">
        <v>412.326997156484</v>
      </c>
      <c r="J1319" s="395"/>
      <c r="K1319" s="395"/>
      <c r="L1319" s="346">
        <v>224.318256263042</v>
      </c>
    </row>
    <row r="1320" spans="1:15">
      <c r="A1320" s="404" t="s">
        <v>859</v>
      </c>
      <c r="B1320" s="404" t="s">
        <v>171</v>
      </c>
      <c r="C1320" s="404"/>
      <c r="D1320" s="334"/>
      <c r="E1320" s="434">
        <v>0.36754</v>
      </c>
      <c r="F1320" s="333" t="s">
        <v>99</v>
      </c>
      <c r="G1320" s="334"/>
      <c r="I1320" s="395">
        <v>495.717992658558</v>
      </c>
      <c r="J1320" s="395"/>
      <c r="K1320" s="395"/>
      <c r="L1320" s="346">
        <v>182.196191021726</v>
      </c>
    </row>
    <row r="1321" spans="1:15">
      <c r="A1321" s="404" t="s">
        <v>854</v>
      </c>
      <c r="B1321" s="404" t="s">
        <v>172</v>
      </c>
      <c r="C1321" s="404"/>
      <c r="D1321" s="334"/>
      <c r="E1321" s="434">
        <v>0.36754</v>
      </c>
      <c r="F1321" s="333" t="s">
        <v>99</v>
      </c>
      <c r="G1321" s="334"/>
      <c r="I1321" s="395">
        <v>496.690992606858</v>
      </c>
      <c r="J1321" s="395"/>
      <c r="K1321" s="395"/>
      <c r="L1321" s="346">
        <v>182.553807422724</v>
      </c>
    </row>
    <row r="1322" spans="1:15">
      <c r="A1322" s="404" t="s">
        <v>836</v>
      </c>
      <c r="B1322" s="404" t="s">
        <v>14227</v>
      </c>
      <c r="C1322" s="404"/>
      <c r="D1322" s="334"/>
      <c r="E1322" s="434">
        <v>440.05099</v>
      </c>
      <c r="F1322" s="333" t="s">
        <v>101</v>
      </c>
      <c r="G1322" s="334"/>
      <c r="H1322" s="334"/>
      <c r="I1322" s="395">
        <v>0.973615959156765</v>
      </c>
      <c r="J1322" s="395"/>
      <c r="K1322" s="395"/>
      <c r="L1322" s="346">
        <v>428.440666706734</v>
      </c>
    </row>
    <row r="1323" hidden="1" spans="1:15">
      <c r="A1323" s="404">
        <v>0</v>
      </c>
      <c r="B1323" s="404" t="e">
        <v>#N/A</v>
      </c>
      <c r="C1323" s="404"/>
      <c r="D1323" s="334"/>
      <c r="E1323" s="434">
        <v>0</v>
      </c>
      <c r="F1323" s="333" t="e">
        <v>#N/A</v>
      </c>
      <c r="G1323" s="334"/>
      <c r="H1323" s="334"/>
      <c r="I1323" s="395" t="e">
        <v>#N/A</v>
      </c>
      <c r="J1323" s="395"/>
      <c r="K1323" s="395"/>
      <c r="L1323" s="346" t="s">
        <v>932</v>
      </c>
    </row>
    <row r="1324" hidden="1" spans="1:15">
      <c r="A1324" s="404">
        <v>0</v>
      </c>
      <c r="B1324" s="404" t="e">
        <v>#N/A</v>
      </c>
      <c r="C1324" s="404"/>
      <c r="D1324" s="334"/>
      <c r="E1324" s="434">
        <v>0</v>
      </c>
      <c r="F1324" s="333" t="e">
        <v>#N/A</v>
      </c>
      <c r="G1324" s="334"/>
      <c r="H1324" s="334"/>
      <c r="I1324" s="395" t="e">
        <v>#N/A</v>
      </c>
      <c r="J1324" s="395"/>
      <c r="K1324" s="395"/>
      <c r="L1324" s="346" t="s">
        <v>932</v>
      </c>
    </row>
    <row r="1325" hidden="1" spans="1:15">
      <c r="A1325" s="404">
        <v>0</v>
      </c>
      <c r="B1325" s="404" t="e">
        <v>#N/A</v>
      </c>
      <c r="C1325" s="404"/>
      <c r="D1325" s="438"/>
      <c r="E1325" s="434">
        <v>0</v>
      </c>
      <c r="F1325" s="333" t="e">
        <v>#N/A</v>
      </c>
      <c r="G1325" s="334"/>
      <c r="H1325" s="334"/>
      <c r="I1325" s="395" t="e">
        <v>#N/A</v>
      </c>
      <c r="J1325" s="395"/>
      <c r="K1325" s="395"/>
      <c r="L1325" s="346" t="s">
        <v>932</v>
      </c>
    </row>
    <row r="1326" spans="1:15">
      <c r="A1326" s="421"/>
      <c r="B1326" s="422"/>
      <c r="C1326" s="422"/>
      <c r="D1326" s="422"/>
      <c r="E1326" s="423"/>
      <c r="F1326" s="424"/>
      <c r="G1326" s="422"/>
      <c r="H1326" s="422"/>
      <c r="I1326" s="430"/>
      <c r="J1326" s="430"/>
      <c r="K1326" s="425" t="s">
        <v>14203</v>
      </c>
      <c r="L1326" s="426">
        <v>1026.22204342923</v>
      </c>
    </row>
    <row r="1327" hidden="1" spans="1:15">
      <c r="A1327" s="428" t="s">
        <v>14204</v>
      </c>
      <c r="B1327" s="430"/>
      <c r="C1327" s="430"/>
      <c r="D1327" s="430"/>
      <c r="E1327" s="431" t="s">
        <v>74</v>
      </c>
      <c r="F1327" s="431" t="s">
        <v>1123</v>
      </c>
      <c r="G1327" s="430"/>
      <c r="H1327" s="430"/>
      <c r="I1327" s="425" t="s">
        <v>75</v>
      </c>
      <c r="J1327" s="430"/>
      <c r="K1327" s="430"/>
      <c r="L1327" s="426" t="s">
        <v>14194</v>
      </c>
    </row>
    <row r="1328" hidden="1" spans="1:15">
      <c r="A1328" s="404">
        <v>0</v>
      </c>
      <c r="B1328" s="334" t="e">
        <v>#N/A</v>
      </c>
      <c r="C1328" s="334"/>
      <c r="D1328" s="334"/>
      <c r="E1328" s="434">
        <v>0</v>
      </c>
      <c r="F1328" s="333" t="e">
        <v>#N/A</v>
      </c>
      <c r="G1328" s="439"/>
      <c r="I1328" s="346" t="e">
        <v>#N/A</v>
      </c>
      <c r="L1328" s="346" t="s">
        <v>932</v>
      </c>
    </row>
    <row r="1329" hidden="1" spans="1:12">
      <c r="A1329" s="401">
        <v>0</v>
      </c>
      <c r="B1329" s="334" t="e">
        <v>#N/A</v>
      </c>
      <c r="E1329" s="440">
        <v>0</v>
      </c>
      <c r="F1329" s="333" t="e">
        <v>#N/A</v>
      </c>
      <c r="G1329" s="439"/>
      <c r="I1329" s="346" t="e">
        <v>#N/A</v>
      </c>
      <c r="L1329" s="346" t="s">
        <v>932</v>
      </c>
    </row>
    <row r="1330" hidden="1" spans="1:12">
      <c r="A1330" s="401">
        <v>0</v>
      </c>
      <c r="B1330" s="334" t="e">
        <v>#N/A</v>
      </c>
      <c r="E1330" s="440">
        <v>0</v>
      </c>
      <c r="F1330" s="333" t="e">
        <v>#N/A</v>
      </c>
      <c r="G1330" s="439"/>
      <c r="I1330" s="346" t="e">
        <v>#N/A</v>
      </c>
      <c r="L1330" s="346" t="s">
        <v>932</v>
      </c>
    </row>
    <row r="1331" hidden="1" spans="1:12">
      <c r="A1331" s="401">
        <v>0</v>
      </c>
      <c r="B1331" s="334" t="e">
        <v>#N/A</v>
      </c>
      <c r="E1331" s="440">
        <v>0</v>
      </c>
      <c r="F1331" s="333" t="e">
        <v>#N/A</v>
      </c>
      <c r="G1331" s="439"/>
      <c r="I1331" s="346" t="e">
        <v>#N/A</v>
      </c>
      <c r="L1331" s="346" t="s">
        <v>932</v>
      </c>
    </row>
    <row r="1332" hidden="1" spans="1:12">
      <c r="A1332" s="401">
        <v>0</v>
      </c>
      <c r="B1332" s="334" t="e">
        <v>#N/A</v>
      </c>
      <c r="E1332" s="440">
        <v>0</v>
      </c>
      <c r="F1332" s="333" t="e">
        <v>#N/A</v>
      </c>
      <c r="G1332" s="439"/>
      <c r="I1332" s="346" t="e">
        <v>#N/A</v>
      </c>
      <c r="L1332" s="346" t="s">
        <v>932</v>
      </c>
    </row>
    <row r="1333" hidden="1" spans="1:12">
      <c r="A1333" s="401">
        <v>0</v>
      </c>
      <c r="B1333" s="334" t="e">
        <v>#N/A</v>
      </c>
      <c r="E1333" s="440">
        <v>0</v>
      </c>
      <c r="F1333" s="333" t="e">
        <v>#N/A</v>
      </c>
      <c r="G1333" s="439"/>
      <c r="I1333" s="346" t="e">
        <v>#N/A</v>
      </c>
      <c r="L1333" s="346" t="s">
        <v>932</v>
      </c>
    </row>
    <row r="1334" hidden="1" spans="1:12">
      <c r="A1334" s="421"/>
      <c r="B1334" s="422"/>
      <c r="C1334" s="422"/>
      <c r="D1334" s="422"/>
      <c r="E1334" s="422"/>
      <c r="F1334" s="422"/>
      <c r="G1334" s="422"/>
      <c r="H1334" s="422"/>
      <c r="I1334" s="430"/>
      <c r="J1334" s="430"/>
      <c r="K1334" s="425" t="s">
        <v>14206</v>
      </c>
      <c r="L1334" s="426">
        <v>0</v>
      </c>
    </row>
    <row r="1335" spans="1:12">
      <c r="A1335" s="421"/>
      <c r="B1335" s="422"/>
      <c r="C1335" s="422"/>
      <c r="D1335" s="422"/>
      <c r="E1335" s="422"/>
      <c r="F1335" s="422"/>
      <c r="G1335" s="422"/>
      <c r="H1335" s="422"/>
      <c r="I1335" s="430"/>
      <c r="J1335" s="430"/>
      <c r="K1335" s="425" t="s">
        <v>14207</v>
      </c>
      <c r="L1335" s="426">
        <v>1110.30389266228</v>
      </c>
    </row>
    <row r="1336" spans="1:12">
      <c r="A1336" s="428" t="s">
        <v>14208</v>
      </c>
      <c r="B1336" s="430"/>
      <c r="C1336" s="430"/>
      <c r="D1336" s="431" t="s">
        <v>55</v>
      </c>
      <c r="E1336" s="431" t="s">
        <v>74</v>
      </c>
      <c r="F1336" s="431" t="s">
        <v>1123</v>
      </c>
      <c r="G1336" s="430"/>
      <c r="H1336" s="430"/>
      <c r="I1336" s="425" t="s">
        <v>75</v>
      </c>
      <c r="J1336" s="430"/>
      <c r="K1336" s="430"/>
      <c r="L1336" s="426" t="s">
        <v>14194</v>
      </c>
    </row>
    <row r="1337" spans="1:12">
      <c r="A1337" s="404" t="s">
        <v>14224</v>
      </c>
      <c r="B1337" s="441" t="s">
        <v>14225</v>
      </c>
      <c r="C1337" s="441"/>
      <c r="D1337" s="442">
        <v>5914655</v>
      </c>
      <c r="E1337" s="434">
        <v>0.00132</v>
      </c>
      <c r="F1337" s="333" t="s">
        <v>9885</v>
      </c>
      <c r="G1337" s="443" t="s">
        <v>14209</v>
      </c>
      <c r="H1337" s="334"/>
      <c r="I1337" s="346">
        <v>35.43</v>
      </c>
      <c r="J1337" s="334"/>
      <c r="K1337" s="346"/>
      <c r="L1337" s="346">
        <v>0.0467676</v>
      </c>
    </row>
    <row r="1338" spans="1:12">
      <c r="A1338" s="404" t="s">
        <v>851</v>
      </c>
      <c r="B1338" s="334" t="s">
        <v>14226</v>
      </c>
      <c r="C1338" s="334"/>
      <c r="D1338" s="442">
        <v>5914647</v>
      </c>
      <c r="E1338" s="434">
        <v>0.81605</v>
      </c>
      <c r="F1338" s="333" t="s">
        <v>9885</v>
      </c>
      <c r="G1338" s="334"/>
      <c r="H1338" s="334"/>
      <c r="I1338" s="346">
        <v>1.88</v>
      </c>
      <c r="J1338" s="334"/>
      <c r="K1338" s="346"/>
      <c r="L1338" s="346">
        <v>1.534174</v>
      </c>
    </row>
    <row r="1339" spans="1:12">
      <c r="A1339" s="404" t="s">
        <v>859</v>
      </c>
      <c r="B1339" s="334" t="s">
        <v>171</v>
      </c>
      <c r="C1339" s="334"/>
      <c r="D1339" s="442">
        <v>5914647</v>
      </c>
      <c r="E1339" s="434">
        <v>0.55131</v>
      </c>
      <c r="F1339" s="333" t="s">
        <v>9885</v>
      </c>
      <c r="G1339" s="334"/>
      <c r="H1339" s="334"/>
      <c r="I1339" s="346">
        <v>1.88</v>
      </c>
      <c r="J1339" s="334"/>
      <c r="K1339" s="346"/>
      <c r="L1339" s="346">
        <v>1.0364628</v>
      </c>
    </row>
    <row r="1340" spans="1:12">
      <c r="A1340" s="404" t="s">
        <v>854</v>
      </c>
      <c r="B1340" s="334" t="s">
        <v>172</v>
      </c>
      <c r="C1340" s="334"/>
      <c r="D1340" s="442">
        <v>5914647</v>
      </c>
      <c r="E1340" s="434">
        <v>0.55131</v>
      </c>
      <c r="F1340" s="333" t="s">
        <v>9885</v>
      </c>
      <c r="G1340" s="334"/>
      <c r="H1340" s="334"/>
      <c r="I1340" s="346">
        <v>1.88</v>
      </c>
      <c r="J1340" s="334"/>
      <c r="K1340" s="346"/>
      <c r="L1340" s="346">
        <v>1.0364628</v>
      </c>
    </row>
    <row r="1341" spans="1:12">
      <c r="A1341" s="404" t="s">
        <v>836</v>
      </c>
      <c r="B1341" s="334" t="s">
        <v>14227</v>
      </c>
      <c r="C1341" s="334"/>
      <c r="D1341" s="442">
        <v>5914655</v>
      </c>
      <c r="E1341" s="434">
        <v>0.44005</v>
      </c>
      <c r="F1341" s="333" t="s">
        <v>9885</v>
      </c>
      <c r="G1341" s="334"/>
      <c r="H1341" s="334"/>
      <c r="I1341" s="346">
        <v>35.43</v>
      </c>
      <c r="J1341" s="334"/>
      <c r="K1341" s="346"/>
      <c r="L1341" s="346">
        <v>15.5909715</v>
      </c>
    </row>
    <row r="1342" hidden="1" spans="1:12">
      <c r="A1342" s="404">
        <v>0</v>
      </c>
      <c r="B1342" s="334" t="e">
        <v>#N/A</v>
      </c>
      <c r="C1342" s="334"/>
      <c r="D1342" s="442">
        <v>0</v>
      </c>
      <c r="E1342" s="434">
        <v>0</v>
      </c>
      <c r="F1342" s="333" t="s">
        <v>9885</v>
      </c>
      <c r="G1342" s="334"/>
      <c r="H1342" s="334"/>
      <c r="I1342" s="346">
        <v>0</v>
      </c>
      <c r="J1342" s="334"/>
      <c r="K1342" s="346"/>
      <c r="L1342" s="346" t="s">
        <v>932</v>
      </c>
    </row>
    <row r="1343" hidden="1" spans="1:12">
      <c r="A1343" s="404">
        <v>0</v>
      </c>
      <c r="B1343" s="334" t="e">
        <v>#N/A</v>
      </c>
      <c r="C1343" s="334"/>
      <c r="D1343" s="442">
        <v>0</v>
      </c>
      <c r="E1343" s="434">
        <v>0</v>
      </c>
      <c r="F1343" s="333" t="s">
        <v>9885</v>
      </c>
      <c r="G1343" s="334"/>
      <c r="H1343" s="334"/>
      <c r="I1343" s="346">
        <v>0</v>
      </c>
      <c r="J1343" s="334"/>
      <c r="K1343" s="346"/>
      <c r="L1343" s="346" t="s">
        <v>932</v>
      </c>
    </row>
    <row r="1344" hidden="1" spans="1:12">
      <c r="A1344" s="404">
        <v>0</v>
      </c>
      <c r="B1344" s="444" t="e">
        <v>#N/A</v>
      </c>
      <c r="C1344" s="444"/>
      <c r="D1344" s="442">
        <v>0</v>
      </c>
      <c r="E1344" s="434">
        <v>0</v>
      </c>
      <c r="F1344" s="333" t="s">
        <v>9885</v>
      </c>
      <c r="G1344" s="334"/>
      <c r="H1344" s="334"/>
      <c r="I1344" s="346">
        <v>0</v>
      </c>
      <c r="J1344" s="334"/>
      <c r="K1344" s="346"/>
      <c r="L1344" s="346" t="s">
        <v>932</v>
      </c>
    </row>
    <row r="1345" spans="1:12">
      <c r="A1345" s="428"/>
      <c r="B1345" s="445"/>
      <c r="C1345" s="445"/>
      <c r="D1345" s="430"/>
      <c r="E1345" s="430"/>
      <c r="F1345" s="430"/>
      <c r="G1345" s="430"/>
      <c r="H1345" s="430"/>
      <c r="I1345" s="430"/>
      <c r="J1345" s="430"/>
      <c r="K1345" s="425" t="s">
        <v>14210</v>
      </c>
      <c r="L1345" s="426">
        <v>19.2448387</v>
      </c>
    </row>
    <row r="1346" hidden="1" spans="1:12">
      <c r="A1346" s="446" t="s">
        <v>14211</v>
      </c>
      <c r="B1346" s="445"/>
      <c r="C1346" s="445"/>
      <c r="D1346" s="447" t="s">
        <v>55</v>
      </c>
      <c r="E1346" s="445" t="s">
        <v>74</v>
      </c>
      <c r="F1346" s="447" t="s">
        <v>1123</v>
      </c>
      <c r="G1346" s="445"/>
      <c r="H1346" s="447" t="s">
        <v>72</v>
      </c>
      <c r="I1346" s="447" t="s">
        <v>75</v>
      </c>
      <c r="J1346" s="445"/>
      <c r="K1346" s="448"/>
      <c r="L1346" s="449" t="s">
        <v>14194</v>
      </c>
    </row>
    <row r="1347" hidden="1" spans="1:12">
      <c r="A1347" s="404" t="s">
        <v>14224</v>
      </c>
      <c r="B1347" s="433" t="s">
        <v>14225</v>
      </c>
      <c r="C1347" s="433"/>
      <c r="D1347" s="442">
        <v>5914449</v>
      </c>
      <c r="E1347" s="450">
        <v>0.00132</v>
      </c>
      <c r="F1347" s="333" t="s">
        <v>13063</v>
      </c>
      <c r="G1347" s="333" t="s">
        <v>14212</v>
      </c>
      <c r="H1347" s="346">
        <v>0</v>
      </c>
      <c r="I1347" s="346">
        <v>1.11</v>
      </c>
      <c r="J1347" s="346"/>
      <c r="K1347" s="334"/>
      <c r="L1347" s="346">
        <v>0</v>
      </c>
    </row>
    <row r="1348" hidden="1" spans="1:12">
      <c r="A1348" s="404"/>
      <c r="B1348" s="404"/>
      <c r="C1348" s="334"/>
      <c r="D1348" s="442">
        <v>5914464</v>
      </c>
      <c r="E1348" s="450">
        <v>0.00132</v>
      </c>
      <c r="F1348" s="333" t="s">
        <v>13063</v>
      </c>
      <c r="G1348" s="333" t="s">
        <v>14213</v>
      </c>
      <c r="H1348" s="346">
        <v>0</v>
      </c>
      <c r="I1348" s="346">
        <v>0.89</v>
      </c>
      <c r="J1348" s="346"/>
      <c r="K1348" s="334"/>
      <c r="L1348" s="346">
        <v>0</v>
      </c>
    </row>
    <row r="1349" hidden="1" spans="1:12">
      <c r="A1349" s="404"/>
      <c r="B1349" s="404"/>
      <c r="C1349" s="334"/>
      <c r="D1349" s="442">
        <v>5914479</v>
      </c>
      <c r="E1349" s="450">
        <v>0.00132</v>
      </c>
      <c r="F1349" s="333" t="s">
        <v>13063</v>
      </c>
      <c r="G1349" s="333" t="s">
        <v>14214</v>
      </c>
      <c r="H1349" s="346">
        <v>0</v>
      </c>
      <c r="I1349" s="346">
        <v>0.73</v>
      </c>
      <c r="J1349" s="346"/>
      <c r="K1349" s="334"/>
      <c r="L1349" s="346">
        <v>0</v>
      </c>
    </row>
    <row r="1350" hidden="1" spans="1:12">
      <c r="A1350" s="404" t="s">
        <v>851</v>
      </c>
      <c r="B1350" s="404" t="s">
        <v>14226</v>
      </c>
      <c r="C1350" s="404"/>
      <c r="D1350" s="442">
        <v>5914359</v>
      </c>
      <c r="E1350" s="450">
        <v>0.81605</v>
      </c>
      <c r="F1350" s="333" t="s">
        <v>13063</v>
      </c>
      <c r="G1350" s="333" t="s">
        <v>14212</v>
      </c>
      <c r="H1350" s="346">
        <v>0</v>
      </c>
      <c r="I1350" s="346">
        <v>1.28</v>
      </c>
      <c r="J1350" s="346"/>
      <c r="K1350" s="334"/>
      <c r="L1350" s="346">
        <v>0</v>
      </c>
    </row>
    <row r="1351" hidden="1" spans="1:12">
      <c r="A1351" s="404"/>
      <c r="B1351" s="404"/>
      <c r="C1351" s="334"/>
      <c r="D1351" s="442">
        <v>5914374</v>
      </c>
      <c r="E1351" s="450">
        <v>0.81605</v>
      </c>
      <c r="F1351" s="333" t="s">
        <v>13063</v>
      </c>
      <c r="G1351" s="333" t="s">
        <v>14213</v>
      </c>
      <c r="H1351" s="346">
        <v>0</v>
      </c>
      <c r="I1351" s="346">
        <v>1.02</v>
      </c>
      <c r="J1351" s="346"/>
      <c r="K1351" s="334"/>
      <c r="L1351" s="346">
        <v>0</v>
      </c>
    </row>
    <row r="1352" hidden="1" spans="1:12">
      <c r="A1352" s="404"/>
      <c r="B1352" s="404"/>
      <c r="C1352" s="334"/>
      <c r="D1352" s="442">
        <v>5914389</v>
      </c>
      <c r="E1352" s="450">
        <v>0.81605</v>
      </c>
      <c r="F1352" s="333" t="s">
        <v>13063</v>
      </c>
      <c r="G1352" s="333" t="s">
        <v>14214</v>
      </c>
      <c r="H1352" s="346">
        <v>0</v>
      </c>
      <c r="I1352" s="346">
        <v>0.84</v>
      </c>
      <c r="J1352" s="346"/>
      <c r="K1352" s="334"/>
      <c r="L1352" s="346">
        <v>0</v>
      </c>
    </row>
    <row r="1353" hidden="1" spans="1:12">
      <c r="A1353" s="404" t="s">
        <v>859</v>
      </c>
      <c r="B1353" s="404" t="s">
        <v>171</v>
      </c>
      <c r="C1353" s="404"/>
      <c r="D1353" s="442">
        <v>5914359</v>
      </c>
      <c r="E1353" s="450">
        <v>0.55131</v>
      </c>
      <c r="F1353" s="333" t="s">
        <v>13063</v>
      </c>
      <c r="G1353" s="333" t="s">
        <v>14212</v>
      </c>
      <c r="H1353" s="346">
        <v>0</v>
      </c>
      <c r="I1353" s="346">
        <v>1.28</v>
      </c>
      <c r="J1353" s="346"/>
      <c r="K1353" s="334"/>
      <c r="L1353" s="346">
        <v>0</v>
      </c>
    </row>
    <row r="1354" hidden="1" spans="1:12">
      <c r="A1354" s="404"/>
      <c r="B1354" s="404"/>
      <c r="C1354" s="334"/>
      <c r="D1354" s="442">
        <v>5914374</v>
      </c>
      <c r="E1354" s="450">
        <v>0.55131</v>
      </c>
      <c r="F1354" s="333" t="s">
        <v>13063</v>
      </c>
      <c r="G1354" s="333" t="s">
        <v>14213</v>
      </c>
      <c r="H1354" s="346">
        <v>0</v>
      </c>
      <c r="I1354" s="346">
        <v>1.02</v>
      </c>
      <c r="J1354" s="346"/>
      <c r="K1354" s="334"/>
      <c r="L1354" s="346">
        <v>0</v>
      </c>
    </row>
    <row r="1355" hidden="1" spans="1:12">
      <c r="A1355" s="404"/>
      <c r="B1355" s="404"/>
      <c r="C1355" s="334"/>
      <c r="D1355" s="442">
        <v>5914389</v>
      </c>
      <c r="E1355" s="450">
        <v>0.55131</v>
      </c>
      <c r="F1355" s="333" t="s">
        <v>13063</v>
      </c>
      <c r="G1355" s="333" t="s">
        <v>14214</v>
      </c>
      <c r="H1355" s="346">
        <v>0</v>
      </c>
      <c r="I1355" s="346">
        <v>0.84</v>
      </c>
      <c r="J1355" s="346"/>
      <c r="K1355" s="334"/>
      <c r="L1355" s="346">
        <v>0</v>
      </c>
    </row>
    <row r="1356" hidden="1" spans="1:12">
      <c r="A1356" s="404" t="s">
        <v>854</v>
      </c>
      <c r="B1356" s="404" t="s">
        <v>172</v>
      </c>
      <c r="C1356" s="404"/>
      <c r="D1356" s="442">
        <v>5914359</v>
      </c>
      <c r="E1356" s="450">
        <v>0.55131</v>
      </c>
      <c r="F1356" s="333" t="s">
        <v>13063</v>
      </c>
      <c r="G1356" s="333" t="s">
        <v>14212</v>
      </c>
      <c r="H1356" s="346">
        <v>0</v>
      </c>
      <c r="I1356" s="346">
        <v>1.28</v>
      </c>
      <c r="J1356" s="346"/>
      <c r="K1356" s="334"/>
      <c r="L1356" s="346">
        <v>0</v>
      </c>
    </row>
    <row r="1357" hidden="1" spans="1:12">
      <c r="A1357" s="404"/>
      <c r="B1357" s="404"/>
      <c r="C1357" s="334"/>
      <c r="D1357" s="442">
        <v>5914374</v>
      </c>
      <c r="E1357" s="450">
        <v>0.55131</v>
      </c>
      <c r="F1357" s="333" t="s">
        <v>13063</v>
      </c>
      <c r="G1357" s="333" t="s">
        <v>14213</v>
      </c>
      <c r="H1357" s="346">
        <v>0</v>
      </c>
      <c r="I1357" s="346">
        <v>1.02</v>
      </c>
      <c r="J1357" s="346"/>
      <c r="K1357" s="334"/>
      <c r="L1357" s="346">
        <v>0</v>
      </c>
    </row>
    <row r="1358" hidden="1" spans="1:12">
      <c r="A1358" s="404"/>
      <c r="B1358" s="404"/>
      <c r="C1358" s="334"/>
      <c r="D1358" s="442">
        <v>5914389</v>
      </c>
      <c r="E1358" s="450">
        <v>0.55131</v>
      </c>
      <c r="F1358" s="333" t="s">
        <v>13063</v>
      </c>
      <c r="G1358" s="333" t="s">
        <v>14214</v>
      </c>
      <c r="H1358" s="346">
        <v>0</v>
      </c>
      <c r="I1358" s="346">
        <v>0.84</v>
      </c>
      <c r="J1358" s="346"/>
      <c r="K1358" s="334"/>
      <c r="L1358" s="346">
        <v>0</v>
      </c>
    </row>
    <row r="1359" hidden="1" spans="1:12">
      <c r="A1359" s="404" t="s">
        <v>836</v>
      </c>
      <c r="B1359" s="404" t="s">
        <v>14227</v>
      </c>
      <c r="C1359" s="404"/>
      <c r="D1359" s="442">
        <v>5914449</v>
      </c>
      <c r="E1359" s="450">
        <v>0.44005</v>
      </c>
      <c r="F1359" s="333" t="s">
        <v>13063</v>
      </c>
      <c r="G1359" s="333" t="s">
        <v>14212</v>
      </c>
      <c r="H1359" s="346">
        <v>0</v>
      </c>
      <c r="I1359" s="346">
        <v>1.11</v>
      </c>
      <c r="J1359" s="346"/>
      <c r="K1359" s="334"/>
      <c r="L1359" s="346">
        <v>0</v>
      </c>
    </row>
    <row r="1360" hidden="1" spans="1:12">
      <c r="A1360" s="404"/>
      <c r="B1360" s="404"/>
      <c r="C1360" s="334"/>
      <c r="D1360" s="442">
        <v>5914464</v>
      </c>
      <c r="E1360" s="450">
        <v>0.44005</v>
      </c>
      <c r="F1360" s="333" t="s">
        <v>13063</v>
      </c>
      <c r="G1360" s="333" t="s">
        <v>14213</v>
      </c>
      <c r="H1360" s="346">
        <v>0</v>
      </c>
      <c r="I1360" s="346">
        <v>0.89</v>
      </c>
      <c r="J1360" s="346"/>
      <c r="K1360" s="334"/>
      <c r="L1360" s="346">
        <v>0</v>
      </c>
    </row>
    <row r="1361" hidden="1" spans="1:12">
      <c r="A1361" s="404"/>
      <c r="B1361" s="404"/>
      <c r="C1361" s="334"/>
      <c r="D1361" s="442">
        <v>5914479</v>
      </c>
      <c r="E1361" s="450">
        <v>0.44005</v>
      </c>
      <c r="F1361" s="333" t="s">
        <v>13063</v>
      </c>
      <c r="G1361" s="333" t="s">
        <v>14214</v>
      </c>
      <c r="H1361" s="346">
        <v>0</v>
      </c>
      <c r="I1361" s="346">
        <v>0.73</v>
      </c>
      <c r="J1361" s="346"/>
      <c r="K1361" s="334"/>
      <c r="L1361" s="346">
        <v>0</v>
      </c>
    </row>
    <row r="1362" hidden="1" spans="1:12">
      <c r="A1362" s="401">
        <v>0</v>
      </c>
      <c r="B1362" s="401" t="e">
        <v>#N/A</v>
      </c>
      <c r="C1362" s="401"/>
      <c r="D1362" s="442">
        <v>0</v>
      </c>
      <c r="E1362" s="450">
        <v>0</v>
      </c>
      <c r="F1362" s="439" t="s">
        <v>13063</v>
      </c>
      <c r="G1362" s="439" t="s">
        <v>14212</v>
      </c>
      <c r="H1362" s="346">
        <v>0</v>
      </c>
      <c r="I1362" s="346">
        <v>0</v>
      </c>
      <c r="J1362" s="395"/>
      <c r="L1362" s="346" t="s">
        <v>932</v>
      </c>
    </row>
    <row r="1363" hidden="1" spans="1:12">
      <c r="A1363" s="401"/>
      <c r="B1363" s="401"/>
      <c r="D1363" s="442">
        <v>0</v>
      </c>
      <c r="E1363" s="450">
        <v>0</v>
      </c>
      <c r="F1363" s="439" t="s">
        <v>13063</v>
      </c>
      <c r="G1363" s="439" t="s">
        <v>14213</v>
      </c>
      <c r="H1363" s="346">
        <v>0</v>
      </c>
      <c r="I1363" s="346">
        <v>0</v>
      </c>
      <c r="J1363" s="395"/>
      <c r="L1363" s="346" t="s">
        <v>932</v>
      </c>
    </row>
    <row r="1364" hidden="1" spans="1:12">
      <c r="A1364" s="401"/>
      <c r="B1364" s="401"/>
      <c r="D1364" s="442">
        <v>0</v>
      </c>
      <c r="E1364" s="450">
        <v>0</v>
      </c>
      <c r="F1364" s="439" t="s">
        <v>13063</v>
      </c>
      <c r="G1364" s="439" t="s">
        <v>14214</v>
      </c>
      <c r="H1364" s="346">
        <v>0</v>
      </c>
      <c r="I1364" s="346">
        <v>0</v>
      </c>
      <c r="J1364" s="395"/>
      <c r="L1364" s="346" t="s">
        <v>932</v>
      </c>
    </row>
    <row r="1365" hidden="1" spans="1:12">
      <c r="A1365" s="401">
        <v>0</v>
      </c>
      <c r="B1365" s="401" t="e">
        <v>#N/A</v>
      </c>
      <c r="C1365" s="401"/>
      <c r="D1365" s="442">
        <v>0</v>
      </c>
      <c r="E1365" s="450">
        <v>0</v>
      </c>
      <c r="F1365" s="439" t="s">
        <v>13063</v>
      </c>
      <c r="G1365" s="439" t="s">
        <v>14212</v>
      </c>
      <c r="H1365" s="346">
        <v>0</v>
      </c>
      <c r="I1365" s="346">
        <v>0</v>
      </c>
      <c r="J1365" s="395"/>
      <c r="L1365" s="346" t="s">
        <v>932</v>
      </c>
    </row>
    <row r="1366" hidden="1" spans="1:12">
      <c r="A1366" s="401"/>
      <c r="B1366" s="401"/>
      <c r="D1366" s="442">
        <v>0</v>
      </c>
      <c r="E1366" s="450">
        <v>0</v>
      </c>
      <c r="F1366" s="439" t="s">
        <v>13063</v>
      </c>
      <c r="G1366" s="439" t="s">
        <v>14213</v>
      </c>
      <c r="H1366" s="346">
        <v>0</v>
      </c>
      <c r="I1366" s="346">
        <v>0</v>
      </c>
      <c r="J1366" s="395"/>
      <c r="L1366" s="346" t="s">
        <v>932</v>
      </c>
    </row>
    <row r="1367" hidden="1" spans="1:12">
      <c r="A1367" s="401"/>
      <c r="B1367" s="401"/>
      <c r="D1367" s="442">
        <v>0</v>
      </c>
      <c r="E1367" s="450">
        <v>0</v>
      </c>
      <c r="F1367" s="439" t="s">
        <v>13063</v>
      </c>
      <c r="G1367" s="439" t="s">
        <v>14214</v>
      </c>
      <c r="H1367" s="346">
        <v>0</v>
      </c>
      <c r="I1367" s="346">
        <v>0</v>
      </c>
      <c r="J1367" s="395"/>
      <c r="L1367" s="346" t="s">
        <v>932</v>
      </c>
    </row>
    <row r="1368" hidden="1" spans="1:12">
      <c r="A1368" s="401">
        <v>0</v>
      </c>
      <c r="B1368" s="401" t="e">
        <v>#N/A</v>
      </c>
      <c r="C1368" s="401"/>
      <c r="D1368" s="442">
        <v>0</v>
      </c>
      <c r="E1368" s="450">
        <v>0</v>
      </c>
      <c r="F1368" s="439" t="s">
        <v>13063</v>
      </c>
      <c r="G1368" s="439" t="s">
        <v>14212</v>
      </c>
      <c r="H1368" s="346">
        <v>0</v>
      </c>
      <c r="I1368" s="346">
        <v>0</v>
      </c>
      <c r="J1368" s="395"/>
      <c r="L1368" s="346" t="s">
        <v>932</v>
      </c>
    </row>
    <row r="1369" hidden="1" spans="1:12">
      <c r="A1369" s="401"/>
      <c r="B1369" s="401"/>
      <c r="D1369" s="442">
        <v>0</v>
      </c>
      <c r="E1369" s="450">
        <v>0</v>
      </c>
      <c r="F1369" s="439" t="s">
        <v>13063</v>
      </c>
      <c r="G1369" s="439" t="s">
        <v>14213</v>
      </c>
      <c r="H1369" s="346">
        <v>0</v>
      </c>
      <c r="I1369" s="346">
        <v>0</v>
      </c>
      <c r="J1369" s="395"/>
      <c r="L1369" s="346" t="s">
        <v>932</v>
      </c>
    </row>
    <row r="1370" hidden="1" spans="1:12">
      <c r="A1370" s="401"/>
      <c r="B1370" s="401"/>
      <c r="D1370" s="442">
        <v>0</v>
      </c>
      <c r="E1370" s="450">
        <v>0</v>
      </c>
      <c r="F1370" s="439" t="s">
        <v>13063</v>
      </c>
      <c r="G1370" s="439" t="s">
        <v>14214</v>
      </c>
      <c r="H1370" s="346">
        <v>0</v>
      </c>
      <c r="I1370" s="346">
        <v>0</v>
      </c>
      <c r="J1370" s="395"/>
      <c r="L1370" s="346" t="s">
        <v>932</v>
      </c>
    </row>
    <row r="1371" hidden="1" spans="1:12">
      <c r="A1371" s="421"/>
      <c r="B1371" s="422"/>
      <c r="C1371" s="422"/>
      <c r="D1371" s="422"/>
      <c r="E1371" s="422"/>
      <c r="F1371" s="422"/>
      <c r="G1371" s="422"/>
      <c r="H1371" s="422"/>
      <c r="I1371" s="430"/>
      <c r="J1371" s="430"/>
      <c r="K1371" s="425" t="s">
        <v>14215</v>
      </c>
      <c r="L1371" s="426">
        <v>0</v>
      </c>
    </row>
    <row r="1372" spans="1:12">
      <c r="A1372" s="451"/>
      <c r="B1372" s="452"/>
      <c r="C1372" s="452"/>
      <c r="D1372" s="452"/>
      <c r="E1372" s="452"/>
      <c r="F1372" s="452"/>
      <c r="G1372" s="452"/>
      <c r="H1372" s="452"/>
      <c r="I1372" s="453"/>
      <c r="J1372" s="453"/>
      <c r="K1372" s="454" t="s">
        <v>14216</v>
      </c>
      <c r="L1372" s="455">
        <v>1129.55</v>
      </c>
    </row>
    <row r="1374" spans="1:12">
      <c r="A1374" s="391" t="s">
        <v>14172</v>
      </c>
      <c r="B1374" s="472"/>
      <c r="C1374" s="472"/>
      <c r="D1374" s="472"/>
      <c r="E1374" s="472"/>
      <c r="F1374" s="472"/>
      <c r="G1374" s="393"/>
      <c r="H1374" s="393"/>
      <c r="I1374" s="393"/>
      <c r="J1374" s="393"/>
      <c r="K1374" s="393"/>
      <c r="L1374" s="471"/>
    </row>
    <row r="1375" spans="1:12">
      <c r="A1375" s="473">
        <v>407820</v>
      </c>
      <c r="B1375" s="397" t="s">
        <v>129</v>
      </c>
      <c r="C1375" s="397"/>
      <c r="D1375" s="397"/>
      <c r="E1375" s="397"/>
      <c r="F1375" s="397"/>
      <c r="G1375" s="397"/>
      <c r="H1375" s="397" t="s">
        <v>101</v>
      </c>
      <c r="I1375" s="398">
        <v>46023</v>
      </c>
      <c r="J1375" s="397"/>
      <c r="K1375" s="399" t="s">
        <v>14173</v>
      </c>
      <c r="L1375" s="400">
        <v>0</v>
      </c>
    </row>
    <row r="1376" spans="1:12">
      <c r="A1376" s="401"/>
      <c r="H1376" s="402" t="s">
        <v>14174</v>
      </c>
      <c r="I1376" s="434">
        <v>1</v>
      </c>
      <c r="J1376" s="404" t="s">
        <v>101</v>
      </c>
      <c r="K1376" s="402" t="s">
        <v>14175</v>
      </c>
      <c r="L1376" s="346">
        <v>0</v>
      </c>
    </row>
    <row r="1377" hidden="1" spans="1:14">
      <c r="A1377" s="405"/>
      <c r="B1377" s="405"/>
      <c r="C1377" s="405"/>
      <c r="D1377" s="406"/>
      <c r="E1377" s="406"/>
      <c r="F1377" s="406"/>
      <c r="G1377" s="407" t="s">
        <v>14176</v>
      </c>
      <c r="H1377" s="408"/>
      <c r="I1377" s="407" t="s">
        <v>14177</v>
      </c>
      <c r="J1377" s="408"/>
      <c r="K1377" s="405"/>
      <c r="L1377" s="409" t="s">
        <v>14178</v>
      </c>
    </row>
    <row r="1378" hidden="1" spans="1:14">
      <c r="A1378" s="410" t="s">
        <v>14179</v>
      </c>
      <c r="B1378" s="411"/>
      <c r="C1378" s="412"/>
      <c r="D1378" s="412"/>
      <c r="E1378" s="413" t="s">
        <v>74</v>
      </c>
      <c r="F1378" s="412"/>
      <c r="G1378" s="413" t="s">
        <v>14180</v>
      </c>
      <c r="H1378" s="413" t="s">
        <v>14181</v>
      </c>
      <c r="I1378" s="413" t="s">
        <v>14182</v>
      </c>
      <c r="J1378" s="413" t="s">
        <v>14183</v>
      </c>
      <c r="K1378" s="411"/>
      <c r="L1378" s="414" t="s">
        <v>14184</v>
      </c>
    </row>
    <row r="1379" hidden="1" spans="1:14">
      <c r="A1379" s="404">
        <v>0</v>
      </c>
      <c r="B1379" s="415" t="e">
        <v>#N/A</v>
      </c>
      <c r="C1379" s="415"/>
      <c r="E1379" s="416">
        <v>0</v>
      </c>
      <c r="F1379" s="334"/>
      <c r="G1379" s="346">
        <v>0</v>
      </c>
      <c r="H1379" s="417">
        <v>1</v>
      </c>
      <c r="I1379" s="395" t="e">
        <v>#N/A</v>
      </c>
      <c r="J1379" s="418" t="e">
        <v>#N/A</v>
      </c>
      <c r="K1379" s="402"/>
      <c r="L1379" s="395" t="s">
        <v>932</v>
      </c>
      <c r="N1379" s="395" t="s">
        <v>932</v>
      </c>
    </row>
    <row r="1380" hidden="1" spans="1:14">
      <c r="A1380" s="404">
        <v>0</v>
      </c>
      <c r="B1380" s="404" t="e">
        <v>#N/A</v>
      </c>
      <c r="C1380" s="404"/>
      <c r="D1380" s="334"/>
      <c r="E1380" s="416">
        <v>0</v>
      </c>
      <c r="F1380" s="334"/>
      <c r="G1380" s="346">
        <v>0</v>
      </c>
      <c r="H1380" s="417">
        <v>1</v>
      </c>
      <c r="I1380" s="346" t="e">
        <v>#N/A</v>
      </c>
      <c r="J1380" s="419" t="e">
        <v>#N/A</v>
      </c>
      <c r="K1380" s="420"/>
      <c r="L1380" s="395" t="s">
        <v>932</v>
      </c>
      <c r="N1380" s="395" t="s">
        <v>932</v>
      </c>
    </row>
    <row r="1381" hidden="1" spans="1:14">
      <c r="A1381" s="404">
        <v>0</v>
      </c>
      <c r="B1381" s="404" t="e">
        <v>#N/A</v>
      </c>
      <c r="C1381" s="404"/>
      <c r="D1381" s="334"/>
      <c r="E1381" s="416">
        <v>0</v>
      </c>
      <c r="F1381" s="334"/>
      <c r="G1381" s="346">
        <v>0</v>
      </c>
      <c r="H1381" s="417">
        <v>1</v>
      </c>
      <c r="I1381" s="346" t="e">
        <v>#N/A</v>
      </c>
      <c r="J1381" s="419" t="e">
        <v>#N/A</v>
      </c>
      <c r="K1381" s="420"/>
      <c r="L1381" s="395" t="s">
        <v>932</v>
      </c>
      <c r="N1381" s="395" t="s">
        <v>932</v>
      </c>
    </row>
    <row r="1382" hidden="1" spans="1:14">
      <c r="A1382" s="404">
        <v>0</v>
      </c>
      <c r="B1382" s="404" t="e">
        <v>#N/A</v>
      </c>
      <c r="C1382" s="404"/>
      <c r="D1382" s="334"/>
      <c r="E1382" s="416">
        <v>0</v>
      </c>
      <c r="F1382" s="334"/>
      <c r="G1382" s="346">
        <v>0</v>
      </c>
      <c r="H1382" s="417">
        <v>1</v>
      </c>
      <c r="I1382" s="346" t="e">
        <v>#N/A</v>
      </c>
      <c r="J1382" s="419" t="e">
        <v>#N/A</v>
      </c>
      <c r="K1382" s="420"/>
      <c r="L1382" s="395" t="s">
        <v>932</v>
      </c>
      <c r="N1382" s="395" t="s">
        <v>932</v>
      </c>
    </row>
    <row r="1383" hidden="1" spans="1:14">
      <c r="A1383" s="404">
        <v>0</v>
      </c>
      <c r="B1383" s="404" t="e">
        <v>#N/A</v>
      </c>
      <c r="C1383" s="404"/>
      <c r="D1383" s="334"/>
      <c r="E1383" s="416">
        <v>0</v>
      </c>
      <c r="F1383" s="334"/>
      <c r="G1383" s="346">
        <v>0</v>
      </c>
      <c r="H1383" s="417">
        <v>1</v>
      </c>
      <c r="I1383" s="346" t="e">
        <v>#N/A</v>
      </c>
      <c r="J1383" s="419" t="e">
        <v>#N/A</v>
      </c>
      <c r="K1383" s="420"/>
      <c r="L1383" s="395" t="s">
        <v>932</v>
      </c>
      <c r="N1383" s="395" t="s">
        <v>932</v>
      </c>
    </row>
    <row r="1384" hidden="1" spans="1:14">
      <c r="A1384" s="404">
        <v>0</v>
      </c>
      <c r="B1384" s="404" t="e">
        <v>#N/A</v>
      </c>
      <c r="C1384" s="404"/>
      <c r="D1384" s="334"/>
      <c r="E1384" s="416">
        <v>0</v>
      </c>
      <c r="F1384" s="334"/>
      <c r="G1384" s="346">
        <v>0</v>
      </c>
      <c r="H1384" s="417">
        <v>1</v>
      </c>
      <c r="I1384" s="346" t="e">
        <v>#N/A</v>
      </c>
      <c r="J1384" s="419" t="e">
        <v>#N/A</v>
      </c>
      <c r="K1384" s="420"/>
      <c r="L1384" s="395" t="s">
        <v>932</v>
      </c>
      <c r="N1384" s="395" t="s">
        <v>932</v>
      </c>
    </row>
    <row r="1385" hidden="1" spans="1:14">
      <c r="A1385" s="404">
        <v>0</v>
      </c>
      <c r="B1385" s="404" t="e">
        <v>#N/A</v>
      </c>
      <c r="C1385" s="404"/>
      <c r="D1385" s="334"/>
      <c r="E1385" s="416">
        <v>0</v>
      </c>
      <c r="F1385" s="334"/>
      <c r="G1385" s="346">
        <v>0</v>
      </c>
      <c r="H1385" s="417">
        <v>1</v>
      </c>
      <c r="I1385" s="346" t="e">
        <v>#N/A</v>
      </c>
      <c r="J1385" s="419" t="e">
        <v>#N/A</v>
      </c>
      <c r="K1385" s="420"/>
      <c r="L1385" s="395" t="s">
        <v>932</v>
      </c>
      <c r="N1385" s="395" t="s">
        <v>932</v>
      </c>
    </row>
    <row r="1386" hidden="1" spans="1:14">
      <c r="A1386" s="404">
        <v>0</v>
      </c>
      <c r="B1386" s="404" t="e">
        <v>#N/A</v>
      </c>
      <c r="C1386" s="404"/>
      <c r="D1386" s="334"/>
      <c r="E1386" s="416">
        <v>0</v>
      </c>
      <c r="F1386" s="334"/>
      <c r="G1386" s="346">
        <v>0</v>
      </c>
      <c r="H1386" s="417">
        <v>1</v>
      </c>
      <c r="I1386" s="346" t="e">
        <v>#N/A</v>
      </c>
      <c r="J1386" s="419" t="e">
        <v>#N/A</v>
      </c>
      <c r="K1386" s="420"/>
      <c r="L1386" s="395" t="s">
        <v>932</v>
      </c>
      <c r="N1386" s="395" t="s">
        <v>932</v>
      </c>
    </row>
    <row r="1387" hidden="1" spans="1:14">
      <c r="A1387" s="421"/>
      <c r="B1387" s="422"/>
      <c r="C1387" s="422"/>
      <c r="D1387" s="422"/>
      <c r="E1387" s="423"/>
      <c r="F1387" s="424"/>
      <c r="G1387" s="422"/>
      <c r="H1387" s="422"/>
      <c r="I1387" s="422"/>
      <c r="J1387" s="422"/>
      <c r="K1387" s="425" t="s">
        <v>14185</v>
      </c>
      <c r="L1387" s="426">
        <v>0</v>
      </c>
      <c r="N1387" s="427">
        <v>0</v>
      </c>
    </row>
    <row r="1388" spans="1:14">
      <c r="A1388" s="428" t="s">
        <v>14186</v>
      </c>
      <c r="B1388" s="429"/>
      <c r="C1388" s="429"/>
      <c r="D1388" s="430"/>
      <c r="E1388" s="431" t="s">
        <v>74</v>
      </c>
      <c r="F1388" s="431" t="s">
        <v>1123</v>
      </c>
      <c r="G1388" s="430"/>
      <c r="H1388" s="422"/>
      <c r="I1388" s="431" t="s">
        <v>14177</v>
      </c>
      <c r="J1388" s="430"/>
      <c r="K1388" s="430"/>
      <c r="L1388" s="432" t="s">
        <v>14187</v>
      </c>
    </row>
    <row r="1389" spans="1:14">
      <c r="A1389" s="404" t="s">
        <v>937</v>
      </c>
      <c r="B1389" s="433" t="s">
        <v>938</v>
      </c>
      <c r="C1389" s="433"/>
      <c r="D1389" s="334"/>
      <c r="E1389" s="434">
        <v>0.08</v>
      </c>
      <c r="F1389" s="333" t="s">
        <v>104</v>
      </c>
      <c r="G1389" s="334"/>
      <c r="H1389" s="334"/>
      <c r="I1389" s="435">
        <v>26.2149</v>
      </c>
      <c r="J1389" s="334"/>
      <c r="K1389" s="334"/>
      <c r="L1389" s="346">
        <v>2.097192</v>
      </c>
      <c r="N1389" s="395">
        <v>2.097192</v>
      </c>
    </row>
    <row r="1390" spans="1:14">
      <c r="A1390" s="404" t="s">
        <v>939</v>
      </c>
      <c r="B1390" s="404" t="s">
        <v>940</v>
      </c>
      <c r="C1390" s="404"/>
      <c r="D1390" s="334"/>
      <c r="E1390" s="434">
        <v>0.08</v>
      </c>
      <c r="F1390" s="333" t="s">
        <v>104</v>
      </c>
      <c r="G1390" s="334"/>
      <c r="H1390" s="334"/>
      <c r="I1390" s="435">
        <v>35.4472</v>
      </c>
      <c r="J1390" s="334"/>
      <c r="K1390" s="334"/>
      <c r="L1390" s="346">
        <v>2.835776</v>
      </c>
      <c r="N1390" s="395">
        <v>2.835776</v>
      </c>
    </row>
    <row r="1391" hidden="1" spans="1:14">
      <c r="A1391" s="404">
        <v>0</v>
      </c>
      <c r="B1391" s="404" t="e">
        <v>#N/A</v>
      </c>
      <c r="C1391" s="404"/>
      <c r="D1391" s="334"/>
      <c r="E1391" s="434">
        <v>0</v>
      </c>
      <c r="F1391" s="333" t="s">
        <v>104</v>
      </c>
      <c r="G1391" s="334"/>
      <c r="H1391" s="334"/>
      <c r="I1391" s="435" t="e">
        <v>#N/A</v>
      </c>
      <c r="J1391" s="334"/>
      <c r="K1391" s="334"/>
      <c r="L1391" s="346" t="s">
        <v>932</v>
      </c>
      <c r="N1391" s="395" t="s">
        <v>932</v>
      </c>
    </row>
    <row r="1392" hidden="1" spans="1:14">
      <c r="A1392" s="404">
        <v>0</v>
      </c>
      <c r="B1392" s="404" t="e">
        <v>#N/A</v>
      </c>
      <c r="C1392" s="404"/>
      <c r="D1392" s="334"/>
      <c r="E1392" s="434">
        <v>0</v>
      </c>
      <c r="F1392" s="333" t="s">
        <v>104</v>
      </c>
      <c r="G1392" s="334"/>
      <c r="H1392" s="334"/>
      <c r="I1392" s="435" t="e">
        <v>#N/A</v>
      </c>
      <c r="J1392" s="334"/>
      <c r="K1392" s="334"/>
      <c r="L1392" s="346" t="s">
        <v>932</v>
      </c>
      <c r="N1392" s="395" t="s">
        <v>932</v>
      </c>
    </row>
    <row r="1393" hidden="1" spans="1:15">
      <c r="A1393" s="404">
        <v>0</v>
      </c>
      <c r="B1393" s="404" t="e">
        <v>#N/A</v>
      </c>
      <c r="C1393" s="404"/>
      <c r="D1393" s="334"/>
      <c r="E1393" s="434">
        <v>0</v>
      </c>
      <c r="F1393" s="333" t="s">
        <v>104</v>
      </c>
      <c r="G1393" s="334"/>
      <c r="H1393" s="334"/>
      <c r="I1393" s="435" t="e">
        <v>#N/A</v>
      </c>
      <c r="J1393" s="334"/>
      <c r="K1393" s="334"/>
      <c r="L1393" s="346" t="s">
        <v>932</v>
      </c>
      <c r="N1393" s="395" t="s">
        <v>932</v>
      </c>
    </row>
    <row r="1394" hidden="1" spans="1:15">
      <c r="A1394" s="404">
        <v>0</v>
      </c>
      <c r="B1394" s="404" t="e">
        <v>#N/A</v>
      </c>
      <c r="C1394" s="404"/>
      <c r="D1394" s="334"/>
      <c r="E1394" s="434">
        <v>0</v>
      </c>
      <c r="F1394" s="333" t="s">
        <v>104</v>
      </c>
      <c r="G1394" s="334"/>
      <c r="H1394" s="334"/>
      <c r="I1394" s="435" t="e">
        <v>#N/A</v>
      </c>
      <c r="J1394" s="334"/>
      <c r="K1394" s="334"/>
      <c r="L1394" s="346" t="s">
        <v>932</v>
      </c>
      <c r="N1394" s="395" t="s">
        <v>932</v>
      </c>
    </row>
    <row r="1395" hidden="1" spans="1:15">
      <c r="A1395" s="404">
        <v>0</v>
      </c>
      <c r="B1395" s="404" t="e">
        <v>#N/A</v>
      </c>
      <c r="C1395" s="404"/>
      <c r="D1395" s="334"/>
      <c r="E1395" s="434">
        <v>0</v>
      </c>
      <c r="F1395" s="333" t="s">
        <v>104</v>
      </c>
      <c r="G1395" s="334"/>
      <c r="H1395" s="334"/>
      <c r="I1395" s="435" t="e">
        <v>#N/A</v>
      </c>
      <c r="J1395" s="334"/>
      <c r="K1395" s="334"/>
      <c r="L1395" s="346" t="s">
        <v>932</v>
      </c>
      <c r="N1395" s="395" t="s">
        <v>932</v>
      </c>
    </row>
    <row r="1396" hidden="1" spans="1:15">
      <c r="A1396" s="404">
        <v>0</v>
      </c>
      <c r="B1396" s="436" t="e">
        <v>#N/A</v>
      </c>
      <c r="C1396" s="436"/>
      <c r="D1396" s="334"/>
      <c r="E1396" s="434">
        <v>0</v>
      </c>
      <c r="F1396" s="333" t="s">
        <v>104</v>
      </c>
      <c r="G1396" s="334"/>
      <c r="H1396" s="334"/>
      <c r="I1396" s="435" t="e">
        <v>#N/A</v>
      </c>
      <c r="J1396" s="334"/>
      <c r="K1396" s="334"/>
      <c r="L1396" s="346" t="s">
        <v>932</v>
      </c>
      <c r="N1396" s="395" t="s">
        <v>932</v>
      </c>
    </row>
    <row r="1397" spans="1:15">
      <c r="A1397" s="421"/>
      <c r="B1397" s="62"/>
      <c r="C1397" s="62"/>
      <c r="D1397" s="422"/>
      <c r="E1397" s="423"/>
      <c r="F1397" s="424"/>
      <c r="G1397" s="422"/>
      <c r="H1397" s="422"/>
      <c r="I1397" s="422"/>
      <c r="J1397" s="422"/>
      <c r="K1397" s="425" t="s">
        <v>14188</v>
      </c>
      <c r="L1397" s="426">
        <v>4.932968</v>
      </c>
      <c r="N1397" s="427">
        <v>4.932968</v>
      </c>
    </row>
    <row r="1398" spans="1:15">
      <c r="I1398" s="437"/>
      <c r="K1398" s="383" t="s">
        <v>14189</v>
      </c>
      <c r="L1398" s="427">
        <v>4.932968</v>
      </c>
      <c r="N1398" s="395">
        <v>4.932968</v>
      </c>
    </row>
    <row r="1399" spans="1:15">
      <c r="K1399" s="383" t="s">
        <v>14190</v>
      </c>
      <c r="L1399" s="427">
        <v>4.932968</v>
      </c>
      <c r="N1399" s="395">
        <v>4.932968</v>
      </c>
      <c r="O1399" s="395">
        <v>0</v>
      </c>
    </row>
    <row r="1400" spans="1:15">
      <c r="K1400" s="383" t="s">
        <v>14191</v>
      </c>
      <c r="L1400" s="427">
        <v>0</v>
      </c>
    </row>
    <row r="1401" spans="1:15">
      <c r="K1401" s="383" t="s">
        <v>14192</v>
      </c>
      <c r="L1401" s="395">
        <v>0</v>
      </c>
    </row>
    <row r="1402" spans="1:15">
      <c r="A1402" s="428" t="s">
        <v>14193</v>
      </c>
      <c r="B1402" s="430"/>
      <c r="C1402" s="430"/>
      <c r="D1402" s="430"/>
      <c r="E1402" s="431" t="s">
        <v>74</v>
      </c>
      <c r="F1402" s="431" t="s">
        <v>1123</v>
      </c>
      <c r="G1402" s="430"/>
      <c r="H1402" s="430"/>
      <c r="I1402" s="425" t="s">
        <v>75</v>
      </c>
      <c r="J1402" s="430"/>
      <c r="K1402" s="430"/>
      <c r="L1402" s="426" t="s">
        <v>14194</v>
      </c>
    </row>
    <row r="1403" spans="1:15">
      <c r="A1403" s="404" t="s">
        <v>14263</v>
      </c>
      <c r="B1403" s="433" t="s">
        <v>14264</v>
      </c>
      <c r="C1403" s="433"/>
      <c r="D1403" s="334"/>
      <c r="E1403" s="434">
        <v>1.1</v>
      </c>
      <c r="F1403" s="333" t="s">
        <v>101</v>
      </c>
      <c r="G1403" s="334"/>
      <c r="I1403" s="395">
        <v>8.8235</v>
      </c>
      <c r="J1403" s="395"/>
      <c r="K1403" s="395"/>
      <c r="L1403" s="346">
        <v>9.70585</v>
      </c>
    </row>
    <row r="1404" spans="1:15">
      <c r="A1404" s="404" t="s">
        <v>14220</v>
      </c>
      <c r="B1404" s="404" t="s">
        <v>14221</v>
      </c>
      <c r="C1404" s="404"/>
      <c r="D1404" s="334"/>
      <c r="E1404" s="434">
        <v>0.015</v>
      </c>
      <c r="F1404" s="333" t="s">
        <v>101</v>
      </c>
      <c r="G1404" s="334"/>
      <c r="I1404" s="395">
        <v>11.8043</v>
      </c>
      <c r="J1404" s="395"/>
      <c r="K1404" s="395"/>
      <c r="L1404" s="346">
        <v>0.1770645</v>
      </c>
    </row>
    <row r="1405" hidden="1" spans="1:15">
      <c r="A1405" s="404">
        <v>0</v>
      </c>
      <c r="B1405" s="404" t="e">
        <v>#N/A</v>
      </c>
      <c r="C1405" s="404"/>
      <c r="D1405" s="334"/>
      <c r="E1405" s="434">
        <v>0</v>
      </c>
      <c r="F1405" s="333" t="e">
        <v>#N/A</v>
      </c>
      <c r="G1405" s="334"/>
      <c r="I1405" s="395" t="e">
        <v>#N/A</v>
      </c>
      <c r="J1405" s="395"/>
      <c r="K1405" s="395"/>
      <c r="L1405" s="346" t="s">
        <v>932</v>
      </c>
    </row>
    <row r="1406" hidden="1" spans="1:15">
      <c r="A1406" s="404">
        <v>0</v>
      </c>
      <c r="B1406" s="404" t="e">
        <v>#N/A</v>
      </c>
      <c r="C1406" s="404"/>
      <c r="D1406" s="334"/>
      <c r="E1406" s="434">
        <v>0</v>
      </c>
      <c r="F1406" s="333" t="e">
        <v>#N/A</v>
      </c>
      <c r="G1406" s="334"/>
      <c r="I1406" s="395" t="e">
        <v>#N/A</v>
      </c>
      <c r="J1406" s="395"/>
      <c r="K1406" s="395"/>
      <c r="L1406" s="346" t="s">
        <v>932</v>
      </c>
    </row>
    <row r="1407" hidden="1" spans="1:15">
      <c r="A1407" s="404">
        <v>0</v>
      </c>
      <c r="B1407" s="404" t="e">
        <v>#N/A</v>
      </c>
      <c r="C1407" s="404"/>
      <c r="D1407" s="334"/>
      <c r="E1407" s="434">
        <v>0</v>
      </c>
      <c r="F1407" s="333" t="e">
        <v>#N/A</v>
      </c>
      <c r="G1407" s="334"/>
      <c r="H1407" s="334"/>
      <c r="I1407" s="395" t="e">
        <v>#N/A</v>
      </c>
      <c r="J1407" s="395"/>
      <c r="K1407" s="395"/>
      <c r="L1407" s="346" t="s">
        <v>932</v>
      </c>
    </row>
    <row r="1408" hidden="1" spans="1:15">
      <c r="A1408" s="404">
        <v>0</v>
      </c>
      <c r="B1408" s="404" t="e">
        <v>#N/A</v>
      </c>
      <c r="C1408" s="404"/>
      <c r="D1408" s="334"/>
      <c r="E1408" s="434">
        <v>0</v>
      </c>
      <c r="F1408" s="333" t="e">
        <v>#N/A</v>
      </c>
      <c r="G1408" s="334"/>
      <c r="H1408" s="334"/>
      <c r="I1408" s="395" t="e">
        <v>#N/A</v>
      </c>
      <c r="J1408" s="395"/>
      <c r="K1408" s="395"/>
      <c r="L1408" s="346" t="s">
        <v>932</v>
      </c>
    </row>
    <row r="1409" hidden="1" spans="1:12">
      <c r="A1409" s="404">
        <v>0</v>
      </c>
      <c r="B1409" s="404" t="e">
        <v>#N/A</v>
      </c>
      <c r="C1409" s="404"/>
      <c r="D1409" s="334"/>
      <c r="E1409" s="434">
        <v>0</v>
      </c>
      <c r="F1409" s="333" t="e">
        <v>#N/A</v>
      </c>
      <c r="G1409" s="334"/>
      <c r="H1409" s="334"/>
      <c r="I1409" s="395" t="e">
        <v>#N/A</v>
      </c>
      <c r="J1409" s="395"/>
      <c r="K1409" s="395"/>
      <c r="L1409" s="346" t="s">
        <v>932</v>
      </c>
    </row>
    <row r="1410" hidden="1" spans="1:12">
      <c r="A1410" s="404">
        <v>0</v>
      </c>
      <c r="B1410" s="404" t="e">
        <v>#N/A</v>
      </c>
      <c r="C1410" s="404"/>
      <c r="D1410" s="438"/>
      <c r="E1410" s="434">
        <v>0</v>
      </c>
      <c r="F1410" s="333" t="e">
        <v>#N/A</v>
      </c>
      <c r="G1410" s="334"/>
      <c r="H1410" s="334"/>
      <c r="I1410" s="395" t="e">
        <v>#N/A</v>
      </c>
      <c r="J1410" s="395"/>
      <c r="K1410" s="395"/>
      <c r="L1410" s="346" t="s">
        <v>932</v>
      </c>
    </row>
    <row r="1411" spans="1:12">
      <c r="A1411" s="421"/>
      <c r="B1411" s="422"/>
      <c r="C1411" s="422"/>
      <c r="D1411" s="422"/>
      <c r="E1411" s="423"/>
      <c r="F1411" s="424"/>
      <c r="G1411" s="422"/>
      <c r="H1411" s="422"/>
      <c r="I1411" s="430"/>
      <c r="J1411" s="430"/>
      <c r="K1411" s="425" t="s">
        <v>14203</v>
      </c>
      <c r="L1411" s="426">
        <v>9.8829145</v>
      </c>
    </row>
    <row r="1412" hidden="1" spans="1:12">
      <c r="A1412" s="428" t="s">
        <v>14204</v>
      </c>
      <c r="B1412" s="430"/>
      <c r="C1412" s="430"/>
      <c r="D1412" s="430"/>
      <c r="E1412" s="431" t="s">
        <v>74</v>
      </c>
      <c r="F1412" s="431" t="s">
        <v>1123</v>
      </c>
      <c r="G1412" s="430"/>
      <c r="H1412" s="430"/>
      <c r="I1412" s="425" t="s">
        <v>75</v>
      </c>
      <c r="J1412" s="430"/>
      <c r="K1412" s="430"/>
      <c r="L1412" s="426" t="s">
        <v>14194</v>
      </c>
    </row>
    <row r="1413" hidden="1" spans="1:12">
      <c r="A1413" s="404">
        <v>0</v>
      </c>
      <c r="B1413" s="334" t="e">
        <v>#N/A</v>
      </c>
      <c r="C1413" s="334"/>
      <c r="D1413" s="334"/>
      <c r="E1413" s="434">
        <v>0</v>
      </c>
      <c r="F1413" s="333" t="e">
        <v>#N/A</v>
      </c>
      <c r="G1413" s="439"/>
      <c r="I1413" s="346" t="e">
        <v>#N/A</v>
      </c>
      <c r="L1413" s="346" t="s">
        <v>932</v>
      </c>
    </row>
    <row r="1414" hidden="1" spans="1:12">
      <c r="A1414" s="401">
        <v>0</v>
      </c>
      <c r="B1414" s="334" t="e">
        <v>#N/A</v>
      </c>
      <c r="E1414" s="440">
        <v>0</v>
      </c>
      <c r="F1414" s="333" t="e">
        <v>#N/A</v>
      </c>
      <c r="G1414" s="439"/>
      <c r="I1414" s="346" t="e">
        <v>#N/A</v>
      </c>
      <c r="L1414" s="346" t="s">
        <v>932</v>
      </c>
    </row>
    <row r="1415" hidden="1" spans="1:12">
      <c r="A1415" s="401">
        <v>0</v>
      </c>
      <c r="B1415" s="334" t="e">
        <v>#N/A</v>
      </c>
      <c r="E1415" s="440">
        <v>0</v>
      </c>
      <c r="F1415" s="333" t="e">
        <v>#N/A</v>
      </c>
      <c r="G1415" s="439"/>
      <c r="I1415" s="346" t="e">
        <v>#N/A</v>
      </c>
      <c r="L1415" s="346" t="s">
        <v>932</v>
      </c>
    </row>
    <row r="1416" hidden="1" spans="1:12">
      <c r="A1416" s="401">
        <v>0</v>
      </c>
      <c r="B1416" s="334" t="e">
        <v>#N/A</v>
      </c>
      <c r="E1416" s="440">
        <v>0</v>
      </c>
      <c r="F1416" s="333" t="e">
        <v>#N/A</v>
      </c>
      <c r="G1416" s="439"/>
      <c r="I1416" s="346" t="e">
        <v>#N/A</v>
      </c>
      <c r="L1416" s="346" t="s">
        <v>932</v>
      </c>
    </row>
    <row r="1417" hidden="1" spans="1:12">
      <c r="A1417" s="401">
        <v>0</v>
      </c>
      <c r="B1417" s="334" t="e">
        <v>#N/A</v>
      </c>
      <c r="E1417" s="440">
        <v>0</v>
      </c>
      <c r="F1417" s="333" t="e">
        <v>#N/A</v>
      </c>
      <c r="G1417" s="439"/>
      <c r="I1417" s="346" t="e">
        <v>#N/A</v>
      </c>
      <c r="L1417" s="346" t="s">
        <v>932</v>
      </c>
    </row>
    <row r="1418" hidden="1" spans="1:12">
      <c r="A1418" s="401">
        <v>0</v>
      </c>
      <c r="B1418" s="334" t="e">
        <v>#N/A</v>
      </c>
      <c r="E1418" s="440">
        <v>0</v>
      </c>
      <c r="F1418" s="333" t="e">
        <v>#N/A</v>
      </c>
      <c r="G1418" s="439"/>
      <c r="I1418" s="346" t="e">
        <v>#N/A</v>
      </c>
      <c r="L1418" s="346" t="s">
        <v>932</v>
      </c>
    </row>
    <row r="1419" hidden="1" spans="1:12">
      <c r="A1419" s="421"/>
      <c r="B1419" s="422"/>
      <c r="C1419" s="422"/>
      <c r="D1419" s="422"/>
      <c r="E1419" s="422"/>
      <c r="F1419" s="422"/>
      <c r="G1419" s="422"/>
      <c r="H1419" s="422"/>
      <c r="I1419" s="430"/>
      <c r="J1419" s="430"/>
      <c r="K1419" s="425" t="s">
        <v>14206</v>
      </c>
      <c r="L1419" s="426">
        <v>0</v>
      </c>
    </row>
    <row r="1420" spans="1:12">
      <c r="A1420" s="421"/>
      <c r="B1420" s="422"/>
      <c r="C1420" s="422"/>
      <c r="D1420" s="422"/>
      <c r="E1420" s="422"/>
      <c r="F1420" s="422"/>
      <c r="G1420" s="422"/>
      <c r="H1420" s="422"/>
      <c r="I1420" s="430"/>
      <c r="J1420" s="430"/>
      <c r="K1420" s="425" t="s">
        <v>14207</v>
      </c>
      <c r="L1420" s="426">
        <v>14.8158825</v>
      </c>
    </row>
    <row r="1421" spans="1:12">
      <c r="A1421" s="428" t="s">
        <v>14208</v>
      </c>
      <c r="B1421" s="430"/>
      <c r="C1421" s="430"/>
      <c r="D1421" s="431" t="s">
        <v>55</v>
      </c>
      <c r="E1421" s="431" t="s">
        <v>74</v>
      </c>
      <c r="F1421" s="431" t="s">
        <v>1123</v>
      </c>
      <c r="G1421" s="430"/>
      <c r="H1421" s="430"/>
      <c r="I1421" s="425" t="s">
        <v>75</v>
      </c>
      <c r="J1421" s="430"/>
      <c r="K1421" s="430"/>
      <c r="L1421" s="426" t="s">
        <v>14194</v>
      </c>
    </row>
    <row r="1422" spans="1:12">
      <c r="A1422" s="404" t="s">
        <v>14263</v>
      </c>
      <c r="B1422" s="441" t="s">
        <v>14264</v>
      </c>
      <c r="C1422" s="441"/>
      <c r="D1422" s="442">
        <v>5914655</v>
      </c>
      <c r="E1422" s="434">
        <v>0.0011</v>
      </c>
      <c r="F1422" s="333" t="s">
        <v>9885</v>
      </c>
      <c r="G1422" s="443" t="s">
        <v>14209</v>
      </c>
      <c r="H1422" s="334"/>
      <c r="I1422" s="346">
        <v>35.43</v>
      </c>
      <c r="J1422" s="334"/>
      <c r="K1422" s="346"/>
      <c r="L1422" s="346">
        <v>0.038973</v>
      </c>
    </row>
    <row r="1423" spans="1:12">
      <c r="A1423" s="404" t="s">
        <v>14220</v>
      </c>
      <c r="B1423" s="334" t="s">
        <v>14221</v>
      </c>
      <c r="C1423" s="334"/>
      <c r="D1423" s="442">
        <v>5914655</v>
      </c>
      <c r="E1423" s="434">
        <v>2e-5</v>
      </c>
      <c r="F1423" s="333" t="s">
        <v>9885</v>
      </c>
      <c r="G1423" s="334"/>
      <c r="H1423" s="334"/>
      <c r="I1423" s="346">
        <v>35.43</v>
      </c>
      <c r="J1423" s="334"/>
      <c r="K1423" s="346"/>
      <c r="L1423" s="346">
        <v>0.0007086</v>
      </c>
    </row>
    <row r="1424" hidden="1" spans="1:12">
      <c r="A1424" s="404">
        <v>0</v>
      </c>
      <c r="B1424" s="334" t="e">
        <v>#N/A</v>
      </c>
      <c r="C1424" s="334"/>
      <c r="D1424" s="442">
        <v>0</v>
      </c>
      <c r="E1424" s="434">
        <v>0</v>
      </c>
      <c r="F1424" s="333" t="s">
        <v>9885</v>
      </c>
      <c r="G1424" s="334"/>
      <c r="H1424" s="334"/>
      <c r="I1424" s="346">
        <v>0</v>
      </c>
      <c r="J1424" s="334"/>
      <c r="K1424" s="346"/>
      <c r="L1424" s="346" t="s">
        <v>932</v>
      </c>
    </row>
    <row r="1425" hidden="1" spans="1:12">
      <c r="A1425" s="404">
        <v>0</v>
      </c>
      <c r="B1425" s="334" t="e">
        <v>#N/A</v>
      </c>
      <c r="C1425" s="334"/>
      <c r="D1425" s="442">
        <v>0</v>
      </c>
      <c r="E1425" s="434">
        <v>0</v>
      </c>
      <c r="F1425" s="333" t="s">
        <v>9885</v>
      </c>
      <c r="G1425" s="334"/>
      <c r="H1425" s="334"/>
      <c r="I1425" s="346">
        <v>0</v>
      </c>
      <c r="J1425" s="334"/>
      <c r="K1425" s="346"/>
      <c r="L1425" s="346" t="s">
        <v>932</v>
      </c>
    </row>
    <row r="1426" hidden="1" spans="1:12">
      <c r="A1426" s="404">
        <v>0</v>
      </c>
      <c r="B1426" s="334" t="e">
        <v>#N/A</v>
      </c>
      <c r="C1426" s="334"/>
      <c r="D1426" s="442">
        <v>0</v>
      </c>
      <c r="E1426" s="434">
        <v>0</v>
      </c>
      <c r="F1426" s="333" t="s">
        <v>9885</v>
      </c>
      <c r="G1426" s="334"/>
      <c r="H1426" s="334"/>
      <c r="I1426" s="346">
        <v>0</v>
      </c>
      <c r="J1426" s="334"/>
      <c r="K1426" s="346"/>
      <c r="L1426" s="346" t="s">
        <v>932</v>
      </c>
    </row>
    <row r="1427" hidden="1" spans="1:12">
      <c r="A1427" s="404">
        <v>0</v>
      </c>
      <c r="B1427" s="334" t="e">
        <v>#N/A</v>
      </c>
      <c r="C1427" s="334"/>
      <c r="D1427" s="442">
        <v>0</v>
      </c>
      <c r="E1427" s="434">
        <v>0</v>
      </c>
      <c r="F1427" s="333" t="s">
        <v>9885</v>
      </c>
      <c r="G1427" s="334"/>
      <c r="H1427" s="334"/>
      <c r="I1427" s="346">
        <v>0</v>
      </c>
      <c r="J1427" s="334"/>
      <c r="K1427" s="346"/>
      <c r="L1427" s="346" t="s">
        <v>932</v>
      </c>
    </row>
    <row r="1428" hidden="1" spans="1:12">
      <c r="A1428" s="404">
        <v>0</v>
      </c>
      <c r="B1428" s="334" t="e">
        <v>#N/A</v>
      </c>
      <c r="C1428" s="334"/>
      <c r="D1428" s="442">
        <v>0</v>
      </c>
      <c r="E1428" s="434">
        <v>0</v>
      </c>
      <c r="F1428" s="333" t="s">
        <v>9885</v>
      </c>
      <c r="G1428" s="334"/>
      <c r="H1428" s="334"/>
      <c r="I1428" s="346">
        <v>0</v>
      </c>
      <c r="J1428" s="334"/>
      <c r="K1428" s="346"/>
      <c r="L1428" s="346" t="s">
        <v>932</v>
      </c>
    </row>
    <row r="1429" hidden="1" spans="1:12">
      <c r="A1429" s="404">
        <v>0</v>
      </c>
      <c r="B1429" s="444" t="e">
        <v>#N/A</v>
      </c>
      <c r="C1429" s="444"/>
      <c r="D1429" s="442">
        <v>0</v>
      </c>
      <c r="E1429" s="434">
        <v>0</v>
      </c>
      <c r="F1429" s="333" t="s">
        <v>9885</v>
      </c>
      <c r="G1429" s="334"/>
      <c r="H1429" s="334"/>
      <c r="I1429" s="346">
        <v>0</v>
      </c>
      <c r="J1429" s="334"/>
      <c r="K1429" s="346"/>
      <c r="L1429" s="346" t="s">
        <v>932</v>
      </c>
    </row>
    <row r="1430" spans="1:12">
      <c r="A1430" s="428"/>
      <c r="B1430" s="445"/>
      <c r="C1430" s="445"/>
      <c r="D1430" s="430"/>
      <c r="E1430" s="430"/>
      <c r="F1430" s="430"/>
      <c r="G1430" s="430"/>
      <c r="H1430" s="430"/>
      <c r="I1430" s="430"/>
      <c r="J1430" s="430"/>
      <c r="K1430" s="425" t="s">
        <v>14210</v>
      </c>
      <c r="L1430" s="426">
        <v>0.0396816</v>
      </c>
    </row>
    <row r="1431" hidden="1" spans="1:12">
      <c r="A1431" s="446" t="s">
        <v>14211</v>
      </c>
      <c r="B1431" s="445"/>
      <c r="C1431" s="445"/>
      <c r="D1431" s="447" t="s">
        <v>55</v>
      </c>
      <c r="E1431" s="445" t="s">
        <v>74</v>
      </c>
      <c r="F1431" s="447" t="s">
        <v>1123</v>
      </c>
      <c r="G1431" s="445"/>
      <c r="H1431" s="447" t="s">
        <v>72</v>
      </c>
      <c r="I1431" s="447" t="s">
        <v>75</v>
      </c>
      <c r="J1431" s="445"/>
      <c r="K1431" s="448"/>
      <c r="L1431" s="449" t="s">
        <v>14194</v>
      </c>
    </row>
    <row r="1432" hidden="1" spans="1:12">
      <c r="A1432" s="404" t="s">
        <v>14263</v>
      </c>
      <c r="B1432" s="433" t="s">
        <v>14264</v>
      </c>
      <c r="C1432" s="433"/>
      <c r="D1432" s="442">
        <v>5914449</v>
      </c>
      <c r="E1432" s="450">
        <v>0.0011</v>
      </c>
      <c r="F1432" s="333" t="s">
        <v>13063</v>
      </c>
      <c r="G1432" s="333" t="s">
        <v>14212</v>
      </c>
      <c r="H1432" s="346">
        <v>0</v>
      </c>
      <c r="I1432" s="346">
        <v>1.11</v>
      </c>
      <c r="J1432" s="346"/>
      <c r="K1432" s="334"/>
      <c r="L1432" s="346">
        <v>0</v>
      </c>
    </row>
    <row r="1433" hidden="1" spans="1:12">
      <c r="A1433" s="404"/>
      <c r="B1433" s="404"/>
      <c r="C1433" s="334"/>
      <c r="D1433" s="442">
        <v>5914464</v>
      </c>
      <c r="E1433" s="450">
        <v>0.0011</v>
      </c>
      <c r="F1433" s="333" t="s">
        <v>13063</v>
      </c>
      <c r="G1433" s="333" t="s">
        <v>14213</v>
      </c>
      <c r="H1433" s="346">
        <v>0</v>
      </c>
      <c r="I1433" s="346">
        <v>0.89</v>
      </c>
      <c r="J1433" s="346"/>
      <c r="K1433" s="334"/>
      <c r="L1433" s="346">
        <v>0</v>
      </c>
    </row>
    <row r="1434" hidden="1" spans="1:12">
      <c r="A1434" s="404"/>
      <c r="B1434" s="404"/>
      <c r="C1434" s="334"/>
      <c r="D1434" s="442">
        <v>5914479</v>
      </c>
      <c r="E1434" s="450">
        <v>0.0011</v>
      </c>
      <c r="F1434" s="333" t="s">
        <v>13063</v>
      </c>
      <c r="G1434" s="333" t="s">
        <v>14214</v>
      </c>
      <c r="H1434" s="346">
        <v>0</v>
      </c>
      <c r="I1434" s="346">
        <v>0.73</v>
      </c>
      <c r="J1434" s="346"/>
      <c r="K1434" s="334"/>
      <c r="L1434" s="346">
        <v>0</v>
      </c>
    </row>
    <row r="1435" hidden="1" spans="1:12">
      <c r="A1435" s="404" t="s">
        <v>14220</v>
      </c>
      <c r="B1435" s="404" t="s">
        <v>14221</v>
      </c>
      <c r="C1435" s="404"/>
      <c r="D1435" s="442">
        <v>5914449</v>
      </c>
      <c r="E1435" s="450">
        <v>2e-5</v>
      </c>
      <c r="F1435" s="333" t="s">
        <v>13063</v>
      </c>
      <c r="G1435" s="333" t="s">
        <v>14212</v>
      </c>
      <c r="H1435" s="346">
        <v>0</v>
      </c>
      <c r="I1435" s="346">
        <v>1.11</v>
      </c>
      <c r="J1435" s="346"/>
      <c r="K1435" s="334"/>
      <c r="L1435" s="346">
        <v>0</v>
      </c>
    </row>
    <row r="1436" hidden="1" spans="1:12">
      <c r="A1436" s="404"/>
      <c r="B1436" s="404"/>
      <c r="C1436" s="334"/>
      <c r="D1436" s="442">
        <v>5914464</v>
      </c>
      <c r="E1436" s="450">
        <v>2e-5</v>
      </c>
      <c r="F1436" s="333" t="s">
        <v>13063</v>
      </c>
      <c r="G1436" s="333" t="s">
        <v>14213</v>
      </c>
      <c r="H1436" s="346">
        <v>0</v>
      </c>
      <c r="I1436" s="346">
        <v>0.89</v>
      </c>
      <c r="J1436" s="346"/>
      <c r="K1436" s="334"/>
      <c r="L1436" s="346">
        <v>0</v>
      </c>
    </row>
    <row r="1437" hidden="1" spans="1:12">
      <c r="A1437" s="404"/>
      <c r="B1437" s="404"/>
      <c r="C1437" s="334"/>
      <c r="D1437" s="442">
        <v>5914479</v>
      </c>
      <c r="E1437" s="450">
        <v>2e-5</v>
      </c>
      <c r="F1437" s="333" t="s">
        <v>13063</v>
      </c>
      <c r="G1437" s="333" t="s">
        <v>14214</v>
      </c>
      <c r="H1437" s="346">
        <v>0</v>
      </c>
      <c r="I1437" s="346">
        <v>0.73</v>
      </c>
      <c r="J1437" s="346"/>
      <c r="K1437" s="334"/>
      <c r="L1437" s="346">
        <v>0</v>
      </c>
    </row>
    <row r="1438" hidden="1" spans="1:12">
      <c r="A1438" s="404">
        <v>0</v>
      </c>
      <c r="B1438" s="404" t="e">
        <v>#N/A</v>
      </c>
      <c r="C1438" s="404"/>
      <c r="D1438" s="442">
        <v>0</v>
      </c>
      <c r="E1438" s="450">
        <v>0</v>
      </c>
      <c r="F1438" s="333" t="s">
        <v>13063</v>
      </c>
      <c r="G1438" s="333" t="s">
        <v>14212</v>
      </c>
      <c r="H1438" s="346">
        <v>0</v>
      </c>
      <c r="I1438" s="346">
        <v>0</v>
      </c>
      <c r="J1438" s="346"/>
      <c r="K1438" s="334"/>
      <c r="L1438" s="346" t="s">
        <v>932</v>
      </c>
    </row>
    <row r="1439" hidden="1" spans="1:12">
      <c r="A1439" s="404"/>
      <c r="B1439" s="404"/>
      <c r="C1439" s="334"/>
      <c r="D1439" s="442">
        <v>0</v>
      </c>
      <c r="E1439" s="450">
        <v>0</v>
      </c>
      <c r="F1439" s="333" t="s">
        <v>13063</v>
      </c>
      <c r="G1439" s="333" t="s">
        <v>14213</v>
      </c>
      <c r="H1439" s="346">
        <v>0</v>
      </c>
      <c r="I1439" s="346">
        <v>0</v>
      </c>
      <c r="J1439" s="346"/>
      <c r="K1439" s="334"/>
      <c r="L1439" s="346" t="s">
        <v>932</v>
      </c>
    </row>
    <row r="1440" hidden="1" spans="1:12">
      <c r="A1440" s="404"/>
      <c r="B1440" s="404"/>
      <c r="C1440" s="334"/>
      <c r="D1440" s="442">
        <v>0</v>
      </c>
      <c r="E1440" s="450">
        <v>0</v>
      </c>
      <c r="F1440" s="333" t="s">
        <v>13063</v>
      </c>
      <c r="G1440" s="333" t="s">
        <v>14214</v>
      </c>
      <c r="H1440" s="346">
        <v>0</v>
      </c>
      <c r="I1440" s="346">
        <v>0</v>
      </c>
      <c r="J1440" s="346"/>
      <c r="K1440" s="334"/>
      <c r="L1440" s="346" t="s">
        <v>932</v>
      </c>
    </row>
    <row r="1441" hidden="1" spans="1:12">
      <c r="A1441" s="404">
        <v>0</v>
      </c>
      <c r="B1441" s="404" t="e">
        <v>#N/A</v>
      </c>
      <c r="C1441" s="404"/>
      <c r="D1441" s="442">
        <v>0</v>
      </c>
      <c r="E1441" s="450">
        <v>0</v>
      </c>
      <c r="F1441" s="333" t="s">
        <v>13063</v>
      </c>
      <c r="G1441" s="333" t="s">
        <v>14212</v>
      </c>
      <c r="H1441" s="346">
        <v>0</v>
      </c>
      <c r="I1441" s="346">
        <v>0</v>
      </c>
      <c r="J1441" s="346"/>
      <c r="K1441" s="334"/>
      <c r="L1441" s="346" t="s">
        <v>932</v>
      </c>
    </row>
    <row r="1442" hidden="1" spans="1:12">
      <c r="A1442" s="404"/>
      <c r="B1442" s="404"/>
      <c r="C1442" s="334"/>
      <c r="D1442" s="442">
        <v>0</v>
      </c>
      <c r="E1442" s="450">
        <v>0</v>
      </c>
      <c r="F1442" s="333" t="s">
        <v>13063</v>
      </c>
      <c r="G1442" s="333" t="s">
        <v>14213</v>
      </c>
      <c r="H1442" s="346">
        <v>0</v>
      </c>
      <c r="I1442" s="346">
        <v>0</v>
      </c>
      <c r="J1442" s="346"/>
      <c r="K1442" s="334"/>
      <c r="L1442" s="346" t="s">
        <v>932</v>
      </c>
    </row>
    <row r="1443" hidden="1" spans="1:12">
      <c r="A1443" s="404"/>
      <c r="B1443" s="404"/>
      <c r="C1443" s="334"/>
      <c r="D1443" s="442">
        <v>0</v>
      </c>
      <c r="E1443" s="450">
        <v>0</v>
      </c>
      <c r="F1443" s="333" t="s">
        <v>13063</v>
      </c>
      <c r="G1443" s="333" t="s">
        <v>14214</v>
      </c>
      <c r="H1443" s="346">
        <v>0</v>
      </c>
      <c r="I1443" s="346">
        <v>0</v>
      </c>
      <c r="J1443" s="346"/>
      <c r="K1443" s="334"/>
      <c r="L1443" s="346" t="s">
        <v>932</v>
      </c>
    </row>
    <row r="1444" hidden="1" spans="1:12">
      <c r="A1444" s="404">
        <v>0</v>
      </c>
      <c r="B1444" s="404" t="e">
        <v>#N/A</v>
      </c>
      <c r="C1444" s="404"/>
      <c r="D1444" s="442">
        <v>0</v>
      </c>
      <c r="E1444" s="450">
        <v>0</v>
      </c>
      <c r="F1444" s="333" t="s">
        <v>13063</v>
      </c>
      <c r="G1444" s="333" t="s">
        <v>14212</v>
      </c>
      <c r="H1444" s="346">
        <v>0</v>
      </c>
      <c r="I1444" s="346">
        <v>0</v>
      </c>
      <c r="J1444" s="346"/>
      <c r="K1444" s="334"/>
      <c r="L1444" s="346" t="s">
        <v>932</v>
      </c>
    </row>
    <row r="1445" hidden="1" spans="1:12">
      <c r="A1445" s="404"/>
      <c r="B1445" s="404"/>
      <c r="C1445" s="334"/>
      <c r="D1445" s="442">
        <v>0</v>
      </c>
      <c r="E1445" s="450">
        <v>0</v>
      </c>
      <c r="F1445" s="333" t="s">
        <v>13063</v>
      </c>
      <c r="G1445" s="333" t="s">
        <v>14213</v>
      </c>
      <c r="H1445" s="346">
        <v>0</v>
      </c>
      <c r="I1445" s="346">
        <v>0</v>
      </c>
      <c r="J1445" s="346"/>
      <c r="K1445" s="334"/>
      <c r="L1445" s="346" t="s">
        <v>932</v>
      </c>
    </row>
    <row r="1446" hidden="1" spans="1:12">
      <c r="A1446" s="404"/>
      <c r="B1446" s="404"/>
      <c r="C1446" s="334"/>
      <c r="D1446" s="442">
        <v>0</v>
      </c>
      <c r="E1446" s="450">
        <v>0</v>
      </c>
      <c r="F1446" s="333" t="s">
        <v>13063</v>
      </c>
      <c r="G1446" s="333" t="s">
        <v>14214</v>
      </c>
      <c r="H1446" s="346">
        <v>0</v>
      </c>
      <c r="I1446" s="346">
        <v>0</v>
      </c>
      <c r="J1446" s="346"/>
      <c r="K1446" s="334"/>
      <c r="L1446" s="346" t="s">
        <v>932</v>
      </c>
    </row>
    <row r="1447" hidden="1" spans="1:12">
      <c r="A1447" s="401">
        <v>0</v>
      </c>
      <c r="B1447" s="401" t="e">
        <v>#N/A</v>
      </c>
      <c r="C1447" s="401"/>
      <c r="D1447" s="442">
        <v>0</v>
      </c>
      <c r="E1447" s="450">
        <v>0</v>
      </c>
      <c r="F1447" s="439" t="s">
        <v>13063</v>
      </c>
      <c r="G1447" s="439" t="s">
        <v>14212</v>
      </c>
      <c r="H1447" s="346">
        <v>0</v>
      </c>
      <c r="I1447" s="346">
        <v>0</v>
      </c>
      <c r="J1447" s="395"/>
      <c r="L1447" s="346" t="s">
        <v>932</v>
      </c>
    </row>
    <row r="1448" hidden="1" spans="1:12">
      <c r="A1448" s="401"/>
      <c r="B1448" s="401"/>
      <c r="D1448" s="442">
        <v>0</v>
      </c>
      <c r="E1448" s="450">
        <v>0</v>
      </c>
      <c r="F1448" s="439" t="s">
        <v>13063</v>
      </c>
      <c r="G1448" s="439" t="s">
        <v>14213</v>
      </c>
      <c r="H1448" s="346">
        <v>0</v>
      </c>
      <c r="I1448" s="346">
        <v>0</v>
      </c>
      <c r="J1448" s="395"/>
      <c r="L1448" s="346" t="s">
        <v>932</v>
      </c>
    </row>
    <row r="1449" hidden="1" spans="1:12">
      <c r="A1449" s="401"/>
      <c r="B1449" s="401"/>
      <c r="D1449" s="442">
        <v>0</v>
      </c>
      <c r="E1449" s="450">
        <v>0</v>
      </c>
      <c r="F1449" s="439" t="s">
        <v>13063</v>
      </c>
      <c r="G1449" s="439" t="s">
        <v>14214</v>
      </c>
      <c r="H1449" s="346">
        <v>0</v>
      </c>
      <c r="I1449" s="346">
        <v>0</v>
      </c>
      <c r="J1449" s="395"/>
      <c r="L1449" s="346" t="s">
        <v>932</v>
      </c>
    </row>
    <row r="1450" hidden="1" spans="1:12">
      <c r="A1450" s="401">
        <v>0</v>
      </c>
      <c r="B1450" s="401" t="e">
        <v>#N/A</v>
      </c>
      <c r="C1450" s="401"/>
      <c r="D1450" s="442">
        <v>0</v>
      </c>
      <c r="E1450" s="450">
        <v>0</v>
      </c>
      <c r="F1450" s="439" t="s">
        <v>13063</v>
      </c>
      <c r="G1450" s="439" t="s">
        <v>14212</v>
      </c>
      <c r="H1450" s="346">
        <v>0</v>
      </c>
      <c r="I1450" s="346">
        <v>0</v>
      </c>
      <c r="J1450" s="395"/>
      <c r="L1450" s="346" t="s">
        <v>932</v>
      </c>
    </row>
    <row r="1451" hidden="1" spans="1:12">
      <c r="A1451" s="401"/>
      <c r="B1451" s="401"/>
      <c r="D1451" s="442">
        <v>0</v>
      </c>
      <c r="E1451" s="450">
        <v>0</v>
      </c>
      <c r="F1451" s="439" t="s">
        <v>13063</v>
      </c>
      <c r="G1451" s="439" t="s">
        <v>14213</v>
      </c>
      <c r="H1451" s="346">
        <v>0</v>
      </c>
      <c r="I1451" s="346">
        <v>0</v>
      </c>
      <c r="J1451" s="395"/>
      <c r="L1451" s="346" t="s">
        <v>932</v>
      </c>
    </row>
    <row r="1452" hidden="1" spans="1:12">
      <c r="A1452" s="401"/>
      <c r="B1452" s="401"/>
      <c r="D1452" s="442">
        <v>0</v>
      </c>
      <c r="E1452" s="450">
        <v>0</v>
      </c>
      <c r="F1452" s="439" t="s">
        <v>13063</v>
      </c>
      <c r="G1452" s="439" t="s">
        <v>14214</v>
      </c>
      <c r="H1452" s="346">
        <v>0</v>
      </c>
      <c r="I1452" s="346">
        <v>0</v>
      </c>
      <c r="J1452" s="395"/>
      <c r="L1452" s="346" t="s">
        <v>932</v>
      </c>
    </row>
    <row r="1453" hidden="1" spans="1:12">
      <c r="A1453" s="401">
        <v>0</v>
      </c>
      <c r="B1453" s="401" t="e">
        <v>#N/A</v>
      </c>
      <c r="C1453" s="401"/>
      <c r="D1453" s="442">
        <v>0</v>
      </c>
      <c r="E1453" s="450">
        <v>0</v>
      </c>
      <c r="F1453" s="439" t="s">
        <v>13063</v>
      </c>
      <c r="G1453" s="439" t="s">
        <v>14212</v>
      </c>
      <c r="H1453" s="346">
        <v>0</v>
      </c>
      <c r="I1453" s="346">
        <v>0</v>
      </c>
      <c r="J1453" s="395"/>
      <c r="L1453" s="346" t="s">
        <v>932</v>
      </c>
    </row>
    <row r="1454" hidden="1" spans="1:12">
      <c r="A1454" s="401"/>
      <c r="B1454" s="401"/>
      <c r="D1454" s="442">
        <v>0</v>
      </c>
      <c r="E1454" s="450">
        <v>0</v>
      </c>
      <c r="F1454" s="439" t="s">
        <v>13063</v>
      </c>
      <c r="G1454" s="439" t="s">
        <v>14213</v>
      </c>
      <c r="H1454" s="346">
        <v>0</v>
      </c>
      <c r="I1454" s="346">
        <v>0</v>
      </c>
      <c r="J1454" s="395"/>
      <c r="L1454" s="346" t="s">
        <v>932</v>
      </c>
    </row>
    <row r="1455" hidden="1" spans="1:12">
      <c r="A1455" s="401"/>
      <c r="B1455" s="401"/>
      <c r="D1455" s="442">
        <v>0</v>
      </c>
      <c r="E1455" s="450">
        <v>0</v>
      </c>
      <c r="F1455" s="439" t="s">
        <v>13063</v>
      </c>
      <c r="G1455" s="439" t="s">
        <v>14214</v>
      </c>
      <c r="H1455" s="346">
        <v>0</v>
      </c>
      <c r="I1455" s="346">
        <v>0</v>
      </c>
      <c r="J1455" s="395"/>
      <c r="L1455" s="346" t="s">
        <v>932</v>
      </c>
    </row>
    <row r="1456" hidden="1" spans="1:12">
      <c r="A1456" s="421"/>
      <c r="B1456" s="422"/>
      <c r="C1456" s="422"/>
      <c r="D1456" s="422"/>
      <c r="E1456" s="422"/>
      <c r="F1456" s="422"/>
      <c r="G1456" s="422"/>
      <c r="H1456" s="422"/>
      <c r="I1456" s="430"/>
      <c r="J1456" s="430"/>
      <c r="K1456" s="425" t="s">
        <v>14215</v>
      </c>
      <c r="L1456" s="426">
        <v>0</v>
      </c>
    </row>
    <row r="1457" spans="1:14">
      <c r="A1457" s="451"/>
      <c r="B1457" s="452"/>
      <c r="C1457" s="452"/>
      <c r="D1457" s="452"/>
      <c r="E1457" s="452"/>
      <c r="F1457" s="452"/>
      <c r="G1457" s="452"/>
      <c r="H1457" s="452"/>
      <c r="I1457" s="453"/>
      <c r="J1457" s="453"/>
      <c r="K1457" s="454" t="s">
        <v>14216</v>
      </c>
      <c r="L1457" s="455">
        <v>14.86</v>
      </c>
    </row>
    <row r="1459" spans="1:14">
      <c r="A1459" s="391" t="s">
        <v>14172</v>
      </c>
      <c r="B1459" s="472"/>
      <c r="C1459" s="472"/>
      <c r="D1459" s="472"/>
      <c r="E1459" s="472"/>
      <c r="F1459" s="472"/>
      <c r="G1459" s="393"/>
      <c r="H1459" s="393"/>
      <c r="I1459" s="393"/>
      <c r="J1459" s="393"/>
      <c r="K1459" s="393"/>
      <c r="L1459" s="471"/>
    </row>
    <row r="1460" spans="1:14">
      <c r="A1460" s="473">
        <v>4507956</v>
      </c>
      <c r="B1460" s="397" t="s">
        <v>130</v>
      </c>
      <c r="C1460" s="397"/>
      <c r="D1460" s="397"/>
      <c r="E1460" s="397"/>
      <c r="F1460" s="397"/>
      <c r="G1460" s="397"/>
      <c r="H1460" s="397" t="s">
        <v>101</v>
      </c>
      <c r="I1460" s="398">
        <v>46023</v>
      </c>
      <c r="J1460" s="397"/>
      <c r="K1460" s="399" t="s">
        <v>14173</v>
      </c>
      <c r="L1460" s="400">
        <v>0</v>
      </c>
    </row>
    <row r="1461" spans="1:14">
      <c r="A1461" s="401"/>
      <c r="H1461" s="402" t="s">
        <v>14174</v>
      </c>
      <c r="I1461" s="434">
        <v>784.86</v>
      </c>
      <c r="J1461" s="404" t="s">
        <v>101</v>
      </c>
      <c r="K1461" s="402" t="s">
        <v>14175</v>
      </c>
      <c r="L1461" s="456">
        <v>0.03632</v>
      </c>
    </row>
    <row r="1462" spans="1:14">
      <c r="A1462" s="405"/>
      <c r="B1462" s="405"/>
      <c r="C1462" s="405"/>
      <c r="D1462" s="406"/>
      <c r="E1462" s="406"/>
      <c r="F1462" s="406"/>
      <c r="G1462" s="407" t="s">
        <v>14176</v>
      </c>
      <c r="H1462" s="408"/>
      <c r="I1462" s="407" t="s">
        <v>14177</v>
      </c>
      <c r="J1462" s="408"/>
      <c r="K1462" s="405"/>
      <c r="L1462" s="409" t="s">
        <v>14178</v>
      </c>
    </row>
    <row r="1463" spans="1:14">
      <c r="A1463" s="410" t="s">
        <v>14179</v>
      </c>
      <c r="B1463" s="411"/>
      <c r="C1463" s="412"/>
      <c r="D1463" s="412"/>
      <c r="E1463" s="413" t="s">
        <v>74</v>
      </c>
      <c r="F1463" s="412"/>
      <c r="G1463" s="413" t="s">
        <v>14180</v>
      </c>
      <c r="H1463" s="413" t="s">
        <v>14181</v>
      </c>
      <c r="I1463" s="413" t="s">
        <v>14182</v>
      </c>
      <c r="J1463" s="413" t="s">
        <v>14183</v>
      </c>
      <c r="K1463" s="411"/>
      <c r="L1463" s="414" t="s">
        <v>14184</v>
      </c>
    </row>
    <row r="1464" spans="1:14">
      <c r="A1464" s="404" t="s">
        <v>1064</v>
      </c>
      <c r="B1464" s="415" t="s">
        <v>1065</v>
      </c>
      <c r="C1464" s="415"/>
      <c r="E1464" s="416">
        <v>1</v>
      </c>
      <c r="F1464" s="334"/>
      <c r="G1464" s="346">
        <v>0.6</v>
      </c>
      <c r="H1464" s="417">
        <v>0.4</v>
      </c>
      <c r="I1464" s="395">
        <v>10.9938</v>
      </c>
      <c r="J1464" s="418">
        <v>0.7118</v>
      </c>
      <c r="K1464" s="402"/>
      <c r="L1464" s="395">
        <v>6.881</v>
      </c>
      <c r="N1464" s="395">
        <v>0.7118</v>
      </c>
    </row>
    <row r="1465" spans="1:14">
      <c r="A1465" s="404" t="s">
        <v>1082</v>
      </c>
      <c r="B1465" s="404" t="s">
        <v>1083</v>
      </c>
      <c r="C1465" s="404"/>
      <c r="D1465" s="334"/>
      <c r="E1465" s="416">
        <v>1</v>
      </c>
      <c r="F1465" s="334"/>
      <c r="G1465" s="346">
        <v>0.6</v>
      </c>
      <c r="H1465" s="417">
        <v>0.4</v>
      </c>
      <c r="I1465" s="346">
        <v>0.1953</v>
      </c>
      <c r="J1465" s="419">
        <v>0.1337</v>
      </c>
      <c r="K1465" s="420"/>
      <c r="L1465" s="395">
        <v>0.17066</v>
      </c>
      <c r="N1465" s="395">
        <v>0.1337</v>
      </c>
    </row>
    <row r="1466" hidden="1" spans="1:14">
      <c r="A1466" s="404">
        <v>0</v>
      </c>
      <c r="B1466" s="404" t="e">
        <v>#N/A</v>
      </c>
      <c r="C1466" s="404"/>
      <c r="D1466" s="334"/>
      <c r="E1466" s="416">
        <v>0</v>
      </c>
      <c r="F1466" s="334"/>
      <c r="G1466" s="346">
        <v>0</v>
      </c>
      <c r="H1466" s="417">
        <v>1</v>
      </c>
      <c r="I1466" s="346" t="e">
        <v>#N/A</v>
      </c>
      <c r="J1466" s="419" t="e">
        <v>#N/A</v>
      </c>
      <c r="K1466" s="420"/>
      <c r="L1466" s="395" t="s">
        <v>932</v>
      </c>
      <c r="N1466" s="395" t="s">
        <v>932</v>
      </c>
    </row>
    <row r="1467" hidden="1" spans="1:14">
      <c r="A1467" s="404">
        <v>0</v>
      </c>
      <c r="B1467" s="404" t="e">
        <v>#N/A</v>
      </c>
      <c r="C1467" s="404"/>
      <c r="D1467" s="334"/>
      <c r="E1467" s="416">
        <v>0</v>
      </c>
      <c r="F1467" s="334"/>
      <c r="G1467" s="346">
        <v>0</v>
      </c>
      <c r="H1467" s="417">
        <v>1</v>
      </c>
      <c r="I1467" s="346" t="e">
        <v>#N/A</v>
      </c>
      <c r="J1467" s="419" t="e">
        <v>#N/A</v>
      </c>
      <c r="K1467" s="420"/>
      <c r="L1467" s="395" t="s">
        <v>932</v>
      </c>
      <c r="N1467" s="395" t="s">
        <v>932</v>
      </c>
    </row>
    <row r="1468" hidden="1" spans="1:14">
      <c r="A1468" s="404">
        <v>0</v>
      </c>
      <c r="B1468" s="404" t="e">
        <v>#N/A</v>
      </c>
      <c r="C1468" s="404"/>
      <c r="D1468" s="334"/>
      <c r="E1468" s="416">
        <v>0</v>
      </c>
      <c r="F1468" s="334"/>
      <c r="G1468" s="346">
        <v>0</v>
      </c>
      <c r="H1468" s="417">
        <v>1</v>
      </c>
      <c r="I1468" s="346" t="e">
        <v>#N/A</v>
      </c>
      <c r="J1468" s="419" t="e">
        <v>#N/A</v>
      </c>
      <c r="K1468" s="420"/>
      <c r="L1468" s="395" t="s">
        <v>932</v>
      </c>
      <c r="N1468" s="395" t="s">
        <v>932</v>
      </c>
    </row>
    <row r="1469" hidden="1" spans="1:14">
      <c r="A1469" s="404">
        <v>0</v>
      </c>
      <c r="B1469" s="404" t="e">
        <v>#N/A</v>
      </c>
      <c r="C1469" s="404"/>
      <c r="D1469" s="334"/>
      <c r="E1469" s="416">
        <v>0</v>
      </c>
      <c r="F1469" s="334"/>
      <c r="G1469" s="346">
        <v>0</v>
      </c>
      <c r="H1469" s="417">
        <v>1</v>
      </c>
      <c r="I1469" s="346" t="e">
        <v>#N/A</v>
      </c>
      <c r="J1469" s="419" t="e">
        <v>#N/A</v>
      </c>
      <c r="K1469" s="420"/>
      <c r="L1469" s="395" t="s">
        <v>932</v>
      </c>
      <c r="N1469" s="395" t="s">
        <v>932</v>
      </c>
    </row>
    <row r="1470" hidden="1" spans="1:14">
      <c r="A1470" s="404">
        <v>0</v>
      </c>
      <c r="B1470" s="404" t="e">
        <v>#N/A</v>
      </c>
      <c r="C1470" s="404"/>
      <c r="D1470" s="334"/>
      <c r="E1470" s="416">
        <v>0</v>
      </c>
      <c r="F1470" s="334"/>
      <c r="G1470" s="346">
        <v>0</v>
      </c>
      <c r="H1470" s="417">
        <v>1</v>
      </c>
      <c r="I1470" s="346" t="e">
        <v>#N/A</v>
      </c>
      <c r="J1470" s="419" t="e">
        <v>#N/A</v>
      </c>
      <c r="K1470" s="420"/>
      <c r="L1470" s="395" t="s">
        <v>932</v>
      </c>
      <c r="N1470" s="395" t="s">
        <v>932</v>
      </c>
    </row>
    <row r="1471" hidden="1" spans="1:14">
      <c r="A1471" s="404">
        <v>0</v>
      </c>
      <c r="B1471" s="404" t="e">
        <v>#N/A</v>
      </c>
      <c r="C1471" s="404"/>
      <c r="D1471" s="334"/>
      <c r="E1471" s="416">
        <v>0</v>
      </c>
      <c r="F1471" s="334"/>
      <c r="G1471" s="346">
        <v>0</v>
      </c>
      <c r="H1471" s="417">
        <v>1</v>
      </c>
      <c r="I1471" s="346" t="e">
        <v>#N/A</v>
      </c>
      <c r="J1471" s="419" t="e">
        <v>#N/A</v>
      </c>
      <c r="K1471" s="420"/>
      <c r="L1471" s="395" t="s">
        <v>932</v>
      </c>
      <c r="N1471" s="395" t="s">
        <v>932</v>
      </c>
    </row>
    <row r="1472" spans="1:14">
      <c r="A1472" s="421"/>
      <c r="B1472" s="422"/>
      <c r="C1472" s="422"/>
      <c r="D1472" s="422"/>
      <c r="E1472" s="423"/>
      <c r="F1472" s="424"/>
      <c r="G1472" s="422"/>
      <c r="H1472" s="422"/>
      <c r="I1472" s="422"/>
      <c r="J1472" s="422"/>
      <c r="K1472" s="425" t="s">
        <v>14185</v>
      </c>
      <c r="L1472" s="426">
        <v>7.05166</v>
      </c>
      <c r="N1472" s="427">
        <v>0.8455</v>
      </c>
    </row>
    <row r="1473" spans="1:15">
      <c r="A1473" s="428" t="s">
        <v>14186</v>
      </c>
      <c r="B1473" s="429"/>
      <c r="C1473" s="429"/>
      <c r="D1473" s="430"/>
      <c r="E1473" s="431" t="s">
        <v>74</v>
      </c>
      <c r="F1473" s="431" t="s">
        <v>1123</v>
      </c>
      <c r="G1473" s="430"/>
      <c r="H1473" s="422"/>
      <c r="I1473" s="431" t="s">
        <v>14177</v>
      </c>
      <c r="J1473" s="430"/>
      <c r="K1473" s="430"/>
      <c r="L1473" s="432" t="s">
        <v>14187</v>
      </c>
    </row>
    <row r="1474" spans="1:15">
      <c r="A1474" s="404" t="s">
        <v>937</v>
      </c>
      <c r="B1474" s="433" t="s">
        <v>938</v>
      </c>
      <c r="C1474" s="433"/>
      <c r="D1474" s="334"/>
      <c r="E1474" s="434">
        <v>10</v>
      </c>
      <c r="F1474" s="333" t="s">
        <v>104</v>
      </c>
      <c r="G1474" s="334"/>
      <c r="H1474" s="334"/>
      <c r="I1474" s="435">
        <v>26.2149</v>
      </c>
      <c r="J1474" s="334"/>
      <c r="K1474" s="334"/>
      <c r="L1474" s="346">
        <v>262.149</v>
      </c>
      <c r="N1474" s="395">
        <v>262.149</v>
      </c>
    </row>
    <row r="1475" spans="1:15">
      <c r="A1475" s="404" t="s">
        <v>939</v>
      </c>
      <c r="B1475" s="404" t="s">
        <v>940</v>
      </c>
      <c r="C1475" s="404"/>
      <c r="D1475" s="334"/>
      <c r="E1475" s="434">
        <v>1</v>
      </c>
      <c r="F1475" s="333" t="s">
        <v>104</v>
      </c>
      <c r="G1475" s="334"/>
      <c r="H1475" s="334"/>
      <c r="I1475" s="435">
        <v>35.4472</v>
      </c>
      <c r="J1475" s="334"/>
      <c r="K1475" s="334"/>
      <c r="L1475" s="346">
        <v>35.4472</v>
      </c>
      <c r="N1475" s="395">
        <v>35.4472</v>
      </c>
    </row>
    <row r="1476" hidden="1" spans="1:15">
      <c r="A1476" s="404">
        <v>0</v>
      </c>
      <c r="B1476" s="404" t="e">
        <v>#N/A</v>
      </c>
      <c r="C1476" s="404"/>
      <c r="D1476" s="334"/>
      <c r="E1476" s="434">
        <v>0</v>
      </c>
      <c r="F1476" s="333" t="s">
        <v>104</v>
      </c>
      <c r="G1476" s="334"/>
      <c r="H1476" s="334"/>
      <c r="I1476" s="435" t="e">
        <v>#N/A</v>
      </c>
      <c r="J1476" s="334"/>
      <c r="K1476" s="334"/>
      <c r="L1476" s="346" t="s">
        <v>932</v>
      </c>
      <c r="N1476" s="395" t="s">
        <v>932</v>
      </c>
    </row>
    <row r="1477" hidden="1" spans="1:15">
      <c r="A1477" s="404">
        <v>0</v>
      </c>
      <c r="B1477" s="404" t="e">
        <v>#N/A</v>
      </c>
      <c r="C1477" s="404"/>
      <c r="D1477" s="334"/>
      <c r="E1477" s="434">
        <v>0</v>
      </c>
      <c r="F1477" s="333" t="s">
        <v>104</v>
      </c>
      <c r="G1477" s="334"/>
      <c r="H1477" s="334"/>
      <c r="I1477" s="435" t="e">
        <v>#N/A</v>
      </c>
      <c r="J1477" s="334"/>
      <c r="K1477" s="334"/>
      <c r="L1477" s="346" t="s">
        <v>932</v>
      </c>
      <c r="N1477" s="395" t="s">
        <v>932</v>
      </c>
    </row>
    <row r="1478" hidden="1" spans="1:15">
      <c r="A1478" s="404">
        <v>0</v>
      </c>
      <c r="B1478" s="404" t="e">
        <v>#N/A</v>
      </c>
      <c r="C1478" s="404"/>
      <c r="D1478" s="334"/>
      <c r="E1478" s="434">
        <v>0</v>
      </c>
      <c r="F1478" s="333" t="s">
        <v>104</v>
      </c>
      <c r="G1478" s="334"/>
      <c r="H1478" s="334"/>
      <c r="I1478" s="435" t="e">
        <v>#N/A</v>
      </c>
      <c r="J1478" s="334"/>
      <c r="K1478" s="334"/>
      <c r="L1478" s="346" t="s">
        <v>932</v>
      </c>
      <c r="N1478" s="395" t="s">
        <v>932</v>
      </c>
    </row>
    <row r="1479" hidden="1" spans="1:15">
      <c r="A1479" s="404">
        <v>0</v>
      </c>
      <c r="B1479" s="404" t="e">
        <v>#N/A</v>
      </c>
      <c r="C1479" s="404"/>
      <c r="D1479" s="334"/>
      <c r="E1479" s="434">
        <v>0</v>
      </c>
      <c r="F1479" s="333" t="s">
        <v>104</v>
      </c>
      <c r="G1479" s="334"/>
      <c r="H1479" s="334"/>
      <c r="I1479" s="435" t="e">
        <v>#N/A</v>
      </c>
      <c r="J1479" s="334"/>
      <c r="K1479" s="334"/>
      <c r="L1479" s="346" t="s">
        <v>932</v>
      </c>
      <c r="N1479" s="395" t="s">
        <v>932</v>
      </c>
    </row>
    <row r="1480" hidden="1" spans="1:15">
      <c r="A1480" s="404">
        <v>0</v>
      </c>
      <c r="B1480" s="404" t="e">
        <v>#N/A</v>
      </c>
      <c r="C1480" s="404"/>
      <c r="D1480" s="334"/>
      <c r="E1480" s="434">
        <v>0</v>
      </c>
      <c r="F1480" s="333" t="s">
        <v>104</v>
      </c>
      <c r="G1480" s="334"/>
      <c r="H1480" s="334"/>
      <c r="I1480" s="435" t="e">
        <v>#N/A</v>
      </c>
      <c r="J1480" s="334"/>
      <c r="K1480" s="334"/>
      <c r="L1480" s="346" t="s">
        <v>932</v>
      </c>
      <c r="N1480" s="395" t="s">
        <v>932</v>
      </c>
    </row>
    <row r="1481" hidden="1" spans="1:15">
      <c r="A1481" s="404">
        <v>0</v>
      </c>
      <c r="B1481" s="436" t="e">
        <v>#N/A</v>
      </c>
      <c r="C1481" s="436"/>
      <c r="D1481" s="334"/>
      <c r="E1481" s="434">
        <v>0</v>
      </c>
      <c r="F1481" s="333" t="s">
        <v>104</v>
      </c>
      <c r="G1481" s="334"/>
      <c r="H1481" s="334"/>
      <c r="I1481" s="435" t="e">
        <v>#N/A</v>
      </c>
      <c r="J1481" s="334"/>
      <c r="K1481" s="334"/>
      <c r="L1481" s="346" t="s">
        <v>932</v>
      </c>
      <c r="N1481" s="395" t="s">
        <v>932</v>
      </c>
    </row>
    <row r="1482" spans="1:15">
      <c r="A1482" s="421"/>
      <c r="B1482" s="62"/>
      <c r="C1482" s="62"/>
      <c r="D1482" s="422"/>
      <c r="E1482" s="423"/>
      <c r="F1482" s="424"/>
      <c r="G1482" s="422"/>
      <c r="H1482" s="422"/>
      <c r="I1482" s="422"/>
      <c r="J1482" s="422"/>
      <c r="K1482" s="425" t="s">
        <v>14188</v>
      </c>
      <c r="L1482" s="426">
        <v>297.5962</v>
      </c>
      <c r="N1482" s="427">
        <v>297.5962</v>
      </c>
    </row>
    <row r="1483" spans="1:15">
      <c r="I1483" s="437"/>
      <c r="K1483" s="383" t="s">
        <v>14189</v>
      </c>
      <c r="L1483" s="427">
        <v>304.64786</v>
      </c>
      <c r="N1483" s="395">
        <v>298.4417</v>
      </c>
    </row>
    <row r="1484" spans="1:15">
      <c r="K1484" s="383" t="s">
        <v>14190</v>
      </c>
      <c r="L1484" s="427">
        <v>0.388155671075096</v>
      </c>
      <c r="N1484" s="395">
        <v>0.380248324541957</v>
      </c>
      <c r="O1484" s="395">
        <v>0.0138106191473639</v>
      </c>
    </row>
    <row r="1485" spans="1:15">
      <c r="K1485" s="383" t="s">
        <v>14191</v>
      </c>
      <c r="L1485" s="427">
        <v>0.0138106191473639</v>
      </c>
    </row>
    <row r="1486" spans="1:15">
      <c r="K1486" s="383" t="s">
        <v>14192</v>
      </c>
      <c r="L1486" s="395">
        <v>0</v>
      </c>
    </row>
    <row r="1487" spans="1:15">
      <c r="A1487" s="428" t="s">
        <v>14193</v>
      </c>
      <c r="B1487" s="430"/>
      <c r="C1487" s="430"/>
      <c r="D1487" s="430"/>
      <c r="E1487" s="431" t="s">
        <v>74</v>
      </c>
      <c r="F1487" s="431" t="s">
        <v>1123</v>
      </c>
      <c r="G1487" s="430"/>
      <c r="H1487" s="430"/>
      <c r="I1487" s="425" t="s">
        <v>75</v>
      </c>
      <c r="J1487" s="430"/>
      <c r="K1487" s="430"/>
      <c r="L1487" s="426" t="s">
        <v>14194</v>
      </c>
    </row>
    <row r="1488" spans="1:15">
      <c r="A1488" s="404" t="s">
        <v>14265</v>
      </c>
      <c r="B1488" s="433" t="s">
        <v>14266</v>
      </c>
      <c r="C1488" s="433"/>
      <c r="D1488" s="334"/>
      <c r="E1488" s="434">
        <v>1.05</v>
      </c>
      <c r="F1488" s="333" t="s">
        <v>101</v>
      </c>
      <c r="G1488" s="334"/>
      <c r="I1488" s="395">
        <v>8.5928</v>
      </c>
      <c r="J1488" s="395"/>
      <c r="K1488" s="395"/>
      <c r="L1488" s="346">
        <v>9.02244</v>
      </c>
    </row>
    <row r="1489" spans="1:12">
      <c r="A1489" s="404" t="s">
        <v>14267</v>
      </c>
      <c r="B1489" s="404" t="s">
        <v>14268</v>
      </c>
      <c r="C1489" s="404"/>
      <c r="D1489" s="334"/>
      <c r="E1489" s="434">
        <v>0.00047</v>
      </c>
      <c r="F1489" s="333" t="s">
        <v>82</v>
      </c>
      <c r="G1489" s="334"/>
      <c r="I1489" s="395">
        <v>23.9701</v>
      </c>
      <c r="J1489" s="395"/>
      <c r="K1489" s="395"/>
      <c r="L1489" s="346">
        <v>0.011265947</v>
      </c>
    </row>
    <row r="1490" hidden="1" spans="1:12">
      <c r="A1490" s="404">
        <v>0</v>
      </c>
      <c r="B1490" s="404" t="e">
        <v>#N/A</v>
      </c>
      <c r="C1490" s="404"/>
      <c r="D1490" s="334"/>
      <c r="E1490" s="434">
        <v>0</v>
      </c>
      <c r="F1490" s="333" t="e">
        <v>#N/A</v>
      </c>
      <c r="G1490" s="334"/>
      <c r="I1490" s="395" t="e">
        <v>#N/A</v>
      </c>
      <c r="J1490" s="395"/>
      <c r="K1490" s="395"/>
      <c r="L1490" s="346" t="s">
        <v>932</v>
      </c>
    </row>
    <row r="1491" hidden="1" spans="1:12">
      <c r="A1491" s="404">
        <v>0</v>
      </c>
      <c r="B1491" s="404" t="e">
        <v>#N/A</v>
      </c>
      <c r="C1491" s="404"/>
      <c r="D1491" s="334"/>
      <c r="E1491" s="434">
        <v>0</v>
      </c>
      <c r="F1491" s="333" t="e">
        <v>#N/A</v>
      </c>
      <c r="G1491" s="334"/>
      <c r="I1491" s="395" t="e">
        <v>#N/A</v>
      </c>
      <c r="J1491" s="395"/>
      <c r="K1491" s="395"/>
      <c r="L1491" s="346" t="s">
        <v>932</v>
      </c>
    </row>
    <row r="1492" hidden="1" spans="1:12">
      <c r="A1492" s="404">
        <v>0</v>
      </c>
      <c r="B1492" s="404" t="e">
        <v>#N/A</v>
      </c>
      <c r="C1492" s="404"/>
      <c r="D1492" s="334"/>
      <c r="E1492" s="434">
        <v>0</v>
      </c>
      <c r="F1492" s="333" t="e">
        <v>#N/A</v>
      </c>
      <c r="G1492" s="334"/>
      <c r="H1492" s="334"/>
      <c r="I1492" s="395" t="e">
        <v>#N/A</v>
      </c>
      <c r="J1492" s="395"/>
      <c r="K1492" s="395"/>
      <c r="L1492" s="346" t="s">
        <v>932</v>
      </c>
    </row>
    <row r="1493" hidden="1" spans="1:12">
      <c r="A1493" s="404">
        <v>0</v>
      </c>
      <c r="B1493" s="404" t="e">
        <v>#N/A</v>
      </c>
      <c r="C1493" s="404"/>
      <c r="D1493" s="334"/>
      <c r="E1493" s="434">
        <v>0</v>
      </c>
      <c r="F1493" s="333" t="e">
        <v>#N/A</v>
      </c>
      <c r="G1493" s="334"/>
      <c r="H1493" s="334"/>
      <c r="I1493" s="395" t="e">
        <v>#N/A</v>
      </c>
      <c r="J1493" s="395"/>
      <c r="K1493" s="395"/>
      <c r="L1493" s="346" t="s">
        <v>932</v>
      </c>
    </row>
    <row r="1494" hidden="1" spans="1:12">
      <c r="A1494" s="404">
        <v>0</v>
      </c>
      <c r="B1494" s="404" t="e">
        <v>#N/A</v>
      </c>
      <c r="C1494" s="404"/>
      <c r="D1494" s="334"/>
      <c r="E1494" s="434">
        <v>0</v>
      </c>
      <c r="F1494" s="333" t="e">
        <v>#N/A</v>
      </c>
      <c r="G1494" s="334"/>
      <c r="H1494" s="334"/>
      <c r="I1494" s="395" t="e">
        <v>#N/A</v>
      </c>
      <c r="J1494" s="395"/>
      <c r="K1494" s="395"/>
      <c r="L1494" s="346" t="s">
        <v>932</v>
      </c>
    </row>
    <row r="1495" hidden="1" spans="1:12">
      <c r="A1495" s="404">
        <v>0</v>
      </c>
      <c r="B1495" s="404" t="e">
        <v>#N/A</v>
      </c>
      <c r="C1495" s="404"/>
      <c r="D1495" s="438"/>
      <c r="E1495" s="434">
        <v>0</v>
      </c>
      <c r="F1495" s="333" t="e">
        <v>#N/A</v>
      </c>
      <c r="G1495" s="334"/>
      <c r="H1495" s="334"/>
      <c r="I1495" s="395" t="e">
        <v>#N/A</v>
      </c>
      <c r="J1495" s="395"/>
      <c r="K1495" s="395"/>
      <c r="L1495" s="346" t="s">
        <v>932</v>
      </c>
    </row>
    <row r="1496" spans="1:12">
      <c r="A1496" s="421"/>
      <c r="B1496" s="422"/>
      <c r="C1496" s="422"/>
      <c r="D1496" s="422"/>
      <c r="E1496" s="423"/>
      <c r="F1496" s="424"/>
      <c r="G1496" s="422"/>
      <c r="H1496" s="422"/>
      <c r="I1496" s="430"/>
      <c r="J1496" s="430"/>
      <c r="K1496" s="425" t="s">
        <v>14203</v>
      </c>
      <c r="L1496" s="426">
        <v>9.033705947</v>
      </c>
    </row>
    <row r="1497" spans="1:12">
      <c r="A1497" s="428" t="s">
        <v>14204</v>
      </c>
      <c r="B1497" s="430"/>
      <c r="C1497" s="430"/>
      <c r="D1497" s="430"/>
      <c r="E1497" s="431" t="s">
        <v>74</v>
      </c>
      <c r="F1497" s="431" t="s">
        <v>1123</v>
      </c>
      <c r="G1497" s="430"/>
      <c r="H1497" s="430"/>
      <c r="I1497" s="425" t="s">
        <v>75</v>
      </c>
      <c r="J1497" s="430"/>
      <c r="K1497" s="430"/>
      <c r="L1497" s="426" t="s">
        <v>14194</v>
      </c>
    </row>
    <row r="1498" spans="1:12">
      <c r="A1498" s="404">
        <v>4516138</v>
      </c>
      <c r="B1498" s="334" t="s">
        <v>10834</v>
      </c>
      <c r="C1498" s="334"/>
      <c r="D1498" s="334"/>
      <c r="E1498" s="434">
        <v>0.00268</v>
      </c>
      <c r="F1498" s="333" t="s">
        <v>101</v>
      </c>
      <c r="G1498" s="439"/>
      <c r="I1498" s="346">
        <v>10.2</v>
      </c>
      <c r="L1498" s="346">
        <v>0.027336</v>
      </c>
    </row>
    <row r="1499" hidden="1" spans="1:12">
      <c r="A1499" s="401">
        <v>0</v>
      </c>
      <c r="B1499" s="334" t="e">
        <v>#N/A</v>
      </c>
      <c r="E1499" s="440">
        <v>0</v>
      </c>
      <c r="F1499" s="333" t="e">
        <v>#N/A</v>
      </c>
      <c r="G1499" s="439"/>
      <c r="I1499" s="346" t="e">
        <v>#N/A</v>
      </c>
      <c r="L1499" s="346" t="s">
        <v>932</v>
      </c>
    </row>
    <row r="1500" hidden="1" spans="1:12">
      <c r="A1500" s="401">
        <v>0</v>
      </c>
      <c r="B1500" s="334" t="e">
        <v>#N/A</v>
      </c>
      <c r="E1500" s="440">
        <v>0</v>
      </c>
      <c r="F1500" s="333" t="e">
        <v>#N/A</v>
      </c>
      <c r="G1500" s="439"/>
      <c r="I1500" s="346" t="e">
        <v>#N/A</v>
      </c>
      <c r="L1500" s="346" t="s">
        <v>932</v>
      </c>
    </row>
    <row r="1501" hidden="1" spans="1:12">
      <c r="A1501" s="401">
        <v>0</v>
      </c>
      <c r="B1501" s="334" t="e">
        <v>#N/A</v>
      </c>
      <c r="E1501" s="440">
        <v>0</v>
      </c>
      <c r="F1501" s="333" t="e">
        <v>#N/A</v>
      </c>
      <c r="G1501" s="439"/>
      <c r="I1501" s="346" t="e">
        <v>#N/A</v>
      </c>
      <c r="L1501" s="346" t="s">
        <v>932</v>
      </c>
    </row>
    <row r="1502" hidden="1" spans="1:12">
      <c r="A1502" s="401">
        <v>0</v>
      </c>
      <c r="B1502" s="334" t="e">
        <v>#N/A</v>
      </c>
      <c r="E1502" s="440">
        <v>0</v>
      </c>
      <c r="F1502" s="333" t="e">
        <v>#N/A</v>
      </c>
      <c r="G1502" s="439"/>
      <c r="I1502" s="346" t="e">
        <v>#N/A</v>
      </c>
      <c r="L1502" s="346" t="s">
        <v>932</v>
      </c>
    </row>
    <row r="1503" hidden="1" spans="1:12">
      <c r="A1503" s="401">
        <v>0</v>
      </c>
      <c r="B1503" s="334" t="e">
        <v>#N/A</v>
      </c>
      <c r="E1503" s="440">
        <v>0</v>
      </c>
      <c r="F1503" s="333" t="e">
        <v>#N/A</v>
      </c>
      <c r="G1503" s="439"/>
      <c r="I1503" s="346" t="e">
        <v>#N/A</v>
      </c>
      <c r="L1503" s="346" t="s">
        <v>932</v>
      </c>
    </row>
    <row r="1504" spans="1:12">
      <c r="A1504" s="421"/>
      <c r="B1504" s="422"/>
      <c r="C1504" s="422"/>
      <c r="D1504" s="422"/>
      <c r="E1504" s="422"/>
      <c r="F1504" s="422"/>
      <c r="G1504" s="422"/>
      <c r="H1504" s="422"/>
      <c r="I1504" s="430"/>
      <c r="J1504" s="430"/>
      <c r="K1504" s="425" t="s">
        <v>14206</v>
      </c>
      <c r="L1504" s="426">
        <v>0.027336</v>
      </c>
    </row>
    <row r="1505" spans="1:12">
      <c r="A1505" s="421"/>
      <c r="B1505" s="422"/>
      <c r="C1505" s="422"/>
      <c r="D1505" s="422"/>
      <c r="E1505" s="422"/>
      <c r="F1505" s="422"/>
      <c r="G1505" s="422"/>
      <c r="H1505" s="422"/>
      <c r="I1505" s="430"/>
      <c r="J1505" s="430"/>
      <c r="K1505" s="425" t="s">
        <v>14207</v>
      </c>
      <c r="L1505" s="426">
        <v>9.46300823722246</v>
      </c>
    </row>
    <row r="1506" spans="1:12">
      <c r="A1506" s="428" t="s">
        <v>14208</v>
      </c>
      <c r="B1506" s="430"/>
      <c r="C1506" s="430"/>
      <c r="D1506" s="431" t="s">
        <v>55</v>
      </c>
      <c r="E1506" s="431" t="s">
        <v>74</v>
      </c>
      <c r="F1506" s="431" t="s">
        <v>1123</v>
      </c>
      <c r="G1506" s="430"/>
      <c r="H1506" s="430"/>
      <c r="I1506" s="425" t="s">
        <v>75</v>
      </c>
      <c r="J1506" s="430"/>
      <c r="K1506" s="430"/>
      <c r="L1506" s="426" t="s">
        <v>14194</v>
      </c>
    </row>
    <row r="1507" spans="1:12">
      <c r="A1507" s="404" t="s">
        <v>14265</v>
      </c>
      <c r="B1507" s="441" t="s">
        <v>14266</v>
      </c>
      <c r="C1507" s="441"/>
      <c r="D1507" s="442">
        <v>5915015</v>
      </c>
      <c r="E1507" s="434">
        <v>0.00105</v>
      </c>
      <c r="F1507" s="333" t="s">
        <v>9885</v>
      </c>
      <c r="G1507" s="443" t="s">
        <v>14209</v>
      </c>
      <c r="H1507" s="334"/>
      <c r="I1507" s="346">
        <v>22.07</v>
      </c>
      <c r="J1507" s="334"/>
      <c r="K1507" s="346"/>
      <c r="L1507" s="346">
        <v>0.0231735</v>
      </c>
    </row>
    <row r="1508" hidden="1" spans="1:12">
      <c r="A1508" s="404" t="s">
        <v>14267</v>
      </c>
      <c r="B1508" s="334" t="s">
        <v>14268</v>
      </c>
      <c r="C1508" s="334"/>
      <c r="D1508" s="442">
        <v>0</v>
      </c>
      <c r="E1508" s="434">
        <v>0</v>
      </c>
      <c r="F1508" s="333" t="s">
        <v>9885</v>
      </c>
      <c r="G1508" s="334"/>
      <c r="H1508" s="334"/>
      <c r="I1508" s="346">
        <v>0</v>
      </c>
      <c r="J1508" s="334"/>
      <c r="K1508" s="346"/>
      <c r="L1508" s="346" t="s">
        <v>932</v>
      </c>
    </row>
    <row r="1509" hidden="1" spans="1:12">
      <c r="A1509" s="404">
        <v>0</v>
      </c>
      <c r="B1509" s="334" t="e">
        <v>#N/A</v>
      </c>
      <c r="C1509" s="334"/>
      <c r="D1509" s="442">
        <v>0</v>
      </c>
      <c r="E1509" s="434">
        <v>0</v>
      </c>
      <c r="F1509" s="333" t="s">
        <v>9885</v>
      </c>
      <c r="G1509" s="334"/>
      <c r="H1509" s="334"/>
      <c r="I1509" s="346">
        <v>0</v>
      </c>
      <c r="J1509" s="334"/>
      <c r="K1509" s="346"/>
      <c r="L1509" s="346" t="s">
        <v>932</v>
      </c>
    </row>
    <row r="1510" hidden="1" spans="1:12">
      <c r="A1510" s="404">
        <v>0</v>
      </c>
      <c r="B1510" s="334" t="e">
        <v>#N/A</v>
      </c>
      <c r="C1510" s="334"/>
      <c r="D1510" s="442">
        <v>0</v>
      </c>
      <c r="E1510" s="434">
        <v>0</v>
      </c>
      <c r="F1510" s="333" t="s">
        <v>9885</v>
      </c>
      <c r="G1510" s="334"/>
      <c r="H1510" s="334"/>
      <c r="I1510" s="346">
        <v>0</v>
      </c>
      <c r="J1510" s="334"/>
      <c r="K1510" s="346"/>
      <c r="L1510" s="346" t="s">
        <v>932</v>
      </c>
    </row>
    <row r="1511" hidden="1" spans="1:12">
      <c r="A1511" s="404">
        <v>0</v>
      </c>
      <c r="B1511" s="334" t="e">
        <v>#N/A</v>
      </c>
      <c r="C1511" s="334"/>
      <c r="D1511" s="442">
        <v>0</v>
      </c>
      <c r="E1511" s="434">
        <v>0</v>
      </c>
      <c r="F1511" s="333" t="s">
        <v>9885</v>
      </c>
      <c r="G1511" s="334"/>
      <c r="H1511" s="334"/>
      <c r="I1511" s="346">
        <v>0</v>
      </c>
      <c r="J1511" s="334"/>
      <c r="K1511" s="346"/>
      <c r="L1511" s="346" t="s">
        <v>932</v>
      </c>
    </row>
    <row r="1512" hidden="1" spans="1:12">
      <c r="A1512" s="404">
        <v>0</v>
      </c>
      <c r="B1512" s="334" t="e">
        <v>#N/A</v>
      </c>
      <c r="C1512" s="334"/>
      <c r="D1512" s="442">
        <v>0</v>
      </c>
      <c r="E1512" s="434">
        <v>0</v>
      </c>
      <c r="F1512" s="333" t="s">
        <v>9885</v>
      </c>
      <c r="G1512" s="334"/>
      <c r="H1512" s="334"/>
      <c r="I1512" s="346">
        <v>0</v>
      </c>
      <c r="J1512" s="334"/>
      <c r="K1512" s="346"/>
      <c r="L1512" s="346" t="s">
        <v>932</v>
      </c>
    </row>
    <row r="1513" hidden="1" spans="1:12">
      <c r="A1513" s="404">
        <v>0</v>
      </c>
      <c r="B1513" s="334" t="e">
        <v>#N/A</v>
      </c>
      <c r="C1513" s="334"/>
      <c r="D1513" s="442">
        <v>0</v>
      </c>
      <c r="E1513" s="434">
        <v>0</v>
      </c>
      <c r="F1513" s="333" t="s">
        <v>9885</v>
      </c>
      <c r="G1513" s="334"/>
      <c r="H1513" s="334"/>
      <c r="I1513" s="346">
        <v>0</v>
      </c>
      <c r="J1513" s="334"/>
      <c r="K1513" s="346"/>
      <c r="L1513" s="346" t="s">
        <v>932</v>
      </c>
    </row>
    <row r="1514" hidden="1" spans="1:12">
      <c r="A1514" s="404">
        <v>0</v>
      </c>
      <c r="B1514" s="444" t="e">
        <v>#N/A</v>
      </c>
      <c r="C1514" s="444"/>
      <c r="D1514" s="442">
        <v>0</v>
      </c>
      <c r="E1514" s="434">
        <v>0</v>
      </c>
      <c r="F1514" s="333" t="s">
        <v>9885</v>
      </c>
      <c r="G1514" s="334"/>
      <c r="H1514" s="334"/>
      <c r="I1514" s="346">
        <v>0</v>
      </c>
      <c r="J1514" s="334"/>
      <c r="K1514" s="346"/>
      <c r="L1514" s="346" t="s">
        <v>932</v>
      </c>
    </row>
    <row r="1515" spans="1:12">
      <c r="A1515" s="428"/>
      <c r="B1515" s="445"/>
      <c r="C1515" s="445"/>
      <c r="D1515" s="430"/>
      <c r="E1515" s="430"/>
      <c r="F1515" s="430"/>
      <c r="G1515" s="430"/>
      <c r="H1515" s="430"/>
      <c r="I1515" s="430"/>
      <c r="J1515" s="430"/>
      <c r="K1515" s="425" t="s">
        <v>14210</v>
      </c>
      <c r="L1515" s="426">
        <v>0.0231735</v>
      </c>
    </row>
    <row r="1516" hidden="1" spans="1:12">
      <c r="A1516" s="446" t="s">
        <v>14211</v>
      </c>
      <c r="B1516" s="445"/>
      <c r="C1516" s="445"/>
      <c r="D1516" s="447" t="s">
        <v>55</v>
      </c>
      <c r="E1516" s="445" t="s">
        <v>74</v>
      </c>
      <c r="F1516" s="447" t="s">
        <v>1123</v>
      </c>
      <c r="G1516" s="445"/>
      <c r="H1516" s="447" t="s">
        <v>72</v>
      </c>
      <c r="I1516" s="447" t="s">
        <v>75</v>
      </c>
      <c r="J1516" s="445"/>
      <c r="K1516" s="448"/>
      <c r="L1516" s="449" t="s">
        <v>14194</v>
      </c>
    </row>
    <row r="1517" hidden="1" spans="1:12">
      <c r="A1517" s="404" t="s">
        <v>14265</v>
      </c>
      <c r="B1517" s="433" t="s">
        <v>14266</v>
      </c>
      <c r="C1517" s="433"/>
      <c r="D1517" s="442">
        <v>5915012</v>
      </c>
      <c r="E1517" s="450">
        <v>0.00105</v>
      </c>
      <c r="F1517" s="333" t="s">
        <v>13063</v>
      </c>
      <c r="G1517" s="333" t="s">
        <v>14212</v>
      </c>
      <c r="H1517" s="346">
        <v>0</v>
      </c>
      <c r="I1517" s="346">
        <v>2.07</v>
      </c>
      <c r="J1517" s="346"/>
      <c r="K1517" s="334"/>
      <c r="L1517" s="346">
        <v>0</v>
      </c>
    </row>
    <row r="1518" hidden="1" spans="1:12">
      <c r="A1518" s="404"/>
      <c r="B1518" s="404"/>
      <c r="C1518" s="334"/>
      <c r="D1518" s="442">
        <v>5915013</v>
      </c>
      <c r="E1518" s="450">
        <v>0.00105</v>
      </c>
      <c r="F1518" s="333" t="s">
        <v>13063</v>
      </c>
      <c r="G1518" s="333" t="s">
        <v>14213</v>
      </c>
      <c r="H1518" s="346">
        <v>0</v>
      </c>
      <c r="I1518" s="346">
        <v>1.66</v>
      </c>
      <c r="J1518" s="346"/>
      <c r="K1518" s="334"/>
      <c r="L1518" s="346">
        <v>0</v>
      </c>
    </row>
    <row r="1519" hidden="1" spans="1:12">
      <c r="A1519" s="404"/>
      <c r="B1519" s="404"/>
      <c r="C1519" s="334"/>
      <c r="D1519" s="442">
        <v>5915014</v>
      </c>
      <c r="E1519" s="450">
        <v>0.00105</v>
      </c>
      <c r="F1519" s="333" t="s">
        <v>13063</v>
      </c>
      <c r="G1519" s="333" t="s">
        <v>14214</v>
      </c>
      <c r="H1519" s="346">
        <v>0</v>
      </c>
      <c r="I1519" s="346">
        <v>1.36</v>
      </c>
      <c r="J1519" s="346"/>
      <c r="K1519" s="334"/>
      <c r="L1519" s="346">
        <v>0</v>
      </c>
    </row>
    <row r="1520" hidden="1" spans="1:12">
      <c r="A1520" s="404" t="s">
        <v>14267</v>
      </c>
      <c r="B1520" s="404" t="s">
        <v>14268</v>
      </c>
      <c r="C1520" s="404"/>
      <c r="D1520" s="442">
        <v>0</v>
      </c>
      <c r="E1520" s="450">
        <v>0</v>
      </c>
      <c r="F1520" s="333" t="s">
        <v>13063</v>
      </c>
      <c r="G1520" s="333" t="s">
        <v>14212</v>
      </c>
      <c r="H1520" s="346">
        <v>0</v>
      </c>
      <c r="I1520" s="346">
        <v>0</v>
      </c>
      <c r="J1520" s="346"/>
      <c r="K1520" s="334"/>
      <c r="L1520" s="346" t="s">
        <v>932</v>
      </c>
    </row>
    <row r="1521" hidden="1" spans="1:12">
      <c r="A1521" s="404"/>
      <c r="B1521" s="404"/>
      <c r="C1521" s="334"/>
      <c r="D1521" s="442">
        <v>0</v>
      </c>
      <c r="E1521" s="450">
        <v>0</v>
      </c>
      <c r="F1521" s="333" t="s">
        <v>13063</v>
      </c>
      <c r="G1521" s="333" t="s">
        <v>14213</v>
      </c>
      <c r="H1521" s="346">
        <v>0</v>
      </c>
      <c r="I1521" s="346">
        <v>0</v>
      </c>
      <c r="J1521" s="346"/>
      <c r="K1521" s="334"/>
      <c r="L1521" s="346" t="s">
        <v>932</v>
      </c>
    </row>
    <row r="1522" hidden="1" spans="1:12">
      <c r="A1522" s="404"/>
      <c r="B1522" s="404"/>
      <c r="C1522" s="334"/>
      <c r="D1522" s="442">
        <v>0</v>
      </c>
      <c r="E1522" s="450">
        <v>0</v>
      </c>
      <c r="F1522" s="333" t="s">
        <v>13063</v>
      </c>
      <c r="G1522" s="333" t="s">
        <v>14214</v>
      </c>
      <c r="H1522" s="346">
        <v>0</v>
      </c>
      <c r="I1522" s="346">
        <v>0</v>
      </c>
      <c r="J1522" s="346"/>
      <c r="K1522" s="334"/>
      <c r="L1522" s="346" t="s">
        <v>932</v>
      </c>
    </row>
    <row r="1523" hidden="1" spans="1:12">
      <c r="A1523" s="404">
        <v>0</v>
      </c>
      <c r="B1523" s="404" t="e">
        <v>#N/A</v>
      </c>
      <c r="C1523" s="404"/>
      <c r="D1523" s="442">
        <v>0</v>
      </c>
      <c r="E1523" s="450">
        <v>0</v>
      </c>
      <c r="F1523" s="333" t="s">
        <v>13063</v>
      </c>
      <c r="G1523" s="333" t="s">
        <v>14212</v>
      </c>
      <c r="H1523" s="346">
        <v>0</v>
      </c>
      <c r="I1523" s="346">
        <v>0</v>
      </c>
      <c r="J1523" s="346"/>
      <c r="K1523" s="334"/>
      <c r="L1523" s="346" t="s">
        <v>932</v>
      </c>
    </row>
    <row r="1524" hidden="1" spans="1:12">
      <c r="A1524" s="404"/>
      <c r="B1524" s="404"/>
      <c r="C1524" s="334"/>
      <c r="D1524" s="442">
        <v>0</v>
      </c>
      <c r="E1524" s="450">
        <v>0</v>
      </c>
      <c r="F1524" s="333" t="s">
        <v>13063</v>
      </c>
      <c r="G1524" s="333" t="s">
        <v>14213</v>
      </c>
      <c r="H1524" s="346">
        <v>0</v>
      </c>
      <c r="I1524" s="346">
        <v>0</v>
      </c>
      <c r="J1524" s="346"/>
      <c r="K1524" s="334"/>
      <c r="L1524" s="346" t="s">
        <v>932</v>
      </c>
    </row>
    <row r="1525" hidden="1" spans="1:12">
      <c r="A1525" s="404"/>
      <c r="B1525" s="404"/>
      <c r="C1525" s="334"/>
      <c r="D1525" s="442">
        <v>0</v>
      </c>
      <c r="E1525" s="450">
        <v>0</v>
      </c>
      <c r="F1525" s="333" t="s">
        <v>13063</v>
      </c>
      <c r="G1525" s="333" t="s">
        <v>14214</v>
      </c>
      <c r="H1525" s="346">
        <v>0</v>
      </c>
      <c r="I1525" s="346">
        <v>0</v>
      </c>
      <c r="J1525" s="346"/>
      <c r="K1525" s="334"/>
      <c r="L1525" s="346" t="s">
        <v>932</v>
      </c>
    </row>
    <row r="1526" hidden="1" spans="1:12">
      <c r="A1526" s="404">
        <v>0</v>
      </c>
      <c r="B1526" s="404" t="e">
        <v>#N/A</v>
      </c>
      <c r="C1526" s="404"/>
      <c r="D1526" s="442">
        <v>0</v>
      </c>
      <c r="E1526" s="450">
        <v>0</v>
      </c>
      <c r="F1526" s="333" t="s">
        <v>13063</v>
      </c>
      <c r="G1526" s="333" t="s">
        <v>14212</v>
      </c>
      <c r="H1526" s="346">
        <v>0</v>
      </c>
      <c r="I1526" s="346">
        <v>0</v>
      </c>
      <c r="J1526" s="346"/>
      <c r="K1526" s="334"/>
      <c r="L1526" s="346" t="s">
        <v>932</v>
      </c>
    </row>
    <row r="1527" hidden="1" spans="1:12">
      <c r="A1527" s="404"/>
      <c r="B1527" s="404"/>
      <c r="C1527" s="334"/>
      <c r="D1527" s="442">
        <v>0</v>
      </c>
      <c r="E1527" s="450">
        <v>0</v>
      </c>
      <c r="F1527" s="333" t="s">
        <v>13063</v>
      </c>
      <c r="G1527" s="333" t="s">
        <v>14213</v>
      </c>
      <c r="H1527" s="346">
        <v>0</v>
      </c>
      <c r="I1527" s="346">
        <v>0</v>
      </c>
      <c r="J1527" s="346"/>
      <c r="K1527" s="334"/>
      <c r="L1527" s="346" t="s">
        <v>932</v>
      </c>
    </row>
    <row r="1528" hidden="1" spans="1:12">
      <c r="A1528" s="404"/>
      <c r="B1528" s="404"/>
      <c r="C1528" s="334"/>
      <c r="D1528" s="442">
        <v>0</v>
      </c>
      <c r="E1528" s="450">
        <v>0</v>
      </c>
      <c r="F1528" s="333" t="s">
        <v>13063</v>
      </c>
      <c r="G1528" s="333" t="s">
        <v>14214</v>
      </c>
      <c r="H1528" s="346">
        <v>0</v>
      </c>
      <c r="I1528" s="346">
        <v>0</v>
      </c>
      <c r="J1528" s="346"/>
      <c r="K1528" s="334"/>
      <c r="L1528" s="346" t="s">
        <v>932</v>
      </c>
    </row>
    <row r="1529" hidden="1" spans="1:12">
      <c r="A1529" s="404">
        <v>0</v>
      </c>
      <c r="B1529" s="404" t="e">
        <v>#N/A</v>
      </c>
      <c r="C1529" s="404"/>
      <c r="D1529" s="442">
        <v>0</v>
      </c>
      <c r="E1529" s="450">
        <v>0</v>
      </c>
      <c r="F1529" s="333" t="s">
        <v>13063</v>
      </c>
      <c r="G1529" s="333" t="s">
        <v>14212</v>
      </c>
      <c r="H1529" s="346">
        <v>0</v>
      </c>
      <c r="I1529" s="346">
        <v>0</v>
      </c>
      <c r="J1529" s="346"/>
      <c r="K1529" s="334"/>
      <c r="L1529" s="346" t="s">
        <v>932</v>
      </c>
    </row>
    <row r="1530" hidden="1" spans="1:12">
      <c r="A1530" s="404"/>
      <c r="B1530" s="404"/>
      <c r="C1530" s="334"/>
      <c r="D1530" s="442">
        <v>0</v>
      </c>
      <c r="E1530" s="450">
        <v>0</v>
      </c>
      <c r="F1530" s="333" t="s">
        <v>13063</v>
      </c>
      <c r="G1530" s="333" t="s">
        <v>14213</v>
      </c>
      <c r="H1530" s="346">
        <v>0</v>
      </c>
      <c r="I1530" s="346">
        <v>0</v>
      </c>
      <c r="J1530" s="346"/>
      <c r="K1530" s="334"/>
      <c r="L1530" s="346" t="s">
        <v>932</v>
      </c>
    </row>
    <row r="1531" hidden="1" spans="1:12">
      <c r="A1531" s="404"/>
      <c r="B1531" s="404"/>
      <c r="C1531" s="334"/>
      <c r="D1531" s="442">
        <v>0</v>
      </c>
      <c r="E1531" s="450">
        <v>0</v>
      </c>
      <c r="F1531" s="333" t="s">
        <v>13063</v>
      </c>
      <c r="G1531" s="333" t="s">
        <v>14214</v>
      </c>
      <c r="H1531" s="346">
        <v>0</v>
      </c>
      <c r="I1531" s="346">
        <v>0</v>
      </c>
      <c r="J1531" s="346"/>
      <c r="K1531" s="334"/>
      <c r="L1531" s="346" t="s">
        <v>932</v>
      </c>
    </row>
    <row r="1532" hidden="1" spans="1:12">
      <c r="A1532" s="401">
        <v>0</v>
      </c>
      <c r="B1532" s="401" t="e">
        <v>#N/A</v>
      </c>
      <c r="C1532" s="401"/>
      <c r="D1532" s="442">
        <v>0</v>
      </c>
      <c r="E1532" s="450">
        <v>0</v>
      </c>
      <c r="F1532" s="439" t="s">
        <v>13063</v>
      </c>
      <c r="G1532" s="439" t="s">
        <v>14212</v>
      </c>
      <c r="H1532" s="346">
        <v>0</v>
      </c>
      <c r="I1532" s="346">
        <v>0</v>
      </c>
      <c r="J1532" s="395"/>
      <c r="L1532" s="346" t="s">
        <v>932</v>
      </c>
    </row>
    <row r="1533" hidden="1" spans="1:12">
      <c r="A1533" s="401"/>
      <c r="B1533" s="401"/>
      <c r="D1533" s="442">
        <v>0</v>
      </c>
      <c r="E1533" s="450">
        <v>0</v>
      </c>
      <c r="F1533" s="439" t="s">
        <v>13063</v>
      </c>
      <c r="G1533" s="439" t="s">
        <v>14213</v>
      </c>
      <c r="H1533" s="346">
        <v>0</v>
      </c>
      <c r="I1533" s="346">
        <v>0</v>
      </c>
      <c r="J1533" s="395"/>
      <c r="L1533" s="346" t="s">
        <v>932</v>
      </c>
    </row>
    <row r="1534" hidden="1" spans="1:12">
      <c r="A1534" s="401"/>
      <c r="B1534" s="401"/>
      <c r="D1534" s="442">
        <v>0</v>
      </c>
      <c r="E1534" s="450">
        <v>0</v>
      </c>
      <c r="F1534" s="439" t="s">
        <v>13063</v>
      </c>
      <c r="G1534" s="439" t="s">
        <v>14214</v>
      </c>
      <c r="H1534" s="346">
        <v>0</v>
      </c>
      <c r="I1534" s="346">
        <v>0</v>
      </c>
      <c r="J1534" s="395"/>
      <c r="L1534" s="346" t="s">
        <v>932</v>
      </c>
    </row>
    <row r="1535" hidden="1" spans="1:12">
      <c r="A1535" s="401">
        <v>0</v>
      </c>
      <c r="B1535" s="401" t="e">
        <v>#N/A</v>
      </c>
      <c r="C1535" s="401"/>
      <c r="D1535" s="442">
        <v>0</v>
      </c>
      <c r="E1535" s="450">
        <v>0</v>
      </c>
      <c r="F1535" s="439" t="s">
        <v>13063</v>
      </c>
      <c r="G1535" s="439" t="s">
        <v>14212</v>
      </c>
      <c r="H1535" s="346">
        <v>0</v>
      </c>
      <c r="I1535" s="346">
        <v>0</v>
      </c>
      <c r="J1535" s="395"/>
      <c r="L1535" s="346" t="s">
        <v>932</v>
      </c>
    </row>
    <row r="1536" hidden="1" spans="1:12">
      <c r="A1536" s="401"/>
      <c r="B1536" s="401"/>
      <c r="D1536" s="442">
        <v>0</v>
      </c>
      <c r="E1536" s="450">
        <v>0</v>
      </c>
      <c r="F1536" s="439" t="s">
        <v>13063</v>
      </c>
      <c r="G1536" s="439" t="s">
        <v>14213</v>
      </c>
      <c r="H1536" s="346">
        <v>0</v>
      </c>
      <c r="I1536" s="346">
        <v>0</v>
      </c>
      <c r="J1536" s="395"/>
      <c r="L1536" s="346" t="s">
        <v>932</v>
      </c>
    </row>
    <row r="1537" hidden="1" spans="1:14">
      <c r="A1537" s="401"/>
      <c r="B1537" s="401"/>
      <c r="D1537" s="442">
        <v>0</v>
      </c>
      <c r="E1537" s="450">
        <v>0</v>
      </c>
      <c r="F1537" s="439" t="s">
        <v>13063</v>
      </c>
      <c r="G1537" s="439" t="s">
        <v>14214</v>
      </c>
      <c r="H1537" s="346">
        <v>0</v>
      </c>
      <c r="I1537" s="346">
        <v>0</v>
      </c>
      <c r="J1537" s="395"/>
      <c r="L1537" s="346" t="s">
        <v>932</v>
      </c>
    </row>
    <row r="1538" hidden="1" spans="1:14">
      <c r="A1538" s="401">
        <v>0</v>
      </c>
      <c r="B1538" s="401" t="e">
        <v>#N/A</v>
      </c>
      <c r="C1538" s="401"/>
      <c r="D1538" s="442">
        <v>0</v>
      </c>
      <c r="E1538" s="450">
        <v>0</v>
      </c>
      <c r="F1538" s="439" t="s">
        <v>13063</v>
      </c>
      <c r="G1538" s="439" t="s">
        <v>14212</v>
      </c>
      <c r="H1538" s="346">
        <v>0</v>
      </c>
      <c r="I1538" s="346">
        <v>0</v>
      </c>
      <c r="J1538" s="395"/>
      <c r="L1538" s="346" t="s">
        <v>932</v>
      </c>
    </row>
    <row r="1539" hidden="1" spans="1:14">
      <c r="A1539" s="401"/>
      <c r="B1539" s="401"/>
      <c r="D1539" s="442">
        <v>0</v>
      </c>
      <c r="E1539" s="450">
        <v>0</v>
      </c>
      <c r="F1539" s="439" t="s">
        <v>13063</v>
      </c>
      <c r="G1539" s="439" t="s">
        <v>14213</v>
      </c>
      <c r="H1539" s="346">
        <v>0</v>
      </c>
      <c r="I1539" s="346">
        <v>0</v>
      </c>
      <c r="J1539" s="395"/>
      <c r="L1539" s="346" t="s">
        <v>932</v>
      </c>
    </row>
    <row r="1540" hidden="1" spans="1:14">
      <c r="A1540" s="401"/>
      <c r="B1540" s="401"/>
      <c r="D1540" s="442">
        <v>0</v>
      </c>
      <c r="E1540" s="450">
        <v>0</v>
      </c>
      <c r="F1540" s="439" t="s">
        <v>13063</v>
      </c>
      <c r="G1540" s="439" t="s">
        <v>14214</v>
      </c>
      <c r="H1540" s="346">
        <v>0</v>
      </c>
      <c r="I1540" s="346">
        <v>0</v>
      </c>
      <c r="J1540" s="395"/>
      <c r="L1540" s="346" t="s">
        <v>932</v>
      </c>
    </row>
    <row r="1541" hidden="1" spans="1:14">
      <c r="A1541" s="421"/>
      <c r="B1541" s="422"/>
      <c r="C1541" s="422"/>
      <c r="D1541" s="422"/>
      <c r="E1541" s="422"/>
      <c r="F1541" s="422"/>
      <c r="G1541" s="422"/>
      <c r="H1541" s="422"/>
      <c r="I1541" s="430"/>
      <c r="J1541" s="430"/>
      <c r="K1541" s="425" t="s">
        <v>14215</v>
      </c>
      <c r="L1541" s="426">
        <v>0</v>
      </c>
    </row>
    <row r="1542" spans="1:14">
      <c r="A1542" s="451"/>
      <c r="B1542" s="452"/>
      <c r="C1542" s="452"/>
      <c r="D1542" s="452"/>
      <c r="E1542" s="452"/>
      <c r="F1542" s="452"/>
      <c r="G1542" s="452"/>
      <c r="H1542" s="452"/>
      <c r="I1542" s="453"/>
      <c r="J1542" s="453"/>
      <c r="K1542" s="454" t="s">
        <v>14216</v>
      </c>
      <c r="L1542" s="455">
        <v>9.49</v>
      </c>
    </row>
    <row r="1544" spans="1:14">
      <c r="A1544" s="391" t="s">
        <v>14172</v>
      </c>
      <c r="B1544" s="472"/>
      <c r="C1544" s="472"/>
      <c r="D1544" s="472"/>
      <c r="E1544" s="472"/>
      <c r="F1544" s="472"/>
      <c r="G1544" s="393"/>
      <c r="H1544" s="393"/>
      <c r="I1544" s="393"/>
      <c r="J1544" s="393"/>
      <c r="K1544" s="393"/>
      <c r="L1544" s="471"/>
    </row>
    <row r="1545" spans="1:14">
      <c r="A1545" s="473">
        <v>3806420</v>
      </c>
      <c r="B1545" s="397" t="s">
        <v>131</v>
      </c>
      <c r="C1545" s="397"/>
      <c r="D1545" s="397"/>
      <c r="E1545" s="397"/>
      <c r="F1545" s="397"/>
      <c r="G1545" s="397"/>
      <c r="H1545" s="397" t="s">
        <v>82</v>
      </c>
      <c r="I1545" s="398">
        <v>46023</v>
      </c>
      <c r="J1545" s="397"/>
      <c r="K1545" s="399" t="s">
        <v>14173</v>
      </c>
      <c r="L1545" s="400">
        <v>0</v>
      </c>
    </row>
    <row r="1546" spans="1:14">
      <c r="A1546" s="401"/>
      <c r="H1546" s="402" t="s">
        <v>14174</v>
      </c>
      <c r="I1546" s="434">
        <v>1.18571</v>
      </c>
      <c r="J1546" s="404" t="s">
        <v>82</v>
      </c>
      <c r="K1546" s="402" t="s">
        <v>14175</v>
      </c>
      <c r="L1546" s="456">
        <v>0.03814</v>
      </c>
    </row>
    <row r="1547" spans="1:14">
      <c r="A1547" s="405"/>
      <c r="B1547" s="405"/>
      <c r="C1547" s="405"/>
      <c r="D1547" s="406"/>
      <c r="E1547" s="406"/>
      <c r="F1547" s="406"/>
      <c r="G1547" s="407" t="s">
        <v>14176</v>
      </c>
      <c r="H1547" s="408"/>
      <c r="I1547" s="407" t="s">
        <v>14177</v>
      </c>
      <c r="J1547" s="408"/>
      <c r="K1547" s="405"/>
      <c r="L1547" s="409" t="s">
        <v>14178</v>
      </c>
    </row>
    <row r="1548" spans="1:14">
      <c r="A1548" s="410" t="s">
        <v>14179</v>
      </c>
      <c r="B1548" s="411"/>
      <c r="C1548" s="412"/>
      <c r="D1548" s="412"/>
      <c r="E1548" s="413" t="s">
        <v>74</v>
      </c>
      <c r="F1548" s="412"/>
      <c r="G1548" s="413" t="s">
        <v>14180</v>
      </c>
      <c r="H1548" s="413" t="s">
        <v>14181</v>
      </c>
      <c r="I1548" s="413" t="s">
        <v>14182</v>
      </c>
      <c r="J1548" s="413" t="s">
        <v>14183</v>
      </c>
      <c r="K1548" s="411"/>
      <c r="L1548" s="414" t="s">
        <v>14184</v>
      </c>
    </row>
    <row r="1549" spans="1:14">
      <c r="A1549" s="404" t="s">
        <v>1084</v>
      </c>
      <c r="B1549" s="415" t="s">
        <v>1085</v>
      </c>
      <c r="C1549" s="415"/>
      <c r="E1549" s="416">
        <v>2</v>
      </c>
      <c r="F1549" s="334"/>
      <c r="G1549" s="346">
        <v>1</v>
      </c>
      <c r="H1549" s="417">
        <v>0</v>
      </c>
      <c r="I1549" s="395">
        <v>2404.8902</v>
      </c>
      <c r="J1549" s="418">
        <v>1308.6316</v>
      </c>
      <c r="K1549" s="402"/>
      <c r="L1549" s="395">
        <v>4809.7804</v>
      </c>
      <c r="N1549" s="395">
        <v>2617.2632</v>
      </c>
    </row>
    <row r="1550" hidden="1" spans="1:14">
      <c r="A1550" s="404">
        <v>0</v>
      </c>
      <c r="B1550" s="404" t="e">
        <v>#N/A</v>
      </c>
      <c r="C1550" s="404"/>
      <c r="D1550" s="334"/>
      <c r="E1550" s="416">
        <v>0</v>
      </c>
      <c r="F1550" s="334"/>
      <c r="G1550" s="346">
        <v>0</v>
      </c>
      <c r="H1550" s="417">
        <v>1</v>
      </c>
      <c r="I1550" s="346" t="e">
        <v>#N/A</v>
      </c>
      <c r="J1550" s="419" t="e">
        <v>#N/A</v>
      </c>
      <c r="K1550" s="420"/>
      <c r="L1550" s="395" t="s">
        <v>932</v>
      </c>
      <c r="N1550" s="395" t="s">
        <v>932</v>
      </c>
    </row>
    <row r="1551" hidden="1" spans="1:14">
      <c r="A1551" s="404">
        <v>0</v>
      </c>
      <c r="B1551" s="404" t="e">
        <v>#N/A</v>
      </c>
      <c r="C1551" s="404"/>
      <c r="D1551" s="334"/>
      <c r="E1551" s="416">
        <v>0</v>
      </c>
      <c r="F1551" s="334"/>
      <c r="G1551" s="346">
        <v>0</v>
      </c>
      <c r="H1551" s="417">
        <v>1</v>
      </c>
      <c r="I1551" s="346" t="e">
        <v>#N/A</v>
      </c>
      <c r="J1551" s="419" t="e">
        <v>#N/A</v>
      </c>
      <c r="K1551" s="420"/>
      <c r="L1551" s="395" t="s">
        <v>932</v>
      </c>
      <c r="N1551" s="395" t="s">
        <v>932</v>
      </c>
    </row>
    <row r="1552" hidden="1" spans="1:14">
      <c r="A1552" s="404">
        <v>0</v>
      </c>
      <c r="B1552" s="404" t="e">
        <v>#N/A</v>
      </c>
      <c r="C1552" s="404"/>
      <c r="D1552" s="334"/>
      <c r="E1552" s="416">
        <v>0</v>
      </c>
      <c r="F1552" s="334"/>
      <c r="G1552" s="346">
        <v>0</v>
      </c>
      <c r="H1552" s="417">
        <v>1</v>
      </c>
      <c r="I1552" s="346" t="e">
        <v>#N/A</v>
      </c>
      <c r="J1552" s="419" t="e">
        <v>#N/A</v>
      </c>
      <c r="K1552" s="420"/>
      <c r="L1552" s="395" t="s">
        <v>932</v>
      </c>
      <c r="N1552" s="395" t="s">
        <v>932</v>
      </c>
    </row>
    <row r="1553" hidden="1" spans="1:14">
      <c r="A1553" s="404">
        <v>0</v>
      </c>
      <c r="B1553" s="404" t="e">
        <v>#N/A</v>
      </c>
      <c r="C1553" s="404"/>
      <c r="D1553" s="334"/>
      <c r="E1553" s="416">
        <v>0</v>
      </c>
      <c r="F1553" s="334"/>
      <c r="G1553" s="346">
        <v>0</v>
      </c>
      <c r="H1553" s="417">
        <v>1</v>
      </c>
      <c r="I1553" s="346" t="e">
        <v>#N/A</v>
      </c>
      <c r="J1553" s="419" t="e">
        <v>#N/A</v>
      </c>
      <c r="K1553" s="420"/>
      <c r="L1553" s="395" t="s">
        <v>932</v>
      </c>
      <c r="N1553" s="395" t="s">
        <v>932</v>
      </c>
    </row>
    <row r="1554" hidden="1" spans="1:14">
      <c r="A1554" s="404">
        <v>0</v>
      </c>
      <c r="B1554" s="404" t="e">
        <v>#N/A</v>
      </c>
      <c r="C1554" s="404"/>
      <c r="D1554" s="334"/>
      <c r="E1554" s="416">
        <v>0</v>
      </c>
      <c r="F1554" s="334"/>
      <c r="G1554" s="346">
        <v>0</v>
      </c>
      <c r="H1554" s="417">
        <v>1</v>
      </c>
      <c r="I1554" s="346" t="e">
        <v>#N/A</v>
      </c>
      <c r="J1554" s="419" t="e">
        <v>#N/A</v>
      </c>
      <c r="K1554" s="420"/>
      <c r="L1554" s="395" t="s">
        <v>932</v>
      </c>
      <c r="N1554" s="395" t="s">
        <v>932</v>
      </c>
    </row>
    <row r="1555" hidden="1" spans="1:14">
      <c r="A1555" s="404">
        <v>0</v>
      </c>
      <c r="B1555" s="404" t="e">
        <v>#N/A</v>
      </c>
      <c r="C1555" s="404"/>
      <c r="D1555" s="334"/>
      <c r="E1555" s="416">
        <v>0</v>
      </c>
      <c r="F1555" s="334"/>
      <c r="G1555" s="346">
        <v>0</v>
      </c>
      <c r="H1555" s="417">
        <v>1</v>
      </c>
      <c r="I1555" s="346" t="e">
        <v>#N/A</v>
      </c>
      <c r="J1555" s="419" t="e">
        <v>#N/A</v>
      </c>
      <c r="K1555" s="420"/>
      <c r="L1555" s="395" t="s">
        <v>932</v>
      </c>
      <c r="N1555" s="395" t="s">
        <v>932</v>
      </c>
    </row>
    <row r="1556" hidden="1" spans="1:14">
      <c r="A1556" s="404">
        <v>0</v>
      </c>
      <c r="B1556" s="404" t="e">
        <v>#N/A</v>
      </c>
      <c r="C1556" s="404"/>
      <c r="D1556" s="334"/>
      <c r="E1556" s="416">
        <v>0</v>
      </c>
      <c r="F1556" s="334"/>
      <c r="G1556" s="346">
        <v>0</v>
      </c>
      <c r="H1556" s="417">
        <v>1</v>
      </c>
      <c r="I1556" s="346" t="e">
        <v>#N/A</v>
      </c>
      <c r="J1556" s="419" t="e">
        <v>#N/A</v>
      </c>
      <c r="K1556" s="420"/>
      <c r="L1556" s="395" t="s">
        <v>932</v>
      </c>
      <c r="N1556" s="395" t="s">
        <v>932</v>
      </c>
    </row>
    <row r="1557" spans="1:14">
      <c r="A1557" s="421"/>
      <c r="B1557" s="422"/>
      <c r="C1557" s="422"/>
      <c r="D1557" s="422"/>
      <c r="E1557" s="423"/>
      <c r="F1557" s="424"/>
      <c r="G1557" s="422"/>
      <c r="H1557" s="422"/>
      <c r="I1557" s="422"/>
      <c r="J1557" s="422"/>
      <c r="K1557" s="425" t="s">
        <v>14185</v>
      </c>
      <c r="L1557" s="426">
        <v>4809.7804</v>
      </c>
      <c r="N1557" s="427">
        <v>2617.2632</v>
      </c>
    </row>
    <row r="1558" spans="1:14">
      <c r="A1558" s="428" t="s">
        <v>14186</v>
      </c>
      <c r="B1558" s="429"/>
      <c r="C1558" s="429"/>
      <c r="D1558" s="430"/>
      <c r="E1558" s="431" t="s">
        <v>74</v>
      </c>
      <c r="F1558" s="431" t="s">
        <v>1123</v>
      </c>
      <c r="G1558" s="430"/>
      <c r="H1558" s="422"/>
      <c r="I1558" s="431" t="s">
        <v>14177</v>
      </c>
      <c r="J1558" s="430"/>
      <c r="K1558" s="430"/>
      <c r="L1558" s="432" t="s">
        <v>14187</v>
      </c>
    </row>
    <row r="1559" spans="1:14">
      <c r="A1559" s="404" t="s">
        <v>935</v>
      </c>
      <c r="B1559" s="433" t="s">
        <v>936</v>
      </c>
      <c r="C1559" s="433"/>
      <c r="D1559" s="334"/>
      <c r="E1559" s="434">
        <v>4</v>
      </c>
      <c r="F1559" s="333" t="s">
        <v>104</v>
      </c>
      <c r="G1559" s="334"/>
      <c r="H1559" s="334"/>
      <c r="I1559" s="435">
        <v>23.6025</v>
      </c>
      <c r="J1559" s="334"/>
      <c r="K1559" s="334"/>
      <c r="L1559" s="346">
        <v>94.41</v>
      </c>
      <c r="N1559" s="395">
        <v>94.41</v>
      </c>
    </row>
    <row r="1560" hidden="1" spans="1:14">
      <c r="A1560" s="404">
        <v>0</v>
      </c>
      <c r="B1560" s="404" t="e">
        <v>#N/A</v>
      </c>
      <c r="C1560" s="404"/>
      <c r="D1560" s="334"/>
      <c r="E1560" s="434">
        <v>0</v>
      </c>
      <c r="F1560" s="333" t="s">
        <v>104</v>
      </c>
      <c r="G1560" s="334"/>
      <c r="H1560" s="334"/>
      <c r="I1560" s="435" t="e">
        <v>#N/A</v>
      </c>
      <c r="J1560" s="334"/>
      <c r="K1560" s="334"/>
      <c r="L1560" s="346" t="s">
        <v>932</v>
      </c>
      <c r="N1560" s="395" t="s">
        <v>932</v>
      </c>
    </row>
    <row r="1561" hidden="1" spans="1:14">
      <c r="A1561" s="404">
        <v>0</v>
      </c>
      <c r="B1561" s="404" t="e">
        <v>#N/A</v>
      </c>
      <c r="C1561" s="404"/>
      <c r="D1561" s="334"/>
      <c r="E1561" s="434">
        <v>0</v>
      </c>
      <c r="F1561" s="333" t="s">
        <v>104</v>
      </c>
      <c r="G1561" s="334"/>
      <c r="H1561" s="334"/>
      <c r="I1561" s="435" t="e">
        <v>#N/A</v>
      </c>
      <c r="J1561" s="334"/>
      <c r="K1561" s="334"/>
      <c r="L1561" s="346" t="s">
        <v>932</v>
      </c>
      <c r="N1561" s="395" t="s">
        <v>932</v>
      </c>
    </row>
    <row r="1562" hidden="1" spans="1:14">
      <c r="A1562" s="404">
        <v>0</v>
      </c>
      <c r="B1562" s="404" t="e">
        <v>#N/A</v>
      </c>
      <c r="C1562" s="404"/>
      <c r="D1562" s="334"/>
      <c r="E1562" s="434">
        <v>0</v>
      </c>
      <c r="F1562" s="333" t="s">
        <v>104</v>
      </c>
      <c r="G1562" s="334"/>
      <c r="H1562" s="334"/>
      <c r="I1562" s="435" t="e">
        <v>#N/A</v>
      </c>
      <c r="J1562" s="334"/>
      <c r="K1562" s="334"/>
      <c r="L1562" s="346" t="s">
        <v>932</v>
      </c>
      <c r="N1562" s="395" t="s">
        <v>932</v>
      </c>
    </row>
    <row r="1563" hidden="1" spans="1:14">
      <c r="A1563" s="404">
        <v>0</v>
      </c>
      <c r="B1563" s="404" t="e">
        <v>#N/A</v>
      </c>
      <c r="C1563" s="404"/>
      <c r="D1563" s="334"/>
      <c r="E1563" s="434">
        <v>0</v>
      </c>
      <c r="F1563" s="333" t="s">
        <v>104</v>
      </c>
      <c r="G1563" s="334"/>
      <c r="H1563" s="334"/>
      <c r="I1563" s="435" t="e">
        <v>#N/A</v>
      </c>
      <c r="J1563" s="334"/>
      <c r="K1563" s="334"/>
      <c r="L1563" s="346" t="s">
        <v>932</v>
      </c>
      <c r="N1563" s="395" t="s">
        <v>932</v>
      </c>
    </row>
    <row r="1564" hidden="1" spans="1:14">
      <c r="A1564" s="404">
        <v>0</v>
      </c>
      <c r="B1564" s="404" t="e">
        <v>#N/A</v>
      </c>
      <c r="C1564" s="404"/>
      <c r="D1564" s="334"/>
      <c r="E1564" s="434">
        <v>0</v>
      </c>
      <c r="F1564" s="333" t="s">
        <v>104</v>
      </c>
      <c r="G1564" s="334"/>
      <c r="H1564" s="334"/>
      <c r="I1564" s="435" t="e">
        <v>#N/A</v>
      </c>
      <c r="J1564" s="334"/>
      <c r="K1564" s="334"/>
      <c r="L1564" s="346" t="s">
        <v>932</v>
      </c>
      <c r="N1564" s="395" t="s">
        <v>932</v>
      </c>
    </row>
    <row r="1565" hidden="1" spans="1:14">
      <c r="A1565" s="404">
        <v>0</v>
      </c>
      <c r="B1565" s="404" t="e">
        <v>#N/A</v>
      </c>
      <c r="C1565" s="404"/>
      <c r="D1565" s="334"/>
      <c r="E1565" s="434">
        <v>0</v>
      </c>
      <c r="F1565" s="333" t="s">
        <v>104</v>
      </c>
      <c r="G1565" s="334"/>
      <c r="H1565" s="334"/>
      <c r="I1565" s="435" t="e">
        <v>#N/A</v>
      </c>
      <c r="J1565" s="334"/>
      <c r="K1565" s="334"/>
      <c r="L1565" s="346" t="s">
        <v>932</v>
      </c>
      <c r="N1565" s="395" t="s">
        <v>932</v>
      </c>
    </row>
    <row r="1566" hidden="1" spans="1:14">
      <c r="A1566" s="404">
        <v>0</v>
      </c>
      <c r="B1566" s="436" t="e">
        <v>#N/A</v>
      </c>
      <c r="C1566" s="436"/>
      <c r="D1566" s="334"/>
      <c r="E1566" s="434">
        <v>0</v>
      </c>
      <c r="F1566" s="333" t="s">
        <v>104</v>
      </c>
      <c r="G1566" s="334"/>
      <c r="H1566" s="334"/>
      <c r="I1566" s="435" t="e">
        <v>#N/A</v>
      </c>
      <c r="J1566" s="334"/>
      <c r="K1566" s="334"/>
      <c r="L1566" s="346" t="s">
        <v>932</v>
      </c>
      <c r="N1566" s="395" t="s">
        <v>932</v>
      </c>
    </row>
    <row r="1567" spans="1:14">
      <c r="A1567" s="421"/>
      <c r="B1567" s="62"/>
      <c r="C1567" s="62"/>
      <c r="D1567" s="422"/>
      <c r="E1567" s="423"/>
      <c r="F1567" s="424"/>
      <c r="G1567" s="422"/>
      <c r="H1567" s="422"/>
      <c r="I1567" s="422"/>
      <c r="J1567" s="422"/>
      <c r="K1567" s="425" t="s">
        <v>14188</v>
      </c>
      <c r="L1567" s="426">
        <v>94.41</v>
      </c>
      <c r="N1567" s="427">
        <v>94.41</v>
      </c>
    </row>
    <row r="1568" spans="1:14">
      <c r="I1568" s="437"/>
      <c r="K1568" s="383" t="s">
        <v>14189</v>
      </c>
      <c r="L1568" s="427">
        <v>4904.1904</v>
      </c>
      <c r="N1568" s="395">
        <v>2711.6732</v>
      </c>
    </row>
    <row r="1569" spans="1:15">
      <c r="K1569" s="383" t="s">
        <v>14190</v>
      </c>
      <c r="L1569" s="427">
        <v>4136.07914245473</v>
      </c>
      <c r="N1569" s="395">
        <v>2286.96156733097</v>
      </c>
      <c r="O1569" s="395">
        <v>87.224714178003</v>
      </c>
    </row>
    <row r="1570" spans="1:15">
      <c r="K1570" s="383" t="s">
        <v>14191</v>
      </c>
      <c r="L1570" s="427">
        <v>87.224714178003</v>
      </c>
    </row>
    <row r="1571" spans="1:15">
      <c r="K1571" s="383" t="s">
        <v>14192</v>
      </c>
      <c r="L1571" s="395">
        <v>0</v>
      </c>
    </row>
    <row r="1572" hidden="1" spans="1:15">
      <c r="A1572" s="428" t="s">
        <v>14193</v>
      </c>
      <c r="B1572" s="430"/>
      <c r="C1572" s="430"/>
      <c r="D1572" s="430"/>
      <c r="E1572" s="431" t="s">
        <v>74</v>
      </c>
      <c r="F1572" s="431" t="s">
        <v>1123</v>
      </c>
      <c r="G1572" s="430"/>
      <c r="H1572" s="430"/>
      <c r="I1572" s="425" t="s">
        <v>75</v>
      </c>
      <c r="J1572" s="430"/>
      <c r="K1572" s="430"/>
      <c r="L1572" s="426" t="s">
        <v>14194</v>
      </c>
    </row>
    <row r="1573" hidden="1" spans="1:15">
      <c r="A1573" s="404">
        <v>0</v>
      </c>
      <c r="B1573" s="433" t="e">
        <v>#N/A</v>
      </c>
      <c r="C1573" s="433"/>
      <c r="D1573" s="334"/>
      <c r="E1573" s="434">
        <v>0</v>
      </c>
      <c r="F1573" s="333" t="e">
        <v>#N/A</v>
      </c>
      <c r="G1573" s="334"/>
      <c r="I1573" s="395" t="e">
        <v>#N/A</v>
      </c>
      <c r="J1573" s="395"/>
      <c r="K1573" s="395"/>
      <c r="L1573" s="346" t="s">
        <v>932</v>
      </c>
    </row>
    <row r="1574" hidden="1" spans="1:15">
      <c r="A1574" s="404">
        <v>0</v>
      </c>
      <c r="B1574" s="404" t="e">
        <v>#N/A</v>
      </c>
      <c r="C1574" s="404"/>
      <c r="D1574" s="334"/>
      <c r="E1574" s="434">
        <v>0</v>
      </c>
      <c r="F1574" s="333" t="e">
        <v>#N/A</v>
      </c>
      <c r="G1574" s="334"/>
      <c r="I1574" s="395" t="e">
        <v>#N/A</v>
      </c>
      <c r="J1574" s="395"/>
      <c r="K1574" s="395"/>
      <c r="L1574" s="346" t="s">
        <v>932</v>
      </c>
    </row>
    <row r="1575" hidden="1" spans="1:15">
      <c r="A1575" s="404">
        <v>0</v>
      </c>
      <c r="B1575" s="404" t="e">
        <v>#N/A</v>
      </c>
      <c r="C1575" s="404"/>
      <c r="D1575" s="334"/>
      <c r="E1575" s="434">
        <v>0</v>
      </c>
      <c r="F1575" s="333" t="e">
        <v>#N/A</v>
      </c>
      <c r="G1575" s="334"/>
      <c r="I1575" s="395" t="e">
        <v>#N/A</v>
      </c>
      <c r="J1575" s="395"/>
      <c r="K1575" s="395"/>
      <c r="L1575" s="346" t="s">
        <v>932</v>
      </c>
    </row>
    <row r="1576" hidden="1" spans="1:15">
      <c r="A1576" s="404">
        <v>0</v>
      </c>
      <c r="B1576" s="404" t="e">
        <v>#N/A</v>
      </c>
      <c r="C1576" s="404"/>
      <c r="D1576" s="334"/>
      <c r="E1576" s="434">
        <v>0</v>
      </c>
      <c r="F1576" s="333" t="e">
        <v>#N/A</v>
      </c>
      <c r="G1576" s="334"/>
      <c r="I1576" s="395" t="e">
        <v>#N/A</v>
      </c>
      <c r="J1576" s="395"/>
      <c r="K1576" s="395"/>
      <c r="L1576" s="346" t="s">
        <v>932</v>
      </c>
    </row>
    <row r="1577" hidden="1" spans="1:15">
      <c r="A1577" s="404">
        <v>0</v>
      </c>
      <c r="B1577" s="404" t="e">
        <v>#N/A</v>
      </c>
      <c r="C1577" s="404"/>
      <c r="D1577" s="334"/>
      <c r="E1577" s="434">
        <v>0</v>
      </c>
      <c r="F1577" s="333" t="e">
        <v>#N/A</v>
      </c>
      <c r="G1577" s="334"/>
      <c r="H1577" s="334"/>
      <c r="I1577" s="395" t="e">
        <v>#N/A</v>
      </c>
      <c r="J1577" s="395"/>
      <c r="K1577" s="395"/>
      <c r="L1577" s="346" t="s">
        <v>932</v>
      </c>
    </row>
    <row r="1578" hidden="1" spans="1:15">
      <c r="A1578" s="404">
        <v>0</v>
      </c>
      <c r="B1578" s="404" t="e">
        <v>#N/A</v>
      </c>
      <c r="C1578" s="404"/>
      <c r="D1578" s="334"/>
      <c r="E1578" s="434">
        <v>0</v>
      </c>
      <c r="F1578" s="333" t="e">
        <v>#N/A</v>
      </c>
      <c r="G1578" s="334"/>
      <c r="H1578" s="334"/>
      <c r="I1578" s="395" t="e">
        <v>#N/A</v>
      </c>
      <c r="J1578" s="395"/>
      <c r="K1578" s="395"/>
      <c r="L1578" s="346" t="s">
        <v>932</v>
      </c>
    </row>
    <row r="1579" hidden="1" spans="1:15">
      <c r="A1579" s="404">
        <v>0</v>
      </c>
      <c r="B1579" s="404" t="e">
        <v>#N/A</v>
      </c>
      <c r="C1579" s="404"/>
      <c r="D1579" s="334"/>
      <c r="E1579" s="434">
        <v>0</v>
      </c>
      <c r="F1579" s="333" t="e">
        <v>#N/A</v>
      </c>
      <c r="G1579" s="334"/>
      <c r="H1579" s="334"/>
      <c r="I1579" s="395" t="e">
        <v>#N/A</v>
      </c>
      <c r="J1579" s="395"/>
      <c r="K1579" s="395"/>
      <c r="L1579" s="346" t="s">
        <v>932</v>
      </c>
    </row>
    <row r="1580" hidden="1" spans="1:15">
      <c r="A1580" s="404">
        <v>0</v>
      </c>
      <c r="B1580" s="404" t="e">
        <v>#N/A</v>
      </c>
      <c r="C1580" s="404"/>
      <c r="D1580" s="438"/>
      <c r="E1580" s="434">
        <v>0</v>
      </c>
      <c r="F1580" s="333" t="e">
        <v>#N/A</v>
      </c>
      <c r="G1580" s="334"/>
      <c r="H1580" s="334"/>
      <c r="I1580" s="395" t="e">
        <v>#N/A</v>
      </c>
      <c r="J1580" s="395"/>
      <c r="K1580" s="395"/>
      <c r="L1580" s="346" t="s">
        <v>932</v>
      </c>
    </row>
    <row r="1581" hidden="1" spans="1:15">
      <c r="A1581" s="421"/>
      <c r="B1581" s="422"/>
      <c r="C1581" s="422"/>
      <c r="D1581" s="422"/>
      <c r="E1581" s="423"/>
      <c r="F1581" s="424"/>
      <c r="G1581" s="422"/>
      <c r="H1581" s="422"/>
      <c r="I1581" s="430"/>
      <c r="J1581" s="430"/>
      <c r="K1581" s="425" t="s">
        <v>14203</v>
      </c>
      <c r="L1581" s="426">
        <v>0</v>
      </c>
    </row>
    <row r="1582" hidden="1" spans="1:15">
      <c r="A1582" s="428" t="s">
        <v>14204</v>
      </c>
      <c r="B1582" s="430"/>
      <c r="C1582" s="430"/>
      <c r="D1582" s="430"/>
      <c r="E1582" s="431" t="s">
        <v>74</v>
      </c>
      <c r="F1582" s="431" t="s">
        <v>1123</v>
      </c>
      <c r="G1582" s="430"/>
      <c r="H1582" s="430"/>
      <c r="I1582" s="425" t="s">
        <v>75</v>
      </c>
      <c r="J1582" s="430"/>
      <c r="K1582" s="430"/>
      <c r="L1582" s="426" t="s">
        <v>14194</v>
      </c>
    </row>
    <row r="1583" hidden="1" spans="1:15">
      <c r="A1583" s="404">
        <v>0</v>
      </c>
      <c r="B1583" s="334" t="e">
        <v>#N/A</v>
      </c>
      <c r="C1583" s="334"/>
      <c r="D1583" s="334"/>
      <c r="E1583" s="434">
        <v>0</v>
      </c>
      <c r="F1583" s="333" t="e">
        <v>#N/A</v>
      </c>
      <c r="G1583" s="439"/>
      <c r="I1583" s="346" t="e">
        <v>#N/A</v>
      </c>
      <c r="L1583" s="346" t="s">
        <v>932</v>
      </c>
    </row>
    <row r="1584" hidden="1" spans="1:15">
      <c r="A1584" s="401">
        <v>0</v>
      </c>
      <c r="B1584" s="334" t="e">
        <v>#N/A</v>
      </c>
      <c r="E1584" s="440">
        <v>0</v>
      </c>
      <c r="F1584" s="333" t="e">
        <v>#N/A</v>
      </c>
      <c r="G1584" s="439"/>
      <c r="I1584" s="346" t="e">
        <v>#N/A</v>
      </c>
      <c r="L1584" s="346" t="s">
        <v>932</v>
      </c>
    </row>
    <row r="1585" hidden="1" spans="1:12">
      <c r="A1585" s="401">
        <v>0</v>
      </c>
      <c r="B1585" s="334" t="e">
        <v>#N/A</v>
      </c>
      <c r="E1585" s="440">
        <v>0</v>
      </c>
      <c r="F1585" s="333" t="e">
        <v>#N/A</v>
      </c>
      <c r="G1585" s="439"/>
      <c r="I1585" s="346" t="e">
        <v>#N/A</v>
      </c>
      <c r="L1585" s="346" t="s">
        <v>932</v>
      </c>
    </row>
    <row r="1586" hidden="1" spans="1:12">
      <c r="A1586" s="401">
        <v>0</v>
      </c>
      <c r="B1586" s="334" t="e">
        <v>#N/A</v>
      </c>
      <c r="E1586" s="440">
        <v>0</v>
      </c>
      <c r="F1586" s="333" t="e">
        <v>#N/A</v>
      </c>
      <c r="G1586" s="439"/>
      <c r="I1586" s="346" t="e">
        <v>#N/A</v>
      </c>
      <c r="L1586" s="346" t="s">
        <v>932</v>
      </c>
    </row>
    <row r="1587" hidden="1" spans="1:12">
      <c r="A1587" s="401">
        <v>0</v>
      </c>
      <c r="B1587" s="334" t="e">
        <v>#N/A</v>
      </c>
      <c r="E1587" s="440">
        <v>0</v>
      </c>
      <c r="F1587" s="333" t="e">
        <v>#N/A</v>
      </c>
      <c r="G1587" s="439"/>
      <c r="I1587" s="346" t="e">
        <v>#N/A</v>
      </c>
      <c r="L1587" s="346" t="s">
        <v>932</v>
      </c>
    </row>
    <row r="1588" hidden="1" spans="1:12">
      <c r="A1588" s="401">
        <v>0</v>
      </c>
      <c r="B1588" s="334" t="e">
        <v>#N/A</v>
      </c>
      <c r="E1588" s="440">
        <v>0</v>
      </c>
      <c r="F1588" s="333" t="e">
        <v>#N/A</v>
      </c>
      <c r="G1588" s="439"/>
      <c r="I1588" s="346" t="e">
        <v>#N/A</v>
      </c>
      <c r="L1588" s="346" t="s">
        <v>932</v>
      </c>
    </row>
    <row r="1589" hidden="1" spans="1:12">
      <c r="A1589" s="421"/>
      <c r="B1589" s="422"/>
      <c r="C1589" s="422"/>
      <c r="D1589" s="422"/>
      <c r="E1589" s="422"/>
      <c r="F1589" s="422"/>
      <c r="G1589" s="422"/>
      <c r="H1589" s="422"/>
      <c r="I1589" s="430"/>
      <c r="J1589" s="430"/>
      <c r="K1589" s="425" t="s">
        <v>14206</v>
      </c>
      <c r="L1589" s="426">
        <v>0</v>
      </c>
    </row>
    <row r="1590" spans="1:12">
      <c r="A1590" s="421"/>
      <c r="B1590" s="422"/>
      <c r="C1590" s="422"/>
      <c r="D1590" s="422"/>
      <c r="E1590" s="422"/>
      <c r="F1590" s="422"/>
      <c r="G1590" s="422"/>
      <c r="H1590" s="422"/>
      <c r="I1590" s="430"/>
      <c r="J1590" s="430"/>
      <c r="K1590" s="425" t="s">
        <v>14207</v>
      </c>
      <c r="L1590" s="426">
        <v>4223.30385663273</v>
      </c>
    </row>
    <row r="1591" hidden="1" spans="1:12">
      <c r="A1591" s="428" t="s">
        <v>14208</v>
      </c>
      <c r="B1591" s="430"/>
      <c r="C1591" s="430"/>
      <c r="D1591" s="431" t="s">
        <v>55</v>
      </c>
      <c r="E1591" s="431" t="s">
        <v>74</v>
      </c>
      <c r="F1591" s="431" t="s">
        <v>1123</v>
      </c>
      <c r="G1591" s="430"/>
      <c r="H1591" s="430"/>
      <c r="I1591" s="425" t="s">
        <v>75</v>
      </c>
      <c r="J1591" s="430"/>
      <c r="K1591" s="430"/>
      <c r="L1591" s="426" t="s">
        <v>14194</v>
      </c>
    </row>
    <row r="1592" hidden="1" spans="1:12">
      <c r="A1592" s="404">
        <v>0</v>
      </c>
      <c r="B1592" s="441" t="e">
        <v>#N/A</v>
      </c>
      <c r="C1592" s="441"/>
      <c r="D1592" s="442">
        <v>0</v>
      </c>
      <c r="E1592" s="434">
        <v>0</v>
      </c>
      <c r="F1592" s="333" t="s">
        <v>9885</v>
      </c>
      <c r="G1592" s="443" t="s">
        <v>14209</v>
      </c>
      <c r="H1592" s="334"/>
      <c r="I1592" s="346">
        <v>0</v>
      </c>
      <c r="J1592" s="334"/>
      <c r="K1592" s="346"/>
      <c r="L1592" s="346" t="s">
        <v>932</v>
      </c>
    </row>
    <row r="1593" hidden="1" spans="1:12">
      <c r="A1593" s="404">
        <v>0</v>
      </c>
      <c r="B1593" s="334" t="e">
        <v>#N/A</v>
      </c>
      <c r="C1593" s="334"/>
      <c r="D1593" s="442">
        <v>0</v>
      </c>
      <c r="E1593" s="434">
        <v>0</v>
      </c>
      <c r="F1593" s="333" t="s">
        <v>9885</v>
      </c>
      <c r="G1593" s="334"/>
      <c r="H1593" s="334"/>
      <c r="I1593" s="346">
        <v>0</v>
      </c>
      <c r="J1593" s="334"/>
      <c r="K1593" s="346"/>
      <c r="L1593" s="346" t="s">
        <v>932</v>
      </c>
    </row>
    <row r="1594" hidden="1" spans="1:12">
      <c r="A1594" s="404">
        <v>0</v>
      </c>
      <c r="B1594" s="334" t="e">
        <v>#N/A</v>
      </c>
      <c r="C1594" s="334"/>
      <c r="D1594" s="442">
        <v>0</v>
      </c>
      <c r="E1594" s="434">
        <v>0</v>
      </c>
      <c r="F1594" s="333" t="s">
        <v>9885</v>
      </c>
      <c r="G1594" s="334"/>
      <c r="H1594" s="334"/>
      <c r="I1594" s="346">
        <v>0</v>
      </c>
      <c r="J1594" s="334"/>
      <c r="K1594" s="346"/>
      <c r="L1594" s="346" t="s">
        <v>932</v>
      </c>
    </row>
    <row r="1595" hidden="1" spans="1:12">
      <c r="A1595" s="404">
        <v>0</v>
      </c>
      <c r="B1595" s="334" t="e">
        <v>#N/A</v>
      </c>
      <c r="C1595" s="334"/>
      <c r="D1595" s="442">
        <v>0</v>
      </c>
      <c r="E1595" s="434">
        <v>0</v>
      </c>
      <c r="F1595" s="333" t="s">
        <v>9885</v>
      </c>
      <c r="G1595" s="334"/>
      <c r="H1595" s="334"/>
      <c r="I1595" s="346">
        <v>0</v>
      </c>
      <c r="J1595" s="334"/>
      <c r="K1595" s="346"/>
      <c r="L1595" s="346" t="s">
        <v>932</v>
      </c>
    </row>
    <row r="1596" hidden="1" spans="1:12">
      <c r="A1596" s="404">
        <v>0</v>
      </c>
      <c r="B1596" s="334" t="e">
        <v>#N/A</v>
      </c>
      <c r="C1596" s="334"/>
      <c r="D1596" s="442">
        <v>0</v>
      </c>
      <c r="E1596" s="434">
        <v>0</v>
      </c>
      <c r="F1596" s="333" t="s">
        <v>9885</v>
      </c>
      <c r="G1596" s="334"/>
      <c r="H1596" s="334"/>
      <c r="I1596" s="346">
        <v>0</v>
      </c>
      <c r="J1596" s="334"/>
      <c r="K1596" s="346"/>
      <c r="L1596" s="346" t="s">
        <v>932</v>
      </c>
    </row>
    <row r="1597" hidden="1" spans="1:12">
      <c r="A1597" s="404">
        <v>0</v>
      </c>
      <c r="B1597" s="334" t="e">
        <v>#N/A</v>
      </c>
      <c r="C1597" s="334"/>
      <c r="D1597" s="442">
        <v>0</v>
      </c>
      <c r="E1597" s="434">
        <v>0</v>
      </c>
      <c r="F1597" s="333" t="s">
        <v>9885</v>
      </c>
      <c r="G1597" s="334"/>
      <c r="H1597" s="334"/>
      <c r="I1597" s="346">
        <v>0</v>
      </c>
      <c r="J1597" s="334"/>
      <c r="K1597" s="346"/>
      <c r="L1597" s="346" t="s">
        <v>932</v>
      </c>
    </row>
    <row r="1598" hidden="1" spans="1:12">
      <c r="A1598" s="404">
        <v>0</v>
      </c>
      <c r="B1598" s="334" t="e">
        <v>#N/A</v>
      </c>
      <c r="C1598" s="334"/>
      <c r="D1598" s="442">
        <v>0</v>
      </c>
      <c r="E1598" s="434">
        <v>0</v>
      </c>
      <c r="F1598" s="333" t="s">
        <v>9885</v>
      </c>
      <c r="G1598" s="334"/>
      <c r="H1598" s="334"/>
      <c r="I1598" s="346">
        <v>0</v>
      </c>
      <c r="J1598" s="334"/>
      <c r="K1598" s="346"/>
      <c r="L1598" s="346" t="s">
        <v>932</v>
      </c>
    </row>
    <row r="1599" hidden="1" spans="1:12">
      <c r="A1599" s="404">
        <v>0</v>
      </c>
      <c r="B1599" s="444" t="e">
        <v>#N/A</v>
      </c>
      <c r="C1599" s="444"/>
      <c r="D1599" s="442">
        <v>0</v>
      </c>
      <c r="E1599" s="434">
        <v>0</v>
      </c>
      <c r="F1599" s="333" t="s">
        <v>9885</v>
      </c>
      <c r="G1599" s="334"/>
      <c r="H1599" s="334"/>
      <c r="I1599" s="346">
        <v>0</v>
      </c>
      <c r="J1599" s="334"/>
      <c r="K1599" s="346"/>
      <c r="L1599" s="346" t="s">
        <v>932</v>
      </c>
    </row>
    <row r="1600" hidden="1" spans="1:12">
      <c r="A1600" s="428"/>
      <c r="B1600" s="445"/>
      <c r="C1600" s="445"/>
      <c r="D1600" s="430"/>
      <c r="E1600" s="430"/>
      <c r="F1600" s="430"/>
      <c r="G1600" s="430"/>
      <c r="H1600" s="430"/>
      <c r="I1600" s="430"/>
      <c r="J1600" s="430"/>
      <c r="K1600" s="425" t="s">
        <v>14210</v>
      </c>
      <c r="L1600" s="426">
        <v>0</v>
      </c>
    </row>
    <row r="1601" hidden="1" spans="1:12">
      <c r="A1601" s="446" t="s">
        <v>14211</v>
      </c>
      <c r="B1601" s="445"/>
      <c r="C1601" s="445"/>
      <c r="D1601" s="447" t="s">
        <v>55</v>
      </c>
      <c r="E1601" s="445" t="s">
        <v>74</v>
      </c>
      <c r="F1601" s="447" t="s">
        <v>1123</v>
      </c>
      <c r="G1601" s="445"/>
      <c r="H1601" s="447" t="s">
        <v>72</v>
      </c>
      <c r="I1601" s="447" t="s">
        <v>75</v>
      </c>
      <c r="J1601" s="445"/>
      <c r="K1601" s="448"/>
      <c r="L1601" s="449" t="s">
        <v>14194</v>
      </c>
    </row>
    <row r="1602" hidden="1" spans="1:12">
      <c r="A1602" s="404">
        <v>0</v>
      </c>
      <c r="B1602" s="433" t="e">
        <v>#N/A</v>
      </c>
      <c r="C1602" s="433"/>
      <c r="D1602" s="442">
        <v>0</v>
      </c>
      <c r="E1602" s="450">
        <v>0</v>
      </c>
      <c r="F1602" s="333" t="s">
        <v>13063</v>
      </c>
      <c r="G1602" s="333" t="s">
        <v>14212</v>
      </c>
      <c r="H1602" s="346">
        <v>0</v>
      </c>
      <c r="I1602" s="346">
        <v>0</v>
      </c>
      <c r="J1602" s="346"/>
      <c r="K1602" s="334"/>
      <c r="L1602" s="346" t="s">
        <v>932</v>
      </c>
    </row>
    <row r="1603" hidden="1" spans="1:12">
      <c r="A1603" s="404"/>
      <c r="B1603" s="404"/>
      <c r="C1603" s="334"/>
      <c r="D1603" s="442">
        <v>0</v>
      </c>
      <c r="E1603" s="450">
        <v>0</v>
      </c>
      <c r="F1603" s="333" t="s">
        <v>13063</v>
      </c>
      <c r="G1603" s="333" t="s">
        <v>14213</v>
      </c>
      <c r="H1603" s="346">
        <v>0</v>
      </c>
      <c r="I1603" s="346">
        <v>0</v>
      </c>
      <c r="J1603" s="346"/>
      <c r="K1603" s="334"/>
      <c r="L1603" s="346" t="s">
        <v>932</v>
      </c>
    </row>
    <row r="1604" hidden="1" spans="1:12">
      <c r="A1604" s="404"/>
      <c r="B1604" s="404"/>
      <c r="C1604" s="334"/>
      <c r="D1604" s="442">
        <v>0</v>
      </c>
      <c r="E1604" s="450">
        <v>0</v>
      </c>
      <c r="F1604" s="333" t="s">
        <v>13063</v>
      </c>
      <c r="G1604" s="333" t="s">
        <v>14214</v>
      </c>
      <c r="H1604" s="346">
        <v>0</v>
      </c>
      <c r="I1604" s="346">
        <v>0</v>
      </c>
      <c r="J1604" s="346"/>
      <c r="K1604" s="334"/>
      <c r="L1604" s="346" t="s">
        <v>932</v>
      </c>
    </row>
    <row r="1605" hidden="1" spans="1:12">
      <c r="A1605" s="404">
        <v>0</v>
      </c>
      <c r="B1605" s="404" t="e">
        <v>#N/A</v>
      </c>
      <c r="C1605" s="404"/>
      <c r="D1605" s="442">
        <v>0</v>
      </c>
      <c r="E1605" s="450">
        <v>0</v>
      </c>
      <c r="F1605" s="333" t="s">
        <v>13063</v>
      </c>
      <c r="G1605" s="333" t="s">
        <v>14212</v>
      </c>
      <c r="H1605" s="346">
        <v>0</v>
      </c>
      <c r="I1605" s="346">
        <v>0</v>
      </c>
      <c r="J1605" s="346"/>
      <c r="K1605" s="334"/>
      <c r="L1605" s="346" t="s">
        <v>932</v>
      </c>
    </row>
    <row r="1606" hidden="1" spans="1:12">
      <c r="A1606" s="404"/>
      <c r="B1606" s="404"/>
      <c r="C1606" s="334"/>
      <c r="D1606" s="442">
        <v>0</v>
      </c>
      <c r="E1606" s="450">
        <v>0</v>
      </c>
      <c r="F1606" s="333" t="s">
        <v>13063</v>
      </c>
      <c r="G1606" s="333" t="s">
        <v>14213</v>
      </c>
      <c r="H1606" s="346">
        <v>0</v>
      </c>
      <c r="I1606" s="346">
        <v>0</v>
      </c>
      <c r="J1606" s="346"/>
      <c r="K1606" s="334"/>
      <c r="L1606" s="346" t="s">
        <v>932</v>
      </c>
    </row>
    <row r="1607" hidden="1" spans="1:12">
      <c r="A1607" s="404"/>
      <c r="B1607" s="404"/>
      <c r="C1607" s="334"/>
      <c r="D1607" s="442">
        <v>0</v>
      </c>
      <c r="E1607" s="450">
        <v>0</v>
      </c>
      <c r="F1607" s="333" t="s">
        <v>13063</v>
      </c>
      <c r="G1607" s="333" t="s">
        <v>14214</v>
      </c>
      <c r="H1607" s="346">
        <v>0</v>
      </c>
      <c r="I1607" s="346">
        <v>0</v>
      </c>
      <c r="J1607" s="346"/>
      <c r="K1607" s="334"/>
      <c r="L1607" s="346" t="s">
        <v>932</v>
      </c>
    </row>
    <row r="1608" hidden="1" spans="1:12">
      <c r="A1608" s="404">
        <v>0</v>
      </c>
      <c r="B1608" s="404" t="e">
        <v>#N/A</v>
      </c>
      <c r="C1608" s="404"/>
      <c r="D1608" s="442">
        <v>0</v>
      </c>
      <c r="E1608" s="450">
        <v>0</v>
      </c>
      <c r="F1608" s="333" t="s">
        <v>13063</v>
      </c>
      <c r="G1608" s="333" t="s">
        <v>14212</v>
      </c>
      <c r="H1608" s="346">
        <v>0</v>
      </c>
      <c r="I1608" s="346">
        <v>0</v>
      </c>
      <c r="J1608" s="346"/>
      <c r="K1608" s="334"/>
      <c r="L1608" s="346" t="s">
        <v>932</v>
      </c>
    </row>
    <row r="1609" hidden="1" spans="1:12">
      <c r="A1609" s="404"/>
      <c r="B1609" s="404"/>
      <c r="C1609" s="334"/>
      <c r="D1609" s="442">
        <v>0</v>
      </c>
      <c r="E1609" s="450">
        <v>0</v>
      </c>
      <c r="F1609" s="333" t="s">
        <v>13063</v>
      </c>
      <c r="G1609" s="333" t="s">
        <v>14213</v>
      </c>
      <c r="H1609" s="346">
        <v>0</v>
      </c>
      <c r="I1609" s="346">
        <v>0</v>
      </c>
      <c r="J1609" s="346"/>
      <c r="K1609" s="334"/>
      <c r="L1609" s="346" t="s">
        <v>932</v>
      </c>
    </row>
    <row r="1610" hidden="1" spans="1:12">
      <c r="A1610" s="404"/>
      <c r="B1610" s="404"/>
      <c r="C1610" s="334"/>
      <c r="D1610" s="442">
        <v>0</v>
      </c>
      <c r="E1610" s="450">
        <v>0</v>
      </c>
      <c r="F1610" s="333" t="s">
        <v>13063</v>
      </c>
      <c r="G1610" s="333" t="s">
        <v>14214</v>
      </c>
      <c r="H1610" s="346">
        <v>0</v>
      </c>
      <c r="I1610" s="346">
        <v>0</v>
      </c>
      <c r="J1610" s="346"/>
      <c r="K1610" s="334"/>
      <c r="L1610" s="346" t="s">
        <v>932</v>
      </c>
    </row>
    <row r="1611" hidden="1" spans="1:12">
      <c r="A1611" s="404">
        <v>0</v>
      </c>
      <c r="B1611" s="404" t="e">
        <v>#N/A</v>
      </c>
      <c r="C1611" s="404"/>
      <c r="D1611" s="442">
        <v>0</v>
      </c>
      <c r="E1611" s="450">
        <v>0</v>
      </c>
      <c r="F1611" s="333" t="s">
        <v>13063</v>
      </c>
      <c r="G1611" s="333" t="s">
        <v>14212</v>
      </c>
      <c r="H1611" s="346">
        <v>0</v>
      </c>
      <c r="I1611" s="346">
        <v>0</v>
      </c>
      <c r="J1611" s="346"/>
      <c r="K1611" s="334"/>
      <c r="L1611" s="346" t="s">
        <v>932</v>
      </c>
    </row>
    <row r="1612" hidden="1" spans="1:12">
      <c r="A1612" s="404"/>
      <c r="B1612" s="404"/>
      <c r="C1612" s="334"/>
      <c r="D1612" s="442">
        <v>0</v>
      </c>
      <c r="E1612" s="450">
        <v>0</v>
      </c>
      <c r="F1612" s="333" t="s">
        <v>13063</v>
      </c>
      <c r="G1612" s="333" t="s">
        <v>14213</v>
      </c>
      <c r="H1612" s="346">
        <v>0</v>
      </c>
      <c r="I1612" s="346">
        <v>0</v>
      </c>
      <c r="J1612" s="346"/>
      <c r="K1612" s="334"/>
      <c r="L1612" s="346" t="s">
        <v>932</v>
      </c>
    </row>
    <row r="1613" hidden="1" spans="1:12">
      <c r="A1613" s="404"/>
      <c r="B1613" s="404"/>
      <c r="C1613" s="334"/>
      <c r="D1613" s="442">
        <v>0</v>
      </c>
      <c r="E1613" s="450">
        <v>0</v>
      </c>
      <c r="F1613" s="333" t="s">
        <v>13063</v>
      </c>
      <c r="G1613" s="333" t="s">
        <v>14214</v>
      </c>
      <c r="H1613" s="346">
        <v>0</v>
      </c>
      <c r="I1613" s="346">
        <v>0</v>
      </c>
      <c r="J1613" s="346"/>
      <c r="K1613" s="334"/>
      <c r="L1613" s="346" t="s">
        <v>932</v>
      </c>
    </row>
    <row r="1614" hidden="1" spans="1:12">
      <c r="A1614" s="404">
        <v>0</v>
      </c>
      <c r="B1614" s="404" t="e">
        <v>#N/A</v>
      </c>
      <c r="C1614" s="404"/>
      <c r="D1614" s="442">
        <v>0</v>
      </c>
      <c r="E1614" s="450">
        <v>0</v>
      </c>
      <c r="F1614" s="333" t="s">
        <v>13063</v>
      </c>
      <c r="G1614" s="333" t="s">
        <v>14212</v>
      </c>
      <c r="H1614" s="346">
        <v>0</v>
      </c>
      <c r="I1614" s="346">
        <v>0</v>
      </c>
      <c r="J1614" s="346"/>
      <c r="K1614" s="334"/>
      <c r="L1614" s="346" t="s">
        <v>932</v>
      </c>
    </row>
    <row r="1615" hidden="1" spans="1:12">
      <c r="A1615" s="404"/>
      <c r="B1615" s="404"/>
      <c r="C1615" s="334"/>
      <c r="D1615" s="442">
        <v>0</v>
      </c>
      <c r="E1615" s="450">
        <v>0</v>
      </c>
      <c r="F1615" s="333" t="s">
        <v>13063</v>
      </c>
      <c r="G1615" s="333" t="s">
        <v>14213</v>
      </c>
      <c r="H1615" s="346">
        <v>0</v>
      </c>
      <c r="I1615" s="346">
        <v>0</v>
      </c>
      <c r="J1615" s="346"/>
      <c r="K1615" s="334"/>
      <c r="L1615" s="346" t="s">
        <v>932</v>
      </c>
    </row>
    <row r="1616" hidden="1" spans="1:12">
      <c r="A1616" s="404"/>
      <c r="B1616" s="404"/>
      <c r="C1616" s="334"/>
      <c r="D1616" s="442">
        <v>0</v>
      </c>
      <c r="E1616" s="450">
        <v>0</v>
      </c>
      <c r="F1616" s="333" t="s">
        <v>13063</v>
      </c>
      <c r="G1616" s="333" t="s">
        <v>14214</v>
      </c>
      <c r="H1616" s="346">
        <v>0</v>
      </c>
      <c r="I1616" s="346">
        <v>0</v>
      </c>
      <c r="J1616" s="346"/>
      <c r="K1616" s="334"/>
      <c r="L1616" s="346" t="s">
        <v>932</v>
      </c>
    </row>
    <row r="1617" hidden="1" spans="1:12">
      <c r="A1617" s="401">
        <v>0</v>
      </c>
      <c r="B1617" s="401" t="e">
        <v>#N/A</v>
      </c>
      <c r="C1617" s="401"/>
      <c r="D1617" s="442">
        <v>0</v>
      </c>
      <c r="E1617" s="450">
        <v>0</v>
      </c>
      <c r="F1617" s="439" t="s">
        <v>13063</v>
      </c>
      <c r="G1617" s="439" t="s">
        <v>14212</v>
      </c>
      <c r="H1617" s="346">
        <v>0</v>
      </c>
      <c r="I1617" s="346">
        <v>0</v>
      </c>
      <c r="J1617" s="395"/>
      <c r="L1617" s="346" t="s">
        <v>932</v>
      </c>
    </row>
    <row r="1618" hidden="1" spans="1:12">
      <c r="A1618" s="401"/>
      <c r="B1618" s="401"/>
      <c r="D1618" s="442">
        <v>0</v>
      </c>
      <c r="E1618" s="450">
        <v>0</v>
      </c>
      <c r="F1618" s="439" t="s">
        <v>13063</v>
      </c>
      <c r="G1618" s="439" t="s">
        <v>14213</v>
      </c>
      <c r="H1618" s="346">
        <v>0</v>
      </c>
      <c r="I1618" s="346">
        <v>0</v>
      </c>
      <c r="J1618" s="395"/>
      <c r="L1618" s="346" t="s">
        <v>932</v>
      </c>
    </row>
    <row r="1619" hidden="1" spans="1:12">
      <c r="A1619" s="401"/>
      <c r="B1619" s="401"/>
      <c r="D1619" s="442">
        <v>0</v>
      </c>
      <c r="E1619" s="450">
        <v>0</v>
      </c>
      <c r="F1619" s="439" t="s">
        <v>13063</v>
      </c>
      <c r="G1619" s="439" t="s">
        <v>14214</v>
      </c>
      <c r="H1619" s="346">
        <v>0</v>
      </c>
      <c r="I1619" s="346">
        <v>0</v>
      </c>
      <c r="J1619" s="395"/>
      <c r="L1619" s="346" t="s">
        <v>932</v>
      </c>
    </row>
    <row r="1620" hidden="1" spans="1:12">
      <c r="A1620" s="401">
        <v>0</v>
      </c>
      <c r="B1620" s="401" t="e">
        <v>#N/A</v>
      </c>
      <c r="C1620" s="401"/>
      <c r="D1620" s="442">
        <v>0</v>
      </c>
      <c r="E1620" s="450">
        <v>0</v>
      </c>
      <c r="F1620" s="439" t="s">
        <v>13063</v>
      </c>
      <c r="G1620" s="439" t="s">
        <v>14212</v>
      </c>
      <c r="H1620" s="346">
        <v>0</v>
      </c>
      <c r="I1620" s="346">
        <v>0</v>
      </c>
      <c r="J1620" s="395"/>
      <c r="L1620" s="346" t="s">
        <v>932</v>
      </c>
    </row>
    <row r="1621" hidden="1" spans="1:12">
      <c r="A1621" s="401"/>
      <c r="B1621" s="401"/>
      <c r="D1621" s="442">
        <v>0</v>
      </c>
      <c r="E1621" s="450">
        <v>0</v>
      </c>
      <c r="F1621" s="439" t="s">
        <v>13063</v>
      </c>
      <c r="G1621" s="439" t="s">
        <v>14213</v>
      </c>
      <c r="H1621" s="346">
        <v>0</v>
      </c>
      <c r="I1621" s="346">
        <v>0</v>
      </c>
      <c r="J1621" s="395"/>
      <c r="L1621" s="346" t="s">
        <v>932</v>
      </c>
    </row>
    <row r="1622" hidden="1" spans="1:12">
      <c r="A1622" s="401"/>
      <c r="B1622" s="401"/>
      <c r="D1622" s="442">
        <v>0</v>
      </c>
      <c r="E1622" s="450">
        <v>0</v>
      </c>
      <c r="F1622" s="439" t="s">
        <v>13063</v>
      </c>
      <c r="G1622" s="439" t="s">
        <v>14214</v>
      </c>
      <c r="H1622" s="346">
        <v>0</v>
      </c>
      <c r="I1622" s="346">
        <v>0</v>
      </c>
      <c r="J1622" s="395"/>
      <c r="L1622" s="346" t="s">
        <v>932</v>
      </c>
    </row>
    <row r="1623" hidden="1" spans="1:12">
      <c r="A1623" s="401">
        <v>0</v>
      </c>
      <c r="B1623" s="401" t="e">
        <v>#N/A</v>
      </c>
      <c r="C1623" s="401"/>
      <c r="D1623" s="442">
        <v>0</v>
      </c>
      <c r="E1623" s="450">
        <v>0</v>
      </c>
      <c r="F1623" s="439" t="s">
        <v>13063</v>
      </c>
      <c r="G1623" s="439" t="s">
        <v>14212</v>
      </c>
      <c r="H1623" s="346">
        <v>0</v>
      </c>
      <c r="I1623" s="346">
        <v>0</v>
      </c>
      <c r="J1623" s="395"/>
      <c r="L1623" s="346" t="s">
        <v>932</v>
      </c>
    </row>
    <row r="1624" hidden="1" spans="1:12">
      <c r="A1624" s="401"/>
      <c r="B1624" s="401"/>
      <c r="D1624" s="442">
        <v>0</v>
      </c>
      <c r="E1624" s="450">
        <v>0</v>
      </c>
      <c r="F1624" s="439" t="s">
        <v>13063</v>
      </c>
      <c r="G1624" s="439" t="s">
        <v>14213</v>
      </c>
      <c r="H1624" s="346">
        <v>0</v>
      </c>
      <c r="I1624" s="346">
        <v>0</v>
      </c>
      <c r="J1624" s="395"/>
      <c r="L1624" s="346" t="s">
        <v>932</v>
      </c>
    </row>
    <row r="1625" hidden="1" spans="1:12">
      <c r="A1625" s="401"/>
      <c r="B1625" s="401"/>
      <c r="D1625" s="442">
        <v>0</v>
      </c>
      <c r="E1625" s="450">
        <v>0</v>
      </c>
      <c r="F1625" s="439" t="s">
        <v>13063</v>
      </c>
      <c r="G1625" s="439" t="s">
        <v>14214</v>
      </c>
      <c r="H1625" s="346">
        <v>0</v>
      </c>
      <c r="I1625" s="346">
        <v>0</v>
      </c>
      <c r="J1625" s="395"/>
      <c r="L1625" s="346" t="s">
        <v>932</v>
      </c>
    </row>
    <row r="1626" hidden="1" spans="1:12">
      <c r="A1626" s="421"/>
      <c r="B1626" s="422"/>
      <c r="C1626" s="422"/>
      <c r="D1626" s="422"/>
      <c r="E1626" s="422"/>
      <c r="F1626" s="422"/>
      <c r="G1626" s="422"/>
      <c r="H1626" s="422"/>
      <c r="I1626" s="430"/>
      <c r="J1626" s="430"/>
      <c r="K1626" s="425" t="s">
        <v>14215</v>
      </c>
      <c r="L1626" s="426">
        <v>0</v>
      </c>
    </row>
    <row r="1627" spans="1:12">
      <c r="A1627" s="451"/>
      <c r="B1627" s="452"/>
      <c r="C1627" s="452"/>
      <c r="D1627" s="452"/>
      <c r="E1627" s="452"/>
      <c r="F1627" s="452"/>
      <c r="G1627" s="452"/>
      <c r="H1627" s="452"/>
      <c r="I1627" s="453"/>
      <c r="J1627" s="453"/>
      <c r="K1627" s="454" t="s">
        <v>14216</v>
      </c>
      <c r="L1627" s="455">
        <v>4223.3</v>
      </c>
    </row>
    <row r="1629" spans="1:12">
      <c r="A1629" s="391" t="s">
        <v>14172</v>
      </c>
      <c r="B1629" s="472"/>
      <c r="C1629" s="472"/>
      <c r="D1629" s="472"/>
      <c r="E1629" s="472"/>
      <c r="F1629" s="472"/>
      <c r="G1629" s="393"/>
      <c r="H1629" s="393"/>
      <c r="I1629" s="393"/>
      <c r="J1629" s="393"/>
      <c r="K1629" s="393"/>
      <c r="L1629" s="471"/>
    </row>
    <row r="1630" spans="1:12">
      <c r="A1630" s="473">
        <v>5214001</v>
      </c>
      <c r="B1630" s="397" t="s">
        <v>138</v>
      </c>
      <c r="C1630" s="397"/>
      <c r="D1630" s="397"/>
      <c r="E1630" s="397"/>
      <c r="F1630" s="397"/>
      <c r="G1630" s="397"/>
      <c r="H1630" s="397" t="s">
        <v>7</v>
      </c>
      <c r="I1630" s="398">
        <v>46023</v>
      </c>
      <c r="J1630" s="397"/>
      <c r="K1630" s="399" t="s">
        <v>14173</v>
      </c>
      <c r="L1630" s="400">
        <v>0</v>
      </c>
    </row>
    <row r="1631" spans="1:12">
      <c r="A1631" s="401"/>
      <c r="H1631" s="402" t="s">
        <v>14174</v>
      </c>
      <c r="I1631" s="434">
        <v>190.9</v>
      </c>
      <c r="J1631" s="404" t="s">
        <v>7</v>
      </c>
      <c r="K1631" s="402" t="s">
        <v>14175</v>
      </c>
      <c r="L1631" s="456">
        <v>0.03814</v>
      </c>
    </row>
    <row r="1632" spans="1:12">
      <c r="A1632" s="405"/>
      <c r="B1632" s="405"/>
      <c r="C1632" s="405"/>
      <c r="D1632" s="406"/>
      <c r="E1632" s="406"/>
      <c r="F1632" s="406"/>
      <c r="G1632" s="407" t="s">
        <v>14176</v>
      </c>
      <c r="H1632" s="408"/>
      <c r="I1632" s="407" t="s">
        <v>14177</v>
      </c>
      <c r="J1632" s="408"/>
      <c r="K1632" s="405"/>
      <c r="L1632" s="409" t="s">
        <v>14178</v>
      </c>
    </row>
    <row r="1633" spans="1:14">
      <c r="A1633" s="410" t="s">
        <v>14179</v>
      </c>
      <c r="B1633" s="411"/>
      <c r="C1633" s="412"/>
      <c r="D1633" s="412"/>
      <c r="E1633" s="413" t="s">
        <v>74</v>
      </c>
      <c r="F1633" s="412"/>
      <c r="G1633" s="413" t="s">
        <v>14180</v>
      </c>
      <c r="H1633" s="413" t="s">
        <v>14181</v>
      </c>
      <c r="I1633" s="413" t="s">
        <v>14182</v>
      </c>
      <c r="J1633" s="413" t="s">
        <v>14183</v>
      </c>
      <c r="K1633" s="411"/>
      <c r="L1633" s="414" t="s">
        <v>14184</v>
      </c>
    </row>
    <row r="1634" spans="1:14">
      <c r="A1634" s="404" t="s">
        <v>1088</v>
      </c>
      <c r="B1634" s="474" t="s">
        <v>1089</v>
      </c>
      <c r="C1634" s="474"/>
      <c r="E1634" s="434">
        <v>1</v>
      </c>
      <c r="F1634" s="334"/>
      <c r="G1634" s="346">
        <v>1</v>
      </c>
      <c r="H1634" s="417">
        <v>0</v>
      </c>
      <c r="I1634" s="395">
        <v>460.2465</v>
      </c>
      <c r="J1634" s="418">
        <v>186.5849</v>
      </c>
      <c r="K1634" s="402"/>
      <c r="L1634" s="395">
        <v>460.2465</v>
      </c>
      <c r="N1634" s="395">
        <v>186.5849</v>
      </c>
    </row>
    <row r="1635" hidden="1" spans="1:14">
      <c r="A1635" s="404">
        <v>0</v>
      </c>
      <c r="B1635" s="404" t="e">
        <v>#N/A</v>
      </c>
      <c r="C1635" s="404"/>
      <c r="D1635" s="334"/>
      <c r="E1635" s="434">
        <v>0</v>
      </c>
      <c r="F1635" s="334"/>
      <c r="G1635" s="346">
        <v>0</v>
      </c>
      <c r="H1635" s="417">
        <v>1</v>
      </c>
      <c r="I1635" s="346" t="e">
        <v>#N/A</v>
      </c>
      <c r="J1635" s="419" t="e">
        <v>#N/A</v>
      </c>
      <c r="K1635" s="420"/>
      <c r="L1635" s="395" t="s">
        <v>932</v>
      </c>
      <c r="N1635" s="395" t="s">
        <v>932</v>
      </c>
    </row>
    <row r="1636" hidden="1" spans="1:14">
      <c r="A1636" s="404">
        <v>0</v>
      </c>
      <c r="B1636" s="404" t="e">
        <v>#N/A</v>
      </c>
      <c r="C1636" s="404"/>
      <c r="D1636" s="334"/>
      <c r="E1636" s="416">
        <v>0</v>
      </c>
      <c r="F1636" s="334"/>
      <c r="G1636" s="346">
        <v>0</v>
      </c>
      <c r="H1636" s="417">
        <v>1</v>
      </c>
      <c r="I1636" s="346" t="e">
        <v>#N/A</v>
      </c>
      <c r="J1636" s="419" t="e">
        <v>#N/A</v>
      </c>
      <c r="K1636" s="420"/>
      <c r="L1636" s="395" t="s">
        <v>932</v>
      </c>
      <c r="N1636" s="395" t="s">
        <v>932</v>
      </c>
    </row>
    <row r="1637" hidden="1" spans="1:14">
      <c r="A1637" s="404">
        <v>0</v>
      </c>
      <c r="B1637" s="404" t="e">
        <v>#N/A</v>
      </c>
      <c r="C1637" s="404"/>
      <c r="D1637" s="334"/>
      <c r="E1637" s="416">
        <v>0</v>
      </c>
      <c r="F1637" s="334"/>
      <c r="G1637" s="346">
        <v>0</v>
      </c>
      <c r="H1637" s="417">
        <v>1</v>
      </c>
      <c r="I1637" s="346" t="e">
        <v>#N/A</v>
      </c>
      <c r="J1637" s="419" t="e">
        <v>#N/A</v>
      </c>
      <c r="K1637" s="420"/>
      <c r="L1637" s="395" t="s">
        <v>932</v>
      </c>
      <c r="N1637" s="395" t="s">
        <v>932</v>
      </c>
    </row>
    <row r="1638" hidden="1" spans="1:14">
      <c r="A1638" s="404">
        <v>0</v>
      </c>
      <c r="B1638" s="404" t="e">
        <v>#N/A</v>
      </c>
      <c r="C1638" s="404"/>
      <c r="D1638" s="334"/>
      <c r="E1638" s="416">
        <v>0</v>
      </c>
      <c r="F1638" s="334"/>
      <c r="G1638" s="346">
        <v>0</v>
      </c>
      <c r="H1638" s="417">
        <v>1</v>
      </c>
      <c r="I1638" s="346" t="e">
        <v>#N/A</v>
      </c>
      <c r="J1638" s="419" t="e">
        <v>#N/A</v>
      </c>
      <c r="K1638" s="420"/>
      <c r="L1638" s="395" t="s">
        <v>932</v>
      </c>
      <c r="N1638" s="395" t="s">
        <v>932</v>
      </c>
    </row>
    <row r="1639" hidden="1" spans="1:14">
      <c r="A1639" s="404">
        <v>0</v>
      </c>
      <c r="B1639" s="404" t="e">
        <v>#N/A</v>
      </c>
      <c r="C1639" s="404"/>
      <c r="D1639" s="334"/>
      <c r="E1639" s="416">
        <v>0</v>
      </c>
      <c r="F1639" s="334"/>
      <c r="G1639" s="346">
        <v>0</v>
      </c>
      <c r="H1639" s="417">
        <v>1</v>
      </c>
      <c r="I1639" s="346" t="e">
        <v>#N/A</v>
      </c>
      <c r="J1639" s="419" t="e">
        <v>#N/A</v>
      </c>
      <c r="K1639" s="420"/>
      <c r="L1639" s="395" t="s">
        <v>932</v>
      </c>
      <c r="N1639" s="395" t="s">
        <v>932</v>
      </c>
    </row>
    <row r="1640" hidden="1" spans="1:14">
      <c r="A1640" s="404">
        <v>0</v>
      </c>
      <c r="B1640" s="404" t="e">
        <v>#N/A</v>
      </c>
      <c r="C1640" s="404"/>
      <c r="D1640" s="334"/>
      <c r="E1640" s="416">
        <v>0</v>
      </c>
      <c r="F1640" s="334"/>
      <c r="G1640" s="346">
        <v>0</v>
      </c>
      <c r="H1640" s="417">
        <v>1</v>
      </c>
      <c r="I1640" s="346" t="e">
        <v>#N/A</v>
      </c>
      <c r="J1640" s="419" t="e">
        <v>#N/A</v>
      </c>
      <c r="K1640" s="420"/>
      <c r="L1640" s="395" t="s">
        <v>932</v>
      </c>
      <c r="N1640" s="395" t="s">
        <v>932</v>
      </c>
    </row>
    <row r="1641" hidden="1" spans="1:14">
      <c r="A1641" s="404">
        <v>0</v>
      </c>
      <c r="B1641" s="404" t="e">
        <v>#N/A</v>
      </c>
      <c r="C1641" s="404"/>
      <c r="D1641" s="334"/>
      <c r="E1641" s="416">
        <v>0</v>
      </c>
      <c r="F1641" s="334"/>
      <c r="G1641" s="346">
        <v>0</v>
      </c>
      <c r="H1641" s="417">
        <v>1</v>
      </c>
      <c r="I1641" s="346" t="e">
        <v>#N/A</v>
      </c>
      <c r="J1641" s="419" t="e">
        <v>#N/A</v>
      </c>
      <c r="K1641" s="420"/>
      <c r="L1641" s="395" t="s">
        <v>932</v>
      </c>
      <c r="N1641" s="395" t="s">
        <v>932</v>
      </c>
    </row>
    <row r="1642" spans="1:14">
      <c r="A1642" s="421"/>
      <c r="B1642" s="422"/>
      <c r="C1642" s="422"/>
      <c r="D1642" s="422"/>
      <c r="E1642" s="423"/>
      <c r="F1642" s="424"/>
      <c r="G1642" s="422"/>
      <c r="H1642" s="422"/>
      <c r="I1642" s="422"/>
      <c r="J1642" s="422"/>
      <c r="K1642" s="425" t="s">
        <v>14185</v>
      </c>
      <c r="L1642" s="426">
        <v>460.2465</v>
      </c>
      <c r="N1642" s="427">
        <v>186.5849</v>
      </c>
    </row>
    <row r="1643" spans="1:14">
      <c r="A1643" s="428" t="s">
        <v>14186</v>
      </c>
      <c r="B1643" s="429"/>
      <c r="C1643" s="429"/>
      <c r="D1643" s="430"/>
      <c r="E1643" s="431" t="s">
        <v>74</v>
      </c>
      <c r="F1643" s="431" t="s">
        <v>1123</v>
      </c>
      <c r="G1643" s="430"/>
      <c r="H1643" s="422"/>
      <c r="I1643" s="431" t="s">
        <v>14177</v>
      </c>
      <c r="J1643" s="430"/>
      <c r="K1643" s="430"/>
      <c r="L1643" s="432" t="s">
        <v>14187</v>
      </c>
    </row>
    <row r="1644" spans="1:14">
      <c r="A1644" s="404" t="s">
        <v>1016</v>
      </c>
      <c r="B1644" s="433" t="s">
        <v>1017</v>
      </c>
      <c r="C1644" s="433"/>
      <c r="D1644" s="334"/>
      <c r="E1644" s="434">
        <v>1</v>
      </c>
      <c r="F1644" s="333" t="s">
        <v>104</v>
      </c>
      <c r="G1644" s="334"/>
      <c r="H1644" s="334"/>
      <c r="I1644" s="435">
        <v>26.0801</v>
      </c>
      <c r="J1644" s="334"/>
      <c r="K1644" s="334"/>
      <c r="L1644" s="346">
        <v>26.0801</v>
      </c>
      <c r="N1644" s="395">
        <v>26.0801</v>
      </c>
    </row>
    <row r="1645" spans="1:14">
      <c r="A1645" s="404" t="s">
        <v>935</v>
      </c>
      <c r="B1645" s="404" t="s">
        <v>936</v>
      </c>
      <c r="C1645" s="404"/>
      <c r="D1645" s="334"/>
      <c r="E1645" s="434">
        <v>4</v>
      </c>
      <c r="F1645" s="333" t="s">
        <v>104</v>
      </c>
      <c r="G1645" s="334"/>
      <c r="H1645" s="334"/>
      <c r="I1645" s="435">
        <v>23.6025</v>
      </c>
      <c r="J1645" s="334"/>
      <c r="K1645" s="334"/>
      <c r="L1645" s="346">
        <v>94.41</v>
      </c>
      <c r="N1645" s="395">
        <v>94.41</v>
      </c>
    </row>
    <row r="1646" hidden="1" spans="1:14">
      <c r="A1646" s="404">
        <v>0</v>
      </c>
      <c r="B1646" s="404" t="e">
        <v>#N/A</v>
      </c>
      <c r="C1646" s="404"/>
      <c r="D1646" s="334"/>
      <c r="E1646" s="434">
        <v>0</v>
      </c>
      <c r="F1646" s="333" t="s">
        <v>104</v>
      </c>
      <c r="G1646" s="334"/>
      <c r="H1646" s="334"/>
      <c r="I1646" s="435" t="e">
        <v>#N/A</v>
      </c>
      <c r="J1646" s="334"/>
      <c r="K1646" s="334"/>
      <c r="L1646" s="346" t="s">
        <v>932</v>
      </c>
      <c r="N1646" s="395" t="s">
        <v>932</v>
      </c>
    </row>
    <row r="1647" hidden="1" spans="1:14">
      <c r="A1647" s="404">
        <v>0</v>
      </c>
      <c r="B1647" s="404" t="e">
        <v>#N/A</v>
      </c>
      <c r="C1647" s="404"/>
      <c r="D1647" s="334"/>
      <c r="E1647" s="434">
        <v>0</v>
      </c>
      <c r="F1647" s="333" t="s">
        <v>104</v>
      </c>
      <c r="G1647" s="334"/>
      <c r="H1647" s="334"/>
      <c r="I1647" s="435" t="e">
        <v>#N/A</v>
      </c>
      <c r="J1647" s="334"/>
      <c r="K1647" s="334"/>
      <c r="L1647" s="346" t="s">
        <v>932</v>
      </c>
      <c r="N1647" s="395" t="s">
        <v>932</v>
      </c>
    </row>
    <row r="1648" hidden="1" spans="1:14">
      <c r="A1648" s="404">
        <v>0</v>
      </c>
      <c r="B1648" s="404" t="e">
        <v>#N/A</v>
      </c>
      <c r="C1648" s="404"/>
      <c r="D1648" s="334"/>
      <c r="E1648" s="434">
        <v>0</v>
      </c>
      <c r="F1648" s="333" t="s">
        <v>104</v>
      </c>
      <c r="G1648" s="334"/>
      <c r="H1648" s="334"/>
      <c r="I1648" s="435" t="e">
        <v>#N/A</v>
      </c>
      <c r="J1648" s="334"/>
      <c r="K1648" s="334"/>
      <c r="L1648" s="346" t="s">
        <v>932</v>
      </c>
      <c r="N1648" s="395" t="s">
        <v>932</v>
      </c>
    </row>
    <row r="1649" hidden="1" spans="1:15">
      <c r="A1649" s="404">
        <v>0</v>
      </c>
      <c r="B1649" s="404" t="e">
        <v>#N/A</v>
      </c>
      <c r="C1649" s="404"/>
      <c r="D1649" s="334"/>
      <c r="E1649" s="434">
        <v>0</v>
      </c>
      <c r="F1649" s="333" t="s">
        <v>104</v>
      </c>
      <c r="G1649" s="334"/>
      <c r="H1649" s="334"/>
      <c r="I1649" s="435" t="e">
        <v>#N/A</v>
      </c>
      <c r="J1649" s="334"/>
      <c r="K1649" s="334"/>
      <c r="L1649" s="346" t="s">
        <v>932</v>
      </c>
      <c r="N1649" s="395" t="s">
        <v>932</v>
      </c>
    </row>
    <row r="1650" hidden="1" spans="1:15">
      <c r="A1650" s="404">
        <v>0</v>
      </c>
      <c r="B1650" s="404" t="e">
        <v>#N/A</v>
      </c>
      <c r="C1650" s="404"/>
      <c r="D1650" s="334"/>
      <c r="E1650" s="434">
        <v>0</v>
      </c>
      <c r="F1650" s="333" t="s">
        <v>104</v>
      </c>
      <c r="G1650" s="334"/>
      <c r="H1650" s="334"/>
      <c r="I1650" s="435" t="e">
        <v>#N/A</v>
      </c>
      <c r="J1650" s="334"/>
      <c r="K1650" s="334"/>
      <c r="L1650" s="346" t="s">
        <v>932</v>
      </c>
      <c r="N1650" s="395" t="s">
        <v>932</v>
      </c>
    </row>
    <row r="1651" hidden="1" spans="1:15">
      <c r="A1651" s="404">
        <v>0</v>
      </c>
      <c r="B1651" s="436" t="e">
        <v>#N/A</v>
      </c>
      <c r="C1651" s="436"/>
      <c r="D1651" s="334"/>
      <c r="E1651" s="434">
        <v>0</v>
      </c>
      <c r="F1651" s="333" t="s">
        <v>104</v>
      </c>
      <c r="G1651" s="334"/>
      <c r="H1651" s="334"/>
      <c r="I1651" s="435" t="e">
        <v>#N/A</v>
      </c>
      <c r="J1651" s="334"/>
      <c r="K1651" s="334"/>
      <c r="L1651" s="346" t="s">
        <v>932</v>
      </c>
      <c r="N1651" s="395" t="s">
        <v>932</v>
      </c>
    </row>
    <row r="1652" spans="1:15">
      <c r="A1652" s="421"/>
      <c r="B1652" s="62"/>
      <c r="C1652" s="62"/>
      <c r="D1652" s="422"/>
      <c r="E1652" s="423"/>
      <c r="F1652" s="424"/>
      <c r="G1652" s="422"/>
      <c r="H1652" s="422"/>
      <c r="I1652" s="422"/>
      <c r="J1652" s="422"/>
      <c r="K1652" s="425" t="s">
        <v>14188</v>
      </c>
      <c r="L1652" s="426">
        <v>120.4901</v>
      </c>
      <c r="N1652" s="427">
        <v>120.4901</v>
      </c>
    </row>
    <row r="1653" spans="1:15">
      <c r="I1653" s="437"/>
      <c r="K1653" s="383" t="s">
        <v>14189</v>
      </c>
      <c r="L1653" s="427">
        <v>580.7366</v>
      </c>
      <c r="N1653" s="395">
        <v>307.075</v>
      </c>
    </row>
    <row r="1654" spans="1:15">
      <c r="K1654" s="383" t="s">
        <v>14190</v>
      </c>
      <c r="L1654" s="427">
        <v>3.04209848088004</v>
      </c>
      <c r="N1654" s="395">
        <v>1.60856469355684</v>
      </c>
      <c r="O1654" s="395">
        <v>0.0613506574122577</v>
      </c>
    </row>
    <row r="1655" spans="1:15">
      <c r="K1655" s="383" t="s">
        <v>14191</v>
      </c>
      <c r="L1655" s="427">
        <v>0.0613506574122577</v>
      </c>
    </row>
    <row r="1656" spans="1:15">
      <c r="K1656" s="383" t="s">
        <v>14192</v>
      </c>
      <c r="L1656" s="395">
        <v>0</v>
      </c>
    </row>
    <row r="1657" spans="1:15">
      <c r="A1657" s="428" t="s">
        <v>14193</v>
      </c>
      <c r="B1657" s="430"/>
      <c r="C1657" s="430"/>
      <c r="D1657" s="430"/>
      <c r="E1657" s="431" t="s">
        <v>74</v>
      </c>
      <c r="F1657" s="431" t="s">
        <v>1123</v>
      </c>
      <c r="G1657" s="430"/>
      <c r="H1657" s="430"/>
      <c r="I1657" s="425" t="s">
        <v>75</v>
      </c>
      <c r="J1657" s="430"/>
      <c r="K1657" s="430"/>
      <c r="L1657" s="426" t="s">
        <v>14194</v>
      </c>
    </row>
    <row r="1658" spans="1:15">
      <c r="A1658" s="404" t="s">
        <v>14269</v>
      </c>
      <c r="B1658" s="433" t="s">
        <v>14270</v>
      </c>
      <c r="C1658" s="433"/>
      <c r="D1658" s="334"/>
      <c r="E1658" s="434">
        <v>0.06</v>
      </c>
      <c r="F1658" s="333" t="s">
        <v>101</v>
      </c>
      <c r="G1658" s="334"/>
      <c r="I1658" s="395">
        <v>9.3275</v>
      </c>
      <c r="J1658" s="395"/>
      <c r="K1658" s="395"/>
      <c r="L1658" s="346">
        <v>0.55965</v>
      </c>
    </row>
    <row r="1659" spans="1:15">
      <c r="A1659" s="404" t="s">
        <v>14271</v>
      </c>
      <c r="B1659" s="404" t="s">
        <v>14272</v>
      </c>
      <c r="C1659" s="404"/>
      <c r="D1659" s="334"/>
      <c r="E1659" s="434">
        <v>0.35</v>
      </c>
      <c r="F1659" s="333" t="s">
        <v>101</v>
      </c>
      <c r="G1659" s="334"/>
      <c r="I1659" s="395">
        <v>8.999</v>
      </c>
      <c r="J1659" s="395"/>
      <c r="K1659" s="395"/>
      <c r="L1659" s="346">
        <v>3.14965</v>
      </c>
    </row>
    <row r="1660" spans="1:15">
      <c r="A1660" s="404" t="s">
        <v>14273</v>
      </c>
      <c r="B1660" s="404" t="s">
        <v>14274</v>
      </c>
      <c r="C1660" s="404"/>
      <c r="D1660" s="334"/>
      <c r="E1660" s="434">
        <v>0.3</v>
      </c>
      <c r="F1660" s="333" t="s">
        <v>14234</v>
      </c>
      <c r="G1660" s="334"/>
      <c r="I1660" s="395">
        <v>21.2858</v>
      </c>
      <c r="J1660" s="395"/>
      <c r="K1660" s="395"/>
      <c r="L1660" s="346">
        <v>6.38574</v>
      </c>
    </row>
    <row r="1661" spans="1:15">
      <c r="A1661" s="404" t="s">
        <v>14275</v>
      </c>
      <c r="B1661" s="404" t="s">
        <v>14276</v>
      </c>
      <c r="C1661" s="404"/>
      <c r="D1661" s="334"/>
      <c r="E1661" s="434">
        <v>0.00097</v>
      </c>
      <c r="F1661" s="333" t="s">
        <v>14234</v>
      </c>
      <c r="G1661" s="334"/>
      <c r="I1661" s="395">
        <v>21.2858</v>
      </c>
      <c r="J1661" s="395"/>
      <c r="K1661" s="395"/>
      <c r="L1661" s="346">
        <v>0.020647226</v>
      </c>
    </row>
    <row r="1662" hidden="1" spans="1:15">
      <c r="A1662" s="404">
        <v>0</v>
      </c>
      <c r="B1662" s="404" t="e">
        <v>#N/A</v>
      </c>
      <c r="C1662" s="404"/>
      <c r="D1662" s="334"/>
      <c r="E1662" s="434">
        <v>0</v>
      </c>
      <c r="F1662" s="333" t="e">
        <v>#N/A</v>
      </c>
      <c r="G1662" s="334"/>
      <c r="H1662" s="334"/>
      <c r="I1662" s="395" t="e">
        <v>#N/A</v>
      </c>
      <c r="J1662" s="395"/>
      <c r="K1662" s="395"/>
      <c r="L1662" s="346" t="s">
        <v>932</v>
      </c>
    </row>
    <row r="1663" hidden="1" spans="1:15">
      <c r="A1663" s="404">
        <v>0</v>
      </c>
      <c r="B1663" s="404" t="e">
        <v>#N/A</v>
      </c>
      <c r="C1663" s="404"/>
      <c r="D1663" s="334"/>
      <c r="E1663" s="434">
        <v>0</v>
      </c>
      <c r="F1663" s="333" t="e">
        <v>#N/A</v>
      </c>
      <c r="G1663" s="334"/>
      <c r="H1663" s="334"/>
      <c r="I1663" s="395" t="e">
        <v>#N/A</v>
      </c>
      <c r="J1663" s="395"/>
      <c r="K1663" s="395"/>
      <c r="L1663" s="346" t="s">
        <v>932</v>
      </c>
    </row>
    <row r="1664" hidden="1" spans="1:15">
      <c r="A1664" s="404">
        <v>0</v>
      </c>
      <c r="B1664" s="404" t="e">
        <v>#N/A</v>
      </c>
      <c r="C1664" s="404"/>
      <c r="D1664" s="334"/>
      <c r="E1664" s="434">
        <v>0</v>
      </c>
      <c r="F1664" s="333" t="e">
        <v>#N/A</v>
      </c>
      <c r="G1664" s="334"/>
      <c r="H1664" s="334"/>
      <c r="I1664" s="395" t="e">
        <v>#N/A</v>
      </c>
      <c r="J1664" s="395"/>
      <c r="K1664" s="395"/>
      <c r="L1664" s="346" t="s">
        <v>932</v>
      </c>
    </row>
    <row r="1665" hidden="1" spans="1:12">
      <c r="A1665" s="404">
        <v>0</v>
      </c>
      <c r="B1665" s="404" t="e">
        <v>#N/A</v>
      </c>
      <c r="C1665" s="404"/>
      <c r="D1665" s="438"/>
      <c r="E1665" s="434">
        <v>0</v>
      </c>
      <c r="F1665" s="333" t="e">
        <v>#N/A</v>
      </c>
      <c r="G1665" s="334"/>
      <c r="H1665" s="334"/>
      <c r="I1665" s="395" t="e">
        <v>#N/A</v>
      </c>
      <c r="J1665" s="395"/>
      <c r="K1665" s="395"/>
      <c r="L1665" s="346" t="s">
        <v>932</v>
      </c>
    </row>
    <row r="1666" spans="1:12">
      <c r="A1666" s="421"/>
      <c r="B1666" s="422"/>
      <c r="C1666" s="422"/>
      <c r="D1666" s="422"/>
      <c r="E1666" s="423"/>
      <c r="F1666" s="424"/>
      <c r="G1666" s="422"/>
      <c r="H1666" s="422"/>
      <c r="I1666" s="430"/>
      <c r="J1666" s="430"/>
      <c r="K1666" s="425" t="s">
        <v>14203</v>
      </c>
      <c r="L1666" s="426">
        <v>10.115687226</v>
      </c>
    </row>
    <row r="1667" hidden="1" spans="1:12">
      <c r="A1667" s="428" t="s">
        <v>14204</v>
      </c>
      <c r="B1667" s="430"/>
      <c r="C1667" s="430"/>
      <c r="D1667" s="430"/>
      <c r="E1667" s="431" t="s">
        <v>74</v>
      </c>
      <c r="F1667" s="431" t="s">
        <v>1123</v>
      </c>
      <c r="G1667" s="430"/>
      <c r="H1667" s="430"/>
      <c r="I1667" s="425" t="s">
        <v>75</v>
      </c>
      <c r="J1667" s="430"/>
      <c r="K1667" s="430"/>
      <c r="L1667" s="426" t="s">
        <v>14194</v>
      </c>
    </row>
    <row r="1668" hidden="1" spans="1:12">
      <c r="A1668" s="404">
        <v>0</v>
      </c>
      <c r="B1668" s="334" t="e">
        <v>#N/A</v>
      </c>
      <c r="C1668" s="334"/>
      <c r="D1668" s="334"/>
      <c r="E1668" s="434">
        <v>0</v>
      </c>
      <c r="F1668" s="333" t="e">
        <v>#N/A</v>
      </c>
      <c r="G1668" s="439"/>
      <c r="I1668" s="346" t="e">
        <v>#N/A</v>
      </c>
      <c r="L1668" s="346" t="s">
        <v>932</v>
      </c>
    </row>
    <row r="1669" hidden="1" spans="1:12">
      <c r="A1669" s="401">
        <v>0</v>
      </c>
      <c r="B1669" s="334" t="e">
        <v>#N/A</v>
      </c>
      <c r="E1669" s="440">
        <v>0</v>
      </c>
      <c r="F1669" s="333" t="e">
        <v>#N/A</v>
      </c>
      <c r="G1669" s="439"/>
      <c r="I1669" s="346" t="e">
        <v>#N/A</v>
      </c>
      <c r="L1669" s="346" t="s">
        <v>932</v>
      </c>
    </row>
    <row r="1670" hidden="1" spans="1:12">
      <c r="A1670" s="401">
        <v>0</v>
      </c>
      <c r="B1670" s="334" t="e">
        <v>#N/A</v>
      </c>
      <c r="E1670" s="440">
        <v>0</v>
      </c>
      <c r="F1670" s="333" t="e">
        <v>#N/A</v>
      </c>
      <c r="G1670" s="439"/>
      <c r="I1670" s="346" t="e">
        <v>#N/A</v>
      </c>
      <c r="L1670" s="346" t="s">
        <v>932</v>
      </c>
    </row>
    <row r="1671" hidden="1" spans="1:12">
      <c r="A1671" s="401">
        <v>0</v>
      </c>
      <c r="B1671" s="334" t="e">
        <v>#N/A</v>
      </c>
      <c r="E1671" s="440">
        <v>0</v>
      </c>
      <c r="F1671" s="333" t="e">
        <v>#N/A</v>
      </c>
      <c r="G1671" s="439"/>
      <c r="I1671" s="346" t="e">
        <v>#N/A</v>
      </c>
      <c r="L1671" s="346" t="s">
        <v>932</v>
      </c>
    </row>
    <row r="1672" hidden="1" spans="1:12">
      <c r="A1672" s="401">
        <v>0</v>
      </c>
      <c r="B1672" s="334" t="e">
        <v>#N/A</v>
      </c>
      <c r="E1672" s="440">
        <v>0</v>
      </c>
      <c r="F1672" s="333" t="e">
        <v>#N/A</v>
      </c>
      <c r="G1672" s="439"/>
      <c r="I1672" s="346" t="e">
        <v>#N/A</v>
      </c>
      <c r="L1672" s="346" t="s">
        <v>932</v>
      </c>
    </row>
    <row r="1673" hidden="1" spans="1:12">
      <c r="A1673" s="401">
        <v>0</v>
      </c>
      <c r="B1673" s="334" t="e">
        <v>#N/A</v>
      </c>
      <c r="E1673" s="440">
        <v>0</v>
      </c>
      <c r="F1673" s="333" t="e">
        <v>#N/A</v>
      </c>
      <c r="G1673" s="439"/>
      <c r="I1673" s="346" t="e">
        <v>#N/A</v>
      </c>
      <c r="L1673" s="346" t="s">
        <v>932</v>
      </c>
    </row>
    <row r="1674" hidden="1" spans="1:12">
      <c r="A1674" s="421"/>
      <c r="B1674" s="422"/>
      <c r="C1674" s="422"/>
      <c r="D1674" s="422"/>
      <c r="E1674" s="422"/>
      <c r="F1674" s="422"/>
      <c r="G1674" s="422"/>
      <c r="H1674" s="422"/>
      <c r="I1674" s="430"/>
      <c r="J1674" s="430"/>
      <c r="K1674" s="425" t="s">
        <v>14206</v>
      </c>
      <c r="L1674" s="426">
        <v>0</v>
      </c>
    </row>
    <row r="1675" spans="1:12">
      <c r="A1675" s="421"/>
      <c r="B1675" s="422"/>
      <c r="C1675" s="422"/>
      <c r="D1675" s="422"/>
      <c r="E1675" s="422"/>
      <c r="F1675" s="422"/>
      <c r="G1675" s="422"/>
      <c r="H1675" s="422"/>
      <c r="I1675" s="430"/>
      <c r="J1675" s="430"/>
      <c r="K1675" s="425" t="s">
        <v>14207</v>
      </c>
      <c r="L1675" s="426">
        <v>13.2191363642923</v>
      </c>
    </row>
    <row r="1676" spans="1:12">
      <c r="A1676" s="428" t="s">
        <v>14208</v>
      </c>
      <c r="B1676" s="430"/>
      <c r="C1676" s="430"/>
      <c r="D1676" s="431" t="s">
        <v>55</v>
      </c>
      <c r="E1676" s="431" t="s">
        <v>74</v>
      </c>
      <c r="F1676" s="431" t="s">
        <v>1123</v>
      </c>
      <c r="G1676" s="430"/>
      <c r="H1676" s="430"/>
      <c r="I1676" s="425" t="s">
        <v>75</v>
      </c>
      <c r="J1676" s="430"/>
      <c r="K1676" s="430"/>
      <c r="L1676" s="426" t="s">
        <v>14194</v>
      </c>
    </row>
    <row r="1677" spans="1:12">
      <c r="A1677" s="404" t="s">
        <v>14269</v>
      </c>
      <c r="B1677" s="441" t="s">
        <v>14270</v>
      </c>
      <c r="C1677" s="441"/>
      <c r="D1677" s="442">
        <v>5914655</v>
      </c>
      <c r="E1677" s="434">
        <v>6e-5</v>
      </c>
      <c r="F1677" s="333" t="s">
        <v>9885</v>
      </c>
      <c r="G1677" s="443" t="s">
        <v>14209</v>
      </c>
      <c r="H1677" s="334"/>
      <c r="I1677" s="346">
        <v>35.43</v>
      </c>
      <c r="J1677" s="334"/>
      <c r="K1677" s="346"/>
      <c r="L1677" s="346">
        <v>0.0021258</v>
      </c>
    </row>
    <row r="1678" spans="1:12">
      <c r="A1678" s="404" t="s">
        <v>14271</v>
      </c>
      <c r="B1678" s="334" t="s">
        <v>14272</v>
      </c>
      <c r="C1678" s="334"/>
      <c r="D1678" s="442">
        <v>5914655</v>
      </c>
      <c r="E1678" s="434">
        <v>0.00035</v>
      </c>
      <c r="F1678" s="333" t="s">
        <v>9885</v>
      </c>
      <c r="G1678" s="334"/>
      <c r="H1678" s="334"/>
      <c r="I1678" s="346">
        <v>35.43</v>
      </c>
      <c r="J1678" s="334"/>
      <c r="K1678" s="346"/>
      <c r="L1678" s="346">
        <v>0.0124005</v>
      </c>
    </row>
    <row r="1679" spans="1:12">
      <c r="A1679" s="404" t="s">
        <v>14273</v>
      </c>
      <c r="B1679" s="334" t="s">
        <v>14274</v>
      </c>
      <c r="C1679" s="334"/>
      <c r="D1679" s="442">
        <v>5914655</v>
      </c>
      <c r="E1679" s="434">
        <v>0.00048</v>
      </c>
      <c r="F1679" s="333" t="s">
        <v>9885</v>
      </c>
      <c r="G1679" s="334"/>
      <c r="H1679" s="334"/>
      <c r="I1679" s="346">
        <v>35.43</v>
      </c>
      <c r="J1679" s="334"/>
      <c r="K1679" s="346"/>
      <c r="L1679" s="346">
        <v>0.0170064</v>
      </c>
    </row>
    <row r="1680" hidden="1" spans="1:12">
      <c r="A1680" s="404" t="s">
        <v>14275</v>
      </c>
      <c r="B1680" s="334" t="s">
        <v>14276</v>
      </c>
      <c r="C1680" s="334"/>
      <c r="D1680" s="442">
        <v>0</v>
      </c>
      <c r="E1680" s="434">
        <v>0</v>
      </c>
      <c r="F1680" s="333" t="s">
        <v>9885</v>
      </c>
      <c r="G1680" s="334"/>
      <c r="H1680" s="334"/>
      <c r="I1680" s="346">
        <v>0</v>
      </c>
      <c r="J1680" s="334"/>
      <c r="K1680" s="346"/>
      <c r="L1680" s="346" t="s">
        <v>932</v>
      </c>
    </row>
    <row r="1681" hidden="1" spans="1:12">
      <c r="A1681" s="404">
        <v>0</v>
      </c>
      <c r="B1681" s="334" t="e">
        <v>#N/A</v>
      </c>
      <c r="C1681" s="334"/>
      <c r="D1681" s="442">
        <v>0</v>
      </c>
      <c r="E1681" s="434">
        <v>0</v>
      </c>
      <c r="F1681" s="333" t="s">
        <v>9885</v>
      </c>
      <c r="G1681" s="334"/>
      <c r="H1681" s="334"/>
      <c r="I1681" s="346">
        <v>0</v>
      </c>
      <c r="J1681" s="334"/>
      <c r="K1681" s="346"/>
      <c r="L1681" s="346" t="s">
        <v>932</v>
      </c>
    </row>
    <row r="1682" hidden="1" spans="1:12">
      <c r="A1682" s="404">
        <v>0</v>
      </c>
      <c r="B1682" s="334" t="e">
        <v>#N/A</v>
      </c>
      <c r="C1682" s="334"/>
      <c r="D1682" s="442">
        <v>0</v>
      </c>
      <c r="E1682" s="434">
        <v>0</v>
      </c>
      <c r="F1682" s="333" t="s">
        <v>9885</v>
      </c>
      <c r="G1682" s="334"/>
      <c r="H1682" s="334"/>
      <c r="I1682" s="346">
        <v>0</v>
      </c>
      <c r="J1682" s="334"/>
      <c r="K1682" s="346"/>
      <c r="L1682" s="346" t="s">
        <v>932</v>
      </c>
    </row>
    <row r="1683" hidden="1" spans="1:12">
      <c r="A1683" s="404">
        <v>0</v>
      </c>
      <c r="B1683" s="334" t="e">
        <v>#N/A</v>
      </c>
      <c r="C1683" s="334"/>
      <c r="D1683" s="442">
        <v>0</v>
      </c>
      <c r="E1683" s="434">
        <v>0</v>
      </c>
      <c r="F1683" s="333" t="s">
        <v>9885</v>
      </c>
      <c r="G1683" s="334"/>
      <c r="H1683" s="334"/>
      <c r="I1683" s="346">
        <v>0</v>
      </c>
      <c r="J1683" s="334"/>
      <c r="K1683" s="346"/>
      <c r="L1683" s="346" t="s">
        <v>932</v>
      </c>
    </row>
    <row r="1684" hidden="1" spans="1:12">
      <c r="A1684" s="404">
        <v>0</v>
      </c>
      <c r="B1684" s="444" t="e">
        <v>#N/A</v>
      </c>
      <c r="C1684" s="444"/>
      <c r="D1684" s="442">
        <v>0</v>
      </c>
      <c r="E1684" s="434">
        <v>0</v>
      </c>
      <c r="F1684" s="333" t="s">
        <v>9885</v>
      </c>
      <c r="G1684" s="334"/>
      <c r="H1684" s="334"/>
      <c r="I1684" s="346">
        <v>0</v>
      </c>
      <c r="J1684" s="334"/>
      <c r="K1684" s="346"/>
      <c r="L1684" s="346" t="s">
        <v>932</v>
      </c>
    </row>
    <row r="1685" spans="1:12">
      <c r="A1685" s="428"/>
      <c r="B1685" s="445"/>
      <c r="C1685" s="445"/>
      <c r="D1685" s="430"/>
      <c r="E1685" s="430"/>
      <c r="F1685" s="430"/>
      <c r="G1685" s="430"/>
      <c r="H1685" s="430"/>
      <c r="I1685" s="430"/>
      <c r="J1685" s="430"/>
      <c r="K1685" s="425" t="s">
        <v>14210</v>
      </c>
      <c r="L1685" s="426">
        <v>0.0315327</v>
      </c>
    </row>
    <row r="1686" hidden="1" spans="1:12">
      <c r="A1686" s="446" t="s">
        <v>14211</v>
      </c>
      <c r="B1686" s="445"/>
      <c r="C1686" s="445"/>
      <c r="D1686" s="447" t="s">
        <v>55</v>
      </c>
      <c r="E1686" s="445" t="s">
        <v>74</v>
      </c>
      <c r="F1686" s="447" t="s">
        <v>1123</v>
      </c>
      <c r="G1686" s="445"/>
      <c r="H1686" s="447" t="s">
        <v>72</v>
      </c>
      <c r="I1686" s="447" t="s">
        <v>75</v>
      </c>
      <c r="J1686" s="445"/>
      <c r="K1686" s="448"/>
      <c r="L1686" s="449" t="s">
        <v>14194</v>
      </c>
    </row>
    <row r="1687" hidden="1" spans="1:12">
      <c r="A1687" s="404" t="s">
        <v>14269</v>
      </c>
      <c r="B1687" s="433" t="s">
        <v>14270</v>
      </c>
      <c r="C1687" s="433"/>
      <c r="D1687" s="442">
        <v>5915322</v>
      </c>
      <c r="E1687" s="450">
        <v>6e-5</v>
      </c>
      <c r="F1687" s="333" t="s">
        <v>13063</v>
      </c>
      <c r="G1687" s="333" t="s">
        <v>14212</v>
      </c>
      <c r="H1687" s="346">
        <v>0</v>
      </c>
      <c r="I1687" s="346">
        <v>2.12</v>
      </c>
      <c r="J1687" s="346"/>
      <c r="K1687" s="334"/>
      <c r="L1687" s="346">
        <v>0</v>
      </c>
    </row>
    <row r="1688" hidden="1" spans="1:12">
      <c r="A1688" s="404"/>
      <c r="B1688" s="404"/>
      <c r="C1688" s="334"/>
      <c r="D1688" s="442">
        <v>5915323</v>
      </c>
      <c r="E1688" s="450">
        <v>6e-5</v>
      </c>
      <c r="F1688" s="333" t="s">
        <v>13063</v>
      </c>
      <c r="G1688" s="333" t="s">
        <v>14213</v>
      </c>
      <c r="H1688" s="346">
        <v>0</v>
      </c>
      <c r="I1688" s="346">
        <v>1.7</v>
      </c>
      <c r="J1688" s="346"/>
      <c r="K1688" s="334"/>
      <c r="L1688" s="346">
        <v>0</v>
      </c>
    </row>
    <row r="1689" hidden="1" spans="1:12">
      <c r="A1689" s="404"/>
      <c r="B1689" s="404"/>
      <c r="C1689" s="334"/>
      <c r="D1689" s="442">
        <v>5915324</v>
      </c>
      <c r="E1689" s="450">
        <v>6e-5</v>
      </c>
      <c r="F1689" s="333" t="s">
        <v>13063</v>
      </c>
      <c r="G1689" s="333" t="s">
        <v>14214</v>
      </c>
      <c r="H1689" s="346">
        <v>0</v>
      </c>
      <c r="I1689" s="346">
        <v>1.39</v>
      </c>
      <c r="J1689" s="346"/>
      <c r="K1689" s="334"/>
      <c r="L1689" s="346">
        <v>0</v>
      </c>
    </row>
    <row r="1690" hidden="1" spans="1:12">
      <c r="A1690" s="404" t="s">
        <v>14271</v>
      </c>
      <c r="B1690" s="404" t="s">
        <v>14272</v>
      </c>
      <c r="C1690" s="404"/>
      <c r="D1690" s="442">
        <v>5915322</v>
      </c>
      <c r="E1690" s="450">
        <v>0.00035</v>
      </c>
      <c r="F1690" s="333" t="s">
        <v>13063</v>
      </c>
      <c r="G1690" s="333" t="s">
        <v>14212</v>
      </c>
      <c r="H1690" s="346">
        <v>0</v>
      </c>
      <c r="I1690" s="346">
        <v>2.12</v>
      </c>
      <c r="J1690" s="346"/>
      <c r="K1690" s="334"/>
      <c r="L1690" s="346">
        <v>0</v>
      </c>
    </row>
    <row r="1691" hidden="1" spans="1:12">
      <c r="A1691" s="404"/>
      <c r="B1691" s="404"/>
      <c r="C1691" s="334"/>
      <c r="D1691" s="442">
        <v>5915323</v>
      </c>
      <c r="E1691" s="450">
        <v>0.00035</v>
      </c>
      <c r="F1691" s="333" t="s">
        <v>13063</v>
      </c>
      <c r="G1691" s="333" t="s">
        <v>14213</v>
      </c>
      <c r="H1691" s="346">
        <v>0</v>
      </c>
      <c r="I1691" s="346">
        <v>1.7</v>
      </c>
      <c r="J1691" s="346"/>
      <c r="K1691" s="334"/>
      <c r="L1691" s="346">
        <v>0</v>
      </c>
    </row>
    <row r="1692" hidden="1" spans="1:12">
      <c r="A1692" s="404"/>
      <c r="B1692" s="404"/>
      <c r="C1692" s="334"/>
      <c r="D1692" s="442">
        <v>5915324</v>
      </c>
      <c r="E1692" s="450">
        <v>0.00035</v>
      </c>
      <c r="F1692" s="333" t="s">
        <v>13063</v>
      </c>
      <c r="G1692" s="333" t="s">
        <v>14214</v>
      </c>
      <c r="H1692" s="346">
        <v>0</v>
      </c>
      <c r="I1692" s="346">
        <v>1.39</v>
      </c>
      <c r="J1692" s="346"/>
      <c r="K1692" s="334"/>
      <c r="L1692" s="346">
        <v>0</v>
      </c>
    </row>
    <row r="1693" hidden="1" spans="1:12">
      <c r="A1693" s="404" t="s">
        <v>14273</v>
      </c>
      <c r="B1693" s="404" t="s">
        <v>14274</v>
      </c>
      <c r="C1693" s="404"/>
      <c r="D1693" s="442">
        <v>5915322</v>
      </c>
      <c r="E1693" s="450">
        <v>0.00048</v>
      </c>
      <c r="F1693" s="333" t="s">
        <v>13063</v>
      </c>
      <c r="G1693" s="333" t="s">
        <v>14212</v>
      </c>
      <c r="H1693" s="346">
        <v>0</v>
      </c>
      <c r="I1693" s="346">
        <v>2.12</v>
      </c>
      <c r="J1693" s="346"/>
      <c r="K1693" s="334"/>
      <c r="L1693" s="346">
        <v>0</v>
      </c>
    </row>
    <row r="1694" hidden="1" spans="1:12">
      <c r="A1694" s="404"/>
      <c r="B1694" s="404"/>
      <c r="C1694" s="334"/>
      <c r="D1694" s="442">
        <v>5915323</v>
      </c>
      <c r="E1694" s="450">
        <v>0.00048</v>
      </c>
      <c r="F1694" s="333" t="s">
        <v>13063</v>
      </c>
      <c r="G1694" s="333" t="s">
        <v>14213</v>
      </c>
      <c r="H1694" s="346">
        <v>0</v>
      </c>
      <c r="I1694" s="346">
        <v>1.7</v>
      </c>
      <c r="J1694" s="346"/>
      <c r="K1694" s="334"/>
      <c r="L1694" s="346">
        <v>0</v>
      </c>
    </row>
    <row r="1695" hidden="1" spans="1:12">
      <c r="A1695" s="404"/>
      <c r="B1695" s="404"/>
      <c r="C1695" s="334"/>
      <c r="D1695" s="442">
        <v>5915324</v>
      </c>
      <c r="E1695" s="450">
        <v>0.00048</v>
      </c>
      <c r="F1695" s="333" t="s">
        <v>13063</v>
      </c>
      <c r="G1695" s="333" t="s">
        <v>14214</v>
      </c>
      <c r="H1695" s="346">
        <v>0</v>
      </c>
      <c r="I1695" s="346">
        <v>1.39</v>
      </c>
      <c r="J1695" s="346"/>
      <c r="K1695" s="334"/>
      <c r="L1695" s="346">
        <v>0</v>
      </c>
    </row>
    <row r="1696" hidden="1" spans="1:12">
      <c r="A1696" s="404" t="s">
        <v>14275</v>
      </c>
      <c r="B1696" s="404" t="s">
        <v>14276</v>
      </c>
      <c r="C1696" s="404"/>
      <c r="D1696" s="442">
        <v>5915322</v>
      </c>
      <c r="E1696" s="450">
        <v>0</v>
      </c>
      <c r="F1696" s="333" t="s">
        <v>13063</v>
      </c>
      <c r="G1696" s="333" t="s">
        <v>14212</v>
      </c>
      <c r="H1696" s="346">
        <v>0</v>
      </c>
      <c r="I1696" s="346">
        <v>2.12</v>
      </c>
      <c r="J1696" s="346"/>
      <c r="K1696" s="334"/>
      <c r="L1696" s="346" t="s">
        <v>932</v>
      </c>
    </row>
    <row r="1697" hidden="1" spans="1:12">
      <c r="A1697" s="404"/>
      <c r="B1697" s="404"/>
      <c r="C1697" s="334"/>
      <c r="D1697" s="442">
        <v>5915323</v>
      </c>
      <c r="E1697" s="450">
        <v>0</v>
      </c>
      <c r="F1697" s="333" t="s">
        <v>13063</v>
      </c>
      <c r="G1697" s="333" t="s">
        <v>14213</v>
      </c>
      <c r="H1697" s="346">
        <v>0</v>
      </c>
      <c r="I1697" s="346">
        <v>1.7</v>
      </c>
      <c r="J1697" s="346"/>
      <c r="K1697" s="334"/>
      <c r="L1697" s="346" t="s">
        <v>932</v>
      </c>
    </row>
    <row r="1698" hidden="1" spans="1:12">
      <c r="A1698" s="404"/>
      <c r="B1698" s="404"/>
      <c r="C1698" s="334"/>
      <c r="D1698" s="442">
        <v>5915324</v>
      </c>
      <c r="E1698" s="450">
        <v>0</v>
      </c>
      <c r="F1698" s="333" t="s">
        <v>13063</v>
      </c>
      <c r="G1698" s="333" t="s">
        <v>14214</v>
      </c>
      <c r="H1698" s="346">
        <v>0</v>
      </c>
      <c r="I1698" s="346">
        <v>1.39</v>
      </c>
      <c r="J1698" s="346"/>
      <c r="K1698" s="334"/>
      <c r="L1698" s="346" t="s">
        <v>932</v>
      </c>
    </row>
    <row r="1699" hidden="1" spans="1:12">
      <c r="A1699" s="404">
        <v>0</v>
      </c>
      <c r="B1699" s="404" t="e">
        <v>#N/A</v>
      </c>
      <c r="C1699" s="404"/>
      <c r="D1699" s="442">
        <v>0</v>
      </c>
      <c r="E1699" s="450">
        <v>0</v>
      </c>
      <c r="F1699" s="333" t="s">
        <v>13063</v>
      </c>
      <c r="G1699" s="333" t="s">
        <v>14212</v>
      </c>
      <c r="H1699" s="346">
        <v>0</v>
      </c>
      <c r="I1699" s="346">
        <v>0</v>
      </c>
      <c r="J1699" s="346"/>
      <c r="K1699" s="334"/>
      <c r="L1699" s="346" t="s">
        <v>932</v>
      </c>
    </row>
    <row r="1700" hidden="1" spans="1:12">
      <c r="A1700" s="404"/>
      <c r="B1700" s="404"/>
      <c r="C1700" s="334"/>
      <c r="D1700" s="442">
        <v>0</v>
      </c>
      <c r="E1700" s="450">
        <v>0</v>
      </c>
      <c r="F1700" s="333" t="s">
        <v>13063</v>
      </c>
      <c r="G1700" s="333" t="s">
        <v>14213</v>
      </c>
      <c r="H1700" s="346">
        <v>0</v>
      </c>
      <c r="I1700" s="346">
        <v>0</v>
      </c>
      <c r="J1700" s="346"/>
      <c r="K1700" s="334"/>
      <c r="L1700" s="346" t="s">
        <v>932</v>
      </c>
    </row>
    <row r="1701" hidden="1" spans="1:12">
      <c r="A1701" s="404"/>
      <c r="B1701" s="404"/>
      <c r="C1701" s="334"/>
      <c r="D1701" s="442">
        <v>0</v>
      </c>
      <c r="E1701" s="450">
        <v>0</v>
      </c>
      <c r="F1701" s="333" t="s">
        <v>13063</v>
      </c>
      <c r="G1701" s="333" t="s">
        <v>14214</v>
      </c>
      <c r="H1701" s="346">
        <v>0</v>
      </c>
      <c r="I1701" s="346">
        <v>0</v>
      </c>
      <c r="J1701" s="346"/>
      <c r="K1701" s="334"/>
      <c r="L1701" s="346" t="s">
        <v>932</v>
      </c>
    </row>
    <row r="1702" hidden="1" spans="1:12">
      <c r="A1702" s="401">
        <v>0</v>
      </c>
      <c r="B1702" s="401" t="e">
        <v>#N/A</v>
      </c>
      <c r="C1702" s="401"/>
      <c r="D1702" s="442">
        <v>0</v>
      </c>
      <c r="E1702" s="450">
        <v>0</v>
      </c>
      <c r="F1702" s="439" t="s">
        <v>13063</v>
      </c>
      <c r="G1702" s="439" t="s">
        <v>14212</v>
      </c>
      <c r="H1702" s="346">
        <v>0</v>
      </c>
      <c r="I1702" s="346">
        <v>0</v>
      </c>
      <c r="J1702" s="395"/>
      <c r="L1702" s="346" t="s">
        <v>932</v>
      </c>
    </row>
    <row r="1703" hidden="1" spans="1:12">
      <c r="A1703" s="401"/>
      <c r="B1703" s="401"/>
      <c r="D1703" s="442">
        <v>0</v>
      </c>
      <c r="E1703" s="450">
        <v>0</v>
      </c>
      <c r="F1703" s="439" t="s">
        <v>13063</v>
      </c>
      <c r="G1703" s="439" t="s">
        <v>14213</v>
      </c>
      <c r="H1703" s="346">
        <v>0</v>
      </c>
      <c r="I1703" s="346">
        <v>0</v>
      </c>
      <c r="J1703" s="395"/>
      <c r="L1703" s="346" t="s">
        <v>932</v>
      </c>
    </row>
    <row r="1704" hidden="1" spans="1:12">
      <c r="A1704" s="401"/>
      <c r="B1704" s="401"/>
      <c r="D1704" s="442">
        <v>0</v>
      </c>
      <c r="E1704" s="450">
        <v>0</v>
      </c>
      <c r="F1704" s="439" t="s">
        <v>13063</v>
      </c>
      <c r="G1704" s="439" t="s">
        <v>14214</v>
      </c>
      <c r="H1704" s="346">
        <v>0</v>
      </c>
      <c r="I1704" s="346">
        <v>0</v>
      </c>
      <c r="J1704" s="395"/>
      <c r="L1704" s="346" t="s">
        <v>932</v>
      </c>
    </row>
    <row r="1705" hidden="1" spans="1:12">
      <c r="A1705" s="401">
        <v>0</v>
      </c>
      <c r="B1705" s="401" t="e">
        <v>#N/A</v>
      </c>
      <c r="C1705" s="401"/>
      <c r="D1705" s="442">
        <v>0</v>
      </c>
      <c r="E1705" s="450">
        <v>0</v>
      </c>
      <c r="F1705" s="439" t="s">
        <v>13063</v>
      </c>
      <c r="G1705" s="439" t="s">
        <v>14212</v>
      </c>
      <c r="H1705" s="346">
        <v>0</v>
      </c>
      <c r="I1705" s="346">
        <v>0</v>
      </c>
      <c r="J1705" s="395"/>
      <c r="L1705" s="346" t="s">
        <v>932</v>
      </c>
    </row>
    <row r="1706" hidden="1" spans="1:12">
      <c r="A1706" s="401"/>
      <c r="B1706" s="401"/>
      <c r="D1706" s="442">
        <v>0</v>
      </c>
      <c r="E1706" s="450">
        <v>0</v>
      </c>
      <c r="F1706" s="439" t="s">
        <v>13063</v>
      </c>
      <c r="G1706" s="439" t="s">
        <v>14213</v>
      </c>
      <c r="H1706" s="346">
        <v>0</v>
      </c>
      <c r="I1706" s="346">
        <v>0</v>
      </c>
      <c r="J1706" s="395"/>
      <c r="L1706" s="346" t="s">
        <v>932</v>
      </c>
    </row>
    <row r="1707" hidden="1" spans="1:12">
      <c r="A1707" s="401"/>
      <c r="B1707" s="401"/>
      <c r="D1707" s="442">
        <v>0</v>
      </c>
      <c r="E1707" s="450">
        <v>0</v>
      </c>
      <c r="F1707" s="439" t="s">
        <v>13063</v>
      </c>
      <c r="G1707" s="439" t="s">
        <v>14214</v>
      </c>
      <c r="H1707" s="346">
        <v>0</v>
      </c>
      <c r="I1707" s="346">
        <v>0</v>
      </c>
      <c r="J1707" s="395"/>
      <c r="L1707" s="346" t="s">
        <v>932</v>
      </c>
    </row>
    <row r="1708" hidden="1" spans="1:12">
      <c r="A1708" s="401">
        <v>0</v>
      </c>
      <c r="B1708" s="401" t="e">
        <v>#N/A</v>
      </c>
      <c r="C1708" s="401"/>
      <c r="D1708" s="442">
        <v>0</v>
      </c>
      <c r="E1708" s="450">
        <v>0</v>
      </c>
      <c r="F1708" s="439" t="s">
        <v>13063</v>
      </c>
      <c r="G1708" s="439" t="s">
        <v>14212</v>
      </c>
      <c r="H1708" s="346">
        <v>0</v>
      </c>
      <c r="I1708" s="346">
        <v>0</v>
      </c>
      <c r="J1708" s="395"/>
      <c r="L1708" s="346" t="s">
        <v>932</v>
      </c>
    </row>
    <row r="1709" hidden="1" spans="1:12">
      <c r="A1709" s="401"/>
      <c r="B1709" s="401"/>
      <c r="D1709" s="442">
        <v>0</v>
      </c>
      <c r="E1709" s="450">
        <v>0</v>
      </c>
      <c r="F1709" s="439" t="s">
        <v>13063</v>
      </c>
      <c r="G1709" s="439" t="s">
        <v>14213</v>
      </c>
      <c r="H1709" s="346">
        <v>0</v>
      </c>
      <c r="I1709" s="346">
        <v>0</v>
      </c>
      <c r="J1709" s="395"/>
      <c r="L1709" s="346" t="s">
        <v>932</v>
      </c>
    </row>
    <row r="1710" hidden="1" spans="1:12">
      <c r="A1710" s="401"/>
      <c r="B1710" s="401"/>
      <c r="D1710" s="442">
        <v>0</v>
      </c>
      <c r="E1710" s="450">
        <v>0</v>
      </c>
      <c r="F1710" s="439" t="s">
        <v>13063</v>
      </c>
      <c r="G1710" s="439" t="s">
        <v>14214</v>
      </c>
      <c r="H1710" s="346">
        <v>0</v>
      </c>
      <c r="I1710" s="346">
        <v>0</v>
      </c>
      <c r="J1710" s="395"/>
      <c r="L1710" s="346" t="s">
        <v>932</v>
      </c>
    </row>
    <row r="1711" hidden="1" spans="1:12">
      <c r="A1711" s="421"/>
      <c r="B1711" s="422"/>
      <c r="C1711" s="422"/>
      <c r="D1711" s="422"/>
      <c r="E1711" s="422"/>
      <c r="F1711" s="422"/>
      <c r="G1711" s="422"/>
      <c r="H1711" s="422"/>
      <c r="I1711" s="430"/>
      <c r="J1711" s="430"/>
      <c r="K1711" s="425" t="s">
        <v>14215</v>
      </c>
      <c r="L1711" s="426">
        <v>0</v>
      </c>
    </row>
    <row r="1712" spans="1:12">
      <c r="A1712" s="451"/>
      <c r="B1712" s="452"/>
      <c r="C1712" s="452"/>
      <c r="D1712" s="452"/>
      <c r="E1712" s="452"/>
      <c r="F1712" s="452"/>
      <c r="G1712" s="452"/>
      <c r="H1712" s="452"/>
      <c r="I1712" s="453"/>
      <c r="J1712" s="453"/>
      <c r="K1712" s="454" t="s">
        <v>14216</v>
      </c>
      <c r="L1712" s="455">
        <v>13.25</v>
      </c>
    </row>
    <row r="1714" spans="1:14">
      <c r="A1714" s="391" t="s">
        <v>14172</v>
      </c>
      <c r="B1714" s="472"/>
      <c r="C1714" s="472"/>
      <c r="D1714" s="472"/>
      <c r="E1714" s="472"/>
      <c r="F1714" s="472"/>
      <c r="G1714" s="393"/>
      <c r="H1714" s="393"/>
      <c r="I1714" s="393"/>
      <c r="J1714" s="393"/>
      <c r="K1714" s="393"/>
      <c r="L1714" s="471"/>
    </row>
    <row r="1715" spans="1:14">
      <c r="A1715" s="473">
        <v>5213571</v>
      </c>
      <c r="B1715" s="397" t="s">
        <v>136</v>
      </c>
      <c r="C1715" s="397"/>
      <c r="D1715" s="397"/>
      <c r="E1715" s="397"/>
      <c r="F1715" s="397"/>
      <c r="G1715" s="397"/>
      <c r="H1715" s="397" t="s">
        <v>7</v>
      </c>
      <c r="I1715" s="398">
        <v>46023</v>
      </c>
      <c r="J1715" s="397"/>
      <c r="K1715" s="399" t="s">
        <v>14173</v>
      </c>
      <c r="L1715" s="400">
        <v>0</v>
      </c>
    </row>
    <row r="1716" spans="1:14">
      <c r="A1716" s="401"/>
      <c r="H1716" s="402" t="s">
        <v>14174</v>
      </c>
      <c r="I1716" s="434">
        <v>3</v>
      </c>
      <c r="J1716" s="404" t="s">
        <v>7</v>
      </c>
      <c r="K1716" s="402" t="s">
        <v>14175</v>
      </c>
      <c r="L1716" s="456">
        <v>0.03632</v>
      </c>
    </row>
    <row r="1717" spans="1:14">
      <c r="A1717" s="405"/>
      <c r="B1717" s="405"/>
      <c r="C1717" s="405"/>
      <c r="D1717" s="406"/>
      <c r="E1717" s="406"/>
      <c r="F1717" s="406"/>
      <c r="G1717" s="407" t="s">
        <v>14176</v>
      </c>
      <c r="H1717" s="408"/>
      <c r="I1717" s="407" t="s">
        <v>14177</v>
      </c>
      <c r="J1717" s="408"/>
      <c r="K1717" s="405"/>
      <c r="L1717" s="409" t="s">
        <v>14178</v>
      </c>
    </row>
    <row r="1718" spans="1:14">
      <c r="A1718" s="410" t="s">
        <v>14179</v>
      </c>
      <c r="B1718" s="411"/>
      <c r="C1718" s="412"/>
      <c r="D1718" s="412"/>
      <c r="E1718" s="413" t="s">
        <v>74</v>
      </c>
      <c r="F1718" s="412"/>
      <c r="G1718" s="413" t="s">
        <v>14180</v>
      </c>
      <c r="H1718" s="413" t="s">
        <v>14181</v>
      </c>
      <c r="I1718" s="413" t="s">
        <v>14182</v>
      </c>
      <c r="J1718" s="413" t="s">
        <v>14183</v>
      </c>
      <c r="K1718" s="411"/>
      <c r="L1718" s="414" t="s">
        <v>14184</v>
      </c>
    </row>
    <row r="1719" spans="1:14">
      <c r="A1719" s="404" t="s">
        <v>1086</v>
      </c>
      <c r="B1719" s="474" t="s">
        <v>1087</v>
      </c>
      <c r="C1719" s="474"/>
      <c r="E1719" s="434">
        <v>1</v>
      </c>
      <c r="F1719" s="334"/>
      <c r="G1719" s="346">
        <v>0.3</v>
      </c>
      <c r="H1719" s="417">
        <v>0.7</v>
      </c>
      <c r="I1719" s="395">
        <v>174.0453</v>
      </c>
      <c r="J1719" s="418">
        <v>68.9883</v>
      </c>
      <c r="K1719" s="402"/>
      <c r="L1719" s="395">
        <v>100.5054</v>
      </c>
      <c r="N1719" s="395">
        <v>68.9883</v>
      </c>
    </row>
    <row r="1720" hidden="1" spans="1:14">
      <c r="A1720" s="404">
        <v>0</v>
      </c>
      <c r="B1720" s="404" t="e">
        <v>#N/A</v>
      </c>
      <c r="C1720" s="404"/>
      <c r="D1720" s="334"/>
      <c r="E1720" s="434">
        <v>0</v>
      </c>
      <c r="F1720" s="334"/>
      <c r="G1720" s="346">
        <v>0</v>
      </c>
      <c r="H1720" s="417">
        <v>1</v>
      </c>
      <c r="I1720" s="346" t="e">
        <v>#N/A</v>
      </c>
      <c r="J1720" s="419" t="e">
        <v>#N/A</v>
      </c>
      <c r="K1720" s="420"/>
      <c r="L1720" s="395" t="s">
        <v>932</v>
      </c>
      <c r="N1720" s="395" t="s">
        <v>932</v>
      </c>
    </row>
    <row r="1721" hidden="1" spans="1:14">
      <c r="A1721" s="404">
        <v>0</v>
      </c>
      <c r="B1721" s="404" t="e">
        <v>#N/A</v>
      </c>
      <c r="C1721" s="404"/>
      <c r="D1721" s="334"/>
      <c r="E1721" s="416">
        <v>0</v>
      </c>
      <c r="F1721" s="334"/>
      <c r="G1721" s="346">
        <v>0</v>
      </c>
      <c r="H1721" s="417">
        <v>1</v>
      </c>
      <c r="I1721" s="346" t="e">
        <v>#N/A</v>
      </c>
      <c r="J1721" s="419" t="e">
        <v>#N/A</v>
      </c>
      <c r="K1721" s="420"/>
      <c r="L1721" s="395" t="s">
        <v>932</v>
      </c>
      <c r="N1721" s="395" t="s">
        <v>932</v>
      </c>
    </row>
    <row r="1722" hidden="1" spans="1:14">
      <c r="A1722" s="404">
        <v>0</v>
      </c>
      <c r="B1722" s="404" t="e">
        <v>#N/A</v>
      </c>
      <c r="C1722" s="404"/>
      <c r="D1722" s="334"/>
      <c r="E1722" s="416">
        <v>0</v>
      </c>
      <c r="F1722" s="334"/>
      <c r="G1722" s="346">
        <v>0</v>
      </c>
      <c r="H1722" s="417">
        <v>1</v>
      </c>
      <c r="I1722" s="346" t="e">
        <v>#N/A</v>
      </c>
      <c r="J1722" s="419" t="e">
        <v>#N/A</v>
      </c>
      <c r="K1722" s="420"/>
      <c r="L1722" s="395" t="s">
        <v>932</v>
      </c>
      <c r="N1722" s="395" t="s">
        <v>932</v>
      </c>
    </row>
    <row r="1723" hidden="1" spans="1:14">
      <c r="A1723" s="404">
        <v>0</v>
      </c>
      <c r="B1723" s="404" t="e">
        <v>#N/A</v>
      </c>
      <c r="C1723" s="404"/>
      <c r="D1723" s="334"/>
      <c r="E1723" s="416">
        <v>0</v>
      </c>
      <c r="F1723" s="334"/>
      <c r="G1723" s="346">
        <v>0</v>
      </c>
      <c r="H1723" s="417">
        <v>1</v>
      </c>
      <c r="I1723" s="346" t="e">
        <v>#N/A</v>
      </c>
      <c r="J1723" s="419" t="e">
        <v>#N/A</v>
      </c>
      <c r="K1723" s="420"/>
      <c r="L1723" s="395" t="s">
        <v>932</v>
      </c>
      <c r="N1723" s="395" t="s">
        <v>932</v>
      </c>
    </row>
    <row r="1724" hidden="1" spans="1:14">
      <c r="A1724" s="404">
        <v>0</v>
      </c>
      <c r="B1724" s="404" t="e">
        <v>#N/A</v>
      </c>
      <c r="C1724" s="404"/>
      <c r="D1724" s="334"/>
      <c r="E1724" s="416">
        <v>0</v>
      </c>
      <c r="F1724" s="334"/>
      <c r="G1724" s="346">
        <v>0</v>
      </c>
      <c r="H1724" s="417">
        <v>1</v>
      </c>
      <c r="I1724" s="346" t="e">
        <v>#N/A</v>
      </c>
      <c r="J1724" s="419" t="e">
        <v>#N/A</v>
      </c>
      <c r="K1724" s="420"/>
      <c r="L1724" s="395" t="s">
        <v>932</v>
      </c>
      <c r="N1724" s="395" t="s">
        <v>932</v>
      </c>
    </row>
    <row r="1725" hidden="1" spans="1:14">
      <c r="A1725" s="404">
        <v>0</v>
      </c>
      <c r="B1725" s="404" t="e">
        <v>#N/A</v>
      </c>
      <c r="C1725" s="404"/>
      <c r="D1725" s="334"/>
      <c r="E1725" s="416">
        <v>0</v>
      </c>
      <c r="F1725" s="334"/>
      <c r="G1725" s="346">
        <v>0</v>
      </c>
      <c r="H1725" s="417">
        <v>1</v>
      </c>
      <c r="I1725" s="346" t="e">
        <v>#N/A</v>
      </c>
      <c r="J1725" s="419" t="e">
        <v>#N/A</v>
      </c>
      <c r="K1725" s="420"/>
      <c r="L1725" s="395" t="s">
        <v>932</v>
      </c>
      <c r="N1725" s="395" t="s">
        <v>932</v>
      </c>
    </row>
    <row r="1726" hidden="1" spans="1:14">
      <c r="A1726" s="404">
        <v>0</v>
      </c>
      <c r="B1726" s="404" t="e">
        <v>#N/A</v>
      </c>
      <c r="C1726" s="404"/>
      <c r="D1726" s="334"/>
      <c r="E1726" s="416">
        <v>0</v>
      </c>
      <c r="F1726" s="334"/>
      <c r="G1726" s="346">
        <v>0</v>
      </c>
      <c r="H1726" s="417">
        <v>1</v>
      </c>
      <c r="I1726" s="346" t="e">
        <v>#N/A</v>
      </c>
      <c r="J1726" s="419" t="e">
        <v>#N/A</v>
      </c>
      <c r="K1726" s="420"/>
      <c r="L1726" s="395" t="s">
        <v>932</v>
      </c>
      <c r="N1726" s="395" t="s">
        <v>932</v>
      </c>
    </row>
    <row r="1727" spans="1:14">
      <c r="A1727" s="421"/>
      <c r="B1727" s="422"/>
      <c r="C1727" s="422"/>
      <c r="D1727" s="422"/>
      <c r="E1727" s="423"/>
      <c r="F1727" s="424"/>
      <c r="G1727" s="422"/>
      <c r="H1727" s="422"/>
      <c r="I1727" s="422"/>
      <c r="J1727" s="422"/>
      <c r="K1727" s="425" t="s">
        <v>14185</v>
      </c>
      <c r="L1727" s="426">
        <v>100.5054</v>
      </c>
      <c r="N1727" s="427">
        <v>68.9883</v>
      </c>
    </row>
    <row r="1728" spans="1:14">
      <c r="A1728" s="428" t="s">
        <v>14186</v>
      </c>
      <c r="B1728" s="429"/>
      <c r="C1728" s="429"/>
      <c r="D1728" s="430"/>
      <c r="E1728" s="431" t="s">
        <v>74</v>
      </c>
      <c r="F1728" s="431" t="s">
        <v>1123</v>
      </c>
      <c r="G1728" s="430"/>
      <c r="H1728" s="422"/>
      <c r="I1728" s="431" t="s">
        <v>14177</v>
      </c>
      <c r="J1728" s="430"/>
      <c r="K1728" s="430"/>
      <c r="L1728" s="432" t="s">
        <v>14187</v>
      </c>
    </row>
    <row r="1729" spans="1:15">
      <c r="A1729" s="404" t="s">
        <v>954</v>
      </c>
      <c r="B1729" s="433" t="s">
        <v>955</v>
      </c>
      <c r="C1729" s="433"/>
      <c r="D1729" s="334"/>
      <c r="E1729" s="434">
        <v>1</v>
      </c>
      <c r="F1729" s="333" t="s">
        <v>104</v>
      </c>
      <c r="G1729" s="334"/>
      <c r="H1729" s="334"/>
      <c r="I1729" s="435">
        <v>34.5245</v>
      </c>
      <c r="J1729" s="334"/>
      <c r="K1729" s="334"/>
      <c r="L1729" s="346">
        <v>34.5245</v>
      </c>
      <c r="N1729" s="395">
        <v>34.5245</v>
      </c>
    </row>
    <row r="1730" spans="1:15">
      <c r="A1730" s="404" t="s">
        <v>935</v>
      </c>
      <c r="B1730" s="404" t="s">
        <v>936</v>
      </c>
      <c r="C1730" s="404"/>
      <c r="D1730" s="334"/>
      <c r="E1730" s="434">
        <v>2</v>
      </c>
      <c r="F1730" s="333" t="s">
        <v>104</v>
      </c>
      <c r="G1730" s="334"/>
      <c r="H1730" s="334"/>
      <c r="I1730" s="435">
        <v>23.6025</v>
      </c>
      <c r="J1730" s="334"/>
      <c r="K1730" s="334"/>
      <c r="L1730" s="346">
        <v>47.205</v>
      </c>
      <c r="N1730" s="395">
        <v>47.205</v>
      </c>
    </row>
    <row r="1731" hidden="1" spans="1:15">
      <c r="A1731" s="404">
        <v>0</v>
      </c>
      <c r="B1731" s="404" t="e">
        <v>#N/A</v>
      </c>
      <c r="C1731" s="404"/>
      <c r="D1731" s="334"/>
      <c r="E1731" s="434">
        <v>0</v>
      </c>
      <c r="F1731" s="333" t="s">
        <v>104</v>
      </c>
      <c r="G1731" s="334"/>
      <c r="H1731" s="334"/>
      <c r="I1731" s="435" t="e">
        <v>#N/A</v>
      </c>
      <c r="J1731" s="334"/>
      <c r="K1731" s="334"/>
      <c r="L1731" s="346" t="s">
        <v>932</v>
      </c>
      <c r="N1731" s="395" t="s">
        <v>932</v>
      </c>
    </row>
    <row r="1732" hidden="1" spans="1:15">
      <c r="A1732" s="404">
        <v>0</v>
      </c>
      <c r="B1732" s="404" t="e">
        <v>#N/A</v>
      </c>
      <c r="C1732" s="404"/>
      <c r="D1732" s="334"/>
      <c r="E1732" s="434">
        <v>0</v>
      </c>
      <c r="F1732" s="333" t="s">
        <v>104</v>
      </c>
      <c r="G1732" s="334"/>
      <c r="H1732" s="334"/>
      <c r="I1732" s="435" t="e">
        <v>#N/A</v>
      </c>
      <c r="J1732" s="334"/>
      <c r="K1732" s="334"/>
      <c r="L1732" s="346" t="s">
        <v>932</v>
      </c>
      <c r="N1732" s="395" t="s">
        <v>932</v>
      </c>
    </row>
    <row r="1733" hidden="1" spans="1:15">
      <c r="A1733" s="404">
        <v>0</v>
      </c>
      <c r="B1733" s="404" t="e">
        <v>#N/A</v>
      </c>
      <c r="C1733" s="404"/>
      <c r="D1733" s="334"/>
      <c r="E1733" s="434">
        <v>0</v>
      </c>
      <c r="F1733" s="333" t="s">
        <v>104</v>
      </c>
      <c r="G1733" s="334"/>
      <c r="H1733" s="334"/>
      <c r="I1733" s="435" t="e">
        <v>#N/A</v>
      </c>
      <c r="J1733" s="334"/>
      <c r="K1733" s="334"/>
      <c r="L1733" s="346" t="s">
        <v>932</v>
      </c>
      <c r="N1733" s="395" t="s">
        <v>932</v>
      </c>
    </row>
    <row r="1734" hidden="1" spans="1:15">
      <c r="A1734" s="404">
        <v>0</v>
      </c>
      <c r="B1734" s="404" t="e">
        <v>#N/A</v>
      </c>
      <c r="C1734" s="404"/>
      <c r="D1734" s="334"/>
      <c r="E1734" s="434">
        <v>0</v>
      </c>
      <c r="F1734" s="333" t="s">
        <v>104</v>
      </c>
      <c r="G1734" s="334"/>
      <c r="H1734" s="334"/>
      <c r="I1734" s="435" t="e">
        <v>#N/A</v>
      </c>
      <c r="J1734" s="334"/>
      <c r="K1734" s="334"/>
      <c r="L1734" s="346" t="s">
        <v>932</v>
      </c>
      <c r="N1734" s="395" t="s">
        <v>932</v>
      </c>
    </row>
    <row r="1735" hidden="1" spans="1:15">
      <c r="A1735" s="404">
        <v>0</v>
      </c>
      <c r="B1735" s="404" t="e">
        <v>#N/A</v>
      </c>
      <c r="C1735" s="404"/>
      <c r="D1735" s="334"/>
      <c r="E1735" s="434">
        <v>0</v>
      </c>
      <c r="F1735" s="333" t="s">
        <v>104</v>
      </c>
      <c r="G1735" s="334"/>
      <c r="H1735" s="334"/>
      <c r="I1735" s="435" t="e">
        <v>#N/A</v>
      </c>
      <c r="J1735" s="334"/>
      <c r="K1735" s="334"/>
      <c r="L1735" s="346" t="s">
        <v>932</v>
      </c>
      <c r="N1735" s="395" t="s">
        <v>932</v>
      </c>
    </row>
    <row r="1736" hidden="1" spans="1:15">
      <c r="A1736" s="404">
        <v>0</v>
      </c>
      <c r="B1736" s="436" t="e">
        <v>#N/A</v>
      </c>
      <c r="C1736" s="436"/>
      <c r="D1736" s="334"/>
      <c r="E1736" s="434">
        <v>0</v>
      </c>
      <c r="F1736" s="333" t="s">
        <v>104</v>
      </c>
      <c r="G1736" s="334"/>
      <c r="H1736" s="334"/>
      <c r="I1736" s="435" t="e">
        <v>#N/A</v>
      </c>
      <c r="J1736" s="334"/>
      <c r="K1736" s="334"/>
      <c r="L1736" s="346" t="s">
        <v>932</v>
      </c>
      <c r="N1736" s="395" t="s">
        <v>932</v>
      </c>
    </row>
    <row r="1737" spans="1:15">
      <c r="A1737" s="421"/>
      <c r="B1737" s="62"/>
      <c r="C1737" s="62"/>
      <c r="D1737" s="422"/>
      <c r="E1737" s="423"/>
      <c r="F1737" s="424"/>
      <c r="G1737" s="422"/>
      <c r="H1737" s="422"/>
      <c r="I1737" s="422"/>
      <c r="J1737" s="422"/>
      <c r="K1737" s="425" t="s">
        <v>14188</v>
      </c>
      <c r="L1737" s="426">
        <v>81.7295</v>
      </c>
      <c r="N1737" s="427">
        <v>81.7295</v>
      </c>
    </row>
    <row r="1738" spans="1:15">
      <c r="I1738" s="437"/>
      <c r="K1738" s="383" t="s">
        <v>14189</v>
      </c>
      <c r="L1738" s="427">
        <v>182.2349</v>
      </c>
      <c r="N1738" s="395">
        <v>150.7178</v>
      </c>
    </row>
    <row r="1739" spans="1:15">
      <c r="K1739" s="383" t="s">
        <v>14190</v>
      </c>
      <c r="L1739" s="427">
        <v>60.7449666666667</v>
      </c>
      <c r="N1739" s="395">
        <v>50.2392666666667</v>
      </c>
      <c r="O1739" s="395">
        <v>1.82469016533333</v>
      </c>
    </row>
    <row r="1740" spans="1:15">
      <c r="K1740" s="383" t="s">
        <v>14191</v>
      </c>
      <c r="L1740" s="427">
        <v>1.82469016533333</v>
      </c>
    </row>
    <row r="1741" spans="1:15">
      <c r="K1741" s="383" t="s">
        <v>14192</v>
      </c>
      <c r="L1741" s="395">
        <v>0</v>
      </c>
    </row>
    <row r="1742" hidden="1" spans="1:15">
      <c r="A1742" s="428" t="s">
        <v>14193</v>
      </c>
      <c r="B1742" s="430"/>
      <c r="C1742" s="430"/>
      <c r="D1742" s="430"/>
      <c r="E1742" s="431" t="s">
        <v>74</v>
      </c>
      <c r="F1742" s="431" t="s">
        <v>1123</v>
      </c>
      <c r="G1742" s="430"/>
      <c r="H1742" s="430"/>
      <c r="I1742" s="425" t="s">
        <v>75</v>
      </c>
      <c r="J1742" s="430"/>
      <c r="K1742" s="430"/>
      <c r="L1742" s="426" t="s">
        <v>14194</v>
      </c>
    </row>
    <row r="1743" hidden="1" spans="1:15">
      <c r="A1743" s="404">
        <v>0</v>
      </c>
      <c r="B1743" s="433" t="e">
        <v>#N/A</v>
      </c>
      <c r="C1743" s="433"/>
      <c r="D1743" s="334"/>
      <c r="E1743" s="434">
        <v>0</v>
      </c>
      <c r="F1743" s="333" t="e">
        <v>#N/A</v>
      </c>
      <c r="G1743" s="334"/>
      <c r="I1743" s="395" t="e">
        <v>#N/A</v>
      </c>
      <c r="J1743" s="395"/>
      <c r="K1743" s="395"/>
      <c r="L1743" s="346" t="s">
        <v>932</v>
      </c>
    </row>
    <row r="1744" hidden="1" spans="1:15">
      <c r="A1744" s="404">
        <v>0</v>
      </c>
      <c r="B1744" s="404" t="e">
        <v>#N/A</v>
      </c>
      <c r="C1744" s="404"/>
      <c r="D1744" s="334"/>
      <c r="E1744" s="434">
        <v>0</v>
      </c>
      <c r="F1744" s="333" t="e">
        <v>#N/A</v>
      </c>
      <c r="G1744" s="334"/>
      <c r="I1744" s="395" t="e">
        <v>#N/A</v>
      </c>
      <c r="J1744" s="395"/>
      <c r="K1744" s="395"/>
      <c r="L1744" s="346" t="s">
        <v>932</v>
      </c>
    </row>
    <row r="1745" hidden="1" spans="1:12">
      <c r="A1745" s="404">
        <v>0</v>
      </c>
      <c r="B1745" s="404" t="e">
        <v>#N/A</v>
      </c>
      <c r="C1745" s="404"/>
      <c r="D1745" s="334"/>
      <c r="E1745" s="434">
        <v>0</v>
      </c>
      <c r="F1745" s="333" t="e">
        <v>#N/A</v>
      </c>
      <c r="G1745" s="334"/>
      <c r="I1745" s="395" t="e">
        <v>#N/A</v>
      </c>
      <c r="J1745" s="395"/>
      <c r="K1745" s="395"/>
      <c r="L1745" s="346" t="s">
        <v>932</v>
      </c>
    </row>
    <row r="1746" hidden="1" spans="1:12">
      <c r="A1746" s="404">
        <v>0</v>
      </c>
      <c r="B1746" s="404" t="e">
        <v>#N/A</v>
      </c>
      <c r="C1746" s="404"/>
      <c r="D1746" s="334"/>
      <c r="E1746" s="434">
        <v>0</v>
      </c>
      <c r="F1746" s="333" t="e">
        <v>#N/A</v>
      </c>
      <c r="G1746" s="334"/>
      <c r="I1746" s="395" t="e">
        <v>#N/A</v>
      </c>
      <c r="J1746" s="395"/>
      <c r="K1746" s="395"/>
      <c r="L1746" s="346" t="s">
        <v>932</v>
      </c>
    </row>
    <row r="1747" hidden="1" spans="1:12">
      <c r="A1747" s="404">
        <v>0</v>
      </c>
      <c r="B1747" s="404" t="e">
        <v>#N/A</v>
      </c>
      <c r="C1747" s="404"/>
      <c r="D1747" s="334"/>
      <c r="E1747" s="434">
        <v>0</v>
      </c>
      <c r="F1747" s="333" t="e">
        <v>#N/A</v>
      </c>
      <c r="G1747" s="334"/>
      <c r="H1747" s="334"/>
      <c r="I1747" s="395" t="e">
        <v>#N/A</v>
      </c>
      <c r="J1747" s="395"/>
      <c r="K1747" s="395"/>
      <c r="L1747" s="346" t="s">
        <v>932</v>
      </c>
    </row>
    <row r="1748" hidden="1" spans="1:12">
      <c r="A1748" s="404">
        <v>0</v>
      </c>
      <c r="B1748" s="404" t="e">
        <v>#N/A</v>
      </c>
      <c r="C1748" s="404"/>
      <c r="D1748" s="334"/>
      <c r="E1748" s="434">
        <v>0</v>
      </c>
      <c r="F1748" s="333" t="e">
        <v>#N/A</v>
      </c>
      <c r="G1748" s="334"/>
      <c r="H1748" s="334"/>
      <c r="I1748" s="395" t="e">
        <v>#N/A</v>
      </c>
      <c r="J1748" s="395"/>
      <c r="K1748" s="395"/>
      <c r="L1748" s="346" t="s">
        <v>932</v>
      </c>
    </row>
    <row r="1749" hidden="1" spans="1:12">
      <c r="A1749" s="404">
        <v>0</v>
      </c>
      <c r="B1749" s="404" t="e">
        <v>#N/A</v>
      </c>
      <c r="C1749" s="404"/>
      <c r="D1749" s="334"/>
      <c r="E1749" s="434">
        <v>0</v>
      </c>
      <c r="F1749" s="333" t="e">
        <v>#N/A</v>
      </c>
      <c r="G1749" s="334"/>
      <c r="H1749" s="334"/>
      <c r="I1749" s="395" t="e">
        <v>#N/A</v>
      </c>
      <c r="J1749" s="395"/>
      <c r="K1749" s="395"/>
      <c r="L1749" s="346" t="s">
        <v>932</v>
      </c>
    </row>
    <row r="1750" hidden="1" spans="1:12">
      <c r="A1750" s="404">
        <v>0</v>
      </c>
      <c r="B1750" s="404" t="e">
        <v>#N/A</v>
      </c>
      <c r="C1750" s="404"/>
      <c r="D1750" s="438"/>
      <c r="E1750" s="434">
        <v>0</v>
      </c>
      <c r="F1750" s="333" t="e">
        <v>#N/A</v>
      </c>
      <c r="G1750" s="334"/>
      <c r="H1750" s="334"/>
      <c r="I1750" s="395" t="e">
        <v>#N/A</v>
      </c>
      <c r="J1750" s="395"/>
      <c r="K1750" s="395"/>
      <c r="L1750" s="346" t="s">
        <v>932</v>
      </c>
    </row>
    <row r="1751" hidden="1" spans="1:12">
      <c r="A1751" s="421"/>
      <c r="B1751" s="422"/>
      <c r="C1751" s="422"/>
      <c r="D1751" s="422"/>
      <c r="E1751" s="423"/>
      <c r="F1751" s="424"/>
      <c r="G1751" s="422"/>
      <c r="H1751" s="422"/>
      <c r="I1751" s="430"/>
      <c r="J1751" s="430"/>
      <c r="K1751" s="425" t="s">
        <v>14203</v>
      </c>
      <c r="L1751" s="426">
        <v>0</v>
      </c>
    </row>
    <row r="1752" spans="1:12">
      <c r="A1752" s="428" t="s">
        <v>14204</v>
      </c>
      <c r="B1752" s="430"/>
      <c r="C1752" s="430"/>
      <c r="D1752" s="430"/>
      <c r="E1752" s="431" t="s">
        <v>74</v>
      </c>
      <c r="F1752" s="431" t="s">
        <v>1123</v>
      </c>
      <c r="G1752" s="430"/>
      <c r="H1752" s="430"/>
      <c r="I1752" s="425" t="s">
        <v>75</v>
      </c>
      <c r="J1752" s="430"/>
      <c r="K1752" s="430"/>
      <c r="L1752" s="426" t="s">
        <v>14194</v>
      </c>
    </row>
    <row r="1753" spans="1:12">
      <c r="A1753" s="404">
        <v>5213417</v>
      </c>
      <c r="B1753" s="334" t="s">
        <v>11540</v>
      </c>
      <c r="C1753" s="334"/>
      <c r="D1753" s="334"/>
      <c r="E1753" s="434">
        <v>1</v>
      </c>
      <c r="F1753" s="333" t="s">
        <v>7</v>
      </c>
      <c r="G1753" s="439"/>
      <c r="I1753" s="346">
        <v>423.21</v>
      </c>
      <c r="L1753" s="346">
        <v>423.21</v>
      </c>
    </row>
    <row r="1754" hidden="1" spans="1:12">
      <c r="A1754" s="401">
        <v>0</v>
      </c>
      <c r="B1754" s="334" t="e">
        <v>#N/A</v>
      </c>
      <c r="E1754" s="440">
        <v>0</v>
      </c>
      <c r="F1754" s="333" t="e">
        <v>#N/A</v>
      </c>
      <c r="G1754" s="439"/>
      <c r="I1754" s="346" t="e">
        <v>#N/A</v>
      </c>
      <c r="L1754" s="346" t="s">
        <v>932</v>
      </c>
    </row>
    <row r="1755" hidden="1" spans="1:12">
      <c r="A1755" s="401">
        <v>0</v>
      </c>
      <c r="B1755" s="334" t="e">
        <v>#N/A</v>
      </c>
      <c r="E1755" s="440">
        <v>0</v>
      </c>
      <c r="F1755" s="333" t="e">
        <v>#N/A</v>
      </c>
      <c r="G1755" s="439"/>
      <c r="I1755" s="346" t="e">
        <v>#N/A</v>
      </c>
      <c r="L1755" s="346" t="s">
        <v>932</v>
      </c>
    </row>
    <row r="1756" hidden="1" spans="1:12">
      <c r="A1756" s="401">
        <v>0</v>
      </c>
      <c r="B1756" s="334" t="e">
        <v>#N/A</v>
      </c>
      <c r="E1756" s="440">
        <v>0</v>
      </c>
      <c r="F1756" s="333" t="e">
        <v>#N/A</v>
      </c>
      <c r="G1756" s="439"/>
      <c r="I1756" s="346" t="e">
        <v>#N/A</v>
      </c>
      <c r="L1756" s="346" t="s">
        <v>932</v>
      </c>
    </row>
    <row r="1757" hidden="1" spans="1:12">
      <c r="A1757" s="401">
        <v>0</v>
      </c>
      <c r="B1757" s="334" t="e">
        <v>#N/A</v>
      </c>
      <c r="E1757" s="440">
        <v>0</v>
      </c>
      <c r="F1757" s="333" t="e">
        <v>#N/A</v>
      </c>
      <c r="G1757" s="439"/>
      <c r="I1757" s="346" t="e">
        <v>#N/A</v>
      </c>
      <c r="L1757" s="346" t="s">
        <v>932</v>
      </c>
    </row>
    <row r="1758" hidden="1" spans="1:12">
      <c r="A1758" s="401">
        <v>0</v>
      </c>
      <c r="B1758" s="334" t="e">
        <v>#N/A</v>
      </c>
      <c r="E1758" s="440">
        <v>0</v>
      </c>
      <c r="F1758" s="333" t="e">
        <v>#N/A</v>
      </c>
      <c r="G1758" s="439"/>
      <c r="I1758" s="346" t="e">
        <v>#N/A</v>
      </c>
      <c r="L1758" s="346" t="s">
        <v>932</v>
      </c>
    </row>
    <row r="1759" spans="1:12">
      <c r="A1759" s="421"/>
      <c r="B1759" s="422"/>
      <c r="C1759" s="422"/>
      <c r="D1759" s="422"/>
      <c r="E1759" s="422"/>
      <c r="F1759" s="422"/>
      <c r="G1759" s="422"/>
      <c r="H1759" s="422"/>
      <c r="I1759" s="430"/>
      <c r="J1759" s="430"/>
      <c r="K1759" s="425" t="s">
        <v>14206</v>
      </c>
      <c r="L1759" s="426">
        <v>423.21</v>
      </c>
    </row>
    <row r="1760" spans="1:12">
      <c r="A1760" s="421"/>
      <c r="B1760" s="422"/>
      <c r="C1760" s="422"/>
      <c r="D1760" s="422"/>
      <c r="E1760" s="422"/>
      <c r="F1760" s="422"/>
      <c r="G1760" s="422"/>
      <c r="H1760" s="422"/>
      <c r="I1760" s="430"/>
      <c r="J1760" s="430"/>
      <c r="K1760" s="425" t="s">
        <v>14207</v>
      </c>
      <c r="L1760" s="426">
        <v>485.779656832</v>
      </c>
    </row>
    <row r="1761" hidden="1" spans="1:12">
      <c r="A1761" s="428" t="s">
        <v>14208</v>
      </c>
      <c r="B1761" s="430"/>
      <c r="C1761" s="430"/>
      <c r="D1761" s="431" t="s">
        <v>55</v>
      </c>
      <c r="E1761" s="431" t="s">
        <v>74</v>
      </c>
      <c r="F1761" s="431" t="s">
        <v>1123</v>
      </c>
      <c r="G1761" s="430"/>
      <c r="H1761" s="430"/>
      <c r="I1761" s="425" t="s">
        <v>75</v>
      </c>
      <c r="J1761" s="430"/>
      <c r="K1761" s="430"/>
      <c r="L1761" s="426" t="s">
        <v>14194</v>
      </c>
    </row>
    <row r="1762" hidden="1" spans="1:12">
      <c r="A1762" s="404">
        <v>5213417</v>
      </c>
      <c r="B1762" s="441" t="s">
        <v>11540</v>
      </c>
      <c r="C1762" s="441"/>
      <c r="D1762" s="442">
        <v>0</v>
      </c>
      <c r="E1762" s="434">
        <v>0</v>
      </c>
      <c r="F1762" s="333" t="s">
        <v>9885</v>
      </c>
      <c r="G1762" s="443" t="s">
        <v>1020</v>
      </c>
      <c r="H1762" s="334"/>
      <c r="I1762" s="346">
        <v>0</v>
      </c>
      <c r="J1762" s="334"/>
      <c r="K1762" s="346"/>
      <c r="L1762" s="346" t="s">
        <v>932</v>
      </c>
    </row>
    <row r="1763" hidden="1" spans="1:12">
      <c r="A1763" s="404">
        <v>0</v>
      </c>
      <c r="B1763" s="334" t="e">
        <v>#N/A</v>
      </c>
      <c r="C1763" s="334"/>
      <c r="D1763" s="442">
        <v>0</v>
      </c>
      <c r="E1763" s="434">
        <v>0</v>
      </c>
      <c r="F1763" s="333" t="s">
        <v>9885</v>
      </c>
      <c r="G1763" s="334"/>
      <c r="H1763" s="334"/>
      <c r="I1763" s="346">
        <v>0</v>
      </c>
      <c r="J1763" s="334"/>
      <c r="K1763" s="346"/>
      <c r="L1763" s="346" t="s">
        <v>932</v>
      </c>
    </row>
    <row r="1764" hidden="1" spans="1:12">
      <c r="A1764" s="404">
        <v>0</v>
      </c>
      <c r="B1764" s="334" t="e">
        <v>#N/A</v>
      </c>
      <c r="C1764" s="334"/>
      <c r="D1764" s="442">
        <v>0</v>
      </c>
      <c r="E1764" s="434">
        <v>0</v>
      </c>
      <c r="F1764" s="333" t="s">
        <v>9885</v>
      </c>
      <c r="G1764" s="334"/>
      <c r="H1764" s="334"/>
      <c r="I1764" s="346">
        <v>0</v>
      </c>
      <c r="J1764" s="334"/>
      <c r="K1764" s="346"/>
      <c r="L1764" s="346" t="s">
        <v>932</v>
      </c>
    </row>
    <row r="1765" hidden="1" spans="1:12">
      <c r="A1765" s="404">
        <v>0</v>
      </c>
      <c r="B1765" s="334" t="e">
        <v>#N/A</v>
      </c>
      <c r="C1765" s="334"/>
      <c r="D1765" s="442">
        <v>0</v>
      </c>
      <c r="E1765" s="434">
        <v>0</v>
      </c>
      <c r="F1765" s="333" t="s">
        <v>9885</v>
      </c>
      <c r="G1765" s="334"/>
      <c r="H1765" s="334"/>
      <c r="I1765" s="346">
        <v>0</v>
      </c>
      <c r="J1765" s="334"/>
      <c r="K1765" s="346"/>
      <c r="L1765" s="346" t="s">
        <v>932</v>
      </c>
    </row>
    <row r="1766" hidden="1" spans="1:12">
      <c r="A1766" s="404">
        <v>0</v>
      </c>
      <c r="B1766" s="334" t="e">
        <v>#N/A</v>
      </c>
      <c r="C1766" s="334"/>
      <c r="D1766" s="442">
        <v>0</v>
      </c>
      <c r="E1766" s="434">
        <v>0</v>
      </c>
      <c r="F1766" s="333" t="s">
        <v>9885</v>
      </c>
      <c r="G1766" s="334"/>
      <c r="H1766" s="334"/>
      <c r="I1766" s="346">
        <v>0</v>
      </c>
      <c r="J1766" s="334"/>
      <c r="K1766" s="346"/>
      <c r="L1766" s="346" t="s">
        <v>932</v>
      </c>
    </row>
    <row r="1767" hidden="1" spans="1:12">
      <c r="A1767" s="404">
        <v>0</v>
      </c>
      <c r="B1767" s="334" t="e">
        <v>#N/A</v>
      </c>
      <c r="C1767" s="334"/>
      <c r="D1767" s="442">
        <v>0</v>
      </c>
      <c r="E1767" s="434">
        <v>0</v>
      </c>
      <c r="F1767" s="333" t="s">
        <v>9885</v>
      </c>
      <c r="G1767" s="334"/>
      <c r="H1767" s="334"/>
      <c r="I1767" s="346">
        <v>0</v>
      </c>
      <c r="J1767" s="334"/>
      <c r="K1767" s="346"/>
      <c r="L1767" s="346" t="s">
        <v>932</v>
      </c>
    </row>
    <row r="1768" hidden="1" spans="1:12">
      <c r="A1768" s="404">
        <v>0</v>
      </c>
      <c r="B1768" s="334">
        <v>0</v>
      </c>
      <c r="C1768" s="334"/>
      <c r="D1768" s="442">
        <v>0</v>
      </c>
      <c r="E1768" s="434">
        <v>0</v>
      </c>
      <c r="F1768" s="333" t="s">
        <v>9885</v>
      </c>
      <c r="G1768" s="334"/>
      <c r="H1768" s="334"/>
      <c r="I1768" s="346">
        <v>0</v>
      </c>
      <c r="J1768" s="334"/>
      <c r="K1768" s="346"/>
      <c r="L1768" s="346" t="s">
        <v>932</v>
      </c>
    </row>
    <row r="1769" hidden="1" spans="1:12">
      <c r="A1769" s="404">
        <v>0</v>
      </c>
      <c r="B1769" s="444">
        <v>0</v>
      </c>
      <c r="C1769" s="444"/>
      <c r="D1769" s="442">
        <v>0</v>
      </c>
      <c r="E1769" s="434">
        <v>0</v>
      </c>
      <c r="F1769" s="333" t="s">
        <v>9885</v>
      </c>
      <c r="G1769" s="334"/>
      <c r="H1769" s="334"/>
      <c r="I1769" s="346">
        <v>0</v>
      </c>
      <c r="J1769" s="334"/>
      <c r="K1769" s="346"/>
      <c r="L1769" s="346" t="s">
        <v>932</v>
      </c>
    </row>
    <row r="1770" hidden="1" spans="1:12">
      <c r="A1770" s="428"/>
      <c r="B1770" s="445"/>
      <c r="C1770" s="445"/>
      <c r="D1770" s="430"/>
      <c r="E1770" s="430"/>
      <c r="F1770" s="430"/>
      <c r="G1770" s="430"/>
      <c r="H1770" s="430"/>
      <c r="I1770" s="430"/>
      <c r="J1770" s="430"/>
      <c r="K1770" s="425" t="s">
        <v>14210</v>
      </c>
      <c r="L1770" s="426">
        <v>0</v>
      </c>
    </row>
    <row r="1771" hidden="1" spans="1:12">
      <c r="A1771" s="446" t="s">
        <v>14211</v>
      </c>
      <c r="B1771" s="445"/>
      <c r="C1771" s="445"/>
      <c r="D1771" s="447" t="s">
        <v>55</v>
      </c>
      <c r="E1771" s="445" t="s">
        <v>74</v>
      </c>
      <c r="F1771" s="447" t="s">
        <v>1123</v>
      </c>
      <c r="G1771" s="445"/>
      <c r="H1771" s="447" t="s">
        <v>72</v>
      </c>
      <c r="I1771" s="447" t="s">
        <v>75</v>
      </c>
      <c r="J1771" s="445"/>
      <c r="K1771" s="448"/>
      <c r="L1771" s="449" t="s">
        <v>14194</v>
      </c>
    </row>
    <row r="1772" hidden="1" spans="1:12">
      <c r="A1772" s="404">
        <v>5213417</v>
      </c>
      <c r="B1772" s="433" t="s">
        <v>11540</v>
      </c>
      <c r="C1772" s="433"/>
      <c r="D1772" s="442">
        <v>5915322</v>
      </c>
      <c r="E1772" s="450">
        <v>0</v>
      </c>
      <c r="F1772" s="333" t="s">
        <v>13063</v>
      </c>
      <c r="G1772" s="333" t="s">
        <v>14212</v>
      </c>
      <c r="H1772" s="346">
        <v>0</v>
      </c>
      <c r="I1772" s="346">
        <v>2.12</v>
      </c>
      <c r="J1772" s="346"/>
      <c r="K1772" s="334"/>
      <c r="L1772" s="346" t="s">
        <v>932</v>
      </c>
    </row>
    <row r="1773" hidden="1" spans="1:12">
      <c r="A1773" s="404"/>
      <c r="B1773" s="404"/>
      <c r="C1773" s="334"/>
      <c r="D1773" s="442">
        <v>5915323</v>
      </c>
      <c r="E1773" s="450">
        <v>0</v>
      </c>
      <c r="F1773" s="333" t="s">
        <v>13063</v>
      </c>
      <c r="G1773" s="333" t="s">
        <v>14213</v>
      </c>
      <c r="H1773" s="346">
        <v>0</v>
      </c>
      <c r="I1773" s="346">
        <v>1.7</v>
      </c>
      <c r="J1773" s="346"/>
      <c r="K1773" s="334"/>
      <c r="L1773" s="346" t="s">
        <v>932</v>
      </c>
    </row>
    <row r="1774" hidden="1" spans="1:12">
      <c r="A1774" s="404"/>
      <c r="B1774" s="404"/>
      <c r="C1774" s="334"/>
      <c r="D1774" s="442">
        <v>5915324</v>
      </c>
      <c r="E1774" s="450">
        <v>0</v>
      </c>
      <c r="F1774" s="333" t="s">
        <v>13063</v>
      </c>
      <c r="G1774" s="333" t="s">
        <v>14214</v>
      </c>
      <c r="H1774" s="346">
        <v>0</v>
      </c>
      <c r="I1774" s="346">
        <v>1.39</v>
      </c>
      <c r="J1774" s="346"/>
      <c r="K1774" s="334"/>
      <c r="L1774" s="346" t="s">
        <v>932</v>
      </c>
    </row>
    <row r="1775" hidden="1" spans="1:12">
      <c r="A1775" s="404">
        <v>0</v>
      </c>
      <c r="B1775" s="404" t="e">
        <v>#N/A</v>
      </c>
      <c r="C1775" s="404"/>
      <c r="D1775" s="442">
        <v>0</v>
      </c>
      <c r="E1775" s="450">
        <v>0</v>
      </c>
      <c r="F1775" s="333" t="s">
        <v>13063</v>
      </c>
      <c r="G1775" s="333" t="s">
        <v>14212</v>
      </c>
      <c r="H1775" s="346">
        <v>0</v>
      </c>
      <c r="I1775" s="346">
        <v>0</v>
      </c>
      <c r="J1775" s="346"/>
      <c r="K1775" s="334"/>
      <c r="L1775" s="346" t="s">
        <v>932</v>
      </c>
    </row>
    <row r="1776" hidden="1" spans="1:12">
      <c r="A1776" s="404"/>
      <c r="B1776" s="404"/>
      <c r="C1776" s="334"/>
      <c r="D1776" s="442">
        <v>0</v>
      </c>
      <c r="E1776" s="450">
        <v>0</v>
      </c>
      <c r="F1776" s="333" t="s">
        <v>13063</v>
      </c>
      <c r="G1776" s="333" t="s">
        <v>14213</v>
      </c>
      <c r="H1776" s="346">
        <v>0</v>
      </c>
      <c r="I1776" s="346">
        <v>0</v>
      </c>
      <c r="J1776" s="346"/>
      <c r="K1776" s="334"/>
      <c r="L1776" s="346" t="s">
        <v>932</v>
      </c>
    </row>
    <row r="1777" hidden="1" spans="1:12">
      <c r="A1777" s="404"/>
      <c r="B1777" s="404"/>
      <c r="C1777" s="334"/>
      <c r="D1777" s="442">
        <v>0</v>
      </c>
      <c r="E1777" s="450">
        <v>0</v>
      </c>
      <c r="F1777" s="333" t="s">
        <v>13063</v>
      </c>
      <c r="G1777" s="333" t="s">
        <v>14214</v>
      </c>
      <c r="H1777" s="346">
        <v>0</v>
      </c>
      <c r="I1777" s="346">
        <v>0</v>
      </c>
      <c r="J1777" s="346"/>
      <c r="K1777" s="334"/>
      <c r="L1777" s="346" t="s">
        <v>932</v>
      </c>
    </row>
    <row r="1778" hidden="1" spans="1:12">
      <c r="A1778" s="404">
        <v>0</v>
      </c>
      <c r="B1778" s="404" t="e">
        <v>#N/A</v>
      </c>
      <c r="C1778" s="404"/>
      <c r="D1778" s="442">
        <v>0</v>
      </c>
      <c r="E1778" s="450">
        <v>0</v>
      </c>
      <c r="F1778" s="333" t="s">
        <v>13063</v>
      </c>
      <c r="G1778" s="333" t="s">
        <v>14212</v>
      </c>
      <c r="H1778" s="346">
        <v>0</v>
      </c>
      <c r="I1778" s="346">
        <v>0</v>
      </c>
      <c r="J1778" s="346"/>
      <c r="K1778" s="334"/>
      <c r="L1778" s="346" t="s">
        <v>932</v>
      </c>
    </row>
    <row r="1779" hidden="1" spans="1:12">
      <c r="A1779" s="404"/>
      <c r="B1779" s="404"/>
      <c r="C1779" s="334"/>
      <c r="D1779" s="442">
        <v>0</v>
      </c>
      <c r="E1779" s="450">
        <v>0</v>
      </c>
      <c r="F1779" s="333" t="s">
        <v>13063</v>
      </c>
      <c r="G1779" s="333" t="s">
        <v>14213</v>
      </c>
      <c r="H1779" s="346">
        <v>0</v>
      </c>
      <c r="I1779" s="346">
        <v>0</v>
      </c>
      <c r="J1779" s="346"/>
      <c r="K1779" s="334"/>
      <c r="L1779" s="346" t="s">
        <v>932</v>
      </c>
    </row>
    <row r="1780" hidden="1" spans="1:12">
      <c r="A1780" s="404"/>
      <c r="B1780" s="404"/>
      <c r="C1780" s="334"/>
      <c r="D1780" s="442">
        <v>0</v>
      </c>
      <c r="E1780" s="450">
        <v>0</v>
      </c>
      <c r="F1780" s="333" t="s">
        <v>13063</v>
      </c>
      <c r="G1780" s="333" t="s">
        <v>14214</v>
      </c>
      <c r="H1780" s="346">
        <v>0</v>
      </c>
      <c r="I1780" s="346">
        <v>0</v>
      </c>
      <c r="J1780" s="346"/>
      <c r="K1780" s="334"/>
      <c r="L1780" s="346" t="s">
        <v>932</v>
      </c>
    </row>
    <row r="1781" hidden="1" spans="1:12">
      <c r="A1781" s="404">
        <v>0</v>
      </c>
      <c r="B1781" s="404" t="e">
        <v>#N/A</v>
      </c>
      <c r="C1781" s="404"/>
      <c r="D1781" s="442">
        <v>0</v>
      </c>
      <c r="E1781" s="450">
        <v>0</v>
      </c>
      <c r="F1781" s="333" t="s">
        <v>13063</v>
      </c>
      <c r="G1781" s="333" t="s">
        <v>14212</v>
      </c>
      <c r="H1781" s="346">
        <v>0</v>
      </c>
      <c r="I1781" s="346">
        <v>0</v>
      </c>
      <c r="J1781" s="346"/>
      <c r="K1781" s="334"/>
      <c r="L1781" s="346" t="s">
        <v>932</v>
      </c>
    </row>
    <row r="1782" hidden="1" spans="1:12">
      <c r="A1782" s="404"/>
      <c r="B1782" s="404"/>
      <c r="C1782" s="334"/>
      <c r="D1782" s="442">
        <v>0</v>
      </c>
      <c r="E1782" s="450">
        <v>0</v>
      </c>
      <c r="F1782" s="333" t="s">
        <v>13063</v>
      </c>
      <c r="G1782" s="333" t="s">
        <v>14213</v>
      </c>
      <c r="H1782" s="346">
        <v>0</v>
      </c>
      <c r="I1782" s="346">
        <v>0</v>
      </c>
      <c r="J1782" s="346"/>
      <c r="K1782" s="334"/>
      <c r="L1782" s="346" t="s">
        <v>932</v>
      </c>
    </row>
    <row r="1783" hidden="1" spans="1:12">
      <c r="A1783" s="404"/>
      <c r="B1783" s="404"/>
      <c r="C1783" s="334"/>
      <c r="D1783" s="442">
        <v>0</v>
      </c>
      <c r="E1783" s="450">
        <v>0</v>
      </c>
      <c r="F1783" s="333" t="s">
        <v>13063</v>
      </c>
      <c r="G1783" s="333" t="s">
        <v>14214</v>
      </c>
      <c r="H1783" s="346">
        <v>0</v>
      </c>
      <c r="I1783" s="346">
        <v>0</v>
      </c>
      <c r="J1783" s="346"/>
      <c r="K1783" s="334"/>
      <c r="L1783" s="346" t="s">
        <v>932</v>
      </c>
    </row>
    <row r="1784" hidden="1" spans="1:12">
      <c r="A1784" s="404">
        <v>0</v>
      </c>
      <c r="B1784" s="404" t="e">
        <v>#N/A</v>
      </c>
      <c r="C1784" s="404"/>
      <c r="D1784" s="442">
        <v>0</v>
      </c>
      <c r="E1784" s="450">
        <v>0</v>
      </c>
      <c r="F1784" s="333" t="s">
        <v>13063</v>
      </c>
      <c r="G1784" s="333" t="s">
        <v>14212</v>
      </c>
      <c r="H1784" s="346">
        <v>0</v>
      </c>
      <c r="I1784" s="346">
        <v>0</v>
      </c>
      <c r="J1784" s="346"/>
      <c r="K1784" s="334"/>
      <c r="L1784" s="346" t="s">
        <v>932</v>
      </c>
    </row>
    <row r="1785" hidden="1" spans="1:12">
      <c r="A1785" s="404"/>
      <c r="B1785" s="404"/>
      <c r="C1785" s="334"/>
      <c r="D1785" s="442">
        <v>0</v>
      </c>
      <c r="E1785" s="450">
        <v>0</v>
      </c>
      <c r="F1785" s="333" t="s">
        <v>13063</v>
      </c>
      <c r="G1785" s="333" t="s">
        <v>14213</v>
      </c>
      <c r="H1785" s="346">
        <v>0</v>
      </c>
      <c r="I1785" s="346">
        <v>0</v>
      </c>
      <c r="J1785" s="346"/>
      <c r="K1785" s="334"/>
      <c r="L1785" s="346" t="s">
        <v>932</v>
      </c>
    </row>
    <row r="1786" hidden="1" spans="1:12">
      <c r="A1786" s="404"/>
      <c r="B1786" s="404"/>
      <c r="C1786" s="334"/>
      <c r="D1786" s="442">
        <v>0</v>
      </c>
      <c r="E1786" s="450">
        <v>0</v>
      </c>
      <c r="F1786" s="333" t="s">
        <v>13063</v>
      </c>
      <c r="G1786" s="333" t="s">
        <v>14214</v>
      </c>
      <c r="H1786" s="346">
        <v>0</v>
      </c>
      <c r="I1786" s="346">
        <v>0</v>
      </c>
      <c r="J1786" s="346"/>
      <c r="K1786" s="334"/>
      <c r="L1786" s="346" t="s">
        <v>932</v>
      </c>
    </row>
    <row r="1787" hidden="1" spans="1:12">
      <c r="A1787" s="401">
        <v>0</v>
      </c>
      <c r="B1787" s="401" t="e">
        <v>#N/A</v>
      </c>
      <c r="C1787" s="401"/>
      <c r="D1787" s="442">
        <v>0</v>
      </c>
      <c r="E1787" s="450">
        <v>0</v>
      </c>
      <c r="F1787" s="439" t="s">
        <v>13063</v>
      </c>
      <c r="G1787" s="439" t="s">
        <v>14212</v>
      </c>
      <c r="H1787" s="346">
        <v>0</v>
      </c>
      <c r="I1787" s="346">
        <v>0</v>
      </c>
      <c r="J1787" s="395"/>
      <c r="L1787" s="346" t="s">
        <v>932</v>
      </c>
    </row>
    <row r="1788" hidden="1" spans="1:12">
      <c r="A1788" s="401"/>
      <c r="B1788" s="401"/>
      <c r="D1788" s="442">
        <v>0</v>
      </c>
      <c r="E1788" s="450">
        <v>0</v>
      </c>
      <c r="F1788" s="439" t="s">
        <v>13063</v>
      </c>
      <c r="G1788" s="439" t="s">
        <v>14213</v>
      </c>
      <c r="H1788" s="346">
        <v>0</v>
      </c>
      <c r="I1788" s="346">
        <v>0</v>
      </c>
      <c r="J1788" s="395"/>
      <c r="L1788" s="346" t="s">
        <v>932</v>
      </c>
    </row>
    <row r="1789" hidden="1" spans="1:12">
      <c r="A1789" s="401"/>
      <c r="B1789" s="401"/>
      <c r="D1789" s="442">
        <v>0</v>
      </c>
      <c r="E1789" s="450">
        <v>0</v>
      </c>
      <c r="F1789" s="439" t="s">
        <v>13063</v>
      </c>
      <c r="G1789" s="439" t="s">
        <v>14214</v>
      </c>
      <c r="H1789" s="346">
        <v>0</v>
      </c>
      <c r="I1789" s="346">
        <v>0</v>
      </c>
      <c r="J1789" s="395"/>
      <c r="L1789" s="346" t="s">
        <v>932</v>
      </c>
    </row>
    <row r="1790" hidden="1" spans="1:12">
      <c r="A1790" s="401">
        <v>0</v>
      </c>
      <c r="B1790" s="401">
        <v>0</v>
      </c>
      <c r="C1790" s="401"/>
      <c r="D1790" s="442">
        <v>0</v>
      </c>
      <c r="E1790" s="450">
        <v>0</v>
      </c>
      <c r="F1790" s="439" t="s">
        <v>13063</v>
      </c>
      <c r="G1790" s="439" t="s">
        <v>14212</v>
      </c>
      <c r="H1790" s="346">
        <v>0</v>
      </c>
      <c r="I1790" s="346">
        <v>0</v>
      </c>
      <c r="J1790" s="395"/>
      <c r="L1790" s="346" t="s">
        <v>932</v>
      </c>
    </row>
    <row r="1791" hidden="1" spans="1:12">
      <c r="A1791" s="401"/>
      <c r="B1791" s="401"/>
      <c r="D1791" s="442">
        <v>0</v>
      </c>
      <c r="E1791" s="450">
        <v>0</v>
      </c>
      <c r="F1791" s="439" t="s">
        <v>13063</v>
      </c>
      <c r="G1791" s="439" t="s">
        <v>14213</v>
      </c>
      <c r="H1791" s="346">
        <v>0</v>
      </c>
      <c r="I1791" s="346">
        <v>0</v>
      </c>
      <c r="J1791" s="395"/>
      <c r="L1791" s="346" t="s">
        <v>932</v>
      </c>
    </row>
    <row r="1792" hidden="1" spans="1:12">
      <c r="A1792" s="401"/>
      <c r="B1792" s="401"/>
      <c r="D1792" s="442">
        <v>0</v>
      </c>
      <c r="E1792" s="450">
        <v>0</v>
      </c>
      <c r="F1792" s="439" t="s">
        <v>13063</v>
      </c>
      <c r="G1792" s="439" t="s">
        <v>14214</v>
      </c>
      <c r="H1792" s="346">
        <v>0</v>
      </c>
      <c r="I1792" s="346">
        <v>0</v>
      </c>
      <c r="J1792" s="395"/>
      <c r="L1792" s="346" t="s">
        <v>932</v>
      </c>
    </row>
    <row r="1793" hidden="1" spans="1:14">
      <c r="A1793" s="401">
        <v>0</v>
      </c>
      <c r="B1793" s="401">
        <v>0</v>
      </c>
      <c r="C1793" s="401"/>
      <c r="D1793" s="442">
        <v>0</v>
      </c>
      <c r="E1793" s="450">
        <v>0</v>
      </c>
      <c r="F1793" s="439" t="s">
        <v>13063</v>
      </c>
      <c r="G1793" s="439" t="s">
        <v>14212</v>
      </c>
      <c r="H1793" s="346">
        <v>0</v>
      </c>
      <c r="I1793" s="346">
        <v>0</v>
      </c>
      <c r="J1793" s="395"/>
      <c r="L1793" s="346" t="s">
        <v>932</v>
      </c>
    </row>
    <row r="1794" hidden="1" spans="1:14">
      <c r="A1794" s="401"/>
      <c r="B1794" s="401"/>
      <c r="D1794" s="442">
        <v>0</v>
      </c>
      <c r="E1794" s="450">
        <v>0</v>
      </c>
      <c r="F1794" s="439" t="s">
        <v>13063</v>
      </c>
      <c r="G1794" s="439" t="s">
        <v>14213</v>
      </c>
      <c r="H1794" s="346">
        <v>0</v>
      </c>
      <c r="I1794" s="346">
        <v>0</v>
      </c>
      <c r="J1794" s="395"/>
      <c r="L1794" s="346" t="s">
        <v>932</v>
      </c>
    </row>
    <row r="1795" hidden="1" spans="1:14">
      <c r="A1795" s="401"/>
      <c r="B1795" s="401"/>
      <c r="D1795" s="442">
        <v>0</v>
      </c>
      <c r="E1795" s="450">
        <v>0</v>
      </c>
      <c r="F1795" s="439" t="s">
        <v>13063</v>
      </c>
      <c r="G1795" s="439" t="s">
        <v>14214</v>
      </c>
      <c r="H1795" s="346">
        <v>0</v>
      </c>
      <c r="I1795" s="346">
        <v>0</v>
      </c>
      <c r="J1795" s="395"/>
      <c r="L1795" s="346" t="s">
        <v>932</v>
      </c>
    </row>
    <row r="1796" hidden="1" spans="1:14">
      <c r="A1796" s="421"/>
      <c r="B1796" s="422"/>
      <c r="C1796" s="422"/>
      <c r="D1796" s="422"/>
      <c r="E1796" s="422"/>
      <c r="F1796" s="422"/>
      <c r="G1796" s="422"/>
      <c r="H1796" s="422"/>
      <c r="I1796" s="430"/>
      <c r="J1796" s="430"/>
      <c r="K1796" s="425" t="s">
        <v>14215</v>
      </c>
      <c r="L1796" s="426">
        <v>0</v>
      </c>
    </row>
    <row r="1797" spans="1:14">
      <c r="A1797" s="451"/>
      <c r="B1797" s="452"/>
      <c r="C1797" s="452"/>
      <c r="D1797" s="452"/>
      <c r="E1797" s="452"/>
      <c r="F1797" s="452"/>
      <c r="G1797" s="452"/>
      <c r="H1797" s="452"/>
      <c r="I1797" s="453"/>
      <c r="J1797" s="453"/>
      <c r="K1797" s="454" t="s">
        <v>14216</v>
      </c>
      <c r="L1797" s="455">
        <v>485.78</v>
      </c>
    </row>
    <row r="1799" spans="1:14">
      <c r="A1799" s="391" t="s">
        <v>14172</v>
      </c>
      <c r="B1799" s="472"/>
      <c r="C1799" s="472"/>
      <c r="D1799" s="472"/>
      <c r="E1799" s="472"/>
      <c r="F1799" s="472"/>
      <c r="G1799" s="393"/>
      <c r="H1799" s="393"/>
      <c r="I1799" s="393"/>
      <c r="J1799" s="393"/>
      <c r="K1799" s="393"/>
      <c r="L1799" s="471"/>
    </row>
    <row r="1800" spans="1:14">
      <c r="A1800" s="473">
        <v>5216111</v>
      </c>
      <c r="B1800" s="397" t="s">
        <v>137</v>
      </c>
      <c r="C1800" s="397"/>
      <c r="D1800" s="397"/>
      <c r="E1800" s="397"/>
      <c r="F1800" s="397"/>
      <c r="G1800" s="397"/>
      <c r="H1800" s="397" t="s">
        <v>82</v>
      </c>
      <c r="I1800" s="398">
        <v>46023</v>
      </c>
      <c r="J1800" s="397"/>
      <c r="K1800" s="399" t="s">
        <v>14173</v>
      </c>
      <c r="L1800" s="400">
        <v>0</v>
      </c>
    </row>
    <row r="1801" spans="1:14">
      <c r="A1801" s="401"/>
      <c r="H1801" s="402" t="s">
        <v>14174</v>
      </c>
      <c r="I1801" s="434">
        <v>4</v>
      </c>
      <c r="J1801" s="404" t="s">
        <v>82</v>
      </c>
      <c r="K1801" s="402" t="s">
        <v>14175</v>
      </c>
      <c r="L1801" s="456">
        <v>0.03632</v>
      </c>
    </row>
    <row r="1802" spans="1:14">
      <c r="A1802" s="405"/>
      <c r="B1802" s="405"/>
      <c r="C1802" s="405"/>
      <c r="D1802" s="406"/>
      <c r="E1802" s="406"/>
      <c r="F1802" s="406"/>
      <c r="G1802" s="407" t="s">
        <v>14176</v>
      </c>
      <c r="H1802" s="408"/>
      <c r="I1802" s="407" t="s">
        <v>14177</v>
      </c>
      <c r="J1802" s="408"/>
      <c r="K1802" s="405"/>
      <c r="L1802" s="409" t="s">
        <v>14178</v>
      </c>
    </row>
    <row r="1803" spans="1:14">
      <c r="A1803" s="410" t="s">
        <v>14179</v>
      </c>
      <c r="B1803" s="411"/>
      <c r="C1803" s="412"/>
      <c r="D1803" s="412"/>
      <c r="E1803" s="413" t="s">
        <v>74</v>
      </c>
      <c r="F1803" s="412"/>
      <c r="G1803" s="413" t="s">
        <v>14180</v>
      </c>
      <c r="H1803" s="413" t="s">
        <v>14181</v>
      </c>
      <c r="I1803" s="413" t="s">
        <v>14182</v>
      </c>
      <c r="J1803" s="413" t="s">
        <v>14183</v>
      </c>
      <c r="K1803" s="411"/>
      <c r="L1803" s="414" t="s">
        <v>14184</v>
      </c>
    </row>
    <row r="1804" spans="1:14">
      <c r="A1804" s="404" t="s">
        <v>1086</v>
      </c>
      <c r="B1804" s="474" t="s">
        <v>1087</v>
      </c>
      <c r="C1804" s="474"/>
      <c r="E1804" s="434">
        <v>1</v>
      </c>
      <c r="F1804" s="334"/>
      <c r="G1804" s="346">
        <v>0.3</v>
      </c>
      <c r="H1804" s="417">
        <v>0.7</v>
      </c>
      <c r="I1804" s="395">
        <v>174.0453</v>
      </c>
      <c r="J1804" s="418">
        <v>68.9883</v>
      </c>
      <c r="K1804" s="402"/>
      <c r="L1804" s="395">
        <v>100.5054</v>
      </c>
      <c r="N1804" s="395">
        <v>68.9883</v>
      </c>
    </row>
    <row r="1805" hidden="1" spans="1:14">
      <c r="A1805" s="404">
        <v>0</v>
      </c>
      <c r="B1805" s="404" t="e">
        <v>#N/A</v>
      </c>
      <c r="C1805" s="404"/>
      <c r="D1805" s="334"/>
      <c r="E1805" s="434">
        <v>0</v>
      </c>
      <c r="F1805" s="334"/>
      <c r="G1805" s="346">
        <v>0</v>
      </c>
      <c r="H1805" s="417">
        <v>1</v>
      </c>
      <c r="I1805" s="346" t="e">
        <v>#N/A</v>
      </c>
      <c r="J1805" s="419" t="e">
        <v>#N/A</v>
      </c>
      <c r="K1805" s="420"/>
      <c r="L1805" s="395" t="s">
        <v>932</v>
      </c>
      <c r="N1805" s="395" t="s">
        <v>932</v>
      </c>
    </row>
    <row r="1806" hidden="1" spans="1:14">
      <c r="A1806" s="404">
        <v>0</v>
      </c>
      <c r="B1806" s="404" t="e">
        <v>#N/A</v>
      </c>
      <c r="C1806" s="404"/>
      <c r="D1806" s="334"/>
      <c r="E1806" s="416">
        <v>0</v>
      </c>
      <c r="F1806" s="334"/>
      <c r="G1806" s="346">
        <v>0</v>
      </c>
      <c r="H1806" s="417">
        <v>1</v>
      </c>
      <c r="I1806" s="346" t="e">
        <v>#N/A</v>
      </c>
      <c r="J1806" s="419" t="e">
        <v>#N/A</v>
      </c>
      <c r="K1806" s="420"/>
      <c r="L1806" s="395" t="s">
        <v>932</v>
      </c>
      <c r="N1806" s="395" t="s">
        <v>932</v>
      </c>
    </row>
    <row r="1807" hidden="1" spans="1:14">
      <c r="A1807" s="404">
        <v>0</v>
      </c>
      <c r="B1807" s="404" t="e">
        <v>#N/A</v>
      </c>
      <c r="C1807" s="404"/>
      <c r="D1807" s="334"/>
      <c r="E1807" s="416">
        <v>0</v>
      </c>
      <c r="F1807" s="334"/>
      <c r="G1807" s="346">
        <v>0</v>
      </c>
      <c r="H1807" s="417">
        <v>1</v>
      </c>
      <c r="I1807" s="346" t="e">
        <v>#N/A</v>
      </c>
      <c r="J1807" s="419" t="e">
        <v>#N/A</v>
      </c>
      <c r="K1807" s="420"/>
      <c r="L1807" s="395" t="s">
        <v>932</v>
      </c>
      <c r="N1807" s="395" t="s">
        <v>932</v>
      </c>
    </row>
    <row r="1808" hidden="1" spans="1:14">
      <c r="A1808" s="404">
        <v>0</v>
      </c>
      <c r="B1808" s="404" t="e">
        <v>#N/A</v>
      </c>
      <c r="C1808" s="404"/>
      <c r="D1808" s="334"/>
      <c r="E1808" s="416">
        <v>0</v>
      </c>
      <c r="F1808" s="334"/>
      <c r="G1808" s="346">
        <v>0</v>
      </c>
      <c r="H1808" s="417">
        <v>1</v>
      </c>
      <c r="I1808" s="346" t="e">
        <v>#N/A</v>
      </c>
      <c r="J1808" s="419" t="e">
        <v>#N/A</v>
      </c>
      <c r="K1808" s="420"/>
      <c r="L1808" s="395" t="s">
        <v>932</v>
      </c>
      <c r="N1808" s="395" t="s">
        <v>932</v>
      </c>
    </row>
    <row r="1809" hidden="1" spans="1:15">
      <c r="A1809" s="404">
        <v>0</v>
      </c>
      <c r="B1809" s="404" t="e">
        <v>#N/A</v>
      </c>
      <c r="C1809" s="404"/>
      <c r="D1809" s="334"/>
      <c r="E1809" s="416">
        <v>0</v>
      </c>
      <c r="F1809" s="334"/>
      <c r="G1809" s="346">
        <v>0</v>
      </c>
      <c r="H1809" s="417">
        <v>1</v>
      </c>
      <c r="I1809" s="346" t="e">
        <v>#N/A</v>
      </c>
      <c r="J1809" s="419" t="e">
        <v>#N/A</v>
      </c>
      <c r="K1809" s="420"/>
      <c r="L1809" s="395" t="s">
        <v>932</v>
      </c>
      <c r="N1809" s="395" t="s">
        <v>932</v>
      </c>
    </row>
    <row r="1810" hidden="1" spans="1:15">
      <c r="A1810" s="404">
        <v>0</v>
      </c>
      <c r="B1810" s="404" t="e">
        <v>#N/A</v>
      </c>
      <c r="C1810" s="404"/>
      <c r="D1810" s="334"/>
      <c r="E1810" s="416">
        <v>0</v>
      </c>
      <c r="F1810" s="334"/>
      <c r="G1810" s="346">
        <v>0</v>
      </c>
      <c r="H1810" s="417">
        <v>1</v>
      </c>
      <c r="I1810" s="346" t="e">
        <v>#N/A</v>
      </c>
      <c r="J1810" s="419" t="e">
        <v>#N/A</v>
      </c>
      <c r="K1810" s="420"/>
      <c r="L1810" s="395" t="s">
        <v>932</v>
      </c>
      <c r="N1810" s="395" t="s">
        <v>932</v>
      </c>
    </row>
    <row r="1811" hidden="1" spans="1:15">
      <c r="A1811" s="404">
        <v>0</v>
      </c>
      <c r="B1811" s="404" t="e">
        <v>#N/A</v>
      </c>
      <c r="C1811" s="404"/>
      <c r="D1811" s="334"/>
      <c r="E1811" s="416">
        <v>0</v>
      </c>
      <c r="F1811" s="334"/>
      <c r="G1811" s="346">
        <v>0</v>
      </c>
      <c r="H1811" s="417">
        <v>1</v>
      </c>
      <c r="I1811" s="346" t="e">
        <v>#N/A</v>
      </c>
      <c r="J1811" s="419" t="e">
        <v>#N/A</v>
      </c>
      <c r="K1811" s="420"/>
      <c r="L1811" s="395" t="s">
        <v>932</v>
      </c>
      <c r="N1811" s="395" t="s">
        <v>932</v>
      </c>
    </row>
    <row r="1812" spans="1:15">
      <c r="A1812" s="421"/>
      <c r="B1812" s="422"/>
      <c r="C1812" s="422"/>
      <c r="D1812" s="422"/>
      <c r="E1812" s="423"/>
      <c r="F1812" s="424"/>
      <c r="G1812" s="422"/>
      <c r="H1812" s="422"/>
      <c r="I1812" s="422"/>
      <c r="J1812" s="422"/>
      <c r="K1812" s="425" t="s">
        <v>14185</v>
      </c>
      <c r="L1812" s="426">
        <v>100.5054</v>
      </c>
      <c r="N1812" s="427">
        <v>68.9883</v>
      </c>
    </row>
    <row r="1813" spans="1:15">
      <c r="A1813" s="428" t="s">
        <v>14186</v>
      </c>
      <c r="B1813" s="429"/>
      <c r="C1813" s="429"/>
      <c r="D1813" s="430"/>
      <c r="E1813" s="431" t="s">
        <v>74</v>
      </c>
      <c r="F1813" s="431" t="s">
        <v>1123</v>
      </c>
      <c r="G1813" s="430"/>
      <c r="H1813" s="422"/>
      <c r="I1813" s="431" t="s">
        <v>14177</v>
      </c>
      <c r="J1813" s="430"/>
      <c r="K1813" s="430"/>
      <c r="L1813" s="432" t="s">
        <v>14187</v>
      </c>
    </row>
    <row r="1814" spans="1:15">
      <c r="A1814" s="404" t="s">
        <v>950</v>
      </c>
      <c r="B1814" s="433" t="s">
        <v>951</v>
      </c>
      <c r="C1814" s="433"/>
      <c r="D1814" s="334"/>
      <c r="E1814" s="434">
        <v>1</v>
      </c>
      <c r="F1814" s="333" t="s">
        <v>104</v>
      </c>
      <c r="G1814" s="334"/>
      <c r="H1814" s="334"/>
      <c r="I1814" s="435">
        <v>29.9425</v>
      </c>
      <c r="J1814" s="334"/>
      <c r="K1814" s="334"/>
      <c r="L1814" s="346">
        <v>29.9425</v>
      </c>
      <c r="N1814" s="395">
        <v>29.9425</v>
      </c>
    </row>
    <row r="1815" spans="1:15">
      <c r="A1815" s="404" t="s">
        <v>1013</v>
      </c>
      <c r="B1815" s="404" t="s">
        <v>1014</v>
      </c>
      <c r="C1815" s="404"/>
      <c r="D1815" s="334"/>
      <c r="E1815" s="434">
        <v>0.5</v>
      </c>
      <c r="F1815" s="333" t="s">
        <v>104</v>
      </c>
      <c r="G1815" s="334"/>
      <c r="H1815" s="334"/>
      <c r="I1815" s="435">
        <v>35.4794</v>
      </c>
      <c r="J1815" s="334"/>
      <c r="K1815" s="334"/>
      <c r="L1815" s="346">
        <v>17.7397</v>
      </c>
      <c r="N1815" s="395">
        <v>17.7397</v>
      </c>
    </row>
    <row r="1816" spans="1:15">
      <c r="A1816" s="404" t="s">
        <v>935</v>
      </c>
      <c r="B1816" s="404" t="s">
        <v>936</v>
      </c>
      <c r="C1816" s="404"/>
      <c r="D1816" s="334"/>
      <c r="E1816" s="434">
        <v>1</v>
      </c>
      <c r="F1816" s="333" t="s">
        <v>104</v>
      </c>
      <c r="G1816" s="334"/>
      <c r="H1816" s="334"/>
      <c r="I1816" s="435">
        <v>23.6025</v>
      </c>
      <c r="J1816" s="334"/>
      <c r="K1816" s="334"/>
      <c r="L1816" s="346">
        <v>23.6025</v>
      </c>
      <c r="N1816" s="395">
        <v>23.6025</v>
      </c>
    </row>
    <row r="1817" hidden="1" spans="1:15">
      <c r="A1817" s="404">
        <v>0</v>
      </c>
      <c r="B1817" s="404" t="e">
        <v>#N/A</v>
      </c>
      <c r="C1817" s="404"/>
      <c r="D1817" s="334"/>
      <c r="E1817" s="434">
        <v>0</v>
      </c>
      <c r="F1817" s="333" t="s">
        <v>104</v>
      </c>
      <c r="G1817" s="334"/>
      <c r="H1817" s="334"/>
      <c r="I1817" s="435" t="e">
        <v>#N/A</v>
      </c>
      <c r="J1817" s="334"/>
      <c r="K1817" s="334"/>
      <c r="L1817" s="346" t="s">
        <v>932</v>
      </c>
      <c r="N1817" s="395" t="s">
        <v>932</v>
      </c>
    </row>
    <row r="1818" hidden="1" spans="1:15">
      <c r="A1818" s="404">
        <v>0</v>
      </c>
      <c r="B1818" s="404" t="e">
        <v>#N/A</v>
      </c>
      <c r="C1818" s="404"/>
      <c r="D1818" s="334"/>
      <c r="E1818" s="434">
        <v>0</v>
      </c>
      <c r="F1818" s="333" t="s">
        <v>104</v>
      </c>
      <c r="G1818" s="334"/>
      <c r="H1818" s="334"/>
      <c r="I1818" s="435" t="e">
        <v>#N/A</v>
      </c>
      <c r="J1818" s="334"/>
      <c r="K1818" s="334"/>
      <c r="L1818" s="346" t="s">
        <v>932</v>
      </c>
      <c r="N1818" s="395" t="s">
        <v>932</v>
      </c>
    </row>
    <row r="1819" hidden="1" spans="1:15">
      <c r="A1819" s="404">
        <v>0</v>
      </c>
      <c r="B1819" s="404" t="e">
        <v>#N/A</v>
      </c>
      <c r="C1819" s="404"/>
      <c r="D1819" s="334"/>
      <c r="E1819" s="434">
        <v>0</v>
      </c>
      <c r="F1819" s="333" t="s">
        <v>104</v>
      </c>
      <c r="G1819" s="334"/>
      <c r="H1819" s="334"/>
      <c r="I1819" s="435" t="e">
        <v>#N/A</v>
      </c>
      <c r="J1819" s="334"/>
      <c r="K1819" s="334"/>
      <c r="L1819" s="346" t="s">
        <v>932</v>
      </c>
      <c r="N1819" s="395" t="s">
        <v>932</v>
      </c>
    </row>
    <row r="1820" hidden="1" spans="1:15">
      <c r="A1820" s="404">
        <v>0</v>
      </c>
      <c r="B1820" s="404" t="e">
        <v>#N/A</v>
      </c>
      <c r="C1820" s="404"/>
      <c r="D1820" s="334"/>
      <c r="E1820" s="434">
        <v>0</v>
      </c>
      <c r="F1820" s="333" t="s">
        <v>104</v>
      </c>
      <c r="G1820" s="334"/>
      <c r="H1820" s="334"/>
      <c r="I1820" s="435" t="e">
        <v>#N/A</v>
      </c>
      <c r="J1820" s="334"/>
      <c r="K1820" s="334"/>
      <c r="L1820" s="346" t="s">
        <v>932</v>
      </c>
      <c r="N1820" s="395" t="s">
        <v>932</v>
      </c>
    </row>
    <row r="1821" hidden="1" spans="1:15">
      <c r="A1821" s="404">
        <v>0</v>
      </c>
      <c r="B1821" s="436" t="e">
        <v>#N/A</v>
      </c>
      <c r="C1821" s="436"/>
      <c r="D1821" s="334"/>
      <c r="E1821" s="434">
        <v>0</v>
      </c>
      <c r="F1821" s="333" t="s">
        <v>104</v>
      </c>
      <c r="G1821" s="334"/>
      <c r="H1821" s="334"/>
      <c r="I1821" s="435" t="e">
        <v>#N/A</v>
      </c>
      <c r="J1821" s="334"/>
      <c r="K1821" s="334"/>
      <c r="L1821" s="346" t="s">
        <v>932</v>
      </c>
      <c r="N1821" s="395" t="s">
        <v>932</v>
      </c>
    </row>
    <row r="1822" spans="1:15">
      <c r="A1822" s="421"/>
      <c r="B1822" s="62"/>
      <c r="C1822" s="62"/>
      <c r="D1822" s="422"/>
      <c r="E1822" s="423"/>
      <c r="F1822" s="424"/>
      <c r="G1822" s="422"/>
      <c r="H1822" s="422"/>
      <c r="I1822" s="422"/>
      <c r="J1822" s="422"/>
      <c r="K1822" s="425" t="s">
        <v>14188</v>
      </c>
      <c r="L1822" s="426">
        <v>71.2847</v>
      </c>
      <c r="N1822" s="427">
        <v>71.2847</v>
      </c>
    </row>
    <row r="1823" spans="1:15">
      <c r="I1823" s="437"/>
      <c r="K1823" s="383" t="s">
        <v>14189</v>
      </c>
      <c r="L1823" s="427">
        <v>171.7901</v>
      </c>
      <c r="N1823" s="395">
        <v>140.273</v>
      </c>
    </row>
    <row r="1824" spans="1:15">
      <c r="K1824" s="383" t="s">
        <v>14190</v>
      </c>
      <c r="L1824" s="427">
        <v>42.947525</v>
      </c>
      <c r="N1824" s="395">
        <v>35.06825</v>
      </c>
      <c r="O1824" s="395">
        <v>1.27367884</v>
      </c>
    </row>
    <row r="1825" spans="1:12">
      <c r="K1825" s="383" t="s">
        <v>14191</v>
      </c>
      <c r="L1825" s="427">
        <v>1.27367884</v>
      </c>
    </row>
    <row r="1826" spans="1:12">
      <c r="K1826" s="383" t="s">
        <v>14192</v>
      </c>
      <c r="L1826" s="395">
        <v>0</v>
      </c>
    </row>
    <row r="1827" spans="1:12">
      <c r="A1827" s="428" t="s">
        <v>14193</v>
      </c>
      <c r="B1827" s="430"/>
      <c r="C1827" s="430"/>
      <c r="D1827" s="430"/>
      <c r="E1827" s="431" t="s">
        <v>74</v>
      </c>
      <c r="F1827" s="431" t="s">
        <v>1123</v>
      </c>
      <c r="G1827" s="430"/>
      <c r="H1827" s="430"/>
      <c r="I1827" s="425" t="s">
        <v>75</v>
      </c>
      <c r="J1827" s="430"/>
      <c r="K1827" s="430"/>
      <c r="L1827" s="426" t="s">
        <v>14194</v>
      </c>
    </row>
    <row r="1828" spans="1:12">
      <c r="A1828" s="404" t="s">
        <v>14277</v>
      </c>
      <c r="B1828" s="433" t="s">
        <v>14278</v>
      </c>
      <c r="C1828" s="433"/>
      <c r="D1828" s="334"/>
      <c r="E1828" s="434">
        <v>0.697</v>
      </c>
      <c r="F1828" s="333" t="s">
        <v>101</v>
      </c>
      <c r="G1828" s="334"/>
      <c r="I1828" s="395">
        <v>37.4618</v>
      </c>
      <c r="J1828" s="395"/>
      <c r="K1828" s="395"/>
      <c r="L1828" s="346">
        <v>26.1108746</v>
      </c>
    </row>
    <row r="1829" spans="1:12">
      <c r="A1829" s="404" t="s">
        <v>14279</v>
      </c>
      <c r="B1829" s="404" t="s">
        <v>14280</v>
      </c>
      <c r="C1829" s="404"/>
      <c r="D1829" s="334"/>
      <c r="E1829" s="434">
        <v>3</v>
      </c>
      <c r="F1829" s="333" t="s">
        <v>9</v>
      </c>
      <c r="G1829" s="334"/>
      <c r="I1829" s="395">
        <v>15.9955</v>
      </c>
      <c r="J1829" s="395"/>
      <c r="K1829" s="395"/>
      <c r="L1829" s="346">
        <v>47.9865</v>
      </c>
    </row>
    <row r="1830" spans="1:12">
      <c r="A1830" s="404" t="s">
        <v>14281</v>
      </c>
      <c r="B1830" s="404" t="s">
        <v>14282</v>
      </c>
      <c r="C1830" s="404"/>
      <c r="D1830" s="334"/>
      <c r="E1830" s="434">
        <v>0.25622</v>
      </c>
      <c r="F1830" s="333" t="s">
        <v>14234</v>
      </c>
      <c r="G1830" s="334"/>
      <c r="I1830" s="395">
        <v>29.5962</v>
      </c>
      <c r="J1830" s="395"/>
      <c r="K1830" s="395"/>
      <c r="L1830" s="346">
        <v>7.583138364</v>
      </c>
    </row>
    <row r="1831" hidden="1" spans="1:12">
      <c r="A1831" s="404">
        <v>0</v>
      </c>
      <c r="B1831" s="404" t="e">
        <v>#N/A</v>
      </c>
      <c r="C1831" s="404"/>
      <c r="D1831" s="334"/>
      <c r="E1831" s="434">
        <v>0</v>
      </c>
      <c r="F1831" s="333" t="e">
        <v>#N/A</v>
      </c>
      <c r="G1831" s="334"/>
      <c r="I1831" s="395" t="e">
        <v>#N/A</v>
      </c>
      <c r="J1831" s="395"/>
      <c r="K1831" s="395"/>
      <c r="L1831" s="346" t="s">
        <v>932</v>
      </c>
    </row>
    <row r="1832" hidden="1" spans="1:12">
      <c r="A1832" s="404">
        <v>0</v>
      </c>
      <c r="B1832" s="404" t="e">
        <v>#N/A</v>
      </c>
      <c r="C1832" s="404"/>
      <c r="D1832" s="334"/>
      <c r="E1832" s="434">
        <v>0</v>
      </c>
      <c r="F1832" s="333" t="e">
        <v>#N/A</v>
      </c>
      <c r="G1832" s="334"/>
      <c r="H1832" s="334"/>
      <c r="I1832" s="395" t="e">
        <v>#N/A</v>
      </c>
      <c r="J1832" s="395"/>
      <c r="K1832" s="395"/>
      <c r="L1832" s="346" t="s">
        <v>932</v>
      </c>
    </row>
    <row r="1833" hidden="1" spans="1:12">
      <c r="A1833" s="404">
        <v>0</v>
      </c>
      <c r="B1833" s="404" t="e">
        <v>#N/A</v>
      </c>
      <c r="C1833" s="404"/>
      <c r="D1833" s="334"/>
      <c r="E1833" s="434">
        <v>0</v>
      </c>
      <c r="F1833" s="333" t="e">
        <v>#N/A</v>
      </c>
      <c r="G1833" s="334"/>
      <c r="H1833" s="334"/>
      <c r="I1833" s="395" t="e">
        <v>#N/A</v>
      </c>
      <c r="J1833" s="395"/>
      <c r="K1833" s="395"/>
      <c r="L1833" s="346" t="s">
        <v>932</v>
      </c>
    </row>
    <row r="1834" hidden="1" spans="1:12">
      <c r="A1834" s="404">
        <v>0</v>
      </c>
      <c r="B1834" s="404" t="e">
        <v>#N/A</v>
      </c>
      <c r="C1834" s="404"/>
      <c r="D1834" s="334"/>
      <c r="E1834" s="434">
        <v>0</v>
      </c>
      <c r="F1834" s="333" t="e">
        <v>#N/A</v>
      </c>
      <c r="G1834" s="334"/>
      <c r="H1834" s="334"/>
      <c r="I1834" s="395" t="e">
        <v>#N/A</v>
      </c>
      <c r="J1834" s="395"/>
      <c r="K1834" s="395"/>
      <c r="L1834" s="346" t="s">
        <v>932</v>
      </c>
    </row>
    <row r="1835" hidden="1" spans="1:12">
      <c r="A1835" s="404">
        <v>0</v>
      </c>
      <c r="B1835" s="404" t="e">
        <v>#N/A</v>
      </c>
      <c r="C1835" s="404"/>
      <c r="D1835" s="438"/>
      <c r="E1835" s="434">
        <v>0</v>
      </c>
      <c r="F1835" s="333" t="e">
        <v>#N/A</v>
      </c>
      <c r="G1835" s="334"/>
      <c r="H1835" s="334"/>
      <c r="I1835" s="395" t="e">
        <v>#N/A</v>
      </c>
      <c r="J1835" s="395"/>
      <c r="K1835" s="395"/>
      <c r="L1835" s="346" t="s">
        <v>932</v>
      </c>
    </row>
    <row r="1836" spans="1:12">
      <c r="A1836" s="421"/>
      <c r="B1836" s="422"/>
      <c r="C1836" s="422"/>
      <c r="D1836" s="422"/>
      <c r="E1836" s="423"/>
      <c r="F1836" s="424"/>
      <c r="G1836" s="422"/>
      <c r="H1836" s="422"/>
      <c r="I1836" s="430"/>
      <c r="J1836" s="430"/>
      <c r="K1836" s="425" t="s">
        <v>14203</v>
      </c>
      <c r="L1836" s="426">
        <v>81.680512964</v>
      </c>
    </row>
    <row r="1837" spans="1:12">
      <c r="A1837" s="428" t="s">
        <v>14204</v>
      </c>
      <c r="B1837" s="430"/>
      <c r="C1837" s="430"/>
      <c r="D1837" s="430"/>
      <c r="E1837" s="431" t="s">
        <v>74</v>
      </c>
      <c r="F1837" s="431" t="s">
        <v>1123</v>
      </c>
      <c r="G1837" s="430"/>
      <c r="H1837" s="430"/>
      <c r="I1837" s="425" t="s">
        <v>75</v>
      </c>
      <c r="J1837" s="430"/>
      <c r="K1837" s="430"/>
      <c r="L1837" s="426" t="s">
        <v>14194</v>
      </c>
    </row>
    <row r="1838" spans="1:12">
      <c r="A1838" s="404">
        <v>1106165</v>
      </c>
      <c r="B1838" s="334" t="s">
        <v>4183</v>
      </c>
      <c r="C1838" s="334"/>
      <c r="D1838" s="334"/>
      <c r="E1838" s="434">
        <v>0.00375</v>
      </c>
      <c r="F1838" s="333" t="s">
        <v>99</v>
      </c>
      <c r="G1838" s="439"/>
      <c r="I1838" s="346">
        <v>776.13</v>
      </c>
      <c r="L1838" s="346">
        <v>2.9104875</v>
      </c>
    </row>
    <row r="1839" spans="1:12">
      <c r="A1839" s="401">
        <v>4805750</v>
      </c>
      <c r="B1839" s="334" t="s">
        <v>10922</v>
      </c>
      <c r="E1839" s="440">
        <v>0.05655</v>
      </c>
      <c r="F1839" s="333" t="s">
        <v>99</v>
      </c>
      <c r="G1839" s="439"/>
      <c r="I1839" s="346">
        <v>49.27</v>
      </c>
      <c r="L1839" s="346">
        <v>2.7862185</v>
      </c>
    </row>
    <row r="1840" spans="1:12">
      <c r="A1840" s="401">
        <v>4815671</v>
      </c>
      <c r="B1840" s="334" t="s">
        <v>112</v>
      </c>
      <c r="E1840" s="440">
        <v>0.0528</v>
      </c>
      <c r="F1840" s="333" t="s">
        <v>99</v>
      </c>
      <c r="G1840" s="439"/>
      <c r="I1840" s="346">
        <v>19.99</v>
      </c>
      <c r="L1840" s="346">
        <v>1.055472</v>
      </c>
    </row>
    <row r="1841" hidden="1" spans="1:12">
      <c r="A1841" s="401">
        <v>0</v>
      </c>
      <c r="B1841" s="334" t="e">
        <v>#N/A</v>
      </c>
      <c r="E1841" s="440">
        <v>0</v>
      </c>
      <c r="F1841" s="333" t="e">
        <v>#N/A</v>
      </c>
      <c r="G1841" s="439"/>
      <c r="I1841" s="346" t="e">
        <v>#N/A</v>
      </c>
      <c r="L1841" s="346" t="s">
        <v>932</v>
      </c>
    </row>
    <row r="1842" hidden="1" spans="1:12">
      <c r="A1842" s="401">
        <v>0</v>
      </c>
      <c r="B1842" s="334" t="e">
        <v>#N/A</v>
      </c>
      <c r="E1842" s="440">
        <v>0</v>
      </c>
      <c r="F1842" s="333" t="e">
        <v>#N/A</v>
      </c>
      <c r="G1842" s="439"/>
      <c r="I1842" s="346" t="e">
        <v>#N/A</v>
      </c>
      <c r="L1842" s="346" t="s">
        <v>932</v>
      </c>
    </row>
    <row r="1843" hidden="1" spans="1:12">
      <c r="A1843" s="401">
        <v>0</v>
      </c>
      <c r="B1843" s="334" t="e">
        <v>#N/A</v>
      </c>
      <c r="E1843" s="440">
        <v>0</v>
      </c>
      <c r="F1843" s="333" t="e">
        <v>#N/A</v>
      </c>
      <c r="G1843" s="439"/>
      <c r="I1843" s="346" t="e">
        <v>#N/A</v>
      </c>
      <c r="L1843" s="346" t="s">
        <v>932</v>
      </c>
    </row>
    <row r="1844" spans="1:12">
      <c r="A1844" s="421"/>
      <c r="B1844" s="422"/>
      <c r="C1844" s="422"/>
      <c r="D1844" s="422"/>
      <c r="E1844" s="422"/>
      <c r="F1844" s="422"/>
      <c r="G1844" s="422"/>
      <c r="H1844" s="422"/>
      <c r="I1844" s="430"/>
      <c r="J1844" s="430"/>
      <c r="K1844" s="425" t="s">
        <v>14206</v>
      </c>
      <c r="L1844" s="426">
        <v>6.752178</v>
      </c>
    </row>
    <row r="1845" spans="1:12">
      <c r="A1845" s="421"/>
      <c r="B1845" s="422"/>
      <c r="C1845" s="422"/>
      <c r="D1845" s="422"/>
      <c r="E1845" s="422"/>
      <c r="F1845" s="422"/>
      <c r="G1845" s="422"/>
      <c r="H1845" s="422"/>
      <c r="I1845" s="430"/>
      <c r="J1845" s="430"/>
      <c r="K1845" s="425" t="s">
        <v>14207</v>
      </c>
      <c r="L1845" s="426">
        <v>132.653894804</v>
      </c>
    </row>
    <row r="1846" spans="1:12">
      <c r="A1846" s="428" t="s">
        <v>14208</v>
      </c>
      <c r="B1846" s="430"/>
      <c r="C1846" s="430"/>
      <c r="D1846" s="431" t="s">
        <v>55</v>
      </c>
      <c r="E1846" s="431" t="s">
        <v>74</v>
      </c>
      <c r="F1846" s="431" t="s">
        <v>1123</v>
      </c>
      <c r="G1846" s="430"/>
      <c r="H1846" s="430"/>
      <c r="I1846" s="425" t="s">
        <v>75</v>
      </c>
      <c r="J1846" s="430"/>
      <c r="K1846" s="430"/>
      <c r="L1846" s="426" t="s">
        <v>14194</v>
      </c>
    </row>
    <row r="1847" spans="1:12">
      <c r="A1847" s="404" t="s">
        <v>14277</v>
      </c>
      <c r="B1847" s="441" t="s">
        <v>14278</v>
      </c>
      <c r="C1847" s="441"/>
      <c r="D1847" s="442">
        <v>5914655</v>
      </c>
      <c r="E1847" s="434">
        <v>0.0007</v>
      </c>
      <c r="F1847" s="333" t="s">
        <v>9885</v>
      </c>
      <c r="G1847" s="443" t="s">
        <v>14209</v>
      </c>
      <c r="H1847" s="334"/>
      <c r="I1847" s="346">
        <v>35.43</v>
      </c>
      <c r="J1847" s="334"/>
      <c r="K1847" s="346"/>
      <c r="L1847" s="346">
        <v>0.024801</v>
      </c>
    </row>
    <row r="1848" spans="1:12">
      <c r="A1848" s="404" t="s">
        <v>14279</v>
      </c>
      <c r="B1848" s="334" t="s">
        <v>14280</v>
      </c>
      <c r="C1848" s="334"/>
      <c r="D1848" s="442">
        <v>5914655</v>
      </c>
      <c r="E1848" s="434">
        <v>0.0192</v>
      </c>
      <c r="F1848" s="333" t="s">
        <v>9885</v>
      </c>
      <c r="G1848" s="334"/>
      <c r="H1848" s="334"/>
      <c r="I1848" s="346">
        <v>35.43</v>
      </c>
      <c r="J1848" s="334"/>
      <c r="K1848" s="346"/>
      <c r="L1848" s="346">
        <v>0.680256</v>
      </c>
    </row>
    <row r="1849" spans="1:12">
      <c r="A1849" s="404" t="s">
        <v>14281</v>
      </c>
      <c r="B1849" s="334" t="s">
        <v>14282</v>
      </c>
      <c r="C1849" s="334"/>
      <c r="D1849" s="442">
        <v>5914655</v>
      </c>
      <c r="E1849" s="434">
        <v>0.00035</v>
      </c>
      <c r="F1849" s="333" t="s">
        <v>9885</v>
      </c>
      <c r="G1849" s="334"/>
      <c r="H1849" s="334"/>
      <c r="I1849" s="346">
        <v>35.43</v>
      </c>
      <c r="J1849" s="334"/>
      <c r="K1849" s="346"/>
      <c r="L1849" s="346">
        <v>0.0124005</v>
      </c>
    </row>
    <row r="1850" hidden="1" spans="1:12">
      <c r="A1850" s="404">
        <v>0</v>
      </c>
      <c r="B1850" s="334" t="e">
        <v>#N/A</v>
      </c>
      <c r="C1850" s="334"/>
      <c r="D1850" s="442">
        <v>0</v>
      </c>
      <c r="E1850" s="434">
        <v>0</v>
      </c>
      <c r="F1850" s="333" t="s">
        <v>9885</v>
      </c>
      <c r="G1850" s="334"/>
      <c r="H1850" s="334"/>
      <c r="I1850" s="346">
        <v>0</v>
      </c>
      <c r="J1850" s="334"/>
      <c r="K1850" s="346"/>
      <c r="L1850" s="346" t="s">
        <v>932</v>
      </c>
    </row>
    <row r="1851" hidden="1" spans="1:12">
      <c r="A1851" s="404">
        <v>0</v>
      </c>
      <c r="B1851" s="334" t="e">
        <v>#N/A</v>
      </c>
      <c r="C1851" s="334"/>
      <c r="D1851" s="442">
        <v>0</v>
      </c>
      <c r="E1851" s="434">
        <v>0</v>
      </c>
      <c r="F1851" s="333" t="s">
        <v>9885</v>
      </c>
      <c r="G1851" s="334"/>
      <c r="H1851" s="334"/>
      <c r="I1851" s="346">
        <v>0</v>
      </c>
      <c r="J1851" s="334"/>
      <c r="K1851" s="346"/>
      <c r="L1851" s="346" t="s">
        <v>932</v>
      </c>
    </row>
    <row r="1852" hidden="1" spans="1:12">
      <c r="A1852" s="404">
        <v>0</v>
      </c>
      <c r="B1852" s="334" t="e">
        <v>#N/A</v>
      </c>
      <c r="C1852" s="334"/>
      <c r="D1852" s="442">
        <v>0</v>
      </c>
      <c r="E1852" s="434">
        <v>0</v>
      </c>
      <c r="F1852" s="333" t="s">
        <v>9885</v>
      </c>
      <c r="G1852" s="334"/>
      <c r="H1852" s="334"/>
      <c r="I1852" s="346">
        <v>0</v>
      </c>
      <c r="J1852" s="334"/>
      <c r="K1852" s="346"/>
      <c r="L1852" s="346" t="s">
        <v>932</v>
      </c>
    </row>
    <row r="1853" hidden="1" spans="1:12">
      <c r="A1853" s="404">
        <v>0</v>
      </c>
      <c r="B1853" s="334" t="e">
        <v>#N/A</v>
      </c>
      <c r="C1853" s="334"/>
      <c r="D1853" s="442">
        <v>0</v>
      </c>
      <c r="E1853" s="434">
        <v>0</v>
      </c>
      <c r="F1853" s="333" t="s">
        <v>9885</v>
      </c>
      <c r="G1853" s="334"/>
      <c r="H1853" s="334"/>
      <c r="I1853" s="346">
        <v>0</v>
      </c>
      <c r="J1853" s="334"/>
      <c r="K1853" s="346"/>
      <c r="L1853" s="346" t="s">
        <v>932</v>
      </c>
    </row>
    <row r="1854" hidden="1" spans="1:12">
      <c r="A1854" s="404">
        <v>0</v>
      </c>
      <c r="B1854" s="444" t="e">
        <v>#N/A</v>
      </c>
      <c r="C1854" s="444"/>
      <c r="D1854" s="442">
        <v>0</v>
      </c>
      <c r="E1854" s="434">
        <v>0</v>
      </c>
      <c r="F1854" s="333" t="s">
        <v>9885</v>
      </c>
      <c r="G1854" s="334"/>
      <c r="H1854" s="334"/>
      <c r="I1854" s="346">
        <v>0</v>
      </c>
      <c r="J1854" s="334"/>
      <c r="K1854" s="346"/>
      <c r="L1854" s="346" t="s">
        <v>932</v>
      </c>
    </row>
    <row r="1855" spans="1:12">
      <c r="A1855" s="428"/>
      <c r="B1855" s="445"/>
      <c r="C1855" s="445"/>
      <c r="D1855" s="430"/>
      <c r="E1855" s="430"/>
      <c r="F1855" s="430"/>
      <c r="G1855" s="430"/>
      <c r="H1855" s="430"/>
      <c r="I1855" s="430"/>
      <c r="J1855" s="430"/>
      <c r="K1855" s="425" t="s">
        <v>14210</v>
      </c>
      <c r="L1855" s="426">
        <v>0.7174575</v>
      </c>
    </row>
    <row r="1856" hidden="1" spans="1:12">
      <c r="A1856" s="446" t="s">
        <v>14211</v>
      </c>
      <c r="B1856" s="445"/>
      <c r="C1856" s="445"/>
      <c r="D1856" s="447" t="s">
        <v>55</v>
      </c>
      <c r="E1856" s="445" t="s">
        <v>74</v>
      </c>
      <c r="F1856" s="447" t="s">
        <v>1123</v>
      </c>
      <c r="G1856" s="445"/>
      <c r="H1856" s="447" t="s">
        <v>72</v>
      </c>
      <c r="I1856" s="447" t="s">
        <v>75</v>
      </c>
      <c r="J1856" s="445"/>
      <c r="K1856" s="448"/>
      <c r="L1856" s="449" t="s">
        <v>14194</v>
      </c>
    </row>
    <row r="1857" hidden="1" spans="1:12">
      <c r="A1857" s="404" t="s">
        <v>14277</v>
      </c>
      <c r="B1857" s="433" t="s">
        <v>14278</v>
      </c>
      <c r="C1857" s="433"/>
      <c r="D1857" s="442">
        <v>0</v>
      </c>
      <c r="E1857" s="450">
        <v>0.0007</v>
      </c>
      <c r="F1857" s="333" t="s">
        <v>13063</v>
      </c>
      <c r="G1857" s="333" t="s">
        <v>14212</v>
      </c>
      <c r="H1857" s="346">
        <v>0</v>
      </c>
      <c r="I1857" s="346">
        <v>0</v>
      </c>
      <c r="J1857" s="346"/>
      <c r="K1857" s="334"/>
      <c r="L1857" s="346">
        <v>0</v>
      </c>
    </row>
    <row r="1858" hidden="1" spans="1:12">
      <c r="A1858" s="404"/>
      <c r="B1858" s="404"/>
      <c r="C1858" s="334"/>
      <c r="D1858" s="442">
        <v>0</v>
      </c>
      <c r="E1858" s="450">
        <v>0.0007</v>
      </c>
      <c r="F1858" s="333" t="s">
        <v>13063</v>
      </c>
      <c r="G1858" s="333" t="s">
        <v>14213</v>
      </c>
      <c r="H1858" s="346">
        <v>0</v>
      </c>
      <c r="I1858" s="346">
        <v>0</v>
      </c>
      <c r="J1858" s="346"/>
      <c r="K1858" s="334"/>
      <c r="L1858" s="346">
        <v>0</v>
      </c>
    </row>
    <row r="1859" hidden="1" spans="1:12">
      <c r="A1859" s="404"/>
      <c r="B1859" s="404"/>
      <c r="C1859" s="334"/>
      <c r="D1859" s="442">
        <v>0</v>
      </c>
      <c r="E1859" s="450">
        <v>0.0007</v>
      </c>
      <c r="F1859" s="333" t="s">
        <v>13063</v>
      </c>
      <c r="G1859" s="333" t="s">
        <v>14214</v>
      </c>
      <c r="H1859" s="346">
        <v>0</v>
      </c>
      <c r="I1859" s="346">
        <v>0</v>
      </c>
      <c r="J1859" s="346"/>
      <c r="K1859" s="334"/>
      <c r="L1859" s="346">
        <v>0</v>
      </c>
    </row>
    <row r="1860" hidden="1" spans="1:12">
      <c r="A1860" s="404" t="s">
        <v>14279</v>
      </c>
      <c r="B1860" s="404" t="s">
        <v>14280</v>
      </c>
      <c r="C1860" s="404"/>
      <c r="D1860" s="442">
        <v>0</v>
      </c>
      <c r="E1860" s="450">
        <v>0.0192</v>
      </c>
      <c r="F1860" s="333" t="s">
        <v>13063</v>
      </c>
      <c r="G1860" s="333" t="s">
        <v>14212</v>
      </c>
      <c r="H1860" s="346">
        <v>0</v>
      </c>
      <c r="I1860" s="346">
        <v>0</v>
      </c>
      <c r="J1860" s="346"/>
      <c r="K1860" s="334"/>
      <c r="L1860" s="346">
        <v>0</v>
      </c>
    </row>
    <row r="1861" hidden="1" spans="1:12">
      <c r="A1861" s="404"/>
      <c r="B1861" s="404"/>
      <c r="C1861" s="334"/>
      <c r="D1861" s="442">
        <v>0</v>
      </c>
      <c r="E1861" s="450">
        <v>0.0192</v>
      </c>
      <c r="F1861" s="333" t="s">
        <v>13063</v>
      </c>
      <c r="G1861" s="333" t="s">
        <v>14213</v>
      </c>
      <c r="H1861" s="346">
        <v>0</v>
      </c>
      <c r="I1861" s="346">
        <v>0</v>
      </c>
      <c r="J1861" s="346"/>
      <c r="K1861" s="334"/>
      <c r="L1861" s="346">
        <v>0</v>
      </c>
    </row>
    <row r="1862" hidden="1" spans="1:12">
      <c r="A1862" s="404"/>
      <c r="B1862" s="404"/>
      <c r="C1862" s="334"/>
      <c r="D1862" s="442">
        <v>0</v>
      </c>
      <c r="E1862" s="450">
        <v>0.0192</v>
      </c>
      <c r="F1862" s="333" t="s">
        <v>13063</v>
      </c>
      <c r="G1862" s="333" t="s">
        <v>14214</v>
      </c>
      <c r="H1862" s="346">
        <v>0</v>
      </c>
      <c r="I1862" s="346">
        <v>0</v>
      </c>
      <c r="J1862" s="346"/>
      <c r="K1862" s="334"/>
      <c r="L1862" s="346">
        <v>0</v>
      </c>
    </row>
    <row r="1863" hidden="1" spans="1:12">
      <c r="A1863" s="404" t="s">
        <v>14281</v>
      </c>
      <c r="B1863" s="404" t="s">
        <v>14282</v>
      </c>
      <c r="C1863" s="404"/>
      <c r="D1863" s="442">
        <v>0</v>
      </c>
      <c r="E1863" s="450">
        <v>0.00035</v>
      </c>
      <c r="F1863" s="333" t="s">
        <v>13063</v>
      </c>
      <c r="G1863" s="333" t="s">
        <v>14212</v>
      </c>
      <c r="H1863" s="346">
        <v>0</v>
      </c>
      <c r="I1863" s="346">
        <v>0</v>
      </c>
      <c r="J1863" s="346"/>
      <c r="K1863" s="334"/>
      <c r="L1863" s="346">
        <v>0</v>
      </c>
    </row>
    <row r="1864" hidden="1" spans="1:12">
      <c r="A1864" s="404"/>
      <c r="B1864" s="404"/>
      <c r="C1864" s="334"/>
      <c r="D1864" s="442">
        <v>0</v>
      </c>
      <c r="E1864" s="450">
        <v>0.00035</v>
      </c>
      <c r="F1864" s="333" t="s">
        <v>13063</v>
      </c>
      <c r="G1864" s="333" t="s">
        <v>14213</v>
      </c>
      <c r="H1864" s="346">
        <v>0</v>
      </c>
      <c r="I1864" s="346">
        <v>0</v>
      </c>
      <c r="J1864" s="346"/>
      <c r="K1864" s="334"/>
      <c r="L1864" s="346">
        <v>0</v>
      </c>
    </row>
    <row r="1865" hidden="1" spans="1:12">
      <c r="A1865" s="404"/>
      <c r="B1865" s="404"/>
      <c r="C1865" s="334"/>
      <c r="D1865" s="442">
        <v>0</v>
      </c>
      <c r="E1865" s="450">
        <v>0.00035</v>
      </c>
      <c r="F1865" s="333" t="s">
        <v>13063</v>
      </c>
      <c r="G1865" s="333" t="s">
        <v>14214</v>
      </c>
      <c r="H1865" s="346">
        <v>0</v>
      </c>
      <c r="I1865" s="346">
        <v>0</v>
      </c>
      <c r="J1865" s="346"/>
      <c r="K1865" s="334"/>
      <c r="L1865" s="346">
        <v>0</v>
      </c>
    </row>
    <row r="1866" hidden="1" spans="1:12">
      <c r="A1866" s="404">
        <v>0</v>
      </c>
      <c r="B1866" s="404" t="e">
        <v>#N/A</v>
      </c>
      <c r="C1866" s="404"/>
      <c r="D1866" s="442">
        <v>0</v>
      </c>
      <c r="E1866" s="450">
        <v>0</v>
      </c>
      <c r="F1866" s="333" t="s">
        <v>13063</v>
      </c>
      <c r="G1866" s="333" t="s">
        <v>14212</v>
      </c>
      <c r="H1866" s="346">
        <v>0</v>
      </c>
      <c r="I1866" s="346">
        <v>0</v>
      </c>
      <c r="J1866" s="346"/>
      <c r="K1866" s="334"/>
      <c r="L1866" s="346" t="s">
        <v>932</v>
      </c>
    </row>
    <row r="1867" hidden="1" spans="1:12">
      <c r="A1867" s="404"/>
      <c r="B1867" s="404"/>
      <c r="C1867" s="334"/>
      <c r="D1867" s="442">
        <v>0</v>
      </c>
      <c r="E1867" s="450">
        <v>0</v>
      </c>
      <c r="F1867" s="333" t="s">
        <v>13063</v>
      </c>
      <c r="G1867" s="333" t="s">
        <v>14213</v>
      </c>
      <c r="H1867" s="346">
        <v>0</v>
      </c>
      <c r="I1867" s="346">
        <v>0</v>
      </c>
      <c r="J1867" s="346"/>
      <c r="K1867" s="334"/>
      <c r="L1867" s="346" t="s">
        <v>932</v>
      </c>
    </row>
    <row r="1868" hidden="1" spans="1:12">
      <c r="A1868" s="404"/>
      <c r="B1868" s="404"/>
      <c r="C1868" s="334"/>
      <c r="D1868" s="442">
        <v>0</v>
      </c>
      <c r="E1868" s="450">
        <v>0</v>
      </c>
      <c r="F1868" s="333" t="s">
        <v>13063</v>
      </c>
      <c r="G1868" s="333" t="s">
        <v>14214</v>
      </c>
      <c r="H1868" s="346">
        <v>0</v>
      </c>
      <c r="I1868" s="346">
        <v>0</v>
      </c>
      <c r="J1868" s="346"/>
      <c r="K1868" s="334"/>
      <c r="L1868" s="346" t="s">
        <v>932</v>
      </c>
    </row>
    <row r="1869" hidden="1" spans="1:12">
      <c r="A1869" s="404">
        <v>0</v>
      </c>
      <c r="B1869" s="404" t="e">
        <v>#N/A</v>
      </c>
      <c r="C1869" s="404"/>
      <c r="D1869" s="442">
        <v>0</v>
      </c>
      <c r="E1869" s="450">
        <v>0</v>
      </c>
      <c r="F1869" s="333" t="s">
        <v>13063</v>
      </c>
      <c r="G1869" s="333" t="s">
        <v>14212</v>
      </c>
      <c r="H1869" s="346">
        <v>0</v>
      </c>
      <c r="I1869" s="346">
        <v>0</v>
      </c>
      <c r="J1869" s="346"/>
      <c r="K1869" s="334"/>
      <c r="L1869" s="346" t="s">
        <v>932</v>
      </c>
    </row>
    <row r="1870" hidden="1" spans="1:12">
      <c r="A1870" s="404"/>
      <c r="B1870" s="404"/>
      <c r="C1870" s="334"/>
      <c r="D1870" s="442">
        <v>0</v>
      </c>
      <c r="E1870" s="450">
        <v>0</v>
      </c>
      <c r="F1870" s="333" t="s">
        <v>13063</v>
      </c>
      <c r="G1870" s="333" t="s">
        <v>14213</v>
      </c>
      <c r="H1870" s="346">
        <v>0</v>
      </c>
      <c r="I1870" s="346">
        <v>0</v>
      </c>
      <c r="J1870" s="346"/>
      <c r="K1870" s="334"/>
      <c r="L1870" s="346" t="s">
        <v>932</v>
      </c>
    </row>
    <row r="1871" hidden="1" spans="1:12">
      <c r="A1871" s="404"/>
      <c r="B1871" s="404"/>
      <c r="C1871" s="334"/>
      <c r="D1871" s="442">
        <v>0</v>
      </c>
      <c r="E1871" s="450">
        <v>0</v>
      </c>
      <c r="F1871" s="333" t="s">
        <v>13063</v>
      </c>
      <c r="G1871" s="333" t="s">
        <v>14214</v>
      </c>
      <c r="H1871" s="346">
        <v>0</v>
      </c>
      <c r="I1871" s="346">
        <v>0</v>
      </c>
      <c r="J1871" s="346"/>
      <c r="K1871" s="334"/>
      <c r="L1871" s="346" t="s">
        <v>932</v>
      </c>
    </row>
    <row r="1872" hidden="1" spans="1:12">
      <c r="A1872" s="401">
        <v>0</v>
      </c>
      <c r="B1872" s="401" t="e">
        <v>#N/A</v>
      </c>
      <c r="C1872" s="401"/>
      <c r="D1872" s="442">
        <v>0</v>
      </c>
      <c r="E1872" s="450">
        <v>0</v>
      </c>
      <c r="F1872" s="439" t="s">
        <v>13063</v>
      </c>
      <c r="G1872" s="439" t="s">
        <v>14212</v>
      </c>
      <c r="H1872" s="346">
        <v>0</v>
      </c>
      <c r="I1872" s="346">
        <v>0</v>
      </c>
      <c r="J1872" s="395"/>
      <c r="L1872" s="346" t="s">
        <v>932</v>
      </c>
    </row>
    <row r="1873" hidden="1" spans="1:12">
      <c r="A1873" s="401"/>
      <c r="B1873" s="401"/>
      <c r="D1873" s="442">
        <v>0</v>
      </c>
      <c r="E1873" s="450">
        <v>0</v>
      </c>
      <c r="F1873" s="439" t="s">
        <v>13063</v>
      </c>
      <c r="G1873" s="439" t="s">
        <v>14213</v>
      </c>
      <c r="H1873" s="346">
        <v>0</v>
      </c>
      <c r="I1873" s="346">
        <v>0</v>
      </c>
      <c r="J1873" s="395"/>
      <c r="L1873" s="346" t="s">
        <v>932</v>
      </c>
    </row>
    <row r="1874" hidden="1" spans="1:12">
      <c r="A1874" s="401"/>
      <c r="B1874" s="401"/>
      <c r="D1874" s="442">
        <v>0</v>
      </c>
      <c r="E1874" s="450">
        <v>0</v>
      </c>
      <c r="F1874" s="439" t="s">
        <v>13063</v>
      </c>
      <c r="G1874" s="439" t="s">
        <v>14214</v>
      </c>
      <c r="H1874" s="346">
        <v>0</v>
      </c>
      <c r="I1874" s="346">
        <v>0</v>
      </c>
      <c r="J1874" s="395"/>
      <c r="L1874" s="346" t="s">
        <v>932</v>
      </c>
    </row>
    <row r="1875" hidden="1" spans="1:12">
      <c r="A1875" s="401">
        <v>0</v>
      </c>
      <c r="B1875" s="401" t="e">
        <v>#N/A</v>
      </c>
      <c r="C1875" s="401"/>
      <c r="D1875" s="442">
        <v>0</v>
      </c>
      <c r="E1875" s="450">
        <v>0</v>
      </c>
      <c r="F1875" s="439" t="s">
        <v>13063</v>
      </c>
      <c r="G1875" s="439" t="s">
        <v>14212</v>
      </c>
      <c r="H1875" s="346">
        <v>0</v>
      </c>
      <c r="I1875" s="346">
        <v>0</v>
      </c>
      <c r="J1875" s="395"/>
      <c r="L1875" s="346" t="s">
        <v>932</v>
      </c>
    </row>
    <row r="1876" hidden="1" spans="1:12">
      <c r="A1876" s="401"/>
      <c r="B1876" s="401"/>
      <c r="D1876" s="442">
        <v>0</v>
      </c>
      <c r="E1876" s="450">
        <v>0</v>
      </c>
      <c r="F1876" s="439" t="s">
        <v>13063</v>
      </c>
      <c r="G1876" s="439" t="s">
        <v>14213</v>
      </c>
      <c r="H1876" s="346">
        <v>0</v>
      </c>
      <c r="I1876" s="346">
        <v>0</v>
      </c>
      <c r="J1876" s="395"/>
      <c r="L1876" s="346" t="s">
        <v>932</v>
      </c>
    </row>
    <row r="1877" hidden="1" spans="1:12">
      <c r="A1877" s="401"/>
      <c r="B1877" s="401"/>
      <c r="D1877" s="442">
        <v>0</v>
      </c>
      <c r="E1877" s="450">
        <v>0</v>
      </c>
      <c r="F1877" s="439" t="s">
        <v>13063</v>
      </c>
      <c r="G1877" s="439" t="s">
        <v>14214</v>
      </c>
      <c r="H1877" s="346">
        <v>0</v>
      </c>
      <c r="I1877" s="346">
        <v>0</v>
      </c>
      <c r="J1877" s="395"/>
      <c r="L1877" s="346" t="s">
        <v>932</v>
      </c>
    </row>
    <row r="1878" hidden="1" spans="1:12">
      <c r="A1878" s="401">
        <v>0</v>
      </c>
      <c r="B1878" s="401" t="e">
        <v>#N/A</v>
      </c>
      <c r="C1878" s="401"/>
      <c r="D1878" s="442">
        <v>0</v>
      </c>
      <c r="E1878" s="450">
        <v>0</v>
      </c>
      <c r="F1878" s="439" t="s">
        <v>13063</v>
      </c>
      <c r="G1878" s="439" t="s">
        <v>14212</v>
      </c>
      <c r="H1878" s="346">
        <v>0</v>
      </c>
      <c r="I1878" s="346">
        <v>0</v>
      </c>
      <c r="J1878" s="395"/>
      <c r="L1878" s="346" t="s">
        <v>932</v>
      </c>
    </row>
    <row r="1879" hidden="1" spans="1:12">
      <c r="A1879" s="401"/>
      <c r="B1879" s="401"/>
      <c r="D1879" s="442">
        <v>0</v>
      </c>
      <c r="E1879" s="450">
        <v>0</v>
      </c>
      <c r="F1879" s="439" t="s">
        <v>13063</v>
      </c>
      <c r="G1879" s="439" t="s">
        <v>14213</v>
      </c>
      <c r="H1879" s="346">
        <v>0</v>
      </c>
      <c r="I1879" s="346">
        <v>0</v>
      </c>
      <c r="J1879" s="395"/>
      <c r="L1879" s="346" t="s">
        <v>932</v>
      </c>
    </row>
    <row r="1880" hidden="1" spans="1:12">
      <c r="A1880" s="401"/>
      <c r="B1880" s="401"/>
      <c r="D1880" s="442">
        <v>0</v>
      </c>
      <c r="E1880" s="450">
        <v>0</v>
      </c>
      <c r="F1880" s="439" t="s">
        <v>13063</v>
      </c>
      <c r="G1880" s="439" t="s">
        <v>14214</v>
      </c>
      <c r="H1880" s="346">
        <v>0</v>
      </c>
      <c r="I1880" s="346">
        <v>0</v>
      </c>
      <c r="J1880" s="395"/>
      <c r="L1880" s="346" t="s">
        <v>932</v>
      </c>
    </row>
    <row r="1881" hidden="1" spans="1:12">
      <c r="A1881" s="421"/>
      <c r="B1881" s="422"/>
      <c r="C1881" s="422"/>
      <c r="D1881" s="422"/>
      <c r="E1881" s="422"/>
      <c r="F1881" s="422"/>
      <c r="G1881" s="422"/>
      <c r="H1881" s="422"/>
      <c r="I1881" s="430"/>
      <c r="J1881" s="430"/>
      <c r="K1881" s="425" t="s">
        <v>14215</v>
      </c>
      <c r="L1881" s="426">
        <v>0</v>
      </c>
    </row>
    <row r="1882" spans="1:12">
      <c r="A1882" s="451"/>
      <c r="B1882" s="452"/>
      <c r="C1882" s="452"/>
      <c r="D1882" s="452"/>
      <c r="E1882" s="452"/>
      <c r="F1882" s="452"/>
      <c r="G1882" s="452"/>
      <c r="H1882" s="452"/>
      <c r="I1882" s="453"/>
      <c r="J1882" s="453"/>
      <c r="K1882" s="454" t="s">
        <v>14216</v>
      </c>
      <c r="L1882" s="455">
        <v>133.37</v>
      </c>
    </row>
    <row r="1884" spans="1:12">
      <c r="A1884" s="391" t="s">
        <v>14172</v>
      </c>
      <c r="B1884" s="392"/>
      <c r="C1884" s="392"/>
      <c r="D1884" s="392"/>
      <c r="E1884" s="392"/>
      <c r="F1884" s="392"/>
      <c r="G1884" s="393"/>
      <c r="H1884" s="393"/>
      <c r="I1884" s="393"/>
      <c r="J1884" s="393"/>
      <c r="K1884" s="393"/>
      <c r="L1884" s="471"/>
    </row>
    <row r="1885" spans="1:12">
      <c r="A1885" s="396">
        <v>2007971</v>
      </c>
      <c r="B1885" s="397" t="s">
        <v>140</v>
      </c>
      <c r="C1885" s="397"/>
      <c r="D1885" s="397"/>
      <c r="E1885" s="397"/>
      <c r="F1885" s="397"/>
      <c r="G1885" s="397"/>
      <c r="H1885" s="397" t="s">
        <v>9</v>
      </c>
      <c r="I1885" s="398">
        <v>46023</v>
      </c>
      <c r="J1885" s="397"/>
      <c r="K1885" s="399" t="s">
        <v>14173</v>
      </c>
      <c r="L1885" s="400">
        <v>0</v>
      </c>
    </row>
    <row r="1886" spans="1:12">
      <c r="A1886" s="401"/>
      <c r="H1886" s="402" t="s">
        <v>14174</v>
      </c>
      <c r="I1886" s="434">
        <v>2</v>
      </c>
      <c r="J1886" s="404" t="s">
        <v>9</v>
      </c>
      <c r="K1886" s="402" t="s">
        <v>14175</v>
      </c>
      <c r="L1886" s="456">
        <v>0.03632</v>
      </c>
    </row>
    <row r="1887" hidden="1" spans="1:12">
      <c r="A1887" s="405"/>
      <c r="B1887" s="405"/>
      <c r="C1887" s="405"/>
      <c r="D1887" s="406"/>
      <c r="E1887" s="406"/>
      <c r="F1887" s="406"/>
      <c r="G1887" s="407" t="s">
        <v>14176</v>
      </c>
      <c r="H1887" s="408"/>
      <c r="I1887" s="407" t="s">
        <v>14177</v>
      </c>
      <c r="J1887" s="408"/>
      <c r="K1887" s="405"/>
      <c r="L1887" s="409" t="s">
        <v>14178</v>
      </c>
    </row>
    <row r="1888" hidden="1" spans="1:12">
      <c r="A1888" s="410" t="s">
        <v>14179</v>
      </c>
      <c r="B1888" s="411"/>
      <c r="C1888" s="412"/>
      <c r="D1888" s="412"/>
      <c r="E1888" s="413" t="s">
        <v>74</v>
      </c>
      <c r="F1888" s="412"/>
      <c r="G1888" s="413" t="s">
        <v>14180</v>
      </c>
      <c r="H1888" s="413" t="s">
        <v>14181</v>
      </c>
      <c r="I1888" s="413" t="s">
        <v>14182</v>
      </c>
      <c r="J1888" s="413" t="s">
        <v>14183</v>
      </c>
      <c r="K1888" s="411"/>
      <c r="L1888" s="414" t="s">
        <v>14184</v>
      </c>
    </row>
    <row r="1889" hidden="1" spans="1:14">
      <c r="A1889" s="404">
        <v>0</v>
      </c>
      <c r="B1889" s="415" t="e">
        <v>#N/A</v>
      </c>
      <c r="C1889" s="415"/>
      <c r="E1889" s="416">
        <v>0</v>
      </c>
      <c r="F1889" s="334"/>
      <c r="G1889" s="346">
        <v>0</v>
      </c>
      <c r="H1889" s="417">
        <v>1</v>
      </c>
      <c r="I1889" s="395" t="e">
        <v>#N/A</v>
      </c>
      <c r="J1889" s="418" t="e">
        <v>#N/A</v>
      </c>
      <c r="K1889" s="402"/>
      <c r="L1889" s="395" t="s">
        <v>932</v>
      </c>
      <c r="N1889" s="395" t="s">
        <v>932</v>
      </c>
    </row>
    <row r="1890" hidden="1" spans="1:14">
      <c r="A1890" s="404">
        <v>0</v>
      </c>
      <c r="B1890" s="404" t="e">
        <v>#N/A</v>
      </c>
      <c r="C1890" s="404"/>
      <c r="D1890" s="334"/>
      <c r="E1890" s="416">
        <v>0</v>
      </c>
      <c r="F1890" s="334"/>
      <c r="G1890" s="346">
        <v>0</v>
      </c>
      <c r="H1890" s="417">
        <v>1</v>
      </c>
      <c r="I1890" s="346" t="e">
        <v>#N/A</v>
      </c>
      <c r="J1890" s="419" t="e">
        <v>#N/A</v>
      </c>
      <c r="K1890" s="420"/>
      <c r="L1890" s="395" t="s">
        <v>932</v>
      </c>
      <c r="N1890" s="395" t="s">
        <v>932</v>
      </c>
    </row>
    <row r="1891" hidden="1" spans="1:14">
      <c r="A1891" s="404">
        <v>0</v>
      </c>
      <c r="B1891" s="404" t="e">
        <v>#N/A</v>
      </c>
      <c r="C1891" s="404"/>
      <c r="D1891" s="334"/>
      <c r="E1891" s="416">
        <v>0</v>
      </c>
      <c r="F1891" s="334"/>
      <c r="G1891" s="346">
        <v>0</v>
      </c>
      <c r="H1891" s="417">
        <v>1</v>
      </c>
      <c r="I1891" s="346" t="e">
        <v>#N/A</v>
      </c>
      <c r="J1891" s="419" t="e">
        <v>#N/A</v>
      </c>
      <c r="K1891" s="420"/>
      <c r="L1891" s="395" t="s">
        <v>932</v>
      </c>
      <c r="N1891" s="395" t="s">
        <v>932</v>
      </c>
    </row>
    <row r="1892" hidden="1" spans="1:14">
      <c r="A1892" s="404">
        <v>0</v>
      </c>
      <c r="B1892" s="404" t="e">
        <v>#N/A</v>
      </c>
      <c r="C1892" s="404"/>
      <c r="D1892" s="334"/>
      <c r="E1892" s="416">
        <v>0</v>
      </c>
      <c r="F1892" s="334"/>
      <c r="G1892" s="346">
        <v>0</v>
      </c>
      <c r="H1892" s="417">
        <v>1</v>
      </c>
      <c r="I1892" s="346" t="e">
        <v>#N/A</v>
      </c>
      <c r="J1892" s="419" t="e">
        <v>#N/A</v>
      </c>
      <c r="K1892" s="420"/>
      <c r="L1892" s="395" t="s">
        <v>932</v>
      </c>
      <c r="N1892" s="395" t="s">
        <v>932</v>
      </c>
    </row>
    <row r="1893" hidden="1" spans="1:14">
      <c r="A1893" s="404">
        <v>0</v>
      </c>
      <c r="B1893" s="404" t="e">
        <v>#N/A</v>
      </c>
      <c r="C1893" s="404"/>
      <c r="D1893" s="334"/>
      <c r="E1893" s="416">
        <v>0</v>
      </c>
      <c r="F1893" s="334"/>
      <c r="G1893" s="346">
        <v>0</v>
      </c>
      <c r="H1893" s="417">
        <v>1</v>
      </c>
      <c r="I1893" s="346" t="e">
        <v>#N/A</v>
      </c>
      <c r="J1893" s="419" t="e">
        <v>#N/A</v>
      </c>
      <c r="K1893" s="420"/>
      <c r="L1893" s="395" t="s">
        <v>932</v>
      </c>
      <c r="N1893" s="395" t="s">
        <v>932</v>
      </c>
    </row>
    <row r="1894" hidden="1" spans="1:14">
      <c r="A1894" s="404">
        <v>0</v>
      </c>
      <c r="B1894" s="404" t="e">
        <v>#N/A</v>
      </c>
      <c r="C1894" s="404"/>
      <c r="D1894" s="334"/>
      <c r="E1894" s="416">
        <v>0</v>
      </c>
      <c r="F1894" s="334"/>
      <c r="G1894" s="346">
        <v>0</v>
      </c>
      <c r="H1894" s="417">
        <v>1</v>
      </c>
      <c r="I1894" s="346" t="e">
        <v>#N/A</v>
      </c>
      <c r="J1894" s="419" t="e">
        <v>#N/A</v>
      </c>
      <c r="K1894" s="420"/>
      <c r="L1894" s="395" t="s">
        <v>932</v>
      </c>
      <c r="N1894" s="395" t="s">
        <v>932</v>
      </c>
    </row>
    <row r="1895" hidden="1" spans="1:14">
      <c r="A1895" s="404">
        <v>0</v>
      </c>
      <c r="B1895" s="404" t="e">
        <v>#N/A</v>
      </c>
      <c r="C1895" s="404"/>
      <c r="D1895" s="334"/>
      <c r="E1895" s="416">
        <v>0</v>
      </c>
      <c r="F1895" s="334"/>
      <c r="G1895" s="346">
        <v>0</v>
      </c>
      <c r="H1895" s="417">
        <v>1</v>
      </c>
      <c r="I1895" s="346" t="e">
        <v>#N/A</v>
      </c>
      <c r="J1895" s="419" t="e">
        <v>#N/A</v>
      </c>
      <c r="K1895" s="420"/>
      <c r="L1895" s="395" t="s">
        <v>932</v>
      </c>
      <c r="N1895" s="395" t="s">
        <v>932</v>
      </c>
    </row>
    <row r="1896" hidden="1" spans="1:14">
      <c r="A1896" s="404">
        <v>0</v>
      </c>
      <c r="B1896" s="404" t="e">
        <v>#N/A</v>
      </c>
      <c r="C1896" s="404"/>
      <c r="D1896" s="334"/>
      <c r="E1896" s="416">
        <v>0</v>
      </c>
      <c r="F1896" s="334"/>
      <c r="G1896" s="346">
        <v>0</v>
      </c>
      <c r="H1896" s="417">
        <v>1</v>
      </c>
      <c r="I1896" s="346" t="e">
        <v>#N/A</v>
      </c>
      <c r="J1896" s="419" t="e">
        <v>#N/A</v>
      </c>
      <c r="K1896" s="420"/>
      <c r="L1896" s="395" t="s">
        <v>932</v>
      </c>
      <c r="N1896" s="395" t="s">
        <v>932</v>
      </c>
    </row>
    <row r="1897" hidden="1" spans="1:14">
      <c r="A1897" s="421"/>
      <c r="B1897" s="422"/>
      <c r="C1897" s="422"/>
      <c r="D1897" s="422"/>
      <c r="E1897" s="423"/>
      <c r="F1897" s="424"/>
      <c r="G1897" s="422"/>
      <c r="H1897" s="422"/>
      <c r="I1897" s="422"/>
      <c r="J1897" s="422"/>
      <c r="K1897" s="425" t="s">
        <v>14185</v>
      </c>
      <c r="L1897" s="426">
        <v>0</v>
      </c>
      <c r="N1897" s="427">
        <v>0</v>
      </c>
    </row>
    <row r="1898" spans="1:14">
      <c r="A1898" s="428" t="s">
        <v>14186</v>
      </c>
      <c r="B1898" s="429"/>
      <c r="C1898" s="429"/>
      <c r="D1898" s="430"/>
      <c r="E1898" s="431" t="s">
        <v>74</v>
      </c>
      <c r="F1898" s="431" t="s">
        <v>1123</v>
      </c>
      <c r="G1898" s="430"/>
      <c r="H1898" s="422"/>
      <c r="I1898" s="431" t="s">
        <v>14177</v>
      </c>
      <c r="J1898" s="430"/>
      <c r="K1898" s="430"/>
      <c r="L1898" s="432" t="s">
        <v>14187</v>
      </c>
    </row>
    <row r="1899" spans="1:14">
      <c r="A1899" s="404" t="s">
        <v>935</v>
      </c>
      <c r="B1899" s="433" t="s">
        <v>936</v>
      </c>
      <c r="C1899" s="433"/>
      <c r="D1899" s="334"/>
      <c r="E1899" s="434">
        <v>1</v>
      </c>
      <c r="F1899" s="333" t="s">
        <v>104</v>
      </c>
      <c r="G1899" s="334"/>
      <c r="H1899" s="334"/>
      <c r="I1899" s="435">
        <v>23.6025</v>
      </c>
      <c r="J1899" s="334"/>
      <c r="K1899" s="334"/>
      <c r="L1899" s="346">
        <v>23.6025</v>
      </c>
      <c r="N1899" s="395">
        <v>23.6025</v>
      </c>
    </row>
    <row r="1900" hidden="1" spans="1:14">
      <c r="A1900" s="404">
        <v>0</v>
      </c>
      <c r="B1900" s="404" t="e">
        <v>#N/A</v>
      </c>
      <c r="C1900" s="404"/>
      <c r="D1900" s="334"/>
      <c r="E1900" s="434">
        <v>0</v>
      </c>
      <c r="F1900" s="333" t="s">
        <v>104</v>
      </c>
      <c r="G1900" s="334"/>
      <c r="H1900" s="334"/>
      <c r="I1900" s="435" t="e">
        <v>#N/A</v>
      </c>
      <c r="J1900" s="334"/>
      <c r="K1900" s="334"/>
      <c r="L1900" s="346" t="s">
        <v>932</v>
      </c>
      <c r="N1900" s="395" t="s">
        <v>932</v>
      </c>
    </row>
    <row r="1901" hidden="1" spans="1:14">
      <c r="A1901" s="404">
        <v>0</v>
      </c>
      <c r="B1901" s="404" t="e">
        <v>#N/A</v>
      </c>
      <c r="C1901" s="404"/>
      <c r="D1901" s="334"/>
      <c r="E1901" s="434">
        <v>0</v>
      </c>
      <c r="F1901" s="333" t="s">
        <v>104</v>
      </c>
      <c r="G1901" s="334"/>
      <c r="H1901" s="334"/>
      <c r="I1901" s="435" t="e">
        <v>#N/A</v>
      </c>
      <c r="J1901" s="334"/>
      <c r="K1901" s="334"/>
      <c r="L1901" s="346" t="s">
        <v>932</v>
      </c>
      <c r="N1901" s="395" t="s">
        <v>932</v>
      </c>
    </row>
    <row r="1902" hidden="1" spans="1:14">
      <c r="A1902" s="404">
        <v>0</v>
      </c>
      <c r="B1902" s="404" t="e">
        <v>#N/A</v>
      </c>
      <c r="C1902" s="404"/>
      <c r="D1902" s="334"/>
      <c r="E1902" s="434">
        <v>0</v>
      </c>
      <c r="F1902" s="333" t="s">
        <v>104</v>
      </c>
      <c r="G1902" s="334"/>
      <c r="H1902" s="334"/>
      <c r="I1902" s="435" t="e">
        <v>#N/A</v>
      </c>
      <c r="J1902" s="334"/>
      <c r="K1902" s="334"/>
      <c r="L1902" s="346" t="s">
        <v>932</v>
      </c>
      <c r="N1902" s="395" t="s">
        <v>932</v>
      </c>
    </row>
    <row r="1903" hidden="1" spans="1:14">
      <c r="A1903" s="404">
        <v>0</v>
      </c>
      <c r="B1903" s="404" t="e">
        <v>#N/A</v>
      </c>
      <c r="C1903" s="404"/>
      <c r="D1903" s="334"/>
      <c r="E1903" s="434">
        <v>0</v>
      </c>
      <c r="F1903" s="333" t="s">
        <v>104</v>
      </c>
      <c r="G1903" s="334"/>
      <c r="H1903" s="334"/>
      <c r="I1903" s="435" t="e">
        <v>#N/A</v>
      </c>
      <c r="J1903" s="334"/>
      <c r="K1903" s="334"/>
      <c r="L1903" s="346" t="s">
        <v>932</v>
      </c>
      <c r="N1903" s="395" t="s">
        <v>932</v>
      </c>
    </row>
    <row r="1904" hidden="1" spans="1:14">
      <c r="A1904" s="404">
        <v>0</v>
      </c>
      <c r="B1904" s="404" t="e">
        <v>#N/A</v>
      </c>
      <c r="C1904" s="404"/>
      <c r="D1904" s="334"/>
      <c r="E1904" s="434">
        <v>0</v>
      </c>
      <c r="F1904" s="333" t="s">
        <v>104</v>
      </c>
      <c r="G1904" s="334"/>
      <c r="H1904" s="334"/>
      <c r="I1904" s="435" t="e">
        <v>#N/A</v>
      </c>
      <c r="J1904" s="334"/>
      <c r="K1904" s="334"/>
      <c r="L1904" s="346" t="s">
        <v>932</v>
      </c>
      <c r="N1904" s="395" t="s">
        <v>932</v>
      </c>
    </row>
    <row r="1905" hidden="1" spans="1:15">
      <c r="A1905" s="404">
        <v>0</v>
      </c>
      <c r="B1905" s="404" t="e">
        <v>#N/A</v>
      </c>
      <c r="C1905" s="404"/>
      <c r="D1905" s="334"/>
      <c r="E1905" s="434">
        <v>0</v>
      </c>
      <c r="F1905" s="333" t="s">
        <v>104</v>
      </c>
      <c r="G1905" s="334"/>
      <c r="H1905" s="334"/>
      <c r="I1905" s="435" t="e">
        <v>#N/A</v>
      </c>
      <c r="J1905" s="334"/>
      <c r="K1905" s="334"/>
      <c r="L1905" s="346" t="s">
        <v>932</v>
      </c>
      <c r="N1905" s="395" t="s">
        <v>932</v>
      </c>
    </row>
    <row r="1906" hidden="1" spans="1:15">
      <c r="A1906" s="404">
        <v>0</v>
      </c>
      <c r="B1906" s="436" t="e">
        <v>#N/A</v>
      </c>
      <c r="C1906" s="436"/>
      <c r="D1906" s="334"/>
      <c r="E1906" s="434">
        <v>0</v>
      </c>
      <c r="F1906" s="333" t="s">
        <v>104</v>
      </c>
      <c r="G1906" s="334"/>
      <c r="H1906" s="334"/>
      <c r="I1906" s="435" t="e">
        <v>#N/A</v>
      </c>
      <c r="J1906" s="334"/>
      <c r="K1906" s="334"/>
      <c r="L1906" s="346" t="s">
        <v>932</v>
      </c>
      <c r="N1906" s="395" t="s">
        <v>932</v>
      </c>
    </row>
    <row r="1907" spans="1:15">
      <c r="A1907" s="421"/>
      <c r="B1907" s="62"/>
      <c r="C1907" s="62"/>
      <c r="D1907" s="422"/>
      <c r="E1907" s="423"/>
      <c r="F1907" s="424"/>
      <c r="G1907" s="422"/>
      <c r="H1907" s="422"/>
      <c r="I1907" s="422"/>
      <c r="J1907" s="422"/>
      <c r="K1907" s="425" t="s">
        <v>14188</v>
      </c>
      <c r="L1907" s="426">
        <v>23.6025</v>
      </c>
      <c r="N1907" s="427">
        <v>23.6025</v>
      </c>
    </row>
    <row r="1908" spans="1:15">
      <c r="I1908" s="437"/>
      <c r="K1908" s="383" t="s">
        <v>14189</v>
      </c>
      <c r="L1908" s="427">
        <v>23.6025</v>
      </c>
      <c r="N1908" s="395">
        <v>23.6025</v>
      </c>
    </row>
    <row r="1909" spans="1:15">
      <c r="K1909" s="383" t="s">
        <v>14190</v>
      </c>
      <c r="L1909" s="427">
        <v>11.80125</v>
      </c>
      <c r="N1909" s="395">
        <v>11.80125</v>
      </c>
      <c r="O1909" s="395">
        <v>0.4286214</v>
      </c>
    </row>
    <row r="1910" spans="1:15">
      <c r="K1910" s="383" t="s">
        <v>14191</v>
      </c>
      <c r="L1910" s="427">
        <v>0.4286214</v>
      </c>
    </row>
    <row r="1911" spans="1:15">
      <c r="K1911" s="383" t="s">
        <v>14192</v>
      </c>
      <c r="L1911" s="395">
        <v>0</v>
      </c>
    </row>
    <row r="1912" spans="1:15">
      <c r="A1912" s="428" t="s">
        <v>14193</v>
      </c>
      <c r="B1912" s="430"/>
      <c r="C1912" s="430"/>
      <c r="D1912" s="430"/>
      <c r="E1912" s="431" t="s">
        <v>74</v>
      </c>
      <c r="F1912" s="431" t="s">
        <v>1123</v>
      </c>
      <c r="G1912" s="430"/>
      <c r="H1912" s="430"/>
      <c r="I1912" s="425" t="s">
        <v>75</v>
      </c>
      <c r="J1912" s="430"/>
      <c r="K1912" s="430"/>
      <c r="L1912" s="426" t="s">
        <v>14194</v>
      </c>
    </row>
    <row r="1913" spans="1:15">
      <c r="A1913" s="404" t="s">
        <v>14283</v>
      </c>
      <c r="B1913" s="433" t="s">
        <v>14284</v>
      </c>
      <c r="C1913" s="433"/>
      <c r="D1913" s="334"/>
      <c r="E1913" s="434">
        <v>1</v>
      </c>
      <c r="F1913" s="333" t="s">
        <v>9</v>
      </c>
      <c r="G1913" s="334"/>
      <c r="I1913" s="395">
        <v>80.7461</v>
      </c>
      <c r="J1913" s="395"/>
      <c r="K1913" s="395"/>
      <c r="L1913" s="346">
        <v>80.7461</v>
      </c>
    </row>
    <row r="1914" hidden="1" spans="1:15">
      <c r="A1914" s="404">
        <v>0</v>
      </c>
      <c r="B1914" s="404" t="e">
        <v>#N/A</v>
      </c>
      <c r="C1914" s="404"/>
      <c r="D1914" s="334"/>
      <c r="E1914" s="434">
        <v>0</v>
      </c>
      <c r="F1914" s="333" t="e">
        <v>#N/A</v>
      </c>
      <c r="G1914" s="334"/>
      <c r="I1914" s="395" t="e">
        <v>#N/A</v>
      </c>
      <c r="J1914" s="395"/>
      <c r="K1914" s="395"/>
      <c r="L1914" s="346" t="s">
        <v>932</v>
      </c>
    </row>
    <row r="1915" hidden="1" spans="1:15">
      <c r="A1915" s="404">
        <v>0</v>
      </c>
      <c r="B1915" s="404" t="e">
        <v>#N/A</v>
      </c>
      <c r="C1915" s="404"/>
      <c r="D1915" s="334"/>
      <c r="E1915" s="434">
        <v>0</v>
      </c>
      <c r="F1915" s="333" t="e">
        <v>#N/A</v>
      </c>
      <c r="G1915" s="334"/>
      <c r="I1915" s="395" t="e">
        <v>#N/A</v>
      </c>
      <c r="J1915" s="395"/>
      <c r="K1915" s="395"/>
      <c r="L1915" s="346" t="s">
        <v>932</v>
      </c>
    </row>
    <row r="1916" hidden="1" spans="1:15">
      <c r="A1916" s="404">
        <v>0</v>
      </c>
      <c r="B1916" s="404" t="e">
        <v>#N/A</v>
      </c>
      <c r="C1916" s="404"/>
      <c r="D1916" s="334"/>
      <c r="E1916" s="434">
        <v>0</v>
      </c>
      <c r="F1916" s="333" t="e">
        <v>#N/A</v>
      </c>
      <c r="G1916" s="334"/>
      <c r="I1916" s="395" t="e">
        <v>#N/A</v>
      </c>
      <c r="J1916" s="395"/>
      <c r="K1916" s="395"/>
      <c r="L1916" s="346" t="s">
        <v>932</v>
      </c>
    </row>
    <row r="1917" hidden="1" spans="1:15">
      <c r="A1917" s="404">
        <v>0</v>
      </c>
      <c r="B1917" s="404" t="e">
        <v>#N/A</v>
      </c>
      <c r="C1917" s="404"/>
      <c r="D1917" s="334"/>
      <c r="E1917" s="434">
        <v>0</v>
      </c>
      <c r="F1917" s="333" t="e">
        <v>#N/A</v>
      </c>
      <c r="G1917" s="334"/>
      <c r="H1917" s="334"/>
      <c r="I1917" s="395" t="e">
        <v>#N/A</v>
      </c>
      <c r="J1917" s="395"/>
      <c r="K1917" s="395"/>
      <c r="L1917" s="346" t="s">
        <v>932</v>
      </c>
    </row>
    <row r="1918" hidden="1" spans="1:15">
      <c r="A1918" s="404">
        <v>0</v>
      </c>
      <c r="B1918" s="404" t="e">
        <v>#N/A</v>
      </c>
      <c r="C1918" s="404"/>
      <c r="D1918" s="334"/>
      <c r="E1918" s="434">
        <v>0</v>
      </c>
      <c r="F1918" s="333" t="e">
        <v>#N/A</v>
      </c>
      <c r="G1918" s="334"/>
      <c r="H1918" s="334"/>
      <c r="I1918" s="395" t="e">
        <v>#N/A</v>
      </c>
      <c r="J1918" s="395"/>
      <c r="K1918" s="395"/>
      <c r="L1918" s="346" t="s">
        <v>932</v>
      </c>
    </row>
    <row r="1919" hidden="1" spans="1:15">
      <c r="A1919" s="404">
        <v>0</v>
      </c>
      <c r="B1919" s="404" t="e">
        <v>#N/A</v>
      </c>
      <c r="C1919" s="404"/>
      <c r="D1919" s="334"/>
      <c r="E1919" s="434">
        <v>0</v>
      </c>
      <c r="F1919" s="333" t="e">
        <v>#N/A</v>
      </c>
      <c r="G1919" s="334"/>
      <c r="H1919" s="334"/>
      <c r="I1919" s="395" t="e">
        <v>#N/A</v>
      </c>
      <c r="J1919" s="395"/>
      <c r="K1919" s="395"/>
      <c r="L1919" s="346" t="s">
        <v>932</v>
      </c>
    </row>
    <row r="1920" hidden="1" spans="1:15">
      <c r="A1920" s="404">
        <v>0</v>
      </c>
      <c r="B1920" s="404" t="e">
        <v>#N/A</v>
      </c>
      <c r="C1920" s="404"/>
      <c r="D1920" s="438"/>
      <c r="E1920" s="434">
        <v>0</v>
      </c>
      <c r="F1920" s="333" t="e">
        <v>#N/A</v>
      </c>
      <c r="G1920" s="334"/>
      <c r="H1920" s="334"/>
      <c r="I1920" s="395" t="e">
        <v>#N/A</v>
      </c>
      <c r="J1920" s="395"/>
      <c r="K1920" s="395"/>
      <c r="L1920" s="346" t="s">
        <v>932</v>
      </c>
    </row>
    <row r="1921" spans="1:12">
      <c r="A1921" s="421"/>
      <c r="B1921" s="422"/>
      <c r="C1921" s="422"/>
      <c r="D1921" s="422"/>
      <c r="E1921" s="423"/>
      <c r="F1921" s="424"/>
      <c r="G1921" s="422"/>
      <c r="H1921" s="422"/>
      <c r="I1921" s="430"/>
      <c r="J1921" s="430"/>
      <c r="K1921" s="425" t="s">
        <v>14203</v>
      </c>
      <c r="L1921" s="426">
        <v>80.7461</v>
      </c>
    </row>
    <row r="1922" hidden="1" spans="1:12">
      <c r="A1922" s="428" t="s">
        <v>14204</v>
      </c>
      <c r="B1922" s="430"/>
      <c r="C1922" s="430"/>
      <c r="D1922" s="430"/>
      <c r="E1922" s="431" t="s">
        <v>74</v>
      </c>
      <c r="F1922" s="431" t="s">
        <v>1123</v>
      </c>
      <c r="G1922" s="430"/>
      <c r="H1922" s="430"/>
      <c r="I1922" s="425" t="s">
        <v>75</v>
      </c>
      <c r="J1922" s="430"/>
      <c r="K1922" s="430"/>
      <c r="L1922" s="426" t="s">
        <v>14194</v>
      </c>
    </row>
    <row r="1923" hidden="1" spans="1:12">
      <c r="A1923" s="404">
        <v>0</v>
      </c>
      <c r="B1923" s="334" t="e">
        <v>#N/A</v>
      </c>
      <c r="C1923" s="334"/>
      <c r="D1923" s="334"/>
      <c r="E1923" s="434">
        <v>0</v>
      </c>
      <c r="F1923" s="333" t="e">
        <v>#N/A</v>
      </c>
      <c r="G1923" s="439"/>
      <c r="I1923" s="346" t="e">
        <v>#N/A</v>
      </c>
      <c r="L1923" s="346" t="s">
        <v>932</v>
      </c>
    </row>
    <row r="1924" hidden="1" spans="1:12">
      <c r="A1924" s="401">
        <v>0</v>
      </c>
      <c r="B1924" s="334" t="e">
        <v>#N/A</v>
      </c>
      <c r="E1924" s="440">
        <v>0</v>
      </c>
      <c r="F1924" s="333" t="e">
        <v>#N/A</v>
      </c>
      <c r="G1924" s="439"/>
      <c r="I1924" s="346" t="e">
        <v>#N/A</v>
      </c>
      <c r="L1924" s="346" t="s">
        <v>932</v>
      </c>
    </row>
    <row r="1925" hidden="1" spans="1:12">
      <c r="A1925" s="401">
        <v>0</v>
      </c>
      <c r="B1925" s="334" t="e">
        <v>#N/A</v>
      </c>
      <c r="E1925" s="440">
        <v>0</v>
      </c>
      <c r="F1925" s="333" t="e">
        <v>#N/A</v>
      </c>
      <c r="G1925" s="439"/>
      <c r="I1925" s="346" t="e">
        <v>#N/A</v>
      </c>
      <c r="L1925" s="346" t="s">
        <v>932</v>
      </c>
    </row>
    <row r="1926" hidden="1" spans="1:12">
      <c r="A1926" s="401">
        <v>0</v>
      </c>
      <c r="B1926" s="334" t="e">
        <v>#N/A</v>
      </c>
      <c r="E1926" s="440">
        <v>0</v>
      </c>
      <c r="F1926" s="333" t="e">
        <v>#N/A</v>
      </c>
      <c r="G1926" s="439"/>
      <c r="I1926" s="346" t="e">
        <v>#N/A</v>
      </c>
      <c r="L1926" s="346" t="s">
        <v>932</v>
      </c>
    </row>
    <row r="1927" hidden="1" spans="1:12">
      <c r="A1927" s="401">
        <v>0</v>
      </c>
      <c r="B1927" s="334" t="e">
        <v>#N/A</v>
      </c>
      <c r="E1927" s="440">
        <v>0</v>
      </c>
      <c r="F1927" s="333" t="e">
        <v>#N/A</v>
      </c>
      <c r="G1927" s="439"/>
      <c r="I1927" s="346" t="e">
        <v>#N/A</v>
      </c>
      <c r="L1927" s="346" t="s">
        <v>932</v>
      </c>
    </row>
    <row r="1928" hidden="1" spans="1:12">
      <c r="A1928" s="401">
        <v>0</v>
      </c>
      <c r="B1928" s="334" t="e">
        <v>#N/A</v>
      </c>
      <c r="E1928" s="440">
        <v>0</v>
      </c>
      <c r="F1928" s="333" t="e">
        <v>#N/A</v>
      </c>
      <c r="G1928" s="439"/>
      <c r="I1928" s="346" t="e">
        <v>#N/A</v>
      </c>
      <c r="L1928" s="346" t="s">
        <v>932</v>
      </c>
    </row>
    <row r="1929" hidden="1" spans="1:12">
      <c r="A1929" s="421"/>
      <c r="B1929" s="422"/>
      <c r="C1929" s="422"/>
      <c r="D1929" s="422"/>
      <c r="E1929" s="422"/>
      <c r="F1929" s="422"/>
      <c r="G1929" s="422"/>
      <c r="H1929" s="422"/>
      <c r="I1929" s="430"/>
      <c r="J1929" s="430"/>
      <c r="K1929" s="425" t="s">
        <v>14206</v>
      </c>
      <c r="L1929" s="426">
        <v>0</v>
      </c>
    </row>
    <row r="1930" spans="1:12">
      <c r="A1930" s="421"/>
      <c r="B1930" s="422"/>
      <c r="C1930" s="422"/>
      <c r="D1930" s="422"/>
      <c r="E1930" s="422"/>
      <c r="F1930" s="422"/>
      <c r="G1930" s="422"/>
      <c r="H1930" s="422"/>
      <c r="I1930" s="430"/>
      <c r="J1930" s="430"/>
      <c r="K1930" s="425" t="s">
        <v>14207</v>
      </c>
      <c r="L1930" s="426">
        <v>92.9759714</v>
      </c>
    </row>
    <row r="1931" spans="1:12">
      <c r="A1931" s="428" t="s">
        <v>14208</v>
      </c>
      <c r="B1931" s="430"/>
      <c r="C1931" s="430"/>
      <c r="D1931" s="431" t="s">
        <v>55</v>
      </c>
      <c r="E1931" s="431" t="s">
        <v>74</v>
      </c>
      <c r="F1931" s="431" t="s">
        <v>1123</v>
      </c>
      <c r="G1931" s="430"/>
      <c r="H1931" s="430"/>
      <c r="I1931" s="425" t="s">
        <v>75</v>
      </c>
      <c r="J1931" s="430"/>
      <c r="K1931" s="430"/>
      <c r="L1931" s="426" t="s">
        <v>14194</v>
      </c>
    </row>
    <row r="1932" spans="1:12">
      <c r="A1932" s="404" t="s">
        <v>14283</v>
      </c>
      <c r="B1932" s="441" t="s">
        <v>14284</v>
      </c>
      <c r="C1932" s="441"/>
      <c r="D1932" s="442">
        <v>5914655</v>
      </c>
      <c r="E1932" s="434">
        <v>0.00122</v>
      </c>
      <c r="F1932" s="333" t="s">
        <v>9885</v>
      </c>
      <c r="G1932" s="443" t="s">
        <v>14209</v>
      </c>
      <c r="H1932" s="334"/>
      <c r="I1932" s="346">
        <v>35.43</v>
      </c>
      <c r="J1932" s="334"/>
      <c r="K1932" s="346"/>
      <c r="L1932" s="346">
        <v>0.0432246</v>
      </c>
    </row>
    <row r="1933" hidden="1" spans="1:12">
      <c r="A1933" s="404">
        <v>0</v>
      </c>
      <c r="B1933" s="334" t="e">
        <v>#N/A</v>
      </c>
      <c r="C1933" s="334"/>
      <c r="D1933" s="442">
        <v>0</v>
      </c>
      <c r="E1933" s="434">
        <v>0</v>
      </c>
      <c r="F1933" s="333" t="s">
        <v>9885</v>
      </c>
      <c r="G1933" s="334"/>
      <c r="H1933" s="334"/>
      <c r="I1933" s="346">
        <v>0</v>
      </c>
      <c r="J1933" s="334"/>
      <c r="K1933" s="346"/>
      <c r="L1933" s="346" t="s">
        <v>932</v>
      </c>
    </row>
    <row r="1934" hidden="1" spans="1:12">
      <c r="A1934" s="404">
        <v>0</v>
      </c>
      <c r="B1934" s="334" t="e">
        <v>#N/A</v>
      </c>
      <c r="C1934" s="334"/>
      <c r="D1934" s="442">
        <v>0</v>
      </c>
      <c r="E1934" s="434">
        <v>0</v>
      </c>
      <c r="F1934" s="333" t="s">
        <v>9885</v>
      </c>
      <c r="G1934" s="334"/>
      <c r="H1934" s="334"/>
      <c r="I1934" s="346">
        <v>0</v>
      </c>
      <c r="J1934" s="334"/>
      <c r="K1934" s="346"/>
      <c r="L1934" s="346" t="s">
        <v>932</v>
      </c>
    </row>
    <row r="1935" hidden="1" spans="1:12">
      <c r="A1935" s="404">
        <v>0</v>
      </c>
      <c r="B1935" s="334" t="e">
        <v>#N/A</v>
      </c>
      <c r="C1935" s="334"/>
      <c r="D1935" s="442">
        <v>0</v>
      </c>
      <c r="E1935" s="434">
        <v>0</v>
      </c>
      <c r="F1935" s="333" t="s">
        <v>9885</v>
      </c>
      <c r="G1935" s="334"/>
      <c r="H1935" s="334"/>
      <c r="I1935" s="346">
        <v>0</v>
      </c>
      <c r="J1935" s="334"/>
      <c r="K1935" s="346"/>
      <c r="L1935" s="346" t="s">
        <v>932</v>
      </c>
    </row>
    <row r="1936" hidden="1" spans="1:12">
      <c r="A1936" s="404">
        <v>0</v>
      </c>
      <c r="B1936" s="334" t="e">
        <v>#N/A</v>
      </c>
      <c r="C1936" s="334"/>
      <c r="D1936" s="442">
        <v>0</v>
      </c>
      <c r="E1936" s="434">
        <v>0</v>
      </c>
      <c r="F1936" s="333" t="s">
        <v>9885</v>
      </c>
      <c r="G1936" s="334"/>
      <c r="H1936" s="334"/>
      <c r="I1936" s="346">
        <v>0</v>
      </c>
      <c r="J1936" s="334"/>
      <c r="K1936" s="346"/>
      <c r="L1936" s="346" t="s">
        <v>932</v>
      </c>
    </row>
    <row r="1937" hidden="1" spans="1:12">
      <c r="A1937" s="404">
        <v>0</v>
      </c>
      <c r="B1937" s="334" t="e">
        <v>#N/A</v>
      </c>
      <c r="C1937" s="334"/>
      <c r="D1937" s="442">
        <v>0</v>
      </c>
      <c r="E1937" s="434">
        <v>0</v>
      </c>
      <c r="F1937" s="333" t="s">
        <v>9885</v>
      </c>
      <c r="G1937" s="334"/>
      <c r="H1937" s="334"/>
      <c r="I1937" s="346">
        <v>0</v>
      </c>
      <c r="J1937" s="334"/>
      <c r="K1937" s="346"/>
      <c r="L1937" s="346" t="s">
        <v>932</v>
      </c>
    </row>
    <row r="1938" hidden="1" spans="1:12">
      <c r="A1938" s="404">
        <v>0</v>
      </c>
      <c r="B1938" s="334" t="e">
        <v>#N/A</v>
      </c>
      <c r="C1938" s="334"/>
      <c r="D1938" s="442">
        <v>0</v>
      </c>
      <c r="E1938" s="434">
        <v>0</v>
      </c>
      <c r="F1938" s="333" t="s">
        <v>9885</v>
      </c>
      <c r="G1938" s="334"/>
      <c r="H1938" s="334"/>
      <c r="I1938" s="346">
        <v>0</v>
      </c>
      <c r="J1938" s="334"/>
      <c r="K1938" s="346"/>
      <c r="L1938" s="346" t="s">
        <v>932</v>
      </c>
    </row>
    <row r="1939" hidden="1" spans="1:12">
      <c r="A1939" s="404">
        <v>0</v>
      </c>
      <c r="B1939" s="444" t="e">
        <v>#N/A</v>
      </c>
      <c r="C1939" s="444"/>
      <c r="D1939" s="442">
        <v>0</v>
      </c>
      <c r="E1939" s="434">
        <v>0</v>
      </c>
      <c r="F1939" s="333" t="s">
        <v>9885</v>
      </c>
      <c r="G1939" s="334"/>
      <c r="H1939" s="334"/>
      <c r="I1939" s="346">
        <v>0</v>
      </c>
      <c r="J1939" s="334"/>
      <c r="K1939" s="346"/>
      <c r="L1939" s="346" t="s">
        <v>932</v>
      </c>
    </row>
    <row r="1940" spans="1:12">
      <c r="A1940" s="428"/>
      <c r="B1940" s="445"/>
      <c r="C1940" s="445"/>
      <c r="D1940" s="430"/>
      <c r="E1940" s="430"/>
      <c r="F1940" s="430"/>
      <c r="G1940" s="430"/>
      <c r="H1940" s="430"/>
      <c r="I1940" s="430"/>
      <c r="J1940" s="430"/>
      <c r="K1940" s="425" t="s">
        <v>14210</v>
      </c>
      <c r="L1940" s="426">
        <v>0.0432246</v>
      </c>
    </row>
    <row r="1941" hidden="1" spans="1:12">
      <c r="A1941" s="446" t="s">
        <v>14211</v>
      </c>
      <c r="B1941" s="445"/>
      <c r="C1941" s="445"/>
      <c r="D1941" s="447" t="s">
        <v>55</v>
      </c>
      <c r="E1941" s="445" t="s">
        <v>74</v>
      </c>
      <c r="F1941" s="447" t="s">
        <v>1123</v>
      </c>
      <c r="G1941" s="445"/>
      <c r="H1941" s="447" t="s">
        <v>72</v>
      </c>
      <c r="I1941" s="447" t="s">
        <v>75</v>
      </c>
      <c r="J1941" s="445"/>
      <c r="K1941" s="448"/>
      <c r="L1941" s="449" t="s">
        <v>14194</v>
      </c>
    </row>
    <row r="1942" hidden="1" spans="1:12">
      <c r="A1942" s="404" t="s">
        <v>14283</v>
      </c>
      <c r="B1942" s="433" t="s">
        <v>14284</v>
      </c>
      <c r="C1942" s="433"/>
      <c r="D1942" s="442">
        <v>5914449</v>
      </c>
      <c r="E1942" s="450">
        <v>0.00122</v>
      </c>
      <c r="F1942" s="333" t="s">
        <v>13063</v>
      </c>
      <c r="G1942" s="333" t="s">
        <v>14212</v>
      </c>
      <c r="H1942" s="346">
        <v>0</v>
      </c>
      <c r="I1942" s="346">
        <v>1.11</v>
      </c>
      <c r="J1942" s="346"/>
      <c r="K1942" s="334"/>
      <c r="L1942" s="346">
        <v>0</v>
      </c>
    </row>
    <row r="1943" hidden="1" spans="1:12">
      <c r="A1943" s="404"/>
      <c r="B1943" s="404"/>
      <c r="C1943" s="334"/>
      <c r="D1943" s="442">
        <v>5914464</v>
      </c>
      <c r="E1943" s="450">
        <v>0.00122</v>
      </c>
      <c r="F1943" s="333" t="s">
        <v>13063</v>
      </c>
      <c r="G1943" s="333" t="s">
        <v>14213</v>
      </c>
      <c r="H1943" s="346">
        <v>0</v>
      </c>
      <c r="I1943" s="346">
        <v>0.89</v>
      </c>
      <c r="J1943" s="346"/>
      <c r="K1943" s="334"/>
      <c r="L1943" s="346">
        <v>0</v>
      </c>
    </row>
    <row r="1944" hidden="1" spans="1:12">
      <c r="A1944" s="404"/>
      <c r="B1944" s="404"/>
      <c r="C1944" s="334"/>
      <c r="D1944" s="442">
        <v>5914479</v>
      </c>
      <c r="E1944" s="450">
        <v>0.00122</v>
      </c>
      <c r="F1944" s="333" t="s">
        <v>13063</v>
      </c>
      <c r="G1944" s="333" t="s">
        <v>14214</v>
      </c>
      <c r="H1944" s="346">
        <v>0</v>
      </c>
      <c r="I1944" s="346">
        <v>0.73</v>
      </c>
      <c r="J1944" s="346"/>
      <c r="K1944" s="334"/>
      <c r="L1944" s="346">
        <v>0</v>
      </c>
    </row>
    <row r="1945" hidden="1" spans="1:12">
      <c r="A1945" s="404">
        <v>0</v>
      </c>
      <c r="B1945" s="404" t="e">
        <v>#N/A</v>
      </c>
      <c r="C1945" s="404"/>
      <c r="D1945" s="442">
        <v>0</v>
      </c>
      <c r="E1945" s="450">
        <v>0</v>
      </c>
      <c r="F1945" s="333" t="s">
        <v>13063</v>
      </c>
      <c r="G1945" s="333" t="s">
        <v>14212</v>
      </c>
      <c r="H1945" s="346">
        <v>0</v>
      </c>
      <c r="I1945" s="346">
        <v>0</v>
      </c>
      <c r="J1945" s="346"/>
      <c r="K1945" s="334"/>
      <c r="L1945" s="346" t="s">
        <v>932</v>
      </c>
    </row>
    <row r="1946" hidden="1" spans="1:12">
      <c r="A1946" s="404"/>
      <c r="B1946" s="404"/>
      <c r="C1946" s="334"/>
      <c r="D1946" s="442">
        <v>0</v>
      </c>
      <c r="E1946" s="450">
        <v>0</v>
      </c>
      <c r="F1946" s="333" t="s">
        <v>13063</v>
      </c>
      <c r="G1946" s="333" t="s">
        <v>14213</v>
      </c>
      <c r="H1946" s="346">
        <v>0</v>
      </c>
      <c r="I1946" s="346">
        <v>0</v>
      </c>
      <c r="J1946" s="346"/>
      <c r="K1946" s="334"/>
      <c r="L1946" s="346" t="s">
        <v>932</v>
      </c>
    </row>
    <row r="1947" hidden="1" spans="1:12">
      <c r="A1947" s="404"/>
      <c r="B1947" s="404"/>
      <c r="C1947" s="334"/>
      <c r="D1947" s="442">
        <v>0</v>
      </c>
      <c r="E1947" s="450">
        <v>0</v>
      </c>
      <c r="F1947" s="333" t="s">
        <v>13063</v>
      </c>
      <c r="G1947" s="333" t="s">
        <v>14214</v>
      </c>
      <c r="H1947" s="346">
        <v>0</v>
      </c>
      <c r="I1947" s="346">
        <v>0</v>
      </c>
      <c r="J1947" s="346"/>
      <c r="K1947" s="334"/>
      <c r="L1947" s="346" t="s">
        <v>932</v>
      </c>
    </row>
    <row r="1948" hidden="1" spans="1:12">
      <c r="A1948" s="404">
        <v>0</v>
      </c>
      <c r="B1948" s="404" t="e">
        <v>#N/A</v>
      </c>
      <c r="C1948" s="404"/>
      <c r="D1948" s="442">
        <v>0</v>
      </c>
      <c r="E1948" s="450">
        <v>0</v>
      </c>
      <c r="F1948" s="333" t="s">
        <v>13063</v>
      </c>
      <c r="G1948" s="333" t="s">
        <v>14212</v>
      </c>
      <c r="H1948" s="346">
        <v>0</v>
      </c>
      <c r="I1948" s="346">
        <v>0</v>
      </c>
      <c r="J1948" s="346"/>
      <c r="K1948" s="334"/>
      <c r="L1948" s="346" t="s">
        <v>932</v>
      </c>
    </row>
    <row r="1949" hidden="1" spans="1:12">
      <c r="A1949" s="404"/>
      <c r="B1949" s="404"/>
      <c r="C1949" s="334"/>
      <c r="D1949" s="442">
        <v>0</v>
      </c>
      <c r="E1949" s="450">
        <v>0</v>
      </c>
      <c r="F1949" s="333" t="s">
        <v>13063</v>
      </c>
      <c r="G1949" s="333" t="s">
        <v>14213</v>
      </c>
      <c r="H1949" s="346">
        <v>0</v>
      </c>
      <c r="I1949" s="346">
        <v>0</v>
      </c>
      <c r="J1949" s="346"/>
      <c r="K1949" s="334"/>
      <c r="L1949" s="346" t="s">
        <v>932</v>
      </c>
    </row>
    <row r="1950" hidden="1" spans="1:12">
      <c r="A1950" s="404"/>
      <c r="B1950" s="404"/>
      <c r="C1950" s="334"/>
      <c r="D1950" s="442">
        <v>0</v>
      </c>
      <c r="E1950" s="450">
        <v>0</v>
      </c>
      <c r="F1950" s="333" t="s">
        <v>13063</v>
      </c>
      <c r="G1950" s="333" t="s">
        <v>14214</v>
      </c>
      <c r="H1950" s="346">
        <v>0</v>
      </c>
      <c r="I1950" s="346">
        <v>0</v>
      </c>
      <c r="J1950" s="346"/>
      <c r="K1950" s="334"/>
      <c r="L1950" s="346" t="s">
        <v>932</v>
      </c>
    </row>
    <row r="1951" hidden="1" spans="1:12">
      <c r="A1951" s="404">
        <v>0</v>
      </c>
      <c r="B1951" s="404" t="e">
        <v>#N/A</v>
      </c>
      <c r="C1951" s="404"/>
      <c r="D1951" s="442">
        <v>0</v>
      </c>
      <c r="E1951" s="450">
        <v>0</v>
      </c>
      <c r="F1951" s="333" t="s">
        <v>13063</v>
      </c>
      <c r="G1951" s="333" t="s">
        <v>14212</v>
      </c>
      <c r="H1951" s="346">
        <v>0</v>
      </c>
      <c r="I1951" s="346">
        <v>0</v>
      </c>
      <c r="J1951" s="346"/>
      <c r="K1951" s="334"/>
      <c r="L1951" s="346" t="s">
        <v>932</v>
      </c>
    </row>
    <row r="1952" hidden="1" spans="1:12">
      <c r="A1952" s="404"/>
      <c r="B1952" s="404"/>
      <c r="C1952" s="334"/>
      <c r="D1952" s="442">
        <v>0</v>
      </c>
      <c r="E1952" s="450">
        <v>0</v>
      </c>
      <c r="F1952" s="333" t="s">
        <v>13063</v>
      </c>
      <c r="G1952" s="333" t="s">
        <v>14213</v>
      </c>
      <c r="H1952" s="346">
        <v>0</v>
      </c>
      <c r="I1952" s="346">
        <v>0</v>
      </c>
      <c r="J1952" s="346"/>
      <c r="K1952" s="334"/>
      <c r="L1952" s="346" t="s">
        <v>932</v>
      </c>
    </row>
    <row r="1953" hidden="1" spans="1:12">
      <c r="A1953" s="404"/>
      <c r="B1953" s="404"/>
      <c r="C1953" s="334"/>
      <c r="D1953" s="442">
        <v>0</v>
      </c>
      <c r="E1953" s="450">
        <v>0</v>
      </c>
      <c r="F1953" s="333" t="s">
        <v>13063</v>
      </c>
      <c r="G1953" s="333" t="s">
        <v>14214</v>
      </c>
      <c r="H1953" s="346">
        <v>0</v>
      </c>
      <c r="I1953" s="346">
        <v>0</v>
      </c>
      <c r="J1953" s="346"/>
      <c r="K1953" s="334"/>
      <c r="L1953" s="346" t="s">
        <v>932</v>
      </c>
    </row>
    <row r="1954" hidden="1" spans="1:12">
      <c r="A1954" s="404">
        <v>0</v>
      </c>
      <c r="B1954" s="404" t="e">
        <v>#N/A</v>
      </c>
      <c r="C1954" s="404"/>
      <c r="D1954" s="442">
        <v>0</v>
      </c>
      <c r="E1954" s="450">
        <v>0</v>
      </c>
      <c r="F1954" s="333" t="s">
        <v>13063</v>
      </c>
      <c r="G1954" s="333" t="s">
        <v>14212</v>
      </c>
      <c r="H1954" s="346">
        <v>0</v>
      </c>
      <c r="I1954" s="346">
        <v>0</v>
      </c>
      <c r="J1954" s="346"/>
      <c r="K1954" s="334"/>
      <c r="L1954" s="346" t="s">
        <v>932</v>
      </c>
    </row>
    <row r="1955" hidden="1" spans="1:12">
      <c r="A1955" s="404"/>
      <c r="B1955" s="404"/>
      <c r="C1955" s="334"/>
      <c r="D1955" s="442">
        <v>0</v>
      </c>
      <c r="E1955" s="450">
        <v>0</v>
      </c>
      <c r="F1955" s="333" t="s">
        <v>13063</v>
      </c>
      <c r="G1955" s="333" t="s">
        <v>14213</v>
      </c>
      <c r="H1955" s="346">
        <v>0</v>
      </c>
      <c r="I1955" s="346">
        <v>0</v>
      </c>
      <c r="J1955" s="346"/>
      <c r="K1955" s="334"/>
      <c r="L1955" s="346" t="s">
        <v>932</v>
      </c>
    </row>
    <row r="1956" hidden="1" spans="1:12">
      <c r="A1956" s="404"/>
      <c r="B1956" s="404"/>
      <c r="C1956" s="334"/>
      <c r="D1956" s="442">
        <v>0</v>
      </c>
      <c r="E1956" s="450">
        <v>0</v>
      </c>
      <c r="F1956" s="333" t="s">
        <v>13063</v>
      </c>
      <c r="G1956" s="333" t="s">
        <v>14214</v>
      </c>
      <c r="H1956" s="346">
        <v>0</v>
      </c>
      <c r="I1956" s="346">
        <v>0</v>
      </c>
      <c r="J1956" s="346"/>
      <c r="K1956" s="334"/>
      <c r="L1956" s="346" t="s">
        <v>932</v>
      </c>
    </row>
    <row r="1957" hidden="1" spans="1:12">
      <c r="A1957" s="401">
        <v>0</v>
      </c>
      <c r="B1957" s="401" t="e">
        <v>#N/A</v>
      </c>
      <c r="C1957" s="401"/>
      <c r="D1957" s="442">
        <v>0</v>
      </c>
      <c r="E1957" s="450">
        <v>0</v>
      </c>
      <c r="F1957" s="439" t="s">
        <v>13063</v>
      </c>
      <c r="G1957" s="439" t="s">
        <v>14212</v>
      </c>
      <c r="H1957" s="346">
        <v>0</v>
      </c>
      <c r="I1957" s="346">
        <v>0</v>
      </c>
      <c r="J1957" s="395"/>
      <c r="L1957" s="346" t="s">
        <v>932</v>
      </c>
    </row>
    <row r="1958" hidden="1" spans="1:12">
      <c r="A1958" s="401"/>
      <c r="B1958" s="401"/>
      <c r="D1958" s="442">
        <v>0</v>
      </c>
      <c r="E1958" s="450">
        <v>0</v>
      </c>
      <c r="F1958" s="439" t="s">
        <v>13063</v>
      </c>
      <c r="G1958" s="439" t="s">
        <v>14213</v>
      </c>
      <c r="H1958" s="346">
        <v>0</v>
      </c>
      <c r="I1958" s="346">
        <v>0</v>
      </c>
      <c r="J1958" s="395"/>
      <c r="L1958" s="346" t="s">
        <v>932</v>
      </c>
    </row>
    <row r="1959" hidden="1" spans="1:12">
      <c r="A1959" s="401"/>
      <c r="B1959" s="401"/>
      <c r="D1959" s="442">
        <v>0</v>
      </c>
      <c r="E1959" s="450">
        <v>0</v>
      </c>
      <c r="F1959" s="439" t="s">
        <v>13063</v>
      </c>
      <c r="G1959" s="439" t="s">
        <v>14214</v>
      </c>
      <c r="H1959" s="346">
        <v>0</v>
      </c>
      <c r="I1959" s="346">
        <v>0</v>
      </c>
      <c r="J1959" s="395"/>
      <c r="L1959" s="346" t="s">
        <v>932</v>
      </c>
    </row>
    <row r="1960" hidden="1" spans="1:12">
      <c r="A1960" s="401">
        <v>0</v>
      </c>
      <c r="B1960" s="401" t="e">
        <v>#N/A</v>
      </c>
      <c r="C1960" s="401"/>
      <c r="D1960" s="442">
        <v>0</v>
      </c>
      <c r="E1960" s="450">
        <v>0</v>
      </c>
      <c r="F1960" s="439" t="s">
        <v>13063</v>
      </c>
      <c r="G1960" s="439" t="s">
        <v>14212</v>
      </c>
      <c r="H1960" s="346">
        <v>0</v>
      </c>
      <c r="I1960" s="346">
        <v>0</v>
      </c>
      <c r="J1960" s="395"/>
      <c r="L1960" s="346" t="s">
        <v>932</v>
      </c>
    </row>
    <row r="1961" hidden="1" spans="1:12">
      <c r="A1961" s="401"/>
      <c r="B1961" s="401"/>
      <c r="D1961" s="442">
        <v>0</v>
      </c>
      <c r="E1961" s="450">
        <v>0</v>
      </c>
      <c r="F1961" s="439" t="s">
        <v>13063</v>
      </c>
      <c r="G1961" s="439" t="s">
        <v>14213</v>
      </c>
      <c r="H1961" s="346">
        <v>0</v>
      </c>
      <c r="I1961" s="346">
        <v>0</v>
      </c>
      <c r="J1961" s="395"/>
      <c r="L1961" s="346" t="s">
        <v>932</v>
      </c>
    </row>
    <row r="1962" hidden="1" spans="1:12">
      <c r="A1962" s="401"/>
      <c r="B1962" s="401"/>
      <c r="D1962" s="442">
        <v>0</v>
      </c>
      <c r="E1962" s="450">
        <v>0</v>
      </c>
      <c r="F1962" s="439" t="s">
        <v>13063</v>
      </c>
      <c r="G1962" s="439" t="s">
        <v>14214</v>
      </c>
      <c r="H1962" s="346">
        <v>0</v>
      </c>
      <c r="I1962" s="346">
        <v>0</v>
      </c>
      <c r="J1962" s="395"/>
      <c r="L1962" s="346" t="s">
        <v>932</v>
      </c>
    </row>
    <row r="1963" hidden="1" spans="1:12">
      <c r="A1963" s="401">
        <v>0</v>
      </c>
      <c r="B1963" s="401" t="e">
        <v>#N/A</v>
      </c>
      <c r="C1963" s="401"/>
      <c r="D1963" s="442">
        <v>0</v>
      </c>
      <c r="E1963" s="450">
        <v>0</v>
      </c>
      <c r="F1963" s="439" t="s">
        <v>13063</v>
      </c>
      <c r="G1963" s="439" t="s">
        <v>14212</v>
      </c>
      <c r="H1963" s="346">
        <v>0</v>
      </c>
      <c r="I1963" s="346">
        <v>0</v>
      </c>
      <c r="J1963" s="395"/>
      <c r="L1963" s="346" t="s">
        <v>932</v>
      </c>
    </row>
    <row r="1964" hidden="1" spans="1:12">
      <c r="A1964" s="401"/>
      <c r="B1964" s="401"/>
      <c r="D1964" s="442">
        <v>0</v>
      </c>
      <c r="E1964" s="450">
        <v>0</v>
      </c>
      <c r="F1964" s="439" t="s">
        <v>13063</v>
      </c>
      <c r="G1964" s="439" t="s">
        <v>14213</v>
      </c>
      <c r="H1964" s="346">
        <v>0</v>
      </c>
      <c r="I1964" s="346">
        <v>0</v>
      </c>
      <c r="J1964" s="395"/>
      <c r="L1964" s="346" t="s">
        <v>932</v>
      </c>
    </row>
    <row r="1965" hidden="1" spans="1:12">
      <c r="A1965" s="401"/>
      <c r="B1965" s="401"/>
      <c r="D1965" s="442">
        <v>0</v>
      </c>
      <c r="E1965" s="450">
        <v>0</v>
      </c>
      <c r="F1965" s="439" t="s">
        <v>13063</v>
      </c>
      <c r="G1965" s="439" t="s">
        <v>14214</v>
      </c>
      <c r="H1965" s="346">
        <v>0</v>
      </c>
      <c r="I1965" s="346">
        <v>0</v>
      </c>
      <c r="J1965" s="395"/>
      <c r="L1965" s="346" t="s">
        <v>932</v>
      </c>
    </row>
    <row r="1966" hidden="1" spans="1:12">
      <c r="A1966" s="421"/>
      <c r="B1966" s="422"/>
      <c r="C1966" s="422"/>
      <c r="D1966" s="422"/>
      <c r="E1966" s="422"/>
      <c r="F1966" s="422"/>
      <c r="G1966" s="422"/>
      <c r="H1966" s="422"/>
      <c r="I1966" s="430"/>
      <c r="J1966" s="430"/>
      <c r="K1966" s="425" t="s">
        <v>14215</v>
      </c>
      <c r="L1966" s="426">
        <v>0</v>
      </c>
    </row>
    <row r="1967" spans="1:12">
      <c r="A1967" s="451"/>
      <c r="B1967" s="452"/>
      <c r="C1967" s="452"/>
      <c r="D1967" s="452"/>
      <c r="E1967" s="452"/>
      <c r="F1967" s="452"/>
      <c r="G1967" s="452"/>
      <c r="H1967" s="452"/>
      <c r="I1967" s="453"/>
      <c r="J1967" s="453"/>
      <c r="K1967" s="454" t="s">
        <v>14216</v>
      </c>
      <c r="L1967" s="455">
        <v>93.02</v>
      </c>
    </row>
  </sheetData>
  <mergeCells count="802">
    <mergeCell ref="B14:F14"/>
    <mergeCell ref="G17:H17"/>
    <mergeCell ref="I17:J17"/>
    <mergeCell ref="B19:C19"/>
    <mergeCell ref="B20:C20"/>
    <mergeCell ref="B21:C21"/>
    <mergeCell ref="B22:C22"/>
    <mergeCell ref="B23:C23"/>
    <mergeCell ref="B24:C24"/>
    <mergeCell ref="B25:C25"/>
    <mergeCell ref="B26:C26"/>
    <mergeCell ref="B29:C29"/>
    <mergeCell ref="B30:C30"/>
    <mergeCell ref="B31:C31"/>
    <mergeCell ref="B32:C32"/>
    <mergeCell ref="B33:C33"/>
    <mergeCell ref="B34:C34"/>
    <mergeCell ref="B35:C35"/>
    <mergeCell ref="B36:C36"/>
    <mergeCell ref="B43:C43"/>
    <mergeCell ref="B44:C44"/>
    <mergeCell ref="B45:C45"/>
    <mergeCell ref="B46:C46"/>
    <mergeCell ref="B47:C47"/>
    <mergeCell ref="B48:C48"/>
    <mergeCell ref="B49:C49"/>
    <mergeCell ref="B50:C50"/>
    <mergeCell ref="B72:C72"/>
    <mergeCell ref="B75:C75"/>
    <mergeCell ref="B78:C78"/>
    <mergeCell ref="B81:C81"/>
    <mergeCell ref="B84:C84"/>
    <mergeCell ref="B87:C87"/>
    <mergeCell ref="B90:C90"/>
    <mergeCell ref="B93:C93"/>
    <mergeCell ref="B99:F99"/>
    <mergeCell ref="G102:H102"/>
    <mergeCell ref="I102:J102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57:C157"/>
    <mergeCell ref="B160:C160"/>
    <mergeCell ref="B163:C163"/>
    <mergeCell ref="B166:C166"/>
    <mergeCell ref="B169:C169"/>
    <mergeCell ref="B172:C172"/>
    <mergeCell ref="B175:C175"/>
    <mergeCell ref="B178:C178"/>
    <mergeCell ref="B184:F184"/>
    <mergeCell ref="G187:H187"/>
    <mergeCell ref="I187:J187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42:C242"/>
    <mergeCell ref="B245:C245"/>
    <mergeCell ref="B248:C248"/>
    <mergeCell ref="B251:C251"/>
    <mergeCell ref="B254:C254"/>
    <mergeCell ref="B257:C257"/>
    <mergeCell ref="B260:C260"/>
    <mergeCell ref="B263:C263"/>
    <mergeCell ref="B269:F269"/>
    <mergeCell ref="G272:H272"/>
    <mergeCell ref="I272:J272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27:C327"/>
    <mergeCell ref="B330:C330"/>
    <mergeCell ref="B333:C333"/>
    <mergeCell ref="B336:C336"/>
    <mergeCell ref="B339:C339"/>
    <mergeCell ref="B342:C342"/>
    <mergeCell ref="B345:C345"/>
    <mergeCell ref="B348:C348"/>
    <mergeCell ref="B354:F354"/>
    <mergeCell ref="G357:H357"/>
    <mergeCell ref="I357:J357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412:C412"/>
    <mergeCell ref="B415:C415"/>
    <mergeCell ref="B418:C418"/>
    <mergeCell ref="B421:C421"/>
    <mergeCell ref="B424:C424"/>
    <mergeCell ref="B427:C427"/>
    <mergeCell ref="B430:C430"/>
    <mergeCell ref="B433:C433"/>
    <mergeCell ref="B439:F439"/>
    <mergeCell ref="G442:H442"/>
    <mergeCell ref="I442:J442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97:C497"/>
    <mergeCell ref="B500:C500"/>
    <mergeCell ref="B503:C503"/>
    <mergeCell ref="B506:C506"/>
    <mergeCell ref="B509:C509"/>
    <mergeCell ref="B512:C512"/>
    <mergeCell ref="B515:C515"/>
    <mergeCell ref="B518:C518"/>
    <mergeCell ref="B524:F524"/>
    <mergeCell ref="G527:H527"/>
    <mergeCell ref="I527:J527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82:C582"/>
    <mergeCell ref="B585:C585"/>
    <mergeCell ref="B588:C588"/>
    <mergeCell ref="B591:C591"/>
    <mergeCell ref="B594:C594"/>
    <mergeCell ref="B597:C597"/>
    <mergeCell ref="B600:C600"/>
    <mergeCell ref="B603:C603"/>
    <mergeCell ref="B609:F609"/>
    <mergeCell ref="G612:H612"/>
    <mergeCell ref="I612:J612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67:C667"/>
    <mergeCell ref="B670:C670"/>
    <mergeCell ref="B673:C673"/>
    <mergeCell ref="B676:C676"/>
    <mergeCell ref="B679:C679"/>
    <mergeCell ref="B682:C682"/>
    <mergeCell ref="B685:C685"/>
    <mergeCell ref="B688:C688"/>
    <mergeCell ref="B694:F694"/>
    <mergeCell ref="G697:H697"/>
    <mergeCell ref="I697:J697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52:C752"/>
    <mergeCell ref="B755:C755"/>
    <mergeCell ref="B758:C758"/>
    <mergeCell ref="B761:C761"/>
    <mergeCell ref="B764:C764"/>
    <mergeCell ref="B767:C767"/>
    <mergeCell ref="B770:C770"/>
    <mergeCell ref="B773:C773"/>
    <mergeCell ref="B779:F779"/>
    <mergeCell ref="G782:H782"/>
    <mergeCell ref="I782:J782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37:C837"/>
    <mergeCell ref="B840:C840"/>
    <mergeCell ref="B843:C843"/>
    <mergeCell ref="B846:C846"/>
    <mergeCell ref="B849:C849"/>
    <mergeCell ref="B852:C852"/>
    <mergeCell ref="B855:C855"/>
    <mergeCell ref="B858:C858"/>
    <mergeCell ref="B864:F864"/>
    <mergeCell ref="G867:H867"/>
    <mergeCell ref="I867:J867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22:C922"/>
    <mergeCell ref="B925:C925"/>
    <mergeCell ref="B928:C928"/>
    <mergeCell ref="B931:C931"/>
    <mergeCell ref="B934:C934"/>
    <mergeCell ref="B937:C937"/>
    <mergeCell ref="B940:C940"/>
    <mergeCell ref="B943:C943"/>
    <mergeCell ref="B949:F949"/>
    <mergeCell ref="G952:H952"/>
    <mergeCell ref="I952:J952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1007:C1007"/>
    <mergeCell ref="B1010:C1010"/>
    <mergeCell ref="B1013:C1013"/>
    <mergeCell ref="B1016:C1016"/>
    <mergeCell ref="B1019:C1019"/>
    <mergeCell ref="B1022:C1022"/>
    <mergeCell ref="B1025:C1025"/>
    <mergeCell ref="B1028:C1028"/>
    <mergeCell ref="B1034:F1034"/>
    <mergeCell ref="G1037:H1037"/>
    <mergeCell ref="I1037:J1037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92:C1092"/>
    <mergeCell ref="B1095:C1095"/>
    <mergeCell ref="B1098:C1098"/>
    <mergeCell ref="B1101:C1101"/>
    <mergeCell ref="B1104:C1104"/>
    <mergeCell ref="B1107:C1107"/>
    <mergeCell ref="B1110:C1110"/>
    <mergeCell ref="B1113:C1113"/>
    <mergeCell ref="B1119:F1119"/>
    <mergeCell ref="G1122:H1122"/>
    <mergeCell ref="I1122:J1122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77:C1177"/>
    <mergeCell ref="B1180:C1180"/>
    <mergeCell ref="B1183:C1183"/>
    <mergeCell ref="B1186:C1186"/>
    <mergeCell ref="B1189:C1189"/>
    <mergeCell ref="B1192:C1192"/>
    <mergeCell ref="B1195:C1195"/>
    <mergeCell ref="B1198:C1198"/>
    <mergeCell ref="B1204:F1204"/>
    <mergeCell ref="G1207:H1207"/>
    <mergeCell ref="I1207:J1207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62:C1262"/>
    <mergeCell ref="B1265:C1265"/>
    <mergeCell ref="B1268:C1268"/>
    <mergeCell ref="B1271:C1271"/>
    <mergeCell ref="B1274:C1274"/>
    <mergeCell ref="B1277:C1277"/>
    <mergeCell ref="B1280:C1280"/>
    <mergeCell ref="B1283:C1283"/>
    <mergeCell ref="B1289:F1289"/>
    <mergeCell ref="G1292:H1292"/>
    <mergeCell ref="I1292:J1292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47:C1347"/>
    <mergeCell ref="B1350:C1350"/>
    <mergeCell ref="B1353:C1353"/>
    <mergeCell ref="B1356:C1356"/>
    <mergeCell ref="B1359:C1359"/>
    <mergeCell ref="B1362:C1362"/>
    <mergeCell ref="B1365:C1365"/>
    <mergeCell ref="B1368:C1368"/>
    <mergeCell ref="B1374:F1374"/>
    <mergeCell ref="G1377:H1377"/>
    <mergeCell ref="I1377:J1377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32:C1432"/>
    <mergeCell ref="B1435:C1435"/>
    <mergeCell ref="B1438:C1438"/>
    <mergeCell ref="B1441:C1441"/>
    <mergeCell ref="B1444:C1444"/>
    <mergeCell ref="B1447:C1447"/>
    <mergeCell ref="B1450:C1450"/>
    <mergeCell ref="B1453:C1453"/>
    <mergeCell ref="B1459:F1459"/>
    <mergeCell ref="G1462:H1462"/>
    <mergeCell ref="I1462:J1462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517:C1517"/>
    <mergeCell ref="B1520:C1520"/>
    <mergeCell ref="B1523:C1523"/>
    <mergeCell ref="B1526:C1526"/>
    <mergeCell ref="B1529:C1529"/>
    <mergeCell ref="B1532:C1532"/>
    <mergeCell ref="B1535:C1535"/>
    <mergeCell ref="B1538:C1538"/>
    <mergeCell ref="B1544:F1544"/>
    <mergeCell ref="G1547:H1547"/>
    <mergeCell ref="I1547:J1547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602:C1602"/>
    <mergeCell ref="B1605:C1605"/>
    <mergeCell ref="B1608:C1608"/>
    <mergeCell ref="B1611:C1611"/>
    <mergeCell ref="B1614:C1614"/>
    <mergeCell ref="B1617:C1617"/>
    <mergeCell ref="B1620:C1620"/>
    <mergeCell ref="B1623:C1623"/>
    <mergeCell ref="B1629:F1629"/>
    <mergeCell ref="G1632:H1632"/>
    <mergeCell ref="I1632:J1632"/>
    <mergeCell ref="B1635:C1635"/>
    <mergeCell ref="B1636:C1636"/>
    <mergeCell ref="B1637:C1637"/>
    <mergeCell ref="B1638:C1638"/>
    <mergeCell ref="B1639:C1639"/>
    <mergeCell ref="B1640:C1640"/>
    <mergeCell ref="B1641:C1641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87:C1687"/>
    <mergeCell ref="B1690:C1690"/>
    <mergeCell ref="B1693:C1693"/>
    <mergeCell ref="B1696:C1696"/>
    <mergeCell ref="B1699:C1699"/>
    <mergeCell ref="B1702:C1702"/>
    <mergeCell ref="B1705:C1705"/>
    <mergeCell ref="B1708:C1708"/>
    <mergeCell ref="B1714:F1714"/>
    <mergeCell ref="G1717:H1717"/>
    <mergeCell ref="I1717:J1717"/>
    <mergeCell ref="B1720:C1720"/>
    <mergeCell ref="B1721:C1721"/>
    <mergeCell ref="B1722:C1722"/>
    <mergeCell ref="B1723:C1723"/>
    <mergeCell ref="B1724:C1724"/>
    <mergeCell ref="B1725:C1725"/>
    <mergeCell ref="B1726:C1726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72:C1772"/>
    <mergeCell ref="B1775:C1775"/>
    <mergeCell ref="B1778:C1778"/>
    <mergeCell ref="B1781:C1781"/>
    <mergeCell ref="B1784:C1784"/>
    <mergeCell ref="B1787:C1787"/>
    <mergeCell ref="B1790:C1790"/>
    <mergeCell ref="B1793:C1793"/>
    <mergeCell ref="B1799:F1799"/>
    <mergeCell ref="G1802:H1802"/>
    <mergeCell ref="I1802:J1802"/>
    <mergeCell ref="B1805:C1805"/>
    <mergeCell ref="B1806:C1806"/>
    <mergeCell ref="B1807:C1807"/>
    <mergeCell ref="B1808:C1808"/>
    <mergeCell ref="B1809:C1809"/>
    <mergeCell ref="B1810:C1810"/>
    <mergeCell ref="B1811:C1811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57:C1857"/>
    <mergeCell ref="B1860:C1860"/>
    <mergeCell ref="B1863:C1863"/>
    <mergeCell ref="B1866:C1866"/>
    <mergeCell ref="B1869:C1869"/>
    <mergeCell ref="B1872:C1872"/>
    <mergeCell ref="B1875:C1875"/>
    <mergeCell ref="B1878:C1878"/>
    <mergeCell ref="B1884:F1884"/>
    <mergeCell ref="G1887:H1887"/>
    <mergeCell ref="I1887:J1887"/>
    <mergeCell ref="B1889:C1889"/>
    <mergeCell ref="B1890:C1890"/>
    <mergeCell ref="B1891:C1891"/>
    <mergeCell ref="B1892:C1892"/>
    <mergeCell ref="B1893:C1893"/>
    <mergeCell ref="B1894:C1894"/>
    <mergeCell ref="B1895:C1895"/>
    <mergeCell ref="B1896:C1896"/>
    <mergeCell ref="B1899:C1899"/>
    <mergeCell ref="B1900:C1900"/>
    <mergeCell ref="B1901:C1901"/>
    <mergeCell ref="B1902:C1902"/>
    <mergeCell ref="B1903:C1903"/>
    <mergeCell ref="B1904:C1904"/>
    <mergeCell ref="B1905:C1905"/>
    <mergeCell ref="B1906:C1906"/>
    <mergeCell ref="B1913:C1913"/>
    <mergeCell ref="B1914:C1914"/>
    <mergeCell ref="B1915:C1915"/>
    <mergeCell ref="B1916:C1916"/>
    <mergeCell ref="B1917:C1917"/>
    <mergeCell ref="B1918:C1918"/>
    <mergeCell ref="B1919:C1919"/>
    <mergeCell ref="B1920:C1920"/>
    <mergeCell ref="B1942:C1942"/>
    <mergeCell ref="B1945:C1945"/>
    <mergeCell ref="B1948:C1948"/>
    <mergeCell ref="B1951:C1951"/>
    <mergeCell ref="B1954:C1954"/>
    <mergeCell ref="B1957:C1957"/>
    <mergeCell ref="B1960:C1960"/>
    <mergeCell ref="B1963:C1963"/>
  </mergeCells>
  <printOptions horizontalCentered="1"/>
  <pageMargins left="0.590551181102362" right="0.590551181102362" top="0.196850393700787" bottom="0.590551181102362" header="0" footer="0.118110236220472"/>
  <pageSetup paperSize="9" scale="57" fitToHeight="56" orientation="landscape"/>
  <headerFooter>
    <oddFooter>&amp;L&amp;G&amp;R&amp;9Projeto Executivo de Engenharia, Estudos e
Orçamentos para a Construção de Ponte Rodoviária
em Concreto Armado - Rodovia Vicinal</oddFooter>
  </headerFooter>
  <rowBreaks count="13" manualBreakCount="13">
    <brk id="267" max="11" man="1"/>
    <brk id="437" max="11" man="1"/>
    <brk id="607" max="11" man="1"/>
    <brk id="692" max="11" man="1"/>
    <brk id="777" max="11" man="1"/>
    <brk id="862" max="11" man="1"/>
    <brk id="1032" max="11" man="1"/>
    <brk id="1202" max="11" man="1"/>
    <brk id="1287" max="11" man="1"/>
    <brk id="1372" max="11" man="1"/>
    <brk id="1712" max="11" man="1"/>
    <brk id="1797" max="11" man="1"/>
    <brk id="1882" max="11" man="1"/>
  </rowBreaks>
  <drawing r:id="rId1"/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70C0"/>
  </sheetPr>
  <dimension ref="A3:O1287"/>
  <sheetViews>
    <sheetView showGridLines="0" view="pageBreakPreview" zoomScaleNormal="100" workbookViewId="0">
      <selection activeCell="A1" sqref="A1"/>
    </sheetView>
  </sheetViews>
  <sheetFormatPr defaultColWidth="8.88571428571429" defaultRowHeight="15"/>
  <cols>
    <col min="1" max="1" width="22.552380952381" customWidth="1"/>
    <col min="2" max="2" width="7.33333333333333" customWidth="1"/>
    <col min="3" max="3" width="70.4380952380952" customWidth="1"/>
    <col min="4" max="4" width="14" customWidth="1"/>
    <col min="5" max="5" width="17.1047619047619" customWidth="1"/>
    <col min="6" max="6" width="19.552380952381" customWidth="1"/>
    <col min="7" max="8" width="12.6666666666667" customWidth="1"/>
    <col min="9" max="9" width="13.8857142857143" customWidth="1"/>
    <col min="10" max="10" width="13" customWidth="1"/>
    <col min="11" max="11" width="9.1047619047619" customWidth="1"/>
    <col min="12" max="12" width="18.552380952381" style="365" customWidth="1"/>
    <col min="14" max="14" width="9.88571428571429" customWidth="1"/>
    <col min="15" max="15" width="7.78095238095238" customWidth="1"/>
  </cols>
  <sheetData>
    <row r="3" ht="15.75"/>
    <row r="4" ht="14.4" customHeight="1" spans="1:15">
      <c r="A4" s="366" t="s">
        <v>17</v>
      </c>
      <c r="B4" s="367" t="s">
        <v>18</v>
      </c>
      <c r="C4" s="368"/>
      <c r="D4" s="368"/>
      <c r="E4" s="369"/>
      <c r="F4" s="369"/>
      <c r="G4" s="369"/>
      <c r="H4" s="369"/>
      <c r="I4" s="369"/>
      <c r="J4" s="369"/>
      <c r="K4" s="369"/>
      <c r="L4" s="370"/>
    </row>
    <row r="5" spans="1:15">
      <c r="A5" s="371" t="s">
        <v>2</v>
      </c>
      <c r="B5" s="372" t="s">
        <v>19</v>
      </c>
      <c r="C5" s="372"/>
      <c r="D5" s="372"/>
      <c r="E5" s="373"/>
      <c r="F5" s="373"/>
      <c r="G5" s="373"/>
      <c r="H5" s="373"/>
      <c r="I5" s="373"/>
      <c r="J5" s="373"/>
      <c r="K5" s="373"/>
      <c r="L5" s="374"/>
    </row>
    <row r="6" spans="1:15">
      <c r="A6" s="371" t="s">
        <v>3</v>
      </c>
      <c r="B6" s="372" t="s">
        <v>20</v>
      </c>
      <c r="C6" s="372"/>
      <c r="D6" s="373"/>
      <c r="E6" s="373"/>
      <c r="F6" s="373"/>
      <c r="G6" s="373"/>
      <c r="H6" s="373"/>
      <c r="I6" s="373"/>
      <c r="J6" s="372"/>
      <c r="K6" s="372"/>
      <c r="L6" s="374"/>
    </row>
    <row r="7" spans="1:15">
      <c r="A7" s="371" t="s">
        <v>4</v>
      </c>
      <c r="B7" s="372" t="s">
        <v>21</v>
      </c>
      <c r="C7" s="372"/>
      <c r="D7" s="373"/>
      <c r="E7" s="373"/>
      <c r="F7" s="373"/>
      <c r="G7" s="373"/>
      <c r="H7" s="373"/>
      <c r="I7" s="373"/>
      <c r="J7" s="372"/>
      <c r="K7" s="372"/>
      <c r="L7" s="374"/>
    </row>
    <row r="8" spans="1:15">
      <c r="A8" s="371" t="s">
        <v>22</v>
      </c>
      <c r="B8" s="372" t="s">
        <v>23</v>
      </c>
      <c r="C8" s="372"/>
      <c r="D8" s="373"/>
      <c r="E8" s="29"/>
      <c r="F8" s="29"/>
      <c r="G8" s="29"/>
      <c r="H8" s="29"/>
      <c r="I8" s="29"/>
      <c r="J8" s="375" t="s">
        <v>6</v>
      </c>
      <c r="K8" s="376">
        <v>90</v>
      </c>
      <c r="L8" s="377" t="s">
        <v>7</v>
      </c>
    </row>
    <row r="9" spans="1:15">
      <c r="A9" s="371" t="s">
        <v>8</v>
      </c>
      <c r="B9" s="378">
        <v>15</v>
      </c>
      <c r="C9" s="379" t="s">
        <v>9</v>
      </c>
      <c r="D9" s="29"/>
      <c r="E9" s="29"/>
      <c r="F9" s="29"/>
      <c r="G9" s="29"/>
      <c r="H9" s="29"/>
      <c r="I9" s="29"/>
      <c r="J9" s="380"/>
      <c r="L9" s="377"/>
    </row>
    <row r="10" spans="1:15">
      <c r="A10" s="371" t="s">
        <v>10</v>
      </c>
      <c r="B10" s="378">
        <v>6</v>
      </c>
      <c r="C10" s="379" t="s">
        <v>9</v>
      </c>
      <c r="D10" s="29"/>
      <c r="E10" s="29"/>
      <c r="F10" s="29"/>
      <c r="G10" s="29"/>
      <c r="H10" s="29"/>
      <c r="I10" s="29"/>
      <c r="J10" s="380"/>
      <c r="K10" s="381"/>
      <c r="L10" s="377"/>
    </row>
    <row r="11" ht="14.4" customHeight="1" spans="1:15">
      <c r="A11" s="371" t="s">
        <v>11</v>
      </c>
      <c r="B11" s="372" t="s">
        <v>14170</v>
      </c>
      <c r="C11" s="382"/>
      <c r="D11" s="382"/>
      <c r="E11" s="29"/>
      <c r="F11" s="29"/>
      <c r="G11" s="29"/>
      <c r="H11" s="29"/>
      <c r="I11" s="29"/>
      <c r="J11" s="383" t="s">
        <v>14</v>
      </c>
      <c r="K11" s="384">
        <v>120</v>
      </c>
      <c r="L11" s="377" t="s">
        <v>15</v>
      </c>
    </row>
    <row r="12" customHeight="1" spans="1:15">
      <c r="A12" s="385" t="s">
        <v>16</v>
      </c>
      <c r="B12" s="386" t="s">
        <v>14171</v>
      </c>
      <c r="C12" s="387"/>
      <c r="D12" s="387"/>
      <c r="E12" s="388"/>
      <c r="F12" s="388"/>
      <c r="G12" s="388"/>
      <c r="H12" s="388"/>
      <c r="I12" s="388"/>
      <c r="J12" s="388"/>
      <c r="K12" s="389"/>
      <c r="L12" s="390"/>
    </row>
    <row r="14" spans="1:15">
      <c r="A14" s="391" t="s">
        <v>14172</v>
      </c>
      <c r="B14" s="392"/>
      <c r="C14" s="392"/>
      <c r="D14" s="392"/>
      <c r="E14" s="392"/>
      <c r="F14" s="392"/>
      <c r="G14" s="393"/>
      <c r="H14" s="393"/>
      <c r="I14" s="393"/>
      <c r="J14" s="393"/>
      <c r="K14" s="393"/>
      <c r="L14" s="394"/>
      <c r="N14" s="395"/>
      <c r="O14" s="395"/>
    </row>
    <row r="15" spans="1:15">
      <c r="A15" s="396">
        <v>407819</v>
      </c>
      <c r="B15" s="397" t="s">
        <v>100</v>
      </c>
      <c r="C15" s="397"/>
      <c r="D15" s="397"/>
      <c r="E15" s="397"/>
      <c r="F15" s="397"/>
      <c r="G15" s="397"/>
      <c r="H15" s="397" t="s">
        <v>101</v>
      </c>
      <c r="I15" s="398">
        <v>46023</v>
      </c>
      <c r="J15" s="397"/>
      <c r="K15" s="399" t="s">
        <v>14173</v>
      </c>
      <c r="L15" s="400">
        <v>0</v>
      </c>
      <c r="N15" s="395"/>
      <c r="O15" s="395"/>
    </row>
    <row r="16" spans="1:15">
      <c r="A16" s="401"/>
      <c r="H16" s="402" t="s">
        <v>14174</v>
      </c>
      <c r="I16" s="403">
        <v>1</v>
      </c>
      <c r="J16" s="404" t="s">
        <v>101</v>
      </c>
      <c r="K16" s="402" t="s">
        <v>14175</v>
      </c>
      <c r="L16" s="346">
        <v>0</v>
      </c>
      <c r="N16" s="395"/>
      <c r="O16" s="395"/>
    </row>
    <row r="17" hidden="1" spans="1:15">
      <c r="A17" s="405"/>
      <c r="B17" s="405"/>
      <c r="C17" s="405"/>
      <c r="D17" s="406"/>
      <c r="E17" s="406"/>
      <c r="F17" s="406"/>
      <c r="G17" s="407" t="s">
        <v>14176</v>
      </c>
      <c r="H17" s="408"/>
      <c r="I17" s="407" t="s">
        <v>14177</v>
      </c>
      <c r="J17" s="408"/>
      <c r="K17" s="405"/>
      <c r="L17" s="409" t="s">
        <v>14178</v>
      </c>
      <c r="N17" s="395"/>
      <c r="O17" s="395"/>
    </row>
    <row r="18" hidden="1" spans="1:15">
      <c r="A18" s="410" t="s">
        <v>14179</v>
      </c>
      <c r="B18" s="411"/>
      <c r="C18" s="412"/>
      <c r="D18" s="412"/>
      <c r="E18" s="413" t="s">
        <v>74</v>
      </c>
      <c r="F18" s="412"/>
      <c r="G18" s="413" t="s">
        <v>14180</v>
      </c>
      <c r="H18" s="413" t="s">
        <v>14181</v>
      </c>
      <c r="I18" s="413" t="s">
        <v>14182</v>
      </c>
      <c r="J18" s="413" t="s">
        <v>14183</v>
      </c>
      <c r="K18" s="411"/>
      <c r="L18" s="414" t="s">
        <v>14184</v>
      </c>
      <c r="N18" s="395"/>
      <c r="O18" s="395"/>
    </row>
    <row r="19" hidden="1" spans="1:15">
      <c r="A19" s="404">
        <v>0</v>
      </c>
      <c r="B19" s="415" t="e">
        <v>#N/A</v>
      </c>
      <c r="C19" s="415"/>
      <c r="E19" s="416">
        <v>0</v>
      </c>
      <c r="F19" s="334"/>
      <c r="G19" s="346">
        <v>0</v>
      </c>
      <c r="H19" s="417">
        <v>1</v>
      </c>
      <c r="I19" s="395" t="e">
        <v>#N/A</v>
      </c>
      <c r="J19" s="418" t="e">
        <v>#N/A</v>
      </c>
      <c r="K19" s="402"/>
      <c r="L19" s="395" t="s">
        <v>932</v>
      </c>
      <c r="N19" s="395" t="s">
        <v>932</v>
      </c>
      <c r="O19" s="395"/>
    </row>
    <row r="20" hidden="1" spans="1:15">
      <c r="A20" s="404">
        <v>0</v>
      </c>
      <c r="B20" s="404" t="e">
        <v>#N/A</v>
      </c>
      <c r="C20" s="404"/>
      <c r="D20" s="334"/>
      <c r="E20" s="416">
        <v>0</v>
      </c>
      <c r="F20" s="334"/>
      <c r="G20" s="346">
        <v>0</v>
      </c>
      <c r="H20" s="417">
        <v>1</v>
      </c>
      <c r="I20" s="346" t="e">
        <v>#N/A</v>
      </c>
      <c r="J20" s="419" t="e">
        <v>#N/A</v>
      </c>
      <c r="K20" s="420"/>
      <c r="L20" s="395" t="s">
        <v>932</v>
      </c>
      <c r="N20" s="395" t="s">
        <v>932</v>
      </c>
      <c r="O20" s="395"/>
    </row>
    <row r="21" hidden="1" spans="1:15">
      <c r="A21" s="404">
        <v>0</v>
      </c>
      <c r="B21" s="404" t="e">
        <v>#N/A</v>
      </c>
      <c r="C21" s="404"/>
      <c r="D21" s="334"/>
      <c r="E21" s="416">
        <v>0</v>
      </c>
      <c r="F21" s="334"/>
      <c r="G21" s="346">
        <v>0</v>
      </c>
      <c r="H21" s="417">
        <v>1</v>
      </c>
      <c r="I21" s="346" t="e">
        <v>#N/A</v>
      </c>
      <c r="J21" s="419" t="e">
        <v>#N/A</v>
      </c>
      <c r="K21" s="420"/>
      <c r="L21" s="395" t="s">
        <v>932</v>
      </c>
      <c r="N21" s="395" t="s">
        <v>932</v>
      </c>
      <c r="O21" s="395"/>
    </row>
    <row r="22" hidden="1" spans="1:15">
      <c r="A22" s="404">
        <v>0</v>
      </c>
      <c r="B22" s="404" t="e">
        <v>#N/A</v>
      </c>
      <c r="C22" s="404"/>
      <c r="D22" s="334"/>
      <c r="E22" s="416">
        <v>0</v>
      </c>
      <c r="F22" s="334"/>
      <c r="G22" s="346">
        <v>0</v>
      </c>
      <c r="H22" s="417">
        <v>1</v>
      </c>
      <c r="I22" s="346" t="e">
        <v>#N/A</v>
      </c>
      <c r="J22" s="419" t="e">
        <v>#N/A</v>
      </c>
      <c r="K22" s="420"/>
      <c r="L22" s="395" t="s">
        <v>932</v>
      </c>
      <c r="N22" s="395" t="s">
        <v>932</v>
      </c>
      <c r="O22" s="395"/>
    </row>
    <row r="23" hidden="1" spans="1:15">
      <c r="A23" s="404">
        <v>0</v>
      </c>
      <c r="B23" s="404" t="e">
        <v>#N/A</v>
      </c>
      <c r="C23" s="404"/>
      <c r="D23" s="334"/>
      <c r="E23" s="416">
        <v>0</v>
      </c>
      <c r="F23" s="334"/>
      <c r="G23" s="346">
        <v>0</v>
      </c>
      <c r="H23" s="417">
        <v>1</v>
      </c>
      <c r="I23" s="346" t="e">
        <v>#N/A</v>
      </c>
      <c r="J23" s="419" t="e">
        <v>#N/A</v>
      </c>
      <c r="K23" s="420"/>
      <c r="L23" s="395" t="s">
        <v>932</v>
      </c>
      <c r="N23" s="395" t="s">
        <v>932</v>
      </c>
      <c r="O23" s="395"/>
    </row>
    <row r="24" hidden="1" spans="1:15">
      <c r="A24" s="404">
        <v>0</v>
      </c>
      <c r="B24" s="404" t="e">
        <v>#N/A</v>
      </c>
      <c r="C24" s="404"/>
      <c r="D24" s="334"/>
      <c r="E24" s="416">
        <v>0</v>
      </c>
      <c r="F24" s="334"/>
      <c r="G24" s="346">
        <v>0</v>
      </c>
      <c r="H24" s="417">
        <v>1</v>
      </c>
      <c r="I24" s="346" t="e">
        <v>#N/A</v>
      </c>
      <c r="J24" s="419" t="e">
        <v>#N/A</v>
      </c>
      <c r="K24" s="420"/>
      <c r="L24" s="395" t="s">
        <v>932</v>
      </c>
      <c r="N24" s="395" t="s">
        <v>932</v>
      </c>
      <c r="O24" s="395"/>
    </row>
    <row r="25" hidden="1" spans="1:15">
      <c r="A25" s="404">
        <v>0</v>
      </c>
      <c r="B25" s="404" t="e">
        <v>#N/A</v>
      </c>
      <c r="C25" s="404"/>
      <c r="D25" s="334"/>
      <c r="E25" s="416">
        <v>0</v>
      </c>
      <c r="F25" s="334"/>
      <c r="G25" s="346">
        <v>0</v>
      </c>
      <c r="H25" s="417">
        <v>1</v>
      </c>
      <c r="I25" s="346" t="e">
        <v>#N/A</v>
      </c>
      <c r="J25" s="419" t="e">
        <v>#N/A</v>
      </c>
      <c r="K25" s="420"/>
      <c r="L25" s="395" t="s">
        <v>932</v>
      </c>
      <c r="N25" s="395" t="s">
        <v>932</v>
      </c>
      <c r="O25" s="395"/>
    </row>
    <row r="26" hidden="1" spans="1:15">
      <c r="A26" s="404">
        <v>0</v>
      </c>
      <c r="B26" s="404" t="e">
        <v>#N/A</v>
      </c>
      <c r="C26" s="404"/>
      <c r="D26" s="334"/>
      <c r="E26" s="416">
        <v>0</v>
      </c>
      <c r="F26" s="334"/>
      <c r="G26" s="346">
        <v>0</v>
      </c>
      <c r="H26" s="417">
        <v>1</v>
      </c>
      <c r="I26" s="346" t="e">
        <v>#N/A</v>
      </c>
      <c r="J26" s="419" t="e">
        <v>#N/A</v>
      </c>
      <c r="K26" s="420"/>
      <c r="L26" s="395" t="s">
        <v>932</v>
      </c>
      <c r="N26" s="395" t="s">
        <v>932</v>
      </c>
      <c r="O26" s="395"/>
    </row>
    <row r="27" hidden="1" spans="1:15">
      <c r="A27" s="421"/>
      <c r="B27" s="422"/>
      <c r="C27" s="422"/>
      <c r="D27" s="422"/>
      <c r="E27" s="423"/>
      <c r="F27" s="424"/>
      <c r="G27" s="422"/>
      <c r="H27" s="422"/>
      <c r="I27" s="422"/>
      <c r="J27" s="422"/>
      <c r="K27" s="425" t="s">
        <v>14185</v>
      </c>
      <c r="L27" s="426">
        <v>0</v>
      </c>
      <c r="N27" s="427">
        <v>0</v>
      </c>
      <c r="O27" s="395"/>
    </row>
    <row r="28" spans="1:15">
      <c r="A28" s="428" t="s">
        <v>14186</v>
      </c>
      <c r="B28" s="429"/>
      <c r="C28" s="429"/>
      <c r="D28" s="430"/>
      <c r="E28" s="431" t="s">
        <v>74</v>
      </c>
      <c r="F28" s="431" t="s">
        <v>1123</v>
      </c>
      <c r="G28" s="430"/>
      <c r="H28" s="422"/>
      <c r="I28" s="431" t="s">
        <v>14177</v>
      </c>
      <c r="J28" s="430"/>
      <c r="K28" s="430"/>
      <c r="L28" s="432" t="s">
        <v>14187</v>
      </c>
      <c r="N28" s="395"/>
      <c r="O28" s="395"/>
    </row>
    <row r="29" spans="1:15">
      <c r="A29" s="404" t="s">
        <v>937</v>
      </c>
      <c r="B29" s="433" t="s">
        <v>938</v>
      </c>
      <c r="C29" s="433"/>
      <c r="D29" s="334"/>
      <c r="E29" s="434">
        <v>0.09</v>
      </c>
      <c r="F29" s="333" t="s">
        <v>104</v>
      </c>
      <c r="G29" s="334"/>
      <c r="H29" s="334"/>
      <c r="I29" s="435">
        <v>26.2149</v>
      </c>
      <c r="J29" s="334"/>
      <c r="K29" s="334"/>
      <c r="L29" s="346">
        <v>2.359341</v>
      </c>
      <c r="N29" s="395">
        <v>2.359341</v>
      </c>
      <c r="O29" s="395"/>
    </row>
    <row r="30" spans="1:15">
      <c r="A30" s="404" t="s">
        <v>939</v>
      </c>
      <c r="B30" s="404" t="s">
        <v>940</v>
      </c>
      <c r="C30" s="404"/>
      <c r="D30" s="334"/>
      <c r="E30" s="434">
        <v>0.09</v>
      </c>
      <c r="F30" s="333" t="s">
        <v>104</v>
      </c>
      <c r="G30" s="334"/>
      <c r="H30" s="334"/>
      <c r="I30" s="435">
        <v>35.4472</v>
      </c>
      <c r="J30" s="334"/>
      <c r="K30" s="334"/>
      <c r="L30" s="346">
        <v>3.190248</v>
      </c>
      <c r="N30" s="395">
        <v>3.190248</v>
      </c>
      <c r="O30" s="395"/>
    </row>
    <row r="31" hidden="1" spans="1:15">
      <c r="A31" s="404">
        <v>0</v>
      </c>
      <c r="B31" s="404" t="e">
        <v>#N/A</v>
      </c>
      <c r="C31" s="404"/>
      <c r="D31" s="334"/>
      <c r="E31" s="434">
        <v>0</v>
      </c>
      <c r="F31" s="333" t="s">
        <v>104</v>
      </c>
      <c r="G31" s="334"/>
      <c r="H31" s="334"/>
      <c r="I31" s="435" t="e">
        <v>#N/A</v>
      </c>
      <c r="J31" s="334"/>
      <c r="K31" s="334"/>
      <c r="L31" s="346" t="s">
        <v>932</v>
      </c>
      <c r="N31" s="395" t="s">
        <v>932</v>
      </c>
      <c r="O31" s="395"/>
    </row>
    <row r="32" hidden="1" spans="1:15">
      <c r="A32" s="404">
        <v>0</v>
      </c>
      <c r="B32" s="404" t="e">
        <v>#N/A</v>
      </c>
      <c r="C32" s="404"/>
      <c r="D32" s="334"/>
      <c r="E32" s="434">
        <v>0</v>
      </c>
      <c r="F32" s="333" t="s">
        <v>104</v>
      </c>
      <c r="G32" s="334"/>
      <c r="H32" s="334"/>
      <c r="I32" s="435" t="e">
        <v>#N/A</v>
      </c>
      <c r="J32" s="334"/>
      <c r="K32" s="334"/>
      <c r="L32" s="346" t="s">
        <v>932</v>
      </c>
      <c r="N32" s="395" t="s">
        <v>932</v>
      </c>
      <c r="O32" s="395"/>
    </row>
    <row r="33" hidden="1" spans="1:15">
      <c r="A33" s="404">
        <v>0</v>
      </c>
      <c r="B33" s="404" t="e">
        <v>#N/A</v>
      </c>
      <c r="C33" s="404"/>
      <c r="D33" s="334"/>
      <c r="E33" s="434">
        <v>0</v>
      </c>
      <c r="F33" s="333" t="s">
        <v>104</v>
      </c>
      <c r="G33" s="334"/>
      <c r="H33" s="334"/>
      <c r="I33" s="435" t="e">
        <v>#N/A</v>
      </c>
      <c r="J33" s="334"/>
      <c r="K33" s="334"/>
      <c r="L33" s="346" t="s">
        <v>932</v>
      </c>
      <c r="N33" s="395" t="s">
        <v>932</v>
      </c>
      <c r="O33" s="395"/>
    </row>
    <row r="34" hidden="1" spans="1:15">
      <c r="A34" s="404">
        <v>0</v>
      </c>
      <c r="B34" s="404" t="e">
        <v>#N/A</v>
      </c>
      <c r="C34" s="404"/>
      <c r="D34" s="334"/>
      <c r="E34" s="434">
        <v>0</v>
      </c>
      <c r="F34" s="333" t="s">
        <v>104</v>
      </c>
      <c r="G34" s="334"/>
      <c r="H34" s="334"/>
      <c r="I34" s="435" t="e">
        <v>#N/A</v>
      </c>
      <c r="J34" s="334"/>
      <c r="K34" s="334"/>
      <c r="L34" s="346" t="s">
        <v>932</v>
      </c>
      <c r="N34" s="395" t="s">
        <v>932</v>
      </c>
      <c r="O34" s="395"/>
    </row>
    <row r="35" hidden="1" spans="1:15">
      <c r="A35" s="404">
        <v>0</v>
      </c>
      <c r="B35" s="404" t="e">
        <v>#N/A</v>
      </c>
      <c r="C35" s="404"/>
      <c r="D35" s="334"/>
      <c r="E35" s="434">
        <v>0</v>
      </c>
      <c r="F35" s="333" t="s">
        <v>104</v>
      </c>
      <c r="G35" s="334"/>
      <c r="H35" s="334"/>
      <c r="I35" s="435" t="e">
        <v>#N/A</v>
      </c>
      <c r="J35" s="334"/>
      <c r="K35" s="334"/>
      <c r="L35" s="346" t="s">
        <v>932</v>
      </c>
      <c r="N35" s="395" t="s">
        <v>932</v>
      </c>
      <c r="O35" s="395"/>
    </row>
    <row r="36" hidden="1" spans="1:15">
      <c r="A36" s="404">
        <v>0</v>
      </c>
      <c r="B36" s="436" t="e">
        <v>#N/A</v>
      </c>
      <c r="C36" s="436"/>
      <c r="D36" s="334"/>
      <c r="E36" s="434">
        <v>0</v>
      </c>
      <c r="F36" s="333" t="s">
        <v>104</v>
      </c>
      <c r="G36" s="334"/>
      <c r="H36" s="334"/>
      <c r="I36" s="435" t="e">
        <v>#N/A</v>
      </c>
      <c r="J36" s="334"/>
      <c r="K36" s="334"/>
      <c r="L36" s="346" t="s">
        <v>932</v>
      </c>
      <c r="N36" s="395" t="s">
        <v>932</v>
      </c>
      <c r="O36" s="395"/>
    </row>
    <row r="37" spans="1:15">
      <c r="A37" s="421"/>
      <c r="B37" s="62"/>
      <c r="C37" s="62"/>
      <c r="D37" s="422"/>
      <c r="E37" s="423"/>
      <c r="F37" s="424"/>
      <c r="G37" s="422"/>
      <c r="H37" s="422"/>
      <c r="I37" s="422"/>
      <c r="J37" s="422"/>
      <c r="K37" s="425" t="s">
        <v>14188</v>
      </c>
      <c r="L37" s="426">
        <v>5.549589</v>
      </c>
      <c r="N37" s="427">
        <v>5.549589</v>
      </c>
      <c r="O37" s="395"/>
    </row>
    <row r="38" spans="1:15">
      <c r="I38" s="437"/>
      <c r="K38" s="383" t="s">
        <v>14189</v>
      </c>
      <c r="L38" s="427">
        <v>5.549589</v>
      </c>
      <c r="N38" s="395">
        <v>5.549589</v>
      </c>
      <c r="O38" s="395"/>
    </row>
    <row r="39" spans="1:15">
      <c r="K39" s="383" t="s">
        <v>14190</v>
      </c>
      <c r="L39" s="427">
        <v>5.549589</v>
      </c>
      <c r="N39" s="395">
        <v>5.549589</v>
      </c>
      <c r="O39" s="395">
        <v>0</v>
      </c>
    </row>
    <row r="40" spans="1:15">
      <c r="K40" s="383" t="s">
        <v>14191</v>
      </c>
      <c r="L40" s="427">
        <v>0</v>
      </c>
      <c r="N40" s="395"/>
      <c r="O40" s="395"/>
    </row>
    <row r="41" spans="1:15">
      <c r="K41" s="383" t="s">
        <v>14192</v>
      </c>
      <c r="L41" s="395">
        <v>0</v>
      </c>
      <c r="N41" s="395"/>
      <c r="O41" s="395"/>
    </row>
    <row r="42" spans="1:15">
      <c r="A42" s="428" t="s">
        <v>14193</v>
      </c>
      <c r="B42" s="430"/>
      <c r="C42" s="430"/>
      <c r="D42" s="430"/>
      <c r="E42" s="431" t="s">
        <v>74</v>
      </c>
      <c r="F42" s="431" t="s">
        <v>1123</v>
      </c>
      <c r="G42" s="430"/>
      <c r="H42" s="430"/>
      <c r="I42" s="425" t="s">
        <v>75</v>
      </c>
      <c r="J42" s="430"/>
      <c r="K42" s="430"/>
      <c r="L42" s="426" t="s">
        <v>14194</v>
      </c>
      <c r="N42" s="395"/>
      <c r="O42" s="395"/>
    </row>
    <row r="43" spans="1:15">
      <c r="A43" s="404" t="s">
        <v>843</v>
      </c>
      <c r="B43" s="433" t="s">
        <v>14219</v>
      </c>
      <c r="C43" s="433"/>
      <c r="D43" s="334"/>
      <c r="E43" s="434">
        <v>1.1</v>
      </c>
      <c r="F43" s="333" t="s">
        <v>101</v>
      </c>
      <c r="G43" s="334"/>
      <c r="I43" s="395">
        <v>6.47139450553941</v>
      </c>
      <c r="J43" s="395"/>
      <c r="K43" s="395"/>
      <c r="L43" s="346">
        <v>7.11853395609335</v>
      </c>
      <c r="N43" s="395"/>
      <c r="O43" s="395"/>
    </row>
    <row r="44" spans="1:15">
      <c r="A44" s="404" t="s">
        <v>14220</v>
      </c>
      <c r="B44" s="404" t="s">
        <v>14221</v>
      </c>
      <c r="C44" s="404"/>
      <c r="D44" s="334"/>
      <c r="E44" s="434">
        <v>0.015</v>
      </c>
      <c r="F44" s="333" t="s">
        <v>101</v>
      </c>
      <c r="G44" s="334"/>
      <c r="I44" s="395">
        <v>11.8043</v>
      </c>
      <c r="J44" s="395"/>
      <c r="K44" s="395"/>
      <c r="L44" s="346">
        <v>0.1770645</v>
      </c>
      <c r="N44" s="395"/>
      <c r="O44" s="395"/>
    </row>
    <row r="45" hidden="1" spans="1:15">
      <c r="A45" s="404">
        <v>0</v>
      </c>
      <c r="B45" s="404" t="e">
        <v>#N/A</v>
      </c>
      <c r="C45" s="404"/>
      <c r="D45" s="334"/>
      <c r="E45" s="434">
        <v>0</v>
      </c>
      <c r="F45" s="333" t="e">
        <v>#N/A</v>
      </c>
      <c r="G45" s="334"/>
      <c r="I45" s="395" t="e">
        <v>#N/A</v>
      </c>
      <c r="J45" s="395"/>
      <c r="K45" s="395"/>
      <c r="L45" s="346" t="s">
        <v>932</v>
      </c>
      <c r="N45" s="395"/>
      <c r="O45" s="395"/>
    </row>
    <row r="46" hidden="1" spans="1:15">
      <c r="A46" s="404">
        <v>0</v>
      </c>
      <c r="B46" s="404" t="e">
        <v>#N/A</v>
      </c>
      <c r="C46" s="404"/>
      <c r="D46" s="334"/>
      <c r="E46" s="434">
        <v>0</v>
      </c>
      <c r="F46" s="333" t="e">
        <v>#N/A</v>
      </c>
      <c r="G46" s="334"/>
      <c r="I46" s="395" t="e">
        <v>#N/A</v>
      </c>
      <c r="J46" s="395"/>
      <c r="K46" s="395"/>
      <c r="L46" s="346" t="s">
        <v>932</v>
      </c>
      <c r="N46" s="395"/>
      <c r="O46" s="395"/>
    </row>
    <row r="47" hidden="1" spans="1:15">
      <c r="A47" s="404">
        <v>0</v>
      </c>
      <c r="B47" s="404" t="e">
        <v>#N/A</v>
      </c>
      <c r="C47" s="404"/>
      <c r="D47" s="334"/>
      <c r="E47" s="434">
        <v>0</v>
      </c>
      <c r="F47" s="333" t="e">
        <v>#N/A</v>
      </c>
      <c r="G47" s="334"/>
      <c r="H47" s="334"/>
      <c r="I47" s="395" t="e">
        <v>#N/A</v>
      </c>
      <c r="J47" s="395"/>
      <c r="K47" s="395"/>
      <c r="L47" s="346" t="s">
        <v>932</v>
      </c>
      <c r="N47" s="395"/>
      <c r="O47" s="395"/>
    </row>
    <row r="48" hidden="1" spans="1:15">
      <c r="A48" s="404">
        <v>0</v>
      </c>
      <c r="B48" s="404" t="e">
        <v>#N/A</v>
      </c>
      <c r="C48" s="404"/>
      <c r="D48" s="334"/>
      <c r="E48" s="434">
        <v>0</v>
      </c>
      <c r="F48" s="333" t="e">
        <v>#N/A</v>
      </c>
      <c r="G48" s="334"/>
      <c r="H48" s="334"/>
      <c r="I48" s="395" t="e">
        <v>#N/A</v>
      </c>
      <c r="J48" s="395"/>
      <c r="K48" s="395"/>
      <c r="L48" s="346" t="s">
        <v>932</v>
      </c>
      <c r="N48" s="395"/>
      <c r="O48" s="395"/>
    </row>
    <row r="49" hidden="1" spans="1:15">
      <c r="A49" s="404">
        <v>0</v>
      </c>
      <c r="B49" s="404" t="e">
        <v>#N/A</v>
      </c>
      <c r="C49" s="404"/>
      <c r="D49" s="334"/>
      <c r="E49" s="434">
        <v>0</v>
      </c>
      <c r="F49" s="333" t="e">
        <v>#N/A</v>
      </c>
      <c r="G49" s="334"/>
      <c r="H49" s="334"/>
      <c r="I49" s="395" t="e">
        <v>#N/A</v>
      </c>
      <c r="J49" s="395"/>
      <c r="K49" s="395"/>
      <c r="L49" s="346" t="s">
        <v>932</v>
      </c>
      <c r="N49" s="395"/>
      <c r="O49" s="395"/>
    </row>
    <row r="50" hidden="1" spans="1:15">
      <c r="A50" s="404">
        <v>0</v>
      </c>
      <c r="B50" s="404" t="e">
        <v>#N/A</v>
      </c>
      <c r="C50" s="404"/>
      <c r="D50" s="438"/>
      <c r="E50" s="434">
        <v>0</v>
      </c>
      <c r="F50" s="333" t="e">
        <v>#N/A</v>
      </c>
      <c r="G50" s="334"/>
      <c r="H50" s="334"/>
      <c r="I50" s="395" t="e">
        <v>#N/A</v>
      </c>
      <c r="J50" s="395"/>
      <c r="K50" s="395"/>
      <c r="L50" s="346" t="s">
        <v>932</v>
      </c>
      <c r="N50" s="395"/>
      <c r="O50" s="395"/>
    </row>
    <row r="51" spans="1:15">
      <c r="A51" s="421"/>
      <c r="B51" s="422"/>
      <c r="C51" s="422"/>
      <c r="D51" s="422"/>
      <c r="E51" s="423"/>
      <c r="F51" s="424"/>
      <c r="G51" s="422"/>
      <c r="H51" s="422"/>
      <c r="I51" s="430"/>
      <c r="J51" s="430"/>
      <c r="K51" s="425" t="s">
        <v>14203</v>
      </c>
      <c r="L51" s="426">
        <v>7.29559845609335</v>
      </c>
      <c r="N51" s="395"/>
      <c r="O51" s="395"/>
    </row>
    <row r="52" hidden="1" spans="1:15">
      <c r="A52" s="428" t="s">
        <v>14204</v>
      </c>
      <c r="B52" s="430"/>
      <c r="C52" s="430"/>
      <c r="D52" s="430"/>
      <c r="E52" s="431" t="s">
        <v>74</v>
      </c>
      <c r="F52" s="431" t="s">
        <v>1123</v>
      </c>
      <c r="G52" s="430"/>
      <c r="H52" s="430"/>
      <c r="I52" s="425" t="s">
        <v>75</v>
      </c>
      <c r="J52" s="430"/>
      <c r="K52" s="430"/>
      <c r="L52" s="426" t="s">
        <v>14194</v>
      </c>
      <c r="N52" s="395"/>
      <c r="O52" s="395"/>
    </row>
    <row r="53" hidden="1" spans="1:15">
      <c r="A53" s="404">
        <v>0</v>
      </c>
      <c r="B53" s="334" t="e">
        <v>#N/A</v>
      </c>
      <c r="C53" s="334"/>
      <c r="D53" s="334"/>
      <c r="E53" s="434">
        <v>0</v>
      </c>
      <c r="F53" s="333" t="e">
        <v>#N/A</v>
      </c>
      <c r="G53" s="439"/>
      <c r="I53" s="346" t="e">
        <v>#N/A</v>
      </c>
      <c r="L53" s="346" t="s">
        <v>932</v>
      </c>
      <c r="N53" s="395"/>
      <c r="O53" s="395"/>
    </row>
    <row r="54" hidden="1" spans="1:15">
      <c r="A54" s="401">
        <v>0</v>
      </c>
      <c r="B54" s="334" t="e">
        <v>#N/A</v>
      </c>
      <c r="E54" s="440">
        <v>0</v>
      </c>
      <c r="F54" s="333" t="e">
        <v>#N/A</v>
      </c>
      <c r="G54" s="439"/>
      <c r="I54" s="346" t="e">
        <v>#N/A</v>
      </c>
      <c r="L54" s="346" t="s">
        <v>932</v>
      </c>
      <c r="N54" s="395"/>
      <c r="O54" s="395"/>
    </row>
    <row r="55" hidden="1" spans="1:15">
      <c r="A55" s="401">
        <v>0</v>
      </c>
      <c r="B55" s="334" t="e">
        <v>#N/A</v>
      </c>
      <c r="E55" s="440">
        <v>0</v>
      </c>
      <c r="F55" s="333" t="e">
        <v>#N/A</v>
      </c>
      <c r="G55" s="439"/>
      <c r="I55" s="346" t="e">
        <v>#N/A</v>
      </c>
      <c r="L55" s="346" t="s">
        <v>932</v>
      </c>
      <c r="N55" s="395"/>
      <c r="O55" s="395"/>
    </row>
    <row r="56" hidden="1" spans="1:15">
      <c r="A56" s="401">
        <v>0</v>
      </c>
      <c r="B56" s="334" t="e">
        <v>#N/A</v>
      </c>
      <c r="E56" s="440">
        <v>0</v>
      </c>
      <c r="F56" s="333" t="e">
        <v>#N/A</v>
      </c>
      <c r="G56" s="439"/>
      <c r="I56" s="346" t="e">
        <v>#N/A</v>
      </c>
      <c r="L56" s="346" t="s">
        <v>932</v>
      </c>
      <c r="N56" s="395"/>
      <c r="O56" s="395"/>
    </row>
    <row r="57" hidden="1" spans="1:15">
      <c r="A57" s="401">
        <v>0</v>
      </c>
      <c r="B57" s="334" t="e">
        <v>#N/A</v>
      </c>
      <c r="E57" s="440">
        <v>0</v>
      </c>
      <c r="F57" s="333" t="e">
        <v>#N/A</v>
      </c>
      <c r="G57" s="439"/>
      <c r="I57" s="346" t="e">
        <v>#N/A</v>
      </c>
      <c r="L57" s="346" t="s">
        <v>932</v>
      </c>
      <c r="N57" s="395"/>
      <c r="O57" s="395"/>
    </row>
    <row r="58" hidden="1" spans="1:15">
      <c r="A58" s="401">
        <v>0</v>
      </c>
      <c r="B58" s="334" t="e">
        <v>#N/A</v>
      </c>
      <c r="E58" s="440">
        <v>0</v>
      </c>
      <c r="F58" s="333" t="e">
        <v>#N/A</v>
      </c>
      <c r="G58" s="439"/>
      <c r="I58" s="346" t="e">
        <v>#N/A</v>
      </c>
      <c r="L58" s="346" t="s">
        <v>932</v>
      </c>
      <c r="N58" s="395"/>
      <c r="O58" s="395"/>
    </row>
    <row r="59" hidden="1" spans="1:15">
      <c r="A59" s="421"/>
      <c r="B59" s="422"/>
      <c r="C59" s="422"/>
      <c r="D59" s="422"/>
      <c r="E59" s="422"/>
      <c r="F59" s="422"/>
      <c r="G59" s="422"/>
      <c r="H59" s="422"/>
      <c r="I59" s="430"/>
      <c r="J59" s="430"/>
      <c r="K59" s="425" t="s">
        <v>14206</v>
      </c>
      <c r="L59" s="426">
        <v>0</v>
      </c>
      <c r="N59" s="395"/>
      <c r="O59" s="395"/>
    </row>
    <row r="60" spans="1:15">
      <c r="A60" s="421"/>
      <c r="B60" s="422"/>
      <c r="C60" s="422"/>
      <c r="D60" s="422"/>
      <c r="E60" s="422"/>
      <c r="F60" s="422"/>
      <c r="G60" s="422"/>
      <c r="H60" s="422"/>
      <c r="I60" s="430"/>
      <c r="J60" s="430"/>
      <c r="K60" s="425" t="s">
        <v>14207</v>
      </c>
      <c r="L60" s="426">
        <v>12.8451874560934</v>
      </c>
      <c r="N60" s="395"/>
      <c r="O60" s="395"/>
    </row>
    <row r="61" spans="1:15">
      <c r="A61" s="428" t="s">
        <v>14208</v>
      </c>
      <c r="B61" s="430"/>
      <c r="C61" s="430"/>
      <c r="D61" s="431" t="s">
        <v>55</v>
      </c>
      <c r="E61" s="431" t="s">
        <v>74</v>
      </c>
      <c r="F61" s="431" t="s">
        <v>1123</v>
      </c>
      <c r="G61" s="430"/>
      <c r="H61" s="430"/>
      <c r="I61" s="425" t="s">
        <v>75</v>
      </c>
      <c r="J61" s="430"/>
      <c r="K61" s="430"/>
      <c r="L61" s="426" t="s">
        <v>14194</v>
      </c>
      <c r="N61" s="395"/>
      <c r="O61" s="395"/>
    </row>
    <row r="62" spans="1:15">
      <c r="A62" s="404" t="s">
        <v>843</v>
      </c>
      <c r="B62" s="441" t="s">
        <v>14219</v>
      </c>
      <c r="C62" s="441"/>
      <c r="D62" s="442">
        <v>5914655</v>
      </c>
      <c r="E62" s="434">
        <v>0.0011</v>
      </c>
      <c r="F62" s="333" t="s">
        <v>9885</v>
      </c>
      <c r="G62" s="443" t="s">
        <v>14209</v>
      </c>
      <c r="H62" s="334"/>
      <c r="I62" s="346">
        <v>35.43</v>
      </c>
      <c r="J62" s="334"/>
      <c r="K62" s="346"/>
      <c r="L62" s="346">
        <v>0.038973</v>
      </c>
      <c r="N62" s="395"/>
      <c r="O62" s="395"/>
    </row>
    <row r="63" spans="1:15">
      <c r="A63" s="404" t="s">
        <v>14220</v>
      </c>
      <c r="B63" s="334" t="s">
        <v>14221</v>
      </c>
      <c r="C63" s="334"/>
      <c r="D63" s="442">
        <v>5914655</v>
      </c>
      <c r="E63" s="434">
        <v>2e-5</v>
      </c>
      <c r="F63" s="333" t="s">
        <v>9885</v>
      </c>
      <c r="G63" s="334"/>
      <c r="H63" s="334"/>
      <c r="I63" s="346">
        <v>35.43</v>
      </c>
      <c r="J63" s="334"/>
      <c r="K63" s="346"/>
      <c r="L63" s="346">
        <v>0.0007086</v>
      </c>
      <c r="N63" s="395"/>
      <c r="O63" s="395"/>
    </row>
    <row r="64" hidden="1" spans="1:15">
      <c r="A64" s="404">
        <v>0</v>
      </c>
      <c r="B64" s="334" t="e">
        <v>#N/A</v>
      </c>
      <c r="C64" s="334"/>
      <c r="D64" s="442">
        <v>0</v>
      </c>
      <c r="E64" s="434">
        <v>0</v>
      </c>
      <c r="F64" s="333" t="s">
        <v>9885</v>
      </c>
      <c r="G64" s="334"/>
      <c r="H64" s="334"/>
      <c r="I64" s="346">
        <v>0</v>
      </c>
      <c r="J64" s="334"/>
      <c r="K64" s="346"/>
      <c r="L64" s="346" t="s">
        <v>932</v>
      </c>
      <c r="N64" s="395"/>
      <c r="O64" s="395"/>
    </row>
    <row r="65" hidden="1" spans="1:15">
      <c r="A65" s="404">
        <v>0</v>
      </c>
      <c r="B65" s="334" t="e">
        <v>#N/A</v>
      </c>
      <c r="C65" s="334"/>
      <c r="D65" s="442">
        <v>0</v>
      </c>
      <c r="E65" s="434">
        <v>0</v>
      </c>
      <c r="F65" s="333" t="s">
        <v>9885</v>
      </c>
      <c r="G65" s="334"/>
      <c r="H65" s="334"/>
      <c r="I65" s="346">
        <v>0</v>
      </c>
      <c r="J65" s="334"/>
      <c r="K65" s="346"/>
      <c r="L65" s="346" t="s">
        <v>932</v>
      </c>
      <c r="N65" s="395"/>
      <c r="O65" s="395"/>
    </row>
    <row r="66" hidden="1" spans="1:15">
      <c r="A66" s="404">
        <v>0</v>
      </c>
      <c r="B66" s="334" t="e">
        <v>#N/A</v>
      </c>
      <c r="C66" s="334"/>
      <c r="D66" s="442">
        <v>0</v>
      </c>
      <c r="E66" s="434">
        <v>0</v>
      </c>
      <c r="F66" s="333" t="s">
        <v>9885</v>
      </c>
      <c r="G66" s="334"/>
      <c r="H66" s="334"/>
      <c r="I66" s="346">
        <v>0</v>
      </c>
      <c r="J66" s="334"/>
      <c r="K66" s="346"/>
      <c r="L66" s="346" t="s">
        <v>932</v>
      </c>
      <c r="N66" s="395"/>
      <c r="O66" s="395"/>
    </row>
    <row r="67" hidden="1" spans="1:15">
      <c r="A67" s="404">
        <v>0</v>
      </c>
      <c r="B67" s="334" t="e">
        <v>#N/A</v>
      </c>
      <c r="C67" s="334"/>
      <c r="D67" s="442">
        <v>0</v>
      </c>
      <c r="E67" s="434">
        <v>0</v>
      </c>
      <c r="F67" s="333" t="s">
        <v>9885</v>
      </c>
      <c r="G67" s="334"/>
      <c r="H67" s="334"/>
      <c r="I67" s="346">
        <v>0</v>
      </c>
      <c r="J67" s="334"/>
      <c r="K67" s="346"/>
      <c r="L67" s="346" t="s">
        <v>932</v>
      </c>
      <c r="N67" s="395"/>
      <c r="O67" s="395"/>
    </row>
    <row r="68" hidden="1" spans="1:15">
      <c r="A68" s="404">
        <v>0</v>
      </c>
      <c r="B68" s="334" t="e">
        <v>#N/A</v>
      </c>
      <c r="C68" s="334"/>
      <c r="D68" s="442">
        <v>0</v>
      </c>
      <c r="E68" s="434">
        <v>0</v>
      </c>
      <c r="F68" s="333" t="s">
        <v>9885</v>
      </c>
      <c r="G68" s="334"/>
      <c r="H68" s="334"/>
      <c r="I68" s="346">
        <v>0</v>
      </c>
      <c r="J68" s="334"/>
      <c r="K68" s="346"/>
      <c r="L68" s="346" t="s">
        <v>932</v>
      </c>
      <c r="N68" s="395"/>
      <c r="O68" s="395"/>
    </row>
    <row r="69" hidden="1" spans="1:15">
      <c r="A69" s="404">
        <v>0</v>
      </c>
      <c r="B69" s="444" t="e">
        <v>#N/A</v>
      </c>
      <c r="C69" s="444"/>
      <c r="D69" s="442">
        <v>0</v>
      </c>
      <c r="E69" s="434">
        <v>0</v>
      </c>
      <c r="F69" s="333" t="s">
        <v>9885</v>
      </c>
      <c r="G69" s="334"/>
      <c r="H69" s="334"/>
      <c r="I69" s="346">
        <v>0</v>
      </c>
      <c r="J69" s="334"/>
      <c r="K69" s="346"/>
      <c r="L69" s="346" t="s">
        <v>932</v>
      </c>
      <c r="N69" s="395"/>
      <c r="O69" s="395"/>
    </row>
    <row r="70" spans="1:15">
      <c r="A70" s="428"/>
      <c r="B70" s="445"/>
      <c r="C70" s="445"/>
      <c r="D70" s="430"/>
      <c r="E70" s="430"/>
      <c r="F70" s="430"/>
      <c r="G70" s="430"/>
      <c r="H70" s="430"/>
      <c r="I70" s="430"/>
      <c r="J70" s="430"/>
      <c r="K70" s="425" t="s">
        <v>14210</v>
      </c>
      <c r="L70" s="426">
        <v>0.0396816</v>
      </c>
      <c r="N70" s="395"/>
      <c r="O70" s="395"/>
    </row>
    <row r="71" hidden="1" spans="1:15">
      <c r="A71" s="446" t="s">
        <v>14211</v>
      </c>
      <c r="B71" s="445"/>
      <c r="C71" s="445"/>
      <c r="D71" s="447" t="s">
        <v>55</v>
      </c>
      <c r="E71" s="445" t="s">
        <v>74</v>
      </c>
      <c r="F71" s="447" t="s">
        <v>1123</v>
      </c>
      <c r="G71" s="445"/>
      <c r="H71" s="447" t="s">
        <v>72</v>
      </c>
      <c r="I71" s="447" t="s">
        <v>75</v>
      </c>
      <c r="J71" s="445"/>
      <c r="K71" s="448"/>
      <c r="L71" s="449" t="s">
        <v>14194</v>
      </c>
      <c r="N71" s="395"/>
      <c r="O71" s="395"/>
    </row>
    <row r="72" hidden="1" spans="1:15">
      <c r="A72" s="404" t="s">
        <v>843</v>
      </c>
      <c r="B72" s="433" t="s">
        <v>14219</v>
      </c>
      <c r="C72" s="433"/>
      <c r="D72" s="442">
        <v>5914449</v>
      </c>
      <c r="E72" s="450">
        <v>0.0011</v>
      </c>
      <c r="F72" s="333" t="s">
        <v>13063</v>
      </c>
      <c r="G72" s="333" t="s">
        <v>14212</v>
      </c>
      <c r="H72" s="346">
        <v>0</v>
      </c>
      <c r="I72" s="346">
        <v>1.11</v>
      </c>
      <c r="J72" s="346"/>
      <c r="K72" s="334"/>
      <c r="L72" s="346">
        <v>0</v>
      </c>
      <c r="N72" s="395"/>
      <c r="O72" s="395"/>
    </row>
    <row r="73" hidden="1" spans="1:15">
      <c r="A73" s="404"/>
      <c r="B73" s="404"/>
      <c r="C73" s="334"/>
      <c r="D73" s="442">
        <v>5914464</v>
      </c>
      <c r="E73" s="450">
        <v>0.0011</v>
      </c>
      <c r="F73" s="333" t="s">
        <v>13063</v>
      </c>
      <c r="G73" s="333" t="s">
        <v>14213</v>
      </c>
      <c r="H73" s="346">
        <v>0</v>
      </c>
      <c r="I73" s="346">
        <v>0.89</v>
      </c>
      <c r="J73" s="346"/>
      <c r="K73" s="334"/>
      <c r="L73" s="346">
        <v>0</v>
      </c>
      <c r="N73" s="395"/>
      <c r="O73" s="395"/>
    </row>
    <row r="74" hidden="1" spans="1:15">
      <c r="A74" s="404"/>
      <c r="B74" s="404"/>
      <c r="C74" s="334"/>
      <c r="D74" s="442">
        <v>5914479</v>
      </c>
      <c r="E74" s="450">
        <v>0.0011</v>
      </c>
      <c r="F74" s="333" t="s">
        <v>13063</v>
      </c>
      <c r="G74" s="333" t="s">
        <v>14214</v>
      </c>
      <c r="H74" s="346">
        <v>0</v>
      </c>
      <c r="I74" s="346">
        <v>0.73</v>
      </c>
      <c r="J74" s="346"/>
      <c r="K74" s="334"/>
      <c r="L74" s="346">
        <v>0</v>
      </c>
      <c r="N74" s="395"/>
      <c r="O74" s="395"/>
    </row>
    <row r="75" hidden="1" spans="1:15">
      <c r="A75" s="404" t="s">
        <v>14220</v>
      </c>
      <c r="B75" s="404" t="s">
        <v>14221</v>
      </c>
      <c r="C75" s="404"/>
      <c r="D75" s="442">
        <v>5914449</v>
      </c>
      <c r="E75" s="450">
        <v>2e-5</v>
      </c>
      <c r="F75" s="333" t="s">
        <v>13063</v>
      </c>
      <c r="G75" s="333" t="s">
        <v>14212</v>
      </c>
      <c r="H75" s="346">
        <v>0</v>
      </c>
      <c r="I75" s="346">
        <v>1.11</v>
      </c>
      <c r="J75" s="346"/>
      <c r="K75" s="334"/>
      <c r="L75" s="346">
        <v>0</v>
      </c>
      <c r="N75" s="395"/>
      <c r="O75" s="395"/>
    </row>
    <row r="76" hidden="1" spans="1:15">
      <c r="A76" s="404"/>
      <c r="B76" s="404"/>
      <c r="C76" s="334"/>
      <c r="D76" s="442">
        <v>5914464</v>
      </c>
      <c r="E76" s="450">
        <v>2e-5</v>
      </c>
      <c r="F76" s="333" t="s">
        <v>13063</v>
      </c>
      <c r="G76" s="333" t="s">
        <v>14213</v>
      </c>
      <c r="H76" s="346">
        <v>0</v>
      </c>
      <c r="I76" s="346">
        <v>0.89</v>
      </c>
      <c r="J76" s="346"/>
      <c r="K76" s="334"/>
      <c r="L76" s="346">
        <v>0</v>
      </c>
      <c r="N76" s="395"/>
      <c r="O76" s="395"/>
    </row>
    <row r="77" hidden="1" spans="1:15">
      <c r="A77" s="404"/>
      <c r="B77" s="404"/>
      <c r="C77" s="334"/>
      <c r="D77" s="442">
        <v>5914479</v>
      </c>
      <c r="E77" s="450">
        <v>2e-5</v>
      </c>
      <c r="F77" s="333" t="s">
        <v>13063</v>
      </c>
      <c r="G77" s="333" t="s">
        <v>14214</v>
      </c>
      <c r="H77" s="346">
        <v>0</v>
      </c>
      <c r="I77" s="346">
        <v>0.73</v>
      </c>
      <c r="J77" s="346"/>
      <c r="K77" s="334"/>
      <c r="L77" s="346">
        <v>0</v>
      </c>
      <c r="N77" s="395"/>
      <c r="O77" s="395"/>
    </row>
    <row r="78" hidden="1" spans="1:15">
      <c r="A78" s="404">
        <v>0</v>
      </c>
      <c r="B78" s="404" t="e">
        <v>#N/A</v>
      </c>
      <c r="C78" s="404"/>
      <c r="D78" s="442">
        <v>0</v>
      </c>
      <c r="E78" s="450">
        <v>0</v>
      </c>
      <c r="F78" s="333" t="s">
        <v>13063</v>
      </c>
      <c r="G78" s="333" t="s">
        <v>14212</v>
      </c>
      <c r="H78" s="346">
        <v>0</v>
      </c>
      <c r="I78" s="346">
        <v>0</v>
      </c>
      <c r="J78" s="346"/>
      <c r="K78" s="334"/>
      <c r="L78" s="346" t="s">
        <v>932</v>
      </c>
      <c r="N78" s="395"/>
      <c r="O78" s="395"/>
    </row>
    <row r="79" hidden="1" spans="1:15">
      <c r="A79" s="404"/>
      <c r="B79" s="404"/>
      <c r="C79" s="334"/>
      <c r="D79" s="442">
        <v>0</v>
      </c>
      <c r="E79" s="450">
        <v>0</v>
      </c>
      <c r="F79" s="333" t="s">
        <v>13063</v>
      </c>
      <c r="G79" s="333" t="s">
        <v>14213</v>
      </c>
      <c r="H79" s="346">
        <v>0</v>
      </c>
      <c r="I79" s="346">
        <v>0</v>
      </c>
      <c r="J79" s="346"/>
      <c r="K79" s="334"/>
      <c r="L79" s="346" t="s">
        <v>932</v>
      </c>
      <c r="N79" s="395"/>
      <c r="O79" s="395"/>
    </row>
    <row r="80" hidden="1" spans="1:15">
      <c r="A80" s="404"/>
      <c r="B80" s="404"/>
      <c r="C80" s="334"/>
      <c r="D80" s="442">
        <v>0</v>
      </c>
      <c r="E80" s="450">
        <v>0</v>
      </c>
      <c r="F80" s="333" t="s">
        <v>13063</v>
      </c>
      <c r="G80" s="333" t="s">
        <v>14214</v>
      </c>
      <c r="H80" s="346">
        <v>0</v>
      </c>
      <c r="I80" s="346">
        <v>0</v>
      </c>
      <c r="J80" s="346"/>
      <c r="K80" s="334"/>
      <c r="L80" s="346" t="s">
        <v>932</v>
      </c>
      <c r="N80" s="395"/>
      <c r="O80" s="395"/>
    </row>
    <row r="81" hidden="1" spans="1:15">
      <c r="A81" s="404">
        <v>0</v>
      </c>
      <c r="B81" s="404" t="e">
        <v>#N/A</v>
      </c>
      <c r="C81" s="404"/>
      <c r="D81" s="442">
        <v>0</v>
      </c>
      <c r="E81" s="450">
        <v>0</v>
      </c>
      <c r="F81" s="333" t="s">
        <v>13063</v>
      </c>
      <c r="G81" s="333" t="s">
        <v>14212</v>
      </c>
      <c r="H81" s="346">
        <v>0</v>
      </c>
      <c r="I81" s="346">
        <v>0</v>
      </c>
      <c r="J81" s="346"/>
      <c r="K81" s="334"/>
      <c r="L81" s="346" t="s">
        <v>932</v>
      </c>
      <c r="N81" s="395"/>
      <c r="O81" s="395"/>
    </row>
    <row r="82" hidden="1" spans="1:15">
      <c r="A82" s="404"/>
      <c r="B82" s="404"/>
      <c r="C82" s="334"/>
      <c r="D82" s="442">
        <v>0</v>
      </c>
      <c r="E82" s="450">
        <v>0</v>
      </c>
      <c r="F82" s="333" t="s">
        <v>13063</v>
      </c>
      <c r="G82" s="333" t="s">
        <v>14213</v>
      </c>
      <c r="H82" s="346">
        <v>0</v>
      </c>
      <c r="I82" s="346">
        <v>0</v>
      </c>
      <c r="J82" s="346"/>
      <c r="K82" s="334"/>
      <c r="L82" s="346" t="s">
        <v>932</v>
      </c>
      <c r="N82" s="395"/>
      <c r="O82" s="395"/>
    </row>
    <row r="83" hidden="1" spans="1:15">
      <c r="A83" s="404"/>
      <c r="B83" s="404"/>
      <c r="C83" s="334"/>
      <c r="D83" s="442">
        <v>0</v>
      </c>
      <c r="E83" s="450">
        <v>0</v>
      </c>
      <c r="F83" s="333" t="s">
        <v>13063</v>
      </c>
      <c r="G83" s="333" t="s">
        <v>14214</v>
      </c>
      <c r="H83" s="346">
        <v>0</v>
      </c>
      <c r="I83" s="346">
        <v>0</v>
      </c>
      <c r="J83" s="346"/>
      <c r="K83" s="334"/>
      <c r="L83" s="346" t="s">
        <v>932</v>
      </c>
      <c r="N83" s="395"/>
      <c r="O83" s="395"/>
    </row>
    <row r="84" hidden="1" spans="1:15">
      <c r="A84" s="404">
        <v>0</v>
      </c>
      <c r="B84" s="404" t="e">
        <v>#N/A</v>
      </c>
      <c r="C84" s="404"/>
      <c r="D84" s="442">
        <v>0</v>
      </c>
      <c r="E84" s="450">
        <v>0</v>
      </c>
      <c r="F84" s="333" t="s">
        <v>13063</v>
      </c>
      <c r="G84" s="333" t="s">
        <v>14212</v>
      </c>
      <c r="H84" s="346">
        <v>0</v>
      </c>
      <c r="I84" s="346">
        <v>0</v>
      </c>
      <c r="J84" s="346"/>
      <c r="K84" s="334"/>
      <c r="L84" s="346" t="s">
        <v>932</v>
      </c>
      <c r="N84" s="395"/>
      <c r="O84" s="395"/>
    </row>
    <row r="85" hidden="1" spans="1:15">
      <c r="A85" s="404"/>
      <c r="B85" s="404"/>
      <c r="C85" s="334"/>
      <c r="D85" s="442">
        <v>0</v>
      </c>
      <c r="E85" s="450">
        <v>0</v>
      </c>
      <c r="F85" s="333" t="s">
        <v>13063</v>
      </c>
      <c r="G85" s="333" t="s">
        <v>14213</v>
      </c>
      <c r="H85" s="346">
        <v>0</v>
      </c>
      <c r="I85" s="346">
        <v>0</v>
      </c>
      <c r="J85" s="346"/>
      <c r="K85" s="334"/>
      <c r="L85" s="346" t="s">
        <v>932</v>
      </c>
      <c r="N85" s="395"/>
      <c r="O85" s="395"/>
    </row>
    <row r="86" hidden="1" spans="1:15">
      <c r="A86" s="404"/>
      <c r="B86" s="404"/>
      <c r="C86" s="334"/>
      <c r="D86" s="442">
        <v>0</v>
      </c>
      <c r="E86" s="450">
        <v>0</v>
      </c>
      <c r="F86" s="333" t="s">
        <v>13063</v>
      </c>
      <c r="G86" s="333" t="s">
        <v>14214</v>
      </c>
      <c r="H86" s="346">
        <v>0</v>
      </c>
      <c r="I86" s="346">
        <v>0</v>
      </c>
      <c r="J86" s="346"/>
      <c r="K86" s="334"/>
      <c r="L86" s="346" t="s">
        <v>932</v>
      </c>
      <c r="N86" s="395"/>
      <c r="O86" s="395"/>
    </row>
    <row r="87" hidden="1" spans="1:15">
      <c r="A87" s="401">
        <v>0</v>
      </c>
      <c r="B87" s="401" t="e">
        <v>#N/A</v>
      </c>
      <c r="C87" s="401"/>
      <c r="D87" s="442">
        <v>0</v>
      </c>
      <c r="E87" s="450">
        <v>0</v>
      </c>
      <c r="F87" s="439" t="s">
        <v>13063</v>
      </c>
      <c r="G87" s="439" t="s">
        <v>14212</v>
      </c>
      <c r="H87" s="346">
        <v>0</v>
      </c>
      <c r="I87" s="346">
        <v>0</v>
      </c>
      <c r="J87" s="395"/>
      <c r="L87" s="346" t="s">
        <v>932</v>
      </c>
      <c r="N87" s="395"/>
      <c r="O87" s="395"/>
    </row>
    <row r="88" hidden="1" spans="1:15">
      <c r="A88" s="401"/>
      <c r="B88" s="401"/>
      <c r="D88" s="442">
        <v>0</v>
      </c>
      <c r="E88" s="450">
        <v>0</v>
      </c>
      <c r="F88" s="439" t="s">
        <v>13063</v>
      </c>
      <c r="G88" s="439" t="s">
        <v>14213</v>
      </c>
      <c r="H88" s="346">
        <v>0</v>
      </c>
      <c r="I88" s="346">
        <v>0</v>
      </c>
      <c r="J88" s="395"/>
      <c r="L88" s="346" t="s">
        <v>932</v>
      </c>
      <c r="N88" s="395"/>
      <c r="O88" s="395"/>
    </row>
    <row r="89" hidden="1" spans="1:15">
      <c r="A89" s="401"/>
      <c r="B89" s="401"/>
      <c r="D89" s="442">
        <v>0</v>
      </c>
      <c r="E89" s="450">
        <v>0</v>
      </c>
      <c r="F89" s="439" t="s">
        <v>13063</v>
      </c>
      <c r="G89" s="439" t="s">
        <v>14214</v>
      </c>
      <c r="H89" s="346">
        <v>0</v>
      </c>
      <c r="I89" s="346">
        <v>0</v>
      </c>
      <c r="J89" s="395"/>
      <c r="L89" s="346" t="s">
        <v>932</v>
      </c>
      <c r="N89" s="395"/>
      <c r="O89" s="395"/>
    </row>
    <row r="90" hidden="1" spans="1:15">
      <c r="A90" s="401">
        <v>0</v>
      </c>
      <c r="B90" s="401" t="e">
        <v>#N/A</v>
      </c>
      <c r="C90" s="401"/>
      <c r="D90" s="442">
        <v>0</v>
      </c>
      <c r="E90" s="450">
        <v>0</v>
      </c>
      <c r="F90" s="439" t="s">
        <v>13063</v>
      </c>
      <c r="G90" s="439" t="s">
        <v>14212</v>
      </c>
      <c r="H90" s="346">
        <v>0</v>
      </c>
      <c r="I90" s="346">
        <v>0</v>
      </c>
      <c r="J90" s="395"/>
      <c r="L90" s="346" t="s">
        <v>932</v>
      </c>
      <c r="N90" s="395"/>
      <c r="O90" s="395"/>
    </row>
    <row r="91" hidden="1" spans="1:15">
      <c r="A91" s="401"/>
      <c r="B91" s="401"/>
      <c r="D91" s="442">
        <v>0</v>
      </c>
      <c r="E91" s="450">
        <v>0</v>
      </c>
      <c r="F91" s="439" t="s">
        <v>13063</v>
      </c>
      <c r="G91" s="439" t="s">
        <v>14213</v>
      </c>
      <c r="H91" s="346">
        <v>0</v>
      </c>
      <c r="I91" s="346">
        <v>0</v>
      </c>
      <c r="J91" s="395"/>
      <c r="L91" s="346" t="s">
        <v>932</v>
      </c>
      <c r="N91" s="395"/>
      <c r="O91" s="395"/>
    </row>
    <row r="92" hidden="1" spans="1:15">
      <c r="A92" s="401"/>
      <c r="B92" s="401"/>
      <c r="D92" s="442">
        <v>0</v>
      </c>
      <c r="E92" s="450">
        <v>0</v>
      </c>
      <c r="F92" s="439" t="s">
        <v>13063</v>
      </c>
      <c r="G92" s="439" t="s">
        <v>14214</v>
      </c>
      <c r="H92" s="346">
        <v>0</v>
      </c>
      <c r="I92" s="346">
        <v>0</v>
      </c>
      <c r="J92" s="395"/>
      <c r="L92" s="346" t="s">
        <v>932</v>
      </c>
      <c r="N92" s="395"/>
      <c r="O92" s="395"/>
    </row>
    <row r="93" hidden="1" spans="1:15">
      <c r="A93" s="401">
        <v>0</v>
      </c>
      <c r="B93" s="401" t="e">
        <v>#N/A</v>
      </c>
      <c r="C93" s="401"/>
      <c r="D93" s="442">
        <v>0</v>
      </c>
      <c r="E93" s="450">
        <v>0</v>
      </c>
      <c r="F93" s="439" t="s">
        <v>13063</v>
      </c>
      <c r="G93" s="439" t="s">
        <v>14212</v>
      </c>
      <c r="H93" s="346">
        <v>0</v>
      </c>
      <c r="I93" s="346">
        <v>0</v>
      </c>
      <c r="J93" s="395"/>
      <c r="L93" s="346" t="s">
        <v>932</v>
      </c>
      <c r="N93" s="395"/>
      <c r="O93" s="395"/>
    </row>
    <row r="94" hidden="1" spans="1:15">
      <c r="A94" s="401"/>
      <c r="B94" s="401"/>
      <c r="D94" s="442">
        <v>0</v>
      </c>
      <c r="E94" s="450">
        <v>0</v>
      </c>
      <c r="F94" s="439" t="s">
        <v>13063</v>
      </c>
      <c r="G94" s="439" t="s">
        <v>14213</v>
      </c>
      <c r="H94" s="346">
        <v>0</v>
      </c>
      <c r="I94" s="346">
        <v>0</v>
      </c>
      <c r="J94" s="395"/>
      <c r="L94" s="346" t="s">
        <v>932</v>
      </c>
      <c r="N94" s="395"/>
      <c r="O94" s="395"/>
    </row>
    <row r="95" hidden="1" spans="1:15">
      <c r="A95" s="401"/>
      <c r="B95" s="401"/>
      <c r="D95" s="442">
        <v>0</v>
      </c>
      <c r="E95" s="450">
        <v>0</v>
      </c>
      <c r="F95" s="439" t="s">
        <v>13063</v>
      </c>
      <c r="G95" s="439" t="s">
        <v>14214</v>
      </c>
      <c r="H95" s="346">
        <v>0</v>
      </c>
      <c r="I95" s="346">
        <v>0</v>
      </c>
      <c r="J95" s="395"/>
      <c r="L95" s="346" t="s">
        <v>932</v>
      </c>
      <c r="N95" s="395"/>
      <c r="O95" s="395"/>
    </row>
    <row r="96" hidden="1" spans="1:15">
      <c r="A96" s="421"/>
      <c r="B96" s="422"/>
      <c r="C96" s="422"/>
      <c r="D96" s="422"/>
      <c r="E96" s="422"/>
      <c r="F96" s="422"/>
      <c r="G96" s="422"/>
      <c r="H96" s="422"/>
      <c r="I96" s="430"/>
      <c r="J96" s="430"/>
      <c r="K96" s="425" t="s">
        <v>14215</v>
      </c>
      <c r="L96" s="426">
        <v>0</v>
      </c>
      <c r="N96" s="395"/>
      <c r="O96" s="395"/>
    </row>
    <row r="97" spans="1:15">
      <c r="A97" s="451"/>
      <c r="B97" s="452"/>
      <c r="C97" s="452"/>
      <c r="D97" s="452"/>
      <c r="E97" s="452"/>
      <c r="F97" s="452"/>
      <c r="G97" s="452"/>
      <c r="H97" s="452"/>
      <c r="I97" s="453"/>
      <c r="J97" s="453"/>
      <c r="K97" s="454" t="s">
        <v>14216</v>
      </c>
      <c r="L97" s="455">
        <v>12.88</v>
      </c>
      <c r="N97" s="395"/>
      <c r="O97" s="395"/>
    </row>
    <row r="99" spans="1:15">
      <c r="A99" s="391" t="s">
        <v>14172</v>
      </c>
      <c r="B99" s="392"/>
      <c r="C99" s="392"/>
      <c r="D99" s="392"/>
      <c r="E99" s="392"/>
      <c r="F99" s="392"/>
      <c r="G99" s="393"/>
      <c r="H99" s="393"/>
      <c r="I99" s="393"/>
      <c r="J99" s="393"/>
      <c r="K99" s="393"/>
      <c r="L99" s="394"/>
      <c r="N99" s="395"/>
      <c r="O99" s="395"/>
    </row>
    <row r="100" spans="1:15">
      <c r="A100" s="396">
        <v>1106057</v>
      </c>
      <c r="B100" s="397" t="s">
        <v>109</v>
      </c>
      <c r="C100" s="397"/>
      <c r="D100" s="397"/>
      <c r="E100" s="397"/>
      <c r="F100" s="397"/>
      <c r="G100" s="397"/>
      <c r="H100" s="397" t="s">
        <v>99</v>
      </c>
      <c r="I100" s="398">
        <v>46023</v>
      </c>
      <c r="J100" s="397"/>
      <c r="K100" s="399" t="s">
        <v>14173</v>
      </c>
      <c r="L100" s="400">
        <v>0</v>
      </c>
      <c r="N100" s="395"/>
      <c r="O100" s="395"/>
    </row>
    <row r="101" spans="1:15">
      <c r="A101" s="401"/>
      <c r="H101" s="402" t="s">
        <v>14174</v>
      </c>
      <c r="I101" s="438">
        <v>3.92899</v>
      </c>
      <c r="J101" s="404" t="s">
        <v>99</v>
      </c>
      <c r="K101" s="402" t="s">
        <v>14175</v>
      </c>
      <c r="L101" s="456">
        <v>0.03632</v>
      </c>
      <c r="N101" s="395"/>
      <c r="O101" s="395"/>
    </row>
    <row r="102" spans="1:15">
      <c r="A102" s="405"/>
      <c r="B102" s="405"/>
      <c r="C102" s="405"/>
      <c r="D102" s="406"/>
      <c r="E102" s="406"/>
      <c r="F102" s="406"/>
      <c r="G102" s="407" t="s">
        <v>14176</v>
      </c>
      <c r="H102" s="408"/>
      <c r="I102" s="407" t="s">
        <v>14177</v>
      </c>
      <c r="J102" s="408"/>
      <c r="K102" s="405"/>
      <c r="L102" s="409" t="s">
        <v>14178</v>
      </c>
      <c r="N102" s="395"/>
      <c r="O102" s="395"/>
    </row>
    <row r="103" spans="1:15">
      <c r="A103" s="410" t="s">
        <v>14179</v>
      </c>
      <c r="B103" s="411"/>
      <c r="C103" s="412"/>
      <c r="D103" s="412"/>
      <c r="E103" s="413" t="s">
        <v>74</v>
      </c>
      <c r="F103" s="412"/>
      <c r="G103" s="413" t="s">
        <v>14180</v>
      </c>
      <c r="H103" s="413" t="s">
        <v>14181</v>
      </c>
      <c r="I103" s="413" t="s">
        <v>14182</v>
      </c>
      <c r="J103" s="413" t="s">
        <v>14183</v>
      </c>
      <c r="K103" s="411"/>
      <c r="L103" s="414" t="s">
        <v>14184</v>
      </c>
      <c r="N103" s="395"/>
      <c r="O103" s="395"/>
    </row>
    <row r="104" spans="1:15">
      <c r="A104" s="404" t="s">
        <v>1068</v>
      </c>
      <c r="B104" s="415" t="s">
        <v>1069</v>
      </c>
      <c r="C104" s="415"/>
      <c r="E104" s="416">
        <v>1</v>
      </c>
      <c r="F104" s="334"/>
      <c r="G104" s="346">
        <v>1</v>
      </c>
      <c r="H104" s="417">
        <v>0</v>
      </c>
      <c r="I104" s="395">
        <v>56.8627</v>
      </c>
      <c r="J104" s="418">
        <v>33.7088</v>
      </c>
      <c r="K104" s="402"/>
      <c r="L104" s="395">
        <v>56.8627</v>
      </c>
      <c r="N104" s="395">
        <v>33.7088</v>
      </c>
      <c r="O104" s="395"/>
    </row>
    <row r="105" spans="1:15">
      <c r="A105" s="404" t="s">
        <v>1070</v>
      </c>
      <c r="B105" s="404" t="s">
        <v>1071</v>
      </c>
      <c r="C105" s="404"/>
      <c r="D105" s="334"/>
      <c r="E105" s="416">
        <v>4</v>
      </c>
      <c r="F105" s="334"/>
      <c r="G105" s="346">
        <v>0.88</v>
      </c>
      <c r="H105" s="417">
        <v>0.12</v>
      </c>
      <c r="I105" s="346">
        <v>0.7083</v>
      </c>
      <c r="J105" s="419">
        <v>0.4793</v>
      </c>
      <c r="K105" s="420"/>
      <c r="L105" s="395">
        <v>2.72328</v>
      </c>
      <c r="N105" s="395">
        <v>1.9172</v>
      </c>
      <c r="O105" s="395"/>
    </row>
    <row r="106" spans="1:15">
      <c r="A106" s="404" t="s">
        <v>1072</v>
      </c>
      <c r="B106" s="404" t="s">
        <v>1073</v>
      </c>
      <c r="C106" s="404"/>
      <c r="D106" s="334"/>
      <c r="E106" s="416">
        <v>3</v>
      </c>
      <c r="F106" s="334"/>
      <c r="G106" s="346">
        <v>0.41</v>
      </c>
      <c r="H106" s="417">
        <v>0.59</v>
      </c>
      <c r="I106" s="346">
        <v>1.5493</v>
      </c>
      <c r="J106" s="419">
        <v>1.0483</v>
      </c>
      <c r="K106" s="420"/>
      <c r="L106" s="395">
        <v>3.76113</v>
      </c>
      <c r="N106" s="395">
        <v>3.1449</v>
      </c>
      <c r="O106" s="395"/>
    </row>
    <row r="107" hidden="1" spans="1:15">
      <c r="A107" s="404">
        <v>0</v>
      </c>
      <c r="B107" s="404" t="e">
        <v>#N/A</v>
      </c>
      <c r="C107" s="404"/>
      <c r="D107" s="334"/>
      <c r="E107" s="416">
        <v>0</v>
      </c>
      <c r="F107" s="334"/>
      <c r="G107" s="346">
        <v>0</v>
      </c>
      <c r="H107" s="417">
        <v>1</v>
      </c>
      <c r="I107" s="346" t="e">
        <v>#N/A</v>
      </c>
      <c r="J107" s="419" t="e">
        <v>#N/A</v>
      </c>
      <c r="K107" s="420"/>
      <c r="L107" s="395" t="s">
        <v>932</v>
      </c>
      <c r="N107" s="395" t="s">
        <v>932</v>
      </c>
      <c r="O107" s="395"/>
    </row>
    <row r="108" hidden="1" spans="1:15">
      <c r="A108" s="404">
        <v>0</v>
      </c>
      <c r="B108" s="404" t="e">
        <v>#N/A</v>
      </c>
      <c r="C108" s="404"/>
      <c r="D108" s="334"/>
      <c r="E108" s="416">
        <v>0</v>
      </c>
      <c r="F108" s="334"/>
      <c r="G108" s="346">
        <v>0</v>
      </c>
      <c r="H108" s="417">
        <v>1</v>
      </c>
      <c r="I108" s="346" t="e">
        <v>#N/A</v>
      </c>
      <c r="J108" s="419" t="e">
        <v>#N/A</v>
      </c>
      <c r="K108" s="420"/>
      <c r="L108" s="395" t="s">
        <v>932</v>
      </c>
      <c r="N108" s="395" t="s">
        <v>932</v>
      </c>
      <c r="O108" s="395"/>
    </row>
    <row r="109" hidden="1" spans="1:15">
      <c r="A109" s="404">
        <v>0</v>
      </c>
      <c r="B109" s="404" t="e">
        <v>#N/A</v>
      </c>
      <c r="C109" s="404"/>
      <c r="D109" s="334"/>
      <c r="E109" s="416">
        <v>0</v>
      </c>
      <c r="F109" s="334"/>
      <c r="G109" s="346">
        <v>0</v>
      </c>
      <c r="H109" s="417">
        <v>1</v>
      </c>
      <c r="I109" s="346" t="e">
        <v>#N/A</v>
      </c>
      <c r="J109" s="419" t="e">
        <v>#N/A</v>
      </c>
      <c r="K109" s="420"/>
      <c r="L109" s="395" t="s">
        <v>932</v>
      </c>
      <c r="N109" s="395" t="s">
        <v>932</v>
      </c>
      <c r="O109" s="395"/>
    </row>
    <row r="110" hidden="1" spans="1:15">
      <c r="A110" s="404">
        <v>0</v>
      </c>
      <c r="B110" s="404" t="e">
        <v>#N/A</v>
      </c>
      <c r="C110" s="404"/>
      <c r="D110" s="334"/>
      <c r="E110" s="416">
        <v>0</v>
      </c>
      <c r="F110" s="334"/>
      <c r="G110" s="346">
        <v>0</v>
      </c>
      <c r="H110" s="417">
        <v>1</v>
      </c>
      <c r="I110" s="346" t="e">
        <v>#N/A</v>
      </c>
      <c r="J110" s="419" t="e">
        <v>#N/A</v>
      </c>
      <c r="K110" s="420"/>
      <c r="L110" s="395" t="s">
        <v>932</v>
      </c>
      <c r="N110" s="395" t="s">
        <v>932</v>
      </c>
      <c r="O110" s="395"/>
    </row>
    <row r="111" hidden="1" spans="1:15">
      <c r="A111" s="404">
        <v>0</v>
      </c>
      <c r="B111" s="404" t="e">
        <v>#N/A</v>
      </c>
      <c r="C111" s="404"/>
      <c r="D111" s="334"/>
      <c r="E111" s="416">
        <v>0</v>
      </c>
      <c r="F111" s="334"/>
      <c r="G111" s="346">
        <v>0</v>
      </c>
      <c r="H111" s="417">
        <v>1</v>
      </c>
      <c r="I111" s="346" t="e">
        <v>#N/A</v>
      </c>
      <c r="J111" s="419" t="e">
        <v>#N/A</v>
      </c>
      <c r="K111" s="420"/>
      <c r="L111" s="395" t="s">
        <v>932</v>
      </c>
      <c r="N111" s="395" t="s">
        <v>932</v>
      </c>
      <c r="O111" s="395"/>
    </row>
    <row r="112" spans="1:15">
      <c r="A112" s="421"/>
      <c r="B112" s="422"/>
      <c r="C112" s="422"/>
      <c r="D112" s="422"/>
      <c r="E112" s="423"/>
      <c r="F112" s="424"/>
      <c r="G112" s="422"/>
      <c r="H112" s="422"/>
      <c r="I112" s="422"/>
      <c r="J112" s="422"/>
      <c r="K112" s="425" t="s">
        <v>14185</v>
      </c>
      <c r="L112" s="426">
        <v>63.34711</v>
      </c>
      <c r="N112" s="427">
        <v>38.7709</v>
      </c>
      <c r="O112" s="395"/>
    </row>
    <row r="113" spans="1:15">
      <c r="A113" s="428" t="s">
        <v>14186</v>
      </c>
      <c r="B113" s="429"/>
      <c r="C113" s="429"/>
      <c r="D113" s="430"/>
      <c r="E113" s="431" t="s">
        <v>74</v>
      </c>
      <c r="F113" s="431" t="s">
        <v>1123</v>
      </c>
      <c r="G113" s="430"/>
      <c r="H113" s="422"/>
      <c r="I113" s="431" t="s">
        <v>14177</v>
      </c>
      <c r="J113" s="430"/>
      <c r="K113" s="430"/>
      <c r="L113" s="432" t="s">
        <v>14187</v>
      </c>
      <c r="N113" s="395"/>
      <c r="O113" s="395"/>
    </row>
    <row r="114" spans="1:15">
      <c r="A114" s="404" t="s">
        <v>946</v>
      </c>
      <c r="B114" s="433" t="s">
        <v>947</v>
      </c>
      <c r="C114" s="433"/>
      <c r="D114" s="334"/>
      <c r="E114" s="434">
        <v>1</v>
      </c>
      <c r="F114" s="333" t="s">
        <v>104</v>
      </c>
      <c r="G114" s="334"/>
      <c r="H114" s="334"/>
      <c r="I114" s="435">
        <v>29.6171</v>
      </c>
      <c r="J114" s="334"/>
      <c r="K114" s="334"/>
      <c r="L114" s="346">
        <v>29.6171</v>
      </c>
      <c r="N114" s="395">
        <v>29.6171</v>
      </c>
      <c r="O114" s="395"/>
    </row>
    <row r="115" spans="1:15">
      <c r="A115" s="404" t="s">
        <v>935</v>
      </c>
      <c r="B115" s="404" t="s">
        <v>936</v>
      </c>
      <c r="C115" s="404"/>
      <c r="D115" s="334"/>
      <c r="E115" s="434">
        <v>9</v>
      </c>
      <c r="F115" s="333" t="s">
        <v>104</v>
      </c>
      <c r="G115" s="334"/>
      <c r="H115" s="334"/>
      <c r="I115" s="435">
        <v>23.6025</v>
      </c>
      <c r="J115" s="334"/>
      <c r="K115" s="334"/>
      <c r="L115" s="346">
        <v>212.4225</v>
      </c>
      <c r="N115" s="395">
        <v>212.4225</v>
      </c>
      <c r="O115" s="395"/>
    </row>
    <row r="116" hidden="1" spans="1:15">
      <c r="A116" s="404">
        <v>0</v>
      </c>
      <c r="B116" s="404" t="e">
        <v>#N/A</v>
      </c>
      <c r="C116" s="404"/>
      <c r="D116" s="334"/>
      <c r="E116" s="434">
        <v>0</v>
      </c>
      <c r="F116" s="333" t="s">
        <v>104</v>
      </c>
      <c r="G116" s="334"/>
      <c r="H116" s="334"/>
      <c r="I116" s="435" t="e">
        <v>#N/A</v>
      </c>
      <c r="J116" s="334"/>
      <c r="K116" s="334"/>
      <c r="L116" s="346" t="s">
        <v>932</v>
      </c>
      <c r="N116" s="395" t="s">
        <v>932</v>
      </c>
      <c r="O116" s="395"/>
    </row>
    <row r="117" hidden="1" spans="1:15">
      <c r="A117" s="404">
        <v>0</v>
      </c>
      <c r="B117" s="404" t="e">
        <v>#N/A</v>
      </c>
      <c r="C117" s="404"/>
      <c r="D117" s="334"/>
      <c r="E117" s="434">
        <v>0</v>
      </c>
      <c r="F117" s="333" t="s">
        <v>104</v>
      </c>
      <c r="G117" s="334"/>
      <c r="H117" s="334"/>
      <c r="I117" s="435" t="e">
        <v>#N/A</v>
      </c>
      <c r="J117" s="334"/>
      <c r="K117" s="334"/>
      <c r="L117" s="346" t="s">
        <v>932</v>
      </c>
      <c r="N117" s="395" t="s">
        <v>932</v>
      </c>
      <c r="O117" s="395"/>
    </row>
    <row r="118" hidden="1" spans="1:15">
      <c r="A118" s="404">
        <v>0</v>
      </c>
      <c r="B118" s="404" t="e">
        <v>#N/A</v>
      </c>
      <c r="C118" s="404"/>
      <c r="D118" s="334"/>
      <c r="E118" s="434">
        <v>0</v>
      </c>
      <c r="F118" s="333" t="s">
        <v>104</v>
      </c>
      <c r="G118" s="334"/>
      <c r="H118" s="334"/>
      <c r="I118" s="435" t="e">
        <v>#N/A</v>
      </c>
      <c r="J118" s="334"/>
      <c r="K118" s="334"/>
      <c r="L118" s="346" t="s">
        <v>932</v>
      </c>
      <c r="N118" s="395" t="s">
        <v>932</v>
      </c>
      <c r="O118" s="395"/>
    </row>
    <row r="119" hidden="1" spans="1:15">
      <c r="A119" s="404">
        <v>0</v>
      </c>
      <c r="B119" s="404" t="e">
        <v>#N/A</v>
      </c>
      <c r="C119" s="404"/>
      <c r="D119" s="334"/>
      <c r="E119" s="434">
        <v>0</v>
      </c>
      <c r="F119" s="333" t="s">
        <v>104</v>
      </c>
      <c r="G119" s="334"/>
      <c r="H119" s="334"/>
      <c r="I119" s="435" t="e">
        <v>#N/A</v>
      </c>
      <c r="J119" s="334"/>
      <c r="K119" s="334"/>
      <c r="L119" s="346" t="s">
        <v>932</v>
      </c>
      <c r="N119" s="395" t="s">
        <v>932</v>
      </c>
      <c r="O119" s="395"/>
    </row>
    <row r="120" hidden="1" spans="1:15">
      <c r="A120" s="404">
        <v>0</v>
      </c>
      <c r="B120" s="404" t="e">
        <v>#N/A</v>
      </c>
      <c r="C120" s="404"/>
      <c r="D120" s="334"/>
      <c r="E120" s="434">
        <v>0</v>
      </c>
      <c r="F120" s="333" t="s">
        <v>104</v>
      </c>
      <c r="G120" s="334"/>
      <c r="H120" s="334"/>
      <c r="I120" s="435" t="e">
        <v>#N/A</v>
      </c>
      <c r="J120" s="334"/>
      <c r="K120" s="334"/>
      <c r="L120" s="346" t="s">
        <v>932</v>
      </c>
      <c r="N120" s="395" t="s">
        <v>932</v>
      </c>
      <c r="O120" s="395"/>
    </row>
    <row r="121" hidden="1" spans="1:15">
      <c r="A121" s="404">
        <v>0</v>
      </c>
      <c r="B121" s="436" t="e">
        <v>#N/A</v>
      </c>
      <c r="C121" s="436"/>
      <c r="D121" s="334"/>
      <c r="E121" s="434">
        <v>0</v>
      </c>
      <c r="F121" s="333" t="s">
        <v>104</v>
      </c>
      <c r="G121" s="334"/>
      <c r="H121" s="334"/>
      <c r="I121" s="435" t="e">
        <v>#N/A</v>
      </c>
      <c r="J121" s="334"/>
      <c r="K121" s="334"/>
      <c r="L121" s="346" t="s">
        <v>932</v>
      </c>
      <c r="N121" s="395" t="s">
        <v>932</v>
      </c>
      <c r="O121" s="395"/>
    </row>
    <row r="122" spans="1:15">
      <c r="A122" s="421"/>
      <c r="B122" s="62"/>
      <c r="C122" s="62"/>
      <c r="D122" s="422"/>
      <c r="E122" s="423"/>
      <c r="F122" s="424"/>
      <c r="G122" s="422"/>
      <c r="H122" s="422"/>
      <c r="I122" s="422"/>
      <c r="J122" s="422"/>
      <c r="K122" s="425" t="s">
        <v>14188</v>
      </c>
      <c r="L122" s="426">
        <v>242.0396</v>
      </c>
      <c r="N122" s="427">
        <v>242.0396</v>
      </c>
      <c r="O122" s="395"/>
    </row>
    <row r="123" spans="1:15">
      <c r="I123" s="437"/>
      <c r="K123" s="383" t="s">
        <v>14189</v>
      </c>
      <c r="L123" s="427">
        <v>305.38671</v>
      </c>
      <c r="N123" s="395">
        <v>280.8105</v>
      </c>
      <c r="O123" s="395"/>
    </row>
    <row r="124" spans="1:15">
      <c r="K124" s="383" t="s">
        <v>14190</v>
      </c>
      <c r="L124" s="427">
        <v>77.7265175019534</v>
      </c>
      <c r="N124" s="395">
        <v>71.4714214085554</v>
      </c>
      <c r="O124" s="395">
        <v>2.59584202555873</v>
      </c>
    </row>
    <row r="125" spans="1:15">
      <c r="K125" s="383" t="s">
        <v>14191</v>
      </c>
      <c r="L125" s="427">
        <v>2.59584202555873</v>
      </c>
      <c r="N125" s="395"/>
      <c r="O125" s="395"/>
    </row>
    <row r="126" spans="1:15">
      <c r="K126" s="383" t="s">
        <v>14192</v>
      </c>
      <c r="L126" s="395">
        <v>0</v>
      </c>
      <c r="N126" s="395"/>
      <c r="O126" s="395"/>
    </row>
    <row r="127" spans="1:15">
      <c r="A127" s="428" t="s">
        <v>14193</v>
      </c>
      <c r="B127" s="430"/>
      <c r="C127" s="430"/>
      <c r="D127" s="430"/>
      <c r="E127" s="431" t="s">
        <v>74</v>
      </c>
      <c r="F127" s="431" t="s">
        <v>1123</v>
      </c>
      <c r="G127" s="430"/>
      <c r="H127" s="430"/>
      <c r="I127" s="425" t="s">
        <v>75</v>
      </c>
      <c r="J127" s="430"/>
      <c r="K127" s="430"/>
      <c r="L127" s="426" t="s">
        <v>14194</v>
      </c>
      <c r="N127" s="395"/>
      <c r="O127" s="395"/>
    </row>
    <row r="128" spans="1:15">
      <c r="A128" s="404" t="s">
        <v>851</v>
      </c>
      <c r="B128" s="433" t="s">
        <v>14226</v>
      </c>
      <c r="C128" s="433"/>
      <c r="D128" s="334"/>
      <c r="E128" s="434">
        <v>0.59948</v>
      </c>
      <c r="F128" s="333" t="s">
        <v>99</v>
      </c>
      <c r="G128" s="334"/>
      <c r="I128" s="395">
        <v>412.326997156484</v>
      </c>
      <c r="J128" s="395"/>
      <c r="K128" s="395"/>
      <c r="L128" s="346">
        <v>247.181788255369</v>
      </c>
      <c r="N128" s="395"/>
      <c r="O128" s="395"/>
    </row>
    <row r="129" spans="1:15">
      <c r="A129" s="404" t="s">
        <v>854</v>
      </c>
      <c r="B129" s="404" t="s">
        <v>172</v>
      </c>
      <c r="C129" s="404"/>
      <c r="D129" s="334"/>
      <c r="E129" s="434">
        <v>0.73508</v>
      </c>
      <c r="F129" s="333" t="s">
        <v>99</v>
      </c>
      <c r="G129" s="334"/>
      <c r="I129" s="395">
        <v>496.690992606858</v>
      </c>
      <c r="J129" s="395"/>
      <c r="K129" s="395"/>
      <c r="L129" s="346">
        <v>365.107614845449</v>
      </c>
      <c r="N129" s="395"/>
      <c r="O129" s="395"/>
    </row>
    <row r="130" spans="1:15">
      <c r="A130" s="404" t="s">
        <v>836</v>
      </c>
      <c r="B130" s="404" t="s">
        <v>14227</v>
      </c>
      <c r="C130" s="404"/>
      <c r="D130" s="334"/>
      <c r="E130" s="434">
        <v>280.53418</v>
      </c>
      <c r="F130" s="333" t="s">
        <v>101</v>
      </c>
      <c r="G130" s="334"/>
      <c r="I130" s="395">
        <v>0.973615959156765</v>
      </c>
      <c r="J130" s="395"/>
      <c r="K130" s="395"/>
      <c r="L130" s="346">
        <v>273.132554736957</v>
      </c>
      <c r="N130" s="395"/>
      <c r="O130" s="395"/>
    </row>
    <row r="131" hidden="1" spans="1:15">
      <c r="A131" s="404">
        <v>0</v>
      </c>
      <c r="B131" s="404" t="e">
        <v>#N/A</v>
      </c>
      <c r="C131" s="404"/>
      <c r="D131" s="334"/>
      <c r="E131" s="434">
        <v>0</v>
      </c>
      <c r="F131" s="333" t="e">
        <v>#N/A</v>
      </c>
      <c r="G131" s="334"/>
      <c r="I131" s="395" t="e">
        <v>#N/A</v>
      </c>
      <c r="J131" s="395"/>
      <c r="K131" s="395"/>
      <c r="L131" s="346" t="s">
        <v>932</v>
      </c>
      <c r="N131" s="395"/>
      <c r="O131" s="395"/>
    </row>
    <row r="132" hidden="1" spans="1:15">
      <c r="A132" s="404">
        <v>0</v>
      </c>
      <c r="B132" s="404" t="e">
        <v>#N/A</v>
      </c>
      <c r="C132" s="404"/>
      <c r="D132" s="334"/>
      <c r="E132" s="434">
        <v>0</v>
      </c>
      <c r="F132" s="333" t="e">
        <v>#N/A</v>
      </c>
      <c r="G132" s="334"/>
      <c r="H132" s="334"/>
      <c r="I132" s="395" t="e">
        <v>#N/A</v>
      </c>
      <c r="J132" s="395"/>
      <c r="K132" s="395"/>
      <c r="L132" s="346" t="s">
        <v>932</v>
      </c>
      <c r="N132" s="395"/>
      <c r="O132" s="395"/>
    </row>
    <row r="133" hidden="1" spans="1:15">
      <c r="A133" s="404">
        <v>0</v>
      </c>
      <c r="B133" s="404" t="e">
        <v>#N/A</v>
      </c>
      <c r="C133" s="404"/>
      <c r="D133" s="334"/>
      <c r="E133" s="434">
        <v>0</v>
      </c>
      <c r="F133" s="333" t="e">
        <v>#N/A</v>
      </c>
      <c r="G133" s="334"/>
      <c r="H133" s="334"/>
      <c r="I133" s="395" t="e">
        <v>#N/A</v>
      </c>
      <c r="J133" s="395"/>
      <c r="K133" s="395"/>
      <c r="L133" s="346" t="s">
        <v>932</v>
      </c>
      <c r="N133" s="395"/>
      <c r="O133" s="395"/>
    </row>
    <row r="134" hidden="1" spans="1:15">
      <c r="A134" s="404">
        <v>0</v>
      </c>
      <c r="B134" s="404" t="e">
        <v>#N/A</v>
      </c>
      <c r="C134" s="404"/>
      <c r="D134" s="334"/>
      <c r="E134" s="434">
        <v>0</v>
      </c>
      <c r="F134" s="333" t="e">
        <v>#N/A</v>
      </c>
      <c r="G134" s="334"/>
      <c r="H134" s="334"/>
      <c r="I134" s="395" t="e">
        <v>#N/A</v>
      </c>
      <c r="J134" s="395"/>
      <c r="K134" s="395"/>
      <c r="L134" s="346" t="s">
        <v>932</v>
      </c>
      <c r="N134" s="395"/>
      <c r="O134" s="395"/>
    </row>
    <row r="135" hidden="1" spans="1:15">
      <c r="A135" s="404">
        <v>0</v>
      </c>
      <c r="B135" s="404" t="e">
        <v>#N/A</v>
      </c>
      <c r="C135" s="404"/>
      <c r="D135" s="438"/>
      <c r="E135" s="434">
        <v>0</v>
      </c>
      <c r="F135" s="333" t="e">
        <v>#N/A</v>
      </c>
      <c r="G135" s="334"/>
      <c r="H135" s="334"/>
      <c r="I135" s="395" t="e">
        <v>#N/A</v>
      </c>
      <c r="J135" s="395"/>
      <c r="K135" s="395"/>
      <c r="L135" s="346" t="s">
        <v>932</v>
      </c>
      <c r="N135" s="395"/>
      <c r="O135" s="395"/>
    </row>
    <row r="136" spans="1:15">
      <c r="A136" s="421"/>
      <c r="B136" s="422"/>
      <c r="C136" s="422"/>
      <c r="D136" s="422"/>
      <c r="E136" s="423"/>
      <c r="F136" s="424"/>
      <c r="G136" s="422"/>
      <c r="H136" s="422"/>
      <c r="I136" s="430"/>
      <c r="J136" s="430"/>
      <c r="K136" s="425" t="s">
        <v>14203</v>
      </c>
      <c r="L136" s="426">
        <v>885.421957837774</v>
      </c>
      <c r="N136" s="395"/>
      <c r="O136" s="395"/>
    </row>
    <row r="137" hidden="1" spans="1:15">
      <c r="A137" s="428" t="s">
        <v>14204</v>
      </c>
      <c r="B137" s="430"/>
      <c r="C137" s="430"/>
      <c r="D137" s="430"/>
      <c r="E137" s="431" t="s">
        <v>74</v>
      </c>
      <c r="F137" s="431" t="s">
        <v>1123</v>
      </c>
      <c r="G137" s="430"/>
      <c r="H137" s="430"/>
      <c r="I137" s="425" t="s">
        <v>75</v>
      </c>
      <c r="J137" s="430"/>
      <c r="K137" s="430"/>
      <c r="L137" s="426" t="s">
        <v>14194</v>
      </c>
      <c r="N137" s="395"/>
      <c r="O137" s="395"/>
    </row>
    <row r="138" hidden="1" spans="1:15">
      <c r="A138" s="404">
        <v>0</v>
      </c>
      <c r="B138" s="334" t="e">
        <v>#N/A</v>
      </c>
      <c r="C138" s="334"/>
      <c r="D138" s="334"/>
      <c r="E138" s="434">
        <v>0</v>
      </c>
      <c r="F138" s="333" t="e">
        <v>#N/A</v>
      </c>
      <c r="G138" s="439"/>
      <c r="I138" s="346" t="e">
        <v>#N/A</v>
      </c>
      <c r="L138" s="346" t="s">
        <v>932</v>
      </c>
      <c r="N138" s="395"/>
      <c r="O138" s="395"/>
    </row>
    <row r="139" hidden="1" spans="1:15">
      <c r="A139" s="401">
        <v>0</v>
      </c>
      <c r="B139" s="334" t="e">
        <v>#N/A</v>
      </c>
      <c r="E139" s="440">
        <v>0</v>
      </c>
      <c r="F139" s="333" t="e">
        <v>#N/A</v>
      </c>
      <c r="G139" s="439"/>
      <c r="I139" s="346" t="e">
        <v>#N/A</v>
      </c>
      <c r="L139" s="346" t="s">
        <v>932</v>
      </c>
      <c r="N139" s="395"/>
      <c r="O139" s="395"/>
    </row>
    <row r="140" hidden="1" spans="1:15">
      <c r="A140" s="401">
        <v>0</v>
      </c>
      <c r="B140" s="334" t="e">
        <v>#N/A</v>
      </c>
      <c r="E140" s="440">
        <v>0</v>
      </c>
      <c r="F140" s="333" t="e">
        <v>#N/A</v>
      </c>
      <c r="G140" s="439"/>
      <c r="I140" s="346" t="e">
        <v>#N/A</v>
      </c>
      <c r="L140" s="346" t="s">
        <v>932</v>
      </c>
      <c r="N140" s="395"/>
      <c r="O140" s="395"/>
    </row>
    <row r="141" hidden="1" spans="1:15">
      <c r="A141" s="401">
        <v>0</v>
      </c>
      <c r="B141" s="334" t="e">
        <v>#N/A</v>
      </c>
      <c r="E141" s="440">
        <v>0</v>
      </c>
      <c r="F141" s="333" t="e">
        <v>#N/A</v>
      </c>
      <c r="G141" s="439"/>
      <c r="I141" s="346" t="e">
        <v>#N/A</v>
      </c>
      <c r="L141" s="346" t="s">
        <v>932</v>
      </c>
      <c r="N141" s="395"/>
      <c r="O141" s="395"/>
    </row>
    <row r="142" hidden="1" spans="1:15">
      <c r="A142" s="401">
        <v>0</v>
      </c>
      <c r="B142" s="334" t="e">
        <v>#N/A</v>
      </c>
      <c r="E142" s="440">
        <v>0</v>
      </c>
      <c r="F142" s="333" t="e">
        <v>#N/A</v>
      </c>
      <c r="G142" s="439"/>
      <c r="I142" s="346" t="e">
        <v>#N/A</v>
      </c>
      <c r="L142" s="346" t="s">
        <v>932</v>
      </c>
      <c r="N142" s="395"/>
      <c r="O142" s="395"/>
    </row>
    <row r="143" hidden="1" spans="1:15">
      <c r="A143" s="401">
        <v>0</v>
      </c>
      <c r="B143" s="334" t="e">
        <v>#N/A</v>
      </c>
      <c r="E143" s="440">
        <v>0</v>
      </c>
      <c r="F143" s="333" t="e">
        <v>#N/A</v>
      </c>
      <c r="G143" s="439"/>
      <c r="I143" s="346" t="e">
        <v>#N/A</v>
      </c>
      <c r="L143" s="346" t="s">
        <v>932</v>
      </c>
      <c r="N143" s="395"/>
      <c r="O143" s="395"/>
    </row>
    <row r="144" hidden="1" spans="1:15">
      <c r="A144" s="421"/>
      <c r="B144" s="422"/>
      <c r="C144" s="422"/>
      <c r="D144" s="422"/>
      <c r="E144" s="422"/>
      <c r="F144" s="422"/>
      <c r="G144" s="422"/>
      <c r="H144" s="422"/>
      <c r="I144" s="430"/>
      <c r="J144" s="430"/>
      <c r="K144" s="425" t="s">
        <v>14206</v>
      </c>
      <c r="L144" s="426">
        <v>0</v>
      </c>
      <c r="N144" s="395"/>
      <c r="O144" s="395"/>
    </row>
    <row r="145" spans="1:15">
      <c r="A145" s="421"/>
      <c r="B145" s="422"/>
      <c r="C145" s="422"/>
      <c r="D145" s="422"/>
      <c r="E145" s="422"/>
      <c r="F145" s="422"/>
      <c r="G145" s="422"/>
      <c r="H145" s="422"/>
      <c r="I145" s="430"/>
      <c r="J145" s="430"/>
      <c r="K145" s="425" t="s">
        <v>14207</v>
      </c>
      <c r="L145" s="426">
        <v>965.744317365286</v>
      </c>
      <c r="N145" s="395"/>
      <c r="O145" s="395"/>
    </row>
    <row r="146" spans="1:15">
      <c r="A146" s="428" t="s">
        <v>14208</v>
      </c>
      <c r="B146" s="430"/>
      <c r="C146" s="430"/>
      <c r="D146" s="431" t="s">
        <v>55</v>
      </c>
      <c r="E146" s="431" t="s">
        <v>74</v>
      </c>
      <c r="F146" s="431" t="s">
        <v>1123</v>
      </c>
      <c r="G146" s="430"/>
      <c r="H146" s="430"/>
      <c r="I146" s="425" t="s">
        <v>75</v>
      </c>
      <c r="J146" s="430"/>
      <c r="K146" s="430"/>
      <c r="L146" s="426" t="s">
        <v>14194</v>
      </c>
      <c r="N146" s="395"/>
      <c r="O146" s="395"/>
    </row>
    <row r="147" spans="1:15">
      <c r="A147" s="404" t="s">
        <v>851</v>
      </c>
      <c r="B147" s="441" t="s">
        <v>14226</v>
      </c>
      <c r="C147" s="441"/>
      <c r="D147" s="442">
        <v>5914647</v>
      </c>
      <c r="E147" s="434">
        <v>0.89922</v>
      </c>
      <c r="F147" s="333" t="s">
        <v>9885</v>
      </c>
      <c r="G147" s="443" t="s">
        <v>14209</v>
      </c>
      <c r="H147" s="334"/>
      <c r="I147" s="346">
        <v>1.88</v>
      </c>
      <c r="J147" s="334"/>
      <c r="K147" s="346"/>
      <c r="L147" s="346">
        <v>1.6905336</v>
      </c>
      <c r="N147" s="395"/>
      <c r="O147" s="395"/>
    </row>
    <row r="148" spans="1:15">
      <c r="A148" s="404" t="s">
        <v>854</v>
      </c>
      <c r="B148" s="334" t="s">
        <v>172</v>
      </c>
      <c r="C148" s="334"/>
      <c r="D148" s="442">
        <v>5914647</v>
      </c>
      <c r="E148" s="434">
        <v>1.10262</v>
      </c>
      <c r="F148" s="333" t="s">
        <v>9885</v>
      </c>
      <c r="G148" s="334"/>
      <c r="H148" s="334"/>
      <c r="I148" s="346">
        <v>1.88</v>
      </c>
      <c r="J148" s="334"/>
      <c r="K148" s="346"/>
      <c r="L148" s="346">
        <v>2.0729256</v>
      </c>
      <c r="N148" s="395"/>
      <c r="O148" s="395"/>
    </row>
    <row r="149" spans="1:15">
      <c r="A149" s="404" t="s">
        <v>836</v>
      </c>
      <c r="B149" s="334" t="s">
        <v>14227</v>
      </c>
      <c r="C149" s="334"/>
      <c r="D149" s="442">
        <v>5914655</v>
      </c>
      <c r="E149" s="434">
        <v>0.28053</v>
      </c>
      <c r="F149" s="333" t="s">
        <v>9885</v>
      </c>
      <c r="G149" s="334"/>
      <c r="H149" s="334"/>
      <c r="I149" s="346">
        <v>35.43</v>
      </c>
      <c r="J149" s="334"/>
      <c r="K149" s="346"/>
      <c r="L149" s="346">
        <v>9.9391779</v>
      </c>
      <c r="N149" s="395"/>
      <c r="O149" s="395"/>
    </row>
    <row r="150" hidden="1" spans="1:15">
      <c r="A150" s="404">
        <v>0</v>
      </c>
      <c r="B150" s="334" t="e">
        <v>#N/A</v>
      </c>
      <c r="C150" s="334"/>
      <c r="D150" s="442">
        <v>0</v>
      </c>
      <c r="E150" s="434">
        <v>0</v>
      </c>
      <c r="F150" s="333" t="s">
        <v>9885</v>
      </c>
      <c r="G150" s="334"/>
      <c r="H150" s="334"/>
      <c r="I150" s="346">
        <v>0</v>
      </c>
      <c r="J150" s="334"/>
      <c r="K150" s="346"/>
      <c r="L150" s="346" t="s">
        <v>932</v>
      </c>
      <c r="N150" s="395"/>
      <c r="O150" s="395"/>
    </row>
    <row r="151" hidden="1" spans="1:15">
      <c r="A151" s="404">
        <v>0</v>
      </c>
      <c r="B151" s="334" t="e">
        <v>#N/A</v>
      </c>
      <c r="C151" s="334"/>
      <c r="D151" s="442">
        <v>0</v>
      </c>
      <c r="E151" s="434">
        <v>0</v>
      </c>
      <c r="F151" s="333" t="s">
        <v>9885</v>
      </c>
      <c r="G151" s="334"/>
      <c r="H151" s="334"/>
      <c r="I151" s="346">
        <v>0</v>
      </c>
      <c r="J151" s="334"/>
      <c r="K151" s="346"/>
      <c r="L151" s="346" t="s">
        <v>932</v>
      </c>
      <c r="N151" s="395"/>
      <c r="O151" s="395"/>
    </row>
    <row r="152" hidden="1" spans="1:15">
      <c r="A152" s="404">
        <v>0</v>
      </c>
      <c r="B152" s="334" t="e">
        <v>#N/A</v>
      </c>
      <c r="C152" s="334"/>
      <c r="D152" s="442">
        <v>0</v>
      </c>
      <c r="E152" s="434">
        <v>0</v>
      </c>
      <c r="F152" s="333" t="s">
        <v>9885</v>
      </c>
      <c r="G152" s="334"/>
      <c r="H152" s="334"/>
      <c r="I152" s="346">
        <v>0</v>
      </c>
      <c r="J152" s="334"/>
      <c r="K152" s="346"/>
      <c r="L152" s="346" t="s">
        <v>932</v>
      </c>
      <c r="N152" s="395"/>
      <c r="O152" s="395"/>
    </row>
    <row r="153" hidden="1" spans="1:15">
      <c r="A153" s="404">
        <v>0</v>
      </c>
      <c r="B153" s="334" t="e">
        <v>#N/A</v>
      </c>
      <c r="C153" s="334"/>
      <c r="D153" s="442">
        <v>0</v>
      </c>
      <c r="E153" s="434">
        <v>0</v>
      </c>
      <c r="F153" s="333" t="s">
        <v>9885</v>
      </c>
      <c r="G153" s="334"/>
      <c r="H153" s="334"/>
      <c r="I153" s="346">
        <v>0</v>
      </c>
      <c r="J153" s="334"/>
      <c r="K153" s="346"/>
      <c r="L153" s="346" t="s">
        <v>932</v>
      </c>
      <c r="N153" s="395"/>
      <c r="O153" s="395"/>
    </row>
    <row r="154" hidden="1" spans="1:15">
      <c r="A154" s="404">
        <v>0</v>
      </c>
      <c r="B154" s="444" t="e">
        <v>#N/A</v>
      </c>
      <c r="C154" s="444"/>
      <c r="D154" s="442">
        <v>0</v>
      </c>
      <c r="E154" s="434">
        <v>0</v>
      </c>
      <c r="F154" s="333" t="s">
        <v>9885</v>
      </c>
      <c r="G154" s="334"/>
      <c r="H154" s="334"/>
      <c r="I154" s="346">
        <v>0</v>
      </c>
      <c r="J154" s="334"/>
      <c r="K154" s="346"/>
      <c r="L154" s="346" t="s">
        <v>932</v>
      </c>
      <c r="N154" s="395"/>
      <c r="O154" s="395"/>
    </row>
    <row r="155" spans="1:15">
      <c r="A155" s="428"/>
      <c r="B155" s="445"/>
      <c r="C155" s="445"/>
      <c r="D155" s="430"/>
      <c r="E155" s="430"/>
      <c r="F155" s="430"/>
      <c r="G155" s="430"/>
      <c r="H155" s="430"/>
      <c r="I155" s="430"/>
      <c r="J155" s="430"/>
      <c r="K155" s="425" t="s">
        <v>14210</v>
      </c>
      <c r="L155" s="426">
        <v>13.7026371</v>
      </c>
      <c r="N155" s="395"/>
      <c r="O155" s="395"/>
    </row>
    <row r="156" hidden="1" spans="1:15">
      <c r="A156" s="446" t="s">
        <v>14211</v>
      </c>
      <c r="B156" s="445"/>
      <c r="C156" s="445"/>
      <c r="D156" s="447" t="s">
        <v>55</v>
      </c>
      <c r="E156" s="445" t="s">
        <v>74</v>
      </c>
      <c r="F156" s="447" t="s">
        <v>1123</v>
      </c>
      <c r="G156" s="445"/>
      <c r="H156" s="447" t="s">
        <v>72</v>
      </c>
      <c r="I156" s="447" t="s">
        <v>75</v>
      </c>
      <c r="J156" s="445"/>
      <c r="K156" s="448"/>
      <c r="L156" s="449" t="s">
        <v>14194</v>
      </c>
      <c r="N156" s="395"/>
      <c r="O156" s="395"/>
    </row>
    <row r="157" hidden="1" spans="1:15">
      <c r="A157" s="404" t="s">
        <v>851</v>
      </c>
      <c r="B157" s="433" t="s">
        <v>14226</v>
      </c>
      <c r="C157" s="433"/>
      <c r="D157" s="442">
        <v>5914359</v>
      </c>
      <c r="E157" s="450">
        <v>0.89922</v>
      </c>
      <c r="F157" s="333" t="s">
        <v>13063</v>
      </c>
      <c r="G157" s="333" t="s">
        <v>14212</v>
      </c>
      <c r="H157" s="346">
        <v>0</v>
      </c>
      <c r="I157" s="346">
        <v>1.28</v>
      </c>
      <c r="J157" s="346"/>
      <c r="K157" s="334"/>
      <c r="L157" s="346">
        <v>0</v>
      </c>
      <c r="N157" s="395"/>
      <c r="O157" s="395"/>
    </row>
    <row r="158" hidden="1" spans="1:15">
      <c r="A158" s="404"/>
      <c r="B158" s="404"/>
      <c r="C158" s="334"/>
      <c r="D158" s="442">
        <v>5914374</v>
      </c>
      <c r="E158" s="450">
        <v>0.89922</v>
      </c>
      <c r="F158" s="333" t="s">
        <v>13063</v>
      </c>
      <c r="G158" s="333" t="s">
        <v>14213</v>
      </c>
      <c r="H158" s="346">
        <v>0</v>
      </c>
      <c r="I158" s="346">
        <v>1.02</v>
      </c>
      <c r="J158" s="346"/>
      <c r="K158" s="334"/>
      <c r="L158" s="346">
        <v>0</v>
      </c>
      <c r="N158" s="395"/>
      <c r="O158" s="395"/>
    </row>
    <row r="159" hidden="1" spans="1:15">
      <c r="A159" s="404"/>
      <c r="B159" s="404"/>
      <c r="C159" s="334"/>
      <c r="D159" s="442">
        <v>5914389</v>
      </c>
      <c r="E159" s="450">
        <v>0.89922</v>
      </c>
      <c r="F159" s="333" t="s">
        <v>13063</v>
      </c>
      <c r="G159" s="333" t="s">
        <v>14214</v>
      </c>
      <c r="H159" s="346">
        <v>0</v>
      </c>
      <c r="I159" s="346">
        <v>0.84</v>
      </c>
      <c r="J159" s="346"/>
      <c r="K159" s="334"/>
      <c r="L159" s="346">
        <v>0</v>
      </c>
      <c r="N159" s="395"/>
      <c r="O159" s="395"/>
    </row>
    <row r="160" hidden="1" spans="1:15">
      <c r="A160" s="404" t="s">
        <v>854</v>
      </c>
      <c r="B160" s="404" t="s">
        <v>172</v>
      </c>
      <c r="C160" s="404"/>
      <c r="D160" s="442">
        <v>5914359</v>
      </c>
      <c r="E160" s="450">
        <v>1.10262</v>
      </c>
      <c r="F160" s="333" t="s">
        <v>13063</v>
      </c>
      <c r="G160" s="333" t="s">
        <v>14212</v>
      </c>
      <c r="H160" s="346">
        <v>0</v>
      </c>
      <c r="I160" s="346">
        <v>1.28</v>
      </c>
      <c r="J160" s="346"/>
      <c r="K160" s="334"/>
      <c r="L160" s="346">
        <v>0</v>
      </c>
      <c r="N160" s="395"/>
      <c r="O160" s="395"/>
    </row>
    <row r="161" hidden="1" spans="1:15">
      <c r="A161" s="404"/>
      <c r="B161" s="404"/>
      <c r="C161" s="334"/>
      <c r="D161" s="442">
        <v>5914374</v>
      </c>
      <c r="E161" s="450">
        <v>1.10262</v>
      </c>
      <c r="F161" s="333" t="s">
        <v>13063</v>
      </c>
      <c r="G161" s="333" t="s">
        <v>14213</v>
      </c>
      <c r="H161" s="346">
        <v>0</v>
      </c>
      <c r="I161" s="346">
        <v>1.02</v>
      </c>
      <c r="J161" s="346"/>
      <c r="K161" s="334"/>
      <c r="L161" s="346">
        <v>0</v>
      </c>
      <c r="N161" s="395"/>
      <c r="O161" s="395"/>
    </row>
    <row r="162" hidden="1" spans="1:15">
      <c r="A162" s="404"/>
      <c r="B162" s="404"/>
      <c r="C162" s="334"/>
      <c r="D162" s="442">
        <v>5914389</v>
      </c>
      <c r="E162" s="450">
        <v>1.10262</v>
      </c>
      <c r="F162" s="333" t="s">
        <v>13063</v>
      </c>
      <c r="G162" s="333" t="s">
        <v>14214</v>
      </c>
      <c r="H162" s="346">
        <v>0</v>
      </c>
      <c r="I162" s="346">
        <v>0.84</v>
      </c>
      <c r="J162" s="346"/>
      <c r="K162" s="334"/>
      <c r="L162" s="346">
        <v>0</v>
      </c>
      <c r="N162" s="395"/>
      <c r="O162" s="395"/>
    </row>
    <row r="163" hidden="1" spans="1:15">
      <c r="A163" s="404" t="s">
        <v>836</v>
      </c>
      <c r="B163" s="404" t="s">
        <v>14227</v>
      </c>
      <c r="C163" s="404"/>
      <c r="D163" s="442">
        <v>5914449</v>
      </c>
      <c r="E163" s="450">
        <v>0.28053</v>
      </c>
      <c r="F163" s="333" t="s">
        <v>13063</v>
      </c>
      <c r="G163" s="333" t="s">
        <v>14212</v>
      </c>
      <c r="H163" s="346">
        <v>0</v>
      </c>
      <c r="I163" s="346">
        <v>1.11</v>
      </c>
      <c r="J163" s="346"/>
      <c r="K163" s="334"/>
      <c r="L163" s="346">
        <v>0</v>
      </c>
      <c r="N163" s="395"/>
      <c r="O163" s="395"/>
    </row>
    <row r="164" hidden="1" spans="1:15">
      <c r="A164" s="404"/>
      <c r="B164" s="404"/>
      <c r="C164" s="334"/>
      <c r="D164" s="442">
        <v>5914464</v>
      </c>
      <c r="E164" s="450">
        <v>0.28053</v>
      </c>
      <c r="F164" s="333" t="s">
        <v>13063</v>
      </c>
      <c r="G164" s="333" t="s">
        <v>14213</v>
      </c>
      <c r="H164" s="346">
        <v>0</v>
      </c>
      <c r="I164" s="346">
        <v>0.89</v>
      </c>
      <c r="J164" s="346"/>
      <c r="K164" s="334"/>
      <c r="L164" s="346">
        <v>0</v>
      </c>
      <c r="N164" s="395"/>
      <c r="O164" s="395"/>
    </row>
    <row r="165" hidden="1" spans="1:15">
      <c r="A165" s="404"/>
      <c r="B165" s="404"/>
      <c r="C165" s="334"/>
      <c r="D165" s="442">
        <v>5914479</v>
      </c>
      <c r="E165" s="450">
        <v>0.28053</v>
      </c>
      <c r="F165" s="333" t="s">
        <v>13063</v>
      </c>
      <c r="G165" s="333" t="s">
        <v>14214</v>
      </c>
      <c r="H165" s="346">
        <v>0</v>
      </c>
      <c r="I165" s="346">
        <v>0.73</v>
      </c>
      <c r="J165" s="346"/>
      <c r="K165" s="334"/>
      <c r="L165" s="346">
        <v>0</v>
      </c>
      <c r="N165" s="395"/>
      <c r="O165" s="395"/>
    </row>
    <row r="166" hidden="1" spans="1:15">
      <c r="A166" s="404">
        <v>0</v>
      </c>
      <c r="B166" s="404" t="e">
        <v>#N/A</v>
      </c>
      <c r="C166" s="404"/>
      <c r="D166" s="442">
        <v>0</v>
      </c>
      <c r="E166" s="450">
        <v>0</v>
      </c>
      <c r="F166" s="333" t="s">
        <v>13063</v>
      </c>
      <c r="G166" s="333" t="s">
        <v>14212</v>
      </c>
      <c r="H166" s="346">
        <v>0</v>
      </c>
      <c r="I166" s="346">
        <v>0</v>
      </c>
      <c r="J166" s="346"/>
      <c r="K166" s="334"/>
      <c r="L166" s="346" t="s">
        <v>932</v>
      </c>
      <c r="N166" s="395"/>
      <c r="O166" s="395"/>
    </row>
    <row r="167" hidden="1" spans="1:15">
      <c r="A167" s="404"/>
      <c r="B167" s="404"/>
      <c r="C167" s="334"/>
      <c r="D167" s="442">
        <v>0</v>
      </c>
      <c r="E167" s="450">
        <v>0</v>
      </c>
      <c r="F167" s="333" t="s">
        <v>13063</v>
      </c>
      <c r="G167" s="333" t="s">
        <v>14213</v>
      </c>
      <c r="H167" s="346">
        <v>0</v>
      </c>
      <c r="I167" s="346">
        <v>0</v>
      </c>
      <c r="J167" s="346"/>
      <c r="K167" s="334"/>
      <c r="L167" s="346" t="s">
        <v>932</v>
      </c>
      <c r="N167" s="395"/>
      <c r="O167" s="395"/>
    </row>
    <row r="168" hidden="1" spans="1:15">
      <c r="A168" s="404"/>
      <c r="B168" s="404"/>
      <c r="C168" s="334"/>
      <c r="D168" s="442">
        <v>0</v>
      </c>
      <c r="E168" s="450">
        <v>0</v>
      </c>
      <c r="F168" s="333" t="s">
        <v>13063</v>
      </c>
      <c r="G168" s="333" t="s">
        <v>14214</v>
      </c>
      <c r="H168" s="346">
        <v>0</v>
      </c>
      <c r="I168" s="346">
        <v>0</v>
      </c>
      <c r="J168" s="346"/>
      <c r="K168" s="334"/>
      <c r="L168" s="346" t="s">
        <v>932</v>
      </c>
      <c r="N168" s="395"/>
      <c r="O168" s="395"/>
    </row>
    <row r="169" hidden="1" spans="1:15">
      <c r="A169" s="404">
        <v>0</v>
      </c>
      <c r="B169" s="404" t="e">
        <v>#N/A</v>
      </c>
      <c r="C169" s="404"/>
      <c r="D169" s="442">
        <v>0</v>
      </c>
      <c r="E169" s="450">
        <v>0</v>
      </c>
      <c r="F169" s="333" t="s">
        <v>13063</v>
      </c>
      <c r="G169" s="333" t="s">
        <v>14212</v>
      </c>
      <c r="H169" s="346">
        <v>0</v>
      </c>
      <c r="I169" s="346">
        <v>0</v>
      </c>
      <c r="J169" s="346"/>
      <c r="K169" s="334"/>
      <c r="L169" s="346" t="s">
        <v>932</v>
      </c>
      <c r="N169" s="395"/>
      <c r="O169" s="395"/>
    </row>
    <row r="170" hidden="1" spans="1:15">
      <c r="A170" s="404"/>
      <c r="B170" s="404"/>
      <c r="C170" s="334"/>
      <c r="D170" s="442">
        <v>0</v>
      </c>
      <c r="E170" s="450">
        <v>0</v>
      </c>
      <c r="F170" s="333" t="s">
        <v>13063</v>
      </c>
      <c r="G170" s="333" t="s">
        <v>14213</v>
      </c>
      <c r="H170" s="346">
        <v>0</v>
      </c>
      <c r="I170" s="346">
        <v>0</v>
      </c>
      <c r="J170" s="346"/>
      <c r="K170" s="334"/>
      <c r="L170" s="346" t="s">
        <v>932</v>
      </c>
      <c r="N170" s="395"/>
      <c r="O170" s="395"/>
    </row>
    <row r="171" hidden="1" spans="1:15">
      <c r="A171" s="404"/>
      <c r="B171" s="404"/>
      <c r="C171" s="334"/>
      <c r="D171" s="442">
        <v>0</v>
      </c>
      <c r="E171" s="450">
        <v>0</v>
      </c>
      <c r="F171" s="333" t="s">
        <v>13063</v>
      </c>
      <c r="G171" s="333" t="s">
        <v>14214</v>
      </c>
      <c r="H171" s="346">
        <v>0</v>
      </c>
      <c r="I171" s="346">
        <v>0</v>
      </c>
      <c r="J171" s="346"/>
      <c r="K171" s="334"/>
      <c r="L171" s="346" t="s">
        <v>932</v>
      </c>
      <c r="N171" s="395"/>
      <c r="O171" s="395"/>
    </row>
    <row r="172" hidden="1" spans="1:15">
      <c r="A172" s="401">
        <v>0</v>
      </c>
      <c r="B172" s="401" t="e">
        <v>#N/A</v>
      </c>
      <c r="C172" s="401"/>
      <c r="D172" s="442">
        <v>0</v>
      </c>
      <c r="E172" s="450">
        <v>0</v>
      </c>
      <c r="F172" s="439" t="s">
        <v>13063</v>
      </c>
      <c r="G172" s="439" t="s">
        <v>14212</v>
      </c>
      <c r="H172" s="346">
        <v>0</v>
      </c>
      <c r="I172" s="346">
        <v>0</v>
      </c>
      <c r="J172" s="395"/>
      <c r="L172" s="346" t="s">
        <v>932</v>
      </c>
      <c r="N172" s="395"/>
      <c r="O172" s="395"/>
    </row>
    <row r="173" hidden="1" spans="1:15">
      <c r="A173" s="401"/>
      <c r="B173" s="401"/>
      <c r="D173" s="442">
        <v>0</v>
      </c>
      <c r="E173" s="450">
        <v>0</v>
      </c>
      <c r="F173" s="439" t="s">
        <v>13063</v>
      </c>
      <c r="G173" s="439" t="s">
        <v>14213</v>
      </c>
      <c r="H173" s="346">
        <v>0</v>
      </c>
      <c r="I173" s="346">
        <v>0</v>
      </c>
      <c r="J173" s="395"/>
      <c r="L173" s="346" t="s">
        <v>932</v>
      </c>
      <c r="N173" s="395"/>
      <c r="O173" s="395"/>
    </row>
    <row r="174" hidden="1" spans="1:15">
      <c r="A174" s="401"/>
      <c r="B174" s="401"/>
      <c r="D174" s="442">
        <v>0</v>
      </c>
      <c r="E174" s="450">
        <v>0</v>
      </c>
      <c r="F174" s="439" t="s">
        <v>13063</v>
      </c>
      <c r="G174" s="439" t="s">
        <v>14214</v>
      </c>
      <c r="H174" s="346">
        <v>0</v>
      </c>
      <c r="I174" s="346">
        <v>0</v>
      </c>
      <c r="J174" s="395"/>
      <c r="L174" s="346" t="s">
        <v>932</v>
      </c>
      <c r="N174" s="395"/>
      <c r="O174" s="395"/>
    </row>
    <row r="175" hidden="1" spans="1:15">
      <c r="A175" s="401">
        <v>0</v>
      </c>
      <c r="B175" s="401" t="e">
        <v>#N/A</v>
      </c>
      <c r="C175" s="401"/>
      <c r="D175" s="442">
        <v>0</v>
      </c>
      <c r="E175" s="450">
        <v>0</v>
      </c>
      <c r="F175" s="439" t="s">
        <v>13063</v>
      </c>
      <c r="G175" s="439" t="s">
        <v>14212</v>
      </c>
      <c r="H175" s="346">
        <v>0</v>
      </c>
      <c r="I175" s="346">
        <v>0</v>
      </c>
      <c r="J175" s="395"/>
      <c r="L175" s="346" t="s">
        <v>932</v>
      </c>
      <c r="N175" s="395"/>
      <c r="O175" s="395"/>
    </row>
    <row r="176" hidden="1" spans="1:15">
      <c r="A176" s="401"/>
      <c r="B176" s="401"/>
      <c r="D176" s="442">
        <v>0</v>
      </c>
      <c r="E176" s="450">
        <v>0</v>
      </c>
      <c r="F176" s="439" t="s">
        <v>13063</v>
      </c>
      <c r="G176" s="439" t="s">
        <v>14213</v>
      </c>
      <c r="H176" s="346">
        <v>0</v>
      </c>
      <c r="I176" s="346">
        <v>0</v>
      </c>
      <c r="J176" s="395"/>
      <c r="L176" s="346" t="s">
        <v>932</v>
      </c>
      <c r="N176" s="395"/>
      <c r="O176" s="395"/>
    </row>
    <row r="177" hidden="1" spans="1:15">
      <c r="A177" s="401"/>
      <c r="B177" s="401"/>
      <c r="D177" s="442">
        <v>0</v>
      </c>
      <c r="E177" s="450">
        <v>0</v>
      </c>
      <c r="F177" s="439" t="s">
        <v>13063</v>
      </c>
      <c r="G177" s="439" t="s">
        <v>14214</v>
      </c>
      <c r="H177" s="346">
        <v>0</v>
      </c>
      <c r="I177" s="346">
        <v>0</v>
      </c>
      <c r="J177" s="395"/>
      <c r="L177" s="346" t="s">
        <v>932</v>
      </c>
      <c r="N177" s="395"/>
      <c r="O177" s="395"/>
    </row>
    <row r="178" hidden="1" spans="1:15">
      <c r="A178" s="401">
        <v>0</v>
      </c>
      <c r="B178" s="401" t="e">
        <v>#N/A</v>
      </c>
      <c r="C178" s="401"/>
      <c r="D178" s="442">
        <v>0</v>
      </c>
      <c r="E178" s="450">
        <v>0</v>
      </c>
      <c r="F178" s="439" t="s">
        <v>13063</v>
      </c>
      <c r="G178" s="439" t="s">
        <v>14212</v>
      </c>
      <c r="H178" s="346">
        <v>0</v>
      </c>
      <c r="I178" s="346">
        <v>0</v>
      </c>
      <c r="J178" s="395"/>
      <c r="L178" s="346" t="s">
        <v>932</v>
      </c>
      <c r="N178" s="395"/>
      <c r="O178" s="395"/>
    </row>
    <row r="179" hidden="1" spans="1:15">
      <c r="A179" s="401"/>
      <c r="B179" s="401"/>
      <c r="D179" s="442">
        <v>0</v>
      </c>
      <c r="E179" s="450">
        <v>0</v>
      </c>
      <c r="F179" s="439" t="s">
        <v>13063</v>
      </c>
      <c r="G179" s="439" t="s">
        <v>14213</v>
      </c>
      <c r="H179" s="346">
        <v>0</v>
      </c>
      <c r="I179" s="346">
        <v>0</v>
      </c>
      <c r="J179" s="395"/>
      <c r="L179" s="346" t="s">
        <v>932</v>
      </c>
      <c r="N179" s="395"/>
      <c r="O179" s="395"/>
    </row>
    <row r="180" hidden="1" spans="1:15">
      <c r="A180" s="401"/>
      <c r="B180" s="401"/>
      <c r="D180" s="442">
        <v>0</v>
      </c>
      <c r="E180" s="450">
        <v>0</v>
      </c>
      <c r="F180" s="439" t="s">
        <v>13063</v>
      </c>
      <c r="G180" s="439" t="s">
        <v>14214</v>
      </c>
      <c r="H180" s="346">
        <v>0</v>
      </c>
      <c r="I180" s="346">
        <v>0</v>
      </c>
      <c r="J180" s="395"/>
      <c r="L180" s="346" t="s">
        <v>932</v>
      </c>
      <c r="N180" s="395"/>
      <c r="O180" s="395"/>
    </row>
    <row r="181" hidden="1" spans="1:15">
      <c r="A181" s="421"/>
      <c r="B181" s="422"/>
      <c r="C181" s="422"/>
      <c r="D181" s="422"/>
      <c r="E181" s="422"/>
      <c r="F181" s="422"/>
      <c r="G181" s="422"/>
      <c r="H181" s="422"/>
      <c r="I181" s="430"/>
      <c r="J181" s="430"/>
      <c r="K181" s="425" t="s">
        <v>14215</v>
      </c>
      <c r="L181" s="426">
        <v>0</v>
      </c>
      <c r="N181" s="395"/>
      <c r="O181" s="395"/>
    </row>
    <row r="182" spans="1:15">
      <c r="A182" s="451"/>
      <c r="B182" s="452"/>
      <c r="C182" s="452"/>
      <c r="D182" s="452"/>
      <c r="E182" s="452"/>
      <c r="F182" s="452"/>
      <c r="G182" s="452"/>
      <c r="H182" s="452"/>
      <c r="I182" s="453"/>
      <c r="J182" s="453"/>
      <c r="K182" s="454" t="s">
        <v>14216</v>
      </c>
      <c r="L182" s="455">
        <v>979.45</v>
      </c>
      <c r="N182" s="395"/>
      <c r="O182" s="395"/>
    </row>
    <row r="184" spans="1:15">
      <c r="A184" s="391" t="s">
        <v>14172</v>
      </c>
      <c r="B184" s="392"/>
      <c r="C184" s="392"/>
      <c r="D184" s="392"/>
      <c r="E184" s="392"/>
      <c r="F184" s="392"/>
      <c r="G184" s="393"/>
      <c r="H184" s="393"/>
      <c r="I184" s="393"/>
      <c r="J184" s="393"/>
      <c r="K184" s="393"/>
      <c r="L184" s="394"/>
      <c r="N184" s="395"/>
      <c r="O184" s="395"/>
    </row>
    <row r="185" spans="1:15">
      <c r="A185" s="396">
        <v>1106165</v>
      </c>
      <c r="B185" s="397" t="s">
        <v>4183</v>
      </c>
      <c r="C185" s="397"/>
      <c r="D185" s="397"/>
      <c r="E185" s="397"/>
      <c r="F185" s="397"/>
      <c r="G185" s="397"/>
      <c r="H185" s="397" t="s">
        <v>99</v>
      </c>
      <c r="I185" s="398">
        <v>46023</v>
      </c>
      <c r="J185" s="397"/>
      <c r="K185" s="399" t="s">
        <v>14173</v>
      </c>
      <c r="L185" s="400">
        <v>0</v>
      </c>
      <c r="N185" s="395"/>
      <c r="O185" s="395"/>
    </row>
    <row r="186" spans="1:15">
      <c r="A186" s="401"/>
      <c r="H186" s="402" t="s">
        <v>14174</v>
      </c>
      <c r="I186" s="438">
        <v>3.92899</v>
      </c>
      <c r="J186" s="404" t="s">
        <v>99</v>
      </c>
      <c r="K186" s="402" t="s">
        <v>14175</v>
      </c>
      <c r="L186" s="456">
        <v>0.03632</v>
      </c>
      <c r="N186" s="395"/>
      <c r="O186" s="395"/>
    </row>
    <row r="187" hidden="1" spans="1:15">
      <c r="A187" s="405"/>
      <c r="B187" s="405"/>
      <c r="C187" s="405"/>
      <c r="D187" s="406"/>
      <c r="E187" s="406"/>
      <c r="F187" s="406"/>
      <c r="G187" s="407" t="s">
        <v>14176</v>
      </c>
      <c r="H187" s="408"/>
      <c r="I187" s="407" t="s">
        <v>14177</v>
      </c>
      <c r="J187" s="408"/>
      <c r="K187" s="405"/>
      <c r="L187" s="409" t="s">
        <v>14178</v>
      </c>
      <c r="N187" s="395"/>
      <c r="O187" s="395"/>
    </row>
    <row r="188" hidden="1" spans="1:15">
      <c r="A188" s="410" t="s">
        <v>14179</v>
      </c>
      <c r="B188" s="411"/>
      <c r="C188" s="412"/>
      <c r="D188" s="412"/>
      <c r="E188" s="413" t="s">
        <v>74</v>
      </c>
      <c r="F188" s="412"/>
      <c r="G188" s="413" t="s">
        <v>14180</v>
      </c>
      <c r="H188" s="413" t="s">
        <v>14181</v>
      </c>
      <c r="I188" s="413" t="s">
        <v>14182</v>
      </c>
      <c r="J188" s="413" t="s">
        <v>14183</v>
      </c>
      <c r="K188" s="411"/>
      <c r="L188" s="414" t="s">
        <v>14184</v>
      </c>
      <c r="N188" s="395"/>
      <c r="O188" s="395"/>
    </row>
    <row r="189" hidden="1" spans="1:15">
      <c r="A189" s="404">
        <v>0</v>
      </c>
      <c r="B189" s="415" t="e">
        <v>#N/A</v>
      </c>
      <c r="C189" s="415"/>
      <c r="E189" s="416">
        <v>0</v>
      </c>
      <c r="F189" s="334"/>
      <c r="G189" s="346">
        <v>0</v>
      </c>
      <c r="H189" s="417">
        <v>1</v>
      </c>
      <c r="I189" s="395" t="e">
        <v>#N/A</v>
      </c>
      <c r="J189" s="418" t="e">
        <v>#N/A</v>
      </c>
      <c r="K189" s="402"/>
      <c r="L189" s="395" t="s">
        <v>932</v>
      </c>
      <c r="N189" s="395" t="s">
        <v>932</v>
      </c>
      <c r="O189" s="395"/>
    </row>
    <row r="190" hidden="1" spans="1:15">
      <c r="A190" s="404">
        <v>0</v>
      </c>
      <c r="B190" s="404" t="e">
        <v>#N/A</v>
      </c>
      <c r="C190" s="404"/>
      <c r="D190" s="334"/>
      <c r="E190" s="416">
        <v>0</v>
      </c>
      <c r="F190" s="334"/>
      <c r="G190" s="346">
        <v>0</v>
      </c>
      <c r="H190" s="417">
        <v>1</v>
      </c>
      <c r="I190" s="346" t="e">
        <v>#N/A</v>
      </c>
      <c r="J190" s="419" t="e">
        <v>#N/A</v>
      </c>
      <c r="K190" s="420"/>
      <c r="L190" s="395" t="s">
        <v>932</v>
      </c>
      <c r="N190" s="395" t="s">
        <v>932</v>
      </c>
      <c r="O190" s="395"/>
    </row>
    <row r="191" hidden="1" spans="1:15">
      <c r="A191" s="404">
        <v>0</v>
      </c>
      <c r="B191" s="404" t="e">
        <v>#N/A</v>
      </c>
      <c r="C191" s="404"/>
      <c r="D191" s="334"/>
      <c r="E191" s="416">
        <v>0</v>
      </c>
      <c r="F191" s="334"/>
      <c r="G191" s="346">
        <v>0</v>
      </c>
      <c r="H191" s="417">
        <v>1</v>
      </c>
      <c r="I191" s="346" t="e">
        <v>#N/A</v>
      </c>
      <c r="J191" s="419" t="e">
        <v>#N/A</v>
      </c>
      <c r="K191" s="420"/>
      <c r="L191" s="395" t="s">
        <v>932</v>
      </c>
      <c r="N191" s="395" t="s">
        <v>932</v>
      </c>
      <c r="O191" s="395"/>
    </row>
    <row r="192" hidden="1" spans="1:15">
      <c r="A192" s="404">
        <v>0</v>
      </c>
      <c r="B192" s="404" t="e">
        <v>#N/A</v>
      </c>
      <c r="C192" s="404"/>
      <c r="D192" s="334"/>
      <c r="E192" s="416">
        <v>0</v>
      </c>
      <c r="F192" s="334"/>
      <c r="G192" s="346">
        <v>0</v>
      </c>
      <c r="H192" s="417">
        <v>1</v>
      </c>
      <c r="I192" s="346" t="e">
        <v>#N/A</v>
      </c>
      <c r="J192" s="419" t="e">
        <v>#N/A</v>
      </c>
      <c r="K192" s="420"/>
      <c r="L192" s="395" t="s">
        <v>932</v>
      </c>
      <c r="N192" s="395" t="s">
        <v>932</v>
      </c>
      <c r="O192" s="395"/>
    </row>
    <row r="193" hidden="1" spans="1:15">
      <c r="A193" s="404">
        <v>0</v>
      </c>
      <c r="B193" s="404" t="e">
        <v>#N/A</v>
      </c>
      <c r="C193" s="404"/>
      <c r="D193" s="334"/>
      <c r="E193" s="416">
        <v>0</v>
      </c>
      <c r="F193" s="334"/>
      <c r="G193" s="346">
        <v>0</v>
      </c>
      <c r="H193" s="417">
        <v>1</v>
      </c>
      <c r="I193" s="346" t="e">
        <v>#N/A</v>
      </c>
      <c r="J193" s="419" t="e">
        <v>#N/A</v>
      </c>
      <c r="K193" s="420"/>
      <c r="L193" s="395" t="s">
        <v>932</v>
      </c>
      <c r="N193" s="395" t="s">
        <v>932</v>
      </c>
      <c r="O193" s="395"/>
    </row>
    <row r="194" hidden="1" spans="1:15">
      <c r="A194" s="404">
        <v>0</v>
      </c>
      <c r="B194" s="404" t="e">
        <v>#N/A</v>
      </c>
      <c r="C194" s="404"/>
      <c r="D194" s="334"/>
      <c r="E194" s="416">
        <v>0</v>
      </c>
      <c r="F194" s="334"/>
      <c r="G194" s="346">
        <v>0</v>
      </c>
      <c r="H194" s="417">
        <v>1</v>
      </c>
      <c r="I194" s="346" t="e">
        <v>#N/A</v>
      </c>
      <c r="J194" s="419" t="e">
        <v>#N/A</v>
      </c>
      <c r="K194" s="420"/>
      <c r="L194" s="395" t="s">
        <v>932</v>
      </c>
      <c r="N194" s="395" t="s">
        <v>932</v>
      </c>
      <c r="O194" s="395"/>
    </row>
    <row r="195" hidden="1" spans="1:15">
      <c r="A195" s="404">
        <v>0</v>
      </c>
      <c r="B195" s="404" t="e">
        <v>#N/A</v>
      </c>
      <c r="C195" s="404"/>
      <c r="D195" s="334"/>
      <c r="E195" s="416">
        <v>0</v>
      </c>
      <c r="F195" s="334"/>
      <c r="G195" s="346">
        <v>0</v>
      </c>
      <c r="H195" s="417">
        <v>1</v>
      </c>
      <c r="I195" s="346" t="e">
        <v>#N/A</v>
      </c>
      <c r="J195" s="419" t="e">
        <v>#N/A</v>
      </c>
      <c r="K195" s="420"/>
      <c r="L195" s="395" t="s">
        <v>932</v>
      </c>
      <c r="N195" s="395" t="s">
        <v>932</v>
      </c>
      <c r="O195" s="395"/>
    </row>
    <row r="196" hidden="1" spans="1:15">
      <c r="A196" s="404">
        <v>0</v>
      </c>
      <c r="B196" s="404" t="e">
        <v>#N/A</v>
      </c>
      <c r="C196" s="404"/>
      <c r="D196" s="334"/>
      <c r="E196" s="416">
        <v>0</v>
      </c>
      <c r="F196" s="334"/>
      <c r="G196" s="346">
        <v>0</v>
      </c>
      <c r="H196" s="417">
        <v>1</v>
      </c>
      <c r="I196" s="346" t="e">
        <v>#N/A</v>
      </c>
      <c r="J196" s="419" t="e">
        <v>#N/A</v>
      </c>
      <c r="K196" s="420"/>
      <c r="L196" s="395" t="s">
        <v>932</v>
      </c>
      <c r="N196" s="395" t="s">
        <v>932</v>
      </c>
      <c r="O196" s="395"/>
    </row>
    <row r="197" hidden="1" spans="1:15">
      <c r="A197" s="421"/>
      <c r="B197" s="422"/>
      <c r="C197" s="422"/>
      <c r="D197" s="422"/>
      <c r="E197" s="423"/>
      <c r="F197" s="424"/>
      <c r="G197" s="422"/>
      <c r="H197" s="422"/>
      <c r="I197" s="422"/>
      <c r="J197" s="422"/>
      <c r="K197" s="425" t="s">
        <v>14185</v>
      </c>
      <c r="L197" s="426">
        <v>0</v>
      </c>
      <c r="N197" s="427">
        <v>0</v>
      </c>
      <c r="O197" s="395"/>
    </row>
    <row r="198" spans="1:15">
      <c r="A198" s="428" t="s">
        <v>14186</v>
      </c>
      <c r="B198" s="429"/>
      <c r="C198" s="429"/>
      <c r="D198" s="430"/>
      <c r="E198" s="431" t="s">
        <v>74</v>
      </c>
      <c r="F198" s="431" t="s">
        <v>1123</v>
      </c>
      <c r="G198" s="430"/>
      <c r="H198" s="422"/>
      <c r="I198" s="431" t="s">
        <v>14177</v>
      </c>
      <c r="J198" s="430"/>
      <c r="K198" s="430"/>
      <c r="L198" s="432" t="s">
        <v>14187</v>
      </c>
      <c r="N198" s="395"/>
      <c r="O198" s="395"/>
    </row>
    <row r="199" spans="1:15">
      <c r="A199" s="404" t="s">
        <v>935</v>
      </c>
      <c r="B199" s="433" t="s">
        <v>936</v>
      </c>
      <c r="C199" s="433"/>
      <c r="D199" s="334"/>
      <c r="E199" s="434">
        <v>2</v>
      </c>
      <c r="F199" s="333" t="s">
        <v>104</v>
      </c>
      <c r="G199" s="334"/>
      <c r="H199" s="334"/>
      <c r="I199" s="435">
        <v>23.6025</v>
      </c>
      <c r="J199" s="334"/>
      <c r="K199" s="334"/>
      <c r="L199" s="346">
        <v>47.205</v>
      </c>
      <c r="N199" s="395">
        <v>47.205</v>
      </c>
      <c r="O199" s="395"/>
    </row>
    <row r="200" hidden="1" spans="1:15">
      <c r="A200" s="404">
        <v>0</v>
      </c>
      <c r="B200" s="404" t="e">
        <v>#N/A</v>
      </c>
      <c r="C200" s="404"/>
      <c r="D200" s="334"/>
      <c r="E200" s="434">
        <v>0</v>
      </c>
      <c r="F200" s="333" t="s">
        <v>104</v>
      </c>
      <c r="G200" s="334"/>
      <c r="H200" s="334"/>
      <c r="I200" s="435" t="e">
        <v>#N/A</v>
      </c>
      <c r="J200" s="334"/>
      <c r="K200" s="334"/>
      <c r="L200" s="346" t="s">
        <v>932</v>
      </c>
      <c r="N200" s="395" t="s">
        <v>932</v>
      </c>
      <c r="O200" s="395"/>
    </row>
    <row r="201" hidden="1" spans="1:15">
      <c r="A201" s="404">
        <v>0</v>
      </c>
      <c r="B201" s="404" t="e">
        <v>#N/A</v>
      </c>
      <c r="C201" s="404"/>
      <c r="D201" s="334"/>
      <c r="E201" s="434">
        <v>0</v>
      </c>
      <c r="F201" s="333" t="s">
        <v>104</v>
      </c>
      <c r="G201" s="334"/>
      <c r="H201" s="334"/>
      <c r="I201" s="435" t="e">
        <v>#N/A</v>
      </c>
      <c r="J201" s="334"/>
      <c r="K201" s="334"/>
      <c r="L201" s="346" t="s">
        <v>932</v>
      </c>
      <c r="N201" s="395" t="s">
        <v>932</v>
      </c>
      <c r="O201" s="395"/>
    </row>
    <row r="202" hidden="1" spans="1:15">
      <c r="A202" s="404">
        <v>0</v>
      </c>
      <c r="B202" s="404" t="e">
        <v>#N/A</v>
      </c>
      <c r="C202" s="404"/>
      <c r="D202" s="334"/>
      <c r="E202" s="434">
        <v>0</v>
      </c>
      <c r="F202" s="333" t="s">
        <v>104</v>
      </c>
      <c r="G202" s="334"/>
      <c r="H202" s="334"/>
      <c r="I202" s="435" t="e">
        <v>#N/A</v>
      </c>
      <c r="J202" s="334"/>
      <c r="K202" s="334"/>
      <c r="L202" s="346" t="s">
        <v>932</v>
      </c>
      <c r="N202" s="395" t="s">
        <v>932</v>
      </c>
      <c r="O202" s="395"/>
    </row>
    <row r="203" hidden="1" spans="1:15">
      <c r="A203" s="404">
        <v>0</v>
      </c>
      <c r="B203" s="404" t="e">
        <v>#N/A</v>
      </c>
      <c r="C203" s="404"/>
      <c r="D203" s="334"/>
      <c r="E203" s="434">
        <v>0</v>
      </c>
      <c r="F203" s="333" t="s">
        <v>104</v>
      </c>
      <c r="G203" s="334"/>
      <c r="H203" s="334"/>
      <c r="I203" s="435" t="e">
        <v>#N/A</v>
      </c>
      <c r="J203" s="334"/>
      <c r="K203" s="334"/>
      <c r="L203" s="346" t="s">
        <v>932</v>
      </c>
      <c r="N203" s="395" t="s">
        <v>932</v>
      </c>
      <c r="O203" s="395"/>
    </row>
    <row r="204" hidden="1" spans="1:15">
      <c r="A204" s="404">
        <v>0</v>
      </c>
      <c r="B204" s="404" t="e">
        <v>#N/A</v>
      </c>
      <c r="C204" s="404"/>
      <c r="D204" s="334"/>
      <c r="E204" s="434">
        <v>0</v>
      </c>
      <c r="F204" s="333" t="s">
        <v>104</v>
      </c>
      <c r="G204" s="334"/>
      <c r="H204" s="334"/>
      <c r="I204" s="435" t="e">
        <v>#N/A</v>
      </c>
      <c r="J204" s="334"/>
      <c r="K204" s="334"/>
      <c r="L204" s="346" t="s">
        <v>932</v>
      </c>
      <c r="N204" s="395" t="s">
        <v>932</v>
      </c>
      <c r="O204" s="395"/>
    </row>
    <row r="205" hidden="1" spans="1:15">
      <c r="A205" s="404">
        <v>0</v>
      </c>
      <c r="B205" s="404" t="e">
        <v>#N/A</v>
      </c>
      <c r="C205" s="404"/>
      <c r="D205" s="334"/>
      <c r="E205" s="434">
        <v>0</v>
      </c>
      <c r="F205" s="333" t="s">
        <v>104</v>
      </c>
      <c r="G205" s="334"/>
      <c r="H205" s="334"/>
      <c r="I205" s="435" t="e">
        <v>#N/A</v>
      </c>
      <c r="J205" s="334"/>
      <c r="K205" s="334"/>
      <c r="L205" s="346" t="s">
        <v>932</v>
      </c>
      <c r="N205" s="395" t="s">
        <v>932</v>
      </c>
      <c r="O205" s="395"/>
    </row>
    <row r="206" hidden="1" spans="1:15">
      <c r="A206" s="404">
        <v>0</v>
      </c>
      <c r="B206" s="436" t="e">
        <v>#N/A</v>
      </c>
      <c r="C206" s="436"/>
      <c r="D206" s="334"/>
      <c r="E206" s="434">
        <v>0</v>
      </c>
      <c r="F206" s="333" t="s">
        <v>104</v>
      </c>
      <c r="G206" s="334"/>
      <c r="H206" s="334"/>
      <c r="I206" s="435" t="e">
        <v>#N/A</v>
      </c>
      <c r="J206" s="334"/>
      <c r="K206" s="334"/>
      <c r="L206" s="346" t="s">
        <v>932</v>
      </c>
      <c r="N206" s="395" t="s">
        <v>932</v>
      </c>
      <c r="O206" s="395"/>
    </row>
    <row r="207" spans="1:15">
      <c r="A207" s="421"/>
      <c r="B207" s="62"/>
      <c r="C207" s="62"/>
      <c r="D207" s="422"/>
      <c r="E207" s="423"/>
      <c r="F207" s="424"/>
      <c r="G207" s="422"/>
      <c r="H207" s="422"/>
      <c r="I207" s="422"/>
      <c r="J207" s="422"/>
      <c r="K207" s="425" t="s">
        <v>14188</v>
      </c>
      <c r="L207" s="426">
        <v>47.205</v>
      </c>
      <c r="N207" s="427">
        <v>47.205</v>
      </c>
      <c r="O207" s="395"/>
    </row>
    <row r="208" spans="1:15">
      <c r="I208" s="437"/>
      <c r="K208" s="383" t="s">
        <v>14189</v>
      </c>
      <c r="L208" s="427">
        <v>47.205</v>
      </c>
      <c r="N208" s="395">
        <v>47.205</v>
      </c>
      <c r="O208" s="395"/>
    </row>
    <row r="209" spans="1:15">
      <c r="K209" s="383" t="s">
        <v>14190</v>
      </c>
      <c r="L209" s="427">
        <v>12.0145380873965</v>
      </c>
      <c r="N209" s="395">
        <v>12.0145380873965</v>
      </c>
      <c r="O209" s="395">
        <v>0.436368023334241</v>
      </c>
    </row>
    <row r="210" spans="1:15">
      <c r="K210" s="383" t="s">
        <v>14191</v>
      </c>
      <c r="L210" s="427">
        <v>0.436368023334241</v>
      </c>
      <c r="N210" s="395"/>
      <c r="O210" s="395"/>
    </row>
    <row r="211" spans="1:15">
      <c r="K211" s="383" t="s">
        <v>14192</v>
      </c>
      <c r="L211" s="395">
        <v>0</v>
      </c>
      <c r="N211" s="395"/>
      <c r="O211" s="395"/>
    </row>
    <row r="212" spans="1:15">
      <c r="A212" s="428" t="s">
        <v>14193</v>
      </c>
      <c r="B212" s="430"/>
      <c r="C212" s="430"/>
      <c r="D212" s="430"/>
      <c r="E212" s="431" t="s">
        <v>74</v>
      </c>
      <c r="F212" s="431" t="s">
        <v>1123</v>
      </c>
      <c r="G212" s="430"/>
      <c r="H212" s="430"/>
      <c r="I212" s="425" t="s">
        <v>75</v>
      </c>
      <c r="J212" s="430"/>
      <c r="K212" s="430"/>
      <c r="L212" s="426" t="s">
        <v>14194</v>
      </c>
      <c r="N212" s="395"/>
      <c r="O212" s="395"/>
    </row>
    <row r="213" spans="1:15">
      <c r="A213" s="404" t="s">
        <v>14255</v>
      </c>
      <c r="B213" s="433" t="s">
        <v>14256</v>
      </c>
      <c r="C213" s="433"/>
      <c r="D213" s="334"/>
      <c r="E213" s="434">
        <v>0.526</v>
      </c>
      <c r="F213" s="333" t="s">
        <v>99</v>
      </c>
      <c r="G213" s="334"/>
      <c r="I213" s="395">
        <v>117.3231</v>
      </c>
      <c r="J213" s="395"/>
      <c r="K213" s="395"/>
      <c r="L213" s="346">
        <v>61.7119506</v>
      </c>
      <c r="N213" s="395"/>
      <c r="O213" s="395"/>
    </row>
    <row r="214" hidden="1" spans="1:15">
      <c r="A214" s="404">
        <v>0</v>
      </c>
      <c r="B214" s="404" t="e">
        <v>#N/A</v>
      </c>
      <c r="C214" s="404"/>
      <c r="D214" s="334"/>
      <c r="E214" s="434">
        <v>0</v>
      </c>
      <c r="F214" s="333" t="e">
        <v>#N/A</v>
      </c>
      <c r="G214" s="334"/>
      <c r="I214" s="395" t="e">
        <v>#N/A</v>
      </c>
      <c r="J214" s="395"/>
      <c r="K214" s="395"/>
      <c r="L214" s="346" t="s">
        <v>932</v>
      </c>
      <c r="N214" s="395"/>
      <c r="O214" s="395"/>
    </row>
    <row r="215" hidden="1" spans="1:15">
      <c r="A215" s="404">
        <v>0</v>
      </c>
      <c r="B215" s="404" t="e">
        <v>#N/A</v>
      </c>
      <c r="C215" s="404"/>
      <c r="D215" s="334"/>
      <c r="E215" s="434">
        <v>0</v>
      </c>
      <c r="F215" s="333" t="e">
        <v>#N/A</v>
      </c>
      <c r="G215" s="334"/>
      <c r="I215" s="395" t="e">
        <v>#N/A</v>
      </c>
      <c r="J215" s="395"/>
      <c r="K215" s="395"/>
      <c r="L215" s="346" t="s">
        <v>932</v>
      </c>
      <c r="N215" s="395"/>
      <c r="O215" s="395"/>
    </row>
    <row r="216" hidden="1" spans="1:15">
      <c r="A216" s="404">
        <v>0</v>
      </c>
      <c r="B216" s="404" t="e">
        <v>#N/A</v>
      </c>
      <c r="C216" s="404"/>
      <c r="D216" s="334"/>
      <c r="E216" s="434">
        <v>0</v>
      </c>
      <c r="F216" s="333" t="e">
        <v>#N/A</v>
      </c>
      <c r="G216" s="334"/>
      <c r="I216" s="395" t="e">
        <v>#N/A</v>
      </c>
      <c r="J216" s="395"/>
      <c r="K216" s="395"/>
      <c r="L216" s="346" t="s">
        <v>932</v>
      </c>
      <c r="N216" s="395"/>
      <c r="O216" s="395"/>
    </row>
    <row r="217" hidden="1" spans="1:15">
      <c r="A217" s="404">
        <v>0</v>
      </c>
      <c r="B217" s="404" t="e">
        <v>#N/A</v>
      </c>
      <c r="C217" s="404"/>
      <c r="D217" s="334"/>
      <c r="E217" s="434">
        <v>0</v>
      </c>
      <c r="F217" s="333" t="e">
        <v>#N/A</v>
      </c>
      <c r="G217" s="334"/>
      <c r="H217" s="334"/>
      <c r="I217" s="395" t="e">
        <v>#N/A</v>
      </c>
      <c r="J217" s="395"/>
      <c r="K217" s="395"/>
      <c r="L217" s="346" t="s">
        <v>932</v>
      </c>
      <c r="N217" s="395"/>
      <c r="O217" s="395"/>
    </row>
    <row r="218" hidden="1" spans="1:15">
      <c r="A218" s="404">
        <v>0</v>
      </c>
      <c r="B218" s="404" t="e">
        <v>#N/A</v>
      </c>
      <c r="C218" s="404"/>
      <c r="D218" s="334"/>
      <c r="E218" s="434">
        <v>0</v>
      </c>
      <c r="F218" s="333" t="e">
        <v>#N/A</v>
      </c>
      <c r="G218" s="334"/>
      <c r="H218" s="334"/>
      <c r="I218" s="395" t="e">
        <v>#N/A</v>
      </c>
      <c r="J218" s="395"/>
      <c r="K218" s="395"/>
      <c r="L218" s="346" t="s">
        <v>932</v>
      </c>
      <c r="N218" s="395"/>
      <c r="O218" s="395"/>
    </row>
    <row r="219" hidden="1" spans="1:15">
      <c r="A219" s="404">
        <v>0</v>
      </c>
      <c r="B219" s="404" t="e">
        <v>#N/A</v>
      </c>
      <c r="C219" s="404"/>
      <c r="D219" s="334"/>
      <c r="E219" s="434">
        <v>0</v>
      </c>
      <c r="F219" s="333" t="e">
        <v>#N/A</v>
      </c>
      <c r="G219" s="334"/>
      <c r="H219" s="334"/>
      <c r="I219" s="395" t="e">
        <v>#N/A</v>
      </c>
      <c r="J219" s="395"/>
      <c r="K219" s="395"/>
      <c r="L219" s="346" t="s">
        <v>932</v>
      </c>
      <c r="N219" s="395"/>
      <c r="O219" s="395"/>
    </row>
    <row r="220" hidden="1" spans="1:15">
      <c r="A220" s="404">
        <v>0</v>
      </c>
      <c r="B220" s="404" t="e">
        <v>#N/A</v>
      </c>
      <c r="C220" s="404"/>
      <c r="D220" s="438"/>
      <c r="E220" s="434">
        <v>0</v>
      </c>
      <c r="F220" s="333" t="e">
        <v>#N/A</v>
      </c>
      <c r="G220" s="334"/>
      <c r="H220" s="334"/>
      <c r="I220" s="395" t="e">
        <v>#N/A</v>
      </c>
      <c r="J220" s="395"/>
      <c r="K220" s="395"/>
      <c r="L220" s="346" t="s">
        <v>932</v>
      </c>
      <c r="N220" s="395"/>
      <c r="O220" s="395"/>
    </row>
    <row r="221" spans="1:15">
      <c r="A221" s="421"/>
      <c r="B221" s="422"/>
      <c r="C221" s="422"/>
      <c r="D221" s="422"/>
      <c r="E221" s="423"/>
      <c r="F221" s="424"/>
      <c r="G221" s="422"/>
      <c r="H221" s="422"/>
      <c r="I221" s="430"/>
      <c r="J221" s="430"/>
      <c r="K221" s="425" t="s">
        <v>14203</v>
      </c>
      <c r="L221" s="426">
        <v>61.7119506</v>
      </c>
      <c r="N221" s="395"/>
      <c r="O221" s="395"/>
    </row>
    <row r="222" spans="1:15">
      <c r="A222" s="428" t="s">
        <v>14204</v>
      </c>
      <c r="B222" s="430"/>
      <c r="C222" s="430"/>
      <c r="D222" s="430"/>
      <c r="E222" s="431" t="s">
        <v>74</v>
      </c>
      <c r="F222" s="431" t="s">
        <v>1123</v>
      </c>
      <c r="G222" s="430"/>
      <c r="H222" s="430"/>
      <c r="I222" s="425" t="s">
        <v>75</v>
      </c>
      <c r="J222" s="430"/>
      <c r="K222" s="430"/>
      <c r="L222" s="426" t="s">
        <v>14194</v>
      </c>
      <c r="N222" s="395"/>
      <c r="O222" s="395"/>
    </row>
    <row r="223" spans="1:15">
      <c r="A223" s="404">
        <v>1107892</v>
      </c>
      <c r="B223" s="334" t="s">
        <v>4205</v>
      </c>
      <c r="C223" s="334"/>
      <c r="D223" s="334"/>
      <c r="E223" s="434">
        <v>0.7</v>
      </c>
      <c r="F223" s="333" t="s">
        <v>99</v>
      </c>
      <c r="G223" s="439"/>
      <c r="I223" s="346">
        <v>1000.69</v>
      </c>
      <c r="L223" s="346">
        <v>700.483</v>
      </c>
      <c r="N223" s="395"/>
      <c r="O223" s="395"/>
    </row>
    <row r="224" hidden="1" spans="1:15">
      <c r="A224" s="401">
        <v>0</v>
      </c>
      <c r="B224" s="334" t="e">
        <v>#N/A</v>
      </c>
      <c r="E224" s="440">
        <v>0</v>
      </c>
      <c r="F224" s="333" t="e">
        <v>#N/A</v>
      </c>
      <c r="G224" s="439"/>
      <c r="I224" s="346" t="e">
        <v>#N/A</v>
      </c>
      <c r="L224" s="346" t="s">
        <v>932</v>
      </c>
      <c r="N224" s="395"/>
      <c r="O224" s="395"/>
    </row>
    <row r="225" hidden="1" spans="1:15">
      <c r="A225" s="401">
        <v>0</v>
      </c>
      <c r="B225" s="334" t="e">
        <v>#N/A</v>
      </c>
      <c r="E225" s="440">
        <v>0</v>
      </c>
      <c r="F225" s="333" t="e">
        <v>#N/A</v>
      </c>
      <c r="G225" s="439"/>
      <c r="I225" s="346" t="e">
        <v>#N/A</v>
      </c>
      <c r="L225" s="346" t="s">
        <v>932</v>
      </c>
      <c r="N225" s="395"/>
      <c r="O225" s="395"/>
    </row>
    <row r="226" hidden="1" spans="1:15">
      <c r="A226" s="401">
        <v>0</v>
      </c>
      <c r="B226" s="334" t="e">
        <v>#N/A</v>
      </c>
      <c r="E226" s="440">
        <v>0</v>
      </c>
      <c r="F226" s="333" t="e">
        <v>#N/A</v>
      </c>
      <c r="G226" s="439"/>
      <c r="I226" s="346" t="e">
        <v>#N/A</v>
      </c>
      <c r="L226" s="346" t="s">
        <v>932</v>
      </c>
      <c r="N226" s="395"/>
      <c r="O226" s="395"/>
    </row>
    <row r="227" hidden="1" spans="1:15">
      <c r="A227" s="401">
        <v>0</v>
      </c>
      <c r="B227" s="334" t="e">
        <v>#N/A</v>
      </c>
      <c r="E227" s="440">
        <v>0</v>
      </c>
      <c r="F227" s="333" t="e">
        <v>#N/A</v>
      </c>
      <c r="G227" s="439"/>
      <c r="I227" s="346" t="e">
        <v>#N/A</v>
      </c>
      <c r="L227" s="346" t="s">
        <v>932</v>
      </c>
      <c r="N227" s="395"/>
      <c r="O227" s="395"/>
    </row>
    <row r="228" hidden="1" spans="1:15">
      <c r="A228" s="401">
        <v>0</v>
      </c>
      <c r="B228" s="334" t="e">
        <v>#N/A</v>
      </c>
      <c r="E228" s="440">
        <v>0</v>
      </c>
      <c r="F228" s="333" t="e">
        <v>#N/A</v>
      </c>
      <c r="G228" s="439"/>
      <c r="I228" s="346" t="e">
        <v>#N/A</v>
      </c>
      <c r="L228" s="346" t="s">
        <v>932</v>
      </c>
      <c r="N228" s="395"/>
      <c r="O228" s="395"/>
    </row>
    <row r="229" spans="1:15">
      <c r="A229" s="421"/>
      <c r="B229" s="422"/>
      <c r="C229" s="422"/>
      <c r="D229" s="422"/>
      <c r="E229" s="422"/>
      <c r="F229" s="422"/>
      <c r="G229" s="422"/>
      <c r="H229" s="422"/>
      <c r="I229" s="430"/>
      <c r="J229" s="430"/>
      <c r="K229" s="425" t="s">
        <v>14206</v>
      </c>
      <c r="L229" s="426">
        <v>700.483</v>
      </c>
      <c r="N229" s="395"/>
      <c r="O229" s="395"/>
    </row>
    <row r="230" spans="1:15">
      <c r="A230" s="421"/>
      <c r="B230" s="422"/>
      <c r="C230" s="422"/>
      <c r="D230" s="422"/>
      <c r="E230" s="422"/>
      <c r="F230" s="422"/>
      <c r="G230" s="422"/>
      <c r="H230" s="422"/>
      <c r="I230" s="430"/>
      <c r="J230" s="430"/>
      <c r="K230" s="425" t="s">
        <v>14207</v>
      </c>
      <c r="L230" s="426">
        <v>774.645856710731</v>
      </c>
      <c r="N230" s="395"/>
      <c r="O230" s="395"/>
    </row>
    <row r="231" spans="1:15">
      <c r="A231" s="428" t="s">
        <v>14208</v>
      </c>
      <c r="B231" s="430"/>
      <c r="C231" s="430"/>
      <c r="D231" s="431" t="s">
        <v>55</v>
      </c>
      <c r="E231" s="431" t="s">
        <v>74</v>
      </c>
      <c r="F231" s="431" t="s">
        <v>1123</v>
      </c>
      <c r="G231" s="430"/>
      <c r="H231" s="430"/>
      <c r="I231" s="425" t="s">
        <v>75</v>
      </c>
      <c r="J231" s="430"/>
      <c r="K231" s="430"/>
      <c r="L231" s="426" t="s">
        <v>14194</v>
      </c>
      <c r="N231" s="395"/>
      <c r="O231" s="395"/>
    </row>
    <row r="232" spans="1:15">
      <c r="A232" s="404" t="s">
        <v>14255</v>
      </c>
      <c r="B232" s="441" t="s">
        <v>14256</v>
      </c>
      <c r="C232" s="441"/>
      <c r="D232" s="442">
        <v>5914647</v>
      </c>
      <c r="E232" s="434">
        <v>0.789</v>
      </c>
      <c r="F232" s="333" t="s">
        <v>9885</v>
      </c>
      <c r="G232" s="443" t="s">
        <v>14209</v>
      </c>
      <c r="H232" s="334"/>
      <c r="I232" s="346">
        <v>1.88</v>
      </c>
      <c r="J232" s="334"/>
      <c r="K232" s="346"/>
      <c r="L232" s="346">
        <v>1.48332</v>
      </c>
      <c r="N232" s="395"/>
      <c r="O232" s="395"/>
    </row>
    <row r="233" hidden="1" spans="1:15">
      <c r="A233" s="404">
        <v>0</v>
      </c>
      <c r="B233" s="334" t="e">
        <v>#N/A</v>
      </c>
      <c r="C233" s="334"/>
      <c r="D233" s="442">
        <v>0</v>
      </c>
      <c r="E233" s="434">
        <v>0</v>
      </c>
      <c r="F233" s="333" t="s">
        <v>9885</v>
      </c>
      <c r="G233" s="334"/>
      <c r="H233" s="334"/>
      <c r="I233" s="346">
        <v>0</v>
      </c>
      <c r="J233" s="334"/>
      <c r="K233" s="346"/>
      <c r="L233" s="346" t="s">
        <v>932</v>
      </c>
      <c r="N233" s="395"/>
      <c r="O233" s="395"/>
    </row>
    <row r="234" hidden="1" spans="1:15">
      <c r="A234" s="404">
        <v>0</v>
      </c>
      <c r="B234" s="334" t="e">
        <v>#N/A</v>
      </c>
      <c r="C234" s="334"/>
      <c r="D234" s="442">
        <v>0</v>
      </c>
      <c r="E234" s="434">
        <v>0</v>
      </c>
      <c r="F234" s="333" t="s">
        <v>9885</v>
      </c>
      <c r="G234" s="334"/>
      <c r="H234" s="334"/>
      <c r="I234" s="346">
        <v>0</v>
      </c>
      <c r="J234" s="334"/>
      <c r="K234" s="346"/>
      <c r="L234" s="346" t="s">
        <v>932</v>
      </c>
      <c r="N234" s="395"/>
      <c r="O234" s="395"/>
    </row>
    <row r="235" hidden="1" spans="1:15">
      <c r="A235" s="404">
        <v>0</v>
      </c>
      <c r="B235" s="334" t="e">
        <v>#N/A</v>
      </c>
      <c r="C235" s="334"/>
      <c r="D235" s="442">
        <v>0</v>
      </c>
      <c r="E235" s="434">
        <v>0</v>
      </c>
      <c r="F235" s="333" t="s">
        <v>9885</v>
      </c>
      <c r="G235" s="334"/>
      <c r="H235" s="334"/>
      <c r="I235" s="346">
        <v>0</v>
      </c>
      <c r="J235" s="334"/>
      <c r="K235" s="346"/>
      <c r="L235" s="346" t="s">
        <v>932</v>
      </c>
      <c r="N235" s="395"/>
      <c r="O235" s="395"/>
    </row>
    <row r="236" hidden="1" spans="1:15">
      <c r="A236" s="404">
        <v>0</v>
      </c>
      <c r="B236" s="334" t="e">
        <v>#N/A</v>
      </c>
      <c r="C236" s="334"/>
      <c r="D236" s="442">
        <v>0</v>
      </c>
      <c r="E236" s="434">
        <v>0</v>
      </c>
      <c r="F236" s="333" t="s">
        <v>9885</v>
      </c>
      <c r="G236" s="334"/>
      <c r="H236" s="334"/>
      <c r="I236" s="346">
        <v>0</v>
      </c>
      <c r="J236" s="334"/>
      <c r="K236" s="346"/>
      <c r="L236" s="346" t="s">
        <v>932</v>
      </c>
      <c r="N236" s="395"/>
      <c r="O236" s="395"/>
    </row>
    <row r="237" hidden="1" spans="1:15">
      <c r="A237" s="404">
        <v>0</v>
      </c>
      <c r="B237" s="334" t="e">
        <v>#N/A</v>
      </c>
      <c r="C237" s="334"/>
      <c r="D237" s="442">
        <v>0</v>
      </c>
      <c r="E237" s="434">
        <v>0</v>
      </c>
      <c r="F237" s="333" t="s">
        <v>9885</v>
      </c>
      <c r="G237" s="334"/>
      <c r="H237" s="334"/>
      <c r="I237" s="346">
        <v>0</v>
      </c>
      <c r="J237" s="334"/>
      <c r="K237" s="346"/>
      <c r="L237" s="346" t="s">
        <v>932</v>
      </c>
      <c r="N237" s="395"/>
      <c r="O237" s="395"/>
    </row>
    <row r="238" hidden="1" spans="1:15">
      <c r="A238" s="404">
        <v>0</v>
      </c>
      <c r="B238" s="334" t="e">
        <v>#N/A</v>
      </c>
      <c r="C238" s="334"/>
      <c r="D238" s="442">
        <v>0</v>
      </c>
      <c r="E238" s="434">
        <v>0</v>
      </c>
      <c r="F238" s="333" t="s">
        <v>9885</v>
      </c>
      <c r="G238" s="334"/>
      <c r="H238" s="334"/>
      <c r="I238" s="346">
        <v>0</v>
      </c>
      <c r="J238" s="334"/>
      <c r="K238" s="346"/>
      <c r="L238" s="346" t="s">
        <v>932</v>
      </c>
      <c r="N238" s="395"/>
      <c r="O238" s="395"/>
    </row>
    <row r="239" hidden="1" spans="1:15">
      <c r="A239" s="404">
        <v>0</v>
      </c>
      <c r="B239" s="444" t="e">
        <v>#N/A</v>
      </c>
      <c r="C239" s="444"/>
      <c r="D239" s="442">
        <v>0</v>
      </c>
      <c r="E239" s="434">
        <v>0</v>
      </c>
      <c r="F239" s="333" t="s">
        <v>9885</v>
      </c>
      <c r="G239" s="334"/>
      <c r="H239" s="334"/>
      <c r="I239" s="346">
        <v>0</v>
      </c>
      <c r="J239" s="334"/>
      <c r="K239" s="346"/>
      <c r="L239" s="346" t="s">
        <v>932</v>
      </c>
      <c r="N239" s="395"/>
      <c r="O239" s="395"/>
    </row>
    <row r="240" spans="1:15">
      <c r="A240" s="428"/>
      <c r="B240" s="445"/>
      <c r="C240" s="445"/>
      <c r="D240" s="430"/>
      <c r="E240" s="430"/>
      <c r="F240" s="430"/>
      <c r="G240" s="430"/>
      <c r="H240" s="430"/>
      <c r="I240" s="430"/>
      <c r="J240" s="430"/>
      <c r="K240" s="425" t="s">
        <v>14210</v>
      </c>
      <c r="L240" s="426">
        <v>1.48332</v>
      </c>
      <c r="N240" s="395"/>
      <c r="O240" s="395"/>
    </row>
    <row r="241" hidden="1" spans="1:15">
      <c r="A241" s="446" t="s">
        <v>14211</v>
      </c>
      <c r="B241" s="445"/>
      <c r="C241" s="445"/>
      <c r="D241" s="447" t="s">
        <v>55</v>
      </c>
      <c r="E241" s="445" t="s">
        <v>74</v>
      </c>
      <c r="F241" s="447" t="s">
        <v>1123</v>
      </c>
      <c r="G241" s="445"/>
      <c r="H241" s="447" t="s">
        <v>72</v>
      </c>
      <c r="I241" s="447" t="s">
        <v>75</v>
      </c>
      <c r="J241" s="445"/>
      <c r="K241" s="448"/>
      <c r="L241" s="449" t="s">
        <v>14194</v>
      </c>
      <c r="N241" s="395"/>
      <c r="O241" s="395"/>
    </row>
    <row r="242" hidden="1" spans="1:15">
      <c r="A242" s="404" t="s">
        <v>14255</v>
      </c>
      <c r="B242" s="433" t="s">
        <v>14256</v>
      </c>
      <c r="C242" s="433"/>
      <c r="D242" s="442">
        <v>5914359</v>
      </c>
      <c r="E242" s="450">
        <v>0.789</v>
      </c>
      <c r="F242" s="333" t="s">
        <v>13063</v>
      </c>
      <c r="G242" s="333" t="s">
        <v>14212</v>
      </c>
      <c r="H242" s="346">
        <v>0</v>
      </c>
      <c r="I242" s="346">
        <v>1.28</v>
      </c>
      <c r="J242" s="346"/>
      <c r="K242" s="334"/>
      <c r="L242" s="346">
        <v>0</v>
      </c>
      <c r="N242" s="395"/>
      <c r="O242" s="395"/>
    </row>
    <row r="243" hidden="1" spans="1:15">
      <c r="A243" s="404"/>
      <c r="B243" s="404"/>
      <c r="C243" s="334"/>
      <c r="D243" s="442">
        <v>5914374</v>
      </c>
      <c r="E243" s="450">
        <v>0.789</v>
      </c>
      <c r="F243" s="333" t="s">
        <v>13063</v>
      </c>
      <c r="G243" s="333" t="s">
        <v>14213</v>
      </c>
      <c r="H243" s="346">
        <v>0</v>
      </c>
      <c r="I243" s="346">
        <v>1.02</v>
      </c>
      <c r="J243" s="346"/>
      <c r="K243" s="334"/>
      <c r="L243" s="346">
        <v>0</v>
      </c>
      <c r="N243" s="395"/>
      <c r="O243" s="395"/>
    </row>
    <row r="244" hidden="1" spans="1:15">
      <c r="A244" s="404"/>
      <c r="B244" s="404"/>
      <c r="C244" s="334"/>
      <c r="D244" s="442">
        <v>5914389</v>
      </c>
      <c r="E244" s="450">
        <v>0.789</v>
      </c>
      <c r="F244" s="333" t="s">
        <v>13063</v>
      </c>
      <c r="G244" s="333" t="s">
        <v>14214</v>
      </c>
      <c r="H244" s="346">
        <v>0</v>
      </c>
      <c r="I244" s="346">
        <v>0.84</v>
      </c>
      <c r="J244" s="346"/>
      <c r="K244" s="334"/>
      <c r="L244" s="346">
        <v>0</v>
      </c>
      <c r="N244" s="395"/>
      <c r="O244" s="395"/>
    </row>
    <row r="245" hidden="1" spans="1:15">
      <c r="A245" s="404">
        <v>0</v>
      </c>
      <c r="B245" s="404" t="e">
        <v>#N/A</v>
      </c>
      <c r="C245" s="404"/>
      <c r="D245" s="442">
        <v>0</v>
      </c>
      <c r="E245" s="450">
        <v>0</v>
      </c>
      <c r="F245" s="333" t="s">
        <v>13063</v>
      </c>
      <c r="G245" s="333" t="s">
        <v>14212</v>
      </c>
      <c r="H245" s="346">
        <v>0</v>
      </c>
      <c r="I245" s="346">
        <v>0</v>
      </c>
      <c r="J245" s="346"/>
      <c r="K245" s="334"/>
      <c r="L245" s="346" t="s">
        <v>932</v>
      </c>
      <c r="N245" s="395"/>
      <c r="O245" s="395"/>
    </row>
    <row r="246" hidden="1" spans="1:15">
      <c r="A246" s="404"/>
      <c r="B246" s="404"/>
      <c r="C246" s="334"/>
      <c r="D246" s="442">
        <v>0</v>
      </c>
      <c r="E246" s="450">
        <v>0</v>
      </c>
      <c r="F246" s="333" t="s">
        <v>13063</v>
      </c>
      <c r="G246" s="333" t="s">
        <v>14213</v>
      </c>
      <c r="H246" s="346">
        <v>0</v>
      </c>
      <c r="I246" s="346">
        <v>0</v>
      </c>
      <c r="J246" s="346"/>
      <c r="K246" s="334"/>
      <c r="L246" s="346" t="s">
        <v>932</v>
      </c>
      <c r="N246" s="395"/>
      <c r="O246" s="395"/>
    </row>
    <row r="247" hidden="1" spans="1:15">
      <c r="A247" s="404"/>
      <c r="B247" s="404"/>
      <c r="C247" s="334"/>
      <c r="D247" s="442">
        <v>0</v>
      </c>
      <c r="E247" s="450">
        <v>0</v>
      </c>
      <c r="F247" s="333" t="s">
        <v>13063</v>
      </c>
      <c r="G247" s="333" t="s">
        <v>14214</v>
      </c>
      <c r="H247" s="346">
        <v>0</v>
      </c>
      <c r="I247" s="346">
        <v>0</v>
      </c>
      <c r="J247" s="346"/>
      <c r="K247" s="334"/>
      <c r="L247" s="346" t="s">
        <v>932</v>
      </c>
      <c r="N247" s="395"/>
      <c r="O247" s="395"/>
    </row>
    <row r="248" hidden="1" spans="1:15">
      <c r="A248" s="404">
        <v>0</v>
      </c>
      <c r="B248" s="404" t="e">
        <v>#N/A</v>
      </c>
      <c r="C248" s="404"/>
      <c r="D248" s="442">
        <v>0</v>
      </c>
      <c r="E248" s="450">
        <v>0</v>
      </c>
      <c r="F248" s="333" t="s">
        <v>13063</v>
      </c>
      <c r="G248" s="333" t="s">
        <v>14212</v>
      </c>
      <c r="H248" s="346">
        <v>0</v>
      </c>
      <c r="I248" s="346">
        <v>0</v>
      </c>
      <c r="J248" s="346"/>
      <c r="K248" s="334"/>
      <c r="L248" s="346" t="s">
        <v>932</v>
      </c>
      <c r="N248" s="395"/>
      <c r="O248" s="395"/>
    </row>
    <row r="249" hidden="1" spans="1:15">
      <c r="A249" s="404"/>
      <c r="B249" s="404"/>
      <c r="C249" s="334"/>
      <c r="D249" s="442">
        <v>0</v>
      </c>
      <c r="E249" s="450">
        <v>0</v>
      </c>
      <c r="F249" s="333" t="s">
        <v>13063</v>
      </c>
      <c r="G249" s="333" t="s">
        <v>14213</v>
      </c>
      <c r="H249" s="346">
        <v>0</v>
      </c>
      <c r="I249" s="346">
        <v>0</v>
      </c>
      <c r="J249" s="346"/>
      <c r="K249" s="334"/>
      <c r="L249" s="346" t="s">
        <v>932</v>
      </c>
      <c r="N249" s="395"/>
      <c r="O249" s="395"/>
    </row>
    <row r="250" hidden="1" spans="1:15">
      <c r="A250" s="404"/>
      <c r="B250" s="404"/>
      <c r="C250" s="334"/>
      <c r="D250" s="442">
        <v>0</v>
      </c>
      <c r="E250" s="450">
        <v>0</v>
      </c>
      <c r="F250" s="333" t="s">
        <v>13063</v>
      </c>
      <c r="G250" s="333" t="s">
        <v>14214</v>
      </c>
      <c r="H250" s="346">
        <v>0</v>
      </c>
      <c r="I250" s="346">
        <v>0</v>
      </c>
      <c r="J250" s="346"/>
      <c r="K250" s="334"/>
      <c r="L250" s="346" t="s">
        <v>932</v>
      </c>
      <c r="N250" s="395"/>
      <c r="O250" s="395"/>
    </row>
    <row r="251" hidden="1" spans="1:15">
      <c r="A251" s="404">
        <v>0</v>
      </c>
      <c r="B251" s="404" t="e">
        <v>#N/A</v>
      </c>
      <c r="C251" s="404"/>
      <c r="D251" s="442">
        <v>0</v>
      </c>
      <c r="E251" s="450">
        <v>0</v>
      </c>
      <c r="F251" s="333" t="s">
        <v>13063</v>
      </c>
      <c r="G251" s="333" t="s">
        <v>14212</v>
      </c>
      <c r="H251" s="346">
        <v>0</v>
      </c>
      <c r="I251" s="346">
        <v>0</v>
      </c>
      <c r="J251" s="346"/>
      <c r="K251" s="334"/>
      <c r="L251" s="346" t="s">
        <v>932</v>
      </c>
      <c r="N251" s="395"/>
      <c r="O251" s="395"/>
    </row>
    <row r="252" hidden="1" spans="1:15">
      <c r="A252" s="404"/>
      <c r="B252" s="404"/>
      <c r="C252" s="334"/>
      <c r="D252" s="442">
        <v>0</v>
      </c>
      <c r="E252" s="450">
        <v>0</v>
      </c>
      <c r="F252" s="333" t="s">
        <v>13063</v>
      </c>
      <c r="G252" s="333" t="s">
        <v>14213</v>
      </c>
      <c r="H252" s="346">
        <v>0</v>
      </c>
      <c r="I252" s="346">
        <v>0</v>
      </c>
      <c r="J252" s="346"/>
      <c r="K252" s="334"/>
      <c r="L252" s="346" t="s">
        <v>932</v>
      </c>
      <c r="N252" s="395"/>
      <c r="O252" s="395"/>
    </row>
    <row r="253" hidden="1" spans="1:15">
      <c r="A253" s="404"/>
      <c r="B253" s="404"/>
      <c r="C253" s="334"/>
      <c r="D253" s="442">
        <v>0</v>
      </c>
      <c r="E253" s="450">
        <v>0</v>
      </c>
      <c r="F253" s="333" t="s">
        <v>13063</v>
      </c>
      <c r="G253" s="333" t="s">
        <v>14214</v>
      </c>
      <c r="H253" s="346">
        <v>0</v>
      </c>
      <c r="I253" s="346">
        <v>0</v>
      </c>
      <c r="J253" s="346"/>
      <c r="K253" s="334"/>
      <c r="L253" s="346" t="s">
        <v>932</v>
      </c>
      <c r="N253" s="395"/>
      <c r="O253" s="395"/>
    </row>
    <row r="254" hidden="1" spans="1:15">
      <c r="A254" s="404">
        <v>0</v>
      </c>
      <c r="B254" s="404" t="e">
        <v>#N/A</v>
      </c>
      <c r="C254" s="404"/>
      <c r="D254" s="442">
        <v>0</v>
      </c>
      <c r="E254" s="450">
        <v>0</v>
      </c>
      <c r="F254" s="333" t="s">
        <v>13063</v>
      </c>
      <c r="G254" s="333" t="s">
        <v>14212</v>
      </c>
      <c r="H254" s="346">
        <v>0</v>
      </c>
      <c r="I254" s="346">
        <v>0</v>
      </c>
      <c r="J254" s="346"/>
      <c r="K254" s="334"/>
      <c r="L254" s="346" t="s">
        <v>932</v>
      </c>
      <c r="N254" s="395"/>
      <c r="O254" s="395"/>
    </row>
    <row r="255" hidden="1" spans="1:15">
      <c r="A255" s="404"/>
      <c r="B255" s="404"/>
      <c r="C255" s="334"/>
      <c r="D255" s="442">
        <v>0</v>
      </c>
      <c r="E255" s="450">
        <v>0</v>
      </c>
      <c r="F255" s="333" t="s">
        <v>13063</v>
      </c>
      <c r="G255" s="333" t="s">
        <v>14213</v>
      </c>
      <c r="H255" s="346">
        <v>0</v>
      </c>
      <c r="I255" s="346">
        <v>0</v>
      </c>
      <c r="J255" s="346"/>
      <c r="K255" s="334"/>
      <c r="L255" s="346" t="s">
        <v>932</v>
      </c>
      <c r="N255" s="395"/>
      <c r="O255" s="395"/>
    </row>
    <row r="256" hidden="1" spans="1:15">
      <c r="A256" s="404"/>
      <c r="B256" s="404"/>
      <c r="C256" s="334"/>
      <c r="D256" s="442">
        <v>0</v>
      </c>
      <c r="E256" s="450">
        <v>0</v>
      </c>
      <c r="F256" s="333" t="s">
        <v>13063</v>
      </c>
      <c r="G256" s="333" t="s">
        <v>14214</v>
      </c>
      <c r="H256" s="346">
        <v>0</v>
      </c>
      <c r="I256" s="346">
        <v>0</v>
      </c>
      <c r="J256" s="346"/>
      <c r="K256" s="334"/>
      <c r="L256" s="346" t="s">
        <v>932</v>
      </c>
      <c r="N256" s="395"/>
      <c r="O256" s="395"/>
    </row>
    <row r="257" hidden="1" spans="1:15">
      <c r="A257" s="401">
        <v>0</v>
      </c>
      <c r="B257" s="401" t="e">
        <v>#N/A</v>
      </c>
      <c r="C257" s="401"/>
      <c r="D257" s="442">
        <v>0</v>
      </c>
      <c r="E257" s="450">
        <v>0</v>
      </c>
      <c r="F257" s="439" t="s">
        <v>13063</v>
      </c>
      <c r="G257" s="439" t="s">
        <v>14212</v>
      </c>
      <c r="H257" s="346">
        <v>0</v>
      </c>
      <c r="I257" s="346">
        <v>0</v>
      </c>
      <c r="J257" s="395"/>
      <c r="L257" s="346" t="s">
        <v>932</v>
      </c>
      <c r="N257" s="395"/>
      <c r="O257" s="395"/>
    </row>
    <row r="258" hidden="1" spans="1:15">
      <c r="A258" s="401"/>
      <c r="B258" s="401"/>
      <c r="D258" s="442">
        <v>0</v>
      </c>
      <c r="E258" s="450">
        <v>0</v>
      </c>
      <c r="F258" s="439" t="s">
        <v>13063</v>
      </c>
      <c r="G258" s="439" t="s">
        <v>14213</v>
      </c>
      <c r="H258" s="346">
        <v>0</v>
      </c>
      <c r="I258" s="346">
        <v>0</v>
      </c>
      <c r="J258" s="395"/>
      <c r="L258" s="346" t="s">
        <v>932</v>
      </c>
      <c r="N258" s="395"/>
      <c r="O258" s="395"/>
    </row>
    <row r="259" hidden="1" spans="1:15">
      <c r="A259" s="401"/>
      <c r="B259" s="401"/>
      <c r="D259" s="442">
        <v>0</v>
      </c>
      <c r="E259" s="450">
        <v>0</v>
      </c>
      <c r="F259" s="439" t="s">
        <v>13063</v>
      </c>
      <c r="G259" s="439" t="s">
        <v>14214</v>
      </c>
      <c r="H259" s="346">
        <v>0</v>
      </c>
      <c r="I259" s="346">
        <v>0</v>
      </c>
      <c r="J259" s="395"/>
      <c r="L259" s="346" t="s">
        <v>932</v>
      </c>
      <c r="N259" s="395"/>
      <c r="O259" s="395"/>
    </row>
    <row r="260" hidden="1" spans="1:15">
      <c r="A260" s="401">
        <v>0</v>
      </c>
      <c r="B260" s="401" t="e">
        <v>#N/A</v>
      </c>
      <c r="C260" s="401"/>
      <c r="D260" s="442">
        <v>0</v>
      </c>
      <c r="E260" s="450">
        <v>0</v>
      </c>
      <c r="F260" s="439" t="s">
        <v>13063</v>
      </c>
      <c r="G260" s="439" t="s">
        <v>14212</v>
      </c>
      <c r="H260" s="346">
        <v>0</v>
      </c>
      <c r="I260" s="346">
        <v>0</v>
      </c>
      <c r="J260" s="395"/>
      <c r="L260" s="346" t="s">
        <v>932</v>
      </c>
      <c r="N260" s="395"/>
      <c r="O260" s="395"/>
    </row>
    <row r="261" hidden="1" spans="1:15">
      <c r="A261" s="401"/>
      <c r="B261" s="401"/>
      <c r="D261" s="442">
        <v>0</v>
      </c>
      <c r="E261" s="450">
        <v>0</v>
      </c>
      <c r="F261" s="439" t="s">
        <v>13063</v>
      </c>
      <c r="G261" s="439" t="s">
        <v>14213</v>
      </c>
      <c r="H261" s="346">
        <v>0</v>
      </c>
      <c r="I261" s="346">
        <v>0</v>
      </c>
      <c r="J261" s="395"/>
      <c r="L261" s="346" t="s">
        <v>932</v>
      </c>
      <c r="N261" s="395"/>
      <c r="O261" s="395"/>
    </row>
    <row r="262" hidden="1" spans="1:15">
      <c r="A262" s="401"/>
      <c r="B262" s="401"/>
      <c r="D262" s="442">
        <v>0</v>
      </c>
      <c r="E262" s="450">
        <v>0</v>
      </c>
      <c r="F262" s="439" t="s">
        <v>13063</v>
      </c>
      <c r="G262" s="439" t="s">
        <v>14214</v>
      </c>
      <c r="H262" s="346">
        <v>0</v>
      </c>
      <c r="I262" s="346">
        <v>0</v>
      </c>
      <c r="J262" s="395"/>
      <c r="L262" s="346" t="s">
        <v>932</v>
      </c>
      <c r="N262" s="395"/>
      <c r="O262" s="395"/>
    </row>
    <row r="263" hidden="1" spans="1:15">
      <c r="A263" s="401">
        <v>0</v>
      </c>
      <c r="B263" s="401" t="e">
        <v>#N/A</v>
      </c>
      <c r="C263" s="401"/>
      <c r="D263" s="442">
        <v>0</v>
      </c>
      <c r="E263" s="450">
        <v>0</v>
      </c>
      <c r="F263" s="439" t="s">
        <v>13063</v>
      </c>
      <c r="G263" s="439" t="s">
        <v>14212</v>
      </c>
      <c r="H263" s="346">
        <v>0</v>
      </c>
      <c r="I263" s="346">
        <v>0</v>
      </c>
      <c r="J263" s="395"/>
      <c r="L263" s="346" t="s">
        <v>932</v>
      </c>
      <c r="N263" s="395"/>
      <c r="O263" s="395"/>
    </row>
    <row r="264" hidden="1" spans="1:15">
      <c r="A264" s="401"/>
      <c r="B264" s="401"/>
      <c r="D264" s="442">
        <v>0</v>
      </c>
      <c r="E264" s="450">
        <v>0</v>
      </c>
      <c r="F264" s="439" t="s">
        <v>13063</v>
      </c>
      <c r="G264" s="439" t="s">
        <v>14213</v>
      </c>
      <c r="H264" s="346">
        <v>0</v>
      </c>
      <c r="I264" s="346">
        <v>0</v>
      </c>
      <c r="J264" s="395"/>
      <c r="L264" s="346" t="s">
        <v>932</v>
      </c>
      <c r="N264" s="395"/>
      <c r="O264" s="395"/>
    </row>
    <row r="265" hidden="1" spans="1:15">
      <c r="A265" s="401"/>
      <c r="B265" s="401"/>
      <c r="D265" s="442">
        <v>0</v>
      </c>
      <c r="E265" s="450">
        <v>0</v>
      </c>
      <c r="F265" s="439" t="s">
        <v>13063</v>
      </c>
      <c r="G265" s="439" t="s">
        <v>14214</v>
      </c>
      <c r="H265" s="346">
        <v>0</v>
      </c>
      <c r="I265" s="346">
        <v>0</v>
      </c>
      <c r="J265" s="395"/>
      <c r="L265" s="346" t="s">
        <v>932</v>
      </c>
      <c r="N265" s="395"/>
      <c r="O265" s="395"/>
    </row>
    <row r="266" hidden="1" spans="1:15">
      <c r="A266" s="421"/>
      <c r="B266" s="422"/>
      <c r="C266" s="422"/>
      <c r="D266" s="422"/>
      <c r="E266" s="422"/>
      <c r="F266" s="422"/>
      <c r="G266" s="422"/>
      <c r="H266" s="422"/>
      <c r="I266" s="430"/>
      <c r="J266" s="430"/>
      <c r="K266" s="425" t="s">
        <v>14215</v>
      </c>
      <c r="L266" s="426">
        <v>0</v>
      </c>
      <c r="N266" s="395"/>
      <c r="O266" s="395"/>
    </row>
    <row r="267" spans="1:15">
      <c r="A267" s="451"/>
      <c r="B267" s="452"/>
      <c r="C267" s="452"/>
      <c r="D267" s="452"/>
      <c r="E267" s="452"/>
      <c r="F267" s="452"/>
      <c r="G267" s="452"/>
      <c r="H267" s="452"/>
      <c r="I267" s="453"/>
      <c r="J267" s="453"/>
      <c r="K267" s="454" t="s">
        <v>14216</v>
      </c>
      <c r="L267" s="455">
        <v>776.13</v>
      </c>
      <c r="N267" s="395"/>
      <c r="O267" s="395"/>
    </row>
    <row r="269" spans="1:15">
      <c r="A269" s="391" t="s">
        <v>14172</v>
      </c>
      <c r="B269" s="457"/>
      <c r="C269" s="392"/>
      <c r="D269" s="392"/>
      <c r="E269" s="392"/>
      <c r="F269" s="392"/>
      <c r="G269" s="393"/>
      <c r="H269" s="393"/>
      <c r="I269" s="393"/>
      <c r="J269" s="393"/>
      <c r="K269" s="393"/>
      <c r="L269" s="394"/>
      <c r="N269" s="395"/>
      <c r="O269" s="395"/>
    </row>
    <row r="270" spans="1:15">
      <c r="A270" s="396">
        <v>1107892</v>
      </c>
      <c r="B270" s="397" t="s">
        <v>4205</v>
      </c>
      <c r="C270" s="397"/>
      <c r="D270" s="397"/>
      <c r="E270" s="397"/>
      <c r="F270" s="397"/>
      <c r="G270" s="397"/>
      <c r="H270" s="397" t="s">
        <v>99</v>
      </c>
      <c r="I270" s="398">
        <v>46023</v>
      </c>
      <c r="J270" s="397"/>
      <c r="K270" s="399" t="s">
        <v>14173</v>
      </c>
      <c r="L270" s="400">
        <v>0</v>
      </c>
      <c r="N270" s="395"/>
      <c r="O270" s="395"/>
    </row>
    <row r="271" spans="1:15">
      <c r="A271" s="401"/>
      <c r="H271" s="402" t="s">
        <v>14174</v>
      </c>
      <c r="I271" s="434">
        <v>3.92899</v>
      </c>
      <c r="J271" s="404" t="s">
        <v>99</v>
      </c>
      <c r="K271" s="402" t="s">
        <v>14175</v>
      </c>
      <c r="L271" s="456">
        <v>0.03632</v>
      </c>
      <c r="N271" s="395"/>
      <c r="O271" s="395"/>
    </row>
    <row r="272" spans="1:15">
      <c r="A272" s="405"/>
      <c r="B272" s="405"/>
      <c r="C272" s="405"/>
      <c r="D272" s="406"/>
      <c r="E272" s="406"/>
      <c r="F272" s="406"/>
      <c r="G272" s="407" t="s">
        <v>14176</v>
      </c>
      <c r="H272" s="408"/>
      <c r="I272" s="407" t="s">
        <v>14177</v>
      </c>
      <c r="J272" s="408"/>
      <c r="K272" s="405"/>
      <c r="L272" s="409" t="s">
        <v>14178</v>
      </c>
      <c r="N272" s="395"/>
      <c r="O272" s="395"/>
    </row>
    <row r="273" spans="1:15">
      <c r="A273" s="410" t="s">
        <v>14179</v>
      </c>
      <c r="B273" s="411"/>
      <c r="C273" s="412"/>
      <c r="D273" s="412"/>
      <c r="E273" s="413" t="s">
        <v>74</v>
      </c>
      <c r="F273" s="412"/>
      <c r="G273" s="413" t="s">
        <v>14180</v>
      </c>
      <c r="H273" s="413" t="s">
        <v>14181</v>
      </c>
      <c r="I273" s="413" t="s">
        <v>14182</v>
      </c>
      <c r="J273" s="413" t="s">
        <v>14183</v>
      </c>
      <c r="K273" s="411"/>
      <c r="L273" s="414" t="s">
        <v>14184</v>
      </c>
      <c r="N273" s="395"/>
      <c r="O273" s="395"/>
    </row>
    <row r="274" spans="1:15">
      <c r="A274" s="404" t="s">
        <v>1066</v>
      </c>
      <c r="B274" s="415" t="s">
        <v>1067</v>
      </c>
      <c r="C274" s="415"/>
      <c r="E274" s="434">
        <v>1</v>
      </c>
      <c r="F274" s="334"/>
      <c r="G274" s="346">
        <v>1</v>
      </c>
      <c r="H274" s="417">
        <v>0</v>
      </c>
      <c r="I274" s="395">
        <v>1.1002</v>
      </c>
      <c r="J274" s="418">
        <v>0.7391</v>
      </c>
      <c r="K274" s="402"/>
      <c r="L274" s="395">
        <v>1.1002</v>
      </c>
      <c r="N274" s="395">
        <v>0.7391</v>
      </c>
      <c r="O274" s="395"/>
    </row>
    <row r="275" spans="1:15">
      <c r="A275" s="404" t="s">
        <v>1068</v>
      </c>
      <c r="B275" s="404" t="s">
        <v>1069</v>
      </c>
      <c r="C275" s="404"/>
      <c r="D275" s="334"/>
      <c r="E275" s="434">
        <v>1</v>
      </c>
      <c r="F275" s="334"/>
      <c r="G275" s="346">
        <v>1</v>
      </c>
      <c r="H275" s="417">
        <v>0</v>
      </c>
      <c r="I275" s="346">
        <v>56.8627</v>
      </c>
      <c r="J275" s="419">
        <v>33.7088</v>
      </c>
      <c r="K275" s="420"/>
      <c r="L275" s="395">
        <v>56.8627</v>
      </c>
      <c r="N275" s="395">
        <v>33.7088</v>
      </c>
      <c r="O275" s="395"/>
    </row>
    <row r="276" spans="1:15">
      <c r="A276" s="404" t="s">
        <v>1070</v>
      </c>
      <c r="B276" s="404" t="s">
        <v>1071</v>
      </c>
      <c r="C276" s="404"/>
      <c r="D276" s="334"/>
      <c r="E276" s="434">
        <v>4</v>
      </c>
      <c r="F276" s="334"/>
      <c r="G276" s="346">
        <v>0.9</v>
      </c>
      <c r="H276" s="417">
        <v>0.1</v>
      </c>
      <c r="I276" s="346">
        <v>0.7083</v>
      </c>
      <c r="J276" s="419">
        <v>0.4793</v>
      </c>
      <c r="K276" s="420"/>
      <c r="L276" s="395">
        <v>2.7416</v>
      </c>
      <c r="N276" s="395">
        <v>1.9172</v>
      </c>
      <c r="O276" s="395"/>
    </row>
    <row r="277" spans="1:15">
      <c r="A277" s="404" t="s">
        <v>1072</v>
      </c>
      <c r="B277" s="404" t="s">
        <v>1073</v>
      </c>
      <c r="C277" s="404"/>
      <c r="D277" s="334"/>
      <c r="E277" s="434">
        <v>3</v>
      </c>
      <c r="F277" s="334"/>
      <c r="G277" s="346">
        <v>0.41</v>
      </c>
      <c r="H277" s="417">
        <v>0.59</v>
      </c>
      <c r="I277" s="346">
        <v>1.5493</v>
      </c>
      <c r="J277" s="419">
        <v>1.0483</v>
      </c>
      <c r="K277" s="420"/>
      <c r="L277" s="395">
        <v>3.76113</v>
      </c>
      <c r="N277" s="395">
        <v>3.1449</v>
      </c>
      <c r="O277" s="395"/>
    </row>
    <row r="278" hidden="1" spans="1:15">
      <c r="A278" s="404">
        <v>0</v>
      </c>
      <c r="B278" s="404" t="e">
        <v>#N/A</v>
      </c>
      <c r="C278" s="404"/>
      <c r="D278" s="334"/>
      <c r="E278" s="434">
        <v>0</v>
      </c>
      <c r="F278" s="334"/>
      <c r="G278" s="346">
        <v>0</v>
      </c>
      <c r="H278" s="417">
        <v>1</v>
      </c>
      <c r="I278" s="346" t="e">
        <v>#N/A</v>
      </c>
      <c r="J278" s="419" t="e">
        <v>#N/A</v>
      </c>
      <c r="K278" s="420"/>
      <c r="L278" s="395" t="s">
        <v>932</v>
      </c>
      <c r="N278" s="395" t="s">
        <v>932</v>
      </c>
      <c r="O278" s="395"/>
    </row>
    <row r="279" hidden="1" spans="1:15">
      <c r="A279" s="404">
        <v>0</v>
      </c>
      <c r="B279" s="404" t="e">
        <v>#N/A</v>
      </c>
      <c r="C279" s="404"/>
      <c r="D279" s="334"/>
      <c r="E279" s="416">
        <v>0</v>
      </c>
      <c r="F279" s="334"/>
      <c r="G279" s="346">
        <v>0</v>
      </c>
      <c r="H279" s="417">
        <v>1</v>
      </c>
      <c r="I279" s="346" t="e">
        <v>#N/A</v>
      </c>
      <c r="J279" s="419" t="e">
        <v>#N/A</v>
      </c>
      <c r="K279" s="420"/>
      <c r="L279" s="395" t="s">
        <v>932</v>
      </c>
      <c r="N279" s="395" t="s">
        <v>932</v>
      </c>
      <c r="O279" s="395"/>
    </row>
    <row r="280" hidden="1" spans="1:15">
      <c r="A280" s="404">
        <v>0</v>
      </c>
      <c r="B280" s="404" t="e">
        <v>#N/A</v>
      </c>
      <c r="C280" s="404"/>
      <c r="D280" s="334"/>
      <c r="E280" s="416">
        <v>0</v>
      </c>
      <c r="F280" s="334"/>
      <c r="G280" s="346">
        <v>0</v>
      </c>
      <c r="H280" s="417">
        <v>1</v>
      </c>
      <c r="I280" s="346" t="e">
        <v>#N/A</v>
      </c>
      <c r="J280" s="419" t="e">
        <v>#N/A</v>
      </c>
      <c r="K280" s="420"/>
      <c r="L280" s="395" t="s">
        <v>932</v>
      </c>
      <c r="N280" s="395" t="s">
        <v>932</v>
      </c>
      <c r="O280" s="395"/>
    </row>
    <row r="281" hidden="1" spans="1:15">
      <c r="A281" s="404">
        <v>0</v>
      </c>
      <c r="B281" s="404" t="e">
        <v>#N/A</v>
      </c>
      <c r="C281" s="404"/>
      <c r="D281" s="334"/>
      <c r="E281" s="416">
        <v>0</v>
      </c>
      <c r="F281" s="334"/>
      <c r="G281" s="346">
        <v>0</v>
      </c>
      <c r="H281" s="417">
        <v>1</v>
      </c>
      <c r="I281" s="346" t="e">
        <v>#N/A</v>
      </c>
      <c r="J281" s="419" t="e">
        <v>#N/A</v>
      </c>
      <c r="K281" s="420"/>
      <c r="L281" s="395" t="s">
        <v>932</v>
      </c>
      <c r="N281" s="395" t="s">
        <v>932</v>
      </c>
      <c r="O281" s="395"/>
    </row>
    <row r="282" spans="1:15">
      <c r="A282" s="421"/>
      <c r="B282" s="422"/>
      <c r="C282" s="422"/>
      <c r="D282" s="422"/>
      <c r="E282" s="423"/>
      <c r="F282" s="424"/>
      <c r="G282" s="422"/>
      <c r="H282" s="422"/>
      <c r="I282" s="422"/>
      <c r="J282" s="422"/>
      <c r="K282" s="425" t="s">
        <v>14185</v>
      </c>
      <c r="L282" s="426">
        <v>64.46563</v>
      </c>
      <c r="N282" s="427">
        <v>39.51</v>
      </c>
      <c r="O282" s="395"/>
    </row>
    <row r="283" spans="1:15">
      <c r="A283" s="428" t="s">
        <v>14186</v>
      </c>
      <c r="B283" s="429"/>
      <c r="C283" s="429"/>
      <c r="D283" s="430"/>
      <c r="E283" s="431" t="s">
        <v>74</v>
      </c>
      <c r="F283" s="431" t="s">
        <v>1123</v>
      </c>
      <c r="G283" s="430"/>
      <c r="H283" s="422"/>
      <c r="I283" s="431" t="s">
        <v>14177</v>
      </c>
      <c r="J283" s="430"/>
      <c r="K283" s="430"/>
      <c r="L283" s="432" t="s">
        <v>14187</v>
      </c>
      <c r="N283" s="395"/>
      <c r="O283" s="395"/>
    </row>
    <row r="284" spans="1:15">
      <c r="A284" s="404" t="s">
        <v>946</v>
      </c>
      <c r="B284" s="433" t="s">
        <v>947</v>
      </c>
      <c r="C284" s="433"/>
      <c r="D284" s="334"/>
      <c r="E284" s="434">
        <v>1</v>
      </c>
      <c r="F284" s="333" t="s">
        <v>104</v>
      </c>
      <c r="G284" s="334"/>
      <c r="H284" s="334"/>
      <c r="I284" s="435">
        <v>29.6171</v>
      </c>
      <c r="J284" s="334"/>
      <c r="K284" s="334"/>
      <c r="L284" s="346">
        <v>29.6171</v>
      </c>
      <c r="N284" s="395">
        <v>29.6171</v>
      </c>
      <c r="O284" s="395"/>
    </row>
    <row r="285" spans="1:15">
      <c r="A285" s="404" t="s">
        <v>935</v>
      </c>
      <c r="B285" s="404" t="s">
        <v>936</v>
      </c>
      <c r="C285" s="404"/>
      <c r="D285" s="334"/>
      <c r="E285" s="434">
        <v>9</v>
      </c>
      <c r="F285" s="333" t="s">
        <v>104</v>
      </c>
      <c r="G285" s="334"/>
      <c r="H285" s="334"/>
      <c r="I285" s="435">
        <v>23.6025</v>
      </c>
      <c r="J285" s="334"/>
      <c r="K285" s="334"/>
      <c r="L285" s="346">
        <v>212.4225</v>
      </c>
      <c r="N285" s="395">
        <v>212.4225</v>
      </c>
      <c r="O285" s="395"/>
    </row>
    <row r="286" hidden="1" spans="1:15">
      <c r="A286" s="404">
        <v>0</v>
      </c>
      <c r="B286" s="404" t="e">
        <v>#N/A</v>
      </c>
      <c r="C286" s="404"/>
      <c r="D286" s="334"/>
      <c r="E286" s="434">
        <v>0</v>
      </c>
      <c r="F286" s="333" t="s">
        <v>104</v>
      </c>
      <c r="G286" s="334"/>
      <c r="H286" s="334"/>
      <c r="I286" s="435" t="e">
        <v>#N/A</v>
      </c>
      <c r="J286" s="334"/>
      <c r="K286" s="334"/>
      <c r="L286" s="346" t="s">
        <v>932</v>
      </c>
      <c r="N286" s="395" t="s">
        <v>932</v>
      </c>
      <c r="O286" s="395"/>
    </row>
    <row r="287" hidden="1" spans="1:15">
      <c r="A287" s="404">
        <v>0</v>
      </c>
      <c r="B287" s="404" t="e">
        <v>#N/A</v>
      </c>
      <c r="C287" s="404"/>
      <c r="D287" s="334"/>
      <c r="E287" s="434">
        <v>0</v>
      </c>
      <c r="F287" s="333" t="s">
        <v>104</v>
      </c>
      <c r="G287" s="334"/>
      <c r="H287" s="334"/>
      <c r="I287" s="435" t="e">
        <v>#N/A</v>
      </c>
      <c r="J287" s="334"/>
      <c r="K287" s="334"/>
      <c r="L287" s="346" t="s">
        <v>932</v>
      </c>
      <c r="N287" s="395" t="s">
        <v>932</v>
      </c>
      <c r="O287" s="395"/>
    </row>
    <row r="288" hidden="1" spans="1:15">
      <c r="A288" s="404">
        <v>0</v>
      </c>
      <c r="B288" s="404" t="e">
        <v>#N/A</v>
      </c>
      <c r="C288" s="404"/>
      <c r="D288" s="334"/>
      <c r="E288" s="434">
        <v>0</v>
      </c>
      <c r="F288" s="333" t="s">
        <v>104</v>
      </c>
      <c r="G288" s="334"/>
      <c r="H288" s="334"/>
      <c r="I288" s="435" t="e">
        <v>#N/A</v>
      </c>
      <c r="J288" s="334"/>
      <c r="K288" s="334"/>
      <c r="L288" s="346" t="s">
        <v>932</v>
      </c>
      <c r="N288" s="395" t="s">
        <v>932</v>
      </c>
      <c r="O288" s="395"/>
    </row>
    <row r="289" hidden="1" spans="1:15">
      <c r="A289" s="404">
        <v>0</v>
      </c>
      <c r="B289" s="404" t="e">
        <v>#N/A</v>
      </c>
      <c r="C289" s="404"/>
      <c r="D289" s="334"/>
      <c r="E289" s="434">
        <v>0</v>
      </c>
      <c r="F289" s="333" t="s">
        <v>104</v>
      </c>
      <c r="G289" s="334"/>
      <c r="H289" s="334"/>
      <c r="I289" s="435" t="e">
        <v>#N/A</v>
      </c>
      <c r="J289" s="334"/>
      <c r="K289" s="334"/>
      <c r="L289" s="346" t="s">
        <v>932</v>
      </c>
      <c r="N289" s="395" t="s">
        <v>932</v>
      </c>
      <c r="O289" s="395"/>
    </row>
    <row r="290" hidden="1" spans="1:15">
      <c r="A290" s="404">
        <v>0</v>
      </c>
      <c r="B290" s="404" t="e">
        <v>#N/A</v>
      </c>
      <c r="C290" s="404"/>
      <c r="D290" s="334"/>
      <c r="E290" s="434">
        <v>0</v>
      </c>
      <c r="F290" s="333" t="s">
        <v>104</v>
      </c>
      <c r="G290" s="334"/>
      <c r="H290" s="334"/>
      <c r="I290" s="435" t="e">
        <v>#N/A</v>
      </c>
      <c r="J290" s="334"/>
      <c r="K290" s="334"/>
      <c r="L290" s="346" t="s">
        <v>932</v>
      </c>
      <c r="N290" s="395" t="s">
        <v>932</v>
      </c>
      <c r="O290" s="395"/>
    </row>
    <row r="291" hidden="1" spans="1:15">
      <c r="A291" s="404">
        <v>0</v>
      </c>
      <c r="B291" s="436" t="e">
        <v>#N/A</v>
      </c>
      <c r="C291" s="436"/>
      <c r="D291" s="334"/>
      <c r="E291" s="434">
        <v>0</v>
      </c>
      <c r="F291" s="333" t="s">
        <v>104</v>
      </c>
      <c r="G291" s="334"/>
      <c r="H291" s="334"/>
      <c r="I291" s="435" t="e">
        <v>#N/A</v>
      </c>
      <c r="J291" s="334"/>
      <c r="K291" s="334"/>
      <c r="L291" s="346" t="s">
        <v>932</v>
      </c>
      <c r="N291" s="395" t="s">
        <v>932</v>
      </c>
      <c r="O291" s="395"/>
    </row>
    <row r="292" spans="1:15">
      <c r="A292" s="421"/>
      <c r="B292" s="62"/>
      <c r="C292" s="62"/>
      <c r="D292" s="422"/>
      <c r="E292" s="423"/>
      <c r="F292" s="424"/>
      <c r="G292" s="422"/>
      <c r="H292" s="422"/>
      <c r="I292" s="422"/>
      <c r="J292" s="422"/>
      <c r="K292" s="425" t="s">
        <v>14188</v>
      </c>
      <c r="L292" s="426">
        <v>242.0396</v>
      </c>
      <c r="N292" s="427">
        <v>242.0396</v>
      </c>
      <c r="O292" s="395"/>
    </row>
    <row r="293" spans="1:15">
      <c r="I293" s="437"/>
      <c r="K293" s="383" t="s">
        <v>14189</v>
      </c>
      <c r="L293" s="427">
        <v>306.50523</v>
      </c>
      <c r="N293" s="395">
        <v>281.5496</v>
      </c>
      <c r="O293" s="395"/>
    </row>
    <row r="294" spans="1:15">
      <c r="K294" s="383" t="s">
        <v>14190</v>
      </c>
      <c r="L294" s="427">
        <v>78.0112013520014</v>
      </c>
      <c r="N294" s="395">
        <v>71.6595359112647</v>
      </c>
      <c r="O294" s="395">
        <v>2.60267434429713</v>
      </c>
    </row>
    <row r="295" spans="1:15">
      <c r="K295" s="383" t="s">
        <v>14191</v>
      </c>
      <c r="L295" s="427">
        <v>2.60267434429713</v>
      </c>
      <c r="N295" s="395"/>
      <c r="O295" s="395"/>
    </row>
    <row r="296" spans="1:15">
      <c r="K296" s="383" t="s">
        <v>14192</v>
      </c>
      <c r="L296" s="395">
        <v>0</v>
      </c>
      <c r="N296" s="395"/>
      <c r="O296" s="395"/>
    </row>
    <row r="297" spans="1:15">
      <c r="A297" s="428" t="s">
        <v>14193</v>
      </c>
      <c r="B297" s="430"/>
      <c r="C297" s="430"/>
      <c r="D297" s="430"/>
      <c r="E297" s="431" t="s">
        <v>74</v>
      </c>
      <c r="F297" s="431" t="s">
        <v>1123</v>
      </c>
      <c r="G297" s="430"/>
      <c r="H297" s="430"/>
      <c r="I297" s="425" t="s">
        <v>75</v>
      </c>
      <c r="J297" s="430"/>
      <c r="K297" s="430"/>
      <c r="L297" s="426" t="s">
        <v>14194</v>
      </c>
      <c r="N297" s="395"/>
      <c r="O297" s="395"/>
    </row>
    <row r="298" spans="1:15">
      <c r="A298" s="404" t="s">
        <v>14224</v>
      </c>
      <c r="B298" s="433" t="s">
        <v>14225</v>
      </c>
      <c r="C298" s="433"/>
      <c r="D298" s="334"/>
      <c r="E298" s="434">
        <v>0.84646</v>
      </c>
      <c r="F298" s="333" t="s">
        <v>101</v>
      </c>
      <c r="G298" s="334"/>
      <c r="I298" s="395">
        <v>6.6001</v>
      </c>
      <c r="J298" s="395"/>
      <c r="K298" s="395"/>
      <c r="L298" s="346">
        <v>5.586720646</v>
      </c>
      <c r="N298" s="395"/>
      <c r="O298" s="395"/>
    </row>
    <row r="299" spans="1:15">
      <c r="A299" s="404" t="s">
        <v>851</v>
      </c>
      <c r="B299" s="404" t="s">
        <v>14226</v>
      </c>
      <c r="C299" s="404"/>
      <c r="D299" s="334"/>
      <c r="E299" s="434">
        <v>0.63334</v>
      </c>
      <c r="F299" s="333" t="s">
        <v>99</v>
      </c>
      <c r="G299" s="334"/>
      <c r="I299" s="395">
        <v>412.326997156484</v>
      </c>
      <c r="J299" s="395"/>
      <c r="K299" s="395"/>
      <c r="L299" s="346">
        <v>261.143180379087</v>
      </c>
      <c r="N299" s="395"/>
      <c r="O299" s="395"/>
    </row>
    <row r="300" spans="1:15">
      <c r="A300" s="404" t="s">
        <v>859</v>
      </c>
      <c r="B300" s="404" t="s">
        <v>171</v>
      </c>
      <c r="C300" s="404"/>
      <c r="D300" s="334"/>
      <c r="E300" s="434">
        <v>0.36754</v>
      </c>
      <c r="F300" s="333" t="s">
        <v>99</v>
      </c>
      <c r="G300" s="334"/>
      <c r="I300" s="395">
        <v>495.717992658558</v>
      </c>
      <c r="J300" s="395"/>
      <c r="K300" s="395"/>
      <c r="L300" s="346">
        <v>182.196191021726</v>
      </c>
      <c r="N300" s="395"/>
      <c r="O300" s="395"/>
    </row>
    <row r="301" spans="1:15">
      <c r="A301" s="404" t="s">
        <v>854</v>
      </c>
      <c r="B301" s="404" t="s">
        <v>172</v>
      </c>
      <c r="C301" s="404"/>
      <c r="D301" s="334"/>
      <c r="E301" s="434">
        <v>0.36754</v>
      </c>
      <c r="F301" s="333" t="s">
        <v>99</v>
      </c>
      <c r="G301" s="334"/>
      <c r="I301" s="395">
        <v>496.690992606858</v>
      </c>
      <c r="J301" s="395"/>
      <c r="K301" s="395"/>
      <c r="L301" s="346">
        <v>182.553807422724</v>
      </c>
      <c r="N301" s="395"/>
      <c r="O301" s="395"/>
    </row>
    <row r="302" spans="1:15">
      <c r="A302" s="404" t="s">
        <v>836</v>
      </c>
      <c r="B302" s="404" t="s">
        <v>14227</v>
      </c>
      <c r="C302" s="404"/>
      <c r="D302" s="334"/>
      <c r="E302" s="434">
        <v>282.15207</v>
      </c>
      <c r="F302" s="333" t="s">
        <v>101</v>
      </c>
      <c r="G302" s="334"/>
      <c r="H302" s="334"/>
      <c r="I302" s="395">
        <v>0.973615959156765</v>
      </c>
      <c r="J302" s="395"/>
      <c r="K302" s="395"/>
      <c r="L302" s="346">
        <v>274.707758261117</v>
      </c>
      <c r="N302" s="395"/>
      <c r="O302" s="395"/>
    </row>
    <row r="303" hidden="1" spans="1:15">
      <c r="A303" s="404">
        <v>0</v>
      </c>
      <c r="B303" s="404" t="e">
        <v>#N/A</v>
      </c>
      <c r="C303" s="404"/>
      <c r="D303" s="334"/>
      <c r="E303" s="434">
        <v>0</v>
      </c>
      <c r="F303" s="333" t="e">
        <v>#N/A</v>
      </c>
      <c r="G303" s="334"/>
      <c r="H303" s="334"/>
      <c r="I303" s="395" t="e">
        <v>#N/A</v>
      </c>
      <c r="J303" s="395"/>
      <c r="K303" s="395"/>
      <c r="L303" s="346" t="s">
        <v>932</v>
      </c>
      <c r="N303" s="395"/>
      <c r="O303" s="395"/>
    </row>
    <row r="304" hidden="1" spans="1:15">
      <c r="A304" s="404">
        <v>0</v>
      </c>
      <c r="B304" s="404" t="e">
        <v>#N/A</v>
      </c>
      <c r="C304" s="404"/>
      <c r="D304" s="334"/>
      <c r="E304" s="434">
        <v>0</v>
      </c>
      <c r="F304" s="333" t="e">
        <v>#N/A</v>
      </c>
      <c r="G304" s="334"/>
      <c r="H304" s="334"/>
      <c r="I304" s="395" t="e">
        <v>#N/A</v>
      </c>
      <c r="J304" s="395"/>
      <c r="K304" s="395"/>
      <c r="L304" s="346" t="s">
        <v>932</v>
      </c>
      <c r="N304" s="395"/>
      <c r="O304" s="395"/>
    </row>
    <row r="305" hidden="1" spans="1:15">
      <c r="A305" s="404">
        <v>0</v>
      </c>
      <c r="B305" s="404" t="e">
        <v>#N/A</v>
      </c>
      <c r="C305" s="404"/>
      <c r="D305" s="438"/>
      <c r="E305" s="434">
        <v>0</v>
      </c>
      <c r="F305" s="333" t="e">
        <v>#N/A</v>
      </c>
      <c r="G305" s="334"/>
      <c r="H305" s="334"/>
      <c r="I305" s="395" t="e">
        <v>#N/A</v>
      </c>
      <c r="J305" s="395"/>
      <c r="K305" s="395"/>
      <c r="L305" s="346" t="s">
        <v>932</v>
      </c>
      <c r="N305" s="395"/>
      <c r="O305" s="395"/>
    </row>
    <row r="306" spans="1:15">
      <c r="A306" s="421"/>
      <c r="B306" s="422"/>
      <c r="C306" s="422"/>
      <c r="D306" s="422"/>
      <c r="E306" s="423"/>
      <c r="F306" s="424"/>
      <c r="G306" s="422"/>
      <c r="H306" s="422"/>
      <c r="I306" s="430"/>
      <c r="J306" s="430"/>
      <c r="K306" s="425" t="s">
        <v>14203</v>
      </c>
      <c r="L306" s="426">
        <v>906.187657730655</v>
      </c>
      <c r="N306" s="395"/>
      <c r="O306" s="395"/>
    </row>
    <row r="307" hidden="1" spans="1:15">
      <c r="A307" s="428" t="s">
        <v>14204</v>
      </c>
      <c r="B307" s="430"/>
      <c r="C307" s="430"/>
      <c r="D307" s="430"/>
      <c r="E307" s="431" t="s">
        <v>74</v>
      </c>
      <c r="F307" s="431" t="s">
        <v>1123</v>
      </c>
      <c r="G307" s="430"/>
      <c r="H307" s="430"/>
      <c r="I307" s="425" t="s">
        <v>75</v>
      </c>
      <c r="J307" s="430"/>
      <c r="K307" s="430"/>
      <c r="L307" s="426" t="s">
        <v>14194</v>
      </c>
      <c r="N307" s="395"/>
      <c r="O307" s="395"/>
    </row>
    <row r="308" hidden="1" spans="1:15">
      <c r="A308" s="404">
        <v>0</v>
      </c>
      <c r="B308" s="334" t="e">
        <v>#N/A</v>
      </c>
      <c r="C308" s="334"/>
      <c r="D308" s="334"/>
      <c r="E308" s="434">
        <v>0</v>
      </c>
      <c r="F308" s="333" t="e">
        <v>#N/A</v>
      </c>
      <c r="G308" s="439"/>
      <c r="I308" s="346" t="e">
        <v>#N/A</v>
      </c>
      <c r="L308" s="346" t="s">
        <v>932</v>
      </c>
      <c r="N308" s="395"/>
      <c r="O308" s="395"/>
    </row>
    <row r="309" hidden="1" spans="1:15">
      <c r="A309" s="401">
        <v>0</v>
      </c>
      <c r="B309" s="334" t="e">
        <v>#N/A</v>
      </c>
      <c r="E309" s="440">
        <v>0</v>
      </c>
      <c r="F309" s="333" t="e">
        <v>#N/A</v>
      </c>
      <c r="G309" s="439"/>
      <c r="I309" s="346" t="e">
        <v>#N/A</v>
      </c>
      <c r="L309" s="346" t="s">
        <v>932</v>
      </c>
      <c r="N309" s="395"/>
      <c r="O309" s="395"/>
    </row>
    <row r="310" hidden="1" spans="1:15">
      <c r="A310" s="401">
        <v>0</v>
      </c>
      <c r="B310" s="334" t="e">
        <v>#N/A</v>
      </c>
      <c r="E310" s="440">
        <v>0</v>
      </c>
      <c r="F310" s="333" t="e">
        <v>#N/A</v>
      </c>
      <c r="G310" s="439"/>
      <c r="I310" s="346" t="e">
        <v>#N/A</v>
      </c>
      <c r="L310" s="346" t="s">
        <v>932</v>
      </c>
      <c r="N310" s="395"/>
      <c r="O310" s="395"/>
    </row>
    <row r="311" hidden="1" spans="1:15">
      <c r="A311" s="401">
        <v>0</v>
      </c>
      <c r="B311" s="334" t="e">
        <v>#N/A</v>
      </c>
      <c r="E311" s="440">
        <v>0</v>
      </c>
      <c r="F311" s="333" t="e">
        <v>#N/A</v>
      </c>
      <c r="G311" s="439"/>
      <c r="I311" s="346" t="e">
        <v>#N/A</v>
      </c>
      <c r="L311" s="346" t="s">
        <v>932</v>
      </c>
      <c r="N311" s="395"/>
      <c r="O311" s="395"/>
    </row>
    <row r="312" hidden="1" spans="1:15">
      <c r="A312" s="401">
        <v>0</v>
      </c>
      <c r="B312" s="334" t="e">
        <v>#N/A</v>
      </c>
      <c r="E312" s="440">
        <v>0</v>
      </c>
      <c r="F312" s="333" t="e">
        <v>#N/A</v>
      </c>
      <c r="G312" s="439"/>
      <c r="I312" s="346" t="e">
        <v>#N/A</v>
      </c>
      <c r="L312" s="346" t="s">
        <v>932</v>
      </c>
      <c r="N312" s="395"/>
      <c r="O312" s="395"/>
    </row>
    <row r="313" hidden="1" spans="1:15">
      <c r="A313" s="401">
        <v>0</v>
      </c>
      <c r="B313" s="334" t="e">
        <v>#N/A</v>
      </c>
      <c r="E313" s="440">
        <v>0</v>
      </c>
      <c r="F313" s="333" t="e">
        <v>#N/A</v>
      </c>
      <c r="G313" s="439"/>
      <c r="I313" s="346" t="e">
        <v>#N/A</v>
      </c>
      <c r="L313" s="346" t="s">
        <v>932</v>
      </c>
      <c r="N313" s="395"/>
      <c r="O313" s="395"/>
    </row>
    <row r="314" hidden="1" spans="1:15">
      <c r="A314" s="421"/>
      <c r="B314" s="422"/>
      <c r="C314" s="422"/>
      <c r="D314" s="422"/>
      <c r="E314" s="422"/>
      <c r="F314" s="422"/>
      <c r="G314" s="422"/>
      <c r="H314" s="422"/>
      <c r="I314" s="430"/>
      <c r="J314" s="430"/>
      <c r="K314" s="425" t="s">
        <v>14206</v>
      </c>
      <c r="L314" s="426">
        <v>0</v>
      </c>
      <c r="N314" s="395"/>
      <c r="O314" s="395"/>
    </row>
    <row r="315" spans="1:15">
      <c r="A315" s="421"/>
      <c r="B315" s="422"/>
      <c r="C315" s="422"/>
      <c r="D315" s="422"/>
      <c r="E315" s="422"/>
      <c r="F315" s="422"/>
      <c r="G315" s="422"/>
      <c r="H315" s="422"/>
      <c r="I315" s="430"/>
      <c r="J315" s="430"/>
      <c r="K315" s="425" t="s">
        <v>14207</v>
      </c>
      <c r="L315" s="426">
        <v>986.801533426953</v>
      </c>
      <c r="N315" s="395"/>
      <c r="O315" s="395"/>
    </row>
    <row r="316" spans="1:15">
      <c r="A316" s="428" t="s">
        <v>14208</v>
      </c>
      <c r="B316" s="430"/>
      <c r="C316" s="430"/>
      <c r="D316" s="431" t="s">
        <v>55</v>
      </c>
      <c r="E316" s="431" t="s">
        <v>74</v>
      </c>
      <c r="F316" s="431" t="s">
        <v>1123</v>
      </c>
      <c r="G316" s="430"/>
      <c r="H316" s="430"/>
      <c r="I316" s="425" t="s">
        <v>75</v>
      </c>
      <c r="J316" s="430"/>
      <c r="K316" s="430"/>
      <c r="L316" s="426" t="s">
        <v>14194</v>
      </c>
      <c r="N316" s="395"/>
      <c r="O316" s="395"/>
    </row>
    <row r="317" spans="1:15">
      <c r="A317" s="404" t="s">
        <v>14224</v>
      </c>
      <c r="B317" s="441" t="s">
        <v>14225</v>
      </c>
      <c r="C317" s="441"/>
      <c r="D317" s="442">
        <v>5914655</v>
      </c>
      <c r="E317" s="434">
        <v>0.00085</v>
      </c>
      <c r="F317" s="333" t="s">
        <v>9885</v>
      </c>
      <c r="G317" s="443" t="s">
        <v>14209</v>
      </c>
      <c r="H317" s="334"/>
      <c r="I317" s="346">
        <v>35.43</v>
      </c>
      <c r="J317" s="334"/>
      <c r="K317" s="346"/>
      <c r="L317" s="346">
        <v>0.0301155</v>
      </c>
      <c r="N317" s="395"/>
      <c r="O317" s="395"/>
    </row>
    <row r="318" spans="1:15">
      <c r="A318" s="404" t="s">
        <v>851</v>
      </c>
      <c r="B318" s="334" t="s">
        <v>14226</v>
      </c>
      <c r="C318" s="334"/>
      <c r="D318" s="442">
        <v>5914647</v>
      </c>
      <c r="E318" s="434">
        <v>0.95001</v>
      </c>
      <c r="F318" s="333" t="s">
        <v>9885</v>
      </c>
      <c r="G318" s="334"/>
      <c r="H318" s="334"/>
      <c r="I318" s="346">
        <v>1.88</v>
      </c>
      <c r="J318" s="334"/>
      <c r="K318" s="346"/>
      <c r="L318" s="346">
        <v>1.7860188</v>
      </c>
      <c r="N318" s="395"/>
      <c r="O318" s="395"/>
    </row>
    <row r="319" spans="1:15">
      <c r="A319" s="404" t="s">
        <v>859</v>
      </c>
      <c r="B319" s="334" t="s">
        <v>171</v>
      </c>
      <c r="C319" s="334"/>
      <c r="D319" s="442">
        <v>5914647</v>
      </c>
      <c r="E319" s="434">
        <v>0.55131</v>
      </c>
      <c r="F319" s="333" t="s">
        <v>9885</v>
      </c>
      <c r="G319" s="334"/>
      <c r="H319" s="334"/>
      <c r="I319" s="346">
        <v>1.88</v>
      </c>
      <c r="J319" s="334"/>
      <c r="K319" s="346"/>
      <c r="L319" s="346">
        <v>1.0364628</v>
      </c>
      <c r="N319" s="395"/>
      <c r="O319" s="395"/>
    </row>
    <row r="320" spans="1:15">
      <c r="A320" s="404" t="s">
        <v>854</v>
      </c>
      <c r="B320" s="334" t="s">
        <v>172</v>
      </c>
      <c r="C320" s="334"/>
      <c r="D320" s="442">
        <v>5914647</v>
      </c>
      <c r="E320" s="434">
        <v>0.55131</v>
      </c>
      <c r="F320" s="333" t="s">
        <v>9885</v>
      </c>
      <c r="G320" s="334"/>
      <c r="H320" s="334"/>
      <c r="I320" s="346">
        <v>1.88</v>
      </c>
      <c r="J320" s="334"/>
      <c r="K320" s="346"/>
      <c r="L320" s="346">
        <v>1.0364628</v>
      </c>
      <c r="N320" s="395"/>
      <c r="O320" s="395"/>
    </row>
    <row r="321" spans="1:15">
      <c r="A321" s="404" t="s">
        <v>836</v>
      </c>
      <c r="B321" s="334" t="s">
        <v>14227</v>
      </c>
      <c r="C321" s="334"/>
      <c r="D321" s="442">
        <v>5914655</v>
      </c>
      <c r="E321" s="434">
        <v>0.28215</v>
      </c>
      <c r="F321" s="333" t="s">
        <v>9885</v>
      </c>
      <c r="G321" s="334"/>
      <c r="H321" s="334"/>
      <c r="I321" s="346">
        <v>35.43</v>
      </c>
      <c r="J321" s="334"/>
      <c r="K321" s="346"/>
      <c r="L321" s="346">
        <v>9.9965745</v>
      </c>
      <c r="N321" s="395"/>
      <c r="O321" s="395"/>
    </row>
    <row r="322" hidden="1" spans="1:15">
      <c r="A322" s="404">
        <v>0</v>
      </c>
      <c r="B322" s="334" t="e">
        <v>#N/A</v>
      </c>
      <c r="C322" s="334"/>
      <c r="D322" s="442">
        <v>0</v>
      </c>
      <c r="E322" s="434">
        <v>0</v>
      </c>
      <c r="F322" s="333" t="s">
        <v>9885</v>
      </c>
      <c r="G322" s="334"/>
      <c r="H322" s="334"/>
      <c r="I322" s="346">
        <v>0</v>
      </c>
      <c r="J322" s="334"/>
      <c r="K322" s="346"/>
      <c r="L322" s="346" t="s">
        <v>932</v>
      </c>
      <c r="N322" s="395"/>
      <c r="O322" s="395"/>
    </row>
    <row r="323" hidden="1" spans="1:15">
      <c r="A323" s="404">
        <v>0</v>
      </c>
      <c r="B323" s="334" t="e">
        <v>#N/A</v>
      </c>
      <c r="C323" s="334"/>
      <c r="D323" s="442">
        <v>0</v>
      </c>
      <c r="E323" s="434">
        <v>0</v>
      </c>
      <c r="F323" s="333" t="s">
        <v>9885</v>
      </c>
      <c r="G323" s="334"/>
      <c r="H323" s="334"/>
      <c r="I323" s="346">
        <v>0</v>
      </c>
      <c r="J323" s="334"/>
      <c r="K323" s="346"/>
      <c r="L323" s="346" t="s">
        <v>932</v>
      </c>
      <c r="N323" s="395"/>
      <c r="O323" s="395"/>
    </row>
    <row r="324" hidden="1" spans="1:15">
      <c r="A324" s="404">
        <v>0</v>
      </c>
      <c r="B324" s="444" t="e">
        <v>#N/A</v>
      </c>
      <c r="C324" s="444"/>
      <c r="D324" s="442">
        <v>0</v>
      </c>
      <c r="E324" s="434">
        <v>0</v>
      </c>
      <c r="F324" s="333" t="s">
        <v>9885</v>
      </c>
      <c r="G324" s="334"/>
      <c r="H324" s="334"/>
      <c r="I324" s="346">
        <v>0</v>
      </c>
      <c r="J324" s="334"/>
      <c r="K324" s="346"/>
      <c r="L324" s="346" t="s">
        <v>932</v>
      </c>
      <c r="N324" s="395"/>
      <c r="O324" s="395"/>
    </row>
    <row r="325" spans="1:15">
      <c r="A325" s="428"/>
      <c r="B325" s="445"/>
      <c r="C325" s="445"/>
      <c r="D325" s="430"/>
      <c r="E325" s="430"/>
      <c r="F325" s="430"/>
      <c r="G325" s="430"/>
      <c r="H325" s="430"/>
      <c r="I325" s="430"/>
      <c r="J325" s="430"/>
      <c r="K325" s="425" t="s">
        <v>14210</v>
      </c>
      <c r="L325" s="426">
        <v>13.8856344</v>
      </c>
      <c r="N325" s="395"/>
      <c r="O325" s="395"/>
    </row>
    <row r="326" hidden="1" spans="1:15">
      <c r="A326" s="446" t="s">
        <v>14211</v>
      </c>
      <c r="B326" s="445"/>
      <c r="C326" s="445"/>
      <c r="D326" s="447" t="s">
        <v>55</v>
      </c>
      <c r="E326" s="445" t="s">
        <v>74</v>
      </c>
      <c r="F326" s="447" t="s">
        <v>1123</v>
      </c>
      <c r="G326" s="445"/>
      <c r="H326" s="447" t="s">
        <v>72</v>
      </c>
      <c r="I326" s="447" t="s">
        <v>75</v>
      </c>
      <c r="J326" s="445"/>
      <c r="K326" s="448"/>
      <c r="L326" s="449" t="s">
        <v>14194</v>
      </c>
      <c r="N326" s="395"/>
      <c r="O326" s="395"/>
    </row>
    <row r="327" hidden="1" spans="1:15">
      <c r="A327" s="404" t="s">
        <v>14224</v>
      </c>
      <c r="B327" s="433" t="s">
        <v>14225</v>
      </c>
      <c r="C327" s="433"/>
      <c r="D327" s="442">
        <v>5914449</v>
      </c>
      <c r="E327" s="450">
        <v>0.00085</v>
      </c>
      <c r="F327" s="333" t="s">
        <v>13063</v>
      </c>
      <c r="G327" s="333" t="s">
        <v>14212</v>
      </c>
      <c r="H327" s="346">
        <v>0</v>
      </c>
      <c r="I327" s="346">
        <v>1.11</v>
      </c>
      <c r="J327" s="346"/>
      <c r="K327" s="334"/>
      <c r="L327" s="346">
        <v>0</v>
      </c>
      <c r="N327" s="395"/>
      <c r="O327" s="395"/>
    </row>
    <row r="328" hidden="1" spans="1:15">
      <c r="A328" s="404"/>
      <c r="B328" s="404"/>
      <c r="C328" s="334"/>
      <c r="D328" s="442">
        <v>5914464</v>
      </c>
      <c r="E328" s="450">
        <v>0.00085</v>
      </c>
      <c r="F328" s="333" t="s">
        <v>13063</v>
      </c>
      <c r="G328" s="333" t="s">
        <v>14213</v>
      </c>
      <c r="H328" s="346">
        <v>0</v>
      </c>
      <c r="I328" s="346">
        <v>0.89</v>
      </c>
      <c r="J328" s="346"/>
      <c r="K328" s="334"/>
      <c r="L328" s="346">
        <v>0</v>
      </c>
      <c r="N328" s="395"/>
      <c r="O328" s="395"/>
    </row>
    <row r="329" hidden="1" spans="1:15">
      <c r="A329" s="404"/>
      <c r="B329" s="404"/>
      <c r="C329" s="334"/>
      <c r="D329" s="442">
        <v>5914479</v>
      </c>
      <c r="E329" s="450">
        <v>0.00085</v>
      </c>
      <c r="F329" s="333" t="s">
        <v>13063</v>
      </c>
      <c r="G329" s="333" t="s">
        <v>14214</v>
      </c>
      <c r="H329" s="346">
        <v>0</v>
      </c>
      <c r="I329" s="346">
        <v>0.73</v>
      </c>
      <c r="J329" s="346"/>
      <c r="K329" s="334"/>
      <c r="L329" s="346">
        <v>0</v>
      </c>
      <c r="N329" s="395"/>
      <c r="O329" s="395"/>
    </row>
    <row r="330" hidden="1" spans="1:15">
      <c r="A330" s="404" t="s">
        <v>851</v>
      </c>
      <c r="B330" s="404" t="s">
        <v>14226</v>
      </c>
      <c r="C330" s="404"/>
      <c r="D330" s="442">
        <v>5914359</v>
      </c>
      <c r="E330" s="450">
        <v>0.95001</v>
      </c>
      <c r="F330" s="333" t="s">
        <v>13063</v>
      </c>
      <c r="G330" s="333" t="s">
        <v>14212</v>
      </c>
      <c r="H330" s="346">
        <v>0</v>
      </c>
      <c r="I330" s="346">
        <v>1.28</v>
      </c>
      <c r="J330" s="346"/>
      <c r="K330" s="334"/>
      <c r="L330" s="346">
        <v>0</v>
      </c>
      <c r="N330" s="395"/>
      <c r="O330" s="395"/>
    </row>
    <row r="331" hidden="1" spans="1:15">
      <c r="A331" s="404"/>
      <c r="B331" s="404"/>
      <c r="C331" s="334"/>
      <c r="D331" s="442">
        <v>5914374</v>
      </c>
      <c r="E331" s="450">
        <v>0.95001</v>
      </c>
      <c r="F331" s="333" t="s">
        <v>13063</v>
      </c>
      <c r="G331" s="333" t="s">
        <v>14213</v>
      </c>
      <c r="H331" s="346">
        <v>0</v>
      </c>
      <c r="I331" s="346">
        <v>1.02</v>
      </c>
      <c r="J331" s="346"/>
      <c r="K331" s="334"/>
      <c r="L331" s="346">
        <v>0</v>
      </c>
      <c r="N331" s="395"/>
      <c r="O331" s="395"/>
    </row>
    <row r="332" hidden="1" spans="1:15">
      <c r="A332" s="404"/>
      <c r="B332" s="404"/>
      <c r="C332" s="334"/>
      <c r="D332" s="442">
        <v>5914389</v>
      </c>
      <c r="E332" s="450">
        <v>0.95001</v>
      </c>
      <c r="F332" s="333" t="s">
        <v>13063</v>
      </c>
      <c r="G332" s="333" t="s">
        <v>14214</v>
      </c>
      <c r="H332" s="346">
        <v>0</v>
      </c>
      <c r="I332" s="346">
        <v>0.84</v>
      </c>
      <c r="J332" s="346"/>
      <c r="K332" s="334"/>
      <c r="L332" s="346">
        <v>0</v>
      </c>
      <c r="N332" s="395"/>
      <c r="O332" s="395"/>
    </row>
    <row r="333" hidden="1" spans="1:15">
      <c r="A333" s="404" t="s">
        <v>859</v>
      </c>
      <c r="B333" s="404" t="s">
        <v>171</v>
      </c>
      <c r="C333" s="404"/>
      <c r="D333" s="442">
        <v>5914359</v>
      </c>
      <c r="E333" s="450">
        <v>0.55131</v>
      </c>
      <c r="F333" s="333" t="s">
        <v>13063</v>
      </c>
      <c r="G333" s="333" t="s">
        <v>14212</v>
      </c>
      <c r="H333" s="346">
        <v>0</v>
      </c>
      <c r="I333" s="346">
        <v>1.28</v>
      </c>
      <c r="J333" s="346"/>
      <c r="K333" s="334"/>
      <c r="L333" s="346">
        <v>0</v>
      </c>
      <c r="N333" s="395"/>
      <c r="O333" s="395"/>
    </row>
    <row r="334" hidden="1" spans="1:15">
      <c r="A334" s="404"/>
      <c r="B334" s="404"/>
      <c r="C334" s="334"/>
      <c r="D334" s="442">
        <v>5914374</v>
      </c>
      <c r="E334" s="450">
        <v>0.55131</v>
      </c>
      <c r="F334" s="333" t="s">
        <v>13063</v>
      </c>
      <c r="G334" s="333" t="s">
        <v>14213</v>
      </c>
      <c r="H334" s="346">
        <v>0</v>
      </c>
      <c r="I334" s="346">
        <v>1.02</v>
      </c>
      <c r="J334" s="346"/>
      <c r="K334" s="334"/>
      <c r="L334" s="346">
        <v>0</v>
      </c>
      <c r="N334" s="395"/>
      <c r="O334" s="395"/>
    </row>
    <row r="335" hidden="1" spans="1:15">
      <c r="A335" s="404"/>
      <c r="B335" s="404"/>
      <c r="C335" s="334"/>
      <c r="D335" s="442">
        <v>5914389</v>
      </c>
      <c r="E335" s="450">
        <v>0.55131</v>
      </c>
      <c r="F335" s="333" t="s">
        <v>13063</v>
      </c>
      <c r="G335" s="333" t="s">
        <v>14214</v>
      </c>
      <c r="H335" s="346">
        <v>0</v>
      </c>
      <c r="I335" s="346">
        <v>0.84</v>
      </c>
      <c r="J335" s="346"/>
      <c r="K335" s="334"/>
      <c r="L335" s="346">
        <v>0</v>
      </c>
      <c r="N335" s="395"/>
      <c r="O335" s="395"/>
    </row>
    <row r="336" hidden="1" spans="1:15">
      <c r="A336" s="404" t="s">
        <v>854</v>
      </c>
      <c r="B336" s="404" t="s">
        <v>172</v>
      </c>
      <c r="C336" s="404"/>
      <c r="D336" s="442">
        <v>5914359</v>
      </c>
      <c r="E336" s="450">
        <v>0.55131</v>
      </c>
      <c r="F336" s="333" t="s">
        <v>13063</v>
      </c>
      <c r="G336" s="333" t="s">
        <v>14212</v>
      </c>
      <c r="H336" s="346">
        <v>0</v>
      </c>
      <c r="I336" s="346">
        <v>1.28</v>
      </c>
      <c r="J336" s="346"/>
      <c r="K336" s="334"/>
      <c r="L336" s="346">
        <v>0</v>
      </c>
      <c r="N336" s="395"/>
      <c r="O336" s="395"/>
    </row>
    <row r="337" hidden="1" spans="1:15">
      <c r="A337" s="404"/>
      <c r="B337" s="404"/>
      <c r="C337" s="334"/>
      <c r="D337" s="442">
        <v>5914374</v>
      </c>
      <c r="E337" s="450">
        <v>0.55131</v>
      </c>
      <c r="F337" s="333" t="s">
        <v>13063</v>
      </c>
      <c r="G337" s="333" t="s">
        <v>14213</v>
      </c>
      <c r="H337" s="346">
        <v>0</v>
      </c>
      <c r="I337" s="346">
        <v>1.02</v>
      </c>
      <c r="J337" s="346"/>
      <c r="K337" s="334"/>
      <c r="L337" s="346">
        <v>0</v>
      </c>
      <c r="N337" s="395"/>
      <c r="O337" s="395"/>
    </row>
    <row r="338" hidden="1" spans="1:15">
      <c r="A338" s="404"/>
      <c r="B338" s="404"/>
      <c r="C338" s="334"/>
      <c r="D338" s="442">
        <v>5914389</v>
      </c>
      <c r="E338" s="450">
        <v>0.55131</v>
      </c>
      <c r="F338" s="333" t="s">
        <v>13063</v>
      </c>
      <c r="G338" s="333" t="s">
        <v>14214</v>
      </c>
      <c r="H338" s="346">
        <v>0</v>
      </c>
      <c r="I338" s="346">
        <v>0.84</v>
      </c>
      <c r="J338" s="346"/>
      <c r="K338" s="334"/>
      <c r="L338" s="346">
        <v>0</v>
      </c>
      <c r="N338" s="395"/>
      <c r="O338" s="395"/>
    </row>
    <row r="339" hidden="1" spans="1:15">
      <c r="A339" s="404" t="s">
        <v>836</v>
      </c>
      <c r="B339" s="404" t="s">
        <v>14227</v>
      </c>
      <c r="C339" s="404"/>
      <c r="D339" s="442">
        <v>5914449</v>
      </c>
      <c r="E339" s="450">
        <v>0.28215</v>
      </c>
      <c r="F339" s="333" t="s">
        <v>13063</v>
      </c>
      <c r="G339" s="333" t="s">
        <v>14212</v>
      </c>
      <c r="H339" s="346">
        <v>0</v>
      </c>
      <c r="I339" s="346">
        <v>1.11</v>
      </c>
      <c r="J339" s="346"/>
      <c r="K339" s="334"/>
      <c r="L339" s="346">
        <v>0</v>
      </c>
      <c r="N339" s="395"/>
      <c r="O339" s="395"/>
    </row>
    <row r="340" hidden="1" spans="1:15">
      <c r="A340" s="404"/>
      <c r="B340" s="404"/>
      <c r="C340" s="334"/>
      <c r="D340" s="442">
        <v>5914464</v>
      </c>
      <c r="E340" s="450">
        <v>0.28215</v>
      </c>
      <c r="F340" s="333" t="s">
        <v>13063</v>
      </c>
      <c r="G340" s="333" t="s">
        <v>14213</v>
      </c>
      <c r="H340" s="346">
        <v>0</v>
      </c>
      <c r="I340" s="346">
        <v>0.89</v>
      </c>
      <c r="J340" s="346"/>
      <c r="K340" s="334"/>
      <c r="L340" s="346">
        <v>0</v>
      </c>
      <c r="N340" s="395"/>
      <c r="O340" s="395"/>
    </row>
    <row r="341" hidden="1" spans="1:15">
      <c r="A341" s="404"/>
      <c r="B341" s="404"/>
      <c r="C341" s="334"/>
      <c r="D341" s="442">
        <v>5914479</v>
      </c>
      <c r="E341" s="450">
        <v>0.28215</v>
      </c>
      <c r="F341" s="333" t="s">
        <v>13063</v>
      </c>
      <c r="G341" s="333" t="s">
        <v>14214</v>
      </c>
      <c r="H341" s="346">
        <v>0</v>
      </c>
      <c r="I341" s="346">
        <v>0.73</v>
      </c>
      <c r="J341" s="346"/>
      <c r="K341" s="334"/>
      <c r="L341" s="346">
        <v>0</v>
      </c>
      <c r="N341" s="395"/>
      <c r="O341" s="395"/>
    </row>
    <row r="342" hidden="1" spans="1:15">
      <c r="A342" s="401">
        <v>0</v>
      </c>
      <c r="B342" s="401" t="e">
        <v>#N/A</v>
      </c>
      <c r="C342" s="401"/>
      <c r="D342" s="442">
        <v>0</v>
      </c>
      <c r="E342" s="450">
        <v>0</v>
      </c>
      <c r="F342" s="439" t="s">
        <v>13063</v>
      </c>
      <c r="G342" s="439" t="s">
        <v>14212</v>
      </c>
      <c r="H342" s="346">
        <v>0</v>
      </c>
      <c r="I342" s="346">
        <v>0</v>
      </c>
      <c r="J342" s="395"/>
      <c r="L342" s="346" t="s">
        <v>932</v>
      </c>
      <c r="N342" s="395"/>
      <c r="O342" s="395"/>
    </row>
    <row r="343" hidden="1" spans="1:15">
      <c r="A343" s="401"/>
      <c r="B343" s="401"/>
      <c r="D343" s="442">
        <v>0</v>
      </c>
      <c r="E343" s="450">
        <v>0</v>
      </c>
      <c r="F343" s="439" t="s">
        <v>13063</v>
      </c>
      <c r="G343" s="439" t="s">
        <v>14213</v>
      </c>
      <c r="H343" s="346">
        <v>0</v>
      </c>
      <c r="I343" s="346">
        <v>0</v>
      </c>
      <c r="J343" s="395"/>
      <c r="L343" s="346" t="s">
        <v>932</v>
      </c>
      <c r="N343" s="395"/>
      <c r="O343" s="395"/>
    </row>
    <row r="344" hidden="1" spans="1:15">
      <c r="A344" s="401"/>
      <c r="B344" s="401"/>
      <c r="D344" s="442">
        <v>0</v>
      </c>
      <c r="E344" s="450">
        <v>0</v>
      </c>
      <c r="F344" s="439" t="s">
        <v>13063</v>
      </c>
      <c r="G344" s="439" t="s">
        <v>14214</v>
      </c>
      <c r="H344" s="346">
        <v>0</v>
      </c>
      <c r="I344" s="346">
        <v>0</v>
      </c>
      <c r="J344" s="395"/>
      <c r="L344" s="346" t="s">
        <v>932</v>
      </c>
      <c r="N344" s="395"/>
      <c r="O344" s="395"/>
    </row>
    <row r="345" hidden="1" spans="1:15">
      <c r="A345" s="401">
        <v>0</v>
      </c>
      <c r="B345" s="401" t="e">
        <v>#N/A</v>
      </c>
      <c r="C345" s="401"/>
      <c r="D345" s="442">
        <v>0</v>
      </c>
      <c r="E345" s="450">
        <v>0</v>
      </c>
      <c r="F345" s="439" t="s">
        <v>13063</v>
      </c>
      <c r="G345" s="439" t="s">
        <v>14212</v>
      </c>
      <c r="H345" s="346">
        <v>0</v>
      </c>
      <c r="I345" s="346">
        <v>0</v>
      </c>
      <c r="J345" s="395"/>
      <c r="L345" s="346" t="s">
        <v>932</v>
      </c>
      <c r="N345" s="395"/>
      <c r="O345" s="395"/>
    </row>
    <row r="346" hidden="1" spans="1:15">
      <c r="A346" s="401"/>
      <c r="B346" s="401"/>
      <c r="D346" s="442">
        <v>0</v>
      </c>
      <c r="E346" s="450">
        <v>0</v>
      </c>
      <c r="F346" s="439" t="s">
        <v>13063</v>
      </c>
      <c r="G346" s="439" t="s">
        <v>14213</v>
      </c>
      <c r="H346" s="346">
        <v>0</v>
      </c>
      <c r="I346" s="346">
        <v>0</v>
      </c>
      <c r="J346" s="395"/>
      <c r="L346" s="346" t="s">
        <v>932</v>
      </c>
      <c r="N346" s="395"/>
      <c r="O346" s="395"/>
    </row>
    <row r="347" hidden="1" spans="1:15">
      <c r="A347" s="401"/>
      <c r="B347" s="401"/>
      <c r="D347" s="442">
        <v>0</v>
      </c>
      <c r="E347" s="450">
        <v>0</v>
      </c>
      <c r="F347" s="439" t="s">
        <v>13063</v>
      </c>
      <c r="G347" s="439" t="s">
        <v>14214</v>
      </c>
      <c r="H347" s="346">
        <v>0</v>
      </c>
      <c r="I347" s="346">
        <v>0</v>
      </c>
      <c r="J347" s="395"/>
      <c r="L347" s="346" t="s">
        <v>932</v>
      </c>
      <c r="N347" s="395"/>
      <c r="O347" s="395"/>
    </row>
    <row r="348" hidden="1" spans="1:15">
      <c r="A348" s="401">
        <v>0</v>
      </c>
      <c r="B348" s="401" t="e">
        <v>#N/A</v>
      </c>
      <c r="C348" s="401"/>
      <c r="D348" s="442">
        <v>0</v>
      </c>
      <c r="E348" s="450">
        <v>0</v>
      </c>
      <c r="F348" s="439" t="s">
        <v>13063</v>
      </c>
      <c r="G348" s="439" t="s">
        <v>14212</v>
      </c>
      <c r="H348" s="346">
        <v>0</v>
      </c>
      <c r="I348" s="346">
        <v>0</v>
      </c>
      <c r="J348" s="395"/>
      <c r="L348" s="346" t="s">
        <v>932</v>
      </c>
      <c r="N348" s="395"/>
      <c r="O348" s="395"/>
    </row>
    <row r="349" hidden="1" spans="1:15">
      <c r="A349" s="401"/>
      <c r="B349" s="401"/>
      <c r="D349" s="442">
        <v>0</v>
      </c>
      <c r="E349" s="450">
        <v>0</v>
      </c>
      <c r="F349" s="439" t="s">
        <v>13063</v>
      </c>
      <c r="G349" s="439" t="s">
        <v>14213</v>
      </c>
      <c r="H349" s="346">
        <v>0</v>
      </c>
      <c r="I349" s="346">
        <v>0</v>
      </c>
      <c r="J349" s="395"/>
      <c r="L349" s="346" t="s">
        <v>932</v>
      </c>
      <c r="N349" s="395"/>
      <c r="O349" s="395"/>
    </row>
    <row r="350" hidden="1" spans="1:15">
      <c r="A350" s="401"/>
      <c r="B350" s="401"/>
      <c r="D350" s="442">
        <v>0</v>
      </c>
      <c r="E350" s="450">
        <v>0</v>
      </c>
      <c r="F350" s="439" t="s">
        <v>13063</v>
      </c>
      <c r="G350" s="439" t="s">
        <v>14214</v>
      </c>
      <c r="H350" s="346">
        <v>0</v>
      </c>
      <c r="I350" s="346">
        <v>0</v>
      </c>
      <c r="J350" s="395"/>
      <c r="L350" s="346" t="s">
        <v>932</v>
      </c>
      <c r="N350" s="395"/>
      <c r="O350" s="395"/>
    </row>
    <row r="351" hidden="1" spans="1:15">
      <c r="A351" s="421"/>
      <c r="B351" s="422"/>
      <c r="C351" s="422"/>
      <c r="D351" s="422"/>
      <c r="E351" s="422"/>
      <c r="F351" s="422"/>
      <c r="G351" s="422"/>
      <c r="H351" s="422"/>
      <c r="I351" s="430"/>
      <c r="J351" s="430"/>
      <c r="K351" s="425" t="s">
        <v>14215</v>
      </c>
      <c r="L351" s="426">
        <v>0</v>
      </c>
      <c r="N351" s="395"/>
      <c r="O351" s="395"/>
    </row>
    <row r="352" spans="1:15">
      <c r="A352" s="451"/>
      <c r="B352" s="452"/>
      <c r="C352" s="452"/>
      <c r="D352" s="452"/>
      <c r="E352" s="452"/>
      <c r="F352" s="452"/>
      <c r="G352" s="452"/>
      <c r="H352" s="452"/>
      <c r="I352" s="453"/>
      <c r="J352" s="453"/>
      <c r="K352" s="454" t="s">
        <v>14216</v>
      </c>
      <c r="L352" s="455">
        <v>1000.69</v>
      </c>
      <c r="N352" s="395"/>
      <c r="O352" s="395"/>
    </row>
    <row r="354" spans="1:15">
      <c r="A354" s="391" t="s">
        <v>14172</v>
      </c>
      <c r="B354" s="457"/>
      <c r="C354" s="392"/>
      <c r="D354" s="392"/>
      <c r="E354" s="392"/>
      <c r="F354" s="392"/>
      <c r="G354" s="393"/>
      <c r="H354" s="393"/>
      <c r="I354" s="393"/>
      <c r="J354" s="393"/>
      <c r="K354" s="393"/>
      <c r="L354" s="394"/>
      <c r="N354" s="395"/>
      <c r="O354" s="395"/>
    </row>
    <row r="355" spans="1:15">
      <c r="A355" s="396">
        <v>3807865</v>
      </c>
      <c r="B355" s="397" t="s">
        <v>9836</v>
      </c>
      <c r="C355" s="397"/>
      <c r="D355" s="397"/>
      <c r="E355" s="397"/>
      <c r="F355" s="397"/>
      <c r="G355" s="397"/>
      <c r="H355" s="397" t="s">
        <v>82</v>
      </c>
      <c r="I355" s="398">
        <v>46023</v>
      </c>
      <c r="J355" s="397"/>
      <c r="K355" s="399" t="s">
        <v>14173</v>
      </c>
      <c r="L355" s="400">
        <v>0</v>
      </c>
      <c r="N355" s="395"/>
      <c r="O355" s="395"/>
    </row>
    <row r="356" spans="1:15">
      <c r="A356" s="401"/>
      <c r="H356" s="402" t="s">
        <v>14174</v>
      </c>
      <c r="I356" s="434">
        <v>12.61</v>
      </c>
      <c r="J356" s="404" t="s">
        <v>82</v>
      </c>
      <c r="K356" s="402" t="s">
        <v>14175</v>
      </c>
      <c r="L356" s="456">
        <v>0.03632</v>
      </c>
      <c r="N356" s="395"/>
      <c r="O356" s="395"/>
    </row>
    <row r="357" spans="1:15">
      <c r="A357" s="405"/>
      <c r="B357" s="405"/>
      <c r="C357" s="405"/>
      <c r="D357" s="406"/>
      <c r="E357" s="406"/>
      <c r="F357" s="406"/>
      <c r="G357" s="407" t="s">
        <v>14176</v>
      </c>
      <c r="H357" s="408"/>
      <c r="I357" s="407" t="s">
        <v>14177</v>
      </c>
      <c r="J357" s="408"/>
      <c r="K357" s="405"/>
      <c r="L357" s="409" t="s">
        <v>14178</v>
      </c>
      <c r="N357" s="395"/>
      <c r="O357" s="395"/>
    </row>
    <row r="358" spans="1:15">
      <c r="A358" s="410" t="s">
        <v>14179</v>
      </c>
      <c r="B358" s="411"/>
      <c r="C358" s="412"/>
      <c r="D358" s="412"/>
      <c r="E358" s="413" t="s">
        <v>74</v>
      </c>
      <c r="F358" s="412"/>
      <c r="G358" s="413" t="s">
        <v>14180</v>
      </c>
      <c r="H358" s="413" t="s">
        <v>14181</v>
      </c>
      <c r="I358" s="413" t="s">
        <v>14182</v>
      </c>
      <c r="J358" s="413" t="s">
        <v>14183</v>
      </c>
      <c r="K358" s="411"/>
      <c r="L358" s="414" t="s">
        <v>14184</v>
      </c>
      <c r="N358" s="395"/>
      <c r="O358" s="395"/>
    </row>
    <row r="359" spans="1:15">
      <c r="A359" s="404" t="s">
        <v>1064</v>
      </c>
      <c r="B359" s="415" t="s">
        <v>1065</v>
      </c>
      <c r="C359" s="415"/>
      <c r="E359" s="434">
        <v>1</v>
      </c>
      <c r="F359" s="334"/>
      <c r="G359" s="346">
        <v>1</v>
      </c>
      <c r="H359" s="417">
        <v>0</v>
      </c>
      <c r="I359" s="395">
        <v>10.9938</v>
      </c>
      <c r="J359" s="418">
        <v>0.7118</v>
      </c>
      <c r="K359" s="402"/>
      <c r="L359" s="395">
        <v>10.9938</v>
      </c>
      <c r="N359" s="395">
        <v>0.7118</v>
      </c>
      <c r="O359" s="395"/>
    </row>
    <row r="360" spans="1:15">
      <c r="A360" s="404" t="s">
        <v>14285</v>
      </c>
      <c r="B360" s="404" t="s">
        <v>14286</v>
      </c>
      <c r="C360" s="404"/>
      <c r="D360" s="334"/>
      <c r="E360" s="434">
        <v>1</v>
      </c>
      <c r="F360" s="334"/>
      <c r="G360" s="346">
        <v>1</v>
      </c>
      <c r="H360" s="417">
        <v>0</v>
      </c>
      <c r="I360" s="346">
        <v>2.2506</v>
      </c>
      <c r="J360" s="419">
        <v>1.2059</v>
      </c>
      <c r="K360" s="420"/>
      <c r="L360" s="395">
        <v>2.2506</v>
      </c>
      <c r="N360" s="395">
        <v>1.2059</v>
      </c>
      <c r="O360" s="395"/>
    </row>
    <row r="361" hidden="1" spans="1:15">
      <c r="A361" s="404">
        <v>0</v>
      </c>
      <c r="B361" s="404" t="e">
        <v>#N/A</v>
      </c>
      <c r="C361" s="404"/>
      <c r="D361" s="334"/>
      <c r="E361" s="434">
        <v>0</v>
      </c>
      <c r="F361" s="334"/>
      <c r="G361" s="346">
        <v>0</v>
      </c>
      <c r="H361" s="417">
        <v>1</v>
      </c>
      <c r="I361" s="346" t="e">
        <v>#N/A</v>
      </c>
      <c r="J361" s="419" t="e">
        <v>#N/A</v>
      </c>
      <c r="K361" s="420"/>
      <c r="L361" s="395" t="s">
        <v>932</v>
      </c>
      <c r="N361" s="395" t="s">
        <v>932</v>
      </c>
      <c r="O361" s="395"/>
    </row>
    <row r="362" hidden="1" spans="1:15">
      <c r="A362" s="404">
        <v>0</v>
      </c>
      <c r="B362" s="404" t="e">
        <v>#N/A</v>
      </c>
      <c r="C362" s="404"/>
      <c r="D362" s="334"/>
      <c r="E362" s="434">
        <v>0</v>
      </c>
      <c r="F362" s="334"/>
      <c r="G362" s="346">
        <v>0</v>
      </c>
      <c r="H362" s="417">
        <v>1</v>
      </c>
      <c r="I362" s="346" t="e">
        <v>#N/A</v>
      </c>
      <c r="J362" s="419" t="e">
        <v>#N/A</v>
      </c>
      <c r="K362" s="420"/>
      <c r="L362" s="395" t="s">
        <v>932</v>
      </c>
      <c r="N362" s="395" t="s">
        <v>932</v>
      </c>
      <c r="O362" s="395"/>
    </row>
    <row r="363" hidden="1" spans="1:15">
      <c r="A363" s="404">
        <v>0</v>
      </c>
      <c r="B363" s="404" t="e">
        <v>#N/A</v>
      </c>
      <c r="C363" s="404"/>
      <c r="D363" s="334"/>
      <c r="E363" s="434">
        <v>0</v>
      </c>
      <c r="F363" s="334"/>
      <c r="G363" s="346">
        <v>0</v>
      </c>
      <c r="H363" s="417">
        <v>1</v>
      </c>
      <c r="I363" s="346" t="e">
        <v>#N/A</v>
      </c>
      <c r="J363" s="419" t="e">
        <v>#N/A</v>
      </c>
      <c r="K363" s="420"/>
      <c r="L363" s="395" t="s">
        <v>932</v>
      </c>
      <c r="N363" s="395" t="s">
        <v>932</v>
      </c>
      <c r="O363" s="395"/>
    </row>
    <row r="364" hidden="1" spans="1:15">
      <c r="A364" s="404">
        <v>0</v>
      </c>
      <c r="B364" s="404" t="e">
        <v>#N/A</v>
      </c>
      <c r="C364" s="404"/>
      <c r="D364" s="334"/>
      <c r="E364" s="416">
        <v>0</v>
      </c>
      <c r="F364" s="334"/>
      <c r="G364" s="346">
        <v>0</v>
      </c>
      <c r="H364" s="417">
        <v>1</v>
      </c>
      <c r="I364" s="346" t="e">
        <v>#N/A</v>
      </c>
      <c r="J364" s="419" t="e">
        <v>#N/A</v>
      </c>
      <c r="K364" s="420"/>
      <c r="L364" s="395" t="s">
        <v>932</v>
      </c>
      <c r="N364" s="395" t="s">
        <v>932</v>
      </c>
      <c r="O364" s="395"/>
    </row>
    <row r="365" hidden="1" spans="1:15">
      <c r="A365" s="404">
        <v>0</v>
      </c>
      <c r="B365" s="404" t="e">
        <v>#N/A</v>
      </c>
      <c r="C365" s="404"/>
      <c r="D365" s="334"/>
      <c r="E365" s="416">
        <v>0</v>
      </c>
      <c r="F365" s="334"/>
      <c r="G365" s="346">
        <v>0</v>
      </c>
      <c r="H365" s="417">
        <v>1</v>
      </c>
      <c r="I365" s="346" t="e">
        <v>#N/A</v>
      </c>
      <c r="J365" s="419" t="e">
        <v>#N/A</v>
      </c>
      <c r="K365" s="420"/>
      <c r="L365" s="395" t="s">
        <v>932</v>
      </c>
      <c r="N365" s="395" t="s">
        <v>932</v>
      </c>
      <c r="O365" s="395"/>
    </row>
    <row r="366" hidden="1" spans="1:15">
      <c r="A366" s="404">
        <v>0</v>
      </c>
      <c r="B366" s="404" t="e">
        <v>#N/A</v>
      </c>
      <c r="C366" s="404"/>
      <c r="D366" s="334"/>
      <c r="E366" s="416">
        <v>0</v>
      </c>
      <c r="F366" s="334"/>
      <c r="G366" s="346">
        <v>0</v>
      </c>
      <c r="H366" s="417">
        <v>1</v>
      </c>
      <c r="I366" s="346" t="e">
        <v>#N/A</v>
      </c>
      <c r="J366" s="419" t="e">
        <v>#N/A</v>
      </c>
      <c r="K366" s="420"/>
      <c r="L366" s="395" t="s">
        <v>932</v>
      </c>
      <c r="N366" s="395" t="s">
        <v>932</v>
      </c>
      <c r="O366" s="395"/>
    </row>
    <row r="367" spans="1:15">
      <c r="A367" s="421"/>
      <c r="B367" s="422"/>
      <c r="C367" s="422"/>
      <c r="D367" s="422"/>
      <c r="E367" s="423"/>
      <c r="F367" s="424"/>
      <c r="G367" s="422"/>
      <c r="H367" s="422"/>
      <c r="I367" s="422"/>
      <c r="J367" s="422"/>
      <c r="K367" s="425" t="s">
        <v>14185</v>
      </c>
      <c r="L367" s="426">
        <v>13.2444</v>
      </c>
      <c r="N367" s="427">
        <v>1.9177</v>
      </c>
      <c r="O367" s="395"/>
    </row>
    <row r="368" spans="1:15">
      <c r="A368" s="428" t="s">
        <v>14186</v>
      </c>
      <c r="B368" s="429"/>
      <c r="C368" s="429"/>
      <c r="D368" s="430"/>
      <c r="E368" s="431" t="s">
        <v>74</v>
      </c>
      <c r="F368" s="431" t="s">
        <v>1123</v>
      </c>
      <c r="G368" s="430"/>
      <c r="H368" s="422"/>
      <c r="I368" s="431" t="s">
        <v>14177</v>
      </c>
      <c r="J368" s="430"/>
      <c r="K368" s="430"/>
      <c r="L368" s="432" t="s">
        <v>14187</v>
      </c>
      <c r="N368" s="395"/>
      <c r="O368" s="395"/>
    </row>
    <row r="369" spans="1:15">
      <c r="A369" s="404" t="s">
        <v>937</v>
      </c>
      <c r="B369" s="433" t="s">
        <v>938</v>
      </c>
      <c r="C369" s="433"/>
      <c r="D369" s="334"/>
      <c r="E369" s="434">
        <v>1</v>
      </c>
      <c r="F369" s="333" t="s">
        <v>104</v>
      </c>
      <c r="G369" s="334"/>
      <c r="H369" s="334"/>
      <c r="I369" s="435">
        <v>26.2149</v>
      </c>
      <c r="J369" s="334"/>
      <c r="K369" s="334"/>
      <c r="L369" s="346">
        <v>26.2149</v>
      </c>
      <c r="N369" s="395">
        <v>26.2149</v>
      </c>
      <c r="O369" s="395"/>
    </row>
    <row r="370" hidden="1" spans="1:15">
      <c r="A370" s="404">
        <v>0</v>
      </c>
      <c r="B370" s="404" t="e">
        <v>#N/A</v>
      </c>
      <c r="C370" s="404"/>
      <c r="D370" s="334"/>
      <c r="E370" s="434">
        <v>0</v>
      </c>
      <c r="F370" s="333" t="s">
        <v>104</v>
      </c>
      <c r="G370" s="334"/>
      <c r="H370" s="334"/>
      <c r="I370" s="435" t="e">
        <v>#N/A</v>
      </c>
      <c r="J370" s="334"/>
      <c r="K370" s="334"/>
      <c r="L370" s="346" t="s">
        <v>932</v>
      </c>
      <c r="N370" s="395" t="s">
        <v>932</v>
      </c>
      <c r="O370" s="395"/>
    </row>
    <row r="371" hidden="1" spans="1:15">
      <c r="A371" s="404">
        <v>0</v>
      </c>
      <c r="B371" s="404" t="e">
        <v>#N/A</v>
      </c>
      <c r="C371" s="404"/>
      <c r="D371" s="334"/>
      <c r="E371" s="434">
        <v>0</v>
      </c>
      <c r="F371" s="333" t="s">
        <v>104</v>
      </c>
      <c r="G371" s="334"/>
      <c r="H371" s="334"/>
      <c r="I371" s="435" t="e">
        <v>#N/A</v>
      </c>
      <c r="J371" s="334"/>
      <c r="K371" s="334"/>
      <c r="L371" s="346" t="s">
        <v>932</v>
      </c>
      <c r="N371" s="395" t="s">
        <v>932</v>
      </c>
      <c r="O371" s="395"/>
    </row>
    <row r="372" hidden="1" spans="1:15">
      <c r="A372" s="404">
        <v>0</v>
      </c>
      <c r="B372" s="404" t="e">
        <v>#N/A</v>
      </c>
      <c r="C372" s="404"/>
      <c r="D372" s="334"/>
      <c r="E372" s="434">
        <v>0</v>
      </c>
      <c r="F372" s="333" t="s">
        <v>104</v>
      </c>
      <c r="G372" s="334"/>
      <c r="H372" s="334"/>
      <c r="I372" s="435" t="e">
        <v>#N/A</v>
      </c>
      <c r="J372" s="334"/>
      <c r="K372" s="334"/>
      <c r="L372" s="346" t="s">
        <v>932</v>
      </c>
      <c r="N372" s="395" t="s">
        <v>932</v>
      </c>
      <c r="O372" s="395"/>
    </row>
    <row r="373" hidden="1" spans="1:15">
      <c r="A373" s="404">
        <v>0</v>
      </c>
      <c r="B373" s="404" t="e">
        <v>#N/A</v>
      </c>
      <c r="C373" s="404"/>
      <c r="D373" s="334"/>
      <c r="E373" s="434">
        <v>0</v>
      </c>
      <c r="F373" s="333" t="s">
        <v>104</v>
      </c>
      <c r="G373" s="334"/>
      <c r="H373" s="334"/>
      <c r="I373" s="435" t="e">
        <v>#N/A</v>
      </c>
      <c r="J373" s="334"/>
      <c r="K373" s="334"/>
      <c r="L373" s="346" t="s">
        <v>932</v>
      </c>
      <c r="N373" s="395" t="s">
        <v>932</v>
      </c>
      <c r="O373" s="395"/>
    </row>
    <row r="374" hidden="1" spans="1:15">
      <c r="A374" s="404">
        <v>0</v>
      </c>
      <c r="B374" s="404" t="e">
        <v>#N/A</v>
      </c>
      <c r="C374" s="404"/>
      <c r="D374" s="334"/>
      <c r="E374" s="434">
        <v>0</v>
      </c>
      <c r="F374" s="333" t="s">
        <v>104</v>
      </c>
      <c r="G374" s="334"/>
      <c r="H374" s="334"/>
      <c r="I374" s="435" t="e">
        <v>#N/A</v>
      </c>
      <c r="J374" s="334"/>
      <c r="K374" s="334"/>
      <c r="L374" s="346" t="s">
        <v>932</v>
      </c>
      <c r="N374" s="395" t="s">
        <v>932</v>
      </c>
      <c r="O374" s="395"/>
    </row>
    <row r="375" hidden="1" spans="1:15">
      <c r="A375" s="404">
        <v>0</v>
      </c>
      <c r="B375" s="404" t="e">
        <v>#N/A</v>
      </c>
      <c r="C375" s="404"/>
      <c r="D375" s="334"/>
      <c r="E375" s="434">
        <v>0</v>
      </c>
      <c r="F375" s="333" t="s">
        <v>104</v>
      </c>
      <c r="G375" s="334"/>
      <c r="H375" s="334"/>
      <c r="I375" s="435" t="e">
        <v>#N/A</v>
      </c>
      <c r="J375" s="334"/>
      <c r="K375" s="334"/>
      <c r="L375" s="346" t="s">
        <v>932</v>
      </c>
      <c r="N375" s="395" t="s">
        <v>932</v>
      </c>
      <c r="O375" s="395"/>
    </row>
    <row r="376" hidden="1" spans="1:15">
      <c r="A376" s="404">
        <v>0</v>
      </c>
      <c r="B376" s="436" t="e">
        <v>#N/A</v>
      </c>
      <c r="C376" s="436"/>
      <c r="D376" s="334"/>
      <c r="E376" s="434">
        <v>0</v>
      </c>
      <c r="F376" s="333" t="s">
        <v>104</v>
      </c>
      <c r="G376" s="334"/>
      <c r="H376" s="334"/>
      <c r="I376" s="435" t="e">
        <v>#N/A</v>
      </c>
      <c r="J376" s="334"/>
      <c r="K376" s="334"/>
      <c r="L376" s="346" t="s">
        <v>932</v>
      </c>
      <c r="N376" s="395" t="s">
        <v>932</v>
      </c>
      <c r="O376" s="395"/>
    </row>
    <row r="377" spans="1:15">
      <c r="A377" s="421"/>
      <c r="B377" s="62"/>
      <c r="C377" s="62"/>
      <c r="D377" s="422"/>
      <c r="E377" s="423"/>
      <c r="F377" s="424"/>
      <c r="G377" s="422"/>
      <c r="H377" s="422"/>
      <c r="I377" s="422"/>
      <c r="J377" s="422"/>
      <c r="K377" s="425" t="s">
        <v>14188</v>
      </c>
      <c r="L377" s="426">
        <v>26.2149</v>
      </c>
      <c r="N377" s="427">
        <v>26.2149</v>
      </c>
      <c r="O377" s="395"/>
    </row>
    <row r="378" spans="1:15">
      <c r="I378" s="437"/>
      <c r="K378" s="383" t="s">
        <v>14189</v>
      </c>
      <c r="L378" s="427">
        <v>39.4593</v>
      </c>
      <c r="N378" s="395">
        <v>28.1326</v>
      </c>
      <c r="O378" s="395"/>
    </row>
    <row r="379" spans="1:15">
      <c r="K379" s="383" t="s">
        <v>14190</v>
      </c>
      <c r="L379" s="427">
        <v>3.12920697858842</v>
      </c>
      <c r="N379" s="395">
        <v>2.23097541633624</v>
      </c>
      <c r="O379" s="395">
        <v>0.0810290271213323</v>
      </c>
    </row>
    <row r="380" spans="1:15">
      <c r="K380" s="383" t="s">
        <v>14191</v>
      </c>
      <c r="L380" s="427">
        <v>0.0810290271213323</v>
      </c>
      <c r="N380" s="395"/>
      <c r="O380" s="395"/>
    </row>
    <row r="381" spans="1:15">
      <c r="K381" s="383" t="s">
        <v>14192</v>
      </c>
      <c r="L381" s="395">
        <v>0</v>
      </c>
      <c r="N381" s="395"/>
      <c r="O381" s="395"/>
    </row>
    <row r="382" spans="1:15">
      <c r="A382" s="428" t="s">
        <v>14193</v>
      </c>
      <c r="B382" s="430"/>
      <c r="C382" s="430"/>
      <c r="D382" s="430"/>
      <c r="E382" s="431" t="s">
        <v>74</v>
      </c>
      <c r="F382" s="431" t="s">
        <v>1123</v>
      </c>
      <c r="G382" s="430"/>
      <c r="H382" s="430"/>
      <c r="I382" s="425" t="s">
        <v>75</v>
      </c>
      <c r="J382" s="430"/>
      <c r="K382" s="430"/>
      <c r="L382" s="426" t="s">
        <v>14194</v>
      </c>
      <c r="N382" s="395"/>
      <c r="O382" s="395"/>
    </row>
    <row r="383" spans="1:15">
      <c r="A383" s="404" t="s">
        <v>14287</v>
      </c>
      <c r="B383" s="433" t="s">
        <v>14288</v>
      </c>
      <c r="C383" s="433"/>
      <c r="D383" s="334"/>
      <c r="E383" s="434">
        <v>0.00671</v>
      </c>
      <c r="F383" s="333" t="s">
        <v>82</v>
      </c>
      <c r="G383" s="334"/>
      <c r="I383" s="395">
        <v>78.8796</v>
      </c>
      <c r="J383" s="395"/>
      <c r="K383" s="395"/>
      <c r="L383" s="346">
        <v>0.529282116</v>
      </c>
      <c r="N383" s="395"/>
      <c r="O383" s="395"/>
    </row>
    <row r="384" spans="1:15">
      <c r="A384" s="404" t="s">
        <v>14289</v>
      </c>
      <c r="B384" s="404" t="s">
        <v>14290</v>
      </c>
      <c r="C384" s="404"/>
      <c r="D384" s="334"/>
      <c r="E384" s="434">
        <v>1</v>
      </c>
      <c r="F384" s="333" t="s">
        <v>82</v>
      </c>
      <c r="G384" s="334"/>
      <c r="I384" s="395">
        <v>14.1269</v>
      </c>
      <c r="J384" s="395"/>
      <c r="K384" s="395"/>
      <c r="L384" s="346">
        <v>14.1269</v>
      </c>
      <c r="N384" s="395"/>
      <c r="O384" s="395"/>
    </row>
    <row r="385" hidden="1" spans="1:15">
      <c r="A385" s="404">
        <v>0</v>
      </c>
      <c r="B385" s="404" t="e">
        <v>#N/A</v>
      </c>
      <c r="C385" s="404"/>
      <c r="D385" s="334"/>
      <c r="E385" s="434">
        <v>0</v>
      </c>
      <c r="F385" s="333" t="e">
        <v>#N/A</v>
      </c>
      <c r="G385" s="334"/>
      <c r="I385" s="395" t="e">
        <v>#N/A</v>
      </c>
      <c r="J385" s="395"/>
      <c r="K385" s="395"/>
      <c r="L385" s="346" t="s">
        <v>932</v>
      </c>
      <c r="N385" s="395"/>
      <c r="O385" s="395"/>
    </row>
    <row r="386" hidden="1" spans="1:15">
      <c r="A386" s="404">
        <v>0</v>
      </c>
      <c r="B386" s="404" t="e">
        <v>#N/A</v>
      </c>
      <c r="C386" s="404"/>
      <c r="D386" s="334"/>
      <c r="E386" s="434">
        <v>0</v>
      </c>
      <c r="F386" s="333" t="e">
        <v>#N/A</v>
      </c>
      <c r="G386" s="334"/>
      <c r="I386" s="395" t="e">
        <v>#N/A</v>
      </c>
      <c r="J386" s="395"/>
      <c r="K386" s="395"/>
      <c r="L386" s="346" t="s">
        <v>932</v>
      </c>
      <c r="N386" s="395"/>
      <c r="O386" s="395"/>
    </row>
    <row r="387" hidden="1" spans="1:15">
      <c r="A387" s="404">
        <v>0</v>
      </c>
      <c r="B387" s="404" t="e">
        <v>#N/A</v>
      </c>
      <c r="C387" s="404"/>
      <c r="D387" s="334"/>
      <c r="E387" s="434">
        <v>0</v>
      </c>
      <c r="F387" s="333" t="e">
        <v>#N/A</v>
      </c>
      <c r="G387" s="334"/>
      <c r="H387" s="334"/>
      <c r="I387" s="395" t="e">
        <v>#N/A</v>
      </c>
      <c r="J387" s="395"/>
      <c r="K387" s="395"/>
      <c r="L387" s="346" t="s">
        <v>932</v>
      </c>
      <c r="N387" s="395"/>
      <c r="O387" s="395"/>
    </row>
    <row r="388" hidden="1" spans="1:15">
      <c r="A388" s="404">
        <v>0</v>
      </c>
      <c r="B388" s="404" t="e">
        <v>#N/A</v>
      </c>
      <c r="C388" s="404"/>
      <c r="D388" s="334"/>
      <c r="E388" s="434">
        <v>0</v>
      </c>
      <c r="F388" s="333" t="e">
        <v>#N/A</v>
      </c>
      <c r="G388" s="334"/>
      <c r="H388" s="334"/>
      <c r="I388" s="395" t="e">
        <v>#N/A</v>
      </c>
      <c r="J388" s="395"/>
      <c r="K388" s="395"/>
      <c r="L388" s="346" t="s">
        <v>932</v>
      </c>
      <c r="N388" s="395"/>
      <c r="O388" s="395"/>
    </row>
    <row r="389" hidden="1" spans="1:15">
      <c r="A389" s="404">
        <v>0</v>
      </c>
      <c r="B389" s="404" t="e">
        <v>#N/A</v>
      </c>
      <c r="C389" s="404"/>
      <c r="D389" s="334"/>
      <c r="E389" s="434">
        <v>0</v>
      </c>
      <c r="F389" s="333" t="e">
        <v>#N/A</v>
      </c>
      <c r="G389" s="334"/>
      <c r="H389" s="334"/>
      <c r="I389" s="395" t="e">
        <v>#N/A</v>
      </c>
      <c r="J389" s="395"/>
      <c r="K389" s="395"/>
      <c r="L389" s="346" t="s">
        <v>932</v>
      </c>
      <c r="N389" s="395"/>
      <c r="O389" s="395"/>
    </row>
    <row r="390" hidden="1" spans="1:15">
      <c r="A390" s="404">
        <v>0</v>
      </c>
      <c r="B390" s="404" t="e">
        <v>#N/A</v>
      </c>
      <c r="C390" s="404"/>
      <c r="D390" s="438"/>
      <c r="E390" s="434">
        <v>0</v>
      </c>
      <c r="F390" s="333" t="e">
        <v>#N/A</v>
      </c>
      <c r="G390" s="334"/>
      <c r="H390" s="334"/>
      <c r="I390" s="395" t="e">
        <v>#N/A</v>
      </c>
      <c r="J390" s="395"/>
      <c r="K390" s="395"/>
      <c r="L390" s="346" t="s">
        <v>932</v>
      </c>
      <c r="N390" s="395"/>
      <c r="O390" s="395"/>
    </row>
    <row r="391" spans="1:15">
      <c r="A391" s="421"/>
      <c r="B391" s="422"/>
      <c r="C391" s="422"/>
      <c r="D391" s="422"/>
      <c r="E391" s="423"/>
      <c r="F391" s="424"/>
      <c r="G391" s="422"/>
      <c r="H391" s="422"/>
      <c r="I391" s="430"/>
      <c r="J391" s="430"/>
      <c r="K391" s="425" t="s">
        <v>14203</v>
      </c>
      <c r="L391" s="426">
        <v>14.656182116</v>
      </c>
      <c r="N391" s="395"/>
      <c r="O391" s="395"/>
    </row>
    <row r="392" hidden="1" spans="1:15">
      <c r="A392" s="428" t="s">
        <v>14204</v>
      </c>
      <c r="B392" s="430"/>
      <c r="C392" s="430"/>
      <c r="D392" s="430"/>
      <c r="E392" s="431" t="s">
        <v>74</v>
      </c>
      <c r="F392" s="431" t="s">
        <v>1123</v>
      </c>
      <c r="G392" s="430"/>
      <c r="H392" s="430"/>
      <c r="I392" s="425" t="s">
        <v>75</v>
      </c>
      <c r="J392" s="430"/>
      <c r="K392" s="430"/>
      <c r="L392" s="426" t="s">
        <v>14194</v>
      </c>
      <c r="N392" s="395"/>
      <c r="O392" s="395"/>
    </row>
    <row r="393" hidden="1" spans="1:15">
      <c r="A393" s="404">
        <v>0</v>
      </c>
      <c r="B393" s="334" t="e">
        <v>#N/A</v>
      </c>
      <c r="C393" s="334"/>
      <c r="D393" s="334"/>
      <c r="E393" s="434">
        <v>0</v>
      </c>
      <c r="F393" s="333" t="e">
        <v>#N/A</v>
      </c>
      <c r="G393" s="439"/>
      <c r="I393" s="346" t="e">
        <v>#N/A</v>
      </c>
      <c r="L393" s="346" t="s">
        <v>932</v>
      </c>
      <c r="N393" s="395"/>
      <c r="O393" s="395"/>
    </row>
    <row r="394" hidden="1" spans="1:15">
      <c r="A394" s="401">
        <v>0</v>
      </c>
      <c r="B394" s="334" t="e">
        <v>#N/A</v>
      </c>
      <c r="E394" s="440">
        <v>0</v>
      </c>
      <c r="F394" s="333" t="e">
        <v>#N/A</v>
      </c>
      <c r="G394" s="439"/>
      <c r="I394" s="346" t="e">
        <v>#N/A</v>
      </c>
      <c r="L394" s="346" t="s">
        <v>932</v>
      </c>
      <c r="N394" s="395"/>
      <c r="O394" s="395"/>
    </row>
    <row r="395" hidden="1" spans="1:15">
      <c r="A395" s="401">
        <v>0</v>
      </c>
      <c r="B395" s="334" t="e">
        <v>#N/A</v>
      </c>
      <c r="E395" s="440">
        <v>0</v>
      </c>
      <c r="F395" s="333" t="e">
        <v>#N/A</v>
      </c>
      <c r="G395" s="439"/>
      <c r="I395" s="346" t="e">
        <v>#N/A</v>
      </c>
      <c r="L395" s="346" t="s">
        <v>932</v>
      </c>
      <c r="N395" s="395"/>
      <c r="O395" s="395"/>
    </row>
    <row r="396" hidden="1" spans="1:15">
      <c r="A396" s="401">
        <v>0</v>
      </c>
      <c r="B396" s="334" t="e">
        <v>#N/A</v>
      </c>
      <c r="E396" s="440">
        <v>0</v>
      </c>
      <c r="F396" s="333" t="e">
        <v>#N/A</v>
      </c>
      <c r="G396" s="439"/>
      <c r="I396" s="346" t="e">
        <v>#N/A</v>
      </c>
      <c r="L396" s="346" t="s">
        <v>932</v>
      </c>
      <c r="N396" s="395"/>
      <c r="O396" s="395"/>
    </row>
    <row r="397" hidden="1" spans="1:15">
      <c r="A397" s="401">
        <v>0</v>
      </c>
      <c r="B397" s="334" t="e">
        <v>#N/A</v>
      </c>
      <c r="E397" s="440">
        <v>0</v>
      </c>
      <c r="F397" s="333" t="e">
        <v>#N/A</v>
      </c>
      <c r="G397" s="439"/>
      <c r="I397" s="346" t="e">
        <v>#N/A</v>
      </c>
      <c r="L397" s="346" t="s">
        <v>932</v>
      </c>
      <c r="N397" s="395"/>
      <c r="O397" s="395"/>
    </row>
    <row r="398" hidden="1" spans="1:15">
      <c r="A398" s="401">
        <v>0</v>
      </c>
      <c r="B398" s="334" t="e">
        <v>#N/A</v>
      </c>
      <c r="E398" s="440">
        <v>0</v>
      </c>
      <c r="F398" s="333" t="e">
        <v>#N/A</v>
      </c>
      <c r="G398" s="439"/>
      <c r="I398" s="346" t="e">
        <v>#N/A</v>
      </c>
      <c r="L398" s="346" t="s">
        <v>932</v>
      </c>
      <c r="N398" s="395"/>
      <c r="O398" s="395"/>
    </row>
    <row r="399" hidden="1" spans="1:15">
      <c r="A399" s="421"/>
      <c r="B399" s="422"/>
      <c r="C399" s="422"/>
      <c r="D399" s="422"/>
      <c r="E399" s="422"/>
      <c r="F399" s="422"/>
      <c r="G399" s="422"/>
      <c r="H399" s="422"/>
      <c r="I399" s="430"/>
      <c r="J399" s="430"/>
      <c r="K399" s="425" t="s">
        <v>14206</v>
      </c>
      <c r="L399" s="426">
        <v>0</v>
      </c>
      <c r="N399" s="395"/>
      <c r="O399" s="395"/>
    </row>
    <row r="400" spans="1:15">
      <c r="A400" s="421"/>
      <c r="B400" s="422"/>
      <c r="C400" s="422"/>
      <c r="D400" s="422"/>
      <c r="E400" s="422"/>
      <c r="F400" s="422"/>
      <c r="G400" s="422"/>
      <c r="H400" s="422"/>
      <c r="I400" s="430"/>
      <c r="J400" s="430"/>
      <c r="K400" s="425" t="s">
        <v>14207</v>
      </c>
      <c r="L400" s="426">
        <v>17.8664181217098</v>
      </c>
      <c r="N400" s="395"/>
      <c r="O400" s="395"/>
    </row>
    <row r="401" spans="1:15">
      <c r="A401" s="428" t="s">
        <v>14208</v>
      </c>
      <c r="B401" s="430"/>
      <c r="C401" s="430"/>
      <c r="D401" s="431" t="s">
        <v>55</v>
      </c>
      <c r="E401" s="431" t="s">
        <v>74</v>
      </c>
      <c r="F401" s="431" t="s">
        <v>1123</v>
      </c>
      <c r="G401" s="430"/>
      <c r="H401" s="430"/>
      <c r="I401" s="425" t="s">
        <v>75</v>
      </c>
      <c r="J401" s="430"/>
      <c r="K401" s="430"/>
      <c r="L401" s="426" t="s">
        <v>14194</v>
      </c>
      <c r="N401" s="395"/>
      <c r="O401" s="395"/>
    </row>
    <row r="402" hidden="1" spans="1:15">
      <c r="A402" s="404" t="s">
        <v>14287</v>
      </c>
      <c r="B402" s="441" t="s">
        <v>14288</v>
      </c>
      <c r="C402" s="441"/>
      <c r="D402" s="442">
        <v>0</v>
      </c>
      <c r="E402" s="434">
        <v>0</v>
      </c>
      <c r="F402" s="333" t="s">
        <v>9885</v>
      </c>
      <c r="G402" s="443" t="s">
        <v>14209</v>
      </c>
      <c r="H402" s="334"/>
      <c r="I402" s="346">
        <v>0</v>
      </c>
      <c r="J402" s="334"/>
      <c r="K402" s="346"/>
      <c r="L402" s="346" t="s">
        <v>932</v>
      </c>
      <c r="N402" s="395"/>
      <c r="O402" s="395"/>
    </row>
    <row r="403" spans="1:15">
      <c r="A403" s="404" t="s">
        <v>14289</v>
      </c>
      <c r="B403" s="334" t="s">
        <v>14290</v>
      </c>
      <c r="C403" s="334"/>
      <c r="D403" s="442">
        <v>5914655</v>
      </c>
      <c r="E403" s="434">
        <v>0.00032</v>
      </c>
      <c r="F403" s="333" t="s">
        <v>9885</v>
      </c>
      <c r="G403" s="334"/>
      <c r="H403" s="334"/>
      <c r="I403" s="346">
        <v>35.43</v>
      </c>
      <c r="J403" s="334"/>
      <c r="K403" s="346"/>
      <c r="L403" s="346">
        <v>0.0113376</v>
      </c>
      <c r="N403" s="395"/>
      <c r="O403" s="395"/>
    </row>
    <row r="404" hidden="1" spans="1:15">
      <c r="A404" s="404">
        <v>0</v>
      </c>
      <c r="B404" s="334" t="e">
        <v>#N/A</v>
      </c>
      <c r="C404" s="334"/>
      <c r="D404" s="442">
        <v>0</v>
      </c>
      <c r="E404" s="434">
        <v>0</v>
      </c>
      <c r="F404" s="333" t="s">
        <v>9885</v>
      </c>
      <c r="G404" s="334"/>
      <c r="H404" s="334"/>
      <c r="I404" s="346">
        <v>0</v>
      </c>
      <c r="J404" s="334"/>
      <c r="K404" s="346"/>
      <c r="L404" s="346" t="s">
        <v>932</v>
      </c>
      <c r="N404" s="395"/>
      <c r="O404" s="395"/>
    </row>
    <row r="405" hidden="1" spans="1:15">
      <c r="A405" s="404">
        <v>0</v>
      </c>
      <c r="B405" s="334" t="e">
        <v>#N/A</v>
      </c>
      <c r="C405" s="334"/>
      <c r="D405" s="442">
        <v>0</v>
      </c>
      <c r="E405" s="434">
        <v>0</v>
      </c>
      <c r="F405" s="333" t="s">
        <v>9885</v>
      </c>
      <c r="G405" s="334"/>
      <c r="H405" s="334"/>
      <c r="I405" s="346">
        <v>0</v>
      </c>
      <c r="J405" s="334"/>
      <c r="K405" s="346"/>
      <c r="L405" s="346" t="s">
        <v>932</v>
      </c>
      <c r="N405" s="395"/>
      <c r="O405" s="395"/>
    </row>
    <row r="406" hidden="1" spans="1:15">
      <c r="A406" s="404">
        <v>0</v>
      </c>
      <c r="B406" s="334" t="e">
        <v>#N/A</v>
      </c>
      <c r="C406" s="334"/>
      <c r="D406" s="442">
        <v>0</v>
      </c>
      <c r="E406" s="434">
        <v>0</v>
      </c>
      <c r="F406" s="333" t="s">
        <v>9885</v>
      </c>
      <c r="G406" s="334"/>
      <c r="H406" s="334"/>
      <c r="I406" s="346">
        <v>0</v>
      </c>
      <c r="J406" s="334"/>
      <c r="K406" s="346"/>
      <c r="L406" s="346" t="s">
        <v>932</v>
      </c>
      <c r="N406" s="395"/>
      <c r="O406" s="395"/>
    </row>
    <row r="407" hidden="1" spans="1:15">
      <c r="A407" s="404">
        <v>0</v>
      </c>
      <c r="B407" s="334" t="e">
        <v>#N/A</v>
      </c>
      <c r="C407" s="334"/>
      <c r="D407" s="442">
        <v>0</v>
      </c>
      <c r="E407" s="434">
        <v>0</v>
      </c>
      <c r="F407" s="333" t="s">
        <v>9885</v>
      </c>
      <c r="G407" s="334"/>
      <c r="H407" s="334"/>
      <c r="I407" s="346">
        <v>0</v>
      </c>
      <c r="J407" s="334"/>
      <c r="K407" s="346"/>
      <c r="L407" s="346" t="s">
        <v>932</v>
      </c>
      <c r="N407" s="395"/>
      <c r="O407" s="395"/>
    </row>
    <row r="408" hidden="1" spans="1:15">
      <c r="A408" s="404">
        <v>0</v>
      </c>
      <c r="B408" s="334" t="e">
        <v>#N/A</v>
      </c>
      <c r="C408" s="334"/>
      <c r="D408" s="442">
        <v>0</v>
      </c>
      <c r="E408" s="434">
        <v>0</v>
      </c>
      <c r="F408" s="333" t="s">
        <v>9885</v>
      </c>
      <c r="G408" s="334"/>
      <c r="H408" s="334"/>
      <c r="I408" s="346">
        <v>0</v>
      </c>
      <c r="J408" s="334"/>
      <c r="K408" s="346"/>
      <c r="L408" s="346" t="s">
        <v>932</v>
      </c>
      <c r="N408" s="395"/>
      <c r="O408" s="395"/>
    </row>
    <row r="409" hidden="1" spans="1:15">
      <c r="A409" s="404">
        <v>0</v>
      </c>
      <c r="B409" s="444" t="e">
        <v>#N/A</v>
      </c>
      <c r="C409" s="444"/>
      <c r="D409" s="442">
        <v>0</v>
      </c>
      <c r="E409" s="434">
        <v>0</v>
      </c>
      <c r="F409" s="333" t="s">
        <v>9885</v>
      </c>
      <c r="G409" s="334"/>
      <c r="H409" s="334"/>
      <c r="I409" s="346">
        <v>0</v>
      </c>
      <c r="J409" s="334"/>
      <c r="K409" s="346"/>
      <c r="L409" s="346" t="s">
        <v>932</v>
      </c>
      <c r="N409" s="395"/>
      <c r="O409" s="395"/>
    </row>
    <row r="410" spans="1:15">
      <c r="A410" s="428"/>
      <c r="B410" s="445"/>
      <c r="C410" s="445"/>
      <c r="D410" s="430"/>
      <c r="E410" s="430"/>
      <c r="F410" s="430"/>
      <c r="G410" s="430"/>
      <c r="H410" s="430"/>
      <c r="I410" s="430"/>
      <c r="J410" s="430"/>
      <c r="K410" s="425" t="s">
        <v>14210</v>
      </c>
      <c r="L410" s="426">
        <v>0.0113376</v>
      </c>
      <c r="N410" s="395"/>
      <c r="O410" s="395"/>
    </row>
    <row r="411" hidden="1" spans="1:15">
      <c r="A411" s="446" t="s">
        <v>14211</v>
      </c>
      <c r="B411" s="445"/>
      <c r="C411" s="445"/>
      <c r="D411" s="447" t="s">
        <v>55</v>
      </c>
      <c r="E411" s="445" t="s">
        <v>74</v>
      </c>
      <c r="F411" s="447" t="s">
        <v>1123</v>
      </c>
      <c r="G411" s="445"/>
      <c r="H411" s="447" t="s">
        <v>72</v>
      </c>
      <c r="I411" s="447" t="s">
        <v>75</v>
      </c>
      <c r="J411" s="445"/>
      <c r="K411" s="448"/>
      <c r="L411" s="449" t="s">
        <v>14194</v>
      </c>
      <c r="N411" s="395"/>
      <c r="O411" s="395"/>
    </row>
    <row r="412" hidden="1" spans="1:15">
      <c r="A412" s="404" t="s">
        <v>14287</v>
      </c>
      <c r="B412" s="433" t="s">
        <v>14288</v>
      </c>
      <c r="C412" s="433"/>
      <c r="D412" s="442">
        <v>0</v>
      </c>
      <c r="E412" s="450">
        <v>0</v>
      </c>
      <c r="F412" s="333" t="s">
        <v>13063</v>
      </c>
      <c r="G412" s="333" t="s">
        <v>14212</v>
      </c>
      <c r="H412" s="346">
        <v>0</v>
      </c>
      <c r="I412" s="346">
        <v>0</v>
      </c>
      <c r="J412" s="346"/>
      <c r="K412" s="334"/>
      <c r="L412" s="346" t="s">
        <v>932</v>
      </c>
      <c r="N412" s="395"/>
      <c r="O412" s="395"/>
    </row>
    <row r="413" hidden="1" spans="1:15">
      <c r="A413" s="404"/>
      <c r="B413" s="404"/>
      <c r="C413" s="334"/>
      <c r="D413" s="442">
        <v>0</v>
      </c>
      <c r="E413" s="450">
        <v>0</v>
      </c>
      <c r="F413" s="333" t="s">
        <v>13063</v>
      </c>
      <c r="G413" s="333" t="s">
        <v>14213</v>
      </c>
      <c r="H413" s="346">
        <v>0</v>
      </c>
      <c r="I413" s="346">
        <v>0</v>
      </c>
      <c r="J413" s="346"/>
      <c r="K413" s="334"/>
      <c r="L413" s="346" t="s">
        <v>932</v>
      </c>
      <c r="N413" s="395"/>
      <c r="O413" s="395"/>
    </row>
    <row r="414" hidden="1" spans="1:15">
      <c r="A414" s="404"/>
      <c r="B414" s="404"/>
      <c r="C414" s="334"/>
      <c r="D414" s="442">
        <v>0</v>
      </c>
      <c r="E414" s="450">
        <v>0</v>
      </c>
      <c r="F414" s="333" t="s">
        <v>13063</v>
      </c>
      <c r="G414" s="333" t="s">
        <v>14214</v>
      </c>
      <c r="H414" s="346">
        <v>0</v>
      </c>
      <c r="I414" s="346">
        <v>0</v>
      </c>
      <c r="J414" s="346"/>
      <c r="K414" s="334"/>
      <c r="L414" s="346" t="s">
        <v>932</v>
      </c>
      <c r="N414" s="395"/>
      <c r="O414" s="395"/>
    </row>
    <row r="415" hidden="1" spans="1:15">
      <c r="A415" s="404" t="s">
        <v>14289</v>
      </c>
      <c r="B415" s="404" t="s">
        <v>14290</v>
      </c>
      <c r="C415" s="404"/>
      <c r="D415" s="442">
        <v>0</v>
      </c>
      <c r="E415" s="450">
        <v>0.00032</v>
      </c>
      <c r="F415" s="333" t="s">
        <v>13063</v>
      </c>
      <c r="G415" s="333" t="s">
        <v>14212</v>
      </c>
      <c r="H415" s="346">
        <v>0</v>
      </c>
      <c r="I415" s="346">
        <v>0</v>
      </c>
      <c r="J415" s="346"/>
      <c r="K415" s="334"/>
      <c r="L415" s="346">
        <v>0</v>
      </c>
      <c r="N415" s="395"/>
      <c r="O415" s="395"/>
    </row>
    <row r="416" hidden="1" spans="1:15">
      <c r="A416" s="404"/>
      <c r="B416" s="404"/>
      <c r="C416" s="334"/>
      <c r="D416" s="442">
        <v>0</v>
      </c>
      <c r="E416" s="450">
        <v>0.00032</v>
      </c>
      <c r="F416" s="333" t="s">
        <v>13063</v>
      </c>
      <c r="G416" s="333" t="s">
        <v>14213</v>
      </c>
      <c r="H416" s="346">
        <v>0</v>
      </c>
      <c r="I416" s="346">
        <v>0</v>
      </c>
      <c r="J416" s="346"/>
      <c r="K416" s="334"/>
      <c r="L416" s="346">
        <v>0</v>
      </c>
      <c r="N416" s="395"/>
      <c r="O416" s="395"/>
    </row>
    <row r="417" hidden="1" spans="1:15">
      <c r="A417" s="404"/>
      <c r="B417" s="404"/>
      <c r="C417" s="334"/>
      <c r="D417" s="442">
        <v>0</v>
      </c>
      <c r="E417" s="450">
        <v>0.00032</v>
      </c>
      <c r="F417" s="333" t="s">
        <v>13063</v>
      </c>
      <c r="G417" s="333" t="s">
        <v>14214</v>
      </c>
      <c r="H417" s="346">
        <v>0</v>
      </c>
      <c r="I417" s="346">
        <v>0</v>
      </c>
      <c r="J417" s="346"/>
      <c r="K417" s="334"/>
      <c r="L417" s="346">
        <v>0</v>
      </c>
      <c r="N417" s="395"/>
      <c r="O417" s="395"/>
    </row>
    <row r="418" hidden="1" spans="1:15">
      <c r="A418" s="404">
        <v>0</v>
      </c>
      <c r="B418" s="404" t="e">
        <v>#N/A</v>
      </c>
      <c r="C418" s="404"/>
      <c r="D418" s="442">
        <v>0</v>
      </c>
      <c r="E418" s="450">
        <v>0</v>
      </c>
      <c r="F418" s="333" t="s">
        <v>13063</v>
      </c>
      <c r="G418" s="333" t="s">
        <v>14212</v>
      </c>
      <c r="H418" s="346">
        <v>0</v>
      </c>
      <c r="I418" s="346">
        <v>0</v>
      </c>
      <c r="J418" s="346"/>
      <c r="K418" s="334"/>
      <c r="L418" s="346" t="s">
        <v>932</v>
      </c>
      <c r="N418" s="395"/>
      <c r="O418" s="395"/>
    </row>
    <row r="419" hidden="1" spans="1:15">
      <c r="A419" s="404"/>
      <c r="B419" s="404"/>
      <c r="C419" s="334"/>
      <c r="D419" s="442">
        <v>0</v>
      </c>
      <c r="E419" s="450">
        <v>0</v>
      </c>
      <c r="F419" s="333" t="s">
        <v>13063</v>
      </c>
      <c r="G419" s="333" t="s">
        <v>14213</v>
      </c>
      <c r="H419" s="346">
        <v>0</v>
      </c>
      <c r="I419" s="346">
        <v>0</v>
      </c>
      <c r="J419" s="346"/>
      <c r="K419" s="334"/>
      <c r="L419" s="346" t="s">
        <v>932</v>
      </c>
      <c r="N419" s="395"/>
      <c r="O419" s="395"/>
    </row>
    <row r="420" hidden="1" spans="1:15">
      <c r="A420" s="404"/>
      <c r="B420" s="404"/>
      <c r="C420" s="334"/>
      <c r="D420" s="442">
        <v>0</v>
      </c>
      <c r="E420" s="450">
        <v>0</v>
      </c>
      <c r="F420" s="333" t="s">
        <v>13063</v>
      </c>
      <c r="G420" s="333" t="s">
        <v>14214</v>
      </c>
      <c r="H420" s="346">
        <v>0</v>
      </c>
      <c r="I420" s="346">
        <v>0</v>
      </c>
      <c r="J420" s="346"/>
      <c r="K420" s="334"/>
      <c r="L420" s="346" t="s">
        <v>932</v>
      </c>
      <c r="N420" s="395"/>
      <c r="O420" s="395"/>
    </row>
    <row r="421" hidden="1" spans="1:15">
      <c r="A421" s="404">
        <v>0</v>
      </c>
      <c r="B421" s="404" t="e">
        <v>#N/A</v>
      </c>
      <c r="C421" s="404"/>
      <c r="D421" s="442">
        <v>0</v>
      </c>
      <c r="E421" s="450">
        <v>0</v>
      </c>
      <c r="F421" s="333" t="s">
        <v>13063</v>
      </c>
      <c r="G421" s="333" t="s">
        <v>14212</v>
      </c>
      <c r="H421" s="346">
        <v>0</v>
      </c>
      <c r="I421" s="346">
        <v>0</v>
      </c>
      <c r="J421" s="346"/>
      <c r="K421" s="334"/>
      <c r="L421" s="346" t="s">
        <v>932</v>
      </c>
      <c r="N421" s="395"/>
      <c r="O421" s="395"/>
    </row>
    <row r="422" hidden="1" spans="1:15">
      <c r="A422" s="404"/>
      <c r="B422" s="404"/>
      <c r="C422" s="334"/>
      <c r="D422" s="442">
        <v>0</v>
      </c>
      <c r="E422" s="450">
        <v>0</v>
      </c>
      <c r="F422" s="333" t="s">
        <v>13063</v>
      </c>
      <c r="G422" s="333" t="s">
        <v>14213</v>
      </c>
      <c r="H422" s="346">
        <v>0</v>
      </c>
      <c r="I422" s="346">
        <v>0</v>
      </c>
      <c r="J422" s="346"/>
      <c r="K422" s="334"/>
      <c r="L422" s="346" t="s">
        <v>932</v>
      </c>
      <c r="N422" s="395"/>
      <c r="O422" s="395"/>
    </row>
    <row r="423" hidden="1" spans="1:15">
      <c r="A423" s="404"/>
      <c r="B423" s="404"/>
      <c r="C423" s="334"/>
      <c r="D423" s="442">
        <v>0</v>
      </c>
      <c r="E423" s="450">
        <v>0</v>
      </c>
      <c r="F423" s="333" t="s">
        <v>13063</v>
      </c>
      <c r="G423" s="333" t="s">
        <v>14214</v>
      </c>
      <c r="H423" s="346">
        <v>0</v>
      </c>
      <c r="I423" s="346">
        <v>0</v>
      </c>
      <c r="J423" s="346"/>
      <c r="K423" s="334"/>
      <c r="L423" s="346" t="s">
        <v>932</v>
      </c>
      <c r="N423" s="395"/>
      <c r="O423" s="395"/>
    </row>
    <row r="424" hidden="1" spans="1:15">
      <c r="A424" s="404">
        <v>0</v>
      </c>
      <c r="B424" s="404" t="e">
        <v>#N/A</v>
      </c>
      <c r="C424" s="404"/>
      <c r="D424" s="442">
        <v>0</v>
      </c>
      <c r="E424" s="450">
        <v>0</v>
      </c>
      <c r="F424" s="333" t="s">
        <v>13063</v>
      </c>
      <c r="G424" s="333" t="s">
        <v>14212</v>
      </c>
      <c r="H424" s="346">
        <v>0</v>
      </c>
      <c r="I424" s="346">
        <v>0</v>
      </c>
      <c r="J424" s="346"/>
      <c r="K424" s="334"/>
      <c r="L424" s="346" t="s">
        <v>932</v>
      </c>
      <c r="N424" s="395"/>
      <c r="O424" s="395"/>
    </row>
    <row r="425" hidden="1" spans="1:15">
      <c r="A425" s="404"/>
      <c r="B425" s="404"/>
      <c r="C425" s="334"/>
      <c r="D425" s="442">
        <v>0</v>
      </c>
      <c r="E425" s="450">
        <v>0</v>
      </c>
      <c r="F425" s="333" t="s">
        <v>13063</v>
      </c>
      <c r="G425" s="333" t="s">
        <v>14213</v>
      </c>
      <c r="H425" s="346">
        <v>0</v>
      </c>
      <c r="I425" s="346">
        <v>0</v>
      </c>
      <c r="J425" s="346"/>
      <c r="K425" s="334"/>
      <c r="L425" s="346" t="s">
        <v>932</v>
      </c>
      <c r="N425" s="395"/>
      <c r="O425" s="395"/>
    </row>
    <row r="426" hidden="1" spans="1:15">
      <c r="A426" s="404"/>
      <c r="B426" s="404"/>
      <c r="C426" s="334"/>
      <c r="D426" s="442">
        <v>0</v>
      </c>
      <c r="E426" s="450">
        <v>0</v>
      </c>
      <c r="F426" s="333" t="s">
        <v>13063</v>
      </c>
      <c r="G426" s="333" t="s">
        <v>14214</v>
      </c>
      <c r="H426" s="346">
        <v>0</v>
      </c>
      <c r="I426" s="346">
        <v>0</v>
      </c>
      <c r="J426" s="346"/>
      <c r="K426" s="334"/>
      <c r="L426" s="346" t="s">
        <v>932</v>
      </c>
      <c r="N426" s="395"/>
      <c r="O426" s="395"/>
    </row>
    <row r="427" hidden="1" spans="1:15">
      <c r="A427" s="401">
        <v>0</v>
      </c>
      <c r="B427" s="401" t="e">
        <v>#N/A</v>
      </c>
      <c r="C427" s="401"/>
      <c r="D427" s="442">
        <v>0</v>
      </c>
      <c r="E427" s="450">
        <v>0</v>
      </c>
      <c r="F427" s="439" t="s">
        <v>13063</v>
      </c>
      <c r="G427" s="439" t="s">
        <v>14212</v>
      </c>
      <c r="H427" s="346">
        <v>0</v>
      </c>
      <c r="I427" s="346">
        <v>0</v>
      </c>
      <c r="J427" s="395"/>
      <c r="L427" s="346" t="s">
        <v>932</v>
      </c>
      <c r="N427" s="395"/>
      <c r="O427" s="395"/>
    </row>
    <row r="428" hidden="1" spans="1:15">
      <c r="A428" s="401"/>
      <c r="B428" s="401"/>
      <c r="D428" s="442">
        <v>0</v>
      </c>
      <c r="E428" s="450">
        <v>0</v>
      </c>
      <c r="F428" s="439" t="s">
        <v>13063</v>
      </c>
      <c r="G428" s="439" t="s">
        <v>14213</v>
      </c>
      <c r="H428" s="346">
        <v>0</v>
      </c>
      <c r="I428" s="346">
        <v>0</v>
      </c>
      <c r="J428" s="395"/>
      <c r="L428" s="346" t="s">
        <v>932</v>
      </c>
      <c r="N428" s="395"/>
      <c r="O428" s="395"/>
    </row>
    <row r="429" hidden="1" spans="1:15">
      <c r="A429" s="401"/>
      <c r="B429" s="401"/>
      <c r="D429" s="442">
        <v>0</v>
      </c>
      <c r="E429" s="450">
        <v>0</v>
      </c>
      <c r="F429" s="439" t="s">
        <v>13063</v>
      </c>
      <c r="G429" s="439" t="s">
        <v>14214</v>
      </c>
      <c r="H429" s="346">
        <v>0</v>
      </c>
      <c r="I429" s="346">
        <v>0</v>
      </c>
      <c r="J429" s="395"/>
      <c r="L429" s="346" t="s">
        <v>932</v>
      </c>
      <c r="N429" s="395"/>
      <c r="O429" s="395"/>
    </row>
    <row r="430" hidden="1" spans="1:15">
      <c r="A430" s="401">
        <v>0</v>
      </c>
      <c r="B430" s="401" t="e">
        <v>#N/A</v>
      </c>
      <c r="C430" s="401"/>
      <c r="D430" s="442">
        <v>0</v>
      </c>
      <c r="E430" s="450">
        <v>0</v>
      </c>
      <c r="F430" s="439" t="s">
        <v>13063</v>
      </c>
      <c r="G430" s="439" t="s">
        <v>14212</v>
      </c>
      <c r="H430" s="346">
        <v>0</v>
      </c>
      <c r="I430" s="346">
        <v>0</v>
      </c>
      <c r="J430" s="395"/>
      <c r="L430" s="346" t="s">
        <v>932</v>
      </c>
      <c r="N430" s="395"/>
      <c r="O430" s="395"/>
    </row>
    <row r="431" hidden="1" spans="1:15">
      <c r="A431" s="401"/>
      <c r="B431" s="401"/>
      <c r="D431" s="442">
        <v>0</v>
      </c>
      <c r="E431" s="450">
        <v>0</v>
      </c>
      <c r="F431" s="439" t="s">
        <v>13063</v>
      </c>
      <c r="G431" s="439" t="s">
        <v>14213</v>
      </c>
      <c r="H431" s="346">
        <v>0</v>
      </c>
      <c r="I431" s="346">
        <v>0</v>
      </c>
      <c r="J431" s="395"/>
      <c r="L431" s="346" t="s">
        <v>932</v>
      </c>
      <c r="N431" s="395"/>
      <c r="O431" s="395"/>
    </row>
    <row r="432" hidden="1" spans="1:15">
      <c r="A432" s="401"/>
      <c r="B432" s="401"/>
      <c r="D432" s="442">
        <v>0</v>
      </c>
      <c r="E432" s="450">
        <v>0</v>
      </c>
      <c r="F432" s="439" t="s">
        <v>13063</v>
      </c>
      <c r="G432" s="439" t="s">
        <v>14214</v>
      </c>
      <c r="H432" s="346">
        <v>0</v>
      </c>
      <c r="I432" s="346">
        <v>0</v>
      </c>
      <c r="J432" s="395"/>
      <c r="L432" s="346" t="s">
        <v>932</v>
      </c>
      <c r="N432" s="395"/>
      <c r="O432" s="395"/>
    </row>
    <row r="433" hidden="1" spans="1:15">
      <c r="A433" s="401">
        <v>0</v>
      </c>
      <c r="B433" s="401" t="e">
        <v>#N/A</v>
      </c>
      <c r="C433" s="401"/>
      <c r="D433" s="442">
        <v>0</v>
      </c>
      <c r="E433" s="450">
        <v>0</v>
      </c>
      <c r="F433" s="439" t="s">
        <v>13063</v>
      </c>
      <c r="G433" s="439" t="s">
        <v>14212</v>
      </c>
      <c r="H433" s="346">
        <v>0</v>
      </c>
      <c r="I433" s="346">
        <v>0</v>
      </c>
      <c r="J433" s="395"/>
      <c r="L433" s="346" t="s">
        <v>932</v>
      </c>
      <c r="N433" s="395"/>
      <c r="O433" s="395"/>
    </row>
    <row r="434" hidden="1" spans="1:15">
      <c r="A434" s="401"/>
      <c r="B434" s="401"/>
      <c r="D434" s="442">
        <v>0</v>
      </c>
      <c r="E434" s="450">
        <v>0</v>
      </c>
      <c r="F434" s="439" t="s">
        <v>13063</v>
      </c>
      <c r="G434" s="439" t="s">
        <v>14213</v>
      </c>
      <c r="H434" s="346">
        <v>0</v>
      </c>
      <c r="I434" s="346">
        <v>0</v>
      </c>
      <c r="J434" s="395"/>
      <c r="L434" s="346" t="s">
        <v>932</v>
      </c>
      <c r="N434" s="395"/>
      <c r="O434" s="395"/>
    </row>
    <row r="435" hidden="1" spans="1:15">
      <c r="A435" s="401"/>
      <c r="B435" s="401"/>
      <c r="D435" s="442">
        <v>0</v>
      </c>
      <c r="E435" s="450">
        <v>0</v>
      </c>
      <c r="F435" s="439" t="s">
        <v>13063</v>
      </c>
      <c r="G435" s="439" t="s">
        <v>14214</v>
      </c>
      <c r="H435" s="346">
        <v>0</v>
      </c>
      <c r="I435" s="346">
        <v>0</v>
      </c>
      <c r="J435" s="395"/>
      <c r="L435" s="346" t="s">
        <v>932</v>
      </c>
      <c r="N435" s="395"/>
      <c r="O435" s="395"/>
    </row>
    <row r="436" hidden="1" spans="1:15">
      <c r="A436" s="421"/>
      <c r="B436" s="422"/>
      <c r="C436" s="422"/>
      <c r="D436" s="422"/>
      <c r="E436" s="422"/>
      <c r="F436" s="422"/>
      <c r="G436" s="422"/>
      <c r="H436" s="422"/>
      <c r="I436" s="430"/>
      <c r="J436" s="430"/>
      <c r="K436" s="425" t="s">
        <v>14215</v>
      </c>
      <c r="L436" s="426">
        <v>0</v>
      </c>
      <c r="N436" s="395"/>
      <c r="O436" s="395"/>
    </row>
    <row r="437" spans="1:15">
      <c r="A437" s="451"/>
      <c r="B437" s="452"/>
      <c r="C437" s="452"/>
      <c r="D437" s="452"/>
      <c r="E437" s="452"/>
      <c r="F437" s="452"/>
      <c r="G437" s="452"/>
      <c r="H437" s="452"/>
      <c r="I437" s="453"/>
      <c r="J437" s="453"/>
      <c r="K437" s="454" t="s">
        <v>14216</v>
      </c>
      <c r="L437" s="455">
        <v>17.88</v>
      </c>
      <c r="N437" s="395"/>
      <c r="O437" s="395"/>
    </row>
    <row r="439" spans="1:15">
      <c r="A439" s="391" t="s">
        <v>14172</v>
      </c>
      <c r="B439" s="457"/>
      <c r="C439" s="392"/>
      <c r="D439" s="392"/>
      <c r="E439" s="392"/>
      <c r="F439" s="392"/>
      <c r="G439" s="393"/>
      <c r="H439" s="393"/>
      <c r="I439" s="393"/>
      <c r="J439" s="393"/>
      <c r="K439" s="393"/>
      <c r="L439" s="394"/>
      <c r="N439" s="395"/>
      <c r="O439" s="395"/>
    </row>
    <row r="440" spans="1:15">
      <c r="A440" s="396">
        <v>4516138</v>
      </c>
      <c r="B440" s="397" t="s">
        <v>10834</v>
      </c>
      <c r="C440" s="397"/>
      <c r="D440" s="397"/>
      <c r="E440" s="397"/>
      <c r="F440" s="397"/>
      <c r="G440" s="397"/>
      <c r="H440" s="397" t="s">
        <v>101</v>
      </c>
      <c r="I440" s="398">
        <v>46023</v>
      </c>
      <c r="J440" s="397"/>
      <c r="K440" s="399" t="s">
        <v>14173</v>
      </c>
      <c r="L440" s="458">
        <v>0</v>
      </c>
      <c r="N440" s="395"/>
      <c r="O440" s="395"/>
    </row>
    <row r="441" spans="1:15">
      <c r="A441" s="401"/>
      <c r="H441" s="402" t="s">
        <v>14174</v>
      </c>
      <c r="I441" s="434">
        <v>1</v>
      </c>
      <c r="J441" s="404" t="s">
        <v>101</v>
      </c>
      <c r="K441" s="402" t="s">
        <v>14175</v>
      </c>
      <c r="L441" s="459">
        <v>0</v>
      </c>
      <c r="N441" s="395"/>
      <c r="O441" s="395"/>
    </row>
    <row r="442" hidden="1" spans="1:15">
      <c r="A442" s="405"/>
      <c r="B442" s="405"/>
      <c r="C442" s="405"/>
      <c r="D442" s="406"/>
      <c r="E442" s="406"/>
      <c r="F442" s="406"/>
      <c r="G442" s="407" t="s">
        <v>14176</v>
      </c>
      <c r="H442" s="408"/>
      <c r="I442" s="407" t="s">
        <v>14177</v>
      </c>
      <c r="J442" s="408"/>
      <c r="K442" s="405"/>
      <c r="L442" s="460" t="s">
        <v>14178</v>
      </c>
      <c r="N442" s="395"/>
      <c r="O442" s="395"/>
    </row>
    <row r="443" hidden="1" spans="1:15">
      <c r="A443" s="410" t="s">
        <v>14179</v>
      </c>
      <c r="B443" s="411"/>
      <c r="C443" s="412"/>
      <c r="D443" s="412"/>
      <c r="E443" s="413" t="s">
        <v>74</v>
      </c>
      <c r="F443" s="412"/>
      <c r="G443" s="413" t="s">
        <v>14180</v>
      </c>
      <c r="H443" s="413" t="s">
        <v>14181</v>
      </c>
      <c r="I443" s="413" t="s">
        <v>14182</v>
      </c>
      <c r="J443" s="413" t="s">
        <v>14183</v>
      </c>
      <c r="K443" s="411"/>
      <c r="L443" s="461" t="s">
        <v>14184</v>
      </c>
      <c r="N443" s="395"/>
      <c r="O443" s="395"/>
    </row>
    <row r="444" hidden="1" spans="1:15">
      <c r="A444" s="404">
        <v>0</v>
      </c>
      <c r="B444" s="415" t="e">
        <v>#N/A</v>
      </c>
      <c r="C444" s="415"/>
      <c r="E444" s="434">
        <v>0</v>
      </c>
      <c r="F444" s="334"/>
      <c r="G444" s="346">
        <v>0</v>
      </c>
      <c r="H444" s="417">
        <v>1</v>
      </c>
      <c r="I444" s="395" t="e">
        <v>#N/A</v>
      </c>
      <c r="J444" s="418" t="e">
        <v>#N/A</v>
      </c>
      <c r="K444" s="402"/>
      <c r="L444" s="365" t="s">
        <v>932</v>
      </c>
      <c r="N444" s="395" t="s">
        <v>932</v>
      </c>
      <c r="O444" s="395"/>
    </row>
    <row r="445" hidden="1" spans="1:15">
      <c r="A445" s="404">
        <v>0</v>
      </c>
      <c r="B445" s="404" t="e">
        <v>#N/A</v>
      </c>
      <c r="C445" s="404"/>
      <c r="D445" s="334"/>
      <c r="E445" s="416">
        <v>0</v>
      </c>
      <c r="F445" s="334"/>
      <c r="G445" s="346">
        <v>0</v>
      </c>
      <c r="H445" s="417">
        <v>1</v>
      </c>
      <c r="I445" s="346" t="e">
        <v>#N/A</v>
      </c>
      <c r="J445" s="419" t="e">
        <v>#N/A</v>
      </c>
      <c r="K445" s="420"/>
      <c r="L445" s="365" t="s">
        <v>932</v>
      </c>
      <c r="N445" s="395" t="s">
        <v>932</v>
      </c>
      <c r="O445" s="395"/>
    </row>
    <row r="446" hidden="1" spans="1:15">
      <c r="A446" s="404">
        <v>0</v>
      </c>
      <c r="B446" s="404" t="e">
        <v>#N/A</v>
      </c>
      <c r="C446" s="404"/>
      <c r="D446" s="334"/>
      <c r="E446" s="416">
        <v>0</v>
      </c>
      <c r="F446" s="334"/>
      <c r="G446" s="346">
        <v>0</v>
      </c>
      <c r="H446" s="417">
        <v>1</v>
      </c>
      <c r="I446" s="346" t="e">
        <v>#N/A</v>
      </c>
      <c r="J446" s="419" t="e">
        <v>#N/A</v>
      </c>
      <c r="K446" s="420"/>
      <c r="L446" s="365" t="s">
        <v>932</v>
      </c>
      <c r="N446" s="395" t="s">
        <v>932</v>
      </c>
      <c r="O446" s="395"/>
    </row>
    <row r="447" hidden="1" spans="1:15">
      <c r="A447" s="404">
        <v>0</v>
      </c>
      <c r="B447" s="404" t="e">
        <v>#N/A</v>
      </c>
      <c r="C447" s="404"/>
      <c r="D447" s="334"/>
      <c r="E447" s="416">
        <v>0</v>
      </c>
      <c r="F447" s="334"/>
      <c r="G447" s="346">
        <v>0</v>
      </c>
      <c r="H447" s="417">
        <v>1</v>
      </c>
      <c r="I447" s="346" t="e">
        <v>#N/A</v>
      </c>
      <c r="J447" s="419" t="e">
        <v>#N/A</v>
      </c>
      <c r="K447" s="420"/>
      <c r="L447" s="365" t="s">
        <v>932</v>
      </c>
      <c r="N447" s="395" t="s">
        <v>932</v>
      </c>
      <c r="O447" s="395"/>
    </row>
    <row r="448" hidden="1" spans="1:15">
      <c r="A448" s="404">
        <v>0</v>
      </c>
      <c r="B448" s="404" t="e">
        <v>#N/A</v>
      </c>
      <c r="C448" s="404"/>
      <c r="D448" s="334"/>
      <c r="E448" s="416">
        <v>0</v>
      </c>
      <c r="F448" s="334"/>
      <c r="G448" s="346">
        <v>0</v>
      </c>
      <c r="H448" s="417">
        <v>1</v>
      </c>
      <c r="I448" s="346" t="e">
        <v>#N/A</v>
      </c>
      <c r="J448" s="419" t="e">
        <v>#N/A</v>
      </c>
      <c r="K448" s="420"/>
      <c r="L448" s="365" t="s">
        <v>932</v>
      </c>
      <c r="N448" s="395" t="s">
        <v>932</v>
      </c>
      <c r="O448" s="395"/>
    </row>
    <row r="449" hidden="1" spans="1:15">
      <c r="A449" s="404">
        <v>0</v>
      </c>
      <c r="B449" s="404" t="e">
        <v>#N/A</v>
      </c>
      <c r="C449" s="404"/>
      <c r="D449" s="334"/>
      <c r="E449" s="416">
        <v>0</v>
      </c>
      <c r="F449" s="334"/>
      <c r="G449" s="346">
        <v>0</v>
      </c>
      <c r="H449" s="417">
        <v>1</v>
      </c>
      <c r="I449" s="346" t="e">
        <v>#N/A</v>
      </c>
      <c r="J449" s="419" t="e">
        <v>#N/A</v>
      </c>
      <c r="K449" s="420"/>
      <c r="L449" s="365" t="s">
        <v>932</v>
      </c>
      <c r="N449" s="395" t="s">
        <v>932</v>
      </c>
      <c r="O449" s="395"/>
    </row>
    <row r="450" hidden="1" spans="1:15">
      <c r="A450" s="404">
        <v>0</v>
      </c>
      <c r="B450" s="404" t="e">
        <v>#N/A</v>
      </c>
      <c r="C450" s="404"/>
      <c r="D450" s="334"/>
      <c r="E450" s="416">
        <v>0</v>
      </c>
      <c r="F450" s="334"/>
      <c r="G450" s="346">
        <v>0</v>
      </c>
      <c r="H450" s="417">
        <v>1</v>
      </c>
      <c r="I450" s="346" t="e">
        <v>#N/A</v>
      </c>
      <c r="J450" s="419" t="e">
        <v>#N/A</v>
      </c>
      <c r="K450" s="420"/>
      <c r="L450" s="365" t="s">
        <v>932</v>
      </c>
      <c r="N450" s="395" t="s">
        <v>932</v>
      </c>
      <c r="O450" s="395"/>
    </row>
    <row r="451" hidden="1" spans="1:15">
      <c r="A451" s="404">
        <v>0</v>
      </c>
      <c r="B451" s="404" t="e">
        <v>#N/A</v>
      </c>
      <c r="C451" s="404"/>
      <c r="D451" s="334"/>
      <c r="E451" s="416">
        <v>0</v>
      </c>
      <c r="F451" s="334"/>
      <c r="G451" s="346">
        <v>0</v>
      </c>
      <c r="H451" s="417">
        <v>1</v>
      </c>
      <c r="I451" s="346" t="e">
        <v>#N/A</v>
      </c>
      <c r="J451" s="419" t="e">
        <v>#N/A</v>
      </c>
      <c r="K451" s="420"/>
      <c r="L451" s="365" t="s">
        <v>932</v>
      </c>
      <c r="N451" s="395" t="s">
        <v>932</v>
      </c>
      <c r="O451" s="395"/>
    </row>
    <row r="452" hidden="1" spans="1:15">
      <c r="A452" s="421"/>
      <c r="B452" s="422"/>
      <c r="C452" s="422"/>
      <c r="D452" s="422"/>
      <c r="E452" s="423"/>
      <c r="F452" s="424"/>
      <c r="G452" s="422"/>
      <c r="H452" s="422"/>
      <c r="I452" s="422"/>
      <c r="J452" s="422"/>
      <c r="K452" s="425" t="s">
        <v>14185</v>
      </c>
      <c r="L452" s="462">
        <v>0</v>
      </c>
      <c r="N452" s="427">
        <v>0</v>
      </c>
      <c r="O452" s="395"/>
    </row>
    <row r="453" hidden="1" spans="1:15">
      <c r="A453" s="428" t="s">
        <v>14186</v>
      </c>
      <c r="B453" s="429"/>
      <c r="C453" s="429"/>
      <c r="D453" s="430"/>
      <c r="E453" s="431" t="s">
        <v>74</v>
      </c>
      <c r="F453" s="431" t="s">
        <v>1123</v>
      </c>
      <c r="G453" s="430"/>
      <c r="H453" s="422"/>
      <c r="I453" s="431" t="s">
        <v>14177</v>
      </c>
      <c r="J453" s="430"/>
      <c r="K453" s="430"/>
      <c r="L453" s="463" t="s">
        <v>14187</v>
      </c>
      <c r="N453" s="395"/>
      <c r="O453" s="395"/>
    </row>
    <row r="454" hidden="1" spans="1:15">
      <c r="A454" s="404">
        <v>0</v>
      </c>
      <c r="B454" s="433" t="e">
        <v>#N/A</v>
      </c>
      <c r="C454" s="433"/>
      <c r="D454" s="334"/>
      <c r="E454" s="434">
        <v>0</v>
      </c>
      <c r="F454" s="333" t="s">
        <v>104</v>
      </c>
      <c r="G454" s="334"/>
      <c r="H454" s="334"/>
      <c r="I454" s="435" t="e">
        <v>#N/A</v>
      </c>
      <c r="J454" s="334"/>
      <c r="K454" s="334"/>
      <c r="L454" s="459" t="s">
        <v>932</v>
      </c>
      <c r="N454" s="395" t="s">
        <v>932</v>
      </c>
      <c r="O454" s="395"/>
    </row>
    <row r="455" hidden="1" spans="1:15">
      <c r="A455" s="404">
        <v>0</v>
      </c>
      <c r="B455" s="404" t="e">
        <v>#N/A</v>
      </c>
      <c r="C455" s="404"/>
      <c r="D455" s="334"/>
      <c r="E455" s="434">
        <v>0</v>
      </c>
      <c r="F455" s="333" t="s">
        <v>104</v>
      </c>
      <c r="G455" s="334"/>
      <c r="H455" s="334"/>
      <c r="I455" s="435" t="e">
        <v>#N/A</v>
      </c>
      <c r="J455" s="334"/>
      <c r="K455" s="334"/>
      <c r="L455" s="459" t="s">
        <v>932</v>
      </c>
      <c r="N455" s="395" t="s">
        <v>932</v>
      </c>
      <c r="O455" s="395"/>
    </row>
    <row r="456" hidden="1" spans="1:15">
      <c r="A456" s="404">
        <v>0</v>
      </c>
      <c r="B456" s="404" t="e">
        <v>#N/A</v>
      </c>
      <c r="C456" s="404"/>
      <c r="D456" s="334"/>
      <c r="E456" s="434">
        <v>0</v>
      </c>
      <c r="F456" s="333" t="s">
        <v>104</v>
      </c>
      <c r="G456" s="334"/>
      <c r="H456" s="334"/>
      <c r="I456" s="435" t="e">
        <v>#N/A</v>
      </c>
      <c r="J456" s="334"/>
      <c r="K456" s="334"/>
      <c r="L456" s="459" t="s">
        <v>932</v>
      </c>
      <c r="N456" s="395" t="s">
        <v>932</v>
      </c>
      <c r="O456" s="395"/>
    </row>
    <row r="457" hidden="1" spans="1:15">
      <c r="A457" s="404">
        <v>0</v>
      </c>
      <c r="B457" s="404" t="e">
        <v>#N/A</v>
      </c>
      <c r="C457" s="404"/>
      <c r="D457" s="334"/>
      <c r="E457" s="434">
        <v>0</v>
      </c>
      <c r="F457" s="333" t="s">
        <v>104</v>
      </c>
      <c r="G457" s="334"/>
      <c r="H457" s="334"/>
      <c r="I457" s="435" t="e">
        <v>#N/A</v>
      </c>
      <c r="J457" s="334"/>
      <c r="K457" s="334"/>
      <c r="L457" s="459" t="s">
        <v>932</v>
      </c>
      <c r="N457" s="395" t="s">
        <v>932</v>
      </c>
      <c r="O457" s="395"/>
    </row>
    <row r="458" hidden="1" spans="1:15">
      <c r="A458" s="404">
        <v>0</v>
      </c>
      <c r="B458" s="404" t="e">
        <v>#N/A</v>
      </c>
      <c r="C458" s="404"/>
      <c r="D458" s="334"/>
      <c r="E458" s="434">
        <v>0</v>
      </c>
      <c r="F458" s="333" t="s">
        <v>104</v>
      </c>
      <c r="G458" s="334"/>
      <c r="H458" s="334"/>
      <c r="I458" s="435" t="e">
        <v>#N/A</v>
      </c>
      <c r="J458" s="334"/>
      <c r="K458" s="334"/>
      <c r="L458" s="459" t="s">
        <v>932</v>
      </c>
      <c r="N458" s="395" t="s">
        <v>932</v>
      </c>
      <c r="O458" s="395"/>
    </row>
    <row r="459" hidden="1" spans="1:15">
      <c r="A459" s="404">
        <v>0</v>
      </c>
      <c r="B459" s="404" t="e">
        <v>#N/A</v>
      </c>
      <c r="C459" s="404"/>
      <c r="D459" s="334"/>
      <c r="E459" s="434">
        <v>0</v>
      </c>
      <c r="F459" s="333" t="s">
        <v>104</v>
      </c>
      <c r="G459" s="334"/>
      <c r="H459" s="334"/>
      <c r="I459" s="435" t="e">
        <v>#N/A</v>
      </c>
      <c r="J459" s="334"/>
      <c r="K459" s="334"/>
      <c r="L459" s="459" t="s">
        <v>932</v>
      </c>
      <c r="N459" s="395" t="s">
        <v>932</v>
      </c>
      <c r="O459" s="395"/>
    </row>
    <row r="460" hidden="1" spans="1:15">
      <c r="A460" s="404">
        <v>0</v>
      </c>
      <c r="B460" s="404" t="e">
        <v>#N/A</v>
      </c>
      <c r="C460" s="404"/>
      <c r="D460" s="334"/>
      <c r="E460" s="434">
        <v>0</v>
      </c>
      <c r="F460" s="333" t="s">
        <v>104</v>
      </c>
      <c r="G460" s="334"/>
      <c r="H460" s="334"/>
      <c r="I460" s="435" t="e">
        <v>#N/A</v>
      </c>
      <c r="J460" s="334"/>
      <c r="K460" s="334"/>
      <c r="L460" s="459" t="s">
        <v>932</v>
      </c>
      <c r="N460" s="395" t="s">
        <v>932</v>
      </c>
      <c r="O460" s="395"/>
    </row>
    <row r="461" hidden="1" spans="1:15">
      <c r="A461" s="404">
        <v>0</v>
      </c>
      <c r="B461" s="436" t="e">
        <v>#N/A</v>
      </c>
      <c r="C461" s="436"/>
      <c r="D461" s="334"/>
      <c r="E461" s="434">
        <v>0</v>
      </c>
      <c r="F461" s="333" t="s">
        <v>104</v>
      </c>
      <c r="G461" s="334"/>
      <c r="H461" s="334"/>
      <c r="I461" s="435" t="e">
        <v>#N/A</v>
      </c>
      <c r="J461" s="334"/>
      <c r="K461" s="334"/>
      <c r="L461" s="459" t="s">
        <v>932</v>
      </c>
      <c r="N461" s="395" t="s">
        <v>932</v>
      </c>
      <c r="O461" s="395"/>
    </row>
    <row r="462" hidden="1" spans="1:15">
      <c r="A462" s="421"/>
      <c r="B462" s="62"/>
      <c r="C462" s="62"/>
      <c r="D462" s="422"/>
      <c r="E462" s="423"/>
      <c r="F462" s="424"/>
      <c r="G462" s="422"/>
      <c r="H462" s="422"/>
      <c r="I462" s="422"/>
      <c r="J462" s="422"/>
      <c r="K462" s="425" t="s">
        <v>14188</v>
      </c>
      <c r="L462" s="462">
        <v>0</v>
      </c>
      <c r="N462" s="427">
        <v>0</v>
      </c>
      <c r="O462" s="395"/>
    </row>
    <row r="463" hidden="1" spans="1:15">
      <c r="I463" s="437"/>
      <c r="K463" s="383" t="s">
        <v>14189</v>
      </c>
      <c r="L463" s="464">
        <v>0</v>
      </c>
      <c r="N463" s="395">
        <v>0</v>
      </c>
      <c r="O463" s="395"/>
    </row>
    <row r="464" hidden="1" spans="1:15">
      <c r="K464" s="383" t="s">
        <v>14190</v>
      </c>
      <c r="L464" s="464">
        <v>0</v>
      </c>
      <c r="N464" s="395">
        <v>0</v>
      </c>
      <c r="O464" s="395">
        <v>0</v>
      </c>
    </row>
    <row r="465" hidden="1" spans="1:15">
      <c r="K465" s="383" t="s">
        <v>14191</v>
      </c>
      <c r="L465" s="464">
        <v>0</v>
      </c>
      <c r="N465" s="395"/>
      <c r="O465" s="395"/>
    </row>
    <row r="466" hidden="1" spans="1:15">
      <c r="K466" s="383" t="s">
        <v>14192</v>
      </c>
      <c r="L466" s="365">
        <v>0</v>
      </c>
      <c r="N466" s="395"/>
      <c r="O466" s="395"/>
    </row>
    <row r="467" spans="1:15">
      <c r="A467" s="428" t="s">
        <v>14193</v>
      </c>
      <c r="B467" s="430"/>
      <c r="C467" s="430"/>
      <c r="D467" s="430"/>
      <c r="E467" s="431" t="s">
        <v>74</v>
      </c>
      <c r="F467" s="431" t="s">
        <v>1123</v>
      </c>
      <c r="G467" s="430"/>
      <c r="H467" s="430"/>
      <c r="I467" s="425" t="s">
        <v>75</v>
      </c>
      <c r="J467" s="430"/>
      <c r="K467" s="430"/>
      <c r="L467" s="462" t="s">
        <v>14194</v>
      </c>
      <c r="N467" s="395"/>
      <c r="O467" s="395"/>
    </row>
    <row r="468" spans="1:15">
      <c r="A468" s="404" t="s">
        <v>14291</v>
      </c>
      <c r="B468" s="433" t="s">
        <v>14292</v>
      </c>
      <c r="C468" s="433"/>
      <c r="D468" s="334"/>
      <c r="E468" s="434">
        <v>1</v>
      </c>
      <c r="F468" s="333" t="s">
        <v>101</v>
      </c>
      <c r="G468" s="334"/>
      <c r="I468" s="395">
        <v>9.9646</v>
      </c>
      <c r="J468" s="395"/>
      <c r="K468" s="395"/>
      <c r="L468" s="346">
        <v>9.9646</v>
      </c>
      <c r="N468" s="395"/>
      <c r="O468" s="395"/>
    </row>
    <row r="469" hidden="1" spans="1:15">
      <c r="A469" s="404">
        <v>0</v>
      </c>
      <c r="B469" s="404" t="e">
        <v>#N/A</v>
      </c>
      <c r="C469" s="404"/>
      <c r="D469" s="334"/>
      <c r="E469" s="434">
        <v>0</v>
      </c>
      <c r="F469" s="333" t="e">
        <v>#N/A</v>
      </c>
      <c r="G469" s="334"/>
      <c r="I469" s="395" t="e">
        <v>#N/A</v>
      </c>
      <c r="J469" s="395"/>
      <c r="K469" s="395"/>
      <c r="L469" s="459" t="s">
        <v>932</v>
      </c>
      <c r="N469" s="395"/>
      <c r="O469" s="395"/>
    </row>
    <row r="470" hidden="1" spans="1:15">
      <c r="A470" s="404">
        <v>0</v>
      </c>
      <c r="B470" s="404" t="e">
        <v>#N/A</v>
      </c>
      <c r="C470" s="404"/>
      <c r="D470" s="334"/>
      <c r="E470" s="434">
        <v>0</v>
      </c>
      <c r="F470" s="333" t="e">
        <v>#N/A</v>
      </c>
      <c r="G470" s="334"/>
      <c r="I470" s="395" t="e">
        <v>#N/A</v>
      </c>
      <c r="J470" s="395"/>
      <c r="K470" s="395"/>
      <c r="L470" s="459" t="s">
        <v>932</v>
      </c>
      <c r="N470" s="395"/>
      <c r="O470" s="395"/>
    </row>
    <row r="471" hidden="1" spans="1:15">
      <c r="A471" s="404">
        <v>0</v>
      </c>
      <c r="B471" s="404" t="e">
        <v>#N/A</v>
      </c>
      <c r="C471" s="404"/>
      <c r="D471" s="334"/>
      <c r="E471" s="434">
        <v>0</v>
      </c>
      <c r="F471" s="333" t="e">
        <v>#N/A</v>
      </c>
      <c r="G471" s="334"/>
      <c r="I471" s="395" t="e">
        <v>#N/A</v>
      </c>
      <c r="J471" s="395"/>
      <c r="K471" s="395"/>
      <c r="L471" s="459" t="s">
        <v>932</v>
      </c>
      <c r="N471" s="395"/>
      <c r="O471" s="395"/>
    </row>
    <row r="472" hidden="1" spans="1:15">
      <c r="A472" s="404">
        <v>0</v>
      </c>
      <c r="B472" s="404" t="e">
        <v>#N/A</v>
      </c>
      <c r="C472" s="404"/>
      <c r="D472" s="334"/>
      <c r="E472" s="434">
        <v>0</v>
      </c>
      <c r="F472" s="333" t="e">
        <v>#N/A</v>
      </c>
      <c r="G472" s="334"/>
      <c r="H472" s="334"/>
      <c r="I472" s="395" t="e">
        <v>#N/A</v>
      </c>
      <c r="J472" s="395"/>
      <c r="K472" s="395"/>
      <c r="L472" s="459" t="s">
        <v>932</v>
      </c>
      <c r="N472" s="395"/>
      <c r="O472" s="395"/>
    </row>
    <row r="473" hidden="1" spans="1:15">
      <c r="A473" s="404">
        <v>0</v>
      </c>
      <c r="B473" s="404" t="e">
        <v>#N/A</v>
      </c>
      <c r="C473" s="404"/>
      <c r="D473" s="334"/>
      <c r="E473" s="434">
        <v>0</v>
      </c>
      <c r="F473" s="333" t="e">
        <v>#N/A</v>
      </c>
      <c r="G473" s="334"/>
      <c r="H473" s="334"/>
      <c r="I473" s="395" t="e">
        <v>#N/A</v>
      </c>
      <c r="J473" s="395"/>
      <c r="K473" s="395"/>
      <c r="L473" s="459" t="s">
        <v>932</v>
      </c>
      <c r="N473" s="395"/>
      <c r="O473" s="395"/>
    </row>
    <row r="474" hidden="1" spans="1:15">
      <c r="A474" s="404">
        <v>0</v>
      </c>
      <c r="B474" s="404" t="e">
        <v>#N/A</v>
      </c>
      <c r="C474" s="404"/>
      <c r="D474" s="334"/>
      <c r="E474" s="434">
        <v>0</v>
      </c>
      <c r="F474" s="333" t="e">
        <v>#N/A</v>
      </c>
      <c r="G474" s="334"/>
      <c r="H474" s="334"/>
      <c r="I474" s="395" t="e">
        <v>#N/A</v>
      </c>
      <c r="J474" s="395"/>
      <c r="K474" s="395"/>
      <c r="L474" s="459" t="s">
        <v>932</v>
      </c>
      <c r="N474" s="395"/>
      <c r="O474" s="395"/>
    </row>
    <row r="475" hidden="1" spans="1:15">
      <c r="A475" s="404">
        <v>0</v>
      </c>
      <c r="B475" s="404" t="e">
        <v>#N/A</v>
      </c>
      <c r="C475" s="404"/>
      <c r="D475" s="438"/>
      <c r="E475" s="434">
        <v>0</v>
      </c>
      <c r="F475" s="333" t="e">
        <v>#N/A</v>
      </c>
      <c r="G475" s="334"/>
      <c r="H475" s="334"/>
      <c r="I475" s="395" t="e">
        <v>#N/A</v>
      </c>
      <c r="J475" s="395"/>
      <c r="K475" s="395"/>
      <c r="L475" s="459" t="s">
        <v>932</v>
      </c>
      <c r="N475" s="395"/>
      <c r="O475" s="395"/>
    </row>
    <row r="476" spans="1:15">
      <c r="A476" s="421"/>
      <c r="B476" s="422"/>
      <c r="C476" s="422"/>
      <c r="D476" s="422"/>
      <c r="E476" s="423"/>
      <c r="F476" s="424"/>
      <c r="G476" s="422"/>
      <c r="H476" s="422"/>
      <c r="I476" s="430"/>
      <c r="J476" s="430"/>
      <c r="K476" s="425" t="s">
        <v>14203</v>
      </c>
      <c r="L476" s="462">
        <v>9.9646</v>
      </c>
      <c r="N476" s="395"/>
      <c r="O476" s="395"/>
    </row>
    <row r="477" spans="1:15">
      <c r="A477" s="428" t="s">
        <v>14204</v>
      </c>
      <c r="B477" s="430"/>
      <c r="C477" s="430"/>
      <c r="D477" s="430"/>
      <c r="E477" s="431" t="s">
        <v>74</v>
      </c>
      <c r="F477" s="431" t="s">
        <v>1123</v>
      </c>
      <c r="G477" s="430"/>
      <c r="H477" s="430"/>
      <c r="I477" s="425" t="s">
        <v>75</v>
      </c>
      <c r="J477" s="430"/>
      <c r="K477" s="430"/>
      <c r="L477" s="462" t="s">
        <v>14194</v>
      </c>
      <c r="N477" s="395"/>
      <c r="O477" s="395"/>
    </row>
    <row r="478" spans="1:15">
      <c r="A478" s="404">
        <v>1408173</v>
      </c>
      <c r="B478" s="334" t="s">
        <v>4505</v>
      </c>
      <c r="C478" s="334"/>
      <c r="D478" s="334"/>
      <c r="E478" s="434">
        <v>1.21429</v>
      </c>
      <c r="F478" s="333" t="s">
        <v>4469</v>
      </c>
      <c r="G478" s="439"/>
      <c r="I478" s="346">
        <v>0.07</v>
      </c>
      <c r="L478" s="346">
        <v>0.0850003</v>
      </c>
      <c r="N478" s="395"/>
      <c r="O478" s="395"/>
    </row>
    <row r="479" spans="1:15">
      <c r="A479" s="401">
        <v>2408057</v>
      </c>
      <c r="B479" s="334" t="s">
        <v>8645</v>
      </c>
      <c r="E479" s="440">
        <v>0.00113</v>
      </c>
      <c r="F479" s="333" t="s">
        <v>101</v>
      </c>
      <c r="G479" s="439"/>
      <c r="I479" s="346">
        <v>105.61</v>
      </c>
      <c r="L479" s="346">
        <v>0.1193393</v>
      </c>
      <c r="N479" s="395"/>
      <c r="O479" s="395"/>
    </row>
    <row r="480" hidden="1" spans="1:15">
      <c r="A480" s="401">
        <v>0</v>
      </c>
      <c r="B480" s="334" t="e">
        <v>#N/A</v>
      </c>
      <c r="E480" s="440">
        <v>0</v>
      </c>
      <c r="F480" s="333" t="e">
        <v>#N/A</v>
      </c>
      <c r="G480" s="439"/>
      <c r="I480" s="346" t="e">
        <v>#N/A</v>
      </c>
      <c r="L480" s="459" t="s">
        <v>932</v>
      </c>
      <c r="N480" s="395"/>
      <c r="O480" s="395"/>
    </row>
    <row r="481" hidden="1" spans="1:15">
      <c r="A481" s="401">
        <v>0</v>
      </c>
      <c r="B481" s="334" t="e">
        <v>#N/A</v>
      </c>
      <c r="E481" s="440">
        <v>0</v>
      </c>
      <c r="F481" s="333" t="e">
        <v>#N/A</v>
      </c>
      <c r="G481" s="439"/>
      <c r="I481" s="346" t="e">
        <v>#N/A</v>
      </c>
      <c r="L481" s="459" t="s">
        <v>932</v>
      </c>
      <c r="N481" s="395"/>
      <c r="O481" s="395"/>
    </row>
    <row r="482" hidden="1" spans="1:15">
      <c r="A482" s="401">
        <v>0</v>
      </c>
      <c r="B482" s="334" t="e">
        <v>#N/A</v>
      </c>
      <c r="E482" s="440">
        <v>0</v>
      </c>
      <c r="F482" s="333" t="e">
        <v>#N/A</v>
      </c>
      <c r="G482" s="439"/>
      <c r="I482" s="346" t="e">
        <v>#N/A</v>
      </c>
      <c r="L482" s="459" t="s">
        <v>932</v>
      </c>
      <c r="N482" s="395"/>
      <c r="O482" s="395"/>
    </row>
    <row r="483" hidden="1" spans="1:15">
      <c r="A483" s="401">
        <v>0</v>
      </c>
      <c r="B483" s="334" t="e">
        <v>#N/A</v>
      </c>
      <c r="E483" s="440">
        <v>0</v>
      </c>
      <c r="F483" s="333" t="e">
        <v>#N/A</v>
      </c>
      <c r="G483" s="439"/>
      <c r="I483" s="346" t="e">
        <v>#N/A</v>
      </c>
      <c r="L483" s="459" t="s">
        <v>932</v>
      </c>
      <c r="N483" s="395"/>
      <c r="O483" s="395"/>
    </row>
    <row r="484" spans="1:15">
      <c r="A484" s="421"/>
      <c r="B484" s="422"/>
      <c r="C484" s="422"/>
      <c r="D484" s="422"/>
      <c r="E484" s="422"/>
      <c r="F484" s="422"/>
      <c r="G484" s="422"/>
      <c r="H484" s="422"/>
      <c r="I484" s="430"/>
      <c r="J484" s="430"/>
      <c r="K484" s="425" t="s">
        <v>14206</v>
      </c>
      <c r="L484" s="462">
        <v>0.2043396</v>
      </c>
      <c r="N484" s="395"/>
      <c r="O484" s="395"/>
    </row>
    <row r="485" spans="1:15">
      <c r="A485" s="421"/>
      <c r="B485" s="422"/>
      <c r="C485" s="422"/>
      <c r="D485" s="422"/>
      <c r="E485" s="422"/>
      <c r="F485" s="422"/>
      <c r="G485" s="422"/>
      <c r="H485" s="422"/>
      <c r="I485" s="430"/>
      <c r="J485" s="430"/>
      <c r="K485" s="425" t="s">
        <v>14207</v>
      </c>
      <c r="L485" s="462">
        <v>10.1689396</v>
      </c>
      <c r="N485" s="395"/>
      <c r="O485" s="395"/>
    </row>
    <row r="486" spans="1:15">
      <c r="A486" s="428" t="s">
        <v>14208</v>
      </c>
      <c r="B486" s="430"/>
      <c r="C486" s="430"/>
      <c r="D486" s="431" t="s">
        <v>55</v>
      </c>
      <c r="E486" s="431" t="s">
        <v>74</v>
      </c>
      <c r="F486" s="431" t="s">
        <v>1123</v>
      </c>
      <c r="G486" s="430"/>
      <c r="H486" s="430"/>
      <c r="I486" s="425" t="s">
        <v>75</v>
      </c>
      <c r="J486" s="430"/>
      <c r="K486" s="430"/>
      <c r="L486" s="462" t="s">
        <v>14194</v>
      </c>
      <c r="N486" s="395"/>
      <c r="O486" s="395"/>
    </row>
    <row r="487" spans="1:15">
      <c r="A487" s="404" t="s">
        <v>14291</v>
      </c>
      <c r="B487" s="441" t="s">
        <v>14292</v>
      </c>
      <c r="C487" s="441"/>
      <c r="D487" s="442">
        <v>5914655</v>
      </c>
      <c r="E487" s="434">
        <v>0.001</v>
      </c>
      <c r="F487" s="333" t="s">
        <v>9885</v>
      </c>
      <c r="G487" s="443" t="s">
        <v>14209</v>
      </c>
      <c r="H487" s="334"/>
      <c r="I487" s="346">
        <v>35.43</v>
      </c>
      <c r="J487" s="334"/>
      <c r="K487" s="346"/>
      <c r="L487" s="346">
        <v>0.03543</v>
      </c>
      <c r="N487" s="395"/>
      <c r="O487" s="395"/>
    </row>
    <row r="488" hidden="1" spans="1:15">
      <c r="A488" s="404">
        <v>0</v>
      </c>
      <c r="B488" s="334" t="e">
        <v>#N/A</v>
      </c>
      <c r="C488" s="334"/>
      <c r="D488" s="442">
        <v>0</v>
      </c>
      <c r="E488" s="434">
        <v>0</v>
      </c>
      <c r="F488" s="333" t="s">
        <v>9885</v>
      </c>
      <c r="G488" s="334"/>
      <c r="H488" s="334"/>
      <c r="I488" s="346">
        <v>0</v>
      </c>
      <c r="J488" s="334"/>
      <c r="K488" s="346"/>
      <c r="L488" s="459" t="s">
        <v>932</v>
      </c>
      <c r="N488" s="395"/>
      <c r="O488" s="395"/>
    </row>
    <row r="489" hidden="1" spans="1:15">
      <c r="A489" s="404">
        <v>0</v>
      </c>
      <c r="B489" s="334" t="e">
        <v>#N/A</v>
      </c>
      <c r="C489" s="334"/>
      <c r="D489" s="442">
        <v>0</v>
      </c>
      <c r="E489" s="434">
        <v>0</v>
      </c>
      <c r="F489" s="333" t="s">
        <v>9885</v>
      </c>
      <c r="G489" s="334"/>
      <c r="H489" s="334"/>
      <c r="I489" s="346">
        <v>0</v>
      </c>
      <c r="J489" s="334"/>
      <c r="K489" s="346"/>
      <c r="L489" s="459" t="s">
        <v>932</v>
      </c>
      <c r="N489" s="395"/>
      <c r="O489" s="395"/>
    </row>
    <row r="490" hidden="1" spans="1:15">
      <c r="A490" s="404">
        <v>0</v>
      </c>
      <c r="B490" s="334" t="e">
        <v>#N/A</v>
      </c>
      <c r="C490" s="334"/>
      <c r="D490" s="442">
        <v>0</v>
      </c>
      <c r="E490" s="434">
        <v>0</v>
      </c>
      <c r="F490" s="333" t="s">
        <v>9885</v>
      </c>
      <c r="G490" s="334"/>
      <c r="H490" s="334"/>
      <c r="I490" s="346">
        <v>0</v>
      </c>
      <c r="J490" s="334"/>
      <c r="K490" s="346"/>
      <c r="L490" s="459" t="s">
        <v>932</v>
      </c>
      <c r="N490" s="395"/>
      <c r="O490" s="395"/>
    </row>
    <row r="491" hidden="1" spans="1:15">
      <c r="A491" s="404">
        <v>0</v>
      </c>
      <c r="B491" s="334" t="e">
        <v>#N/A</v>
      </c>
      <c r="C491" s="334"/>
      <c r="D491" s="442">
        <v>0</v>
      </c>
      <c r="E491" s="434">
        <v>0</v>
      </c>
      <c r="F491" s="333" t="s">
        <v>9885</v>
      </c>
      <c r="G491" s="334"/>
      <c r="H491" s="334"/>
      <c r="I491" s="346">
        <v>0</v>
      </c>
      <c r="J491" s="334"/>
      <c r="K491" s="346"/>
      <c r="L491" s="459" t="s">
        <v>932</v>
      </c>
      <c r="N491" s="395"/>
      <c r="O491" s="395"/>
    </row>
    <row r="492" hidden="1" spans="1:15">
      <c r="A492" s="404">
        <v>0</v>
      </c>
      <c r="B492" s="334" t="e">
        <v>#N/A</v>
      </c>
      <c r="C492" s="334"/>
      <c r="D492" s="442">
        <v>0</v>
      </c>
      <c r="E492" s="434">
        <v>0</v>
      </c>
      <c r="F492" s="333" t="s">
        <v>9885</v>
      </c>
      <c r="G492" s="334"/>
      <c r="H492" s="334"/>
      <c r="I492" s="346">
        <v>0</v>
      </c>
      <c r="J492" s="334"/>
      <c r="K492" s="346"/>
      <c r="L492" s="459" t="s">
        <v>932</v>
      </c>
      <c r="N492" s="395"/>
      <c r="O492" s="395"/>
    </row>
    <row r="493" hidden="1" spans="1:15">
      <c r="A493" s="404">
        <v>0</v>
      </c>
      <c r="B493" s="334" t="e">
        <v>#N/A</v>
      </c>
      <c r="C493" s="334"/>
      <c r="D493" s="442">
        <v>0</v>
      </c>
      <c r="E493" s="434">
        <v>0</v>
      </c>
      <c r="F493" s="333" t="s">
        <v>9885</v>
      </c>
      <c r="G493" s="334"/>
      <c r="H493" s="334"/>
      <c r="I493" s="346">
        <v>0</v>
      </c>
      <c r="J493" s="334"/>
      <c r="K493" s="346"/>
      <c r="L493" s="459" t="s">
        <v>932</v>
      </c>
      <c r="N493" s="395"/>
      <c r="O493" s="395"/>
    </row>
    <row r="494" hidden="1" spans="1:15">
      <c r="A494" s="404">
        <v>0</v>
      </c>
      <c r="B494" s="444" t="e">
        <v>#N/A</v>
      </c>
      <c r="C494" s="444"/>
      <c r="D494" s="442">
        <v>0</v>
      </c>
      <c r="E494" s="434">
        <v>0</v>
      </c>
      <c r="F494" s="333" t="s">
        <v>9885</v>
      </c>
      <c r="G494" s="334"/>
      <c r="H494" s="334"/>
      <c r="I494" s="346">
        <v>0</v>
      </c>
      <c r="J494" s="334"/>
      <c r="K494" s="346"/>
      <c r="L494" s="459" t="s">
        <v>932</v>
      </c>
      <c r="N494" s="395"/>
      <c r="O494" s="395"/>
    </row>
    <row r="495" spans="1:15">
      <c r="A495" s="428"/>
      <c r="B495" s="445"/>
      <c r="C495" s="445"/>
      <c r="D495" s="430"/>
      <c r="E495" s="430"/>
      <c r="F495" s="430"/>
      <c r="G495" s="430"/>
      <c r="H495" s="430"/>
      <c r="I495" s="430"/>
      <c r="J495" s="430"/>
      <c r="K495" s="425" t="s">
        <v>14210</v>
      </c>
      <c r="L495" s="462">
        <v>0.03543</v>
      </c>
      <c r="N495" s="395"/>
      <c r="O495" s="395"/>
    </row>
    <row r="496" hidden="1" spans="1:15">
      <c r="A496" s="446" t="s">
        <v>14211</v>
      </c>
      <c r="B496" s="445"/>
      <c r="C496" s="445"/>
      <c r="D496" s="447" t="s">
        <v>55</v>
      </c>
      <c r="E496" s="445" t="s">
        <v>74</v>
      </c>
      <c r="F496" s="447" t="s">
        <v>1123</v>
      </c>
      <c r="G496" s="445"/>
      <c r="H496" s="447" t="s">
        <v>72</v>
      </c>
      <c r="I496" s="447" t="s">
        <v>75</v>
      </c>
      <c r="J496" s="445"/>
      <c r="K496" s="448"/>
      <c r="L496" s="465" t="s">
        <v>14194</v>
      </c>
      <c r="N496" s="395"/>
      <c r="O496" s="395"/>
    </row>
    <row r="497" hidden="1" spans="1:15">
      <c r="A497" s="404" t="s">
        <v>14291</v>
      </c>
      <c r="B497" s="433" t="s">
        <v>14292</v>
      </c>
      <c r="C497" s="433"/>
      <c r="D497" s="442">
        <v>5914449</v>
      </c>
      <c r="E497" s="450">
        <v>0.001</v>
      </c>
      <c r="F497" s="333" t="s">
        <v>13063</v>
      </c>
      <c r="G497" s="333" t="s">
        <v>14212</v>
      </c>
      <c r="H497" s="346">
        <v>0</v>
      </c>
      <c r="I497" s="346">
        <v>1.11</v>
      </c>
      <c r="J497" s="346"/>
      <c r="K497" s="334"/>
      <c r="L497" s="459">
        <v>0</v>
      </c>
      <c r="N497" s="395"/>
      <c r="O497" s="395"/>
    </row>
    <row r="498" hidden="1" spans="1:15">
      <c r="A498" s="404"/>
      <c r="B498" s="404"/>
      <c r="C498" s="334"/>
      <c r="D498" s="442">
        <v>5914464</v>
      </c>
      <c r="E498" s="450">
        <v>0.001</v>
      </c>
      <c r="F498" s="333" t="s">
        <v>13063</v>
      </c>
      <c r="G498" s="333" t="s">
        <v>14213</v>
      </c>
      <c r="H498" s="346">
        <v>0</v>
      </c>
      <c r="I498" s="346">
        <v>0.89</v>
      </c>
      <c r="J498" s="346"/>
      <c r="K498" s="334"/>
      <c r="L498" s="459">
        <v>0</v>
      </c>
      <c r="N498" s="395"/>
      <c r="O498" s="395"/>
    </row>
    <row r="499" hidden="1" spans="1:15">
      <c r="A499" s="404"/>
      <c r="B499" s="404"/>
      <c r="C499" s="334"/>
      <c r="D499" s="442">
        <v>5914479</v>
      </c>
      <c r="E499" s="450">
        <v>0.001</v>
      </c>
      <c r="F499" s="333" t="s">
        <v>13063</v>
      </c>
      <c r="G499" s="333" t="s">
        <v>14214</v>
      </c>
      <c r="H499" s="346">
        <v>0</v>
      </c>
      <c r="I499" s="346">
        <v>0.73</v>
      </c>
      <c r="J499" s="346"/>
      <c r="K499" s="334"/>
      <c r="L499" s="459">
        <v>0</v>
      </c>
      <c r="N499" s="395"/>
      <c r="O499" s="395"/>
    </row>
    <row r="500" hidden="1" spans="1:15">
      <c r="A500" s="404">
        <v>0</v>
      </c>
      <c r="B500" s="404" t="e">
        <v>#N/A</v>
      </c>
      <c r="C500" s="404"/>
      <c r="D500" s="442">
        <v>0</v>
      </c>
      <c r="E500" s="450">
        <v>0</v>
      </c>
      <c r="F500" s="333" t="s">
        <v>13063</v>
      </c>
      <c r="G500" s="333" t="s">
        <v>14212</v>
      </c>
      <c r="H500" s="346">
        <v>0</v>
      </c>
      <c r="I500" s="346">
        <v>0</v>
      </c>
      <c r="J500" s="346"/>
      <c r="K500" s="334"/>
      <c r="L500" s="459" t="s">
        <v>932</v>
      </c>
      <c r="N500" s="395"/>
      <c r="O500" s="395"/>
    </row>
    <row r="501" hidden="1" spans="1:15">
      <c r="A501" s="404"/>
      <c r="B501" s="404"/>
      <c r="C501" s="334"/>
      <c r="D501" s="442">
        <v>0</v>
      </c>
      <c r="E501" s="450">
        <v>0</v>
      </c>
      <c r="F501" s="333" t="s">
        <v>13063</v>
      </c>
      <c r="G501" s="333" t="s">
        <v>14213</v>
      </c>
      <c r="H501" s="346">
        <v>0</v>
      </c>
      <c r="I501" s="346">
        <v>0</v>
      </c>
      <c r="J501" s="346"/>
      <c r="K501" s="334"/>
      <c r="L501" s="459" t="s">
        <v>932</v>
      </c>
      <c r="N501" s="395"/>
      <c r="O501" s="395"/>
    </row>
    <row r="502" hidden="1" spans="1:15">
      <c r="A502" s="404"/>
      <c r="B502" s="404"/>
      <c r="C502" s="334"/>
      <c r="D502" s="442">
        <v>0</v>
      </c>
      <c r="E502" s="450">
        <v>0</v>
      </c>
      <c r="F502" s="333" t="s">
        <v>13063</v>
      </c>
      <c r="G502" s="333" t="s">
        <v>14214</v>
      </c>
      <c r="H502" s="346">
        <v>0</v>
      </c>
      <c r="I502" s="346">
        <v>0</v>
      </c>
      <c r="J502" s="346"/>
      <c r="K502" s="334"/>
      <c r="L502" s="459" t="s">
        <v>932</v>
      </c>
      <c r="N502" s="395"/>
      <c r="O502" s="395"/>
    </row>
    <row r="503" hidden="1" spans="1:15">
      <c r="A503" s="404">
        <v>0</v>
      </c>
      <c r="B503" s="404" t="e">
        <v>#N/A</v>
      </c>
      <c r="C503" s="404"/>
      <c r="D503" s="442">
        <v>0</v>
      </c>
      <c r="E503" s="450">
        <v>0</v>
      </c>
      <c r="F503" s="333" t="s">
        <v>13063</v>
      </c>
      <c r="G503" s="333" t="s">
        <v>14212</v>
      </c>
      <c r="H503" s="346">
        <v>0</v>
      </c>
      <c r="I503" s="346">
        <v>0</v>
      </c>
      <c r="J503" s="346"/>
      <c r="K503" s="334"/>
      <c r="L503" s="459" t="s">
        <v>932</v>
      </c>
      <c r="N503" s="395"/>
      <c r="O503" s="395"/>
    </row>
    <row r="504" hidden="1" spans="1:15">
      <c r="A504" s="404"/>
      <c r="B504" s="404"/>
      <c r="C504" s="334"/>
      <c r="D504" s="442">
        <v>0</v>
      </c>
      <c r="E504" s="450">
        <v>0</v>
      </c>
      <c r="F504" s="333" t="s">
        <v>13063</v>
      </c>
      <c r="G504" s="333" t="s">
        <v>14213</v>
      </c>
      <c r="H504" s="346">
        <v>0</v>
      </c>
      <c r="I504" s="346">
        <v>0</v>
      </c>
      <c r="J504" s="346"/>
      <c r="K504" s="334"/>
      <c r="L504" s="459" t="s">
        <v>932</v>
      </c>
      <c r="N504" s="395"/>
      <c r="O504" s="395"/>
    </row>
    <row r="505" hidden="1" spans="1:15">
      <c r="A505" s="404"/>
      <c r="B505" s="404"/>
      <c r="C505" s="334"/>
      <c r="D505" s="442">
        <v>0</v>
      </c>
      <c r="E505" s="450">
        <v>0</v>
      </c>
      <c r="F505" s="333" t="s">
        <v>13063</v>
      </c>
      <c r="G505" s="333" t="s">
        <v>14214</v>
      </c>
      <c r="H505" s="346">
        <v>0</v>
      </c>
      <c r="I505" s="346">
        <v>0</v>
      </c>
      <c r="J505" s="346"/>
      <c r="K505" s="334"/>
      <c r="L505" s="459" t="s">
        <v>932</v>
      </c>
      <c r="N505" s="395"/>
      <c r="O505" s="395"/>
    </row>
    <row r="506" hidden="1" spans="1:15">
      <c r="A506" s="404">
        <v>0</v>
      </c>
      <c r="B506" s="404" t="e">
        <v>#N/A</v>
      </c>
      <c r="C506" s="404"/>
      <c r="D506" s="442">
        <v>0</v>
      </c>
      <c r="E506" s="450">
        <v>0</v>
      </c>
      <c r="F506" s="333" t="s">
        <v>13063</v>
      </c>
      <c r="G506" s="333" t="s">
        <v>14212</v>
      </c>
      <c r="H506" s="346">
        <v>0</v>
      </c>
      <c r="I506" s="346">
        <v>0</v>
      </c>
      <c r="J506" s="346"/>
      <c r="K506" s="334"/>
      <c r="L506" s="459" t="s">
        <v>932</v>
      </c>
      <c r="N506" s="395"/>
      <c r="O506" s="395"/>
    </row>
    <row r="507" hidden="1" spans="1:15">
      <c r="A507" s="404"/>
      <c r="B507" s="404"/>
      <c r="C507" s="334"/>
      <c r="D507" s="442">
        <v>0</v>
      </c>
      <c r="E507" s="450">
        <v>0</v>
      </c>
      <c r="F507" s="333" t="s">
        <v>13063</v>
      </c>
      <c r="G507" s="333" t="s">
        <v>14213</v>
      </c>
      <c r="H507" s="346">
        <v>0</v>
      </c>
      <c r="I507" s="346">
        <v>0</v>
      </c>
      <c r="J507" s="346"/>
      <c r="K507" s="334"/>
      <c r="L507" s="459" t="s">
        <v>932</v>
      </c>
      <c r="N507" s="395"/>
      <c r="O507" s="395"/>
    </row>
    <row r="508" hidden="1" spans="1:15">
      <c r="A508" s="404"/>
      <c r="B508" s="404"/>
      <c r="C508" s="334"/>
      <c r="D508" s="442">
        <v>0</v>
      </c>
      <c r="E508" s="450">
        <v>0</v>
      </c>
      <c r="F508" s="333" t="s">
        <v>13063</v>
      </c>
      <c r="G508" s="333" t="s">
        <v>14214</v>
      </c>
      <c r="H508" s="346">
        <v>0</v>
      </c>
      <c r="I508" s="346">
        <v>0</v>
      </c>
      <c r="J508" s="346"/>
      <c r="K508" s="334"/>
      <c r="L508" s="459" t="s">
        <v>932</v>
      </c>
      <c r="N508" s="395"/>
      <c r="O508" s="395"/>
    </row>
    <row r="509" hidden="1" spans="1:15">
      <c r="A509" s="404">
        <v>0</v>
      </c>
      <c r="B509" s="404" t="e">
        <v>#N/A</v>
      </c>
      <c r="C509" s="404"/>
      <c r="D509" s="442">
        <v>0</v>
      </c>
      <c r="E509" s="450">
        <v>0</v>
      </c>
      <c r="F509" s="333" t="s">
        <v>13063</v>
      </c>
      <c r="G509" s="333" t="s">
        <v>14212</v>
      </c>
      <c r="H509" s="346">
        <v>0</v>
      </c>
      <c r="I509" s="346">
        <v>0</v>
      </c>
      <c r="J509" s="346"/>
      <c r="K509" s="334"/>
      <c r="L509" s="459" t="s">
        <v>932</v>
      </c>
      <c r="N509" s="395"/>
      <c r="O509" s="395"/>
    </row>
    <row r="510" hidden="1" spans="1:15">
      <c r="A510" s="404"/>
      <c r="B510" s="404"/>
      <c r="C510" s="334"/>
      <c r="D510" s="442">
        <v>0</v>
      </c>
      <c r="E510" s="450">
        <v>0</v>
      </c>
      <c r="F510" s="333" t="s">
        <v>13063</v>
      </c>
      <c r="G510" s="333" t="s">
        <v>14213</v>
      </c>
      <c r="H510" s="346">
        <v>0</v>
      </c>
      <c r="I510" s="346">
        <v>0</v>
      </c>
      <c r="J510" s="346"/>
      <c r="K510" s="334"/>
      <c r="L510" s="459" t="s">
        <v>932</v>
      </c>
      <c r="N510" s="395"/>
      <c r="O510" s="395"/>
    </row>
    <row r="511" hidden="1" spans="1:15">
      <c r="A511" s="404"/>
      <c r="B511" s="404"/>
      <c r="C511" s="334"/>
      <c r="D511" s="442">
        <v>0</v>
      </c>
      <c r="E511" s="450">
        <v>0</v>
      </c>
      <c r="F511" s="333" t="s">
        <v>13063</v>
      </c>
      <c r="G511" s="333" t="s">
        <v>14214</v>
      </c>
      <c r="H511" s="346">
        <v>0</v>
      </c>
      <c r="I511" s="346">
        <v>0</v>
      </c>
      <c r="J511" s="346"/>
      <c r="K511" s="334"/>
      <c r="L511" s="459" t="s">
        <v>932</v>
      </c>
      <c r="N511" s="395"/>
      <c r="O511" s="395"/>
    </row>
    <row r="512" hidden="1" spans="1:15">
      <c r="A512" s="401">
        <v>0</v>
      </c>
      <c r="B512" s="401" t="e">
        <v>#N/A</v>
      </c>
      <c r="C512" s="401"/>
      <c r="D512" s="442">
        <v>0</v>
      </c>
      <c r="E512" s="450">
        <v>0</v>
      </c>
      <c r="F512" s="439" t="s">
        <v>13063</v>
      </c>
      <c r="G512" s="439" t="s">
        <v>14212</v>
      </c>
      <c r="H512" s="346">
        <v>0</v>
      </c>
      <c r="I512" s="346">
        <v>0</v>
      </c>
      <c r="J512" s="395"/>
      <c r="L512" s="459" t="s">
        <v>932</v>
      </c>
      <c r="N512" s="395"/>
      <c r="O512" s="395"/>
    </row>
    <row r="513" hidden="1" spans="1:15">
      <c r="A513" s="401"/>
      <c r="B513" s="401"/>
      <c r="D513" s="442">
        <v>0</v>
      </c>
      <c r="E513" s="450">
        <v>0</v>
      </c>
      <c r="F513" s="439" t="s">
        <v>13063</v>
      </c>
      <c r="G513" s="439" t="s">
        <v>14213</v>
      </c>
      <c r="H513" s="346">
        <v>0</v>
      </c>
      <c r="I513" s="346">
        <v>0</v>
      </c>
      <c r="J513" s="395"/>
      <c r="L513" s="459" t="s">
        <v>932</v>
      </c>
      <c r="N513" s="395"/>
      <c r="O513" s="395"/>
    </row>
    <row r="514" hidden="1" spans="1:15">
      <c r="A514" s="401"/>
      <c r="B514" s="401"/>
      <c r="D514" s="442">
        <v>0</v>
      </c>
      <c r="E514" s="450">
        <v>0</v>
      </c>
      <c r="F514" s="439" t="s">
        <v>13063</v>
      </c>
      <c r="G514" s="439" t="s">
        <v>14214</v>
      </c>
      <c r="H514" s="346">
        <v>0</v>
      </c>
      <c r="I514" s="346">
        <v>0</v>
      </c>
      <c r="J514" s="395"/>
      <c r="L514" s="459" t="s">
        <v>932</v>
      </c>
      <c r="N514" s="395"/>
      <c r="O514" s="395"/>
    </row>
    <row r="515" hidden="1" spans="1:15">
      <c r="A515" s="401">
        <v>0</v>
      </c>
      <c r="B515" s="401" t="e">
        <v>#N/A</v>
      </c>
      <c r="C515" s="401"/>
      <c r="D515" s="442">
        <v>0</v>
      </c>
      <c r="E515" s="450">
        <v>0</v>
      </c>
      <c r="F515" s="439" t="s">
        <v>13063</v>
      </c>
      <c r="G515" s="439" t="s">
        <v>14212</v>
      </c>
      <c r="H515" s="346">
        <v>0</v>
      </c>
      <c r="I515" s="346">
        <v>0</v>
      </c>
      <c r="J515" s="395"/>
      <c r="L515" s="459" t="s">
        <v>932</v>
      </c>
      <c r="N515" s="395"/>
      <c r="O515" s="395"/>
    </row>
    <row r="516" hidden="1" spans="1:15">
      <c r="A516" s="401"/>
      <c r="B516" s="401"/>
      <c r="D516" s="442">
        <v>0</v>
      </c>
      <c r="E516" s="450">
        <v>0</v>
      </c>
      <c r="F516" s="439" t="s">
        <v>13063</v>
      </c>
      <c r="G516" s="439" t="s">
        <v>14213</v>
      </c>
      <c r="H516" s="346">
        <v>0</v>
      </c>
      <c r="I516" s="346">
        <v>0</v>
      </c>
      <c r="J516" s="395"/>
      <c r="L516" s="459" t="s">
        <v>932</v>
      </c>
      <c r="N516" s="395"/>
      <c r="O516" s="395"/>
    </row>
    <row r="517" hidden="1" spans="1:15">
      <c r="A517" s="401"/>
      <c r="B517" s="401"/>
      <c r="D517" s="442">
        <v>0</v>
      </c>
      <c r="E517" s="450">
        <v>0</v>
      </c>
      <c r="F517" s="439" t="s">
        <v>13063</v>
      </c>
      <c r="G517" s="439" t="s">
        <v>14214</v>
      </c>
      <c r="H517" s="346">
        <v>0</v>
      </c>
      <c r="I517" s="346">
        <v>0</v>
      </c>
      <c r="J517" s="395"/>
      <c r="L517" s="459" t="s">
        <v>932</v>
      </c>
      <c r="N517" s="395"/>
      <c r="O517" s="395"/>
    </row>
    <row r="518" hidden="1" spans="1:15">
      <c r="A518" s="401">
        <v>0</v>
      </c>
      <c r="B518" s="401" t="e">
        <v>#N/A</v>
      </c>
      <c r="C518" s="401"/>
      <c r="D518" s="442">
        <v>0</v>
      </c>
      <c r="E518" s="450">
        <v>0</v>
      </c>
      <c r="F518" s="439" t="s">
        <v>13063</v>
      </c>
      <c r="G518" s="439" t="s">
        <v>14212</v>
      </c>
      <c r="H518" s="346">
        <v>0</v>
      </c>
      <c r="I518" s="346">
        <v>0</v>
      </c>
      <c r="J518" s="395"/>
      <c r="L518" s="459" t="s">
        <v>932</v>
      </c>
      <c r="N518" s="395"/>
      <c r="O518" s="395"/>
    </row>
    <row r="519" hidden="1" spans="1:15">
      <c r="A519" s="401"/>
      <c r="B519" s="401"/>
      <c r="D519" s="442">
        <v>0</v>
      </c>
      <c r="E519" s="450">
        <v>0</v>
      </c>
      <c r="F519" s="439" t="s">
        <v>13063</v>
      </c>
      <c r="G519" s="439" t="s">
        <v>14213</v>
      </c>
      <c r="H519" s="346">
        <v>0</v>
      </c>
      <c r="I519" s="346">
        <v>0</v>
      </c>
      <c r="J519" s="395"/>
      <c r="L519" s="459" t="s">
        <v>932</v>
      </c>
      <c r="N519" s="395"/>
      <c r="O519" s="395"/>
    </row>
    <row r="520" hidden="1" spans="1:15">
      <c r="A520" s="401"/>
      <c r="B520" s="401"/>
      <c r="D520" s="442">
        <v>0</v>
      </c>
      <c r="E520" s="450">
        <v>0</v>
      </c>
      <c r="F520" s="439" t="s">
        <v>13063</v>
      </c>
      <c r="G520" s="439" t="s">
        <v>14214</v>
      </c>
      <c r="H520" s="346">
        <v>0</v>
      </c>
      <c r="I520" s="346">
        <v>0</v>
      </c>
      <c r="J520" s="395"/>
      <c r="L520" s="459" t="s">
        <v>932</v>
      </c>
      <c r="N520" s="395"/>
      <c r="O520" s="395"/>
    </row>
    <row r="521" hidden="1" spans="1:15">
      <c r="A521" s="421"/>
      <c r="B521" s="422"/>
      <c r="C521" s="422"/>
      <c r="D521" s="422"/>
      <c r="E521" s="422"/>
      <c r="F521" s="422"/>
      <c r="G521" s="422"/>
      <c r="H521" s="422"/>
      <c r="I521" s="430"/>
      <c r="J521" s="430"/>
      <c r="K521" s="425" t="s">
        <v>14215</v>
      </c>
      <c r="L521" s="462">
        <v>0</v>
      </c>
      <c r="N521" s="395"/>
      <c r="O521" s="395"/>
    </row>
    <row r="522" spans="1:15">
      <c r="A522" s="451"/>
      <c r="B522" s="452"/>
      <c r="C522" s="452"/>
      <c r="D522" s="452"/>
      <c r="E522" s="452"/>
      <c r="F522" s="452"/>
      <c r="G522" s="452"/>
      <c r="H522" s="452"/>
      <c r="I522" s="453"/>
      <c r="J522" s="453"/>
      <c r="K522" s="454" t="s">
        <v>14216</v>
      </c>
      <c r="L522" s="466">
        <v>10.2</v>
      </c>
      <c r="N522" s="395"/>
      <c r="O522" s="395"/>
    </row>
    <row r="524" spans="1:15">
      <c r="A524" s="391" t="s">
        <v>14172</v>
      </c>
      <c r="B524" s="457"/>
      <c r="C524" s="457"/>
      <c r="D524" s="457"/>
      <c r="E524" s="457"/>
      <c r="F524" s="457"/>
      <c r="G524" s="393"/>
      <c r="H524" s="393"/>
      <c r="I524" s="393"/>
      <c r="J524" s="393"/>
      <c r="K524" s="393"/>
      <c r="L524" s="394"/>
      <c r="N524" s="395"/>
      <c r="O524" s="395"/>
    </row>
    <row r="525" spans="1:15">
      <c r="A525" s="396">
        <v>4805750</v>
      </c>
      <c r="B525" s="397" t="s">
        <v>10922</v>
      </c>
      <c r="C525" s="397"/>
      <c r="D525" s="397"/>
      <c r="E525" s="397"/>
      <c r="F525" s="397"/>
      <c r="G525" s="397"/>
      <c r="H525" s="397" t="s">
        <v>99</v>
      </c>
      <c r="I525" s="398">
        <v>46023</v>
      </c>
      <c r="J525" s="397"/>
      <c r="K525" s="399" t="s">
        <v>14173</v>
      </c>
      <c r="L525" s="400">
        <v>0</v>
      </c>
      <c r="N525" s="395"/>
      <c r="O525" s="395"/>
    </row>
    <row r="526" spans="1:15">
      <c r="A526" s="401"/>
      <c r="H526" s="402" t="s">
        <v>14174</v>
      </c>
      <c r="I526" s="434">
        <v>0.5</v>
      </c>
      <c r="J526" s="404" t="s">
        <v>99</v>
      </c>
      <c r="K526" s="402" t="s">
        <v>14175</v>
      </c>
      <c r="L526" s="346">
        <v>0.04367</v>
      </c>
      <c r="N526" s="395"/>
      <c r="O526" s="395"/>
    </row>
    <row r="527" hidden="1" spans="1:15">
      <c r="A527" s="405"/>
      <c r="B527" s="405"/>
      <c r="C527" s="405"/>
      <c r="D527" s="406"/>
      <c r="E527" s="406"/>
      <c r="F527" s="406"/>
      <c r="G527" s="407" t="s">
        <v>14176</v>
      </c>
      <c r="H527" s="407"/>
      <c r="I527" s="407" t="s">
        <v>14177</v>
      </c>
      <c r="J527" s="407"/>
      <c r="K527" s="405"/>
      <c r="L527" s="409" t="s">
        <v>14178</v>
      </c>
      <c r="N527" s="395"/>
      <c r="O527" s="395"/>
    </row>
    <row r="528" hidden="1" spans="1:15">
      <c r="A528" s="410" t="s">
        <v>14179</v>
      </c>
      <c r="B528" s="411"/>
      <c r="C528" s="412"/>
      <c r="D528" s="412"/>
      <c r="E528" s="413" t="s">
        <v>74</v>
      </c>
      <c r="F528" s="412"/>
      <c r="G528" s="413" t="s">
        <v>14180</v>
      </c>
      <c r="H528" s="413" t="s">
        <v>14181</v>
      </c>
      <c r="I528" s="413" t="s">
        <v>14182</v>
      </c>
      <c r="J528" s="413" t="s">
        <v>14183</v>
      </c>
      <c r="K528" s="411"/>
      <c r="L528" s="414" t="s">
        <v>14184</v>
      </c>
      <c r="N528" s="395"/>
      <c r="O528" s="395"/>
    </row>
    <row r="529" hidden="1" spans="1:15">
      <c r="A529" s="404">
        <v>0</v>
      </c>
      <c r="B529" s="415" t="e">
        <v>#N/A</v>
      </c>
      <c r="C529" s="415"/>
      <c r="D529" s="415"/>
      <c r="E529" s="434">
        <v>0</v>
      </c>
      <c r="F529" s="334"/>
      <c r="G529" s="346">
        <v>0</v>
      </c>
      <c r="H529" s="417">
        <v>1</v>
      </c>
      <c r="I529" s="395" t="e">
        <v>#N/A</v>
      </c>
      <c r="J529" s="418" t="e">
        <v>#N/A</v>
      </c>
      <c r="K529" s="402"/>
      <c r="L529" s="395" t="s">
        <v>932</v>
      </c>
      <c r="N529" s="395" t="s">
        <v>932</v>
      </c>
      <c r="O529" s="395"/>
    </row>
    <row r="530" hidden="1" spans="1:15">
      <c r="A530" s="404">
        <v>0</v>
      </c>
      <c r="B530" s="404" t="e">
        <v>#N/A</v>
      </c>
      <c r="C530" s="404"/>
      <c r="D530" s="334"/>
      <c r="E530" s="434">
        <v>0</v>
      </c>
      <c r="F530" s="334"/>
      <c r="G530" s="346">
        <v>0</v>
      </c>
      <c r="H530" s="417">
        <v>1</v>
      </c>
      <c r="I530" s="346" t="e">
        <v>#N/A</v>
      </c>
      <c r="J530" s="419" t="e">
        <v>#N/A</v>
      </c>
      <c r="K530" s="420"/>
      <c r="L530" s="395" t="s">
        <v>932</v>
      </c>
      <c r="N530" s="395" t="s">
        <v>932</v>
      </c>
      <c r="O530" s="395"/>
    </row>
    <row r="531" hidden="1" spans="1:15">
      <c r="A531" s="404">
        <v>0</v>
      </c>
      <c r="B531" s="404" t="e">
        <v>#N/A</v>
      </c>
      <c r="C531" s="404"/>
      <c r="D531" s="334"/>
      <c r="E531" s="416">
        <v>0</v>
      </c>
      <c r="F531" s="334"/>
      <c r="G531" s="346">
        <v>0</v>
      </c>
      <c r="H531" s="417">
        <v>1</v>
      </c>
      <c r="I531" s="346" t="e">
        <v>#N/A</v>
      </c>
      <c r="J531" s="419" t="e">
        <v>#N/A</v>
      </c>
      <c r="K531" s="420"/>
      <c r="L531" s="395" t="s">
        <v>932</v>
      </c>
      <c r="N531" s="395" t="s">
        <v>932</v>
      </c>
      <c r="O531" s="395"/>
    </row>
    <row r="532" hidden="1" spans="1:15">
      <c r="A532" s="404">
        <v>0</v>
      </c>
      <c r="B532" s="404" t="e">
        <v>#N/A</v>
      </c>
      <c r="C532" s="404"/>
      <c r="D532" s="334"/>
      <c r="E532" s="416">
        <v>0</v>
      </c>
      <c r="F532" s="334"/>
      <c r="G532" s="346">
        <v>0</v>
      </c>
      <c r="H532" s="417">
        <v>1</v>
      </c>
      <c r="I532" s="346" t="e">
        <v>#N/A</v>
      </c>
      <c r="J532" s="419" t="e">
        <v>#N/A</v>
      </c>
      <c r="K532" s="420"/>
      <c r="L532" s="395" t="s">
        <v>932</v>
      </c>
      <c r="N532" s="395" t="s">
        <v>932</v>
      </c>
      <c r="O532" s="395"/>
    </row>
    <row r="533" hidden="1" spans="1:15">
      <c r="A533" s="404">
        <v>0</v>
      </c>
      <c r="B533" s="404" t="e">
        <v>#N/A</v>
      </c>
      <c r="C533" s="404"/>
      <c r="D533" s="334"/>
      <c r="E533" s="416">
        <v>0</v>
      </c>
      <c r="F533" s="334"/>
      <c r="G533" s="346">
        <v>0</v>
      </c>
      <c r="H533" s="417">
        <v>1</v>
      </c>
      <c r="I533" s="346" t="e">
        <v>#N/A</v>
      </c>
      <c r="J533" s="419" t="e">
        <v>#N/A</v>
      </c>
      <c r="K533" s="420"/>
      <c r="L533" s="395" t="s">
        <v>932</v>
      </c>
      <c r="N533" s="395" t="s">
        <v>932</v>
      </c>
      <c r="O533" s="395"/>
    </row>
    <row r="534" hidden="1" spans="1:15">
      <c r="A534" s="404">
        <v>0</v>
      </c>
      <c r="B534" s="404" t="e">
        <v>#N/A</v>
      </c>
      <c r="C534" s="404"/>
      <c r="D534" s="334"/>
      <c r="E534" s="416">
        <v>0</v>
      </c>
      <c r="F534" s="334"/>
      <c r="G534" s="346">
        <v>0</v>
      </c>
      <c r="H534" s="417">
        <v>1</v>
      </c>
      <c r="I534" s="346" t="e">
        <v>#N/A</v>
      </c>
      <c r="J534" s="419" t="e">
        <v>#N/A</v>
      </c>
      <c r="K534" s="420"/>
      <c r="L534" s="395" t="s">
        <v>932</v>
      </c>
      <c r="N534" s="395" t="s">
        <v>932</v>
      </c>
      <c r="O534" s="395"/>
    </row>
    <row r="535" hidden="1" spans="1:15">
      <c r="A535" s="404">
        <v>0</v>
      </c>
      <c r="B535" s="404" t="e">
        <v>#N/A</v>
      </c>
      <c r="C535" s="404"/>
      <c r="D535" s="334"/>
      <c r="E535" s="416">
        <v>0</v>
      </c>
      <c r="F535" s="334"/>
      <c r="G535" s="346">
        <v>0</v>
      </c>
      <c r="H535" s="417">
        <v>1</v>
      </c>
      <c r="I535" s="346" t="e">
        <v>#N/A</v>
      </c>
      <c r="J535" s="419" t="e">
        <v>#N/A</v>
      </c>
      <c r="K535" s="420"/>
      <c r="L535" s="395" t="s">
        <v>932</v>
      </c>
      <c r="N535" s="395" t="s">
        <v>932</v>
      </c>
      <c r="O535" s="395"/>
    </row>
    <row r="536" hidden="1" spans="1:15">
      <c r="A536" s="404">
        <v>0</v>
      </c>
      <c r="B536" s="436" t="e">
        <v>#N/A</v>
      </c>
      <c r="C536" s="436"/>
      <c r="D536" s="334"/>
      <c r="E536" s="416">
        <v>0</v>
      </c>
      <c r="F536" s="334"/>
      <c r="G536" s="346">
        <v>0</v>
      </c>
      <c r="H536" s="417">
        <v>1</v>
      </c>
      <c r="I536" s="346" t="e">
        <v>#N/A</v>
      </c>
      <c r="J536" s="419" t="e">
        <v>#N/A</v>
      </c>
      <c r="K536" s="420"/>
      <c r="L536" s="395" t="s">
        <v>932</v>
      </c>
      <c r="N536" s="395" t="s">
        <v>932</v>
      </c>
      <c r="O536" s="395"/>
    </row>
    <row r="537" hidden="1" spans="1:15">
      <c r="A537" s="421"/>
      <c r="B537" s="422"/>
      <c r="C537" s="422"/>
      <c r="D537" s="422"/>
      <c r="E537" s="423"/>
      <c r="F537" s="424"/>
      <c r="G537" s="422"/>
      <c r="H537" s="422"/>
      <c r="I537" s="422"/>
      <c r="J537" s="422"/>
      <c r="K537" s="425" t="s">
        <v>14185</v>
      </c>
      <c r="L537" s="426">
        <v>0</v>
      </c>
      <c r="N537" s="427">
        <v>0</v>
      </c>
      <c r="O537" s="395"/>
    </row>
    <row r="538" spans="1:15">
      <c r="A538" s="428" t="s">
        <v>14186</v>
      </c>
      <c r="B538" s="429"/>
      <c r="C538" s="429"/>
      <c r="D538" s="430"/>
      <c r="E538" s="431" t="s">
        <v>74</v>
      </c>
      <c r="F538" s="431" t="s">
        <v>1123</v>
      </c>
      <c r="G538" s="430"/>
      <c r="H538" s="422"/>
      <c r="I538" s="431" t="s">
        <v>14177</v>
      </c>
      <c r="J538" s="430"/>
      <c r="K538" s="430"/>
      <c r="L538" s="432" t="s">
        <v>14187</v>
      </c>
      <c r="N538" s="395"/>
      <c r="O538" s="395"/>
    </row>
    <row r="539" spans="1:15">
      <c r="A539" s="404" t="s">
        <v>935</v>
      </c>
      <c r="B539" s="433" t="s">
        <v>936</v>
      </c>
      <c r="C539" s="433"/>
      <c r="D539" s="334"/>
      <c r="E539" s="434">
        <v>1</v>
      </c>
      <c r="F539" s="333" t="s">
        <v>104</v>
      </c>
      <c r="G539" s="334"/>
      <c r="H539" s="334"/>
      <c r="I539" s="435">
        <v>23.6025</v>
      </c>
      <c r="J539" s="334"/>
      <c r="K539" s="334"/>
      <c r="L539" s="346">
        <v>23.6025</v>
      </c>
      <c r="N539" s="395">
        <v>23.6025</v>
      </c>
      <c r="O539" s="395"/>
    </row>
    <row r="540" hidden="1" spans="1:15">
      <c r="A540" s="404">
        <v>0</v>
      </c>
      <c r="B540" s="404" t="e">
        <v>#N/A</v>
      </c>
      <c r="C540" s="404"/>
      <c r="D540" s="334"/>
      <c r="E540" s="434">
        <v>0</v>
      </c>
      <c r="F540" s="333" t="s">
        <v>104</v>
      </c>
      <c r="G540" s="334"/>
      <c r="H540" s="334"/>
      <c r="I540" s="435" t="e">
        <v>#N/A</v>
      </c>
      <c r="J540" s="334"/>
      <c r="K540" s="334"/>
      <c r="L540" s="346" t="s">
        <v>932</v>
      </c>
      <c r="N540" s="395" t="s">
        <v>932</v>
      </c>
      <c r="O540" s="395"/>
    </row>
    <row r="541" hidden="1" spans="1:15">
      <c r="A541" s="404">
        <v>0</v>
      </c>
      <c r="B541" s="404" t="e">
        <v>#N/A</v>
      </c>
      <c r="C541" s="404"/>
      <c r="D541" s="334"/>
      <c r="E541" s="434">
        <v>0</v>
      </c>
      <c r="F541" s="333" t="s">
        <v>104</v>
      </c>
      <c r="G541" s="334"/>
      <c r="H541" s="334"/>
      <c r="I541" s="435" t="e">
        <v>#N/A</v>
      </c>
      <c r="J541" s="334"/>
      <c r="K541" s="334"/>
      <c r="L541" s="346" t="s">
        <v>932</v>
      </c>
      <c r="N541" s="395" t="s">
        <v>932</v>
      </c>
      <c r="O541" s="395"/>
    </row>
    <row r="542" hidden="1" spans="1:15">
      <c r="A542" s="404">
        <v>0</v>
      </c>
      <c r="B542" s="404" t="e">
        <v>#N/A</v>
      </c>
      <c r="C542" s="404"/>
      <c r="D542" s="334"/>
      <c r="E542" s="434">
        <v>0</v>
      </c>
      <c r="F542" s="333" t="s">
        <v>104</v>
      </c>
      <c r="G542" s="334"/>
      <c r="H542" s="334"/>
      <c r="I542" s="435" t="e">
        <v>#N/A</v>
      </c>
      <c r="J542" s="334"/>
      <c r="K542" s="334"/>
      <c r="L542" s="346" t="s">
        <v>932</v>
      </c>
      <c r="N542" s="395" t="s">
        <v>932</v>
      </c>
      <c r="O542" s="395"/>
    </row>
    <row r="543" hidden="1" spans="1:15">
      <c r="A543" s="404">
        <v>0</v>
      </c>
      <c r="B543" s="404" t="e">
        <v>#N/A</v>
      </c>
      <c r="C543" s="404"/>
      <c r="D543" s="334"/>
      <c r="E543" s="434">
        <v>0</v>
      </c>
      <c r="F543" s="333" t="s">
        <v>104</v>
      </c>
      <c r="G543" s="334"/>
      <c r="H543" s="334"/>
      <c r="I543" s="435" t="e">
        <v>#N/A</v>
      </c>
      <c r="J543" s="334"/>
      <c r="K543" s="334"/>
      <c r="L543" s="346" t="s">
        <v>932</v>
      </c>
      <c r="N543" s="395" t="s">
        <v>932</v>
      </c>
      <c r="O543" s="395"/>
    </row>
    <row r="544" hidden="1" spans="1:15">
      <c r="A544" s="404">
        <v>0</v>
      </c>
      <c r="B544" s="404" t="e">
        <v>#N/A</v>
      </c>
      <c r="C544" s="404"/>
      <c r="D544" s="334"/>
      <c r="E544" s="434">
        <v>0</v>
      </c>
      <c r="F544" s="333" t="s">
        <v>104</v>
      </c>
      <c r="G544" s="334"/>
      <c r="H544" s="334"/>
      <c r="I544" s="435" t="e">
        <v>#N/A</v>
      </c>
      <c r="J544" s="334"/>
      <c r="K544" s="334"/>
      <c r="L544" s="346" t="s">
        <v>932</v>
      </c>
      <c r="N544" s="395" t="s">
        <v>932</v>
      </c>
      <c r="O544" s="395"/>
    </row>
    <row r="545" hidden="1" spans="1:15">
      <c r="A545" s="404">
        <v>0</v>
      </c>
      <c r="B545" s="404" t="e">
        <v>#N/A</v>
      </c>
      <c r="C545" s="404"/>
      <c r="D545" s="334"/>
      <c r="E545" s="434">
        <v>0</v>
      </c>
      <c r="F545" s="333" t="s">
        <v>104</v>
      </c>
      <c r="G545" s="334"/>
      <c r="H545" s="334"/>
      <c r="I545" s="435" t="e">
        <v>#N/A</v>
      </c>
      <c r="J545" s="334"/>
      <c r="K545" s="334"/>
      <c r="L545" s="346" t="s">
        <v>932</v>
      </c>
      <c r="N545" s="395" t="s">
        <v>932</v>
      </c>
      <c r="O545" s="395"/>
    </row>
    <row r="546" hidden="1" spans="1:15">
      <c r="A546" s="404">
        <v>0</v>
      </c>
      <c r="B546" s="436" t="e">
        <v>#N/A</v>
      </c>
      <c r="C546" s="436"/>
      <c r="D546" s="334"/>
      <c r="E546" s="434">
        <v>0</v>
      </c>
      <c r="F546" s="333" t="s">
        <v>104</v>
      </c>
      <c r="G546" s="334"/>
      <c r="H546" s="334"/>
      <c r="I546" s="435" t="e">
        <v>#N/A</v>
      </c>
      <c r="J546" s="334"/>
      <c r="K546" s="334"/>
      <c r="L546" s="346" t="s">
        <v>932</v>
      </c>
      <c r="N546" s="395" t="s">
        <v>932</v>
      </c>
      <c r="O546" s="395"/>
    </row>
    <row r="547" spans="1:15">
      <c r="A547" s="421"/>
      <c r="B547" s="62"/>
      <c r="C547" s="62"/>
      <c r="D547" s="422"/>
      <c r="E547" s="423"/>
      <c r="F547" s="424"/>
      <c r="G547" s="422"/>
      <c r="H547" s="422"/>
      <c r="I547" s="422"/>
      <c r="J547" s="422"/>
      <c r="K547" s="425" t="s">
        <v>14188</v>
      </c>
      <c r="L547" s="426">
        <v>23.6025</v>
      </c>
      <c r="N547" s="427">
        <v>23.6025</v>
      </c>
      <c r="O547" s="395"/>
    </row>
    <row r="548" spans="1:15">
      <c r="I548" s="437"/>
      <c r="K548" s="383" t="s">
        <v>14189</v>
      </c>
      <c r="L548" s="427">
        <v>23.6025</v>
      </c>
      <c r="N548" s="395">
        <v>23.6025</v>
      </c>
      <c r="O548" s="395"/>
    </row>
    <row r="549" spans="1:15">
      <c r="K549" s="383" t="s">
        <v>14190</v>
      </c>
      <c r="L549" s="427">
        <v>47.205</v>
      </c>
      <c r="N549" s="395">
        <v>47.205</v>
      </c>
      <c r="O549" s="395">
        <v>2.06144235</v>
      </c>
    </row>
    <row r="550" spans="1:15">
      <c r="K550" s="383" t="s">
        <v>14191</v>
      </c>
      <c r="L550" s="427">
        <v>2.06144235</v>
      </c>
      <c r="N550" s="395"/>
      <c r="O550" s="395"/>
    </row>
    <row r="551" spans="1:15">
      <c r="K551" s="383" t="s">
        <v>14192</v>
      </c>
      <c r="L551" s="395">
        <v>0</v>
      </c>
      <c r="N551" s="395"/>
      <c r="O551" s="395"/>
    </row>
    <row r="552" hidden="1" spans="1:15">
      <c r="A552" s="428" t="s">
        <v>14193</v>
      </c>
      <c r="B552" s="430"/>
      <c r="C552" s="430"/>
      <c r="D552" s="430"/>
      <c r="E552" s="431" t="s">
        <v>74</v>
      </c>
      <c r="F552" s="431" t="s">
        <v>1123</v>
      </c>
      <c r="G552" s="430"/>
      <c r="H552" s="430"/>
      <c r="I552" s="425" t="s">
        <v>75</v>
      </c>
      <c r="J552" s="430"/>
      <c r="K552" s="430"/>
      <c r="L552" s="426" t="s">
        <v>14194</v>
      </c>
      <c r="N552" s="395"/>
      <c r="O552" s="395"/>
    </row>
    <row r="553" hidden="1" spans="1:15">
      <c r="A553" s="404">
        <v>0</v>
      </c>
      <c r="B553" s="433" t="e">
        <v>#N/A</v>
      </c>
      <c r="C553" s="433"/>
      <c r="D553" s="334"/>
      <c r="E553" s="434">
        <v>0</v>
      </c>
      <c r="F553" s="333" t="e">
        <v>#N/A</v>
      </c>
      <c r="G553" s="334"/>
      <c r="I553" s="395" t="e">
        <v>#N/A</v>
      </c>
      <c r="J553" s="395"/>
      <c r="K553" s="395"/>
      <c r="L553" s="346" t="s">
        <v>932</v>
      </c>
      <c r="N553" s="395"/>
      <c r="O553" s="395"/>
    </row>
    <row r="554" hidden="1" spans="1:15">
      <c r="A554" s="404">
        <v>0</v>
      </c>
      <c r="B554" s="404" t="e">
        <v>#N/A</v>
      </c>
      <c r="C554" s="404"/>
      <c r="D554" s="334"/>
      <c r="E554" s="434">
        <v>0</v>
      </c>
      <c r="F554" s="333" t="e">
        <v>#N/A</v>
      </c>
      <c r="G554" s="334"/>
      <c r="I554" s="395" t="e">
        <v>#N/A</v>
      </c>
      <c r="J554" s="395"/>
      <c r="K554" s="395"/>
      <c r="L554" s="346" t="s">
        <v>932</v>
      </c>
      <c r="N554" s="395"/>
      <c r="O554" s="395"/>
    </row>
    <row r="555" hidden="1" spans="1:15">
      <c r="A555" s="404">
        <v>0</v>
      </c>
      <c r="B555" s="404" t="e">
        <v>#N/A</v>
      </c>
      <c r="C555" s="404"/>
      <c r="D555" s="334"/>
      <c r="E555" s="434">
        <v>0</v>
      </c>
      <c r="F555" s="333" t="e">
        <v>#N/A</v>
      </c>
      <c r="G555" s="334"/>
      <c r="I555" s="395" t="e">
        <v>#N/A</v>
      </c>
      <c r="J555" s="395"/>
      <c r="K555" s="395"/>
      <c r="L555" s="346" t="s">
        <v>932</v>
      </c>
      <c r="N555" s="395"/>
      <c r="O555" s="395"/>
    </row>
    <row r="556" hidden="1" spans="1:15">
      <c r="A556" s="404">
        <v>0</v>
      </c>
      <c r="B556" s="404" t="e">
        <v>#N/A</v>
      </c>
      <c r="C556" s="404"/>
      <c r="D556" s="334"/>
      <c r="E556" s="434">
        <v>0</v>
      </c>
      <c r="F556" s="333" t="e">
        <v>#N/A</v>
      </c>
      <c r="G556" s="334"/>
      <c r="I556" s="395" t="e">
        <v>#N/A</v>
      </c>
      <c r="J556" s="395"/>
      <c r="K556" s="395"/>
      <c r="L556" s="346" t="s">
        <v>932</v>
      </c>
      <c r="N556" s="395"/>
      <c r="O556" s="395"/>
    </row>
    <row r="557" hidden="1" spans="1:15">
      <c r="A557" s="404">
        <v>0</v>
      </c>
      <c r="B557" s="404" t="e">
        <v>#N/A</v>
      </c>
      <c r="C557" s="404"/>
      <c r="D557" s="334"/>
      <c r="E557" s="434">
        <v>0</v>
      </c>
      <c r="F557" s="333" t="e">
        <v>#N/A</v>
      </c>
      <c r="G557" s="334"/>
      <c r="H557" s="334"/>
      <c r="I557" s="395" t="e">
        <v>#N/A</v>
      </c>
      <c r="J557" s="395"/>
      <c r="K557" s="395"/>
      <c r="L557" s="346" t="s">
        <v>932</v>
      </c>
      <c r="N557" s="395"/>
      <c r="O557" s="395"/>
    </row>
    <row r="558" hidden="1" spans="1:15">
      <c r="A558" s="404">
        <v>0</v>
      </c>
      <c r="B558" s="404" t="e">
        <v>#N/A</v>
      </c>
      <c r="C558" s="404"/>
      <c r="D558" s="334"/>
      <c r="E558" s="434">
        <v>0</v>
      </c>
      <c r="F558" s="333" t="e">
        <v>#N/A</v>
      </c>
      <c r="G558" s="334"/>
      <c r="H558" s="334"/>
      <c r="I558" s="395" t="e">
        <v>#N/A</v>
      </c>
      <c r="J558" s="395"/>
      <c r="K558" s="395"/>
      <c r="L558" s="346" t="s">
        <v>932</v>
      </c>
      <c r="N558" s="395"/>
      <c r="O558" s="395"/>
    </row>
    <row r="559" hidden="1" spans="1:15">
      <c r="A559" s="404">
        <v>0</v>
      </c>
      <c r="B559" s="404" t="e">
        <v>#N/A</v>
      </c>
      <c r="C559" s="404"/>
      <c r="D559" s="334"/>
      <c r="E559" s="434">
        <v>0</v>
      </c>
      <c r="F559" s="333" t="e">
        <v>#N/A</v>
      </c>
      <c r="G559" s="334"/>
      <c r="H559" s="334"/>
      <c r="I559" s="395" t="e">
        <v>#N/A</v>
      </c>
      <c r="J559" s="395"/>
      <c r="K559" s="395"/>
      <c r="L559" s="346" t="s">
        <v>932</v>
      </c>
      <c r="N559" s="395"/>
      <c r="O559" s="395"/>
    </row>
    <row r="560" hidden="1" spans="1:15">
      <c r="A560" s="404">
        <v>0</v>
      </c>
      <c r="B560" s="436" t="e">
        <v>#N/A</v>
      </c>
      <c r="C560" s="436"/>
      <c r="D560" s="438"/>
      <c r="E560" s="434">
        <v>0</v>
      </c>
      <c r="F560" s="333" t="e">
        <v>#N/A</v>
      </c>
      <c r="G560" s="334"/>
      <c r="H560" s="334"/>
      <c r="I560" s="395" t="e">
        <v>#N/A</v>
      </c>
      <c r="J560" s="395"/>
      <c r="K560" s="395"/>
      <c r="L560" s="346" t="s">
        <v>932</v>
      </c>
      <c r="N560" s="395"/>
      <c r="O560" s="395"/>
    </row>
    <row r="561" hidden="1" spans="1:15">
      <c r="A561" s="421"/>
      <c r="B561" s="422"/>
      <c r="C561" s="422"/>
      <c r="D561" s="422"/>
      <c r="E561" s="423"/>
      <c r="F561" s="424"/>
      <c r="G561" s="422"/>
      <c r="H561" s="422"/>
      <c r="I561" s="430"/>
      <c r="J561" s="430"/>
      <c r="K561" s="425" t="s">
        <v>14203</v>
      </c>
      <c r="L561" s="426">
        <v>0</v>
      </c>
      <c r="N561" s="395"/>
      <c r="O561" s="395"/>
    </row>
    <row r="562" hidden="1" spans="1:15">
      <c r="A562" s="428" t="s">
        <v>14204</v>
      </c>
      <c r="B562" s="430"/>
      <c r="C562" s="430"/>
      <c r="D562" s="430"/>
      <c r="E562" s="431" t="s">
        <v>74</v>
      </c>
      <c r="F562" s="431" t="s">
        <v>1123</v>
      </c>
      <c r="G562" s="430"/>
      <c r="H562" s="430"/>
      <c r="I562" s="425" t="s">
        <v>75</v>
      </c>
      <c r="J562" s="430"/>
      <c r="K562" s="430"/>
      <c r="L562" s="426" t="s">
        <v>14194</v>
      </c>
      <c r="N562" s="395"/>
      <c r="O562" s="395"/>
    </row>
    <row r="563" hidden="1" spans="1:15">
      <c r="A563" s="404">
        <v>0</v>
      </c>
      <c r="B563" s="334" t="e">
        <v>#N/A</v>
      </c>
      <c r="C563" s="334"/>
      <c r="D563" s="334"/>
      <c r="E563" s="434">
        <v>0</v>
      </c>
      <c r="F563" s="333" t="e">
        <v>#N/A</v>
      </c>
      <c r="G563" s="439"/>
      <c r="I563" s="346" t="e">
        <v>#N/A</v>
      </c>
      <c r="L563" s="346" t="s">
        <v>932</v>
      </c>
      <c r="N563" s="395"/>
      <c r="O563" s="395"/>
    </row>
    <row r="564" hidden="1" spans="1:15">
      <c r="A564" s="401">
        <v>0</v>
      </c>
      <c r="B564" s="334" t="e">
        <v>#N/A</v>
      </c>
      <c r="E564" s="440">
        <v>0</v>
      </c>
      <c r="F564" s="333" t="e">
        <v>#N/A</v>
      </c>
      <c r="G564" s="439"/>
      <c r="I564" s="346" t="e">
        <v>#N/A</v>
      </c>
      <c r="L564" s="346" t="s">
        <v>932</v>
      </c>
      <c r="N564" s="395"/>
      <c r="O564" s="395"/>
    </row>
    <row r="565" hidden="1" spans="1:15">
      <c r="A565" s="401">
        <v>0</v>
      </c>
      <c r="B565" s="334" t="e">
        <v>#N/A</v>
      </c>
      <c r="E565" s="440">
        <v>0</v>
      </c>
      <c r="F565" s="333" t="e">
        <v>#N/A</v>
      </c>
      <c r="G565" s="439"/>
      <c r="I565" s="346" t="e">
        <v>#N/A</v>
      </c>
      <c r="L565" s="346" t="s">
        <v>932</v>
      </c>
      <c r="N565" s="395"/>
      <c r="O565" s="395"/>
    </row>
    <row r="566" hidden="1" spans="1:15">
      <c r="A566" s="401">
        <v>0</v>
      </c>
      <c r="B566" s="334" t="e">
        <v>#N/A</v>
      </c>
      <c r="E566" s="440">
        <v>0</v>
      </c>
      <c r="F566" s="333" t="e">
        <v>#N/A</v>
      </c>
      <c r="G566" s="439"/>
      <c r="I566" s="346" t="e">
        <v>#N/A</v>
      </c>
      <c r="L566" s="346" t="s">
        <v>932</v>
      </c>
      <c r="N566" s="395"/>
      <c r="O566" s="395"/>
    </row>
    <row r="567" hidden="1" spans="1:15">
      <c r="A567" s="401">
        <v>0</v>
      </c>
      <c r="B567" s="334" t="e">
        <v>#N/A</v>
      </c>
      <c r="E567" s="440">
        <v>0</v>
      </c>
      <c r="F567" s="333" t="e">
        <v>#N/A</v>
      </c>
      <c r="G567" s="439"/>
      <c r="I567" s="346" t="e">
        <v>#N/A</v>
      </c>
      <c r="L567" s="346" t="s">
        <v>932</v>
      </c>
      <c r="N567" s="395"/>
      <c r="O567" s="395"/>
    </row>
    <row r="568" hidden="1" spans="1:15">
      <c r="A568" s="401">
        <v>0</v>
      </c>
      <c r="B568" s="334" t="e">
        <v>#N/A</v>
      </c>
      <c r="E568" s="440">
        <v>0</v>
      </c>
      <c r="F568" s="333" t="e">
        <v>#N/A</v>
      </c>
      <c r="G568" s="439"/>
      <c r="I568" s="346" t="e">
        <v>#N/A</v>
      </c>
      <c r="L568" s="346" t="s">
        <v>932</v>
      </c>
      <c r="N568" s="395"/>
      <c r="O568" s="395"/>
    </row>
    <row r="569" hidden="1" spans="1:15">
      <c r="A569" s="421"/>
      <c r="B569" s="422"/>
      <c r="C569" s="422"/>
      <c r="D569" s="422"/>
      <c r="E569" s="422"/>
      <c r="F569" s="422"/>
      <c r="G569" s="422"/>
      <c r="H569" s="422"/>
      <c r="I569" s="430"/>
      <c r="J569" s="430"/>
      <c r="K569" s="425" t="s">
        <v>14206</v>
      </c>
      <c r="L569" s="426">
        <v>0</v>
      </c>
      <c r="N569" s="395"/>
      <c r="O569" s="395"/>
    </row>
    <row r="570" spans="1:15">
      <c r="A570" s="421"/>
      <c r="B570" s="422"/>
      <c r="C570" s="422"/>
      <c r="D570" s="422"/>
      <c r="E570" s="422"/>
      <c r="F570" s="422"/>
      <c r="G570" s="422"/>
      <c r="H570" s="422"/>
      <c r="I570" s="430"/>
      <c r="J570" s="430"/>
      <c r="K570" s="425" t="s">
        <v>14207</v>
      </c>
      <c r="L570" s="426">
        <v>49.26644235</v>
      </c>
      <c r="N570" s="395"/>
      <c r="O570" s="395"/>
    </row>
    <row r="571" hidden="1" spans="1:15">
      <c r="A571" s="428" t="s">
        <v>14208</v>
      </c>
      <c r="B571" s="430"/>
      <c r="C571" s="430"/>
      <c r="D571" s="431" t="s">
        <v>55</v>
      </c>
      <c r="E571" s="431" t="s">
        <v>74</v>
      </c>
      <c r="F571" s="431" t="s">
        <v>1123</v>
      </c>
      <c r="G571" s="430"/>
      <c r="H571" s="430"/>
      <c r="I571" s="425" t="s">
        <v>75</v>
      </c>
      <c r="J571" s="430"/>
      <c r="K571" s="430"/>
      <c r="L571" s="426" t="s">
        <v>14194</v>
      </c>
      <c r="N571" s="395"/>
      <c r="O571" s="395"/>
    </row>
    <row r="572" hidden="1" spans="1:15">
      <c r="A572" s="404">
        <v>0</v>
      </c>
      <c r="B572" s="441" t="e">
        <v>#N/A</v>
      </c>
      <c r="C572" s="441"/>
      <c r="D572" s="442">
        <v>0</v>
      </c>
      <c r="E572" s="434">
        <v>0</v>
      </c>
      <c r="F572" s="333" t="s">
        <v>9885</v>
      </c>
      <c r="G572" s="443" t="s">
        <v>14209</v>
      </c>
      <c r="H572" s="334"/>
      <c r="I572" s="346">
        <v>0</v>
      </c>
      <c r="J572" s="334"/>
      <c r="K572" s="346"/>
      <c r="L572" s="346" t="s">
        <v>932</v>
      </c>
      <c r="N572" s="395"/>
      <c r="O572" s="395"/>
    </row>
    <row r="573" hidden="1" spans="1:15">
      <c r="A573" s="404">
        <v>0</v>
      </c>
      <c r="B573" s="334" t="e">
        <v>#N/A</v>
      </c>
      <c r="C573" s="334"/>
      <c r="D573" s="442">
        <v>0</v>
      </c>
      <c r="E573" s="434">
        <v>0</v>
      </c>
      <c r="F573" s="333" t="s">
        <v>9885</v>
      </c>
      <c r="G573" s="334"/>
      <c r="H573" s="334"/>
      <c r="I573" s="346">
        <v>0</v>
      </c>
      <c r="J573" s="334"/>
      <c r="K573" s="346"/>
      <c r="L573" s="346" t="s">
        <v>932</v>
      </c>
      <c r="N573" s="395"/>
      <c r="O573" s="395"/>
    </row>
    <row r="574" hidden="1" spans="1:15">
      <c r="A574" s="404">
        <v>0</v>
      </c>
      <c r="B574" s="334" t="e">
        <v>#N/A</v>
      </c>
      <c r="C574" s="334"/>
      <c r="D574" s="442">
        <v>0</v>
      </c>
      <c r="E574" s="434">
        <v>0</v>
      </c>
      <c r="F574" s="333" t="s">
        <v>9885</v>
      </c>
      <c r="G574" s="334"/>
      <c r="H574" s="334"/>
      <c r="I574" s="346">
        <v>0</v>
      </c>
      <c r="J574" s="334"/>
      <c r="K574" s="346"/>
      <c r="L574" s="346" t="s">
        <v>932</v>
      </c>
      <c r="N574" s="395"/>
      <c r="O574" s="395"/>
    </row>
    <row r="575" hidden="1" spans="1:15">
      <c r="A575" s="404">
        <v>0</v>
      </c>
      <c r="B575" s="334" t="e">
        <v>#N/A</v>
      </c>
      <c r="C575" s="334"/>
      <c r="D575" s="442">
        <v>0</v>
      </c>
      <c r="E575" s="434">
        <v>0</v>
      </c>
      <c r="F575" s="333" t="s">
        <v>9885</v>
      </c>
      <c r="G575" s="334"/>
      <c r="H575" s="334"/>
      <c r="I575" s="346">
        <v>0</v>
      </c>
      <c r="J575" s="334"/>
      <c r="K575" s="346"/>
      <c r="L575" s="346" t="s">
        <v>932</v>
      </c>
      <c r="N575" s="395"/>
      <c r="O575" s="395"/>
    </row>
    <row r="576" hidden="1" spans="1:15">
      <c r="A576" s="404">
        <v>0</v>
      </c>
      <c r="B576" s="334" t="e">
        <v>#N/A</v>
      </c>
      <c r="C576" s="334"/>
      <c r="D576" s="442">
        <v>0</v>
      </c>
      <c r="E576" s="434">
        <v>0</v>
      </c>
      <c r="F576" s="333" t="s">
        <v>9885</v>
      </c>
      <c r="G576" s="334"/>
      <c r="H576" s="334"/>
      <c r="I576" s="346">
        <v>0</v>
      </c>
      <c r="J576" s="334"/>
      <c r="K576" s="346"/>
      <c r="L576" s="346" t="s">
        <v>932</v>
      </c>
      <c r="N576" s="395"/>
      <c r="O576" s="395"/>
    </row>
    <row r="577" hidden="1" spans="1:15">
      <c r="A577" s="404">
        <v>0</v>
      </c>
      <c r="B577" s="334" t="e">
        <v>#N/A</v>
      </c>
      <c r="C577" s="334"/>
      <c r="D577" s="442">
        <v>0</v>
      </c>
      <c r="E577" s="434">
        <v>0</v>
      </c>
      <c r="F577" s="333" t="s">
        <v>9885</v>
      </c>
      <c r="G577" s="334"/>
      <c r="H577" s="334"/>
      <c r="I577" s="346">
        <v>0</v>
      </c>
      <c r="J577" s="334"/>
      <c r="K577" s="346"/>
      <c r="L577" s="346" t="s">
        <v>932</v>
      </c>
      <c r="N577" s="395"/>
      <c r="O577" s="395"/>
    </row>
    <row r="578" hidden="1" spans="1:15">
      <c r="A578" s="404">
        <v>0</v>
      </c>
      <c r="B578" s="334" t="e">
        <v>#N/A</v>
      </c>
      <c r="C578" s="334"/>
      <c r="D578" s="442">
        <v>0</v>
      </c>
      <c r="E578" s="434">
        <v>0</v>
      </c>
      <c r="F578" s="333" t="s">
        <v>9885</v>
      </c>
      <c r="G578" s="334"/>
      <c r="H578" s="334"/>
      <c r="I578" s="346">
        <v>0</v>
      </c>
      <c r="J578" s="334"/>
      <c r="K578" s="346"/>
      <c r="L578" s="346" t="s">
        <v>932</v>
      </c>
      <c r="N578" s="395"/>
      <c r="O578" s="395"/>
    </row>
    <row r="579" hidden="1" spans="1:15">
      <c r="A579" s="404">
        <v>0</v>
      </c>
      <c r="B579" s="444" t="e">
        <v>#N/A</v>
      </c>
      <c r="C579" s="444"/>
      <c r="D579" s="442">
        <v>0</v>
      </c>
      <c r="E579" s="434">
        <v>0</v>
      </c>
      <c r="F579" s="333" t="s">
        <v>9885</v>
      </c>
      <c r="G579" s="334"/>
      <c r="H579" s="334"/>
      <c r="I579" s="346">
        <v>0</v>
      </c>
      <c r="J579" s="334"/>
      <c r="K579" s="346"/>
      <c r="L579" s="346" t="s">
        <v>932</v>
      </c>
      <c r="N579" s="395"/>
      <c r="O579" s="395"/>
    </row>
    <row r="580" hidden="1" spans="1:15">
      <c r="A580" s="428"/>
      <c r="B580" s="445"/>
      <c r="C580" s="445"/>
      <c r="D580" s="430"/>
      <c r="E580" s="430"/>
      <c r="F580" s="430"/>
      <c r="G580" s="430"/>
      <c r="H580" s="430"/>
      <c r="I580" s="430"/>
      <c r="J580" s="430"/>
      <c r="K580" s="425" t="s">
        <v>14210</v>
      </c>
      <c r="L580" s="426">
        <v>0</v>
      </c>
      <c r="N580" s="395"/>
      <c r="O580" s="395"/>
    </row>
    <row r="581" hidden="1" spans="1:15">
      <c r="A581" s="446" t="s">
        <v>14211</v>
      </c>
      <c r="B581" s="445"/>
      <c r="C581" s="445"/>
      <c r="D581" s="447" t="s">
        <v>55</v>
      </c>
      <c r="E581" s="445" t="s">
        <v>74</v>
      </c>
      <c r="F581" s="447" t="s">
        <v>1123</v>
      </c>
      <c r="G581" s="445"/>
      <c r="H581" s="447" t="s">
        <v>72</v>
      </c>
      <c r="I581" s="447" t="s">
        <v>75</v>
      </c>
      <c r="J581" s="445"/>
      <c r="K581" s="448"/>
      <c r="L581" s="449" t="s">
        <v>14194</v>
      </c>
      <c r="N581" s="395"/>
      <c r="O581" s="395"/>
    </row>
    <row r="582" hidden="1" spans="1:15">
      <c r="A582" s="404">
        <v>0</v>
      </c>
      <c r="B582" s="433" t="e">
        <v>#N/A</v>
      </c>
      <c r="C582" s="433"/>
      <c r="D582" s="442">
        <v>0</v>
      </c>
      <c r="E582" s="450">
        <v>0</v>
      </c>
      <c r="F582" s="333" t="s">
        <v>13063</v>
      </c>
      <c r="G582" s="333" t="s">
        <v>14212</v>
      </c>
      <c r="H582" s="346">
        <v>0</v>
      </c>
      <c r="I582" s="346">
        <v>0</v>
      </c>
      <c r="J582" s="346"/>
      <c r="K582" s="334"/>
      <c r="L582" s="346" t="s">
        <v>932</v>
      </c>
      <c r="N582" s="395"/>
      <c r="O582" s="395"/>
    </row>
    <row r="583" hidden="1" spans="1:15">
      <c r="A583" s="404"/>
      <c r="B583" s="404"/>
      <c r="C583" s="334"/>
      <c r="D583" s="442">
        <v>0</v>
      </c>
      <c r="E583" s="450">
        <v>0</v>
      </c>
      <c r="F583" s="333" t="s">
        <v>13063</v>
      </c>
      <c r="G583" s="333" t="s">
        <v>14213</v>
      </c>
      <c r="H583" s="346">
        <v>0</v>
      </c>
      <c r="I583" s="346">
        <v>0</v>
      </c>
      <c r="J583" s="346"/>
      <c r="K583" s="334"/>
      <c r="L583" s="346" t="s">
        <v>932</v>
      </c>
      <c r="N583" s="395"/>
      <c r="O583" s="395"/>
    </row>
    <row r="584" hidden="1" spans="1:15">
      <c r="A584" s="404"/>
      <c r="B584" s="404"/>
      <c r="C584" s="334"/>
      <c r="D584" s="442">
        <v>0</v>
      </c>
      <c r="E584" s="450">
        <v>0</v>
      </c>
      <c r="F584" s="333" t="s">
        <v>13063</v>
      </c>
      <c r="G584" s="333" t="s">
        <v>14214</v>
      </c>
      <c r="H584" s="346">
        <v>0</v>
      </c>
      <c r="I584" s="346">
        <v>0</v>
      </c>
      <c r="J584" s="346"/>
      <c r="K584" s="334"/>
      <c r="L584" s="346" t="s">
        <v>932</v>
      </c>
      <c r="N584" s="395"/>
      <c r="O584" s="395"/>
    </row>
    <row r="585" hidden="1" spans="1:15">
      <c r="A585" s="404">
        <v>0</v>
      </c>
      <c r="B585" s="404" t="e">
        <v>#N/A</v>
      </c>
      <c r="C585" s="404"/>
      <c r="D585" s="442">
        <v>0</v>
      </c>
      <c r="E585" s="450">
        <v>0</v>
      </c>
      <c r="F585" s="333" t="s">
        <v>13063</v>
      </c>
      <c r="G585" s="333" t="s">
        <v>14212</v>
      </c>
      <c r="H585" s="346">
        <v>0</v>
      </c>
      <c r="I585" s="346">
        <v>0</v>
      </c>
      <c r="J585" s="346"/>
      <c r="K585" s="334"/>
      <c r="L585" s="346" t="s">
        <v>932</v>
      </c>
      <c r="N585" s="395"/>
      <c r="O585" s="395"/>
    </row>
    <row r="586" hidden="1" spans="1:15">
      <c r="A586" s="404"/>
      <c r="B586" s="404"/>
      <c r="C586" s="334"/>
      <c r="D586" s="442">
        <v>0</v>
      </c>
      <c r="E586" s="450">
        <v>0</v>
      </c>
      <c r="F586" s="333" t="s">
        <v>13063</v>
      </c>
      <c r="G586" s="333" t="s">
        <v>14213</v>
      </c>
      <c r="H586" s="346">
        <v>0</v>
      </c>
      <c r="I586" s="346">
        <v>0</v>
      </c>
      <c r="J586" s="346"/>
      <c r="K586" s="334"/>
      <c r="L586" s="346" t="s">
        <v>932</v>
      </c>
      <c r="N586" s="395"/>
      <c r="O586" s="395"/>
    </row>
    <row r="587" hidden="1" spans="1:15">
      <c r="A587" s="404"/>
      <c r="B587" s="404"/>
      <c r="C587" s="334"/>
      <c r="D587" s="442">
        <v>0</v>
      </c>
      <c r="E587" s="450">
        <v>0</v>
      </c>
      <c r="F587" s="333" t="s">
        <v>13063</v>
      </c>
      <c r="G587" s="333" t="s">
        <v>14214</v>
      </c>
      <c r="H587" s="346">
        <v>0</v>
      </c>
      <c r="I587" s="346">
        <v>0</v>
      </c>
      <c r="J587" s="346"/>
      <c r="K587" s="334"/>
      <c r="L587" s="346" t="s">
        <v>932</v>
      </c>
      <c r="N587" s="395"/>
      <c r="O587" s="395"/>
    </row>
    <row r="588" hidden="1" spans="1:15">
      <c r="A588" s="404">
        <v>0</v>
      </c>
      <c r="B588" s="404" t="e">
        <v>#N/A</v>
      </c>
      <c r="C588" s="404"/>
      <c r="D588" s="442">
        <v>0</v>
      </c>
      <c r="E588" s="450">
        <v>0</v>
      </c>
      <c r="F588" s="333" t="s">
        <v>13063</v>
      </c>
      <c r="G588" s="333" t="s">
        <v>14212</v>
      </c>
      <c r="H588" s="346">
        <v>0</v>
      </c>
      <c r="I588" s="346">
        <v>0</v>
      </c>
      <c r="J588" s="346"/>
      <c r="K588" s="334"/>
      <c r="L588" s="346" t="s">
        <v>932</v>
      </c>
      <c r="N588" s="395"/>
      <c r="O588" s="395"/>
    </row>
    <row r="589" hidden="1" spans="1:15">
      <c r="A589" s="404"/>
      <c r="B589" s="404"/>
      <c r="C589" s="334"/>
      <c r="D589" s="442">
        <v>0</v>
      </c>
      <c r="E589" s="450">
        <v>0</v>
      </c>
      <c r="F589" s="333" t="s">
        <v>13063</v>
      </c>
      <c r="G589" s="333" t="s">
        <v>14213</v>
      </c>
      <c r="H589" s="346">
        <v>0</v>
      </c>
      <c r="I589" s="346">
        <v>0</v>
      </c>
      <c r="J589" s="346"/>
      <c r="K589" s="334"/>
      <c r="L589" s="346" t="s">
        <v>932</v>
      </c>
      <c r="N589" s="395"/>
      <c r="O589" s="395"/>
    </row>
    <row r="590" hidden="1" spans="1:15">
      <c r="A590" s="404"/>
      <c r="B590" s="404"/>
      <c r="C590" s="334"/>
      <c r="D590" s="442">
        <v>0</v>
      </c>
      <c r="E590" s="450">
        <v>0</v>
      </c>
      <c r="F590" s="333" t="s">
        <v>13063</v>
      </c>
      <c r="G590" s="333" t="s">
        <v>14214</v>
      </c>
      <c r="H590" s="346">
        <v>0</v>
      </c>
      <c r="I590" s="346">
        <v>0</v>
      </c>
      <c r="J590" s="346"/>
      <c r="K590" s="334"/>
      <c r="L590" s="346" t="s">
        <v>932</v>
      </c>
      <c r="N590" s="395"/>
      <c r="O590" s="395"/>
    </row>
    <row r="591" hidden="1" spans="1:15">
      <c r="A591" s="404">
        <v>0</v>
      </c>
      <c r="B591" s="404" t="e">
        <v>#N/A</v>
      </c>
      <c r="C591" s="404"/>
      <c r="D591" s="442">
        <v>0</v>
      </c>
      <c r="E591" s="450">
        <v>0</v>
      </c>
      <c r="F591" s="333" t="s">
        <v>13063</v>
      </c>
      <c r="G591" s="333" t="s">
        <v>14212</v>
      </c>
      <c r="H591" s="346">
        <v>0</v>
      </c>
      <c r="I591" s="346">
        <v>0</v>
      </c>
      <c r="J591" s="346"/>
      <c r="K591" s="334"/>
      <c r="L591" s="346" t="s">
        <v>932</v>
      </c>
      <c r="N591" s="395"/>
      <c r="O591" s="395"/>
    </row>
    <row r="592" hidden="1" spans="1:15">
      <c r="A592" s="404"/>
      <c r="B592" s="404"/>
      <c r="C592" s="334"/>
      <c r="D592" s="442">
        <v>0</v>
      </c>
      <c r="E592" s="450">
        <v>0</v>
      </c>
      <c r="F592" s="333" t="s">
        <v>13063</v>
      </c>
      <c r="G592" s="333" t="s">
        <v>14213</v>
      </c>
      <c r="H592" s="346">
        <v>0</v>
      </c>
      <c r="I592" s="346">
        <v>0</v>
      </c>
      <c r="J592" s="346"/>
      <c r="K592" s="334"/>
      <c r="L592" s="346" t="s">
        <v>932</v>
      </c>
      <c r="N592" s="395"/>
      <c r="O592" s="395"/>
    </row>
    <row r="593" hidden="1" spans="1:15">
      <c r="A593" s="404"/>
      <c r="B593" s="404"/>
      <c r="C593" s="334"/>
      <c r="D593" s="442">
        <v>0</v>
      </c>
      <c r="E593" s="450">
        <v>0</v>
      </c>
      <c r="F593" s="333" t="s">
        <v>13063</v>
      </c>
      <c r="G593" s="333" t="s">
        <v>14214</v>
      </c>
      <c r="H593" s="346">
        <v>0</v>
      </c>
      <c r="I593" s="346">
        <v>0</v>
      </c>
      <c r="J593" s="346"/>
      <c r="K593" s="334"/>
      <c r="L593" s="346" t="s">
        <v>932</v>
      </c>
      <c r="N593" s="395"/>
      <c r="O593" s="395"/>
    </row>
    <row r="594" hidden="1" spans="1:15">
      <c r="A594" s="404">
        <v>0</v>
      </c>
      <c r="B594" s="404" t="e">
        <v>#N/A</v>
      </c>
      <c r="C594" s="404"/>
      <c r="D594" s="442">
        <v>0</v>
      </c>
      <c r="E594" s="450">
        <v>0</v>
      </c>
      <c r="F594" s="333" t="s">
        <v>13063</v>
      </c>
      <c r="G594" s="333" t="s">
        <v>14212</v>
      </c>
      <c r="H594" s="346">
        <v>0</v>
      </c>
      <c r="I594" s="346">
        <v>0</v>
      </c>
      <c r="J594" s="346"/>
      <c r="K594" s="334"/>
      <c r="L594" s="346" t="s">
        <v>932</v>
      </c>
      <c r="N594" s="395"/>
      <c r="O594" s="395"/>
    </row>
    <row r="595" hidden="1" spans="1:15">
      <c r="A595" s="404"/>
      <c r="B595" s="404"/>
      <c r="C595" s="334"/>
      <c r="D595" s="442">
        <v>0</v>
      </c>
      <c r="E595" s="450">
        <v>0</v>
      </c>
      <c r="F595" s="333" t="s">
        <v>13063</v>
      </c>
      <c r="G595" s="333" t="s">
        <v>14213</v>
      </c>
      <c r="H595" s="346">
        <v>0</v>
      </c>
      <c r="I595" s="346">
        <v>0</v>
      </c>
      <c r="J595" s="346"/>
      <c r="K595" s="334"/>
      <c r="L595" s="346" t="s">
        <v>932</v>
      </c>
      <c r="N595" s="395"/>
      <c r="O595" s="395"/>
    </row>
    <row r="596" hidden="1" spans="1:15">
      <c r="A596" s="404"/>
      <c r="B596" s="404"/>
      <c r="C596" s="334"/>
      <c r="D596" s="442">
        <v>0</v>
      </c>
      <c r="E596" s="450">
        <v>0</v>
      </c>
      <c r="F596" s="333" t="s">
        <v>13063</v>
      </c>
      <c r="G596" s="333" t="s">
        <v>14214</v>
      </c>
      <c r="H596" s="346">
        <v>0</v>
      </c>
      <c r="I596" s="346">
        <v>0</v>
      </c>
      <c r="J596" s="346"/>
      <c r="K596" s="334"/>
      <c r="L596" s="346" t="s">
        <v>932</v>
      </c>
      <c r="N596" s="395"/>
      <c r="O596" s="395"/>
    </row>
    <row r="597" hidden="1" spans="1:15">
      <c r="A597" s="401">
        <v>0</v>
      </c>
      <c r="B597" s="401" t="e">
        <v>#N/A</v>
      </c>
      <c r="C597" s="401"/>
      <c r="D597" s="442">
        <v>0</v>
      </c>
      <c r="E597" s="450">
        <v>0</v>
      </c>
      <c r="F597" s="439" t="s">
        <v>13063</v>
      </c>
      <c r="G597" s="439" t="s">
        <v>14212</v>
      </c>
      <c r="H597" s="346">
        <v>0</v>
      </c>
      <c r="I597" s="346">
        <v>0</v>
      </c>
      <c r="J597" s="395"/>
      <c r="L597" s="346" t="s">
        <v>932</v>
      </c>
      <c r="N597" s="395"/>
      <c r="O597" s="395"/>
    </row>
    <row r="598" hidden="1" spans="1:15">
      <c r="A598" s="401"/>
      <c r="B598" s="401"/>
      <c r="D598" s="442">
        <v>0</v>
      </c>
      <c r="E598" s="450">
        <v>0</v>
      </c>
      <c r="F598" s="439" t="s">
        <v>13063</v>
      </c>
      <c r="G598" s="439" t="s">
        <v>14213</v>
      </c>
      <c r="H598" s="346">
        <v>0</v>
      </c>
      <c r="I598" s="346">
        <v>0</v>
      </c>
      <c r="J598" s="395"/>
      <c r="L598" s="346" t="s">
        <v>932</v>
      </c>
      <c r="N598" s="395"/>
      <c r="O598" s="395"/>
    </row>
    <row r="599" hidden="1" spans="1:15">
      <c r="A599" s="401"/>
      <c r="B599" s="401"/>
      <c r="D599" s="442">
        <v>0</v>
      </c>
      <c r="E599" s="450">
        <v>0</v>
      </c>
      <c r="F599" s="439" t="s">
        <v>13063</v>
      </c>
      <c r="G599" s="439" t="s">
        <v>14214</v>
      </c>
      <c r="H599" s="346">
        <v>0</v>
      </c>
      <c r="I599" s="346">
        <v>0</v>
      </c>
      <c r="J599" s="395"/>
      <c r="L599" s="346" t="s">
        <v>932</v>
      </c>
      <c r="N599" s="395"/>
      <c r="O599" s="395"/>
    </row>
    <row r="600" hidden="1" spans="1:15">
      <c r="A600" s="401">
        <v>0</v>
      </c>
      <c r="B600" s="401" t="e">
        <v>#N/A</v>
      </c>
      <c r="C600" s="401"/>
      <c r="D600" s="442">
        <v>0</v>
      </c>
      <c r="E600" s="450">
        <v>0</v>
      </c>
      <c r="F600" s="439" t="s">
        <v>13063</v>
      </c>
      <c r="G600" s="439" t="s">
        <v>14212</v>
      </c>
      <c r="H600" s="346">
        <v>0</v>
      </c>
      <c r="I600" s="346">
        <v>0</v>
      </c>
      <c r="J600" s="395"/>
      <c r="L600" s="346" t="s">
        <v>932</v>
      </c>
      <c r="N600" s="395"/>
      <c r="O600" s="395"/>
    </row>
    <row r="601" hidden="1" spans="1:15">
      <c r="A601" s="401"/>
      <c r="B601" s="401"/>
      <c r="D601" s="442">
        <v>0</v>
      </c>
      <c r="E601" s="450">
        <v>0</v>
      </c>
      <c r="F601" s="439" t="s">
        <v>13063</v>
      </c>
      <c r="G601" s="439" t="s">
        <v>14213</v>
      </c>
      <c r="H601" s="346">
        <v>0</v>
      </c>
      <c r="I601" s="346">
        <v>0</v>
      </c>
      <c r="J601" s="395"/>
      <c r="L601" s="346" t="s">
        <v>932</v>
      </c>
      <c r="N601" s="395"/>
      <c r="O601" s="395"/>
    </row>
    <row r="602" hidden="1" spans="1:15">
      <c r="A602" s="401"/>
      <c r="B602" s="401"/>
      <c r="D602" s="442">
        <v>0</v>
      </c>
      <c r="E602" s="450">
        <v>0</v>
      </c>
      <c r="F602" s="439" t="s">
        <v>13063</v>
      </c>
      <c r="G602" s="439" t="s">
        <v>14214</v>
      </c>
      <c r="H602" s="346">
        <v>0</v>
      </c>
      <c r="I602" s="346">
        <v>0</v>
      </c>
      <c r="J602" s="395"/>
      <c r="L602" s="346" t="s">
        <v>932</v>
      </c>
      <c r="N602" s="395"/>
      <c r="O602" s="395"/>
    </row>
    <row r="603" hidden="1" spans="1:15">
      <c r="A603" s="401">
        <v>0</v>
      </c>
      <c r="B603" s="401" t="e">
        <v>#N/A</v>
      </c>
      <c r="C603" s="401"/>
      <c r="D603" s="442">
        <v>0</v>
      </c>
      <c r="E603" s="450">
        <v>0</v>
      </c>
      <c r="F603" s="439" t="s">
        <v>13063</v>
      </c>
      <c r="G603" s="439" t="s">
        <v>14212</v>
      </c>
      <c r="H603" s="346">
        <v>0</v>
      </c>
      <c r="I603" s="346">
        <v>0</v>
      </c>
      <c r="J603" s="395"/>
      <c r="L603" s="346" t="s">
        <v>932</v>
      </c>
      <c r="N603" s="395"/>
      <c r="O603" s="395"/>
    </row>
    <row r="604" hidden="1" spans="1:15">
      <c r="A604" s="401"/>
      <c r="B604" s="401"/>
      <c r="D604" s="442">
        <v>0</v>
      </c>
      <c r="E604" s="450">
        <v>0</v>
      </c>
      <c r="F604" s="439" t="s">
        <v>13063</v>
      </c>
      <c r="G604" s="439" t="s">
        <v>14213</v>
      </c>
      <c r="H604" s="346">
        <v>0</v>
      </c>
      <c r="I604" s="346">
        <v>0</v>
      </c>
      <c r="J604" s="395"/>
      <c r="L604" s="346" t="s">
        <v>932</v>
      </c>
      <c r="N604" s="395"/>
      <c r="O604" s="395"/>
    </row>
    <row r="605" hidden="1" spans="1:15">
      <c r="A605" s="401"/>
      <c r="B605" s="401"/>
      <c r="D605" s="442">
        <v>0</v>
      </c>
      <c r="E605" s="450">
        <v>0</v>
      </c>
      <c r="F605" s="439" t="s">
        <v>13063</v>
      </c>
      <c r="G605" s="439" t="s">
        <v>14214</v>
      </c>
      <c r="H605" s="346">
        <v>0</v>
      </c>
      <c r="I605" s="346">
        <v>0</v>
      </c>
      <c r="J605" s="395"/>
      <c r="L605" s="346" t="s">
        <v>932</v>
      </c>
      <c r="N605" s="395"/>
      <c r="O605" s="395"/>
    </row>
    <row r="606" hidden="1" spans="1:15">
      <c r="A606" s="421"/>
      <c r="B606" s="422"/>
      <c r="C606" s="422"/>
      <c r="D606" s="422"/>
      <c r="E606" s="422"/>
      <c r="F606" s="422"/>
      <c r="G606" s="422"/>
      <c r="H606" s="422"/>
      <c r="I606" s="430"/>
      <c r="J606" s="430"/>
      <c r="K606" s="425" t="s">
        <v>14215</v>
      </c>
      <c r="L606" s="426">
        <v>0</v>
      </c>
      <c r="N606" s="395"/>
      <c r="O606" s="395"/>
    </row>
    <row r="607" spans="1:15">
      <c r="A607" s="451"/>
      <c r="B607" s="452"/>
      <c r="C607" s="452"/>
      <c r="D607" s="452"/>
      <c r="E607" s="452"/>
      <c r="F607" s="452"/>
      <c r="G607" s="452"/>
      <c r="H607" s="452"/>
      <c r="I607" s="453"/>
      <c r="J607" s="453"/>
      <c r="K607" s="454" t="s">
        <v>14216</v>
      </c>
      <c r="L607" s="455">
        <v>49.27</v>
      </c>
      <c r="N607" s="395"/>
      <c r="O607" s="395"/>
    </row>
    <row r="609" spans="1:15">
      <c r="A609" s="391" t="s">
        <v>14172</v>
      </c>
      <c r="B609" s="457"/>
      <c r="C609" s="457"/>
      <c r="D609" s="457"/>
      <c r="E609" s="457"/>
      <c r="F609" s="457"/>
      <c r="G609" s="393"/>
      <c r="H609" s="393"/>
      <c r="I609" s="393"/>
      <c r="J609" s="393"/>
      <c r="K609" s="393"/>
      <c r="L609" s="394"/>
      <c r="N609" s="395"/>
      <c r="O609" s="395"/>
    </row>
    <row r="610" spans="1:15">
      <c r="A610" s="396">
        <v>4815671</v>
      </c>
      <c r="B610" s="397" t="s">
        <v>112</v>
      </c>
      <c r="C610" s="397"/>
      <c r="D610" s="397"/>
      <c r="E610" s="397"/>
      <c r="F610" s="397"/>
      <c r="G610" s="397"/>
      <c r="H610" s="397" t="s">
        <v>99</v>
      </c>
      <c r="I610" s="398">
        <v>46023</v>
      </c>
      <c r="J610" s="397"/>
      <c r="K610" s="399" t="s">
        <v>14173</v>
      </c>
      <c r="L610" s="400">
        <v>0</v>
      </c>
      <c r="N610" s="395"/>
      <c r="O610" s="395"/>
    </row>
    <row r="611" spans="1:15">
      <c r="A611" s="401"/>
      <c r="H611" s="402" t="s">
        <v>14174</v>
      </c>
      <c r="I611" s="434">
        <v>3.1125</v>
      </c>
      <c r="J611" s="404" t="s">
        <v>99</v>
      </c>
      <c r="K611" s="402" t="s">
        <v>14175</v>
      </c>
      <c r="L611" s="456">
        <v>0.04367</v>
      </c>
      <c r="N611" s="395"/>
      <c r="O611" s="395"/>
    </row>
    <row r="612" spans="1:15">
      <c r="A612" s="405"/>
      <c r="B612" s="405"/>
      <c r="C612" s="405"/>
      <c r="D612" s="406"/>
      <c r="E612" s="406"/>
      <c r="F612" s="406"/>
      <c r="G612" s="407" t="s">
        <v>14176</v>
      </c>
      <c r="H612" s="407"/>
      <c r="I612" s="407" t="s">
        <v>14177</v>
      </c>
      <c r="J612" s="407"/>
      <c r="K612" s="405"/>
      <c r="L612" s="409" t="s">
        <v>14178</v>
      </c>
      <c r="N612" s="395"/>
      <c r="O612" s="395"/>
    </row>
    <row r="613" spans="1:15">
      <c r="A613" s="410" t="s">
        <v>14179</v>
      </c>
      <c r="B613" s="411"/>
      <c r="C613" s="412"/>
      <c r="D613" s="412"/>
      <c r="E613" s="413" t="s">
        <v>74</v>
      </c>
      <c r="F613" s="412"/>
      <c r="G613" s="413" t="s">
        <v>14180</v>
      </c>
      <c r="H613" s="413" t="s">
        <v>14181</v>
      </c>
      <c r="I613" s="413" t="s">
        <v>14182</v>
      </c>
      <c r="J613" s="413" t="s">
        <v>14183</v>
      </c>
      <c r="K613" s="411"/>
      <c r="L613" s="414" t="s">
        <v>14184</v>
      </c>
      <c r="N613" s="395"/>
      <c r="O613" s="395"/>
    </row>
    <row r="614" spans="1:15">
      <c r="A614" s="404" t="s">
        <v>1078</v>
      </c>
      <c r="B614" s="415" t="s">
        <v>1079</v>
      </c>
      <c r="C614" s="415"/>
      <c r="D614" s="415"/>
      <c r="E614" s="434">
        <v>1</v>
      </c>
      <c r="F614" s="334"/>
      <c r="G614" s="346">
        <v>1</v>
      </c>
      <c r="H614" s="417">
        <v>0</v>
      </c>
      <c r="I614" s="395">
        <v>12.821</v>
      </c>
      <c r="J614" s="418">
        <v>2.773</v>
      </c>
      <c r="K614" s="402"/>
      <c r="L614" s="395">
        <v>12.821</v>
      </c>
      <c r="N614" s="395">
        <v>2.773</v>
      </c>
      <c r="O614" s="395"/>
    </row>
    <row r="615" hidden="1" spans="1:15">
      <c r="A615" s="404">
        <v>0</v>
      </c>
      <c r="B615" s="404" t="e">
        <v>#N/A</v>
      </c>
      <c r="C615" s="404"/>
      <c r="D615" s="334"/>
      <c r="E615" s="434">
        <v>0</v>
      </c>
      <c r="F615" s="334"/>
      <c r="G615" s="346">
        <v>0</v>
      </c>
      <c r="H615" s="417">
        <v>1</v>
      </c>
      <c r="I615" s="346" t="e">
        <v>#N/A</v>
      </c>
      <c r="J615" s="419" t="e">
        <v>#N/A</v>
      </c>
      <c r="K615" s="420"/>
      <c r="L615" s="395" t="s">
        <v>932</v>
      </c>
      <c r="N615" s="395" t="s">
        <v>932</v>
      </c>
      <c r="O615" s="395"/>
    </row>
    <row r="616" hidden="1" spans="1:15">
      <c r="A616" s="404">
        <v>0</v>
      </c>
      <c r="B616" s="404" t="e">
        <v>#N/A</v>
      </c>
      <c r="C616" s="404"/>
      <c r="D616" s="334"/>
      <c r="E616" s="416">
        <v>0</v>
      </c>
      <c r="F616" s="334"/>
      <c r="G616" s="346">
        <v>0</v>
      </c>
      <c r="H616" s="417">
        <v>1</v>
      </c>
      <c r="I616" s="346" t="e">
        <v>#N/A</v>
      </c>
      <c r="J616" s="419" t="e">
        <v>#N/A</v>
      </c>
      <c r="K616" s="420"/>
      <c r="L616" s="395" t="s">
        <v>932</v>
      </c>
      <c r="N616" s="395" t="s">
        <v>932</v>
      </c>
      <c r="O616" s="395"/>
    </row>
    <row r="617" hidden="1" spans="1:15">
      <c r="A617" s="404">
        <v>0</v>
      </c>
      <c r="B617" s="404" t="e">
        <v>#N/A</v>
      </c>
      <c r="C617" s="404"/>
      <c r="D617" s="334"/>
      <c r="E617" s="416">
        <v>0</v>
      </c>
      <c r="F617" s="334"/>
      <c r="G617" s="346">
        <v>0</v>
      </c>
      <c r="H617" s="417">
        <v>1</v>
      </c>
      <c r="I617" s="346" t="e">
        <v>#N/A</v>
      </c>
      <c r="J617" s="419" t="e">
        <v>#N/A</v>
      </c>
      <c r="K617" s="420"/>
      <c r="L617" s="395" t="s">
        <v>932</v>
      </c>
      <c r="N617" s="395" t="s">
        <v>932</v>
      </c>
      <c r="O617" s="395"/>
    </row>
    <row r="618" hidden="1" spans="1:15">
      <c r="A618" s="404">
        <v>0</v>
      </c>
      <c r="B618" s="404" t="e">
        <v>#N/A</v>
      </c>
      <c r="C618" s="404"/>
      <c r="D618" s="334"/>
      <c r="E618" s="416">
        <v>0</v>
      </c>
      <c r="F618" s="334"/>
      <c r="G618" s="346">
        <v>0</v>
      </c>
      <c r="H618" s="417">
        <v>1</v>
      </c>
      <c r="I618" s="346" t="e">
        <v>#N/A</v>
      </c>
      <c r="J618" s="419" t="e">
        <v>#N/A</v>
      </c>
      <c r="K618" s="420"/>
      <c r="L618" s="395" t="s">
        <v>932</v>
      </c>
      <c r="N618" s="395" t="s">
        <v>932</v>
      </c>
      <c r="O618" s="395"/>
    </row>
    <row r="619" hidden="1" spans="1:15">
      <c r="A619" s="404">
        <v>0</v>
      </c>
      <c r="B619" s="404" t="e">
        <v>#N/A</v>
      </c>
      <c r="C619" s="404"/>
      <c r="D619" s="334"/>
      <c r="E619" s="416">
        <v>0</v>
      </c>
      <c r="F619" s="334"/>
      <c r="G619" s="346">
        <v>0</v>
      </c>
      <c r="H619" s="417">
        <v>1</v>
      </c>
      <c r="I619" s="346" t="e">
        <v>#N/A</v>
      </c>
      <c r="J619" s="419" t="e">
        <v>#N/A</v>
      </c>
      <c r="K619" s="420"/>
      <c r="L619" s="395" t="s">
        <v>932</v>
      </c>
      <c r="N619" s="395" t="s">
        <v>932</v>
      </c>
      <c r="O619" s="395"/>
    </row>
    <row r="620" hidden="1" spans="1:15">
      <c r="A620" s="404">
        <v>0</v>
      </c>
      <c r="B620" s="404" t="e">
        <v>#N/A</v>
      </c>
      <c r="C620" s="404"/>
      <c r="D620" s="334"/>
      <c r="E620" s="416">
        <v>0</v>
      </c>
      <c r="F620" s="334"/>
      <c r="G620" s="346">
        <v>0</v>
      </c>
      <c r="H620" s="417">
        <v>1</v>
      </c>
      <c r="I620" s="346" t="e">
        <v>#N/A</v>
      </c>
      <c r="J620" s="419" t="e">
        <v>#N/A</v>
      </c>
      <c r="K620" s="420"/>
      <c r="L620" s="395" t="s">
        <v>932</v>
      </c>
      <c r="N620" s="395" t="s">
        <v>932</v>
      </c>
      <c r="O620" s="395"/>
    </row>
    <row r="621" hidden="1" spans="1:15">
      <c r="A621" s="404">
        <v>0</v>
      </c>
      <c r="B621" s="436" t="e">
        <v>#N/A</v>
      </c>
      <c r="C621" s="436"/>
      <c r="D621" s="334"/>
      <c r="E621" s="416">
        <v>0</v>
      </c>
      <c r="F621" s="334"/>
      <c r="G621" s="346">
        <v>0</v>
      </c>
      <c r="H621" s="417">
        <v>1</v>
      </c>
      <c r="I621" s="346" t="e">
        <v>#N/A</v>
      </c>
      <c r="J621" s="419" t="e">
        <v>#N/A</v>
      </c>
      <c r="K621" s="420"/>
      <c r="L621" s="395" t="s">
        <v>932</v>
      </c>
      <c r="N621" s="395" t="s">
        <v>932</v>
      </c>
      <c r="O621" s="395"/>
    </row>
    <row r="622" spans="1:15">
      <c r="A622" s="421"/>
      <c r="B622" s="422"/>
      <c r="C622" s="422"/>
      <c r="D622" s="422"/>
      <c r="E622" s="423"/>
      <c r="F622" s="424"/>
      <c r="G622" s="422"/>
      <c r="H622" s="422"/>
      <c r="I622" s="422"/>
      <c r="J622" s="422"/>
      <c r="K622" s="425" t="s">
        <v>14185</v>
      </c>
      <c r="L622" s="426">
        <v>12.821</v>
      </c>
      <c r="N622" s="427">
        <v>2.773</v>
      </c>
      <c r="O622" s="395"/>
    </row>
    <row r="623" spans="1:15">
      <c r="A623" s="428" t="s">
        <v>14186</v>
      </c>
      <c r="B623" s="429"/>
      <c r="C623" s="429"/>
      <c r="D623" s="430"/>
      <c r="E623" s="431" t="s">
        <v>74</v>
      </c>
      <c r="F623" s="431" t="s">
        <v>1123</v>
      </c>
      <c r="G623" s="430"/>
      <c r="H623" s="422"/>
      <c r="I623" s="431" t="s">
        <v>14177</v>
      </c>
      <c r="J623" s="430"/>
      <c r="K623" s="430"/>
      <c r="L623" s="432" t="s">
        <v>14187</v>
      </c>
      <c r="N623" s="395"/>
      <c r="O623" s="395"/>
    </row>
    <row r="624" spans="1:15">
      <c r="A624" s="404" t="s">
        <v>935</v>
      </c>
      <c r="B624" s="433" t="s">
        <v>936</v>
      </c>
      <c r="C624" s="433"/>
      <c r="D624" s="334"/>
      <c r="E624" s="434">
        <v>2</v>
      </c>
      <c r="F624" s="333" t="s">
        <v>104</v>
      </c>
      <c r="G624" s="334"/>
      <c r="H624" s="334"/>
      <c r="I624" s="435">
        <v>23.6025</v>
      </c>
      <c r="J624" s="334"/>
      <c r="K624" s="334"/>
      <c r="L624" s="346">
        <v>47.205</v>
      </c>
      <c r="N624" s="395">
        <v>47.205</v>
      </c>
      <c r="O624" s="395"/>
    </row>
    <row r="625" hidden="1" spans="1:15">
      <c r="A625" s="404">
        <v>0</v>
      </c>
      <c r="B625" s="404" t="e">
        <v>#N/A</v>
      </c>
      <c r="C625" s="404"/>
      <c r="D625" s="334"/>
      <c r="E625" s="434">
        <v>0</v>
      </c>
      <c r="F625" s="333" t="s">
        <v>104</v>
      </c>
      <c r="G625" s="334"/>
      <c r="H625" s="334"/>
      <c r="I625" s="435" t="e">
        <v>#N/A</v>
      </c>
      <c r="J625" s="334"/>
      <c r="K625" s="334"/>
      <c r="L625" s="346" t="s">
        <v>932</v>
      </c>
      <c r="N625" s="395" t="s">
        <v>932</v>
      </c>
      <c r="O625" s="395"/>
    </row>
    <row r="626" hidden="1" spans="1:15">
      <c r="A626" s="404">
        <v>0</v>
      </c>
      <c r="B626" s="404" t="e">
        <v>#N/A</v>
      </c>
      <c r="C626" s="404"/>
      <c r="D626" s="334"/>
      <c r="E626" s="434">
        <v>0</v>
      </c>
      <c r="F626" s="333" t="s">
        <v>104</v>
      </c>
      <c r="G626" s="334"/>
      <c r="H626" s="334"/>
      <c r="I626" s="435" t="e">
        <v>#N/A</v>
      </c>
      <c r="J626" s="334"/>
      <c r="K626" s="334"/>
      <c r="L626" s="346" t="s">
        <v>932</v>
      </c>
      <c r="N626" s="395" t="s">
        <v>932</v>
      </c>
      <c r="O626" s="395"/>
    </row>
    <row r="627" hidden="1" spans="1:15">
      <c r="A627" s="404">
        <v>0</v>
      </c>
      <c r="B627" s="404" t="e">
        <v>#N/A</v>
      </c>
      <c r="C627" s="404"/>
      <c r="D627" s="334"/>
      <c r="E627" s="434">
        <v>0</v>
      </c>
      <c r="F627" s="333" t="s">
        <v>104</v>
      </c>
      <c r="G627" s="334"/>
      <c r="H627" s="334"/>
      <c r="I627" s="435" t="e">
        <v>#N/A</v>
      </c>
      <c r="J627" s="334"/>
      <c r="K627" s="334"/>
      <c r="L627" s="346" t="s">
        <v>932</v>
      </c>
      <c r="N627" s="395" t="s">
        <v>932</v>
      </c>
      <c r="O627" s="395"/>
    </row>
    <row r="628" hidden="1" spans="1:15">
      <c r="A628" s="404">
        <v>0</v>
      </c>
      <c r="B628" s="404" t="e">
        <v>#N/A</v>
      </c>
      <c r="C628" s="404"/>
      <c r="D628" s="334"/>
      <c r="E628" s="434">
        <v>0</v>
      </c>
      <c r="F628" s="333" t="s">
        <v>104</v>
      </c>
      <c r="G628" s="334"/>
      <c r="H628" s="334"/>
      <c r="I628" s="435" t="e">
        <v>#N/A</v>
      </c>
      <c r="J628" s="334"/>
      <c r="K628" s="334"/>
      <c r="L628" s="346" t="s">
        <v>932</v>
      </c>
      <c r="N628" s="395" t="s">
        <v>932</v>
      </c>
      <c r="O628" s="395"/>
    </row>
    <row r="629" hidden="1" spans="1:15">
      <c r="A629" s="404">
        <v>0</v>
      </c>
      <c r="B629" s="404" t="e">
        <v>#N/A</v>
      </c>
      <c r="C629" s="404"/>
      <c r="D629" s="334"/>
      <c r="E629" s="434">
        <v>0</v>
      </c>
      <c r="F629" s="333" t="s">
        <v>104</v>
      </c>
      <c r="G629" s="334"/>
      <c r="H629" s="334"/>
      <c r="I629" s="435" t="e">
        <v>#N/A</v>
      </c>
      <c r="J629" s="334"/>
      <c r="K629" s="334"/>
      <c r="L629" s="346" t="s">
        <v>932</v>
      </c>
      <c r="N629" s="395" t="s">
        <v>932</v>
      </c>
      <c r="O629" s="395"/>
    </row>
    <row r="630" hidden="1" spans="1:15">
      <c r="A630" s="404">
        <v>0</v>
      </c>
      <c r="B630" s="404" t="e">
        <v>#N/A</v>
      </c>
      <c r="C630" s="404"/>
      <c r="D630" s="334"/>
      <c r="E630" s="434">
        <v>0</v>
      </c>
      <c r="F630" s="333" t="s">
        <v>104</v>
      </c>
      <c r="G630" s="334"/>
      <c r="H630" s="334"/>
      <c r="I630" s="435" t="e">
        <v>#N/A</v>
      </c>
      <c r="J630" s="334"/>
      <c r="K630" s="334"/>
      <c r="L630" s="346" t="s">
        <v>932</v>
      </c>
      <c r="N630" s="395" t="s">
        <v>932</v>
      </c>
      <c r="O630" s="395"/>
    </row>
    <row r="631" hidden="1" spans="1:15">
      <c r="A631" s="404">
        <v>0</v>
      </c>
      <c r="B631" s="436" t="e">
        <v>#N/A</v>
      </c>
      <c r="C631" s="436"/>
      <c r="D631" s="334"/>
      <c r="E631" s="434">
        <v>0</v>
      </c>
      <c r="F631" s="333" t="s">
        <v>104</v>
      </c>
      <c r="G631" s="334"/>
      <c r="H631" s="334"/>
      <c r="I631" s="435" t="e">
        <v>#N/A</v>
      </c>
      <c r="J631" s="334"/>
      <c r="K631" s="334"/>
      <c r="L631" s="346" t="s">
        <v>932</v>
      </c>
      <c r="N631" s="395" t="s">
        <v>932</v>
      </c>
      <c r="O631" s="395"/>
    </row>
    <row r="632" spans="1:15">
      <c r="A632" s="421"/>
      <c r="B632" s="62"/>
      <c r="C632" s="62"/>
      <c r="D632" s="422"/>
      <c r="E632" s="423"/>
      <c r="F632" s="424"/>
      <c r="G632" s="422"/>
      <c r="H632" s="422"/>
      <c r="I632" s="422"/>
      <c r="J632" s="422"/>
      <c r="K632" s="425" t="s">
        <v>14188</v>
      </c>
      <c r="L632" s="426">
        <v>47.205</v>
      </c>
      <c r="N632" s="427">
        <v>47.205</v>
      </c>
      <c r="O632" s="395"/>
    </row>
    <row r="633" spans="1:15">
      <c r="I633" s="437"/>
      <c r="K633" s="383" t="s">
        <v>14189</v>
      </c>
      <c r="L633" s="427">
        <v>60.026</v>
      </c>
      <c r="N633" s="395">
        <v>49.978</v>
      </c>
      <c r="O633" s="395"/>
    </row>
    <row r="634" spans="1:15">
      <c r="H634" s="1565" t="s">
        <v>932</v>
      </c>
      <c r="K634" s="383" t="s">
        <v>14190</v>
      </c>
      <c r="L634" s="427">
        <v>19.2854618473896</v>
      </c>
      <c r="N634" s="395">
        <v>16.0571887550201</v>
      </c>
      <c r="O634" s="395">
        <v>0.701217432931727</v>
      </c>
    </row>
    <row r="635" spans="1:15">
      <c r="K635" s="383" t="s">
        <v>14191</v>
      </c>
      <c r="L635" s="427">
        <v>0.701217432931727</v>
      </c>
      <c r="N635" s="395"/>
      <c r="O635" s="395"/>
    </row>
    <row r="636" spans="1:15">
      <c r="K636" s="383" t="s">
        <v>14192</v>
      </c>
      <c r="L636" s="395">
        <v>0</v>
      </c>
      <c r="N636" s="395"/>
      <c r="O636" s="395"/>
    </row>
    <row r="637" hidden="1" spans="1:15">
      <c r="A637" s="428" t="s">
        <v>14193</v>
      </c>
      <c r="B637" s="430"/>
      <c r="C637" s="430"/>
      <c r="D637" s="430"/>
      <c r="E637" s="431" t="s">
        <v>74</v>
      </c>
      <c r="F637" s="431" t="s">
        <v>1123</v>
      </c>
      <c r="G637" s="430"/>
      <c r="H637" s="430"/>
      <c r="I637" s="425" t="s">
        <v>75</v>
      </c>
      <c r="J637" s="430"/>
      <c r="K637" s="430"/>
      <c r="L637" s="426" t="s">
        <v>14194</v>
      </c>
      <c r="N637" s="395"/>
      <c r="O637" s="395"/>
    </row>
    <row r="638" hidden="1" spans="1:15">
      <c r="A638" s="404">
        <v>0</v>
      </c>
      <c r="B638" s="433" t="e">
        <v>#N/A</v>
      </c>
      <c r="C638" s="433"/>
      <c r="D638" s="334"/>
      <c r="E638" s="434">
        <v>0</v>
      </c>
      <c r="F638" s="333" t="e">
        <v>#N/A</v>
      </c>
      <c r="G638" s="334"/>
      <c r="I638" s="395" t="e">
        <v>#N/A</v>
      </c>
      <c r="J638" s="395"/>
      <c r="K638" s="395"/>
      <c r="L638" s="346" t="s">
        <v>932</v>
      </c>
      <c r="N638" s="395"/>
      <c r="O638" s="395"/>
    </row>
    <row r="639" hidden="1" spans="1:15">
      <c r="A639" s="404">
        <v>0</v>
      </c>
      <c r="B639" s="404" t="e">
        <v>#N/A</v>
      </c>
      <c r="C639" s="404"/>
      <c r="D639" s="334"/>
      <c r="E639" s="434">
        <v>0</v>
      </c>
      <c r="F639" s="333" t="e">
        <v>#N/A</v>
      </c>
      <c r="G639" s="334"/>
      <c r="I639" s="395" t="e">
        <v>#N/A</v>
      </c>
      <c r="J639" s="395"/>
      <c r="K639" s="395"/>
      <c r="L639" s="346" t="s">
        <v>932</v>
      </c>
      <c r="N639" s="395"/>
      <c r="O639" s="395"/>
    </row>
    <row r="640" hidden="1" spans="1:15">
      <c r="A640" s="404">
        <v>0</v>
      </c>
      <c r="B640" s="404" t="e">
        <v>#N/A</v>
      </c>
      <c r="C640" s="404"/>
      <c r="D640" s="334"/>
      <c r="E640" s="434">
        <v>0</v>
      </c>
      <c r="F640" s="333" t="e">
        <v>#N/A</v>
      </c>
      <c r="G640" s="334"/>
      <c r="I640" s="395" t="e">
        <v>#N/A</v>
      </c>
      <c r="J640" s="395"/>
      <c r="K640" s="395"/>
      <c r="L640" s="346" t="s">
        <v>932</v>
      </c>
      <c r="N640" s="395"/>
      <c r="O640" s="395"/>
    </row>
    <row r="641" hidden="1" spans="1:15">
      <c r="A641" s="404">
        <v>0</v>
      </c>
      <c r="B641" s="404" t="e">
        <v>#N/A</v>
      </c>
      <c r="C641" s="404"/>
      <c r="D641" s="334"/>
      <c r="E641" s="434">
        <v>0</v>
      </c>
      <c r="F641" s="333" t="e">
        <v>#N/A</v>
      </c>
      <c r="G641" s="334"/>
      <c r="I641" s="395" t="e">
        <v>#N/A</v>
      </c>
      <c r="J641" s="395"/>
      <c r="K641" s="395"/>
      <c r="L641" s="346" t="s">
        <v>932</v>
      </c>
      <c r="N641" s="395"/>
      <c r="O641" s="395"/>
    </row>
    <row r="642" hidden="1" spans="1:15">
      <c r="A642" s="404">
        <v>0</v>
      </c>
      <c r="B642" s="404" t="e">
        <v>#N/A</v>
      </c>
      <c r="C642" s="404"/>
      <c r="D642" s="334"/>
      <c r="E642" s="434">
        <v>0</v>
      </c>
      <c r="F642" s="333" t="e">
        <v>#N/A</v>
      </c>
      <c r="G642" s="334"/>
      <c r="H642" s="334"/>
      <c r="I642" s="395" t="e">
        <v>#N/A</v>
      </c>
      <c r="J642" s="395"/>
      <c r="K642" s="395"/>
      <c r="L642" s="346" t="s">
        <v>932</v>
      </c>
      <c r="N642" s="395"/>
      <c r="O642" s="395"/>
    </row>
    <row r="643" hidden="1" spans="1:15">
      <c r="A643" s="404">
        <v>0</v>
      </c>
      <c r="B643" s="404" t="e">
        <v>#N/A</v>
      </c>
      <c r="C643" s="404"/>
      <c r="D643" s="334"/>
      <c r="E643" s="434">
        <v>0</v>
      </c>
      <c r="F643" s="333" t="e">
        <v>#N/A</v>
      </c>
      <c r="G643" s="334"/>
      <c r="H643" s="334"/>
      <c r="I643" s="395" t="e">
        <v>#N/A</v>
      </c>
      <c r="J643" s="395"/>
      <c r="K643" s="395"/>
      <c r="L643" s="346" t="s">
        <v>932</v>
      </c>
      <c r="N643" s="395"/>
      <c r="O643" s="395"/>
    </row>
    <row r="644" hidden="1" spans="1:15">
      <c r="A644" s="404">
        <v>0</v>
      </c>
      <c r="B644" s="404" t="e">
        <v>#N/A</v>
      </c>
      <c r="C644" s="404"/>
      <c r="D644" s="334"/>
      <c r="E644" s="434">
        <v>0</v>
      </c>
      <c r="F644" s="333" t="e">
        <v>#N/A</v>
      </c>
      <c r="G644" s="334"/>
      <c r="H644" s="334"/>
      <c r="I644" s="395" t="e">
        <v>#N/A</v>
      </c>
      <c r="J644" s="395"/>
      <c r="K644" s="395"/>
      <c r="L644" s="346" t="s">
        <v>932</v>
      </c>
      <c r="N644" s="395"/>
      <c r="O644" s="395"/>
    </row>
    <row r="645" hidden="1" spans="1:15">
      <c r="A645" s="404">
        <v>0</v>
      </c>
      <c r="B645" s="436" t="e">
        <v>#N/A</v>
      </c>
      <c r="C645" s="436"/>
      <c r="D645" s="438"/>
      <c r="E645" s="434">
        <v>0</v>
      </c>
      <c r="F645" s="333" t="e">
        <v>#N/A</v>
      </c>
      <c r="G645" s="334"/>
      <c r="H645" s="334"/>
      <c r="I645" s="395" t="e">
        <v>#N/A</v>
      </c>
      <c r="J645" s="395"/>
      <c r="K645" s="395"/>
      <c r="L645" s="346" t="s">
        <v>932</v>
      </c>
      <c r="N645" s="395"/>
      <c r="O645" s="395"/>
    </row>
    <row r="646" hidden="1" spans="1:15">
      <c r="A646" s="421"/>
      <c r="B646" s="422"/>
      <c r="C646" s="422"/>
      <c r="D646" s="422"/>
      <c r="E646" s="423"/>
      <c r="F646" s="424"/>
      <c r="G646" s="422"/>
      <c r="H646" s="422"/>
      <c r="I646" s="430"/>
      <c r="J646" s="430"/>
      <c r="K646" s="425" t="s">
        <v>14203</v>
      </c>
      <c r="L646" s="426">
        <v>0</v>
      </c>
      <c r="N646" s="395"/>
      <c r="O646" s="395"/>
    </row>
    <row r="647" hidden="1" spans="1:15">
      <c r="A647" s="428" t="s">
        <v>14204</v>
      </c>
      <c r="B647" s="430"/>
      <c r="C647" s="430"/>
      <c r="D647" s="430"/>
      <c r="E647" s="431" t="s">
        <v>74</v>
      </c>
      <c r="F647" s="431" t="s">
        <v>1123</v>
      </c>
      <c r="G647" s="430"/>
      <c r="H647" s="430"/>
      <c r="I647" s="425" t="s">
        <v>75</v>
      </c>
      <c r="J647" s="430"/>
      <c r="K647" s="430"/>
      <c r="L647" s="426" t="s">
        <v>14194</v>
      </c>
      <c r="N647" s="395"/>
      <c r="O647" s="395"/>
    </row>
    <row r="648" hidden="1" spans="1:15">
      <c r="A648" s="404">
        <v>0</v>
      </c>
      <c r="B648" s="334" t="e">
        <v>#N/A</v>
      </c>
      <c r="C648" s="334"/>
      <c r="D648" s="334"/>
      <c r="E648" s="434">
        <v>0</v>
      </c>
      <c r="F648" s="333" t="e">
        <v>#N/A</v>
      </c>
      <c r="G648" s="439"/>
      <c r="I648" s="346" t="e">
        <v>#N/A</v>
      </c>
      <c r="L648" s="346" t="s">
        <v>932</v>
      </c>
      <c r="N648" s="395"/>
      <c r="O648" s="395"/>
    </row>
    <row r="649" hidden="1" spans="1:15">
      <c r="A649" s="401">
        <v>0</v>
      </c>
      <c r="B649" s="334" t="e">
        <v>#N/A</v>
      </c>
      <c r="E649" s="440">
        <v>0</v>
      </c>
      <c r="F649" s="333" t="e">
        <v>#N/A</v>
      </c>
      <c r="G649" s="439"/>
      <c r="I649" s="346" t="e">
        <v>#N/A</v>
      </c>
      <c r="L649" s="346" t="s">
        <v>932</v>
      </c>
      <c r="N649" s="395"/>
      <c r="O649" s="395"/>
    </row>
    <row r="650" hidden="1" spans="1:15">
      <c r="A650" s="401">
        <v>0</v>
      </c>
      <c r="B650" s="334" t="e">
        <v>#N/A</v>
      </c>
      <c r="E650" s="440">
        <v>0</v>
      </c>
      <c r="F650" s="333" t="e">
        <v>#N/A</v>
      </c>
      <c r="G650" s="439"/>
      <c r="I650" s="346" t="e">
        <v>#N/A</v>
      </c>
      <c r="L650" s="346" t="s">
        <v>932</v>
      </c>
      <c r="N650" s="395"/>
      <c r="O650" s="395"/>
    </row>
    <row r="651" hidden="1" spans="1:15">
      <c r="A651" s="401">
        <v>0</v>
      </c>
      <c r="B651" s="334" t="e">
        <v>#N/A</v>
      </c>
      <c r="E651" s="440">
        <v>0</v>
      </c>
      <c r="F651" s="333" t="e">
        <v>#N/A</v>
      </c>
      <c r="G651" s="439"/>
      <c r="I651" s="346" t="e">
        <v>#N/A</v>
      </c>
      <c r="L651" s="346" t="s">
        <v>932</v>
      </c>
      <c r="N651" s="395"/>
      <c r="O651" s="395"/>
    </row>
    <row r="652" hidden="1" spans="1:15">
      <c r="A652" s="401">
        <v>0</v>
      </c>
      <c r="B652" s="334" t="e">
        <v>#N/A</v>
      </c>
      <c r="E652" s="440">
        <v>0</v>
      </c>
      <c r="F652" s="333" t="e">
        <v>#N/A</v>
      </c>
      <c r="G652" s="439"/>
      <c r="I652" s="346" t="e">
        <v>#N/A</v>
      </c>
      <c r="L652" s="346" t="s">
        <v>932</v>
      </c>
      <c r="N652" s="395"/>
      <c r="O652" s="395"/>
    </row>
    <row r="653" hidden="1" spans="1:15">
      <c r="A653" s="401">
        <v>0</v>
      </c>
      <c r="B653" s="334" t="e">
        <v>#N/A</v>
      </c>
      <c r="E653" s="440">
        <v>0</v>
      </c>
      <c r="F653" s="333" t="e">
        <v>#N/A</v>
      </c>
      <c r="G653" s="439"/>
      <c r="I653" s="346" t="e">
        <v>#N/A</v>
      </c>
      <c r="L653" s="346" t="s">
        <v>932</v>
      </c>
      <c r="N653" s="395"/>
      <c r="O653" s="395"/>
    </row>
    <row r="654" hidden="1" spans="1:15">
      <c r="A654" s="421"/>
      <c r="B654" s="422"/>
      <c r="C654" s="422"/>
      <c r="D654" s="422"/>
      <c r="E654" s="422"/>
      <c r="F654" s="422"/>
      <c r="G654" s="422"/>
      <c r="H654" s="422"/>
      <c r="I654" s="430"/>
      <c r="J654" s="430"/>
      <c r="K654" s="425" t="s">
        <v>14206</v>
      </c>
      <c r="L654" s="426">
        <v>0</v>
      </c>
      <c r="N654" s="395"/>
      <c r="O654" s="395"/>
    </row>
    <row r="655" spans="1:15">
      <c r="A655" s="421"/>
      <c r="B655" s="422"/>
      <c r="C655" s="422"/>
      <c r="D655" s="422"/>
      <c r="E655" s="422"/>
      <c r="F655" s="422"/>
      <c r="G655" s="422"/>
      <c r="H655" s="422"/>
      <c r="I655" s="430"/>
      <c r="J655" s="430"/>
      <c r="K655" s="425" t="s">
        <v>14207</v>
      </c>
      <c r="L655" s="426">
        <v>19.9866792803213</v>
      </c>
      <c r="N655" s="395"/>
      <c r="O655" s="395"/>
    </row>
    <row r="656" hidden="1" spans="1:15">
      <c r="A656" s="428" t="s">
        <v>14208</v>
      </c>
      <c r="B656" s="430"/>
      <c r="C656" s="430"/>
      <c r="D656" s="431" t="s">
        <v>55</v>
      </c>
      <c r="E656" s="431" t="s">
        <v>74</v>
      </c>
      <c r="F656" s="431" t="s">
        <v>1123</v>
      </c>
      <c r="G656" s="430"/>
      <c r="H656" s="430"/>
      <c r="I656" s="425" t="s">
        <v>75</v>
      </c>
      <c r="J656" s="430"/>
      <c r="K656" s="430"/>
      <c r="L656" s="426" t="s">
        <v>14194</v>
      </c>
      <c r="N656" s="395"/>
      <c r="O656" s="395"/>
    </row>
    <row r="657" hidden="1" spans="1:15">
      <c r="A657" s="404">
        <v>0</v>
      </c>
      <c r="B657" s="441" t="e">
        <v>#N/A</v>
      </c>
      <c r="C657" s="441"/>
      <c r="D657" s="442">
        <v>0</v>
      </c>
      <c r="E657" s="434">
        <v>0</v>
      </c>
      <c r="F657" s="333" t="s">
        <v>9885</v>
      </c>
      <c r="G657" s="443" t="s">
        <v>14209</v>
      </c>
      <c r="H657" s="334"/>
      <c r="I657" s="346">
        <v>0</v>
      </c>
      <c r="J657" s="334"/>
      <c r="K657" s="346"/>
      <c r="L657" s="346" t="s">
        <v>932</v>
      </c>
      <c r="N657" s="395"/>
      <c r="O657" s="395"/>
    </row>
    <row r="658" hidden="1" spans="1:15">
      <c r="A658" s="404">
        <v>0</v>
      </c>
      <c r="B658" s="334" t="e">
        <v>#N/A</v>
      </c>
      <c r="C658" s="334"/>
      <c r="D658" s="442">
        <v>0</v>
      </c>
      <c r="E658" s="434">
        <v>0</v>
      </c>
      <c r="F658" s="333" t="s">
        <v>9885</v>
      </c>
      <c r="G658" s="334"/>
      <c r="H658" s="334"/>
      <c r="I658" s="346">
        <v>0</v>
      </c>
      <c r="J658" s="334"/>
      <c r="K658" s="346"/>
      <c r="L658" s="346" t="s">
        <v>932</v>
      </c>
      <c r="N658" s="395"/>
      <c r="O658" s="395"/>
    </row>
    <row r="659" hidden="1" spans="1:15">
      <c r="A659" s="404">
        <v>0</v>
      </c>
      <c r="B659" s="334" t="e">
        <v>#N/A</v>
      </c>
      <c r="C659" s="334"/>
      <c r="D659" s="442">
        <v>0</v>
      </c>
      <c r="E659" s="434">
        <v>0</v>
      </c>
      <c r="F659" s="333" t="s">
        <v>9885</v>
      </c>
      <c r="G659" s="334"/>
      <c r="H659" s="334"/>
      <c r="I659" s="346">
        <v>0</v>
      </c>
      <c r="J659" s="334"/>
      <c r="K659" s="346"/>
      <c r="L659" s="346" t="s">
        <v>932</v>
      </c>
      <c r="N659" s="395"/>
      <c r="O659" s="395"/>
    </row>
    <row r="660" hidden="1" spans="1:15">
      <c r="A660" s="404">
        <v>0</v>
      </c>
      <c r="B660" s="334" t="e">
        <v>#N/A</v>
      </c>
      <c r="C660" s="334"/>
      <c r="D660" s="442">
        <v>0</v>
      </c>
      <c r="E660" s="434">
        <v>0</v>
      </c>
      <c r="F660" s="333" t="s">
        <v>9885</v>
      </c>
      <c r="G660" s="334"/>
      <c r="H660" s="334"/>
      <c r="I660" s="346">
        <v>0</v>
      </c>
      <c r="J660" s="334"/>
      <c r="K660" s="346"/>
      <c r="L660" s="346" t="s">
        <v>932</v>
      </c>
      <c r="N660" s="395"/>
      <c r="O660" s="395"/>
    </row>
    <row r="661" hidden="1" spans="1:15">
      <c r="A661" s="404">
        <v>0</v>
      </c>
      <c r="B661" s="334" t="e">
        <v>#N/A</v>
      </c>
      <c r="C661" s="334"/>
      <c r="D661" s="442">
        <v>0</v>
      </c>
      <c r="E661" s="434">
        <v>0</v>
      </c>
      <c r="F661" s="333" t="s">
        <v>9885</v>
      </c>
      <c r="G661" s="334"/>
      <c r="H661" s="334"/>
      <c r="I661" s="346">
        <v>0</v>
      </c>
      <c r="J661" s="334"/>
      <c r="K661" s="346"/>
      <c r="L661" s="346" t="s">
        <v>932</v>
      </c>
      <c r="N661" s="395"/>
      <c r="O661" s="395"/>
    </row>
    <row r="662" hidden="1" spans="1:15">
      <c r="A662" s="404">
        <v>0</v>
      </c>
      <c r="B662" s="334" t="e">
        <v>#N/A</v>
      </c>
      <c r="C662" s="334"/>
      <c r="D662" s="442">
        <v>0</v>
      </c>
      <c r="E662" s="434">
        <v>0</v>
      </c>
      <c r="F662" s="333" t="s">
        <v>9885</v>
      </c>
      <c r="G662" s="334"/>
      <c r="H662" s="334"/>
      <c r="I662" s="346">
        <v>0</v>
      </c>
      <c r="J662" s="334"/>
      <c r="K662" s="346"/>
      <c r="L662" s="346" t="s">
        <v>932</v>
      </c>
      <c r="N662" s="395"/>
      <c r="O662" s="395"/>
    </row>
    <row r="663" hidden="1" spans="1:15">
      <c r="A663" s="404">
        <v>0</v>
      </c>
      <c r="B663" s="334" t="e">
        <v>#N/A</v>
      </c>
      <c r="C663" s="334"/>
      <c r="D663" s="442">
        <v>0</v>
      </c>
      <c r="E663" s="434">
        <v>0</v>
      </c>
      <c r="F663" s="333" t="s">
        <v>9885</v>
      </c>
      <c r="G663" s="334"/>
      <c r="H663" s="334"/>
      <c r="I663" s="346">
        <v>0</v>
      </c>
      <c r="J663" s="334"/>
      <c r="K663" s="346"/>
      <c r="L663" s="346" t="s">
        <v>932</v>
      </c>
      <c r="N663" s="395"/>
      <c r="O663" s="395"/>
    </row>
    <row r="664" hidden="1" spans="1:15">
      <c r="A664" s="404">
        <v>0</v>
      </c>
      <c r="B664" s="444" t="e">
        <v>#N/A</v>
      </c>
      <c r="C664" s="444"/>
      <c r="D664" s="442">
        <v>0</v>
      </c>
      <c r="E664" s="434">
        <v>0</v>
      </c>
      <c r="F664" s="333" t="s">
        <v>9885</v>
      </c>
      <c r="G664" s="334"/>
      <c r="H664" s="334"/>
      <c r="I664" s="346">
        <v>0</v>
      </c>
      <c r="J664" s="334"/>
      <c r="K664" s="346"/>
      <c r="L664" s="346" t="s">
        <v>932</v>
      </c>
      <c r="N664" s="395"/>
      <c r="O664" s="395"/>
    </row>
    <row r="665" hidden="1" spans="1:15">
      <c r="A665" s="428"/>
      <c r="B665" s="445"/>
      <c r="C665" s="445"/>
      <c r="D665" s="430"/>
      <c r="E665" s="430"/>
      <c r="F665" s="430"/>
      <c r="G665" s="430"/>
      <c r="H665" s="430"/>
      <c r="I665" s="430"/>
      <c r="J665" s="430"/>
      <c r="K665" s="425" t="s">
        <v>14210</v>
      </c>
      <c r="L665" s="426">
        <v>0</v>
      </c>
      <c r="N665" s="395"/>
      <c r="O665" s="395"/>
    </row>
    <row r="666" hidden="1" spans="1:15">
      <c r="A666" s="446" t="s">
        <v>14211</v>
      </c>
      <c r="B666" s="445"/>
      <c r="C666" s="445"/>
      <c r="D666" s="447" t="s">
        <v>55</v>
      </c>
      <c r="E666" s="445" t="s">
        <v>74</v>
      </c>
      <c r="F666" s="447" t="s">
        <v>1123</v>
      </c>
      <c r="G666" s="445"/>
      <c r="H666" s="447" t="s">
        <v>72</v>
      </c>
      <c r="I666" s="447" t="s">
        <v>75</v>
      </c>
      <c r="J666" s="445"/>
      <c r="K666" s="448"/>
      <c r="L666" s="449" t="s">
        <v>14194</v>
      </c>
      <c r="N666" s="395"/>
      <c r="O666" s="395"/>
    </row>
    <row r="667" hidden="1" spans="1:15">
      <c r="A667" s="404">
        <v>0</v>
      </c>
      <c r="B667" s="433" t="e">
        <v>#N/A</v>
      </c>
      <c r="C667" s="433"/>
      <c r="D667" s="442">
        <v>0</v>
      </c>
      <c r="E667" s="450">
        <v>0</v>
      </c>
      <c r="F667" s="333" t="s">
        <v>13063</v>
      </c>
      <c r="G667" s="333" t="s">
        <v>14212</v>
      </c>
      <c r="H667" s="346">
        <v>0</v>
      </c>
      <c r="I667" s="346">
        <v>0</v>
      </c>
      <c r="J667" s="346"/>
      <c r="K667" s="334"/>
      <c r="L667" s="346" t="s">
        <v>932</v>
      </c>
      <c r="N667" s="395"/>
      <c r="O667" s="395"/>
    </row>
    <row r="668" hidden="1" spans="1:15">
      <c r="A668" s="404"/>
      <c r="B668" s="404"/>
      <c r="C668" s="334"/>
      <c r="D668" s="442">
        <v>0</v>
      </c>
      <c r="E668" s="450">
        <v>0</v>
      </c>
      <c r="F668" s="333" t="s">
        <v>13063</v>
      </c>
      <c r="G668" s="333" t="s">
        <v>14213</v>
      </c>
      <c r="H668" s="346">
        <v>0</v>
      </c>
      <c r="I668" s="346">
        <v>0</v>
      </c>
      <c r="J668" s="346"/>
      <c r="K668" s="334"/>
      <c r="L668" s="346" t="s">
        <v>932</v>
      </c>
      <c r="N668" s="395"/>
      <c r="O668" s="395"/>
    </row>
    <row r="669" hidden="1" spans="1:15">
      <c r="A669" s="404"/>
      <c r="B669" s="404"/>
      <c r="C669" s="334"/>
      <c r="D669" s="442">
        <v>0</v>
      </c>
      <c r="E669" s="450">
        <v>0</v>
      </c>
      <c r="F669" s="333" t="s">
        <v>13063</v>
      </c>
      <c r="G669" s="333" t="s">
        <v>14214</v>
      </c>
      <c r="H669" s="346">
        <v>0</v>
      </c>
      <c r="I669" s="346">
        <v>0</v>
      </c>
      <c r="J669" s="346"/>
      <c r="K669" s="334"/>
      <c r="L669" s="346" t="s">
        <v>932</v>
      </c>
      <c r="N669" s="395"/>
      <c r="O669" s="395"/>
    </row>
    <row r="670" hidden="1" spans="1:15">
      <c r="A670" s="404">
        <v>0</v>
      </c>
      <c r="B670" s="404" t="e">
        <v>#N/A</v>
      </c>
      <c r="C670" s="404"/>
      <c r="D670" s="442">
        <v>0</v>
      </c>
      <c r="E670" s="450">
        <v>0</v>
      </c>
      <c r="F670" s="333" t="s">
        <v>13063</v>
      </c>
      <c r="G670" s="333" t="s">
        <v>14212</v>
      </c>
      <c r="H670" s="346">
        <v>0</v>
      </c>
      <c r="I670" s="346">
        <v>0</v>
      </c>
      <c r="J670" s="346"/>
      <c r="K670" s="334"/>
      <c r="L670" s="346" t="s">
        <v>932</v>
      </c>
      <c r="N670" s="395"/>
      <c r="O670" s="395"/>
    </row>
    <row r="671" hidden="1" spans="1:15">
      <c r="A671" s="404"/>
      <c r="B671" s="404"/>
      <c r="C671" s="334"/>
      <c r="D671" s="442">
        <v>0</v>
      </c>
      <c r="E671" s="450">
        <v>0</v>
      </c>
      <c r="F671" s="333" t="s">
        <v>13063</v>
      </c>
      <c r="G671" s="333" t="s">
        <v>14213</v>
      </c>
      <c r="H671" s="346">
        <v>0</v>
      </c>
      <c r="I671" s="346">
        <v>0</v>
      </c>
      <c r="J671" s="346"/>
      <c r="K671" s="334"/>
      <c r="L671" s="346" t="s">
        <v>932</v>
      </c>
      <c r="N671" s="395"/>
      <c r="O671" s="395"/>
    </row>
    <row r="672" hidden="1" spans="1:15">
      <c r="A672" s="404"/>
      <c r="B672" s="404"/>
      <c r="C672" s="334"/>
      <c r="D672" s="442">
        <v>0</v>
      </c>
      <c r="E672" s="450">
        <v>0</v>
      </c>
      <c r="F672" s="333" t="s">
        <v>13063</v>
      </c>
      <c r="G672" s="333" t="s">
        <v>14214</v>
      </c>
      <c r="H672" s="346">
        <v>0</v>
      </c>
      <c r="I672" s="346">
        <v>0</v>
      </c>
      <c r="J672" s="346"/>
      <c r="K672" s="334"/>
      <c r="L672" s="346" t="s">
        <v>932</v>
      </c>
      <c r="N672" s="395"/>
      <c r="O672" s="395"/>
    </row>
    <row r="673" hidden="1" spans="1:15">
      <c r="A673" s="404">
        <v>0</v>
      </c>
      <c r="B673" s="404" t="e">
        <v>#N/A</v>
      </c>
      <c r="C673" s="404"/>
      <c r="D673" s="442">
        <v>0</v>
      </c>
      <c r="E673" s="450">
        <v>0</v>
      </c>
      <c r="F673" s="333" t="s">
        <v>13063</v>
      </c>
      <c r="G673" s="333" t="s">
        <v>14212</v>
      </c>
      <c r="H673" s="346">
        <v>0</v>
      </c>
      <c r="I673" s="346">
        <v>0</v>
      </c>
      <c r="J673" s="346"/>
      <c r="K673" s="334"/>
      <c r="L673" s="346" t="s">
        <v>932</v>
      </c>
      <c r="N673" s="395"/>
      <c r="O673" s="395"/>
    </row>
    <row r="674" hidden="1" spans="1:15">
      <c r="A674" s="404"/>
      <c r="B674" s="404"/>
      <c r="C674" s="334"/>
      <c r="D674" s="442">
        <v>0</v>
      </c>
      <c r="E674" s="450">
        <v>0</v>
      </c>
      <c r="F674" s="333" t="s">
        <v>13063</v>
      </c>
      <c r="G674" s="333" t="s">
        <v>14213</v>
      </c>
      <c r="H674" s="346">
        <v>0</v>
      </c>
      <c r="I674" s="346">
        <v>0</v>
      </c>
      <c r="J674" s="346"/>
      <c r="K674" s="334"/>
      <c r="L674" s="346" t="s">
        <v>932</v>
      </c>
      <c r="N674" s="395"/>
      <c r="O674" s="395"/>
    </row>
    <row r="675" hidden="1" spans="1:15">
      <c r="A675" s="404"/>
      <c r="B675" s="404"/>
      <c r="C675" s="334"/>
      <c r="D675" s="442">
        <v>0</v>
      </c>
      <c r="E675" s="450">
        <v>0</v>
      </c>
      <c r="F675" s="333" t="s">
        <v>13063</v>
      </c>
      <c r="G675" s="333" t="s">
        <v>14214</v>
      </c>
      <c r="H675" s="346">
        <v>0</v>
      </c>
      <c r="I675" s="346">
        <v>0</v>
      </c>
      <c r="J675" s="346"/>
      <c r="K675" s="334"/>
      <c r="L675" s="346" t="s">
        <v>932</v>
      </c>
      <c r="N675" s="395"/>
      <c r="O675" s="395"/>
    </row>
    <row r="676" hidden="1" spans="1:15">
      <c r="A676" s="404">
        <v>0</v>
      </c>
      <c r="B676" s="404" t="e">
        <v>#N/A</v>
      </c>
      <c r="C676" s="404"/>
      <c r="D676" s="442">
        <v>0</v>
      </c>
      <c r="E676" s="450">
        <v>0</v>
      </c>
      <c r="F676" s="333" t="s">
        <v>13063</v>
      </c>
      <c r="G676" s="333" t="s">
        <v>14212</v>
      </c>
      <c r="H676" s="346">
        <v>0</v>
      </c>
      <c r="I676" s="346">
        <v>0</v>
      </c>
      <c r="J676" s="346"/>
      <c r="K676" s="334"/>
      <c r="L676" s="346" t="s">
        <v>932</v>
      </c>
      <c r="N676" s="395"/>
      <c r="O676" s="395"/>
    </row>
    <row r="677" hidden="1" spans="1:15">
      <c r="A677" s="404"/>
      <c r="B677" s="404"/>
      <c r="C677" s="334"/>
      <c r="D677" s="442">
        <v>0</v>
      </c>
      <c r="E677" s="450">
        <v>0</v>
      </c>
      <c r="F677" s="333" t="s">
        <v>13063</v>
      </c>
      <c r="G677" s="333" t="s">
        <v>14213</v>
      </c>
      <c r="H677" s="346">
        <v>0</v>
      </c>
      <c r="I677" s="346">
        <v>0</v>
      </c>
      <c r="J677" s="346"/>
      <c r="K677" s="334"/>
      <c r="L677" s="346" t="s">
        <v>932</v>
      </c>
      <c r="N677" s="395"/>
      <c r="O677" s="395"/>
    </row>
    <row r="678" hidden="1" spans="1:15">
      <c r="A678" s="404"/>
      <c r="B678" s="404"/>
      <c r="C678" s="334"/>
      <c r="D678" s="442">
        <v>0</v>
      </c>
      <c r="E678" s="450">
        <v>0</v>
      </c>
      <c r="F678" s="333" t="s">
        <v>13063</v>
      </c>
      <c r="G678" s="333" t="s">
        <v>14214</v>
      </c>
      <c r="H678" s="346">
        <v>0</v>
      </c>
      <c r="I678" s="346">
        <v>0</v>
      </c>
      <c r="J678" s="346"/>
      <c r="K678" s="334"/>
      <c r="L678" s="346" t="s">
        <v>932</v>
      </c>
      <c r="N678" s="395"/>
      <c r="O678" s="395"/>
    </row>
    <row r="679" hidden="1" spans="1:15">
      <c r="A679" s="404">
        <v>0</v>
      </c>
      <c r="B679" s="404" t="e">
        <v>#N/A</v>
      </c>
      <c r="C679" s="404"/>
      <c r="D679" s="442">
        <v>0</v>
      </c>
      <c r="E679" s="450">
        <v>0</v>
      </c>
      <c r="F679" s="333" t="s">
        <v>13063</v>
      </c>
      <c r="G679" s="333" t="s">
        <v>14212</v>
      </c>
      <c r="H679" s="346">
        <v>0</v>
      </c>
      <c r="I679" s="346">
        <v>0</v>
      </c>
      <c r="J679" s="346"/>
      <c r="K679" s="334"/>
      <c r="L679" s="346" t="s">
        <v>932</v>
      </c>
      <c r="N679" s="395"/>
      <c r="O679" s="395"/>
    </row>
    <row r="680" hidden="1" spans="1:15">
      <c r="A680" s="404"/>
      <c r="B680" s="404"/>
      <c r="C680" s="334"/>
      <c r="D680" s="442">
        <v>0</v>
      </c>
      <c r="E680" s="450">
        <v>0</v>
      </c>
      <c r="F680" s="333" t="s">
        <v>13063</v>
      </c>
      <c r="G680" s="333" t="s">
        <v>14213</v>
      </c>
      <c r="H680" s="346">
        <v>0</v>
      </c>
      <c r="I680" s="346">
        <v>0</v>
      </c>
      <c r="J680" s="346"/>
      <c r="K680" s="334"/>
      <c r="L680" s="346" t="s">
        <v>932</v>
      </c>
      <c r="N680" s="395"/>
      <c r="O680" s="395"/>
    </row>
    <row r="681" hidden="1" spans="1:15">
      <c r="A681" s="404"/>
      <c r="B681" s="404"/>
      <c r="C681" s="334"/>
      <c r="D681" s="442">
        <v>0</v>
      </c>
      <c r="E681" s="450">
        <v>0</v>
      </c>
      <c r="F681" s="333" t="s">
        <v>13063</v>
      </c>
      <c r="G681" s="333" t="s">
        <v>14214</v>
      </c>
      <c r="H681" s="346">
        <v>0</v>
      </c>
      <c r="I681" s="346">
        <v>0</v>
      </c>
      <c r="J681" s="346"/>
      <c r="K681" s="334"/>
      <c r="L681" s="346" t="s">
        <v>932</v>
      </c>
      <c r="N681" s="395"/>
      <c r="O681" s="395"/>
    </row>
    <row r="682" hidden="1" spans="1:15">
      <c r="A682" s="401">
        <v>0</v>
      </c>
      <c r="B682" s="401" t="e">
        <v>#N/A</v>
      </c>
      <c r="C682" s="401"/>
      <c r="D682" s="442">
        <v>0</v>
      </c>
      <c r="E682" s="450">
        <v>0</v>
      </c>
      <c r="F682" s="439" t="s">
        <v>13063</v>
      </c>
      <c r="G682" s="439" t="s">
        <v>14212</v>
      </c>
      <c r="H682" s="346">
        <v>0</v>
      </c>
      <c r="I682" s="346">
        <v>0</v>
      </c>
      <c r="J682" s="395"/>
      <c r="L682" s="346" t="s">
        <v>932</v>
      </c>
      <c r="N682" s="395"/>
      <c r="O682" s="395"/>
    </row>
    <row r="683" hidden="1" spans="1:15">
      <c r="A683" s="401"/>
      <c r="B683" s="401"/>
      <c r="D683" s="442">
        <v>0</v>
      </c>
      <c r="E683" s="450">
        <v>0</v>
      </c>
      <c r="F683" s="439" t="s">
        <v>13063</v>
      </c>
      <c r="G683" s="439" t="s">
        <v>14213</v>
      </c>
      <c r="H683" s="346">
        <v>0</v>
      </c>
      <c r="I683" s="346">
        <v>0</v>
      </c>
      <c r="J683" s="395"/>
      <c r="L683" s="346" t="s">
        <v>932</v>
      </c>
      <c r="N683" s="395"/>
      <c r="O683" s="395"/>
    </row>
    <row r="684" hidden="1" spans="1:15">
      <c r="A684" s="401"/>
      <c r="B684" s="401"/>
      <c r="D684" s="442">
        <v>0</v>
      </c>
      <c r="E684" s="450">
        <v>0</v>
      </c>
      <c r="F684" s="439" t="s">
        <v>13063</v>
      </c>
      <c r="G684" s="439" t="s">
        <v>14214</v>
      </c>
      <c r="H684" s="346">
        <v>0</v>
      </c>
      <c r="I684" s="346">
        <v>0</v>
      </c>
      <c r="J684" s="395"/>
      <c r="L684" s="346" t="s">
        <v>932</v>
      </c>
      <c r="N684" s="395"/>
      <c r="O684" s="395"/>
    </row>
    <row r="685" hidden="1" spans="1:15">
      <c r="A685" s="401">
        <v>0</v>
      </c>
      <c r="B685" s="401" t="e">
        <v>#N/A</v>
      </c>
      <c r="C685" s="401"/>
      <c r="D685" s="442">
        <v>0</v>
      </c>
      <c r="E685" s="450">
        <v>0</v>
      </c>
      <c r="F685" s="439" t="s">
        <v>13063</v>
      </c>
      <c r="G685" s="439" t="s">
        <v>14212</v>
      </c>
      <c r="H685" s="346">
        <v>0</v>
      </c>
      <c r="I685" s="346">
        <v>0</v>
      </c>
      <c r="J685" s="395"/>
      <c r="L685" s="346" t="s">
        <v>932</v>
      </c>
      <c r="N685" s="395"/>
      <c r="O685" s="395"/>
    </row>
    <row r="686" hidden="1" spans="1:15">
      <c r="A686" s="401"/>
      <c r="B686" s="401"/>
      <c r="D686" s="442">
        <v>0</v>
      </c>
      <c r="E686" s="450">
        <v>0</v>
      </c>
      <c r="F686" s="439" t="s">
        <v>13063</v>
      </c>
      <c r="G686" s="439" t="s">
        <v>14213</v>
      </c>
      <c r="H686" s="346">
        <v>0</v>
      </c>
      <c r="I686" s="346">
        <v>0</v>
      </c>
      <c r="J686" s="395"/>
      <c r="L686" s="346" t="s">
        <v>932</v>
      </c>
      <c r="N686" s="395"/>
      <c r="O686" s="395"/>
    </row>
    <row r="687" hidden="1" spans="1:15">
      <c r="A687" s="401"/>
      <c r="B687" s="401"/>
      <c r="D687" s="442">
        <v>0</v>
      </c>
      <c r="E687" s="450">
        <v>0</v>
      </c>
      <c r="F687" s="439" t="s">
        <v>13063</v>
      </c>
      <c r="G687" s="439" t="s">
        <v>14214</v>
      </c>
      <c r="H687" s="346">
        <v>0</v>
      </c>
      <c r="I687" s="346">
        <v>0</v>
      </c>
      <c r="J687" s="395"/>
      <c r="L687" s="346" t="s">
        <v>932</v>
      </c>
      <c r="N687" s="395"/>
      <c r="O687" s="395"/>
    </row>
    <row r="688" hidden="1" spans="1:15">
      <c r="A688" s="401">
        <v>0</v>
      </c>
      <c r="B688" s="401" t="e">
        <v>#N/A</v>
      </c>
      <c r="C688" s="401"/>
      <c r="D688" s="442">
        <v>0</v>
      </c>
      <c r="E688" s="450">
        <v>0</v>
      </c>
      <c r="F688" s="439" t="s">
        <v>13063</v>
      </c>
      <c r="G688" s="439" t="s">
        <v>14212</v>
      </c>
      <c r="H688" s="346">
        <v>0</v>
      </c>
      <c r="I688" s="346">
        <v>0</v>
      </c>
      <c r="J688" s="395"/>
      <c r="L688" s="346" t="s">
        <v>932</v>
      </c>
      <c r="N688" s="395"/>
      <c r="O688" s="395"/>
    </row>
    <row r="689" hidden="1" spans="1:15">
      <c r="A689" s="401"/>
      <c r="B689" s="401"/>
      <c r="D689" s="442">
        <v>0</v>
      </c>
      <c r="E689" s="450">
        <v>0</v>
      </c>
      <c r="F689" s="439" t="s">
        <v>13063</v>
      </c>
      <c r="G689" s="439" t="s">
        <v>14213</v>
      </c>
      <c r="H689" s="346">
        <v>0</v>
      </c>
      <c r="I689" s="346">
        <v>0</v>
      </c>
      <c r="J689" s="395"/>
      <c r="L689" s="346" t="s">
        <v>932</v>
      </c>
      <c r="N689" s="395"/>
      <c r="O689" s="395"/>
    </row>
    <row r="690" hidden="1" spans="1:15">
      <c r="A690" s="401"/>
      <c r="B690" s="401"/>
      <c r="D690" s="442">
        <v>0</v>
      </c>
      <c r="E690" s="450">
        <v>0</v>
      </c>
      <c r="F690" s="439" t="s">
        <v>13063</v>
      </c>
      <c r="G690" s="439" t="s">
        <v>14214</v>
      </c>
      <c r="H690" s="346">
        <v>0</v>
      </c>
      <c r="I690" s="346">
        <v>0</v>
      </c>
      <c r="J690" s="395"/>
      <c r="L690" s="346" t="s">
        <v>932</v>
      </c>
      <c r="N690" s="395"/>
      <c r="O690" s="395"/>
    </row>
    <row r="691" hidden="1" spans="1:15">
      <c r="A691" s="421"/>
      <c r="B691" s="422"/>
      <c r="C691" s="422"/>
      <c r="D691" s="422"/>
      <c r="E691" s="422"/>
      <c r="F691" s="422"/>
      <c r="G691" s="422"/>
      <c r="H691" s="422"/>
      <c r="I691" s="430"/>
      <c r="J691" s="430"/>
      <c r="K691" s="425" t="s">
        <v>14215</v>
      </c>
      <c r="L691" s="426">
        <v>0</v>
      </c>
      <c r="N691" s="395"/>
      <c r="O691" s="395"/>
    </row>
    <row r="692" spans="1:15">
      <c r="A692" s="451"/>
      <c r="B692" s="452"/>
      <c r="C692" s="452"/>
      <c r="D692" s="452"/>
      <c r="E692" s="452"/>
      <c r="F692" s="452"/>
      <c r="G692" s="452"/>
      <c r="H692" s="452"/>
      <c r="I692" s="453"/>
      <c r="J692" s="453"/>
      <c r="K692" s="454" t="s">
        <v>14216</v>
      </c>
      <c r="L692" s="455">
        <v>19.99</v>
      </c>
      <c r="N692" s="395"/>
      <c r="O692" s="395"/>
    </row>
    <row r="694" spans="1:15">
      <c r="A694" s="391" t="s">
        <v>14172</v>
      </c>
      <c r="B694" s="457"/>
      <c r="C694" s="457"/>
      <c r="D694" s="457"/>
      <c r="E694" s="457"/>
      <c r="F694" s="457"/>
      <c r="G694" s="393"/>
      <c r="H694" s="393"/>
      <c r="I694" s="393"/>
      <c r="J694" s="393"/>
      <c r="K694" s="393"/>
      <c r="L694" s="394"/>
      <c r="N694" s="395"/>
      <c r="O694" s="395"/>
    </row>
    <row r="695" spans="1:15">
      <c r="A695" s="396">
        <v>5212552</v>
      </c>
      <c r="B695" s="397" t="s">
        <v>11382</v>
      </c>
      <c r="C695" s="397"/>
      <c r="D695" s="397"/>
      <c r="E695" s="397"/>
      <c r="F695" s="397"/>
      <c r="G695" s="397"/>
      <c r="H695" s="397" t="s">
        <v>7</v>
      </c>
      <c r="I695" s="398">
        <v>46023</v>
      </c>
      <c r="J695" s="397"/>
      <c r="K695" s="399" t="s">
        <v>14173</v>
      </c>
      <c r="L695" s="400">
        <v>0</v>
      </c>
      <c r="N695" s="395"/>
      <c r="O695" s="395"/>
    </row>
    <row r="696" spans="1:15">
      <c r="A696" s="401"/>
      <c r="H696" s="402" t="s">
        <v>14174</v>
      </c>
      <c r="I696" s="434">
        <v>19.15</v>
      </c>
      <c r="J696" s="404" t="s">
        <v>7</v>
      </c>
      <c r="K696" s="402" t="s">
        <v>14175</v>
      </c>
      <c r="L696" s="346">
        <v>0</v>
      </c>
      <c r="N696" s="395"/>
      <c r="O696" s="395"/>
    </row>
    <row r="697" spans="1:15">
      <c r="A697" s="405"/>
      <c r="B697" s="405"/>
      <c r="C697" s="405"/>
      <c r="D697" s="406"/>
      <c r="E697" s="406"/>
      <c r="F697" s="406"/>
      <c r="G697" s="407" t="s">
        <v>14176</v>
      </c>
      <c r="H697" s="407"/>
      <c r="I697" s="407" t="s">
        <v>14177</v>
      </c>
      <c r="J697" s="407"/>
      <c r="K697" s="405"/>
      <c r="L697" s="409" t="s">
        <v>14178</v>
      </c>
      <c r="N697" s="395"/>
      <c r="O697" s="395"/>
    </row>
    <row r="698" spans="1:15">
      <c r="A698" s="410" t="s">
        <v>14179</v>
      </c>
      <c r="B698" s="411"/>
      <c r="C698" s="412"/>
      <c r="D698" s="412"/>
      <c r="E698" s="413" t="s">
        <v>74</v>
      </c>
      <c r="F698" s="412"/>
      <c r="G698" s="413" t="s">
        <v>14180</v>
      </c>
      <c r="H698" s="413" t="s">
        <v>14181</v>
      </c>
      <c r="I698" s="413" t="s">
        <v>14182</v>
      </c>
      <c r="J698" s="413" t="s">
        <v>14183</v>
      </c>
      <c r="K698" s="411"/>
      <c r="L698" s="414" t="s">
        <v>14184</v>
      </c>
      <c r="N698" s="395"/>
      <c r="O698" s="395"/>
    </row>
    <row r="699" spans="1:15">
      <c r="A699" s="404" t="s">
        <v>14293</v>
      </c>
      <c r="B699" s="415" t="s">
        <v>14294</v>
      </c>
      <c r="C699" s="415"/>
      <c r="E699" s="434">
        <v>1</v>
      </c>
      <c r="F699" s="334"/>
      <c r="G699" s="346">
        <v>1</v>
      </c>
      <c r="H699" s="417">
        <v>0</v>
      </c>
      <c r="I699" s="395">
        <v>46.5633</v>
      </c>
      <c r="J699" s="418">
        <v>40.4969</v>
      </c>
      <c r="K699" s="402"/>
      <c r="L699" s="395">
        <v>46.5633</v>
      </c>
      <c r="N699" s="395">
        <v>40.4969</v>
      </c>
      <c r="O699" s="395"/>
    </row>
    <row r="700" spans="1:15">
      <c r="A700" s="404" t="s">
        <v>14295</v>
      </c>
      <c r="B700" s="404" t="s">
        <v>14296</v>
      </c>
      <c r="C700" s="404"/>
      <c r="D700" s="334"/>
      <c r="E700" s="434">
        <v>1</v>
      </c>
      <c r="F700" s="334"/>
      <c r="G700" s="346">
        <v>1</v>
      </c>
      <c r="H700" s="417">
        <v>0</v>
      </c>
      <c r="I700" s="346">
        <v>31.1465</v>
      </c>
      <c r="J700" s="419">
        <v>7.7958</v>
      </c>
      <c r="K700" s="420"/>
      <c r="L700" s="395">
        <v>31.1465</v>
      </c>
      <c r="N700" s="395">
        <v>7.7958</v>
      </c>
      <c r="O700" s="395"/>
    </row>
    <row r="701" hidden="1" spans="1:15">
      <c r="A701" s="404">
        <v>0</v>
      </c>
      <c r="B701" s="404" t="e">
        <v>#N/A</v>
      </c>
      <c r="C701" s="404"/>
      <c r="D701" s="334"/>
      <c r="E701" s="416">
        <v>0</v>
      </c>
      <c r="F701" s="334"/>
      <c r="G701" s="346">
        <v>0</v>
      </c>
      <c r="H701" s="417">
        <v>1</v>
      </c>
      <c r="I701" s="346" t="e">
        <v>#N/A</v>
      </c>
      <c r="J701" s="419" t="e">
        <v>#N/A</v>
      </c>
      <c r="K701" s="420"/>
      <c r="L701" s="395" t="s">
        <v>932</v>
      </c>
      <c r="N701" s="395" t="s">
        <v>932</v>
      </c>
      <c r="O701" s="395"/>
    </row>
    <row r="702" hidden="1" spans="1:15">
      <c r="A702" s="404">
        <v>0</v>
      </c>
      <c r="B702" s="404" t="e">
        <v>#N/A</v>
      </c>
      <c r="C702" s="404"/>
      <c r="D702" s="334"/>
      <c r="E702" s="416">
        <v>0</v>
      </c>
      <c r="F702" s="334"/>
      <c r="G702" s="346">
        <v>0</v>
      </c>
      <c r="H702" s="417">
        <v>1</v>
      </c>
      <c r="I702" s="346" t="e">
        <v>#N/A</v>
      </c>
      <c r="J702" s="419" t="e">
        <v>#N/A</v>
      </c>
      <c r="K702" s="420"/>
      <c r="L702" s="395" t="s">
        <v>932</v>
      </c>
      <c r="N702" s="395" t="s">
        <v>932</v>
      </c>
      <c r="O702" s="395"/>
    </row>
    <row r="703" hidden="1" spans="1:15">
      <c r="A703" s="404">
        <v>0</v>
      </c>
      <c r="B703" s="404" t="e">
        <v>#N/A</v>
      </c>
      <c r="C703" s="404"/>
      <c r="D703" s="334"/>
      <c r="E703" s="416">
        <v>0</v>
      </c>
      <c r="F703" s="334"/>
      <c r="G703" s="346">
        <v>0</v>
      </c>
      <c r="H703" s="417">
        <v>1</v>
      </c>
      <c r="I703" s="346" t="e">
        <v>#N/A</v>
      </c>
      <c r="J703" s="419" t="e">
        <v>#N/A</v>
      </c>
      <c r="K703" s="420"/>
      <c r="L703" s="395" t="s">
        <v>932</v>
      </c>
      <c r="N703" s="395" t="s">
        <v>932</v>
      </c>
      <c r="O703" s="395"/>
    </row>
    <row r="704" hidden="1" spans="1:15">
      <c r="A704" s="404">
        <v>0</v>
      </c>
      <c r="B704" s="404" t="e">
        <v>#N/A</v>
      </c>
      <c r="C704" s="404"/>
      <c r="D704" s="334"/>
      <c r="E704" s="416">
        <v>0</v>
      </c>
      <c r="F704" s="334"/>
      <c r="G704" s="346">
        <v>0</v>
      </c>
      <c r="H704" s="417">
        <v>1</v>
      </c>
      <c r="I704" s="346" t="e">
        <v>#N/A</v>
      </c>
      <c r="J704" s="419" t="e">
        <v>#N/A</v>
      </c>
      <c r="K704" s="420"/>
      <c r="L704" s="395" t="s">
        <v>932</v>
      </c>
      <c r="N704" s="395" t="s">
        <v>932</v>
      </c>
      <c r="O704" s="395"/>
    </row>
    <row r="705" hidden="1" spans="1:15">
      <c r="A705" s="404">
        <v>0</v>
      </c>
      <c r="B705" s="404" t="e">
        <v>#N/A</v>
      </c>
      <c r="C705" s="404"/>
      <c r="D705" s="334"/>
      <c r="E705" s="416">
        <v>0</v>
      </c>
      <c r="F705" s="334"/>
      <c r="G705" s="346">
        <v>0</v>
      </c>
      <c r="H705" s="417">
        <v>1</v>
      </c>
      <c r="I705" s="346" t="e">
        <v>#N/A</v>
      </c>
      <c r="J705" s="419" t="e">
        <v>#N/A</v>
      </c>
      <c r="K705" s="420"/>
      <c r="L705" s="395" t="s">
        <v>932</v>
      </c>
      <c r="N705" s="395" t="s">
        <v>932</v>
      </c>
      <c r="O705" s="395"/>
    </row>
    <row r="706" hidden="1" spans="1:15">
      <c r="A706" s="404">
        <v>0</v>
      </c>
      <c r="B706" s="436" t="e">
        <v>#N/A</v>
      </c>
      <c r="C706" s="436"/>
      <c r="D706" s="334"/>
      <c r="E706" s="416">
        <v>0</v>
      </c>
      <c r="F706" s="334"/>
      <c r="G706" s="346">
        <v>0</v>
      </c>
      <c r="H706" s="417">
        <v>1</v>
      </c>
      <c r="I706" s="346" t="e">
        <v>#N/A</v>
      </c>
      <c r="J706" s="419" t="e">
        <v>#N/A</v>
      </c>
      <c r="K706" s="420"/>
      <c r="L706" s="395" t="s">
        <v>932</v>
      </c>
      <c r="N706" s="395" t="s">
        <v>932</v>
      </c>
      <c r="O706" s="395"/>
    </row>
    <row r="707" spans="1:15">
      <c r="A707" s="421"/>
      <c r="B707" s="422"/>
      <c r="C707" s="422"/>
      <c r="D707" s="422"/>
      <c r="E707" s="423"/>
      <c r="F707" s="424"/>
      <c r="G707" s="422"/>
      <c r="H707" s="422"/>
      <c r="I707" s="422"/>
      <c r="J707" s="422"/>
      <c r="K707" s="425" t="s">
        <v>14185</v>
      </c>
      <c r="L707" s="426">
        <v>77.7098</v>
      </c>
      <c r="N707" s="427">
        <v>48.2927</v>
      </c>
      <c r="O707" s="395"/>
    </row>
    <row r="708" spans="1:15">
      <c r="A708" s="428" t="s">
        <v>14186</v>
      </c>
      <c r="B708" s="429"/>
      <c r="C708" s="429"/>
      <c r="D708" s="430"/>
      <c r="E708" s="431" t="s">
        <v>74</v>
      </c>
      <c r="F708" s="431" t="s">
        <v>1123</v>
      </c>
      <c r="G708" s="430"/>
      <c r="H708" s="422"/>
      <c r="I708" s="431" t="s">
        <v>14177</v>
      </c>
      <c r="J708" s="430"/>
      <c r="K708" s="430"/>
      <c r="L708" s="432" t="s">
        <v>14187</v>
      </c>
      <c r="N708" s="395"/>
      <c r="O708" s="395"/>
    </row>
    <row r="709" spans="1:15">
      <c r="A709" s="404" t="s">
        <v>937</v>
      </c>
      <c r="B709" s="433" t="s">
        <v>938</v>
      </c>
      <c r="C709" s="433"/>
      <c r="D709" s="334"/>
      <c r="E709" s="434">
        <v>1</v>
      </c>
      <c r="F709" s="333" t="s">
        <v>104</v>
      </c>
      <c r="G709" s="334"/>
      <c r="H709" s="334"/>
      <c r="I709" s="435">
        <v>26.2149</v>
      </c>
      <c r="J709" s="334"/>
      <c r="K709" s="334"/>
      <c r="L709" s="346">
        <v>26.2149</v>
      </c>
      <c r="N709" s="395">
        <v>26.2149</v>
      </c>
      <c r="O709" s="395"/>
    </row>
    <row r="710" spans="1:15">
      <c r="A710" s="404" t="s">
        <v>1013</v>
      </c>
      <c r="B710" s="404" t="s">
        <v>1014</v>
      </c>
      <c r="C710" s="404"/>
      <c r="D710" s="334"/>
      <c r="E710" s="434">
        <v>2</v>
      </c>
      <c r="F710" s="333" t="s">
        <v>104</v>
      </c>
      <c r="G710" s="334"/>
      <c r="H710" s="334"/>
      <c r="I710" s="435">
        <v>35.4794</v>
      </c>
      <c r="J710" s="334"/>
      <c r="K710" s="334"/>
      <c r="L710" s="346">
        <v>70.9588</v>
      </c>
      <c r="N710" s="395">
        <v>70.9588</v>
      </c>
      <c r="O710" s="395"/>
    </row>
    <row r="711" hidden="1" spans="1:15">
      <c r="A711" s="404">
        <v>0</v>
      </c>
      <c r="B711" s="404" t="e">
        <v>#N/A</v>
      </c>
      <c r="C711" s="404"/>
      <c r="D711" s="334"/>
      <c r="E711" s="434">
        <v>0</v>
      </c>
      <c r="F711" s="333" t="s">
        <v>104</v>
      </c>
      <c r="G711" s="334"/>
      <c r="H711" s="334"/>
      <c r="I711" s="435" t="e">
        <v>#N/A</v>
      </c>
      <c r="J711" s="334"/>
      <c r="K711" s="334"/>
      <c r="L711" s="346" t="s">
        <v>932</v>
      </c>
      <c r="N711" s="395" t="s">
        <v>932</v>
      </c>
      <c r="O711" s="395"/>
    </row>
    <row r="712" hidden="1" spans="1:15">
      <c r="A712" s="404">
        <v>0</v>
      </c>
      <c r="B712" s="404" t="e">
        <v>#N/A</v>
      </c>
      <c r="C712" s="404"/>
      <c r="D712" s="334"/>
      <c r="E712" s="434">
        <v>0</v>
      </c>
      <c r="F712" s="333" t="s">
        <v>104</v>
      </c>
      <c r="G712" s="334"/>
      <c r="H712" s="334"/>
      <c r="I712" s="435" t="e">
        <v>#N/A</v>
      </c>
      <c r="J712" s="334"/>
      <c r="K712" s="334"/>
      <c r="L712" s="346" t="s">
        <v>932</v>
      </c>
      <c r="N712" s="395" t="s">
        <v>932</v>
      </c>
      <c r="O712" s="395"/>
    </row>
    <row r="713" hidden="1" spans="1:15">
      <c r="A713" s="404">
        <v>0</v>
      </c>
      <c r="B713" s="404" t="e">
        <v>#N/A</v>
      </c>
      <c r="C713" s="404"/>
      <c r="D713" s="334"/>
      <c r="E713" s="434">
        <v>0</v>
      </c>
      <c r="F713" s="333" t="s">
        <v>104</v>
      </c>
      <c r="G713" s="334"/>
      <c r="H713" s="334"/>
      <c r="I713" s="435" t="e">
        <v>#N/A</v>
      </c>
      <c r="J713" s="334"/>
      <c r="K713" s="334"/>
      <c r="L713" s="346" t="s">
        <v>932</v>
      </c>
      <c r="N713" s="395" t="s">
        <v>932</v>
      </c>
      <c r="O713" s="395"/>
    </row>
    <row r="714" hidden="1" spans="1:15">
      <c r="A714" s="404">
        <v>0</v>
      </c>
      <c r="B714" s="404" t="e">
        <v>#N/A</v>
      </c>
      <c r="C714" s="404"/>
      <c r="D714" s="334"/>
      <c r="E714" s="434">
        <v>0</v>
      </c>
      <c r="F714" s="333" t="s">
        <v>104</v>
      </c>
      <c r="G714" s="334"/>
      <c r="H714" s="334"/>
      <c r="I714" s="435" t="e">
        <v>#N/A</v>
      </c>
      <c r="J714" s="334"/>
      <c r="K714" s="334"/>
      <c r="L714" s="346" t="s">
        <v>932</v>
      </c>
      <c r="N714" s="395" t="s">
        <v>932</v>
      </c>
      <c r="O714" s="395"/>
    </row>
    <row r="715" hidden="1" spans="1:15">
      <c r="A715" s="404">
        <v>0</v>
      </c>
      <c r="B715" s="404" t="e">
        <v>#N/A</v>
      </c>
      <c r="C715" s="404"/>
      <c r="D715" s="334"/>
      <c r="E715" s="434">
        <v>0</v>
      </c>
      <c r="F715" s="333" t="s">
        <v>104</v>
      </c>
      <c r="G715" s="334"/>
      <c r="H715" s="334"/>
      <c r="I715" s="435" t="e">
        <v>#N/A</v>
      </c>
      <c r="J715" s="334"/>
      <c r="K715" s="334"/>
      <c r="L715" s="346" t="s">
        <v>932</v>
      </c>
      <c r="N715" s="395" t="s">
        <v>932</v>
      </c>
      <c r="O715" s="395"/>
    </row>
    <row r="716" hidden="1" spans="1:15">
      <c r="A716" s="404">
        <v>0</v>
      </c>
      <c r="B716" s="436" t="e">
        <v>#N/A</v>
      </c>
      <c r="C716" s="436"/>
      <c r="D716" s="334"/>
      <c r="E716" s="434">
        <v>0</v>
      </c>
      <c r="F716" s="333" t="s">
        <v>104</v>
      </c>
      <c r="G716" s="334"/>
      <c r="H716" s="334"/>
      <c r="I716" s="435" t="e">
        <v>#N/A</v>
      </c>
      <c r="J716" s="334"/>
      <c r="K716" s="334"/>
      <c r="L716" s="346" t="s">
        <v>932</v>
      </c>
      <c r="N716" s="395" t="s">
        <v>932</v>
      </c>
      <c r="O716" s="395"/>
    </row>
    <row r="717" spans="1:15">
      <c r="A717" s="421"/>
      <c r="B717" s="62"/>
      <c r="C717" s="62"/>
      <c r="D717" s="422"/>
      <c r="E717" s="423"/>
      <c r="F717" s="424"/>
      <c r="G717" s="422"/>
      <c r="H717" s="422"/>
      <c r="I717" s="422"/>
      <c r="J717" s="422"/>
      <c r="K717" s="425" t="s">
        <v>14188</v>
      </c>
      <c r="L717" s="426">
        <v>97.1737</v>
      </c>
      <c r="N717" s="427">
        <v>97.1737</v>
      </c>
      <c r="O717" s="395"/>
    </row>
    <row r="718" spans="1:15">
      <c r="I718" s="437"/>
      <c r="K718" s="383" t="s">
        <v>14189</v>
      </c>
      <c r="L718" s="427">
        <v>174.8835</v>
      </c>
      <c r="N718" s="395">
        <v>145.4664</v>
      </c>
      <c r="O718" s="395"/>
    </row>
    <row r="719" spans="1:15">
      <c r="K719" s="383" t="s">
        <v>14190</v>
      </c>
      <c r="L719" s="427">
        <v>9.13229765013055</v>
      </c>
      <c r="N719" s="395">
        <v>7.59615665796345</v>
      </c>
      <c r="O719" s="395">
        <v>0</v>
      </c>
    </row>
    <row r="720" spans="1:15">
      <c r="K720" s="383" t="s">
        <v>14191</v>
      </c>
      <c r="L720" s="427">
        <v>0</v>
      </c>
      <c r="N720" s="395"/>
      <c r="O720" s="395"/>
    </row>
    <row r="721" spans="1:15">
      <c r="K721" s="383" t="s">
        <v>14192</v>
      </c>
      <c r="L721" s="395">
        <v>0</v>
      </c>
      <c r="N721" s="395"/>
      <c r="O721" s="395"/>
    </row>
    <row r="722" spans="1:15">
      <c r="A722" s="428" t="s">
        <v>14193</v>
      </c>
      <c r="B722" s="430"/>
      <c r="C722" s="430"/>
      <c r="D722" s="430"/>
      <c r="E722" s="431" t="s">
        <v>74</v>
      </c>
      <c r="F722" s="431" t="s">
        <v>1123</v>
      </c>
      <c r="G722" s="430"/>
      <c r="H722" s="430"/>
      <c r="I722" s="425" t="s">
        <v>75</v>
      </c>
      <c r="J722" s="430"/>
      <c r="K722" s="430"/>
      <c r="L722" s="426" t="s">
        <v>14194</v>
      </c>
      <c r="N722" s="395"/>
      <c r="O722" s="395"/>
    </row>
    <row r="723" spans="1:15">
      <c r="A723" s="404" t="s">
        <v>14297</v>
      </c>
      <c r="B723" s="433" t="s">
        <v>14298</v>
      </c>
      <c r="C723" s="433"/>
      <c r="D723" s="334"/>
      <c r="E723" s="434">
        <v>0.112</v>
      </c>
      <c r="F723" s="333" t="s">
        <v>101</v>
      </c>
      <c r="G723" s="334"/>
      <c r="I723" s="395">
        <v>67.6312</v>
      </c>
      <c r="J723" s="395"/>
      <c r="K723" s="395"/>
      <c r="L723" s="346">
        <v>7.5746944</v>
      </c>
      <c r="N723" s="395"/>
      <c r="O723" s="395"/>
    </row>
    <row r="724" hidden="1" spans="1:15">
      <c r="A724" s="404">
        <v>0</v>
      </c>
      <c r="B724" s="404" t="e">
        <v>#N/A</v>
      </c>
      <c r="C724" s="404"/>
      <c r="D724" s="334"/>
      <c r="E724" s="434">
        <v>0</v>
      </c>
      <c r="F724" s="333" t="e">
        <v>#N/A</v>
      </c>
      <c r="G724" s="334"/>
      <c r="I724" s="395" t="e">
        <v>#N/A</v>
      </c>
      <c r="J724" s="395"/>
      <c r="K724" s="395"/>
      <c r="L724" s="346" t="s">
        <v>932</v>
      </c>
      <c r="N724" s="395"/>
      <c r="O724" s="395"/>
    </row>
    <row r="725" hidden="1" spans="1:15">
      <c r="A725" s="404">
        <v>0</v>
      </c>
      <c r="B725" s="404" t="e">
        <v>#N/A</v>
      </c>
      <c r="C725" s="404"/>
      <c r="D725" s="334"/>
      <c r="E725" s="434">
        <v>0</v>
      </c>
      <c r="F725" s="333" t="e">
        <v>#N/A</v>
      </c>
      <c r="G725" s="334"/>
      <c r="I725" s="395" t="e">
        <v>#N/A</v>
      </c>
      <c r="J725" s="395"/>
      <c r="K725" s="395"/>
      <c r="L725" s="346" t="s">
        <v>932</v>
      </c>
      <c r="N725" s="395"/>
      <c r="O725" s="395"/>
    </row>
    <row r="726" hidden="1" spans="1:15">
      <c r="A726" s="404">
        <v>0</v>
      </c>
      <c r="B726" s="404" t="e">
        <v>#N/A</v>
      </c>
      <c r="C726" s="404"/>
      <c r="D726" s="334"/>
      <c r="E726" s="434">
        <v>0</v>
      </c>
      <c r="F726" s="333" t="e">
        <v>#N/A</v>
      </c>
      <c r="G726" s="334"/>
      <c r="I726" s="395" t="e">
        <v>#N/A</v>
      </c>
      <c r="J726" s="395"/>
      <c r="K726" s="395"/>
      <c r="L726" s="346" t="s">
        <v>932</v>
      </c>
      <c r="N726" s="395"/>
      <c r="O726" s="395"/>
    </row>
    <row r="727" hidden="1" spans="1:15">
      <c r="A727" s="404">
        <v>0</v>
      </c>
      <c r="B727" s="404" t="e">
        <v>#N/A</v>
      </c>
      <c r="C727" s="404"/>
      <c r="D727" s="334"/>
      <c r="E727" s="434">
        <v>0</v>
      </c>
      <c r="F727" s="333" t="e">
        <v>#N/A</v>
      </c>
      <c r="G727" s="334"/>
      <c r="H727" s="334"/>
      <c r="I727" s="395" t="e">
        <v>#N/A</v>
      </c>
      <c r="J727" s="395"/>
      <c r="K727" s="395"/>
      <c r="L727" s="346" t="s">
        <v>932</v>
      </c>
      <c r="N727" s="395"/>
      <c r="O727" s="395"/>
    </row>
    <row r="728" hidden="1" spans="1:15">
      <c r="A728" s="404">
        <v>0</v>
      </c>
      <c r="B728" s="404" t="e">
        <v>#N/A</v>
      </c>
      <c r="C728" s="404"/>
      <c r="D728" s="334"/>
      <c r="E728" s="434">
        <v>0</v>
      </c>
      <c r="F728" s="333" t="e">
        <v>#N/A</v>
      </c>
      <c r="G728" s="334"/>
      <c r="H728" s="334"/>
      <c r="I728" s="395" t="e">
        <v>#N/A</v>
      </c>
      <c r="J728" s="395"/>
      <c r="K728" s="395"/>
      <c r="L728" s="346" t="s">
        <v>932</v>
      </c>
      <c r="N728" s="395"/>
      <c r="O728" s="395"/>
    </row>
    <row r="729" hidden="1" spans="1:15">
      <c r="A729" s="404">
        <v>0</v>
      </c>
      <c r="B729" s="404" t="e">
        <v>#N/A</v>
      </c>
      <c r="C729" s="404"/>
      <c r="D729" s="334"/>
      <c r="E729" s="434">
        <v>0</v>
      </c>
      <c r="F729" s="333" t="e">
        <v>#N/A</v>
      </c>
      <c r="G729" s="334"/>
      <c r="H729" s="334"/>
      <c r="I729" s="395" t="e">
        <v>#N/A</v>
      </c>
      <c r="J729" s="395"/>
      <c r="K729" s="395"/>
      <c r="L729" s="346" t="s">
        <v>932</v>
      </c>
      <c r="N729" s="395"/>
      <c r="O729" s="395"/>
    </row>
    <row r="730" hidden="1" spans="1:15">
      <c r="A730" s="404">
        <v>0</v>
      </c>
      <c r="B730" s="436" t="e">
        <v>#N/A</v>
      </c>
      <c r="C730" s="436"/>
      <c r="D730" s="438"/>
      <c r="E730" s="434">
        <v>0</v>
      </c>
      <c r="F730" s="333" t="e">
        <v>#N/A</v>
      </c>
      <c r="G730" s="334"/>
      <c r="H730" s="334"/>
      <c r="I730" s="395" t="e">
        <v>#N/A</v>
      </c>
      <c r="J730" s="395"/>
      <c r="K730" s="395"/>
      <c r="L730" s="346" t="s">
        <v>932</v>
      </c>
      <c r="N730" s="395"/>
      <c r="O730" s="395"/>
    </row>
    <row r="731" spans="1:15">
      <c r="A731" s="421"/>
      <c r="B731" s="422"/>
      <c r="C731" s="422"/>
      <c r="D731" s="422"/>
      <c r="E731" s="423"/>
      <c r="F731" s="424"/>
      <c r="G731" s="422"/>
      <c r="H731" s="422"/>
      <c r="I731" s="430"/>
      <c r="J731" s="430"/>
      <c r="K731" s="425" t="s">
        <v>14203</v>
      </c>
      <c r="L731" s="426">
        <v>7.5746944</v>
      </c>
      <c r="N731" s="395"/>
      <c r="O731" s="395"/>
    </row>
    <row r="732" hidden="1" spans="1:15">
      <c r="A732" s="428" t="s">
        <v>14204</v>
      </c>
      <c r="B732" s="430"/>
      <c r="C732" s="430"/>
      <c r="D732" s="430"/>
      <c r="E732" s="431" t="s">
        <v>74</v>
      </c>
      <c r="F732" s="431" t="s">
        <v>1123</v>
      </c>
      <c r="G732" s="430"/>
      <c r="H732" s="430"/>
      <c r="I732" s="425" t="s">
        <v>75</v>
      </c>
      <c r="J732" s="430"/>
      <c r="K732" s="430"/>
      <c r="L732" s="426" t="s">
        <v>14194</v>
      </c>
      <c r="N732" s="395"/>
      <c r="O732" s="395"/>
    </row>
    <row r="733" hidden="1" spans="1:15">
      <c r="A733" s="404">
        <v>0</v>
      </c>
      <c r="B733" s="334" t="e">
        <v>#N/A</v>
      </c>
      <c r="C733" s="334"/>
      <c r="D733" s="334"/>
      <c r="E733" s="434">
        <v>0</v>
      </c>
      <c r="F733" s="333" t="e">
        <v>#N/A</v>
      </c>
      <c r="G733" s="439"/>
      <c r="I733" s="346" t="e">
        <v>#N/A</v>
      </c>
      <c r="L733" s="346" t="s">
        <v>932</v>
      </c>
      <c r="N733" s="395"/>
      <c r="O733" s="395"/>
    </row>
    <row r="734" hidden="1" spans="1:15">
      <c r="A734" s="401">
        <v>0</v>
      </c>
      <c r="B734" s="334" t="e">
        <v>#N/A</v>
      </c>
      <c r="E734" s="440">
        <v>0</v>
      </c>
      <c r="F734" s="333" t="e">
        <v>#N/A</v>
      </c>
      <c r="G734" s="439"/>
      <c r="I734" s="346" t="e">
        <v>#N/A</v>
      </c>
      <c r="L734" s="346" t="s">
        <v>932</v>
      </c>
      <c r="N734" s="395"/>
      <c r="O734" s="395"/>
    </row>
    <row r="735" hidden="1" spans="1:15">
      <c r="A735" s="401">
        <v>0</v>
      </c>
      <c r="B735" s="334" t="e">
        <v>#N/A</v>
      </c>
      <c r="E735" s="440">
        <v>0</v>
      </c>
      <c r="F735" s="333" t="e">
        <v>#N/A</v>
      </c>
      <c r="G735" s="439"/>
      <c r="I735" s="346" t="e">
        <v>#N/A</v>
      </c>
      <c r="L735" s="346" t="s">
        <v>932</v>
      </c>
      <c r="N735" s="395"/>
      <c r="O735" s="395"/>
    </row>
    <row r="736" hidden="1" spans="1:15">
      <c r="A736" s="401">
        <v>0</v>
      </c>
      <c r="B736" s="334" t="e">
        <v>#N/A</v>
      </c>
      <c r="E736" s="440">
        <v>0</v>
      </c>
      <c r="F736" s="333" t="e">
        <v>#N/A</v>
      </c>
      <c r="G736" s="439"/>
      <c r="I736" s="346" t="e">
        <v>#N/A</v>
      </c>
      <c r="L736" s="346" t="s">
        <v>932</v>
      </c>
      <c r="N736" s="395"/>
      <c r="O736" s="395"/>
    </row>
    <row r="737" hidden="1" spans="1:15">
      <c r="A737" s="401">
        <v>0</v>
      </c>
      <c r="B737" s="334" t="e">
        <v>#N/A</v>
      </c>
      <c r="E737" s="440">
        <v>0</v>
      </c>
      <c r="F737" s="333" t="e">
        <v>#N/A</v>
      </c>
      <c r="G737" s="439"/>
      <c r="I737" s="346" t="e">
        <v>#N/A</v>
      </c>
      <c r="L737" s="346" t="s">
        <v>932</v>
      </c>
      <c r="N737" s="395"/>
      <c r="O737" s="395"/>
    </row>
    <row r="738" hidden="1" spans="1:15">
      <c r="A738" s="401">
        <v>0</v>
      </c>
      <c r="B738" s="334" t="e">
        <v>#N/A</v>
      </c>
      <c r="E738" s="440">
        <v>0</v>
      </c>
      <c r="F738" s="333" t="e">
        <v>#N/A</v>
      </c>
      <c r="G738" s="439"/>
      <c r="I738" s="346" t="e">
        <v>#N/A</v>
      </c>
      <c r="L738" s="346" t="s">
        <v>932</v>
      </c>
      <c r="N738" s="395"/>
      <c r="O738" s="395"/>
    </row>
    <row r="739" hidden="1" spans="1:15">
      <c r="A739" s="421"/>
      <c r="B739" s="422"/>
      <c r="C739" s="422"/>
      <c r="D739" s="422"/>
      <c r="E739" s="422"/>
      <c r="F739" s="422"/>
      <c r="G739" s="422"/>
      <c r="H739" s="422"/>
      <c r="I739" s="430"/>
      <c r="J739" s="430"/>
      <c r="K739" s="425" t="s">
        <v>14206</v>
      </c>
      <c r="L739" s="426">
        <v>0</v>
      </c>
      <c r="N739" s="395"/>
      <c r="O739" s="395"/>
    </row>
    <row r="740" spans="1:15">
      <c r="A740" s="421"/>
      <c r="B740" s="422"/>
      <c r="C740" s="422"/>
      <c r="D740" s="422"/>
      <c r="E740" s="422"/>
      <c r="F740" s="422"/>
      <c r="G740" s="422"/>
      <c r="H740" s="422"/>
      <c r="I740" s="430"/>
      <c r="J740" s="430"/>
      <c r="K740" s="425" t="s">
        <v>14207</v>
      </c>
      <c r="L740" s="426">
        <v>16.7069920501306</v>
      </c>
      <c r="N740" s="395"/>
      <c r="O740" s="395"/>
    </row>
    <row r="741" spans="1:15">
      <c r="A741" s="428" t="s">
        <v>14208</v>
      </c>
      <c r="B741" s="430"/>
      <c r="C741" s="430"/>
      <c r="D741" s="431" t="s">
        <v>55</v>
      </c>
      <c r="E741" s="431" t="s">
        <v>74</v>
      </c>
      <c r="F741" s="431" t="s">
        <v>1123</v>
      </c>
      <c r="G741" s="430"/>
      <c r="H741" s="430"/>
      <c r="I741" s="425" t="s">
        <v>75</v>
      </c>
      <c r="J741" s="430"/>
      <c r="K741" s="430"/>
      <c r="L741" s="426" t="s">
        <v>14194</v>
      </c>
      <c r="N741" s="395"/>
      <c r="O741" s="395"/>
    </row>
    <row r="742" spans="1:15">
      <c r="A742" s="404" t="s">
        <v>14297</v>
      </c>
      <c r="B742" s="441" t="s">
        <v>14298</v>
      </c>
      <c r="C742" s="441"/>
      <c r="D742" s="442">
        <v>5914655</v>
      </c>
      <c r="E742" s="434">
        <v>0.00011</v>
      </c>
      <c r="F742" s="333" t="s">
        <v>9885</v>
      </c>
      <c r="G742" s="443" t="s">
        <v>14209</v>
      </c>
      <c r="H742" s="334"/>
      <c r="I742" s="346">
        <v>35.43</v>
      </c>
      <c r="J742" s="334"/>
      <c r="K742" s="346"/>
      <c r="L742" s="346">
        <v>0.0038973</v>
      </c>
      <c r="N742" s="395"/>
      <c r="O742" s="395"/>
    </row>
    <row r="743" hidden="1" spans="1:15">
      <c r="A743" s="404">
        <v>0</v>
      </c>
      <c r="B743" s="334" t="e">
        <v>#N/A</v>
      </c>
      <c r="C743" s="334"/>
      <c r="D743" s="442">
        <v>0</v>
      </c>
      <c r="E743" s="434">
        <v>0</v>
      </c>
      <c r="F743" s="333" t="s">
        <v>9885</v>
      </c>
      <c r="G743" s="334"/>
      <c r="H743" s="334"/>
      <c r="I743" s="346">
        <v>0</v>
      </c>
      <c r="J743" s="334"/>
      <c r="K743" s="346"/>
      <c r="L743" s="346" t="s">
        <v>932</v>
      </c>
      <c r="N743" s="395"/>
      <c r="O743" s="395"/>
    </row>
    <row r="744" hidden="1" spans="1:15">
      <c r="A744" s="404">
        <v>0</v>
      </c>
      <c r="B744" s="334" t="e">
        <v>#N/A</v>
      </c>
      <c r="C744" s="334"/>
      <c r="D744" s="442">
        <v>0</v>
      </c>
      <c r="E744" s="434">
        <v>0</v>
      </c>
      <c r="F744" s="333" t="s">
        <v>9885</v>
      </c>
      <c r="G744" s="334"/>
      <c r="H744" s="334"/>
      <c r="I744" s="346">
        <v>0</v>
      </c>
      <c r="J744" s="334"/>
      <c r="K744" s="346"/>
      <c r="L744" s="346" t="s">
        <v>932</v>
      </c>
      <c r="N744" s="395"/>
      <c r="O744" s="395"/>
    </row>
    <row r="745" hidden="1" spans="1:15">
      <c r="A745" s="404">
        <v>0</v>
      </c>
      <c r="B745" s="334" t="e">
        <v>#N/A</v>
      </c>
      <c r="C745" s="334"/>
      <c r="D745" s="442">
        <v>0</v>
      </c>
      <c r="E745" s="434">
        <v>0</v>
      </c>
      <c r="F745" s="333" t="s">
        <v>9885</v>
      </c>
      <c r="G745" s="334"/>
      <c r="H745" s="334"/>
      <c r="I745" s="346">
        <v>0</v>
      </c>
      <c r="J745" s="334"/>
      <c r="K745" s="346"/>
      <c r="L745" s="346" t="s">
        <v>932</v>
      </c>
      <c r="N745" s="395"/>
      <c r="O745" s="395"/>
    </row>
    <row r="746" hidden="1" spans="1:15">
      <c r="A746" s="404">
        <v>0</v>
      </c>
      <c r="B746" s="334" t="e">
        <v>#N/A</v>
      </c>
      <c r="C746" s="334"/>
      <c r="D746" s="442">
        <v>0</v>
      </c>
      <c r="E746" s="434">
        <v>0</v>
      </c>
      <c r="F746" s="333" t="s">
        <v>9885</v>
      </c>
      <c r="G746" s="334"/>
      <c r="H746" s="334"/>
      <c r="I746" s="346">
        <v>0</v>
      </c>
      <c r="J746" s="334"/>
      <c r="K746" s="346"/>
      <c r="L746" s="346" t="s">
        <v>932</v>
      </c>
      <c r="N746" s="395"/>
      <c r="O746" s="395"/>
    </row>
    <row r="747" hidden="1" spans="1:15">
      <c r="A747" s="404">
        <v>0</v>
      </c>
      <c r="B747" s="334" t="e">
        <v>#N/A</v>
      </c>
      <c r="C747" s="334"/>
      <c r="D747" s="442">
        <v>0</v>
      </c>
      <c r="E747" s="434">
        <v>0</v>
      </c>
      <c r="F747" s="333" t="s">
        <v>9885</v>
      </c>
      <c r="G747" s="334"/>
      <c r="H747" s="334"/>
      <c r="I747" s="346">
        <v>0</v>
      </c>
      <c r="J747" s="334"/>
      <c r="K747" s="346"/>
      <c r="L747" s="346" t="s">
        <v>932</v>
      </c>
      <c r="N747" s="395"/>
      <c r="O747" s="395"/>
    </row>
    <row r="748" hidden="1" spans="1:15">
      <c r="A748" s="404">
        <v>0</v>
      </c>
      <c r="B748" s="334" t="e">
        <v>#N/A</v>
      </c>
      <c r="C748" s="334"/>
      <c r="D748" s="442">
        <v>0</v>
      </c>
      <c r="E748" s="434">
        <v>0</v>
      </c>
      <c r="F748" s="333" t="s">
        <v>9885</v>
      </c>
      <c r="G748" s="334"/>
      <c r="H748" s="334"/>
      <c r="I748" s="346">
        <v>0</v>
      </c>
      <c r="J748" s="334"/>
      <c r="K748" s="346"/>
      <c r="L748" s="346" t="s">
        <v>932</v>
      </c>
      <c r="N748" s="395"/>
      <c r="O748" s="395"/>
    </row>
    <row r="749" hidden="1" spans="1:15">
      <c r="A749" s="404">
        <v>0</v>
      </c>
      <c r="B749" s="444" t="e">
        <v>#N/A</v>
      </c>
      <c r="C749" s="444"/>
      <c r="D749" s="442">
        <v>0</v>
      </c>
      <c r="E749" s="434">
        <v>0</v>
      </c>
      <c r="F749" s="333" t="s">
        <v>9885</v>
      </c>
      <c r="G749" s="334"/>
      <c r="H749" s="334"/>
      <c r="I749" s="346">
        <v>0</v>
      </c>
      <c r="J749" s="334"/>
      <c r="K749" s="346"/>
      <c r="L749" s="346" t="s">
        <v>932</v>
      </c>
      <c r="N749" s="395"/>
      <c r="O749" s="395"/>
    </row>
    <row r="750" spans="1:15">
      <c r="A750" s="428"/>
      <c r="B750" s="445"/>
      <c r="C750" s="445"/>
      <c r="D750" s="430"/>
      <c r="E750" s="430"/>
      <c r="F750" s="430"/>
      <c r="G750" s="430"/>
      <c r="H750" s="430"/>
      <c r="I750" s="430"/>
      <c r="J750" s="430"/>
      <c r="K750" s="425" t="s">
        <v>14210</v>
      </c>
      <c r="L750" s="426">
        <v>0.0038973</v>
      </c>
      <c r="N750" s="395"/>
      <c r="O750" s="395"/>
    </row>
    <row r="751" hidden="1" spans="1:15">
      <c r="A751" s="446" t="s">
        <v>14211</v>
      </c>
      <c r="B751" s="445"/>
      <c r="C751" s="445"/>
      <c r="D751" s="447" t="s">
        <v>55</v>
      </c>
      <c r="E751" s="445" t="s">
        <v>74</v>
      </c>
      <c r="F751" s="447" t="s">
        <v>1123</v>
      </c>
      <c r="G751" s="445"/>
      <c r="H751" s="447" t="s">
        <v>72</v>
      </c>
      <c r="I751" s="447" t="s">
        <v>75</v>
      </c>
      <c r="J751" s="445"/>
      <c r="K751" s="448"/>
      <c r="L751" s="449" t="s">
        <v>14194</v>
      </c>
      <c r="N751" s="395"/>
      <c r="O751" s="395"/>
    </row>
    <row r="752" hidden="1" spans="1:15">
      <c r="A752" s="404" t="s">
        <v>14297</v>
      </c>
      <c r="B752" s="433" t="s">
        <v>14298</v>
      </c>
      <c r="C752" s="433"/>
      <c r="D752" s="442">
        <v>5914449</v>
      </c>
      <c r="E752" s="450">
        <v>0.00011</v>
      </c>
      <c r="F752" s="333" t="s">
        <v>13063</v>
      </c>
      <c r="G752" s="333" t="s">
        <v>14212</v>
      </c>
      <c r="H752" s="346">
        <v>0</v>
      </c>
      <c r="I752" s="346">
        <v>1.11</v>
      </c>
      <c r="J752" s="346"/>
      <c r="K752" s="334"/>
      <c r="L752" s="346">
        <v>0</v>
      </c>
      <c r="N752" s="395"/>
      <c r="O752" s="395"/>
    </row>
    <row r="753" hidden="1" spans="1:15">
      <c r="A753" s="404"/>
      <c r="B753" s="404"/>
      <c r="C753" s="334"/>
      <c r="D753" s="442">
        <v>5914464</v>
      </c>
      <c r="E753" s="450">
        <v>0.00011</v>
      </c>
      <c r="F753" s="333" t="s">
        <v>13063</v>
      </c>
      <c r="G753" s="333" t="s">
        <v>14213</v>
      </c>
      <c r="H753" s="346">
        <v>0</v>
      </c>
      <c r="I753" s="346">
        <v>0.89</v>
      </c>
      <c r="J753" s="346"/>
      <c r="K753" s="334"/>
      <c r="L753" s="346">
        <v>0</v>
      </c>
      <c r="N753" s="395"/>
      <c r="O753" s="395"/>
    </row>
    <row r="754" hidden="1" spans="1:15">
      <c r="A754" s="404"/>
      <c r="B754" s="404"/>
      <c r="C754" s="334"/>
      <c r="D754" s="442">
        <v>5914479</v>
      </c>
      <c r="E754" s="450">
        <v>0.00011</v>
      </c>
      <c r="F754" s="333" t="s">
        <v>13063</v>
      </c>
      <c r="G754" s="333" t="s">
        <v>14214</v>
      </c>
      <c r="H754" s="346">
        <v>0</v>
      </c>
      <c r="I754" s="346">
        <v>0.73</v>
      </c>
      <c r="J754" s="346"/>
      <c r="K754" s="334"/>
      <c r="L754" s="346">
        <v>0</v>
      </c>
      <c r="N754" s="395"/>
      <c r="O754" s="395"/>
    </row>
    <row r="755" hidden="1" spans="1:15">
      <c r="A755" s="404">
        <v>0</v>
      </c>
      <c r="B755" s="404" t="e">
        <v>#N/A</v>
      </c>
      <c r="C755" s="404"/>
      <c r="D755" s="442">
        <v>0</v>
      </c>
      <c r="E755" s="450">
        <v>0</v>
      </c>
      <c r="F755" s="333" t="s">
        <v>13063</v>
      </c>
      <c r="G755" s="333" t="s">
        <v>14212</v>
      </c>
      <c r="H755" s="346">
        <v>0</v>
      </c>
      <c r="I755" s="346">
        <v>0</v>
      </c>
      <c r="J755" s="346"/>
      <c r="K755" s="334"/>
      <c r="L755" s="346" t="s">
        <v>932</v>
      </c>
      <c r="N755" s="395"/>
      <c r="O755" s="395"/>
    </row>
    <row r="756" hidden="1" spans="1:15">
      <c r="A756" s="404"/>
      <c r="B756" s="404"/>
      <c r="C756" s="334"/>
      <c r="D756" s="442">
        <v>0</v>
      </c>
      <c r="E756" s="450">
        <v>0</v>
      </c>
      <c r="F756" s="333" t="s">
        <v>13063</v>
      </c>
      <c r="G756" s="333" t="s">
        <v>14213</v>
      </c>
      <c r="H756" s="346">
        <v>0</v>
      </c>
      <c r="I756" s="346">
        <v>0</v>
      </c>
      <c r="J756" s="346"/>
      <c r="K756" s="334"/>
      <c r="L756" s="346" t="s">
        <v>932</v>
      </c>
      <c r="N756" s="395"/>
      <c r="O756" s="395"/>
    </row>
    <row r="757" hidden="1" spans="1:15">
      <c r="A757" s="404"/>
      <c r="B757" s="404"/>
      <c r="C757" s="334"/>
      <c r="D757" s="442">
        <v>0</v>
      </c>
      <c r="E757" s="450">
        <v>0</v>
      </c>
      <c r="F757" s="333" t="s">
        <v>13063</v>
      </c>
      <c r="G757" s="333" t="s">
        <v>14214</v>
      </c>
      <c r="H757" s="346">
        <v>0</v>
      </c>
      <c r="I757" s="346">
        <v>0</v>
      </c>
      <c r="J757" s="346"/>
      <c r="K757" s="334"/>
      <c r="L757" s="346" t="s">
        <v>932</v>
      </c>
      <c r="N757" s="395"/>
      <c r="O757" s="395"/>
    </row>
    <row r="758" hidden="1" spans="1:15">
      <c r="A758" s="404">
        <v>0</v>
      </c>
      <c r="B758" s="404" t="e">
        <v>#N/A</v>
      </c>
      <c r="C758" s="404"/>
      <c r="D758" s="442">
        <v>0</v>
      </c>
      <c r="E758" s="450">
        <v>0</v>
      </c>
      <c r="F758" s="333" t="s">
        <v>13063</v>
      </c>
      <c r="G758" s="333" t="s">
        <v>14212</v>
      </c>
      <c r="H758" s="346">
        <v>0</v>
      </c>
      <c r="I758" s="346">
        <v>0</v>
      </c>
      <c r="J758" s="346"/>
      <c r="K758" s="334"/>
      <c r="L758" s="346" t="s">
        <v>932</v>
      </c>
      <c r="N758" s="395"/>
      <c r="O758" s="395"/>
    </row>
    <row r="759" hidden="1" spans="1:15">
      <c r="A759" s="404"/>
      <c r="B759" s="404"/>
      <c r="C759" s="334"/>
      <c r="D759" s="442">
        <v>0</v>
      </c>
      <c r="E759" s="450">
        <v>0</v>
      </c>
      <c r="F759" s="333" t="s">
        <v>13063</v>
      </c>
      <c r="G759" s="333" t="s">
        <v>14213</v>
      </c>
      <c r="H759" s="346">
        <v>0</v>
      </c>
      <c r="I759" s="346">
        <v>0</v>
      </c>
      <c r="J759" s="346"/>
      <c r="K759" s="334"/>
      <c r="L759" s="346" t="s">
        <v>932</v>
      </c>
      <c r="N759" s="395"/>
      <c r="O759" s="395"/>
    </row>
    <row r="760" hidden="1" spans="1:15">
      <c r="A760" s="404"/>
      <c r="B760" s="404"/>
      <c r="C760" s="334"/>
      <c r="D760" s="442">
        <v>0</v>
      </c>
      <c r="E760" s="450">
        <v>0</v>
      </c>
      <c r="F760" s="333" t="s">
        <v>13063</v>
      </c>
      <c r="G760" s="333" t="s">
        <v>14214</v>
      </c>
      <c r="H760" s="346">
        <v>0</v>
      </c>
      <c r="I760" s="346">
        <v>0</v>
      </c>
      <c r="J760" s="346"/>
      <c r="K760" s="334"/>
      <c r="L760" s="346" t="s">
        <v>932</v>
      </c>
      <c r="N760" s="395"/>
      <c r="O760" s="395"/>
    </row>
    <row r="761" hidden="1" spans="1:15">
      <c r="A761" s="404">
        <v>0</v>
      </c>
      <c r="B761" s="404" t="e">
        <v>#N/A</v>
      </c>
      <c r="C761" s="404"/>
      <c r="D761" s="442">
        <v>0</v>
      </c>
      <c r="E761" s="450">
        <v>0</v>
      </c>
      <c r="F761" s="333" t="s">
        <v>13063</v>
      </c>
      <c r="G761" s="333" t="s">
        <v>14212</v>
      </c>
      <c r="H761" s="346">
        <v>0</v>
      </c>
      <c r="I761" s="346">
        <v>0</v>
      </c>
      <c r="J761" s="346"/>
      <c r="K761" s="334"/>
      <c r="L761" s="346" t="s">
        <v>932</v>
      </c>
      <c r="N761" s="395"/>
      <c r="O761" s="395"/>
    </row>
    <row r="762" hidden="1" spans="1:15">
      <c r="A762" s="404"/>
      <c r="B762" s="404"/>
      <c r="C762" s="334"/>
      <c r="D762" s="442">
        <v>0</v>
      </c>
      <c r="E762" s="450">
        <v>0</v>
      </c>
      <c r="F762" s="333" t="s">
        <v>13063</v>
      </c>
      <c r="G762" s="333" t="s">
        <v>14213</v>
      </c>
      <c r="H762" s="346">
        <v>0</v>
      </c>
      <c r="I762" s="346">
        <v>0</v>
      </c>
      <c r="J762" s="346"/>
      <c r="K762" s="334"/>
      <c r="L762" s="346" t="s">
        <v>932</v>
      </c>
      <c r="N762" s="395"/>
      <c r="O762" s="395"/>
    </row>
    <row r="763" hidden="1" spans="1:15">
      <c r="A763" s="404"/>
      <c r="B763" s="404"/>
      <c r="C763" s="334"/>
      <c r="D763" s="442">
        <v>0</v>
      </c>
      <c r="E763" s="450">
        <v>0</v>
      </c>
      <c r="F763" s="333" t="s">
        <v>13063</v>
      </c>
      <c r="G763" s="333" t="s">
        <v>14214</v>
      </c>
      <c r="H763" s="346">
        <v>0</v>
      </c>
      <c r="I763" s="346">
        <v>0</v>
      </c>
      <c r="J763" s="346"/>
      <c r="K763" s="334"/>
      <c r="L763" s="346" t="s">
        <v>932</v>
      </c>
      <c r="N763" s="395"/>
      <c r="O763" s="395"/>
    </row>
    <row r="764" hidden="1" spans="1:15">
      <c r="A764" s="404">
        <v>0</v>
      </c>
      <c r="B764" s="404" t="e">
        <v>#N/A</v>
      </c>
      <c r="C764" s="404"/>
      <c r="D764" s="442">
        <v>0</v>
      </c>
      <c r="E764" s="450">
        <v>0</v>
      </c>
      <c r="F764" s="333" t="s">
        <v>13063</v>
      </c>
      <c r="G764" s="333" t="s">
        <v>14212</v>
      </c>
      <c r="H764" s="346">
        <v>0</v>
      </c>
      <c r="I764" s="346">
        <v>0</v>
      </c>
      <c r="J764" s="346"/>
      <c r="K764" s="334"/>
      <c r="L764" s="346" t="s">
        <v>932</v>
      </c>
      <c r="N764" s="395"/>
      <c r="O764" s="395"/>
    </row>
    <row r="765" hidden="1" spans="1:15">
      <c r="A765" s="404"/>
      <c r="B765" s="404"/>
      <c r="C765" s="334"/>
      <c r="D765" s="442">
        <v>0</v>
      </c>
      <c r="E765" s="450">
        <v>0</v>
      </c>
      <c r="F765" s="333" t="s">
        <v>13063</v>
      </c>
      <c r="G765" s="333" t="s">
        <v>14213</v>
      </c>
      <c r="H765" s="346">
        <v>0</v>
      </c>
      <c r="I765" s="346">
        <v>0</v>
      </c>
      <c r="J765" s="346"/>
      <c r="K765" s="334"/>
      <c r="L765" s="346" t="s">
        <v>932</v>
      </c>
      <c r="N765" s="395"/>
      <c r="O765" s="395"/>
    </row>
    <row r="766" hidden="1" spans="1:15">
      <c r="A766" s="404"/>
      <c r="B766" s="404"/>
      <c r="C766" s="334"/>
      <c r="D766" s="442">
        <v>0</v>
      </c>
      <c r="E766" s="450">
        <v>0</v>
      </c>
      <c r="F766" s="333" t="s">
        <v>13063</v>
      </c>
      <c r="G766" s="333" t="s">
        <v>14214</v>
      </c>
      <c r="H766" s="346">
        <v>0</v>
      </c>
      <c r="I766" s="346">
        <v>0</v>
      </c>
      <c r="J766" s="346"/>
      <c r="K766" s="334"/>
      <c r="L766" s="346" t="s">
        <v>932</v>
      </c>
      <c r="N766" s="395"/>
      <c r="O766" s="395"/>
    </row>
    <row r="767" hidden="1" spans="1:15">
      <c r="A767" s="401">
        <v>0</v>
      </c>
      <c r="B767" s="401" t="e">
        <v>#N/A</v>
      </c>
      <c r="C767" s="401"/>
      <c r="D767" s="442">
        <v>0</v>
      </c>
      <c r="E767" s="450">
        <v>0</v>
      </c>
      <c r="F767" s="439" t="s">
        <v>13063</v>
      </c>
      <c r="G767" s="439" t="s">
        <v>14212</v>
      </c>
      <c r="H767" s="346">
        <v>0</v>
      </c>
      <c r="I767" s="346">
        <v>0</v>
      </c>
      <c r="J767" s="395"/>
      <c r="L767" s="346" t="s">
        <v>932</v>
      </c>
      <c r="N767" s="395"/>
      <c r="O767" s="395"/>
    </row>
    <row r="768" hidden="1" spans="1:15">
      <c r="A768" s="401"/>
      <c r="B768" s="401"/>
      <c r="D768" s="442">
        <v>0</v>
      </c>
      <c r="E768" s="450">
        <v>0</v>
      </c>
      <c r="F768" s="439" t="s">
        <v>13063</v>
      </c>
      <c r="G768" s="439" t="s">
        <v>14213</v>
      </c>
      <c r="H768" s="346">
        <v>0</v>
      </c>
      <c r="I768" s="346">
        <v>0</v>
      </c>
      <c r="J768" s="395"/>
      <c r="L768" s="346" t="s">
        <v>932</v>
      </c>
      <c r="N768" s="395"/>
      <c r="O768" s="395"/>
    </row>
    <row r="769" hidden="1" spans="1:15">
      <c r="A769" s="401"/>
      <c r="B769" s="401"/>
      <c r="D769" s="442">
        <v>0</v>
      </c>
      <c r="E769" s="450">
        <v>0</v>
      </c>
      <c r="F769" s="439" t="s">
        <v>13063</v>
      </c>
      <c r="G769" s="439" t="s">
        <v>14214</v>
      </c>
      <c r="H769" s="346">
        <v>0</v>
      </c>
      <c r="I769" s="346">
        <v>0</v>
      </c>
      <c r="J769" s="395"/>
      <c r="L769" s="346" t="s">
        <v>932</v>
      </c>
      <c r="N769" s="395"/>
      <c r="O769" s="395"/>
    </row>
    <row r="770" hidden="1" spans="1:15">
      <c r="A770" s="401">
        <v>0</v>
      </c>
      <c r="B770" s="401" t="e">
        <v>#N/A</v>
      </c>
      <c r="C770" s="401"/>
      <c r="D770" s="442">
        <v>0</v>
      </c>
      <c r="E770" s="450">
        <v>0</v>
      </c>
      <c r="F770" s="439" t="s">
        <v>13063</v>
      </c>
      <c r="G770" s="439" t="s">
        <v>14212</v>
      </c>
      <c r="H770" s="346">
        <v>0</v>
      </c>
      <c r="I770" s="346">
        <v>0</v>
      </c>
      <c r="J770" s="395"/>
      <c r="L770" s="346" t="s">
        <v>932</v>
      </c>
      <c r="N770" s="395"/>
      <c r="O770" s="395"/>
    </row>
    <row r="771" hidden="1" spans="1:15">
      <c r="A771" s="401"/>
      <c r="B771" s="401"/>
      <c r="D771" s="442">
        <v>0</v>
      </c>
      <c r="E771" s="450">
        <v>0</v>
      </c>
      <c r="F771" s="439" t="s">
        <v>13063</v>
      </c>
      <c r="G771" s="439" t="s">
        <v>14213</v>
      </c>
      <c r="H771" s="346">
        <v>0</v>
      </c>
      <c r="I771" s="346">
        <v>0</v>
      </c>
      <c r="J771" s="395"/>
      <c r="L771" s="346" t="s">
        <v>932</v>
      </c>
      <c r="N771" s="395"/>
      <c r="O771" s="395"/>
    </row>
    <row r="772" hidden="1" spans="1:15">
      <c r="A772" s="401"/>
      <c r="B772" s="401"/>
      <c r="D772" s="442">
        <v>0</v>
      </c>
      <c r="E772" s="450">
        <v>0</v>
      </c>
      <c r="F772" s="439" t="s">
        <v>13063</v>
      </c>
      <c r="G772" s="439" t="s">
        <v>14214</v>
      </c>
      <c r="H772" s="346">
        <v>0</v>
      </c>
      <c r="I772" s="346">
        <v>0</v>
      </c>
      <c r="J772" s="395"/>
      <c r="L772" s="346" t="s">
        <v>932</v>
      </c>
      <c r="N772" s="395"/>
      <c r="O772" s="395"/>
    </row>
    <row r="773" hidden="1" spans="1:15">
      <c r="A773" s="401">
        <v>0</v>
      </c>
      <c r="B773" s="401" t="e">
        <v>#N/A</v>
      </c>
      <c r="C773" s="401"/>
      <c r="D773" s="442">
        <v>0</v>
      </c>
      <c r="E773" s="450">
        <v>0</v>
      </c>
      <c r="F773" s="439" t="s">
        <v>13063</v>
      </c>
      <c r="G773" s="439" t="s">
        <v>14212</v>
      </c>
      <c r="H773" s="346">
        <v>0</v>
      </c>
      <c r="I773" s="346">
        <v>0</v>
      </c>
      <c r="J773" s="395"/>
      <c r="L773" s="346" t="s">
        <v>932</v>
      </c>
      <c r="N773" s="395"/>
      <c r="O773" s="395"/>
    </row>
    <row r="774" hidden="1" spans="1:15">
      <c r="A774" s="401"/>
      <c r="B774" s="401"/>
      <c r="D774" s="442">
        <v>0</v>
      </c>
      <c r="E774" s="450">
        <v>0</v>
      </c>
      <c r="F774" s="439" t="s">
        <v>13063</v>
      </c>
      <c r="G774" s="439" t="s">
        <v>14213</v>
      </c>
      <c r="H774" s="346">
        <v>0</v>
      </c>
      <c r="I774" s="346">
        <v>0</v>
      </c>
      <c r="J774" s="395"/>
      <c r="L774" s="346" t="s">
        <v>932</v>
      </c>
      <c r="N774" s="395"/>
      <c r="O774" s="395"/>
    </row>
    <row r="775" hidden="1" spans="1:15">
      <c r="A775" s="401"/>
      <c r="B775" s="401"/>
      <c r="D775" s="442">
        <v>0</v>
      </c>
      <c r="E775" s="450">
        <v>0</v>
      </c>
      <c r="F775" s="439" t="s">
        <v>13063</v>
      </c>
      <c r="G775" s="439" t="s">
        <v>14214</v>
      </c>
      <c r="H775" s="346">
        <v>0</v>
      </c>
      <c r="I775" s="346">
        <v>0</v>
      </c>
      <c r="J775" s="395"/>
      <c r="L775" s="346" t="s">
        <v>932</v>
      </c>
      <c r="N775" s="395"/>
      <c r="O775" s="395"/>
    </row>
    <row r="776" hidden="1" spans="1:15">
      <c r="A776" s="421"/>
      <c r="B776" s="422"/>
      <c r="C776" s="422"/>
      <c r="D776" s="422"/>
      <c r="E776" s="422"/>
      <c r="F776" s="422"/>
      <c r="G776" s="422"/>
      <c r="H776" s="422"/>
      <c r="I776" s="430"/>
      <c r="J776" s="430"/>
      <c r="K776" s="425" t="s">
        <v>14215</v>
      </c>
      <c r="L776" s="426">
        <v>0</v>
      </c>
      <c r="N776" s="395"/>
      <c r="O776" s="395"/>
    </row>
    <row r="777" spans="1:15">
      <c r="A777" s="451"/>
      <c r="B777" s="452"/>
      <c r="C777" s="452"/>
      <c r="D777" s="452"/>
      <c r="E777" s="452"/>
      <c r="F777" s="452"/>
      <c r="G777" s="452"/>
      <c r="H777" s="452"/>
      <c r="I777" s="453"/>
      <c r="J777" s="453"/>
      <c r="K777" s="454" t="s">
        <v>14216</v>
      </c>
      <c r="L777" s="455">
        <v>16.71</v>
      </c>
      <c r="N777" s="395"/>
      <c r="O777" s="395"/>
    </row>
    <row r="779" spans="1:15">
      <c r="A779" s="391" t="s">
        <v>14172</v>
      </c>
      <c r="B779" s="457"/>
      <c r="C779" s="457"/>
      <c r="D779" s="457"/>
      <c r="E779" s="457"/>
      <c r="F779" s="457"/>
      <c r="G779" s="393"/>
      <c r="H779" s="393"/>
      <c r="I779" s="393"/>
      <c r="J779" s="393"/>
      <c r="K779" s="393"/>
      <c r="L779" s="394"/>
      <c r="N779" s="395"/>
      <c r="O779" s="395"/>
    </row>
    <row r="780" spans="1:15">
      <c r="A780" s="396">
        <v>5213417</v>
      </c>
      <c r="B780" s="397" t="s">
        <v>11540</v>
      </c>
      <c r="C780" s="397"/>
      <c r="D780" s="397"/>
      <c r="E780" s="397"/>
      <c r="F780" s="397"/>
      <c r="G780" s="397"/>
      <c r="H780" s="397" t="s">
        <v>7</v>
      </c>
      <c r="I780" s="398">
        <v>46023</v>
      </c>
      <c r="J780" s="397"/>
      <c r="K780" s="399" t="s">
        <v>14173</v>
      </c>
      <c r="L780" s="400">
        <v>0</v>
      </c>
      <c r="N780" s="395"/>
      <c r="O780" s="395"/>
    </row>
    <row r="781" spans="1:15">
      <c r="A781" s="401"/>
      <c r="H781" s="402" t="s">
        <v>14174</v>
      </c>
      <c r="I781" s="434">
        <v>4</v>
      </c>
      <c r="J781" s="404" t="s">
        <v>7</v>
      </c>
      <c r="K781" s="402" t="s">
        <v>14175</v>
      </c>
      <c r="L781" s="346">
        <v>0</v>
      </c>
      <c r="N781" s="395"/>
      <c r="O781" s="395"/>
    </row>
    <row r="782" spans="1:15">
      <c r="A782" s="405"/>
      <c r="B782" s="405"/>
      <c r="C782" s="405"/>
      <c r="D782" s="406"/>
      <c r="E782" s="406"/>
      <c r="F782" s="406"/>
      <c r="G782" s="407" t="s">
        <v>14176</v>
      </c>
      <c r="H782" s="407"/>
      <c r="I782" s="407" t="s">
        <v>14177</v>
      </c>
      <c r="J782" s="407"/>
      <c r="K782" s="405"/>
      <c r="L782" s="409" t="s">
        <v>14178</v>
      </c>
      <c r="N782" s="395"/>
      <c r="O782" s="395"/>
    </row>
    <row r="783" spans="1:15">
      <c r="A783" s="410" t="s">
        <v>14179</v>
      </c>
      <c r="B783" s="411"/>
      <c r="C783" s="412"/>
      <c r="D783" s="412"/>
      <c r="E783" s="413" t="s">
        <v>74</v>
      </c>
      <c r="F783" s="412"/>
      <c r="G783" s="413" t="s">
        <v>14180</v>
      </c>
      <c r="H783" s="413" t="s">
        <v>14181</v>
      </c>
      <c r="I783" s="413" t="s">
        <v>14182</v>
      </c>
      <c r="J783" s="413" t="s">
        <v>14183</v>
      </c>
      <c r="K783" s="411"/>
      <c r="L783" s="414" t="s">
        <v>14184</v>
      </c>
      <c r="N783" s="395"/>
      <c r="O783" s="395"/>
    </row>
    <row r="784" spans="1:15">
      <c r="A784" s="404" t="s">
        <v>14299</v>
      </c>
      <c r="B784" s="415" t="s">
        <v>14300</v>
      </c>
      <c r="C784" s="415"/>
      <c r="E784" s="434">
        <v>0.1506</v>
      </c>
      <c r="F784" s="334"/>
      <c r="G784" s="346">
        <v>1</v>
      </c>
      <c r="H784" s="417">
        <v>0</v>
      </c>
      <c r="I784" s="395">
        <v>0.3683</v>
      </c>
      <c r="J784" s="418">
        <v>0.2389</v>
      </c>
      <c r="K784" s="402"/>
      <c r="L784" s="395">
        <v>0.05546598</v>
      </c>
      <c r="N784" s="395">
        <v>0.03597834</v>
      </c>
      <c r="O784" s="395"/>
    </row>
    <row r="785" spans="1:15">
      <c r="A785" s="404" t="s">
        <v>14295</v>
      </c>
      <c r="B785" s="404" t="s">
        <v>14296</v>
      </c>
      <c r="C785" s="404"/>
      <c r="D785" s="334"/>
      <c r="E785" s="434">
        <v>0.48193</v>
      </c>
      <c r="F785" s="334"/>
      <c r="G785" s="346">
        <v>1</v>
      </c>
      <c r="H785" s="417">
        <v>0</v>
      </c>
      <c r="I785" s="346">
        <v>31.1465</v>
      </c>
      <c r="J785" s="419">
        <v>7.7958</v>
      </c>
      <c r="K785" s="420"/>
      <c r="L785" s="395">
        <v>15.010432745</v>
      </c>
      <c r="N785" s="395">
        <v>3.757029894</v>
      </c>
      <c r="O785" s="395"/>
    </row>
    <row r="786" spans="1:15">
      <c r="A786" s="404" t="s">
        <v>14301</v>
      </c>
      <c r="B786" s="404" t="s">
        <v>14302</v>
      </c>
      <c r="C786" s="404"/>
      <c r="D786" s="334"/>
      <c r="E786" s="416">
        <v>0.2008</v>
      </c>
      <c r="F786" s="334"/>
      <c r="G786" s="346">
        <v>1</v>
      </c>
      <c r="H786" s="417">
        <v>0</v>
      </c>
      <c r="I786" s="346">
        <v>14.8139</v>
      </c>
      <c r="J786" s="419">
        <v>9.4166</v>
      </c>
      <c r="K786" s="420"/>
      <c r="L786" s="395">
        <v>2.97463112</v>
      </c>
      <c r="N786" s="395">
        <v>1.89085328</v>
      </c>
      <c r="O786" s="395"/>
    </row>
    <row r="787" spans="1:15">
      <c r="A787" s="404" t="s">
        <v>14303</v>
      </c>
      <c r="B787" s="404" t="s">
        <v>14304</v>
      </c>
      <c r="C787" s="404"/>
      <c r="D787" s="334"/>
      <c r="E787" s="416">
        <v>0.48193</v>
      </c>
      <c r="F787" s="334"/>
      <c r="G787" s="346">
        <v>1</v>
      </c>
      <c r="H787" s="417">
        <v>0</v>
      </c>
      <c r="I787" s="346">
        <v>11.2987</v>
      </c>
      <c r="J787" s="419">
        <v>7.1821</v>
      </c>
      <c r="K787" s="420"/>
      <c r="L787" s="395">
        <v>5.445182491</v>
      </c>
      <c r="N787" s="395">
        <v>3.461269453</v>
      </c>
      <c r="O787" s="395"/>
    </row>
    <row r="788" spans="1:15">
      <c r="A788" s="404" t="s">
        <v>14305</v>
      </c>
      <c r="B788" s="404" t="s">
        <v>14306</v>
      </c>
      <c r="C788" s="404"/>
      <c r="D788" s="334"/>
      <c r="E788" s="416">
        <v>0.48193</v>
      </c>
      <c r="F788" s="334"/>
      <c r="G788" s="346">
        <v>1</v>
      </c>
      <c r="H788" s="417">
        <v>0</v>
      </c>
      <c r="I788" s="346">
        <v>25.8164</v>
      </c>
      <c r="J788" s="419">
        <v>16.2748</v>
      </c>
      <c r="K788" s="420"/>
      <c r="L788" s="395">
        <v>12.441697652</v>
      </c>
      <c r="N788" s="395">
        <v>7.843314364</v>
      </c>
      <c r="O788" s="395"/>
    </row>
    <row r="789" hidden="1" spans="1:15">
      <c r="A789" s="404">
        <v>0</v>
      </c>
      <c r="B789" s="404" t="e">
        <v>#N/A</v>
      </c>
      <c r="C789" s="404"/>
      <c r="D789" s="334"/>
      <c r="E789" s="416">
        <v>0</v>
      </c>
      <c r="F789" s="334"/>
      <c r="G789" s="346">
        <v>0</v>
      </c>
      <c r="H789" s="417">
        <v>1</v>
      </c>
      <c r="I789" s="346" t="e">
        <v>#N/A</v>
      </c>
      <c r="J789" s="419" t="e">
        <v>#N/A</v>
      </c>
      <c r="K789" s="420"/>
      <c r="L789" s="395" t="s">
        <v>932</v>
      </c>
      <c r="N789" s="395" t="s">
        <v>932</v>
      </c>
      <c r="O789" s="395"/>
    </row>
    <row r="790" hidden="1" spans="1:15">
      <c r="A790" s="404">
        <v>0</v>
      </c>
      <c r="B790" s="404" t="e">
        <v>#N/A</v>
      </c>
      <c r="C790" s="404"/>
      <c r="D790" s="334"/>
      <c r="E790" s="416">
        <v>0</v>
      </c>
      <c r="F790" s="334"/>
      <c r="G790" s="346">
        <v>0</v>
      </c>
      <c r="H790" s="417">
        <v>1</v>
      </c>
      <c r="I790" s="346" t="e">
        <v>#N/A</v>
      </c>
      <c r="J790" s="419" t="e">
        <v>#N/A</v>
      </c>
      <c r="K790" s="420"/>
      <c r="L790" s="395" t="s">
        <v>932</v>
      </c>
      <c r="N790" s="395" t="s">
        <v>932</v>
      </c>
      <c r="O790" s="395"/>
    </row>
    <row r="791" hidden="1" spans="1:15">
      <c r="A791" s="404">
        <v>0</v>
      </c>
      <c r="B791" s="436" t="e">
        <v>#N/A</v>
      </c>
      <c r="C791" s="436"/>
      <c r="D791" s="334"/>
      <c r="E791" s="416">
        <v>0</v>
      </c>
      <c r="F791" s="334"/>
      <c r="G791" s="346">
        <v>0</v>
      </c>
      <c r="H791" s="417">
        <v>1</v>
      </c>
      <c r="I791" s="346" t="e">
        <v>#N/A</v>
      </c>
      <c r="J791" s="419" t="e">
        <v>#N/A</v>
      </c>
      <c r="K791" s="420"/>
      <c r="L791" s="395" t="s">
        <v>932</v>
      </c>
      <c r="N791" s="395" t="s">
        <v>932</v>
      </c>
      <c r="O791" s="395"/>
    </row>
    <row r="792" spans="1:15">
      <c r="A792" s="421"/>
      <c r="B792" s="422"/>
      <c r="C792" s="422"/>
      <c r="D792" s="422"/>
      <c r="E792" s="423"/>
      <c r="F792" s="424"/>
      <c r="G792" s="422"/>
      <c r="H792" s="422"/>
      <c r="I792" s="422"/>
      <c r="J792" s="422"/>
      <c r="K792" s="425" t="s">
        <v>14185</v>
      </c>
      <c r="L792" s="426">
        <v>35.927409988</v>
      </c>
      <c r="N792" s="427">
        <v>16.988445331</v>
      </c>
      <c r="O792" s="395"/>
    </row>
    <row r="793" spans="1:15">
      <c r="A793" s="428" t="s">
        <v>14186</v>
      </c>
      <c r="B793" s="429"/>
      <c r="C793" s="429"/>
      <c r="D793" s="430"/>
      <c r="E793" s="431" t="s">
        <v>74</v>
      </c>
      <c r="F793" s="431" t="s">
        <v>1123</v>
      </c>
      <c r="G793" s="430"/>
      <c r="H793" s="422"/>
      <c r="I793" s="431" t="s">
        <v>14177</v>
      </c>
      <c r="J793" s="430"/>
      <c r="K793" s="430"/>
      <c r="L793" s="432" t="s">
        <v>14187</v>
      </c>
      <c r="N793" s="395"/>
      <c r="O793" s="395"/>
    </row>
    <row r="794" spans="1:15">
      <c r="A794" s="404" t="s">
        <v>937</v>
      </c>
      <c r="B794" s="433" t="s">
        <v>938</v>
      </c>
      <c r="C794" s="433"/>
      <c r="D794" s="334"/>
      <c r="E794" s="434">
        <v>2</v>
      </c>
      <c r="F794" s="333" t="s">
        <v>104</v>
      </c>
      <c r="G794" s="334"/>
      <c r="H794" s="334"/>
      <c r="I794" s="435">
        <v>26.2149</v>
      </c>
      <c r="J794" s="334"/>
      <c r="K794" s="334"/>
      <c r="L794" s="346">
        <v>52.4298</v>
      </c>
      <c r="N794" s="395">
        <v>52.4298</v>
      </c>
      <c r="O794" s="395"/>
    </row>
    <row r="795" spans="1:15">
      <c r="A795" s="404" t="s">
        <v>954</v>
      </c>
      <c r="B795" s="404" t="s">
        <v>955</v>
      </c>
      <c r="C795" s="404"/>
      <c r="D795" s="334"/>
      <c r="E795" s="434">
        <v>1</v>
      </c>
      <c r="F795" s="333" t="s">
        <v>104</v>
      </c>
      <c r="G795" s="334"/>
      <c r="H795" s="334"/>
      <c r="I795" s="435">
        <v>34.5245</v>
      </c>
      <c r="J795" s="334"/>
      <c r="K795" s="334"/>
      <c r="L795" s="346">
        <v>34.5245</v>
      </c>
      <c r="N795" s="395">
        <v>34.5245</v>
      </c>
      <c r="O795" s="395"/>
    </row>
    <row r="796" spans="1:15">
      <c r="A796" s="404" t="s">
        <v>14307</v>
      </c>
      <c r="B796" s="404" t="s">
        <v>14308</v>
      </c>
      <c r="C796" s="404"/>
      <c r="D796" s="334"/>
      <c r="E796" s="434">
        <v>1</v>
      </c>
      <c r="F796" s="333" t="s">
        <v>104</v>
      </c>
      <c r="G796" s="334"/>
      <c r="H796" s="334"/>
      <c r="I796" s="435">
        <v>35.4528</v>
      </c>
      <c r="J796" s="334"/>
      <c r="K796" s="334"/>
      <c r="L796" s="346">
        <v>35.4528</v>
      </c>
      <c r="N796" s="395">
        <v>35.4528</v>
      </c>
      <c r="O796" s="395"/>
    </row>
    <row r="797" spans="1:15">
      <c r="A797" s="404" t="s">
        <v>935</v>
      </c>
      <c r="B797" s="404" t="s">
        <v>936</v>
      </c>
      <c r="C797" s="404"/>
      <c r="D797" s="334"/>
      <c r="E797" s="434">
        <v>2</v>
      </c>
      <c r="F797" s="333" t="s">
        <v>104</v>
      </c>
      <c r="G797" s="334"/>
      <c r="H797" s="334"/>
      <c r="I797" s="435">
        <v>23.6025</v>
      </c>
      <c r="J797" s="334"/>
      <c r="K797" s="334"/>
      <c r="L797" s="346">
        <v>47.205</v>
      </c>
      <c r="N797" s="395">
        <v>47.205</v>
      </c>
      <c r="O797" s="395"/>
    </row>
    <row r="798" hidden="1" spans="1:15">
      <c r="A798" s="404">
        <v>0</v>
      </c>
      <c r="B798" s="404" t="e">
        <v>#N/A</v>
      </c>
      <c r="C798" s="404"/>
      <c r="D798" s="334"/>
      <c r="E798" s="434">
        <v>0</v>
      </c>
      <c r="F798" s="333" t="s">
        <v>104</v>
      </c>
      <c r="G798" s="334"/>
      <c r="H798" s="334"/>
      <c r="I798" s="435" t="e">
        <v>#N/A</v>
      </c>
      <c r="J798" s="334"/>
      <c r="K798" s="334"/>
      <c r="L798" s="346" t="s">
        <v>932</v>
      </c>
      <c r="N798" s="395" t="s">
        <v>932</v>
      </c>
      <c r="O798" s="395"/>
    </row>
    <row r="799" hidden="1" spans="1:15">
      <c r="A799" s="404">
        <v>0</v>
      </c>
      <c r="B799" s="404" t="e">
        <v>#N/A</v>
      </c>
      <c r="C799" s="404"/>
      <c r="D799" s="334"/>
      <c r="E799" s="434">
        <v>0</v>
      </c>
      <c r="F799" s="333" t="s">
        <v>104</v>
      </c>
      <c r="G799" s="334"/>
      <c r="H799" s="334"/>
      <c r="I799" s="435" t="e">
        <v>#N/A</v>
      </c>
      <c r="J799" s="334"/>
      <c r="K799" s="334"/>
      <c r="L799" s="346" t="s">
        <v>932</v>
      </c>
      <c r="N799" s="395" t="s">
        <v>932</v>
      </c>
      <c r="O799" s="395"/>
    </row>
    <row r="800" hidden="1" spans="1:15">
      <c r="A800" s="404">
        <v>0</v>
      </c>
      <c r="B800" s="404" t="e">
        <v>#N/A</v>
      </c>
      <c r="C800" s="404"/>
      <c r="D800" s="334"/>
      <c r="E800" s="434">
        <v>0</v>
      </c>
      <c r="F800" s="333" t="s">
        <v>104</v>
      </c>
      <c r="G800" s="334"/>
      <c r="H800" s="334"/>
      <c r="I800" s="435" t="e">
        <v>#N/A</v>
      </c>
      <c r="J800" s="334"/>
      <c r="K800" s="334"/>
      <c r="L800" s="346" t="s">
        <v>932</v>
      </c>
      <c r="N800" s="395" t="s">
        <v>932</v>
      </c>
      <c r="O800" s="395"/>
    </row>
    <row r="801" hidden="1" spans="1:15">
      <c r="A801" s="404">
        <v>0</v>
      </c>
      <c r="B801" s="436" t="e">
        <v>#N/A</v>
      </c>
      <c r="C801" s="436"/>
      <c r="D801" s="334"/>
      <c r="E801" s="434">
        <v>0</v>
      </c>
      <c r="F801" s="333" t="s">
        <v>104</v>
      </c>
      <c r="G801" s="334"/>
      <c r="H801" s="334"/>
      <c r="I801" s="435" t="e">
        <v>#N/A</v>
      </c>
      <c r="J801" s="334"/>
      <c r="K801" s="334"/>
      <c r="L801" s="346" t="s">
        <v>932</v>
      </c>
      <c r="N801" s="395" t="s">
        <v>932</v>
      </c>
      <c r="O801" s="395"/>
    </row>
    <row r="802" spans="1:15">
      <c r="A802" s="421"/>
      <c r="B802" s="62"/>
      <c r="C802" s="62"/>
      <c r="D802" s="422"/>
      <c r="E802" s="423"/>
      <c r="F802" s="424"/>
      <c r="G802" s="422"/>
      <c r="H802" s="422"/>
      <c r="I802" s="422"/>
      <c r="J802" s="422"/>
      <c r="K802" s="425" t="s">
        <v>14188</v>
      </c>
      <c r="L802" s="426">
        <v>169.6121</v>
      </c>
      <c r="N802" s="427">
        <v>169.6121</v>
      </c>
      <c r="O802" s="395"/>
    </row>
    <row r="803" spans="1:15">
      <c r="I803" s="437"/>
      <c r="K803" s="383" t="s">
        <v>14189</v>
      </c>
      <c r="L803" s="427">
        <v>205.539509988</v>
      </c>
      <c r="N803" s="395">
        <v>186.600545331</v>
      </c>
      <c r="O803" s="395"/>
    </row>
    <row r="804" spans="1:15">
      <c r="K804" s="383" t="s">
        <v>14190</v>
      </c>
      <c r="L804" s="427">
        <v>51.384877497</v>
      </c>
      <c r="N804" s="395">
        <v>46.65013633275</v>
      </c>
      <c r="O804" s="395">
        <v>0</v>
      </c>
    </row>
    <row r="805" spans="1:15">
      <c r="K805" s="383" t="s">
        <v>14191</v>
      </c>
      <c r="L805" s="427">
        <v>0</v>
      </c>
      <c r="N805" s="395"/>
      <c r="O805" s="395"/>
    </row>
    <row r="806" spans="1:15">
      <c r="K806" s="383" t="s">
        <v>14192</v>
      </c>
      <c r="L806" s="395">
        <v>0</v>
      </c>
      <c r="N806" s="395"/>
      <c r="O806" s="395"/>
    </row>
    <row r="807" spans="1:15">
      <c r="A807" s="428" t="s">
        <v>14193</v>
      </c>
      <c r="B807" s="430"/>
      <c r="C807" s="430"/>
      <c r="D807" s="430"/>
      <c r="E807" s="431" t="s">
        <v>74</v>
      </c>
      <c r="F807" s="431" t="s">
        <v>1123</v>
      </c>
      <c r="G807" s="430"/>
      <c r="H807" s="430"/>
      <c r="I807" s="425" t="s">
        <v>75</v>
      </c>
      <c r="J807" s="430"/>
      <c r="K807" s="430"/>
      <c r="L807" s="426" t="s">
        <v>14194</v>
      </c>
      <c r="N807" s="395"/>
      <c r="O807" s="395"/>
    </row>
    <row r="808" spans="1:15">
      <c r="A808" s="404" t="s">
        <v>14309</v>
      </c>
      <c r="B808" s="433" t="s">
        <v>14310</v>
      </c>
      <c r="C808" s="433"/>
      <c r="D808" s="334"/>
      <c r="E808" s="434">
        <v>11.775</v>
      </c>
      <c r="F808" s="333" t="s">
        <v>101</v>
      </c>
      <c r="G808" s="334"/>
      <c r="I808" s="395">
        <v>9.8967</v>
      </c>
      <c r="J808" s="395"/>
      <c r="K808" s="395"/>
      <c r="L808" s="346">
        <v>116.5336425</v>
      </c>
      <c r="N808" s="395"/>
      <c r="O808" s="395"/>
    </row>
    <row r="809" spans="1:15">
      <c r="A809" s="404" t="s">
        <v>14311</v>
      </c>
      <c r="B809" s="404" t="s">
        <v>14312</v>
      </c>
      <c r="C809" s="404"/>
      <c r="D809" s="334"/>
      <c r="E809" s="434">
        <v>1</v>
      </c>
      <c r="F809" s="333" t="s">
        <v>7</v>
      </c>
      <c r="G809" s="334"/>
      <c r="I809" s="395">
        <v>149.1333</v>
      </c>
      <c r="J809" s="395"/>
      <c r="K809" s="395"/>
      <c r="L809" s="346">
        <v>149.1333</v>
      </c>
      <c r="N809" s="395"/>
      <c r="O809" s="395"/>
    </row>
    <row r="810" spans="1:15">
      <c r="A810" s="404" t="s">
        <v>14313</v>
      </c>
      <c r="B810" s="404" t="s">
        <v>14314</v>
      </c>
      <c r="C810" s="404"/>
      <c r="D810" s="334"/>
      <c r="E810" s="434">
        <v>0.4</v>
      </c>
      <c r="F810" s="333" t="s">
        <v>7</v>
      </c>
      <c r="G810" s="334"/>
      <c r="I810" s="395">
        <v>222.5407</v>
      </c>
      <c r="J810" s="395"/>
      <c r="K810" s="395"/>
      <c r="L810" s="346">
        <v>89.01628</v>
      </c>
      <c r="N810" s="395"/>
      <c r="O810" s="395"/>
    </row>
    <row r="811" hidden="1" spans="1:15">
      <c r="A811" s="404">
        <v>0</v>
      </c>
      <c r="B811" s="404" t="e">
        <v>#N/A</v>
      </c>
      <c r="C811" s="404"/>
      <c r="D811" s="334"/>
      <c r="E811" s="434">
        <v>0</v>
      </c>
      <c r="F811" s="333" t="e">
        <v>#N/A</v>
      </c>
      <c r="G811" s="334"/>
      <c r="I811" s="395" t="e">
        <v>#N/A</v>
      </c>
      <c r="J811" s="395"/>
      <c r="K811" s="395"/>
      <c r="L811" s="346" t="s">
        <v>932</v>
      </c>
      <c r="N811" s="395"/>
      <c r="O811" s="395"/>
    </row>
    <row r="812" hidden="1" spans="1:15">
      <c r="A812" s="404">
        <v>0</v>
      </c>
      <c r="B812" s="404" t="e">
        <v>#N/A</v>
      </c>
      <c r="C812" s="404"/>
      <c r="D812" s="334"/>
      <c r="E812" s="434">
        <v>0</v>
      </c>
      <c r="F812" s="333" t="e">
        <v>#N/A</v>
      </c>
      <c r="G812" s="334"/>
      <c r="H812" s="334"/>
      <c r="I812" s="395" t="e">
        <v>#N/A</v>
      </c>
      <c r="J812" s="395"/>
      <c r="K812" s="395"/>
      <c r="L812" s="346" t="s">
        <v>932</v>
      </c>
      <c r="N812" s="395"/>
      <c r="O812" s="395"/>
    </row>
    <row r="813" hidden="1" spans="1:15">
      <c r="A813" s="404">
        <v>0</v>
      </c>
      <c r="B813" s="404" t="e">
        <v>#N/A</v>
      </c>
      <c r="C813" s="404"/>
      <c r="D813" s="334"/>
      <c r="E813" s="434">
        <v>0</v>
      </c>
      <c r="F813" s="333" t="e">
        <v>#N/A</v>
      </c>
      <c r="G813" s="334"/>
      <c r="H813" s="334"/>
      <c r="I813" s="395" t="e">
        <v>#N/A</v>
      </c>
      <c r="J813" s="395"/>
      <c r="K813" s="395"/>
      <c r="L813" s="346" t="s">
        <v>932</v>
      </c>
      <c r="N813" s="395"/>
      <c r="O813" s="395"/>
    </row>
    <row r="814" hidden="1" spans="1:15">
      <c r="A814" s="404">
        <v>0</v>
      </c>
      <c r="B814" s="404" t="e">
        <v>#N/A</v>
      </c>
      <c r="C814" s="404"/>
      <c r="D814" s="334"/>
      <c r="E814" s="434">
        <v>0</v>
      </c>
      <c r="F814" s="333" t="e">
        <v>#N/A</v>
      </c>
      <c r="G814" s="334"/>
      <c r="H814" s="334"/>
      <c r="I814" s="395" t="e">
        <v>#N/A</v>
      </c>
      <c r="J814" s="395"/>
      <c r="K814" s="395"/>
      <c r="L814" s="346" t="s">
        <v>932</v>
      </c>
      <c r="N814" s="395"/>
      <c r="O814" s="395"/>
    </row>
    <row r="815" hidden="1" spans="1:15">
      <c r="A815" s="404">
        <v>0</v>
      </c>
      <c r="B815" s="436" t="e">
        <v>#N/A</v>
      </c>
      <c r="C815" s="436"/>
      <c r="D815" s="438"/>
      <c r="E815" s="434">
        <v>0</v>
      </c>
      <c r="F815" s="333" t="e">
        <v>#N/A</v>
      </c>
      <c r="G815" s="334"/>
      <c r="H815" s="334"/>
      <c r="I815" s="395" t="e">
        <v>#N/A</v>
      </c>
      <c r="J815" s="395"/>
      <c r="K815" s="395"/>
      <c r="L815" s="346" t="s">
        <v>932</v>
      </c>
      <c r="N815" s="395"/>
      <c r="O815" s="395"/>
    </row>
    <row r="816" spans="1:15">
      <c r="A816" s="421"/>
      <c r="B816" s="422"/>
      <c r="C816" s="422"/>
      <c r="D816" s="422"/>
      <c r="E816" s="423"/>
      <c r="F816" s="424"/>
      <c r="G816" s="422"/>
      <c r="H816" s="422"/>
      <c r="I816" s="430"/>
      <c r="J816" s="430"/>
      <c r="K816" s="425" t="s">
        <v>14203</v>
      </c>
      <c r="L816" s="426">
        <v>354.6832225</v>
      </c>
      <c r="N816" s="395"/>
      <c r="O816" s="395"/>
    </row>
    <row r="817" spans="1:15">
      <c r="A817" s="428" t="s">
        <v>14204</v>
      </c>
      <c r="B817" s="430"/>
      <c r="C817" s="430"/>
      <c r="D817" s="430"/>
      <c r="E817" s="431" t="s">
        <v>74</v>
      </c>
      <c r="F817" s="431" t="s">
        <v>1123</v>
      </c>
      <c r="G817" s="430"/>
      <c r="H817" s="430"/>
      <c r="I817" s="425" t="s">
        <v>75</v>
      </c>
      <c r="J817" s="430"/>
      <c r="K817" s="430"/>
      <c r="L817" s="426" t="s">
        <v>14194</v>
      </c>
      <c r="N817" s="395"/>
      <c r="O817" s="395"/>
    </row>
    <row r="818" spans="1:15">
      <c r="A818" s="404">
        <v>5212552</v>
      </c>
      <c r="B818" s="334" t="s">
        <v>11382</v>
      </c>
      <c r="C818" s="334"/>
      <c r="D818" s="334"/>
      <c r="E818" s="434">
        <v>1</v>
      </c>
      <c r="F818" s="333" t="s">
        <v>7</v>
      </c>
      <c r="G818" s="439"/>
      <c r="I818" s="346">
        <v>16.71</v>
      </c>
      <c r="L818" s="346">
        <v>16.71</v>
      </c>
      <c r="N818" s="395"/>
      <c r="O818" s="395"/>
    </row>
    <row r="819" hidden="1" spans="1:15">
      <c r="A819" s="401">
        <v>0</v>
      </c>
      <c r="B819" s="334" t="e">
        <v>#N/A</v>
      </c>
      <c r="E819" s="440">
        <v>0</v>
      </c>
      <c r="F819" s="333" t="e">
        <v>#N/A</v>
      </c>
      <c r="G819" s="439"/>
      <c r="I819" s="346" t="e">
        <v>#N/A</v>
      </c>
      <c r="L819" s="346" t="s">
        <v>932</v>
      </c>
      <c r="N819" s="395"/>
      <c r="O819" s="395"/>
    </row>
    <row r="820" hidden="1" spans="1:15">
      <c r="A820" s="401">
        <v>0</v>
      </c>
      <c r="B820" s="334" t="e">
        <v>#N/A</v>
      </c>
      <c r="E820" s="440">
        <v>0</v>
      </c>
      <c r="F820" s="333" t="e">
        <v>#N/A</v>
      </c>
      <c r="G820" s="439"/>
      <c r="I820" s="346" t="e">
        <v>#N/A</v>
      </c>
      <c r="L820" s="346" t="s">
        <v>932</v>
      </c>
      <c r="N820" s="395"/>
      <c r="O820" s="395"/>
    </row>
    <row r="821" hidden="1" spans="1:15">
      <c r="A821" s="401">
        <v>0</v>
      </c>
      <c r="B821" s="334" t="e">
        <v>#N/A</v>
      </c>
      <c r="E821" s="440">
        <v>0</v>
      </c>
      <c r="F821" s="333" t="e">
        <v>#N/A</v>
      </c>
      <c r="G821" s="439"/>
      <c r="I821" s="346" t="e">
        <v>#N/A</v>
      </c>
      <c r="L821" s="346" t="s">
        <v>932</v>
      </c>
      <c r="N821" s="395"/>
      <c r="O821" s="395"/>
    </row>
    <row r="822" hidden="1" spans="1:15">
      <c r="A822" s="401">
        <v>0</v>
      </c>
      <c r="B822" s="334" t="e">
        <v>#N/A</v>
      </c>
      <c r="E822" s="440">
        <v>0</v>
      </c>
      <c r="F822" s="333" t="e">
        <v>#N/A</v>
      </c>
      <c r="G822" s="439"/>
      <c r="I822" s="346" t="e">
        <v>#N/A</v>
      </c>
      <c r="L822" s="346" t="s">
        <v>932</v>
      </c>
      <c r="N822" s="395"/>
      <c r="O822" s="395"/>
    </row>
    <row r="823" hidden="1" spans="1:15">
      <c r="A823" s="401">
        <v>0</v>
      </c>
      <c r="B823" s="334" t="e">
        <v>#N/A</v>
      </c>
      <c r="E823" s="440">
        <v>0</v>
      </c>
      <c r="F823" s="333" t="e">
        <v>#N/A</v>
      </c>
      <c r="G823" s="439"/>
      <c r="I823" s="346" t="e">
        <v>#N/A</v>
      </c>
      <c r="L823" s="346" t="s">
        <v>932</v>
      </c>
      <c r="N823" s="395"/>
      <c r="O823" s="395"/>
    </row>
    <row r="824" spans="1:15">
      <c r="A824" s="421"/>
      <c r="B824" s="422"/>
      <c r="C824" s="422"/>
      <c r="D824" s="422"/>
      <c r="E824" s="422"/>
      <c r="F824" s="422"/>
      <c r="G824" s="422"/>
      <c r="H824" s="422"/>
      <c r="I824" s="430"/>
      <c r="J824" s="430"/>
      <c r="K824" s="425" t="s">
        <v>14206</v>
      </c>
      <c r="L824" s="426">
        <v>16.71</v>
      </c>
      <c r="N824" s="395"/>
      <c r="O824" s="395"/>
    </row>
    <row r="825" spans="1:15">
      <c r="A825" s="421"/>
      <c r="B825" s="422"/>
      <c r="C825" s="422"/>
      <c r="D825" s="422"/>
      <c r="E825" s="422"/>
      <c r="F825" s="422"/>
      <c r="G825" s="422"/>
      <c r="H825" s="422"/>
      <c r="I825" s="430"/>
      <c r="J825" s="430"/>
      <c r="K825" s="425" t="s">
        <v>14207</v>
      </c>
      <c r="L825" s="426">
        <v>422.778099997</v>
      </c>
      <c r="N825" s="395"/>
      <c r="O825" s="395"/>
    </row>
    <row r="826" spans="1:15">
      <c r="A826" s="428" t="s">
        <v>14208</v>
      </c>
      <c r="B826" s="430"/>
      <c r="C826" s="430"/>
      <c r="D826" s="431" t="s">
        <v>55</v>
      </c>
      <c r="E826" s="431" t="s">
        <v>74</v>
      </c>
      <c r="F826" s="431" t="s">
        <v>1123</v>
      </c>
      <c r="G826" s="430"/>
      <c r="H826" s="430"/>
      <c r="I826" s="425" t="s">
        <v>75</v>
      </c>
      <c r="J826" s="430"/>
      <c r="K826" s="430"/>
      <c r="L826" s="426" t="s">
        <v>14194</v>
      </c>
      <c r="N826" s="395"/>
      <c r="O826" s="395"/>
    </row>
    <row r="827" spans="1:15">
      <c r="A827" s="404" t="s">
        <v>14309</v>
      </c>
      <c r="B827" s="441" t="s">
        <v>14310</v>
      </c>
      <c r="C827" s="441"/>
      <c r="D827" s="442">
        <v>5914333</v>
      </c>
      <c r="E827" s="434">
        <v>0.01178</v>
      </c>
      <c r="F827" s="333" t="s">
        <v>9885</v>
      </c>
      <c r="G827" s="443" t="s">
        <v>14209</v>
      </c>
      <c r="H827" s="334"/>
      <c r="I827" s="346">
        <v>34.98</v>
      </c>
      <c r="J827" s="334"/>
      <c r="K827" s="346"/>
      <c r="L827" s="346">
        <v>0.4120644</v>
      </c>
      <c r="N827" s="395"/>
      <c r="O827" s="395"/>
    </row>
    <row r="828" spans="1:15">
      <c r="A828" s="404" t="s">
        <v>14311</v>
      </c>
      <c r="B828" s="334" t="s">
        <v>14312</v>
      </c>
      <c r="C828" s="334"/>
      <c r="D828" s="442">
        <v>5914655</v>
      </c>
      <c r="E828" s="434">
        <v>0.00044</v>
      </c>
      <c r="F828" s="333" t="s">
        <v>9885</v>
      </c>
      <c r="G828" s="334"/>
      <c r="H828" s="334"/>
      <c r="I828" s="346">
        <v>35.43</v>
      </c>
      <c r="J828" s="334"/>
      <c r="K828" s="346"/>
      <c r="L828" s="346">
        <v>0.0155892</v>
      </c>
      <c r="N828" s="395"/>
      <c r="O828" s="395"/>
    </row>
    <row r="829" spans="1:15">
      <c r="A829" s="404" t="s">
        <v>14313</v>
      </c>
      <c r="B829" s="334" t="s">
        <v>14314</v>
      </c>
      <c r="C829" s="334"/>
      <c r="D829" s="442">
        <v>5914655</v>
      </c>
      <c r="E829" s="434">
        <v>0.00019</v>
      </c>
      <c r="F829" s="333" t="s">
        <v>9885</v>
      </c>
      <c r="G829" s="334"/>
      <c r="H829" s="334"/>
      <c r="I829" s="346">
        <v>35.43</v>
      </c>
      <c r="J829" s="334"/>
      <c r="K829" s="346"/>
      <c r="L829" s="346">
        <v>0.0067317</v>
      </c>
      <c r="N829" s="395"/>
      <c r="O829" s="395"/>
    </row>
    <row r="830" hidden="1" spans="1:15">
      <c r="A830" s="404">
        <v>0</v>
      </c>
      <c r="B830" s="334" t="e">
        <v>#N/A</v>
      </c>
      <c r="C830" s="334"/>
      <c r="D830" s="442">
        <v>0</v>
      </c>
      <c r="E830" s="434">
        <v>0</v>
      </c>
      <c r="F830" s="333" t="s">
        <v>9885</v>
      </c>
      <c r="G830" s="334"/>
      <c r="H830" s="334"/>
      <c r="I830" s="346">
        <v>0</v>
      </c>
      <c r="J830" s="334"/>
      <c r="K830" s="346"/>
      <c r="L830" s="346" t="s">
        <v>932</v>
      </c>
      <c r="N830" s="395"/>
      <c r="O830" s="395"/>
    </row>
    <row r="831" hidden="1" spans="1:15">
      <c r="A831" s="404">
        <v>0</v>
      </c>
      <c r="B831" s="334" t="e">
        <v>#N/A</v>
      </c>
      <c r="C831" s="334"/>
      <c r="D831" s="442">
        <v>0</v>
      </c>
      <c r="E831" s="434">
        <v>0</v>
      </c>
      <c r="F831" s="333" t="s">
        <v>9885</v>
      </c>
      <c r="G831" s="334"/>
      <c r="H831" s="334"/>
      <c r="I831" s="346">
        <v>0</v>
      </c>
      <c r="J831" s="334"/>
      <c r="K831" s="346"/>
      <c r="L831" s="346" t="s">
        <v>932</v>
      </c>
      <c r="N831" s="395"/>
      <c r="O831" s="395"/>
    </row>
    <row r="832" hidden="1" spans="1:15">
      <c r="A832" s="404">
        <v>0</v>
      </c>
      <c r="B832" s="334" t="e">
        <v>#N/A</v>
      </c>
      <c r="C832" s="334"/>
      <c r="D832" s="442">
        <v>0</v>
      </c>
      <c r="E832" s="434">
        <v>0</v>
      </c>
      <c r="F832" s="333" t="s">
        <v>9885</v>
      </c>
      <c r="G832" s="334"/>
      <c r="H832" s="334"/>
      <c r="I832" s="346">
        <v>0</v>
      </c>
      <c r="J832" s="334"/>
      <c r="K832" s="346"/>
      <c r="L832" s="346" t="s">
        <v>932</v>
      </c>
      <c r="N832" s="395"/>
      <c r="O832" s="395"/>
    </row>
    <row r="833" hidden="1" spans="1:15">
      <c r="A833" s="404">
        <v>0</v>
      </c>
      <c r="B833" s="334" t="e">
        <v>#N/A</v>
      </c>
      <c r="C833" s="334"/>
      <c r="D833" s="442">
        <v>0</v>
      </c>
      <c r="E833" s="434">
        <v>0</v>
      </c>
      <c r="F833" s="333" t="s">
        <v>9885</v>
      </c>
      <c r="G833" s="334"/>
      <c r="H833" s="334"/>
      <c r="I833" s="346">
        <v>0</v>
      </c>
      <c r="J833" s="334"/>
      <c r="K833" s="346"/>
      <c r="L833" s="346" t="s">
        <v>932</v>
      </c>
      <c r="N833" s="395"/>
      <c r="O833" s="395"/>
    </row>
    <row r="834" hidden="1" spans="1:15">
      <c r="A834" s="404">
        <v>0</v>
      </c>
      <c r="B834" s="444" t="e">
        <v>#N/A</v>
      </c>
      <c r="C834" s="444"/>
      <c r="D834" s="442">
        <v>0</v>
      </c>
      <c r="E834" s="434">
        <v>0</v>
      </c>
      <c r="F834" s="333" t="s">
        <v>9885</v>
      </c>
      <c r="G834" s="334"/>
      <c r="H834" s="334"/>
      <c r="I834" s="346">
        <v>0</v>
      </c>
      <c r="J834" s="334"/>
      <c r="K834" s="346"/>
      <c r="L834" s="346" t="s">
        <v>932</v>
      </c>
      <c r="N834" s="395"/>
      <c r="O834" s="395"/>
    </row>
    <row r="835" spans="1:15">
      <c r="A835" s="428"/>
      <c r="B835" s="445"/>
      <c r="C835" s="445"/>
      <c r="D835" s="430"/>
      <c r="E835" s="430"/>
      <c r="F835" s="430"/>
      <c r="G835" s="430"/>
      <c r="H835" s="430"/>
      <c r="I835" s="430"/>
      <c r="J835" s="430"/>
      <c r="K835" s="425" t="s">
        <v>14210</v>
      </c>
      <c r="L835" s="426">
        <v>0.4343853</v>
      </c>
      <c r="N835" s="395"/>
      <c r="O835" s="395"/>
    </row>
    <row r="836" hidden="1" spans="1:15">
      <c r="A836" s="446" t="s">
        <v>14211</v>
      </c>
      <c r="B836" s="445"/>
      <c r="C836" s="445"/>
      <c r="D836" s="447" t="s">
        <v>55</v>
      </c>
      <c r="E836" s="445" t="s">
        <v>74</v>
      </c>
      <c r="F836" s="447" t="s">
        <v>1123</v>
      </c>
      <c r="G836" s="445"/>
      <c r="H836" s="447" t="s">
        <v>72</v>
      </c>
      <c r="I836" s="447" t="s">
        <v>75</v>
      </c>
      <c r="J836" s="445"/>
      <c r="K836" s="448"/>
      <c r="L836" s="449" t="s">
        <v>14194</v>
      </c>
      <c r="N836" s="395"/>
      <c r="O836" s="395"/>
    </row>
    <row r="837" hidden="1" spans="1:15">
      <c r="A837" s="404" t="s">
        <v>14309</v>
      </c>
      <c r="B837" s="433" t="s">
        <v>14310</v>
      </c>
      <c r="C837" s="433"/>
      <c r="D837" s="442">
        <v>5914449</v>
      </c>
      <c r="E837" s="450">
        <v>0.01178</v>
      </c>
      <c r="F837" s="333" t="s">
        <v>13063</v>
      </c>
      <c r="G837" s="333" t="s">
        <v>14212</v>
      </c>
      <c r="H837" s="346">
        <v>0</v>
      </c>
      <c r="I837" s="346">
        <v>1.11</v>
      </c>
      <c r="J837" s="346"/>
      <c r="K837" s="334"/>
      <c r="L837" s="346">
        <v>0</v>
      </c>
      <c r="N837" s="395"/>
      <c r="O837" s="395"/>
    </row>
    <row r="838" hidden="1" spans="1:15">
      <c r="A838" s="404"/>
      <c r="B838" s="404"/>
      <c r="C838" s="334"/>
      <c r="D838" s="442">
        <v>5914464</v>
      </c>
      <c r="E838" s="450">
        <v>0.01178</v>
      </c>
      <c r="F838" s="333" t="s">
        <v>13063</v>
      </c>
      <c r="G838" s="333" t="s">
        <v>14213</v>
      </c>
      <c r="H838" s="346">
        <v>0</v>
      </c>
      <c r="I838" s="346">
        <v>0.89</v>
      </c>
      <c r="J838" s="346"/>
      <c r="K838" s="334"/>
      <c r="L838" s="346">
        <v>0</v>
      </c>
      <c r="N838" s="395"/>
      <c r="O838" s="395"/>
    </row>
    <row r="839" hidden="1" spans="1:15">
      <c r="A839" s="404"/>
      <c r="B839" s="404"/>
      <c r="C839" s="334"/>
      <c r="D839" s="442">
        <v>5914479</v>
      </c>
      <c r="E839" s="450">
        <v>0.01178</v>
      </c>
      <c r="F839" s="333" t="s">
        <v>13063</v>
      </c>
      <c r="G839" s="333" t="s">
        <v>14214</v>
      </c>
      <c r="H839" s="346">
        <v>0</v>
      </c>
      <c r="I839" s="346">
        <v>0.73</v>
      </c>
      <c r="J839" s="346"/>
      <c r="K839" s="334"/>
      <c r="L839" s="346">
        <v>0</v>
      </c>
      <c r="N839" s="395"/>
      <c r="O839" s="395"/>
    </row>
    <row r="840" hidden="1" spans="1:15">
      <c r="A840" s="404" t="s">
        <v>14311</v>
      </c>
      <c r="B840" s="404" t="s">
        <v>14312</v>
      </c>
      <c r="C840" s="404"/>
      <c r="D840" s="442">
        <v>5915322</v>
      </c>
      <c r="E840" s="450">
        <v>0.00044</v>
      </c>
      <c r="F840" s="333" t="s">
        <v>13063</v>
      </c>
      <c r="G840" s="333" t="s">
        <v>14212</v>
      </c>
      <c r="H840" s="346">
        <v>0</v>
      </c>
      <c r="I840" s="346">
        <v>2.12</v>
      </c>
      <c r="J840" s="346"/>
      <c r="K840" s="334"/>
      <c r="L840" s="346">
        <v>0</v>
      </c>
      <c r="N840" s="395"/>
      <c r="O840" s="395"/>
    </row>
    <row r="841" hidden="1" spans="1:15">
      <c r="A841" s="404"/>
      <c r="B841" s="404"/>
      <c r="C841" s="334"/>
      <c r="D841" s="442">
        <v>5915323</v>
      </c>
      <c r="E841" s="450">
        <v>0.00044</v>
      </c>
      <c r="F841" s="333" t="s">
        <v>13063</v>
      </c>
      <c r="G841" s="333" t="s">
        <v>14213</v>
      </c>
      <c r="H841" s="346">
        <v>0</v>
      </c>
      <c r="I841" s="346">
        <v>1.7</v>
      </c>
      <c r="J841" s="346"/>
      <c r="K841" s="334"/>
      <c r="L841" s="346">
        <v>0</v>
      </c>
      <c r="N841" s="395"/>
      <c r="O841" s="395"/>
    </row>
    <row r="842" hidden="1" spans="1:15">
      <c r="A842" s="404"/>
      <c r="B842" s="404"/>
      <c r="C842" s="334"/>
      <c r="D842" s="442">
        <v>5915324</v>
      </c>
      <c r="E842" s="450">
        <v>0.00044</v>
      </c>
      <c r="F842" s="333" t="s">
        <v>13063</v>
      </c>
      <c r="G842" s="333" t="s">
        <v>14214</v>
      </c>
      <c r="H842" s="346">
        <v>0</v>
      </c>
      <c r="I842" s="346">
        <v>1.39</v>
      </c>
      <c r="J842" s="346"/>
      <c r="K842" s="334"/>
      <c r="L842" s="346">
        <v>0</v>
      </c>
      <c r="N842" s="395"/>
      <c r="O842" s="395"/>
    </row>
    <row r="843" hidden="1" spans="1:15">
      <c r="A843" s="404" t="s">
        <v>14313</v>
      </c>
      <c r="B843" s="404" t="s">
        <v>14314</v>
      </c>
      <c r="C843" s="404"/>
      <c r="D843" s="442">
        <v>5915322</v>
      </c>
      <c r="E843" s="450">
        <v>0.00019</v>
      </c>
      <c r="F843" s="333" t="s">
        <v>13063</v>
      </c>
      <c r="G843" s="333" t="s">
        <v>14212</v>
      </c>
      <c r="H843" s="346">
        <v>0</v>
      </c>
      <c r="I843" s="346">
        <v>2.12</v>
      </c>
      <c r="J843" s="346"/>
      <c r="K843" s="334"/>
      <c r="L843" s="346">
        <v>0</v>
      </c>
      <c r="N843" s="395"/>
      <c r="O843" s="395"/>
    </row>
    <row r="844" hidden="1" spans="1:15">
      <c r="A844" s="404"/>
      <c r="B844" s="404"/>
      <c r="C844" s="334"/>
      <c r="D844" s="442">
        <v>5915323</v>
      </c>
      <c r="E844" s="450">
        <v>0.00019</v>
      </c>
      <c r="F844" s="333" t="s">
        <v>13063</v>
      </c>
      <c r="G844" s="333" t="s">
        <v>14213</v>
      </c>
      <c r="H844" s="346">
        <v>0</v>
      </c>
      <c r="I844" s="346">
        <v>1.7</v>
      </c>
      <c r="J844" s="346"/>
      <c r="K844" s="334"/>
      <c r="L844" s="346">
        <v>0</v>
      </c>
      <c r="N844" s="395"/>
      <c r="O844" s="395"/>
    </row>
    <row r="845" hidden="1" spans="1:15">
      <c r="A845" s="404"/>
      <c r="B845" s="404"/>
      <c r="C845" s="334"/>
      <c r="D845" s="442">
        <v>5915324</v>
      </c>
      <c r="E845" s="450">
        <v>0.00019</v>
      </c>
      <c r="F845" s="333" t="s">
        <v>13063</v>
      </c>
      <c r="G845" s="333" t="s">
        <v>14214</v>
      </c>
      <c r="H845" s="346">
        <v>0</v>
      </c>
      <c r="I845" s="346">
        <v>1.39</v>
      </c>
      <c r="J845" s="346"/>
      <c r="K845" s="334"/>
      <c r="L845" s="346">
        <v>0</v>
      </c>
      <c r="N845" s="395"/>
      <c r="O845" s="395"/>
    </row>
    <row r="846" hidden="1" spans="1:15">
      <c r="A846" s="404">
        <v>0</v>
      </c>
      <c r="B846" s="404" t="e">
        <v>#N/A</v>
      </c>
      <c r="C846" s="404"/>
      <c r="D846" s="442">
        <v>0</v>
      </c>
      <c r="E846" s="450">
        <v>0</v>
      </c>
      <c r="F846" s="333" t="s">
        <v>13063</v>
      </c>
      <c r="G846" s="333" t="s">
        <v>14212</v>
      </c>
      <c r="H846" s="346">
        <v>0</v>
      </c>
      <c r="I846" s="346">
        <v>0</v>
      </c>
      <c r="J846" s="346"/>
      <c r="K846" s="334"/>
      <c r="L846" s="346" t="s">
        <v>932</v>
      </c>
      <c r="N846" s="395"/>
      <c r="O846" s="395"/>
    </row>
    <row r="847" hidden="1" spans="1:15">
      <c r="A847" s="404"/>
      <c r="B847" s="404"/>
      <c r="C847" s="334"/>
      <c r="D847" s="442">
        <v>0</v>
      </c>
      <c r="E847" s="450">
        <v>0</v>
      </c>
      <c r="F847" s="333" t="s">
        <v>13063</v>
      </c>
      <c r="G847" s="333" t="s">
        <v>14213</v>
      </c>
      <c r="H847" s="346">
        <v>0</v>
      </c>
      <c r="I847" s="346">
        <v>0</v>
      </c>
      <c r="J847" s="346"/>
      <c r="K847" s="334"/>
      <c r="L847" s="346" t="s">
        <v>932</v>
      </c>
      <c r="N847" s="395"/>
      <c r="O847" s="395"/>
    </row>
    <row r="848" hidden="1" spans="1:15">
      <c r="A848" s="404"/>
      <c r="B848" s="404"/>
      <c r="C848" s="334"/>
      <c r="D848" s="442">
        <v>0</v>
      </c>
      <c r="E848" s="450">
        <v>0</v>
      </c>
      <c r="F848" s="333" t="s">
        <v>13063</v>
      </c>
      <c r="G848" s="333" t="s">
        <v>14214</v>
      </c>
      <c r="H848" s="346">
        <v>0</v>
      </c>
      <c r="I848" s="346">
        <v>0</v>
      </c>
      <c r="J848" s="346"/>
      <c r="K848" s="334"/>
      <c r="L848" s="346" t="s">
        <v>932</v>
      </c>
      <c r="N848" s="395"/>
      <c r="O848" s="395"/>
    </row>
    <row r="849" hidden="1" spans="1:15">
      <c r="A849" s="404">
        <v>0</v>
      </c>
      <c r="B849" s="404" t="e">
        <v>#N/A</v>
      </c>
      <c r="C849" s="404"/>
      <c r="D849" s="442">
        <v>0</v>
      </c>
      <c r="E849" s="450">
        <v>0</v>
      </c>
      <c r="F849" s="333" t="s">
        <v>13063</v>
      </c>
      <c r="G849" s="333" t="s">
        <v>14212</v>
      </c>
      <c r="H849" s="346">
        <v>0</v>
      </c>
      <c r="I849" s="346">
        <v>0</v>
      </c>
      <c r="J849" s="346"/>
      <c r="K849" s="334"/>
      <c r="L849" s="346" t="s">
        <v>932</v>
      </c>
      <c r="N849" s="395"/>
      <c r="O849" s="395"/>
    </row>
    <row r="850" hidden="1" spans="1:15">
      <c r="A850" s="404"/>
      <c r="B850" s="404"/>
      <c r="C850" s="334"/>
      <c r="D850" s="442">
        <v>0</v>
      </c>
      <c r="E850" s="450">
        <v>0</v>
      </c>
      <c r="F850" s="333" t="s">
        <v>13063</v>
      </c>
      <c r="G850" s="333" t="s">
        <v>14213</v>
      </c>
      <c r="H850" s="346">
        <v>0</v>
      </c>
      <c r="I850" s="346">
        <v>0</v>
      </c>
      <c r="J850" s="346"/>
      <c r="K850" s="334"/>
      <c r="L850" s="346" t="s">
        <v>932</v>
      </c>
      <c r="N850" s="395"/>
      <c r="O850" s="395"/>
    </row>
    <row r="851" hidden="1" spans="1:15">
      <c r="A851" s="404"/>
      <c r="B851" s="404"/>
      <c r="C851" s="334"/>
      <c r="D851" s="442">
        <v>0</v>
      </c>
      <c r="E851" s="450">
        <v>0</v>
      </c>
      <c r="F851" s="333" t="s">
        <v>13063</v>
      </c>
      <c r="G851" s="333" t="s">
        <v>14214</v>
      </c>
      <c r="H851" s="346">
        <v>0</v>
      </c>
      <c r="I851" s="346">
        <v>0</v>
      </c>
      <c r="J851" s="346"/>
      <c r="K851" s="334"/>
      <c r="L851" s="346" t="s">
        <v>932</v>
      </c>
      <c r="N851" s="395"/>
      <c r="O851" s="395"/>
    </row>
    <row r="852" hidden="1" spans="1:15">
      <c r="A852" s="401">
        <v>0</v>
      </c>
      <c r="B852" s="401" t="e">
        <v>#N/A</v>
      </c>
      <c r="C852" s="401"/>
      <c r="D852" s="442">
        <v>0</v>
      </c>
      <c r="E852" s="450">
        <v>0</v>
      </c>
      <c r="F852" s="439" t="s">
        <v>13063</v>
      </c>
      <c r="G852" s="439" t="s">
        <v>14212</v>
      </c>
      <c r="H852" s="346">
        <v>0</v>
      </c>
      <c r="I852" s="346">
        <v>0</v>
      </c>
      <c r="J852" s="395"/>
      <c r="L852" s="346" t="s">
        <v>932</v>
      </c>
      <c r="N852" s="395"/>
      <c r="O852" s="395"/>
    </row>
    <row r="853" hidden="1" spans="1:15">
      <c r="A853" s="401"/>
      <c r="B853" s="401"/>
      <c r="D853" s="442">
        <v>0</v>
      </c>
      <c r="E853" s="450">
        <v>0</v>
      </c>
      <c r="F853" s="439" t="s">
        <v>13063</v>
      </c>
      <c r="G853" s="439" t="s">
        <v>14213</v>
      </c>
      <c r="H853" s="346">
        <v>0</v>
      </c>
      <c r="I853" s="346">
        <v>0</v>
      </c>
      <c r="J853" s="395"/>
      <c r="L853" s="346" t="s">
        <v>932</v>
      </c>
      <c r="N853" s="395"/>
      <c r="O853" s="395"/>
    </row>
    <row r="854" hidden="1" spans="1:15">
      <c r="A854" s="401"/>
      <c r="B854" s="401"/>
      <c r="D854" s="442">
        <v>0</v>
      </c>
      <c r="E854" s="450">
        <v>0</v>
      </c>
      <c r="F854" s="439" t="s">
        <v>13063</v>
      </c>
      <c r="G854" s="439" t="s">
        <v>14214</v>
      </c>
      <c r="H854" s="346">
        <v>0</v>
      </c>
      <c r="I854" s="346">
        <v>0</v>
      </c>
      <c r="J854" s="395"/>
      <c r="L854" s="346" t="s">
        <v>932</v>
      </c>
      <c r="N854" s="395"/>
      <c r="O854" s="395"/>
    </row>
    <row r="855" hidden="1" spans="1:15">
      <c r="A855" s="401">
        <v>0</v>
      </c>
      <c r="B855" s="401" t="e">
        <v>#N/A</v>
      </c>
      <c r="C855" s="401"/>
      <c r="D855" s="442">
        <v>0</v>
      </c>
      <c r="E855" s="450">
        <v>0</v>
      </c>
      <c r="F855" s="439" t="s">
        <v>13063</v>
      </c>
      <c r="G855" s="439" t="s">
        <v>14212</v>
      </c>
      <c r="H855" s="346">
        <v>0</v>
      </c>
      <c r="I855" s="346">
        <v>0</v>
      </c>
      <c r="J855" s="395"/>
      <c r="L855" s="346" t="s">
        <v>932</v>
      </c>
      <c r="N855" s="395"/>
      <c r="O855" s="395"/>
    </row>
    <row r="856" hidden="1" spans="1:15">
      <c r="A856" s="401"/>
      <c r="B856" s="401"/>
      <c r="D856" s="442">
        <v>0</v>
      </c>
      <c r="E856" s="450">
        <v>0</v>
      </c>
      <c r="F856" s="439" t="s">
        <v>13063</v>
      </c>
      <c r="G856" s="439" t="s">
        <v>14213</v>
      </c>
      <c r="H856" s="346">
        <v>0</v>
      </c>
      <c r="I856" s="346">
        <v>0</v>
      </c>
      <c r="J856" s="395"/>
      <c r="L856" s="346" t="s">
        <v>932</v>
      </c>
      <c r="N856" s="395"/>
      <c r="O856" s="395"/>
    </row>
    <row r="857" hidden="1" spans="1:15">
      <c r="A857" s="401"/>
      <c r="B857" s="401"/>
      <c r="D857" s="442">
        <v>0</v>
      </c>
      <c r="E857" s="450">
        <v>0</v>
      </c>
      <c r="F857" s="439" t="s">
        <v>13063</v>
      </c>
      <c r="G857" s="439" t="s">
        <v>14214</v>
      </c>
      <c r="H857" s="346">
        <v>0</v>
      </c>
      <c r="I857" s="346">
        <v>0</v>
      </c>
      <c r="J857" s="395"/>
      <c r="L857" s="346" t="s">
        <v>932</v>
      </c>
      <c r="N857" s="395"/>
      <c r="O857" s="395"/>
    </row>
    <row r="858" hidden="1" spans="1:15">
      <c r="A858" s="401">
        <v>0</v>
      </c>
      <c r="B858" s="401" t="e">
        <v>#N/A</v>
      </c>
      <c r="C858" s="401"/>
      <c r="D858" s="442">
        <v>0</v>
      </c>
      <c r="E858" s="450">
        <v>0</v>
      </c>
      <c r="F858" s="439" t="s">
        <v>13063</v>
      </c>
      <c r="G858" s="439" t="s">
        <v>14212</v>
      </c>
      <c r="H858" s="346">
        <v>0</v>
      </c>
      <c r="I858" s="346">
        <v>0</v>
      </c>
      <c r="J858" s="395"/>
      <c r="L858" s="346" t="s">
        <v>932</v>
      </c>
      <c r="N858" s="395"/>
      <c r="O858" s="395"/>
    </row>
    <row r="859" hidden="1" spans="1:15">
      <c r="A859" s="401"/>
      <c r="B859" s="401"/>
      <c r="D859" s="442">
        <v>0</v>
      </c>
      <c r="E859" s="450">
        <v>0</v>
      </c>
      <c r="F859" s="439" t="s">
        <v>13063</v>
      </c>
      <c r="G859" s="439" t="s">
        <v>14213</v>
      </c>
      <c r="H859" s="346">
        <v>0</v>
      </c>
      <c r="I859" s="346">
        <v>0</v>
      </c>
      <c r="J859" s="395"/>
      <c r="L859" s="346" t="s">
        <v>932</v>
      </c>
      <c r="N859" s="395"/>
      <c r="O859" s="395"/>
    </row>
    <row r="860" hidden="1" spans="1:15">
      <c r="A860" s="401"/>
      <c r="B860" s="401"/>
      <c r="D860" s="442">
        <v>0</v>
      </c>
      <c r="E860" s="450">
        <v>0</v>
      </c>
      <c r="F860" s="439" t="s">
        <v>13063</v>
      </c>
      <c r="G860" s="439" t="s">
        <v>14214</v>
      </c>
      <c r="H860" s="346">
        <v>0</v>
      </c>
      <c r="I860" s="346">
        <v>0</v>
      </c>
      <c r="J860" s="395"/>
      <c r="L860" s="346" t="s">
        <v>932</v>
      </c>
      <c r="N860" s="395"/>
      <c r="O860" s="395"/>
    </row>
    <row r="861" hidden="1" spans="1:15">
      <c r="A861" s="421"/>
      <c r="B861" s="422"/>
      <c r="C861" s="422"/>
      <c r="D861" s="422"/>
      <c r="E861" s="422"/>
      <c r="F861" s="422"/>
      <c r="G861" s="422"/>
      <c r="H861" s="422"/>
      <c r="I861" s="430"/>
      <c r="J861" s="430"/>
      <c r="K861" s="425" t="s">
        <v>14215</v>
      </c>
      <c r="L861" s="426">
        <v>0</v>
      </c>
      <c r="N861" s="395"/>
      <c r="O861" s="395"/>
    </row>
    <row r="862" spans="1:15">
      <c r="A862" s="451"/>
      <c r="B862" s="452"/>
      <c r="C862" s="452"/>
      <c r="D862" s="452"/>
      <c r="E862" s="452"/>
      <c r="F862" s="452"/>
      <c r="G862" s="452"/>
      <c r="H862" s="452"/>
      <c r="I862" s="453"/>
      <c r="J862" s="453"/>
      <c r="K862" s="454" t="s">
        <v>14216</v>
      </c>
      <c r="L862" s="455">
        <v>423.21</v>
      </c>
      <c r="N862" s="395"/>
      <c r="O862" s="395"/>
    </row>
    <row r="864" spans="1:15">
      <c r="A864" s="391" t="s">
        <v>14172</v>
      </c>
      <c r="B864" s="457"/>
      <c r="C864" s="457"/>
      <c r="D864" s="457"/>
      <c r="E864" s="457"/>
      <c r="F864" s="457"/>
      <c r="G864" s="393"/>
      <c r="H864" s="393"/>
      <c r="I864" s="393"/>
      <c r="J864" s="393"/>
      <c r="K864" s="393"/>
      <c r="L864" s="394"/>
      <c r="N864" s="395"/>
      <c r="O864" s="395"/>
    </row>
    <row r="865" spans="1:15">
      <c r="A865" s="396">
        <v>5914333</v>
      </c>
      <c r="B865" s="397" t="s">
        <v>12956</v>
      </c>
      <c r="C865" s="397"/>
      <c r="D865" s="397"/>
      <c r="E865" s="397"/>
      <c r="F865" s="397"/>
      <c r="G865" s="397"/>
      <c r="H865" s="397" t="s">
        <v>9885</v>
      </c>
      <c r="I865" s="398">
        <v>46023</v>
      </c>
      <c r="J865" s="397"/>
      <c r="K865" s="399" t="s">
        <v>14173</v>
      </c>
      <c r="L865" s="400">
        <v>0</v>
      </c>
      <c r="N865" s="395"/>
      <c r="O865" s="395"/>
    </row>
    <row r="866" spans="1:15">
      <c r="A866" s="401"/>
      <c r="H866" s="402" t="s">
        <v>14174</v>
      </c>
      <c r="I866" s="434">
        <v>21.37</v>
      </c>
      <c r="J866" s="404" t="s">
        <v>9885</v>
      </c>
      <c r="K866" s="402" t="s">
        <v>14175</v>
      </c>
      <c r="L866" s="346">
        <v>0</v>
      </c>
      <c r="N866" s="395"/>
      <c r="O866" s="395"/>
    </row>
    <row r="867" spans="1:15">
      <c r="A867" s="405"/>
      <c r="B867" s="405"/>
      <c r="C867" s="405"/>
      <c r="D867" s="406"/>
      <c r="E867" s="406"/>
      <c r="F867" s="406"/>
      <c r="G867" s="407" t="s">
        <v>14176</v>
      </c>
      <c r="H867" s="407"/>
      <c r="I867" s="407" t="s">
        <v>14177</v>
      </c>
      <c r="J867" s="407"/>
      <c r="K867" s="405"/>
      <c r="L867" s="409" t="s">
        <v>14178</v>
      </c>
      <c r="N867" s="395"/>
      <c r="O867" s="395"/>
    </row>
    <row r="868" spans="1:15">
      <c r="A868" s="410" t="s">
        <v>14179</v>
      </c>
      <c r="B868" s="411"/>
      <c r="C868" s="412"/>
      <c r="D868" s="412"/>
      <c r="E868" s="413" t="s">
        <v>74</v>
      </c>
      <c r="F868" s="412"/>
      <c r="G868" s="413" t="s">
        <v>14180</v>
      </c>
      <c r="H868" s="413" t="s">
        <v>14181</v>
      </c>
      <c r="I868" s="413" t="s">
        <v>14182</v>
      </c>
      <c r="J868" s="413" t="s">
        <v>14183</v>
      </c>
      <c r="K868" s="411"/>
      <c r="L868" s="414" t="s">
        <v>14184</v>
      </c>
      <c r="N868" s="395"/>
      <c r="O868" s="395"/>
    </row>
    <row r="869" spans="1:15">
      <c r="A869" s="404" t="s">
        <v>14315</v>
      </c>
      <c r="B869" s="415" t="s">
        <v>14316</v>
      </c>
      <c r="C869" s="415"/>
      <c r="E869" s="434">
        <v>2</v>
      </c>
      <c r="F869" s="334"/>
      <c r="G869" s="346">
        <v>0.5</v>
      </c>
      <c r="H869" s="417">
        <v>0.5</v>
      </c>
      <c r="I869" s="395">
        <v>284.8759</v>
      </c>
      <c r="J869" s="418">
        <v>85.8102</v>
      </c>
      <c r="K869" s="402"/>
      <c r="L869" s="395">
        <v>370.6861</v>
      </c>
      <c r="N869" s="395">
        <v>171.6204</v>
      </c>
      <c r="O869" s="395"/>
    </row>
    <row r="870" spans="1:15">
      <c r="A870" s="404" t="s">
        <v>14317</v>
      </c>
      <c r="B870" s="404" t="s">
        <v>14318</v>
      </c>
      <c r="C870" s="404"/>
      <c r="D870" s="334"/>
      <c r="E870" s="434">
        <v>1</v>
      </c>
      <c r="F870" s="334"/>
      <c r="G870" s="346">
        <v>1</v>
      </c>
      <c r="H870" s="417">
        <v>0</v>
      </c>
      <c r="I870" s="346">
        <v>329.5576</v>
      </c>
      <c r="J870" s="419">
        <v>115.2184</v>
      </c>
      <c r="K870" s="420"/>
      <c r="L870" s="395">
        <v>329.5576</v>
      </c>
      <c r="N870" s="395">
        <v>115.2184</v>
      </c>
      <c r="O870" s="395"/>
    </row>
    <row r="871" hidden="1" spans="1:15">
      <c r="A871" s="404">
        <v>0</v>
      </c>
      <c r="B871" s="404" t="e">
        <v>#N/A</v>
      </c>
      <c r="C871" s="404"/>
      <c r="D871" s="334"/>
      <c r="E871" s="416">
        <v>0</v>
      </c>
      <c r="F871" s="334"/>
      <c r="G871" s="346">
        <v>0</v>
      </c>
      <c r="H871" s="417">
        <v>1</v>
      </c>
      <c r="I871" s="346" t="e">
        <v>#N/A</v>
      </c>
      <c r="J871" s="419" t="e">
        <v>#N/A</v>
      </c>
      <c r="K871" s="420"/>
      <c r="L871" s="395" t="s">
        <v>932</v>
      </c>
      <c r="N871" s="395" t="s">
        <v>932</v>
      </c>
      <c r="O871" s="395"/>
    </row>
    <row r="872" hidden="1" spans="1:15">
      <c r="A872" s="404">
        <v>0</v>
      </c>
      <c r="B872" s="404" t="e">
        <v>#N/A</v>
      </c>
      <c r="C872" s="404"/>
      <c r="D872" s="334"/>
      <c r="E872" s="416">
        <v>0</v>
      </c>
      <c r="F872" s="334"/>
      <c r="G872" s="346">
        <v>0</v>
      </c>
      <c r="H872" s="417">
        <v>1</v>
      </c>
      <c r="I872" s="346" t="e">
        <v>#N/A</v>
      </c>
      <c r="J872" s="419" t="e">
        <v>#N/A</v>
      </c>
      <c r="K872" s="420"/>
      <c r="L872" s="395" t="s">
        <v>932</v>
      </c>
      <c r="N872" s="395" t="s">
        <v>932</v>
      </c>
      <c r="O872" s="395"/>
    </row>
    <row r="873" hidden="1" spans="1:15">
      <c r="A873" s="404">
        <v>0</v>
      </c>
      <c r="B873" s="404" t="e">
        <v>#N/A</v>
      </c>
      <c r="C873" s="404"/>
      <c r="D873" s="334"/>
      <c r="E873" s="416">
        <v>0</v>
      </c>
      <c r="F873" s="334"/>
      <c r="G873" s="346">
        <v>0</v>
      </c>
      <c r="H873" s="417">
        <v>1</v>
      </c>
      <c r="I873" s="346" t="e">
        <v>#N/A</v>
      </c>
      <c r="J873" s="419" t="e">
        <v>#N/A</v>
      </c>
      <c r="K873" s="420"/>
      <c r="L873" s="395" t="s">
        <v>932</v>
      </c>
      <c r="N873" s="395" t="s">
        <v>932</v>
      </c>
      <c r="O873" s="395"/>
    </row>
    <row r="874" hidden="1" spans="1:15">
      <c r="A874" s="404">
        <v>0</v>
      </c>
      <c r="B874" s="404" t="e">
        <v>#N/A</v>
      </c>
      <c r="C874" s="404"/>
      <c r="D874" s="334"/>
      <c r="E874" s="416">
        <v>0</v>
      </c>
      <c r="F874" s="334"/>
      <c r="G874" s="346">
        <v>0</v>
      </c>
      <c r="H874" s="417">
        <v>1</v>
      </c>
      <c r="I874" s="346" t="e">
        <v>#N/A</v>
      </c>
      <c r="J874" s="419" t="e">
        <v>#N/A</v>
      </c>
      <c r="K874" s="420"/>
      <c r="L874" s="395" t="s">
        <v>932</v>
      </c>
      <c r="N874" s="395" t="s">
        <v>932</v>
      </c>
      <c r="O874" s="395"/>
    </row>
    <row r="875" hidden="1" spans="1:15">
      <c r="A875" s="404">
        <v>0</v>
      </c>
      <c r="B875" s="404" t="e">
        <v>#N/A</v>
      </c>
      <c r="C875" s="404"/>
      <c r="D875" s="334"/>
      <c r="E875" s="416">
        <v>0</v>
      </c>
      <c r="F875" s="334"/>
      <c r="G875" s="346">
        <v>0</v>
      </c>
      <c r="H875" s="417">
        <v>1</v>
      </c>
      <c r="I875" s="346" t="e">
        <v>#N/A</v>
      </c>
      <c r="J875" s="419" t="e">
        <v>#N/A</v>
      </c>
      <c r="K875" s="420"/>
      <c r="L875" s="395" t="s">
        <v>932</v>
      </c>
      <c r="N875" s="395" t="s">
        <v>932</v>
      </c>
      <c r="O875" s="395"/>
    </row>
    <row r="876" hidden="1" spans="1:15">
      <c r="A876" s="404">
        <v>0</v>
      </c>
      <c r="B876" s="436" t="e">
        <v>#N/A</v>
      </c>
      <c r="C876" s="436"/>
      <c r="D876" s="334"/>
      <c r="E876" s="416">
        <v>0</v>
      </c>
      <c r="F876" s="334"/>
      <c r="G876" s="346">
        <v>0</v>
      </c>
      <c r="H876" s="417">
        <v>1</v>
      </c>
      <c r="I876" s="346" t="e">
        <v>#N/A</v>
      </c>
      <c r="J876" s="419" t="e">
        <v>#N/A</v>
      </c>
      <c r="K876" s="420"/>
      <c r="L876" s="395" t="s">
        <v>932</v>
      </c>
      <c r="N876" s="395" t="s">
        <v>932</v>
      </c>
      <c r="O876" s="395"/>
    </row>
    <row r="877" spans="1:15">
      <c r="A877" s="421"/>
      <c r="B877" s="422"/>
      <c r="C877" s="422"/>
      <c r="D877" s="422"/>
      <c r="E877" s="423"/>
      <c r="F877" s="424"/>
      <c r="G877" s="422"/>
      <c r="H877" s="422"/>
      <c r="I877" s="422"/>
      <c r="J877" s="422"/>
      <c r="K877" s="425" t="s">
        <v>14185</v>
      </c>
      <c r="L877" s="426">
        <v>700.2437</v>
      </c>
      <c r="N877" s="427">
        <v>286.8388</v>
      </c>
      <c r="O877" s="395"/>
    </row>
    <row r="878" spans="1:15">
      <c r="A878" s="428" t="s">
        <v>14186</v>
      </c>
      <c r="B878" s="429"/>
      <c r="C878" s="429"/>
      <c r="D878" s="430"/>
      <c r="E878" s="431" t="s">
        <v>74</v>
      </c>
      <c r="F878" s="431" t="s">
        <v>1123</v>
      </c>
      <c r="G878" s="430"/>
      <c r="H878" s="422"/>
      <c r="I878" s="431" t="s">
        <v>14177</v>
      </c>
      <c r="J878" s="430"/>
      <c r="K878" s="430"/>
      <c r="L878" s="432" t="s">
        <v>14187</v>
      </c>
      <c r="N878" s="395"/>
      <c r="O878" s="395"/>
    </row>
    <row r="879" spans="1:15">
      <c r="A879" s="404" t="s">
        <v>935</v>
      </c>
      <c r="B879" s="433" t="s">
        <v>936</v>
      </c>
      <c r="C879" s="433"/>
      <c r="D879" s="334"/>
      <c r="E879" s="434">
        <v>2</v>
      </c>
      <c r="F879" s="333" t="s">
        <v>104</v>
      </c>
      <c r="G879" s="334"/>
      <c r="H879" s="334"/>
      <c r="I879" s="435">
        <v>23.6025</v>
      </c>
      <c r="J879" s="334"/>
      <c r="K879" s="334"/>
      <c r="L879" s="346">
        <v>47.205</v>
      </c>
      <c r="N879" s="395">
        <v>47.205</v>
      </c>
      <c r="O879" s="395"/>
    </row>
    <row r="880" hidden="1" spans="1:15">
      <c r="A880" s="404">
        <v>0</v>
      </c>
      <c r="B880" s="404" t="e">
        <v>#N/A</v>
      </c>
      <c r="C880" s="404"/>
      <c r="D880" s="334"/>
      <c r="E880" s="434">
        <v>0</v>
      </c>
      <c r="F880" s="333" t="s">
        <v>104</v>
      </c>
      <c r="G880" s="334"/>
      <c r="H880" s="334"/>
      <c r="I880" s="435" t="e">
        <v>#N/A</v>
      </c>
      <c r="J880" s="334"/>
      <c r="K880" s="334"/>
      <c r="L880" s="346" t="s">
        <v>932</v>
      </c>
      <c r="N880" s="395" t="s">
        <v>932</v>
      </c>
      <c r="O880" s="395"/>
    </row>
    <row r="881" hidden="1" spans="1:15">
      <c r="A881" s="404">
        <v>0</v>
      </c>
      <c r="B881" s="404" t="e">
        <v>#N/A</v>
      </c>
      <c r="C881" s="404"/>
      <c r="D881" s="334"/>
      <c r="E881" s="434">
        <v>0</v>
      </c>
      <c r="F881" s="333" t="s">
        <v>104</v>
      </c>
      <c r="G881" s="334"/>
      <c r="H881" s="334"/>
      <c r="I881" s="435" t="e">
        <v>#N/A</v>
      </c>
      <c r="J881" s="334"/>
      <c r="K881" s="334"/>
      <c r="L881" s="346" t="s">
        <v>932</v>
      </c>
      <c r="N881" s="395" t="s">
        <v>932</v>
      </c>
      <c r="O881" s="395"/>
    </row>
    <row r="882" hidden="1" spans="1:15">
      <c r="A882" s="404">
        <v>0</v>
      </c>
      <c r="B882" s="404" t="e">
        <v>#N/A</v>
      </c>
      <c r="C882" s="404"/>
      <c r="D882" s="334"/>
      <c r="E882" s="434">
        <v>0</v>
      </c>
      <c r="F882" s="333" t="s">
        <v>104</v>
      </c>
      <c r="G882" s="334"/>
      <c r="H882" s="334"/>
      <c r="I882" s="435" t="e">
        <v>#N/A</v>
      </c>
      <c r="J882" s="334"/>
      <c r="K882" s="334"/>
      <c r="L882" s="346" t="s">
        <v>932</v>
      </c>
      <c r="N882" s="395" t="s">
        <v>932</v>
      </c>
      <c r="O882" s="395"/>
    </row>
    <row r="883" hidden="1" spans="1:15">
      <c r="A883" s="404">
        <v>0</v>
      </c>
      <c r="B883" s="404" t="e">
        <v>#N/A</v>
      </c>
      <c r="C883" s="404"/>
      <c r="D883" s="334"/>
      <c r="E883" s="434">
        <v>0</v>
      </c>
      <c r="F883" s="333" t="s">
        <v>104</v>
      </c>
      <c r="G883" s="334"/>
      <c r="H883" s="334"/>
      <c r="I883" s="435" t="e">
        <v>#N/A</v>
      </c>
      <c r="J883" s="334"/>
      <c r="K883" s="334"/>
      <c r="L883" s="346" t="s">
        <v>932</v>
      </c>
      <c r="N883" s="395" t="s">
        <v>932</v>
      </c>
      <c r="O883" s="395"/>
    </row>
    <row r="884" hidden="1" spans="1:15">
      <c r="A884" s="404">
        <v>0</v>
      </c>
      <c r="B884" s="404" t="e">
        <v>#N/A</v>
      </c>
      <c r="C884" s="404"/>
      <c r="D884" s="334"/>
      <c r="E884" s="434">
        <v>0</v>
      </c>
      <c r="F884" s="333" t="s">
        <v>104</v>
      </c>
      <c r="G884" s="334"/>
      <c r="H884" s="334"/>
      <c r="I884" s="435" t="e">
        <v>#N/A</v>
      </c>
      <c r="J884" s="334"/>
      <c r="K884" s="334"/>
      <c r="L884" s="346" t="s">
        <v>932</v>
      </c>
      <c r="N884" s="395" t="s">
        <v>932</v>
      </c>
      <c r="O884" s="395"/>
    </row>
    <row r="885" hidden="1" spans="1:15">
      <c r="A885" s="404">
        <v>0</v>
      </c>
      <c r="B885" s="404" t="e">
        <v>#N/A</v>
      </c>
      <c r="C885" s="404"/>
      <c r="D885" s="334"/>
      <c r="E885" s="434">
        <v>0</v>
      </c>
      <c r="F885" s="333" t="s">
        <v>104</v>
      </c>
      <c r="G885" s="334"/>
      <c r="H885" s="334"/>
      <c r="I885" s="435" t="e">
        <v>#N/A</v>
      </c>
      <c r="J885" s="334"/>
      <c r="K885" s="334"/>
      <c r="L885" s="346" t="s">
        <v>932</v>
      </c>
      <c r="N885" s="395" t="s">
        <v>932</v>
      </c>
      <c r="O885" s="395"/>
    </row>
    <row r="886" hidden="1" spans="1:15">
      <c r="A886" s="404">
        <v>0</v>
      </c>
      <c r="B886" s="436" t="e">
        <v>#N/A</v>
      </c>
      <c r="C886" s="436"/>
      <c r="D886" s="334"/>
      <c r="E886" s="434">
        <v>0</v>
      </c>
      <c r="F886" s="333" t="s">
        <v>104</v>
      </c>
      <c r="G886" s="334"/>
      <c r="H886" s="334"/>
      <c r="I886" s="435" t="e">
        <v>#N/A</v>
      </c>
      <c r="J886" s="334"/>
      <c r="K886" s="334"/>
      <c r="L886" s="346" t="s">
        <v>932</v>
      </c>
      <c r="N886" s="395" t="s">
        <v>932</v>
      </c>
      <c r="O886" s="395"/>
    </row>
    <row r="887" spans="1:15">
      <c r="A887" s="421"/>
      <c r="B887" s="62"/>
      <c r="C887" s="62"/>
      <c r="D887" s="422"/>
      <c r="E887" s="423"/>
      <c r="F887" s="424"/>
      <c r="G887" s="422"/>
      <c r="H887" s="422"/>
      <c r="I887" s="422"/>
      <c r="J887" s="422"/>
      <c r="K887" s="425" t="s">
        <v>14188</v>
      </c>
      <c r="L887" s="426">
        <v>47.205</v>
      </c>
      <c r="N887" s="427">
        <v>47.205</v>
      </c>
      <c r="O887" s="395"/>
    </row>
    <row r="888" spans="1:15">
      <c r="I888" s="437"/>
      <c r="K888" s="383" t="s">
        <v>14189</v>
      </c>
      <c r="L888" s="427">
        <v>747.4487</v>
      </c>
      <c r="N888" s="395">
        <v>334.0438</v>
      </c>
      <c r="O888" s="395"/>
    </row>
    <row r="889" spans="1:15">
      <c r="K889" s="383" t="s">
        <v>14190</v>
      </c>
      <c r="L889" s="427">
        <v>34.9765418811418</v>
      </c>
      <c r="N889" s="395">
        <v>15.6314365933552</v>
      </c>
      <c r="O889" s="395">
        <v>0</v>
      </c>
    </row>
    <row r="890" spans="1:15">
      <c r="K890" s="383" t="s">
        <v>14191</v>
      </c>
      <c r="L890" s="427">
        <v>0</v>
      </c>
      <c r="N890" s="395"/>
      <c r="O890" s="395"/>
    </row>
    <row r="891" spans="1:15">
      <c r="K891" s="383" t="s">
        <v>14192</v>
      </c>
      <c r="L891" s="395">
        <v>0</v>
      </c>
      <c r="N891" s="395"/>
      <c r="O891" s="395"/>
    </row>
    <row r="892" hidden="1" spans="1:15">
      <c r="A892" s="428" t="s">
        <v>14193</v>
      </c>
      <c r="B892" s="430"/>
      <c r="C892" s="430"/>
      <c r="D892" s="430"/>
      <c r="E892" s="431" t="s">
        <v>74</v>
      </c>
      <c r="F892" s="431" t="s">
        <v>1123</v>
      </c>
      <c r="G892" s="430"/>
      <c r="H892" s="430"/>
      <c r="I892" s="425" t="s">
        <v>75</v>
      </c>
      <c r="J892" s="430"/>
      <c r="K892" s="430"/>
      <c r="L892" s="426" t="s">
        <v>14194</v>
      </c>
      <c r="N892" s="395"/>
      <c r="O892" s="395"/>
    </row>
    <row r="893" hidden="1" spans="1:15">
      <c r="A893" s="404">
        <v>0</v>
      </c>
      <c r="B893" s="433" t="e">
        <v>#N/A</v>
      </c>
      <c r="C893" s="433"/>
      <c r="D893" s="334"/>
      <c r="E893" s="434">
        <v>0</v>
      </c>
      <c r="F893" s="333" t="e">
        <v>#N/A</v>
      </c>
      <c r="G893" s="334"/>
      <c r="I893" s="395" t="e">
        <v>#N/A</v>
      </c>
      <c r="J893" s="395"/>
      <c r="K893" s="395"/>
      <c r="L893" s="346" t="s">
        <v>932</v>
      </c>
      <c r="N893" s="395"/>
      <c r="O893" s="395"/>
    </row>
    <row r="894" hidden="1" spans="1:15">
      <c r="A894" s="404">
        <v>0</v>
      </c>
      <c r="B894" s="404" t="e">
        <v>#N/A</v>
      </c>
      <c r="C894" s="404"/>
      <c r="D894" s="334"/>
      <c r="E894" s="434">
        <v>0</v>
      </c>
      <c r="F894" s="333" t="e">
        <v>#N/A</v>
      </c>
      <c r="G894" s="334"/>
      <c r="I894" s="395" t="e">
        <v>#N/A</v>
      </c>
      <c r="J894" s="395"/>
      <c r="K894" s="395"/>
      <c r="L894" s="346" t="s">
        <v>932</v>
      </c>
      <c r="N894" s="395"/>
      <c r="O894" s="395"/>
    </row>
    <row r="895" hidden="1" spans="1:15">
      <c r="A895" s="404">
        <v>0</v>
      </c>
      <c r="B895" s="404" t="e">
        <v>#N/A</v>
      </c>
      <c r="C895" s="404"/>
      <c r="D895" s="334"/>
      <c r="E895" s="434">
        <v>0</v>
      </c>
      <c r="F895" s="333" t="e">
        <v>#N/A</v>
      </c>
      <c r="G895" s="334"/>
      <c r="I895" s="395" t="e">
        <v>#N/A</v>
      </c>
      <c r="J895" s="395"/>
      <c r="K895" s="395"/>
      <c r="L895" s="346" t="s">
        <v>932</v>
      </c>
      <c r="N895" s="395"/>
      <c r="O895" s="395"/>
    </row>
    <row r="896" hidden="1" spans="1:15">
      <c r="A896" s="404">
        <v>0</v>
      </c>
      <c r="B896" s="404" t="e">
        <v>#N/A</v>
      </c>
      <c r="C896" s="404"/>
      <c r="D896" s="334"/>
      <c r="E896" s="434">
        <v>0</v>
      </c>
      <c r="F896" s="333" t="e">
        <v>#N/A</v>
      </c>
      <c r="G896" s="334"/>
      <c r="I896" s="395" t="e">
        <v>#N/A</v>
      </c>
      <c r="J896" s="395"/>
      <c r="K896" s="395"/>
      <c r="L896" s="346" t="s">
        <v>932</v>
      </c>
      <c r="N896" s="395"/>
      <c r="O896" s="395"/>
    </row>
    <row r="897" hidden="1" spans="1:15">
      <c r="A897" s="404">
        <v>0</v>
      </c>
      <c r="B897" s="404" t="e">
        <v>#N/A</v>
      </c>
      <c r="C897" s="404"/>
      <c r="D897" s="334"/>
      <c r="E897" s="434">
        <v>0</v>
      </c>
      <c r="F897" s="333" t="e">
        <v>#N/A</v>
      </c>
      <c r="G897" s="334"/>
      <c r="H897" s="334"/>
      <c r="I897" s="395" t="e">
        <v>#N/A</v>
      </c>
      <c r="J897" s="395"/>
      <c r="K897" s="395"/>
      <c r="L897" s="346" t="s">
        <v>932</v>
      </c>
      <c r="N897" s="395"/>
      <c r="O897" s="395"/>
    </row>
    <row r="898" hidden="1" spans="1:15">
      <c r="A898" s="404">
        <v>0</v>
      </c>
      <c r="B898" s="404" t="e">
        <v>#N/A</v>
      </c>
      <c r="C898" s="404"/>
      <c r="D898" s="334"/>
      <c r="E898" s="434">
        <v>0</v>
      </c>
      <c r="F898" s="333" t="e">
        <v>#N/A</v>
      </c>
      <c r="G898" s="334"/>
      <c r="H898" s="334"/>
      <c r="I898" s="395" t="e">
        <v>#N/A</v>
      </c>
      <c r="J898" s="395"/>
      <c r="K898" s="395"/>
      <c r="L898" s="346" t="s">
        <v>932</v>
      </c>
      <c r="N898" s="395"/>
      <c r="O898" s="395"/>
    </row>
    <row r="899" hidden="1" spans="1:15">
      <c r="A899" s="404">
        <v>0</v>
      </c>
      <c r="B899" s="404" t="e">
        <v>#N/A</v>
      </c>
      <c r="C899" s="404"/>
      <c r="D899" s="334"/>
      <c r="E899" s="434">
        <v>0</v>
      </c>
      <c r="F899" s="333" t="e">
        <v>#N/A</v>
      </c>
      <c r="G899" s="334"/>
      <c r="H899" s="334"/>
      <c r="I899" s="395" t="e">
        <v>#N/A</v>
      </c>
      <c r="J899" s="395"/>
      <c r="K899" s="395"/>
      <c r="L899" s="346" t="s">
        <v>932</v>
      </c>
      <c r="N899" s="395"/>
      <c r="O899" s="395"/>
    </row>
    <row r="900" hidden="1" spans="1:15">
      <c r="A900" s="404">
        <v>0</v>
      </c>
      <c r="B900" s="436" t="e">
        <v>#N/A</v>
      </c>
      <c r="C900" s="436"/>
      <c r="D900" s="438"/>
      <c r="E900" s="434">
        <v>0</v>
      </c>
      <c r="F900" s="333" t="e">
        <v>#N/A</v>
      </c>
      <c r="G900" s="334"/>
      <c r="H900" s="334"/>
      <c r="I900" s="395" t="e">
        <v>#N/A</v>
      </c>
      <c r="J900" s="395"/>
      <c r="K900" s="395"/>
      <c r="L900" s="346" t="s">
        <v>932</v>
      </c>
      <c r="N900" s="395"/>
      <c r="O900" s="395"/>
    </row>
    <row r="901" hidden="1" spans="1:15">
      <c r="A901" s="421"/>
      <c r="B901" s="422"/>
      <c r="C901" s="422"/>
      <c r="D901" s="422"/>
      <c r="E901" s="423"/>
      <c r="F901" s="424"/>
      <c r="G901" s="422"/>
      <c r="H901" s="422"/>
      <c r="I901" s="430"/>
      <c r="J901" s="430"/>
      <c r="K901" s="425" t="s">
        <v>14203</v>
      </c>
      <c r="L901" s="426">
        <v>0</v>
      </c>
      <c r="N901" s="395"/>
      <c r="O901" s="395"/>
    </row>
    <row r="902" hidden="1" spans="1:15">
      <c r="A902" s="428" t="s">
        <v>14204</v>
      </c>
      <c r="B902" s="430"/>
      <c r="C902" s="430"/>
      <c r="D902" s="430"/>
      <c r="E902" s="431" t="s">
        <v>74</v>
      </c>
      <c r="F902" s="431" t="s">
        <v>1123</v>
      </c>
      <c r="G902" s="430"/>
      <c r="H902" s="430"/>
      <c r="I902" s="425" t="s">
        <v>75</v>
      </c>
      <c r="J902" s="430"/>
      <c r="K902" s="430"/>
      <c r="L902" s="426" t="s">
        <v>14194</v>
      </c>
      <c r="N902" s="395"/>
      <c r="O902" s="395"/>
    </row>
    <row r="903" hidden="1" spans="1:15">
      <c r="A903" s="404">
        <v>0</v>
      </c>
      <c r="B903" s="334" t="e">
        <v>#N/A</v>
      </c>
      <c r="C903" s="334"/>
      <c r="D903" s="334"/>
      <c r="E903" s="434">
        <v>0</v>
      </c>
      <c r="F903" s="333" t="e">
        <v>#N/A</v>
      </c>
      <c r="G903" s="439"/>
      <c r="I903" s="346" t="e">
        <v>#N/A</v>
      </c>
      <c r="L903" s="346" t="s">
        <v>932</v>
      </c>
      <c r="N903" s="395"/>
      <c r="O903" s="395"/>
    </row>
    <row r="904" hidden="1" spans="1:15">
      <c r="A904" s="401">
        <v>0</v>
      </c>
      <c r="B904" s="334" t="e">
        <v>#N/A</v>
      </c>
      <c r="E904" s="440">
        <v>0</v>
      </c>
      <c r="F904" s="333" t="e">
        <v>#N/A</v>
      </c>
      <c r="G904" s="439"/>
      <c r="I904" s="346" t="e">
        <v>#N/A</v>
      </c>
      <c r="L904" s="346" t="s">
        <v>932</v>
      </c>
      <c r="N904" s="395"/>
      <c r="O904" s="395"/>
    </row>
    <row r="905" hidden="1" spans="1:15">
      <c r="A905" s="401">
        <v>0</v>
      </c>
      <c r="B905" s="334" t="e">
        <v>#N/A</v>
      </c>
      <c r="E905" s="440">
        <v>0</v>
      </c>
      <c r="F905" s="333" t="e">
        <v>#N/A</v>
      </c>
      <c r="G905" s="439"/>
      <c r="I905" s="346" t="e">
        <v>#N/A</v>
      </c>
      <c r="L905" s="346" t="s">
        <v>932</v>
      </c>
      <c r="N905" s="395"/>
      <c r="O905" s="395"/>
    </row>
    <row r="906" hidden="1" spans="1:15">
      <c r="A906" s="401">
        <v>0</v>
      </c>
      <c r="B906" s="334" t="e">
        <v>#N/A</v>
      </c>
      <c r="E906" s="440">
        <v>0</v>
      </c>
      <c r="F906" s="333" t="e">
        <v>#N/A</v>
      </c>
      <c r="G906" s="439"/>
      <c r="I906" s="346" t="e">
        <v>#N/A</v>
      </c>
      <c r="L906" s="346" t="s">
        <v>932</v>
      </c>
      <c r="N906" s="395"/>
      <c r="O906" s="395"/>
    </row>
    <row r="907" hidden="1" spans="1:15">
      <c r="A907" s="401">
        <v>0</v>
      </c>
      <c r="B907" s="334" t="e">
        <v>#N/A</v>
      </c>
      <c r="E907" s="440">
        <v>0</v>
      </c>
      <c r="F907" s="333" t="e">
        <v>#N/A</v>
      </c>
      <c r="G907" s="439"/>
      <c r="I907" s="346" t="e">
        <v>#N/A</v>
      </c>
      <c r="L907" s="346" t="s">
        <v>932</v>
      </c>
      <c r="N907" s="395"/>
      <c r="O907" s="395"/>
    </row>
    <row r="908" hidden="1" spans="1:15">
      <c r="A908" s="401">
        <v>0</v>
      </c>
      <c r="B908" s="334" t="e">
        <v>#N/A</v>
      </c>
      <c r="E908" s="440">
        <v>0</v>
      </c>
      <c r="F908" s="333" t="e">
        <v>#N/A</v>
      </c>
      <c r="G908" s="439"/>
      <c r="I908" s="346" t="e">
        <v>#N/A</v>
      </c>
      <c r="L908" s="346" t="s">
        <v>932</v>
      </c>
      <c r="N908" s="395"/>
      <c r="O908" s="395"/>
    </row>
    <row r="909" hidden="1" spans="1:15">
      <c r="A909" s="421"/>
      <c r="B909" s="422"/>
      <c r="C909" s="422"/>
      <c r="D909" s="422"/>
      <c r="E909" s="422"/>
      <c r="F909" s="422"/>
      <c r="G909" s="422"/>
      <c r="H909" s="422"/>
      <c r="I909" s="430"/>
      <c r="J909" s="430"/>
      <c r="K909" s="425" t="s">
        <v>14206</v>
      </c>
      <c r="L909" s="426">
        <v>0</v>
      </c>
      <c r="N909" s="395"/>
      <c r="O909" s="395"/>
    </row>
    <row r="910" spans="1:15">
      <c r="A910" s="421"/>
      <c r="B910" s="422"/>
      <c r="C910" s="422"/>
      <c r="D910" s="422"/>
      <c r="E910" s="422"/>
      <c r="F910" s="422"/>
      <c r="G910" s="422"/>
      <c r="H910" s="422"/>
      <c r="I910" s="430"/>
      <c r="J910" s="430"/>
      <c r="K910" s="425" t="s">
        <v>14207</v>
      </c>
      <c r="L910" s="426">
        <v>34.9765418811418</v>
      </c>
      <c r="N910" s="395"/>
      <c r="O910" s="395"/>
    </row>
    <row r="911" hidden="1" spans="1:15">
      <c r="A911" s="428" t="s">
        <v>14208</v>
      </c>
      <c r="B911" s="430"/>
      <c r="C911" s="430"/>
      <c r="D911" s="431" t="s">
        <v>55</v>
      </c>
      <c r="E911" s="431" t="s">
        <v>74</v>
      </c>
      <c r="F911" s="431" t="s">
        <v>1123</v>
      </c>
      <c r="G911" s="430"/>
      <c r="H911" s="430"/>
      <c r="I911" s="425" t="s">
        <v>75</v>
      </c>
      <c r="J911" s="430"/>
      <c r="K911" s="430"/>
      <c r="L911" s="426" t="s">
        <v>14194</v>
      </c>
      <c r="N911" s="395"/>
      <c r="O911" s="395"/>
    </row>
    <row r="912" hidden="1" spans="1:15">
      <c r="A912" s="404">
        <v>0</v>
      </c>
      <c r="B912" s="441" t="e">
        <v>#N/A</v>
      </c>
      <c r="C912" s="441"/>
      <c r="D912" s="442">
        <v>0</v>
      </c>
      <c r="E912" s="434">
        <v>0</v>
      </c>
      <c r="F912" s="333" t="s">
        <v>9885</v>
      </c>
      <c r="G912" s="443" t="s">
        <v>14209</v>
      </c>
      <c r="H912" s="334"/>
      <c r="I912" s="346">
        <v>0</v>
      </c>
      <c r="J912" s="334"/>
      <c r="K912" s="346"/>
      <c r="L912" s="346" t="s">
        <v>932</v>
      </c>
      <c r="N912" s="395"/>
      <c r="O912" s="395"/>
    </row>
    <row r="913" hidden="1" spans="1:15">
      <c r="A913" s="404">
        <v>0</v>
      </c>
      <c r="B913" s="334" t="e">
        <v>#N/A</v>
      </c>
      <c r="C913" s="334"/>
      <c r="D913" s="442">
        <v>0</v>
      </c>
      <c r="E913" s="434">
        <v>0</v>
      </c>
      <c r="F913" s="333" t="s">
        <v>9885</v>
      </c>
      <c r="G913" s="334"/>
      <c r="H913" s="334"/>
      <c r="I913" s="346">
        <v>0</v>
      </c>
      <c r="J913" s="334"/>
      <c r="K913" s="346"/>
      <c r="L913" s="346" t="s">
        <v>932</v>
      </c>
      <c r="N913" s="395"/>
      <c r="O913" s="395"/>
    </row>
    <row r="914" hidden="1" spans="1:15">
      <c r="A914" s="404">
        <v>0</v>
      </c>
      <c r="B914" s="334" t="e">
        <v>#N/A</v>
      </c>
      <c r="C914" s="334"/>
      <c r="D914" s="442">
        <v>0</v>
      </c>
      <c r="E914" s="434">
        <v>0</v>
      </c>
      <c r="F914" s="333" t="s">
        <v>9885</v>
      </c>
      <c r="G914" s="334"/>
      <c r="H914" s="334"/>
      <c r="I914" s="346">
        <v>0</v>
      </c>
      <c r="J914" s="334"/>
      <c r="K914" s="346"/>
      <c r="L914" s="346" t="s">
        <v>932</v>
      </c>
      <c r="N914" s="395"/>
      <c r="O914" s="395"/>
    </row>
    <row r="915" hidden="1" spans="1:15">
      <c r="A915" s="404">
        <v>0</v>
      </c>
      <c r="B915" s="334" t="e">
        <v>#N/A</v>
      </c>
      <c r="C915" s="334"/>
      <c r="D915" s="442">
        <v>0</v>
      </c>
      <c r="E915" s="434">
        <v>0</v>
      </c>
      <c r="F915" s="333" t="s">
        <v>9885</v>
      </c>
      <c r="G915" s="334"/>
      <c r="H915" s="334"/>
      <c r="I915" s="346">
        <v>0</v>
      </c>
      <c r="J915" s="334"/>
      <c r="K915" s="346"/>
      <c r="L915" s="346" t="s">
        <v>932</v>
      </c>
      <c r="N915" s="395"/>
      <c r="O915" s="395"/>
    </row>
    <row r="916" hidden="1" spans="1:15">
      <c r="A916" s="404">
        <v>0</v>
      </c>
      <c r="B916" s="334" t="e">
        <v>#N/A</v>
      </c>
      <c r="C916" s="334"/>
      <c r="D916" s="442">
        <v>0</v>
      </c>
      <c r="E916" s="434">
        <v>0</v>
      </c>
      <c r="F916" s="333" t="s">
        <v>9885</v>
      </c>
      <c r="G916" s="334"/>
      <c r="H916" s="334"/>
      <c r="I916" s="346">
        <v>0</v>
      </c>
      <c r="J916" s="334"/>
      <c r="K916" s="346"/>
      <c r="L916" s="346" t="s">
        <v>932</v>
      </c>
      <c r="N916" s="395"/>
      <c r="O916" s="395"/>
    </row>
    <row r="917" hidden="1" spans="1:15">
      <c r="A917" s="404">
        <v>0</v>
      </c>
      <c r="B917" s="334" t="e">
        <v>#N/A</v>
      </c>
      <c r="C917" s="334"/>
      <c r="D917" s="442">
        <v>0</v>
      </c>
      <c r="E917" s="434">
        <v>0</v>
      </c>
      <c r="F917" s="333" t="s">
        <v>9885</v>
      </c>
      <c r="G917" s="334"/>
      <c r="H917" s="334"/>
      <c r="I917" s="346">
        <v>0</v>
      </c>
      <c r="J917" s="334"/>
      <c r="K917" s="346"/>
      <c r="L917" s="346" t="s">
        <v>932</v>
      </c>
      <c r="N917" s="395"/>
      <c r="O917" s="395"/>
    </row>
    <row r="918" hidden="1" spans="1:15">
      <c r="A918" s="404">
        <v>0</v>
      </c>
      <c r="B918" s="334" t="e">
        <v>#N/A</v>
      </c>
      <c r="C918" s="334"/>
      <c r="D918" s="442">
        <v>0</v>
      </c>
      <c r="E918" s="434">
        <v>0</v>
      </c>
      <c r="F918" s="333" t="s">
        <v>9885</v>
      </c>
      <c r="G918" s="334"/>
      <c r="H918" s="334"/>
      <c r="I918" s="346">
        <v>0</v>
      </c>
      <c r="J918" s="334"/>
      <c r="K918" s="346"/>
      <c r="L918" s="346" t="s">
        <v>932</v>
      </c>
      <c r="N918" s="395"/>
      <c r="O918" s="395"/>
    </row>
    <row r="919" hidden="1" spans="1:15">
      <c r="A919" s="404">
        <v>0</v>
      </c>
      <c r="B919" s="444" t="e">
        <v>#N/A</v>
      </c>
      <c r="C919" s="444"/>
      <c r="D919" s="442">
        <v>0</v>
      </c>
      <c r="E919" s="434">
        <v>0</v>
      </c>
      <c r="F919" s="333" t="s">
        <v>9885</v>
      </c>
      <c r="G919" s="334"/>
      <c r="H919" s="334"/>
      <c r="I919" s="346">
        <v>0</v>
      </c>
      <c r="J919" s="334"/>
      <c r="K919" s="346"/>
      <c r="L919" s="346" t="s">
        <v>932</v>
      </c>
      <c r="N919" s="395"/>
      <c r="O919" s="395"/>
    </row>
    <row r="920" hidden="1" spans="1:15">
      <c r="A920" s="428"/>
      <c r="B920" s="445"/>
      <c r="C920" s="445"/>
      <c r="D920" s="430"/>
      <c r="E920" s="430"/>
      <c r="F920" s="430"/>
      <c r="G920" s="430"/>
      <c r="H920" s="430"/>
      <c r="I920" s="430"/>
      <c r="J920" s="430"/>
      <c r="K920" s="425" t="s">
        <v>14210</v>
      </c>
      <c r="L920" s="426">
        <v>0</v>
      </c>
      <c r="N920" s="395"/>
      <c r="O920" s="395"/>
    </row>
    <row r="921" hidden="1" spans="1:15">
      <c r="A921" s="446" t="s">
        <v>14211</v>
      </c>
      <c r="B921" s="445"/>
      <c r="C921" s="445"/>
      <c r="D921" s="447" t="s">
        <v>55</v>
      </c>
      <c r="E921" s="445" t="s">
        <v>74</v>
      </c>
      <c r="F921" s="447" t="s">
        <v>1123</v>
      </c>
      <c r="G921" s="445"/>
      <c r="H921" s="447" t="s">
        <v>72</v>
      </c>
      <c r="I921" s="447" t="s">
        <v>75</v>
      </c>
      <c r="J921" s="445"/>
      <c r="K921" s="448"/>
      <c r="L921" s="449" t="s">
        <v>14194</v>
      </c>
      <c r="N921" s="395"/>
      <c r="O921" s="395"/>
    </row>
    <row r="922" hidden="1" spans="1:15">
      <c r="A922" s="404">
        <v>0</v>
      </c>
      <c r="B922" s="433" t="e">
        <v>#N/A</v>
      </c>
      <c r="C922" s="433"/>
      <c r="D922" s="442">
        <v>0</v>
      </c>
      <c r="E922" s="450">
        <v>0</v>
      </c>
      <c r="F922" s="333" t="s">
        <v>13063</v>
      </c>
      <c r="G922" s="333" t="s">
        <v>14212</v>
      </c>
      <c r="H922" s="346">
        <v>0</v>
      </c>
      <c r="I922" s="346">
        <v>0</v>
      </c>
      <c r="J922" s="346"/>
      <c r="K922" s="334"/>
      <c r="L922" s="346" t="s">
        <v>932</v>
      </c>
      <c r="N922" s="395"/>
      <c r="O922" s="395"/>
    </row>
    <row r="923" hidden="1" spans="1:15">
      <c r="A923" s="404"/>
      <c r="B923" s="404"/>
      <c r="C923" s="334"/>
      <c r="D923" s="442">
        <v>0</v>
      </c>
      <c r="E923" s="450">
        <v>0</v>
      </c>
      <c r="F923" s="333" t="s">
        <v>13063</v>
      </c>
      <c r="G923" s="333" t="s">
        <v>14213</v>
      </c>
      <c r="H923" s="346">
        <v>0</v>
      </c>
      <c r="I923" s="346">
        <v>0</v>
      </c>
      <c r="J923" s="346"/>
      <c r="K923" s="334"/>
      <c r="L923" s="346" t="s">
        <v>932</v>
      </c>
      <c r="N923" s="395"/>
      <c r="O923" s="395"/>
    </row>
    <row r="924" hidden="1" spans="1:15">
      <c r="A924" s="404"/>
      <c r="B924" s="404"/>
      <c r="C924" s="334"/>
      <c r="D924" s="442">
        <v>0</v>
      </c>
      <c r="E924" s="450">
        <v>0</v>
      </c>
      <c r="F924" s="333" t="s">
        <v>13063</v>
      </c>
      <c r="G924" s="333" t="s">
        <v>14214</v>
      </c>
      <c r="H924" s="346">
        <v>0</v>
      </c>
      <c r="I924" s="346">
        <v>0</v>
      </c>
      <c r="J924" s="346"/>
      <c r="K924" s="334"/>
      <c r="L924" s="346" t="s">
        <v>932</v>
      </c>
      <c r="N924" s="395"/>
      <c r="O924" s="395"/>
    </row>
    <row r="925" hidden="1" spans="1:15">
      <c r="A925" s="404">
        <v>0</v>
      </c>
      <c r="B925" s="404" t="e">
        <v>#N/A</v>
      </c>
      <c r="C925" s="404"/>
      <c r="D925" s="442">
        <v>0</v>
      </c>
      <c r="E925" s="450">
        <v>0</v>
      </c>
      <c r="F925" s="333" t="s">
        <v>13063</v>
      </c>
      <c r="G925" s="333" t="s">
        <v>14212</v>
      </c>
      <c r="H925" s="346">
        <v>0</v>
      </c>
      <c r="I925" s="346">
        <v>0</v>
      </c>
      <c r="J925" s="346"/>
      <c r="K925" s="334"/>
      <c r="L925" s="346" t="s">
        <v>932</v>
      </c>
      <c r="N925" s="395"/>
      <c r="O925" s="395"/>
    </row>
    <row r="926" hidden="1" spans="1:15">
      <c r="A926" s="404"/>
      <c r="B926" s="404"/>
      <c r="C926" s="334"/>
      <c r="D926" s="442">
        <v>0</v>
      </c>
      <c r="E926" s="450">
        <v>0</v>
      </c>
      <c r="F926" s="333" t="s">
        <v>13063</v>
      </c>
      <c r="G926" s="333" t="s">
        <v>14213</v>
      </c>
      <c r="H926" s="346">
        <v>0</v>
      </c>
      <c r="I926" s="346">
        <v>0</v>
      </c>
      <c r="J926" s="346"/>
      <c r="K926" s="334"/>
      <c r="L926" s="346" t="s">
        <v>932</v>
      </c>
      <c r="N926" s="395"/>
      <c r="O926" s="395"/>
    </row>
    <row r="927" hidden="1" spans="1:15">
      <c r="A927" s="404"/>
      <c r="B927" s="404"/>
      <c r="C927" s="334"/>
      <c r="D927" s="442">
        <v>0</v>
      </c>
      <c r="E927" s="450">
        <v>0</v>
      </c>
      <c r="F927" s="333" t="s">
        <v>13063</v>
      </c>
      <c r="G927" s="333" t="s">
        <v>14214</v>
      </c>
      <c r="H927" s="346">
        <v>0</v>
      </c>
      <c r="I927" s="346">
        <v>0</v>
      </c>
      <c r="J927" s="346"/>
      <c r="K927" s="334"/>
      <c r="L927" s="346" t="s">
        <v>932</v>
      </c>
      <c r="N927" s="395"/>
      <c r="O927" s="395"/>
    </row>
    <row r="928" hidden="1" spans="1:15">
      <c r="A928" s="404">
        <v>0</v>
      </c>
      <c r="B928" s="404" t="e">
        <v>#N/A</v>
      </c>
      <c r="C928" s="404"/>
      <c r="D928" s="442">
        <v>0</v>
      </c>
      <c r="E928" s="450">
        <v>0</v>
      </c>
      <c r="F928" s="333" t="s">
        <v>13063</v>
      </c>
      <c r="G928" s="333" t="s">
        <v>14212</v>
      </c>
      <c r="H928" s="346">
        <v>0</v>
      </c>
      <c r="I928" s="346">
        <v>0</v>
      </c>
      <c r="J928" s="346"/>
      <c r="K928" s="334"/>
      <c r="L928" s="346" t="s">
        <v>932</v>
      </c>
      <c r="N928" s="395"/>
      <c r="O928" s="395"/>
    </row>
    <row r="929" hidden="1" spans="1:15">
      <c r="A929" s="404"/>
      <c r="B929" s="404"/>
      <c r="C929" s="334"/>
      <c r="D929" s="442">
        <v>0</v>
      </c>
      <c r="E929" s="450">
        <v>0</v>
      </c>
      <c r="F929" s="333" t="s">
        <v>13063</v>
      </c>
      <c r="G929" s="333" t="s">
        <v>14213</v>
      </c>
      <c r="H929" s="346">
        <v>0</v>
      </c>
      <c r="I929" s="346">
        <v>0</v>
      </c>
      <c r="J929" s="346"/>
      <c r="K929" s="334"/>
      <c r="L929" s="346" t="s">
        <v>932</v>
      </c>
      <c r="N929" s="395"/>
      <c r="O929" s="395"/>
    </row>
    <row r="930" hidden="1" spans="1:15">
      <c r="A930" s="404"/>
      <c r="B930" s="404"/>
      <c r="C930" s="334"/>
      <c r="D930" s="442">
        <v>0</v>
      </c>
      <c r="E930" s="450">
        <v>0</v>
      </c>
      <c r="F930" s="333" t="s">
        <v>13063</v>
      </c>
      <c r="G930" s="333" t="s">
        <v>14214</v>
      </c>
      <c r="H930" s="346">
        <v>0</v>
      </c>
      <c r="I930" s="346">
        <v>0</v>
      </c>
      <c r="J930" s="346"/>
      <c r="K930" s="334"/>
      <c r="L930" s="346" t="s">
        <v>932</v>
      </c>
      <c r="N930" s="395"/>
      <c r="O930" s="395"/>
    </row>
    <row r="931" hidden="1" spans="1:15">
      <c r="A931" s="404">
        <v>0</v>
      </c>
      <c r="B931" s="404" t="e">
        <v>#N/A</v>
      </c>
      <c r="C931" s="404"/>
      <c r="D931" s="442">
        <v>0</v>
      </c>
      <c r="E931" s="450">
        <v>0</v>
      </c>
      <c r="F931" s="333" t="s">
        <v>13063</v>
      </c>
      <c r="G931" s="333" t="s">
        <v>14212</v>
      </c>
      <c r="H931" s="346">
        <v>0</v>
      </c>
      <c r="I931" s="346">
        <v>0</v>
      </c>
      <c r="J931" s="346"/>
      <c r="K931" s="334"/>
      <c r="L931" s="346" t="s">
        <v>932</v>
      </c>
      <c r="N931" s="395"/>
      <c r="O931" s="395"/>
    </row>
    <row r="932" hidden="1" spans="1:15">
      <c r="A932" s="404"/>
      <c r="B932" s="404"/>
      <c r="C932" s="334"/>
      <c r="D932" s="442">
        <v>0</v>
      </c>
      <c r="E932" s="450">
        <v>0</v>
      </c>
      <c r="F932" s="333" t="s">
        <v>13063</v>
      </c>
      <c r="G932" s="333" t="s">
        <v>14213</v>
      </c>
      <c r="H932" s="346">
        <v>0</v>
      </c>
      <c r="I932" s="346">
        <v>0</v>
      </c>
      <c r="J932" s="346"/>
      <c r="K932" s="334"/>
      <c r="L932" s="346" t="s">
        <v>932</v>
      </c>
      <c r="N932" s="395"/>
      <c r="O932" s="395"/>
    </row>
    <row r="933" hidden="1" spans="1:15">
      <c r="A933" s="404"/>
      <c r="B933" s="404"/>
      <c r="C933" s="334"/>
      <c r="D933" s="442">
        <v>0</v>
      </c>
      <c r="E933" s="450">
        <v>0</v>
      </c>
      <c r="F933" s="333" t="s">
        <v>13063</v>
      </c>
      <c r="G933" s="333" t="s">
        <v>14214</v>
      </c>
      <c r="H933" s="346">
        <v>0</v>
      </c>
      <c r="I933" s="346">
        <v>0</v>
      </c>
      <c r="J933" s="346"/>
      <c r="K933" s="334"/>
      <c r="L933" s="346" t="s">
        <v>932</v>
      </c>
      <c r="N933" s="395"/>
      <c r="O933" s="395"/>
    </row>
    <row r="934" hidden="1" spans="1:15">
      <c r="A934" s="404">
        <v>0</v>
      </c>
      <c r="B934" s="404" t="e">
        <v>#N/A</v>
      </c>
      <c r="C934" s="404"/>
      <c r="D934" s="442">
        <v>0</v>
      </c>
      <c r="E934" s="450">
        <v>0</v>
      </c>
      <c r="F934" s="333" t="s">
        <v>13063</v>
      </c>
      <c r="G934" s="333" t="s">
        <v>14212</v>
      </c>
      <c r="H934" s="346">
        <v>0</v>
      </c>
      <c r="I934" s="346">
        <v>0</v>
      </c>
      <c r="J934" s="346"/>
      <c r="K934" s="334"/>
      <c r="L934" s="346" t="s">
        <v>932</v>
      </c>
      <c r="N934" s="395"/>
      <c r="O934" s="395"/>
    </row>
    <row r="935" hidden="1" spans="1:15">
      <c r="A935" s="404"/>
      <c r="B935" s="404"/>
      <c r="C935" s="334"/>
      <c r="D935" s="442">
        <v>0</v>
      </c>
      <c r="E935" s="450">
        <v>0</v>
      </c>
      <c r="F935" s="333" t="s">
        <v>13063</v>
      </c>
      <c r="G935" s="333" t="s">
        <v>14213</v>
      </c>
      <c r="H935" s="346">
        <v>0</v>
      </c>
      <c r="I935" s="346">
        <v>0</v>
      </c>
      <c r="J935" s="346"/>
      <c r="K935" s="334"/>
      <c r="L935" s="346" t="s">
        <v>932</v>
      </c>
      <c r="N935" s="395"/>
      <c r="O935" s="395"/>
    </row>
    <row r="936" hidden="1" spans="1:15">
      <c r="A936" s="404"/>
      <c r="B936" s="404"/>
      <c r="C936" s="334"/>
      <c r="D936" s="442">
        <v>0</v>
      </c>
      <c r="E936" s="450">
        <v>0</v>
      </c>
      <c r="F936" s="333" t="s">
        <v>13063</v>
      </c>
      <c r="G936" s="333" t="s">
        <v>14214</v>
      </c>
      <c r="H936" s="346">
        <v>0</v>
      </c>
      <c r="I936" s="346">
        <v>0</v>
      </c>
      <c r="J936" s="346"/>
      <c r="K936" s="334"/>
      <c r="L936" s="346" t="s">
        <v>932</v>
      </c>
      <c r="N936" s="395"/>
      <c r="O936" s="395"/>
    </row>
    <row r="937" hidden="1" spans="1:15">
      <c r="A937" s="401">
        <v>0</v>
      </c>
      <c r="B937" s="401" t="e">
        <v>#N/A</v>
      </c>
      <c r="C937" s="401"/>
      <c r="D937" s="442">
        <v>0</v>
      </c>
      <c r="E937" s="450">
        <v>0</v>
      </c>
      <c r="F937" s="439" t="s">
        <v>13063</v>
      </c>
      <c r="G937" s="439" t="s">
        <v>14212</v>
      </c>
      <c r="H937" s="346">
        <v>0</v>
      </c>
      <c r="I937" s="346">
        <v>0</v>
      </c>
      <c r="J937" s="395"/>
      <c r="L937" s="346" t="s">
        <v>932</v>
      </c>
      <c r="N937" s="395"/>
      <c r="O937" s="395"/>
    </row>
    <row r="938" hidden="1" spans="1:15">
      <c r="A938" s="401"/>
      <c r="B938" s="401"/>
      <c r="D938" s="442">
        <v>0</v>
      </c>
      <c r="E938" s="450">
        <v>0</v>
      </c>
      <c r="F938" s="439" t="s">
        <v>13063</v>
      </c>
      <c r="G938" s="439" t="s">
        <v>14213</v>
      </c>
      <c r="H938" s="346">
        <v>0</v>
      </c>
      <c r="I938" s="346">
        <v>0</v>
      </c>
      <c r="J938" s="395"/>
      <c r="L938" s="346" t="s">
        <v>932</v>
      </c>
      <c r="N938" s="395"/>
      <c r="O938" s="395"/>
    </row>
    <row r="939" hidden="1" spans="1:15">
      <c r="A939" s="401"/>
      <c r="B939" s="401"/>
      <c r="D939" s="442">
        <v>0</v>
      </c>
      <c r="E939" s="450">
        <v>0</v>
      </c>
      <c r="F939" s="439" t="s">
        <v>13063</v>
      </c>
      <c r="G939" s="439" t="s">
        <v>14214</v>
      </c>
      <c r="H939" s="346">
        <v>0</v>
      </c>
      <c r="I939" s="346">
        <v>0</v>
      </c>
      <c r="J939" s="395"/>
      <c r="L939" s="346" t="s">
        <v>932</v>
      </c>
      <c r="N939" s="395"/>
      <c r="O939" s="395"/>
    </row>
    <row r="940" hidden="1" spans="1:15">
      <c r="A940" s="401">
        <v>0</v>
      </c>
      <c r="B940" s="401" t="e">
        <v>#N/A</v>
      </c>
      <c r="C940" s="401"/>
      <c r="D940" s="442">
        <v>0</v>
      </c>
      <c r="E940" s="450">
        <v>0</v>
      </c>
      <c r="F940" s="439" t="s">
        <v>13063</v>
      </c>
      <c r="G940" s="439" t="s">
        <v>14212</v>
      </c>
      <c r="H940" s="346">
        <v>0</v>
      </c>
      <c r="I940" s="346">
        <v>0</v>
      </c>
      <c r="J940" s="395"/>
      <c r="L940" s="346" t="s">
        <v>932</v>
      </c>
      <c r="N940" s="395"/>
      <c r="O940" s="395"/>
    </row>
    <row r="941" hidden="1" spans="1:15">
      <c r="A941" s="401"/>
      <c r="B941" s="401"/>
      <c r="D941" s="442">
        <v>0</v>
      </c>
      <c r="E941" s="450">
        <v>0</v>
      </c>
      <c r="F941" s="439" t="s">
        <v>13063</v>
      </c>
      <c r="G941" s="439" t="s">
        <v>14213</v>
      </c>
      <c r="H941" s="346">
        <v>0</v>
      </c>
      <c r="I941" s="346">
        <v>0</v>
      </c>
      <c r="J941" s="395"/>
      <c r="L941" s="346" t="s">
        <v>932</v>
      </c>
      <c r="N941" s="395"/>
      <c r="O941" s="395"/>
    </row>
    <row r="942" hidden="1" spans="1:15">
      <c r="A942" s="401"/>
      <c r="B942" s="401"/>
      <c r="D942" s="442">
        <v>0</v>
      </c>
      <c r="E942" s="450">
        <v>0</v>
      </c>
      <c r="F942" s="439" t="s">
        <v>13063</v>
      </c>
      <c r="G942" s="439" t="s">
        <v>14214</v>
      </c>
      <c r="H942" s="346">
        <v>0</v>
      </c>
      <c r="I942" s="346">
        <v>0</v>
      </c>
      <c r="J942" s="395"/>
      <c r="L942" s="346" t="s">
        <v>932</v>
      </c>
      <c r="N942" s="395"/>
      <c r="O942" s="395"/>
    </row>
    <row r="943" hidden="1" spans="1:15">
      <c r="A943" s="401">
        <v>0</v>
      </c>
      <c r="B943" s="401" t="e">
        <v>#N/A</v>
      </c>
      <c r="C943" s="401"/>
      <c r="D943" s="442">
        <v>0</v>
      </c>
      <c r="E943" s="450">
        <v>0</v>
      </c>
      <c r="F943" s="439" t="s">
        <v>13063</v>
      </c>
      <c r="G943" s="439" t="s">
        <v>14212</v>
      </c>
      <c r="H943" s="346">
        <v>0</v>
      </c>
      <c r="I943" s="346">
        <v>0</v>
      </c>
      <c r="J943" s="395"/>
      <c r="L943" s="346" t="s">
        <v>932</v>
      </c>
      <c r="N943" s="395"/>
      <c r="O943" s="395"/>
    </row>
    <row r="944" hidden="1" spans="1:15">
      <c r="A944" s="401"/>
      <c r="B944" s="401"/>
      <c r="D944" s="442">
        <v>0</v>
      </c>
      <c r="E944" s="450">
        <v>0</v>
      </c>
      <c r="F944" s="439" t="s">
        <v>13063</v>
      </c>
      <c r="G944" s="439" t="s">
        <v>14213</v>
      </c>
      <c r="H944" s="346">
        <v>0</v>
      </c>
      <c r="I944" s="346">
        <v>0</v>
      </c>
      <c r="J944" s="395"/>
      <c r="L944" s="346" t="s">
        <v>932</v>
      </c>
      <c r="N944" s="395"/>
      <c r="O944" s="395"/>
    </row>
    <row r="945" hidden="1" spans="1:15">
      <c r="A945" s="401"/>
      <c r="B945" s="401"/>
      <c r="D945" s="442">
        <v>0</v>
      </c>
      <c r="E945" s="450">
        <v>0</v>
      </c>
      <c r="F945" s="439" t="s">
        <v>13063</v>
      </c>
      <c r="G945" s="439" t="s">
        <v>14214</v>
      </c>
      <c r="H945" s="346">
        <v>0</v>
      </c>
      <c r="I945" s="346">
        <v>0</v>
      </c>
      <c r="J945" s="395"/>
      <c r="L945" s="346" t="s">
        <v>932</v>
      </c>
      <c r="N945" s="395"/>
      <c r="O945" s="395"/>
    </row>
    <row r="946" hidden="1" spans="1:15">
      <c r="A946" s="421"/>
      <c r="B946" s="422"/>
      <c r="C946" s="422"/>
      <c r="D946" s="422"/>
      <c r="E946" s="422"/>
      <c r="F946" s="422"/>
      <c r="G946" s="422"/>
      <c r="H946" s="422"/>
      <c r="I946" s="430"/>
      <c r="J946" s="430"/>
      <c r="K946" s="425" t="s">
        <v>14215</v>
      </c>
      <c r="L946" s="426">
        <v>0</v>
      </c>
      <c r="N946" s="395"/>
      <c r="O946" s="395"/>
    </row>
    <row r="947" spans="1:15">
      <c r="A947" s="451"/>
      <c r="B947" s="452"/>
      <c r="C947" s="452"/>
      <c r="D947" s="452"/>
      <c r="E947" s="452"/>
      <c r="F947" s="452"/>
      <c r="G947" s="452"/>
      <c r="H947" s="452"/>
      <c r="I947" s="453"/>
      <c r="J947" s="453"/>
      <c r="K947" s="454" t="s">
        <v>14216</v>
      </c>
      <c r="L947" s="455">
        <v>34.98</v>
      </c>
      <c r="N947" s="395"/>
      <c r="O947" s="395"/>
    </row>
    <row r="949" spans="1:15">
      <c r="A949" s="391" t="s">
        <v>14172</v>
      </c>
      <c r="B949" s="457"/>
      <c r="C949" s="457"/>
      <c r="D949" s="457"/>
      <c r="E949" s="457"/>
      <c r="F949" s="457"/>
      <c r="G949" s="393"/>
      <c r="H949" s="393"/>
      <c r="I949" s="393"/>
      <c r="J949" s="393"/>
      <c r="K949" s="393"/>
      <c r="L949" s="394"/>
      <c r="N949" s="395"/>
      <c r="O949" s="395"/>
    </row>
    <row r="950" spans="1:15">
      <c r="A950" s="396">
        <v>5914647</v>
      </c>
      <c r="B950" s="397" t="s">
        <v>12858</v>
      </c>
      <c r="C950" s="397"/>
      <c r="D950" s="397"/>
      <c r="E950" s="397"/>
      <c r="F950" s="397"/>
      <c r="G950" s="397"/>
      <c r="H950" s="397" t="s">
        <v>9885</v>
      </c>
      <c r="I950" s="398">
        <v>46023</v>
      </c>
      <c r="J950" s="397"/>
      <c r="K950" s="399" t="s">
        <v>14173</v>
      </c>
      <c r="L950" s="400">
        <v>0</v>
      </c>
      <c r="N950" s="395"/>
      <c r="O950" s="395"/>
    </row>
    <row r="951" spans="1:15">
      <c r="A951" s="401"/>
      <c r="H951" s="402" t="s">
        <v>14174</v>
      </c>
      <c r="I951" s="434">
        <v>457.16</v>
      </c>
      <c r="J951" s="404" t="s">
        <v>9885</v>
      </c>
      <c r="K951" s="402" t="s">
        <v>14175</v>
      </c>
      <c r="L951" s="456">
        <v>0.04722</v>
      </c>
      <c r="N951" s="395"/>
      <c r="O951" s="395"/>
    </row>
    <row r="952" spans="1:15">
      <c r="A952" s="405"/>
      <c r="B952" s="405"/>
      <c r="C952" s="405"/>
      <c r="D952" s="406"/>
      <c r="E952" s="406"/>
      <c r="F952" s="406"/>
      <c r="G952" s="407" t="s">
        <v>14176</v>
      </c>
      <c r="H952" s="407"/>
      <c r="I952" s="407" t="s">
        <v>14177</v>
      </c>
      <c r="J952" s="407"/>
      <c r="K952" s="405"/>
      <c r="L952" s="409" t="s">
        <v>14178</v>
      </c>
      <c r="N952" s="395"/>
      <c r="O952" s="395"/>
    </row>
    <row r="953" spans="1:15">
      <c r="A953" s="410" t="s">
        <v>14179</v>
      </c>
      <c r="B953" s="411"/>
      <c r="C953" s="412"/>
      <c r="D953" s="412"/>
      <c r="E953" s="413" t="s">
        <v>74</v>
      </c>
      <c r="F953" s="412"/>
      <c r="G953" s="413" t="s">
        <v>14180</v>
      </c>
      <c r="H953" s="413" t="s">
        <v>14181</v>
      </c>
      <c r="I953" s="413" t="s">
        <v>14182</v>
      </c>
      <c r="J953" s="413" t="s">
        <v>14183</v>
      </c>
      <c r="K953" s="411"/>
      <c r="L953" s="414" t="s">
        <v>14184</v>
      </c>
      <c r="N953" s="395"/>
      <c r="O953" s="395"/>
    </row>
    <row r="954" spans="1:15">
      <c r="A954" s="404" t="s">
        <v>14319</v>
      </c>
      <c r="B954" s="415" t="s">
        <v>14320</v>
      </c>
      <c r="C954" s="415"/>
      <c r="E954" s="434">
        <v>3</v>
      </c>
      <c r="F954" s="334"/>
      <c r="G954" s="346">
        <v>0.86</v>
      </c>
      <c r="H954" s="417">
        <v>0.14</v>
      </c>
      <c r="I954" s="395">
        <v>313.6417</v>
      </c>
      <c r="J954" s="418">
        <v>91.5224</v>
      </c>
      <c r="K954" s="402"/>
      <c r="L954" s="395">
        <v>847.634994</v>
      </c>
      <c r="N954" s="395">
        <v>274.5672</v>
      </c>
      <c r="O954" s="395"/>
    </row>
    <row r="955" hidden="1" spans="1:15">
      <c r="A955" s="404">
        <v>0</v>
      </c>
      <c r="B955" s="404" t="e">
        <v>#N/A</v>
      </c>
      <c r="C955" s="404"/>
      <c r="D955" s="334"/>
      <c r="E955" s="416">
        <v>0</v>
      </c>
      <c r="F955" s="334"/>
      <c r="G955" s="346">
        <v>0</v>
      </c>
      <c r="H955" s="417">
        <v>1</v>
      </c>
      <c r="I955" s="346" t="e">
        <v>#N/A</v>
      </c>
      <c r="J955" s="419" t="e">
        <v>#N/A</v>
      </c>
      <c r="K955" s="420"/>
      <c r="L955" s="395" t="s">
        <v>932</v>
      </c>
      <c r="N955" s="395" t="s">
        <v>932</v>
      </c>
      <c r="O955" s="395"/>
    </row>
    <row r="956" hidden="1" spans="1:15">
      <c r="A956" s="404">
        <v>0</v>
      </c>
      <c r="B956" s="404" t="e">
        <v>#N/A</v>
      </c>
      <c r="C956" s="404"/>
      <c r="D956" s="334"/>
      <c r="E956" s="416">
        <v>0</v>
      </c>
      <c r="F956" s="334"/>
      <c r="G956" s="346">
        <v>0</v>
      </c>
      <c r="H956" s="417">
        <v>1</v>
      </c>
      <c r="I956" s="346" t="e">
        <v>#N/A</v>
      </c>
      <c r="J956" s="419" t="e">
        <v>#N/A</v>
      </c>
      <c r="K956" s="420"/>
      <c r="L956" s="395" t="s">
        <v>932</v>
      </c>
      <c r="N956" s="395" t="s">
        <v>932</v>
      </c>
      <c r="O956" s="395"/>
    </row>
    <row r="957" hidden="1" spans="1:15">
      <c r="A957" s="404">
        <v>0</v>
      </c>
      <c r="B957" s="404" t="e">
        <v>#N/A</v>
      </c>
      <c r="C957" s="404"/>
      <c r="D957" s="334"/>
      <c r="E957" s="416">
        <v>0</v>
      </c>
      <c r="F957" s="334"/>
      <c r="G957" s="346">
        <v>0</v>
      </c>
      <c r="H957" s="417">
        <v>1</v>
      </c>
      <c r="I957" s="346" t="e">
        <v>#N/A</v>
      </c>
      <c r="J957" s="419" t="e">
        <v>#N/A</v>
      </c>
      <c r="K957" s="420"/>
      <c r="L957" s="395" t="s">
        <v>932</v>
      </c>
      <c r="N957" s="395" t="s">
        <v>932</v>
      </c>
      <c r="O957" s="395"/>
    </row>
    <row r="958" hidden="1" spans="1:15">
      <c r="A958" s="404">
        <v>0</v>
      </c>
      <c r="B958" s="404" t="e">
        <v>#N/A</v>
      </c>
      <c r="C958" s="404"/>
      <c r="D958" s="334"/>
      <c r="E958" s="416">
        <v>0</v>
      </c>
      <c r="F958" s="334"/>
      <c r="G958" s="346">
        <v>0</v>
      </c>
      <c r="H958" s="417">
        <v>1</v>
      </c>
      <c r="I958" s="346" t="e">
        <v>#N/A</v>
      </c>
      <c r="J958" s="419" t="e">
        <v>#N/A</v>
      </c>
      <c r="K958" s="420"/>
      <c r="L958" s="395" t="s">
        <v>932</v>
      </c>
      <c r="N958" s="395" t="s">
        <v>932</v>
      </c>
      <c r="O958" s="395"/>
    </row>
    <row r="959" hidden="1" spans="1:15">
      <c r="A959" s="404">
        <v>0</v>
      </c>
      <c r="B959" s="404" t="e">
        <v>#N/A</v>
      </c>
      <c r="C959" s="404"/>
      <c r="D959" s="334"/>
      <c r="E959" s="416">
        <v>0</v>
      </c>
      <c r="F959" s="334"/>
      <c r="G959" s="346">
        <v>0</v>
      </c>
      <c r="H959" s="417">
        <v>1</v>
      </c>
      <c r="I959" s="346" t="e">
        <v>#N/A</v>
      </c>
      <c r="J959" s="419" t="e">
        <v>#N/A</v>
      </c>
      <c r="K959" s="420"/>
      <c r="L959" s="395" t="s">
        <v>932</v>
      </c>
      <c r="N959" s="395" t="s">
        <v>932</v>
      </c>
      <c r="O959" s="395"/>
    </row>
    <row r="960" hidden="1" spans="1:15">
      <c r="A960" s="404">
        <v>0</v>
      </c>
      <c r="B960" s="404" t="e">
        <v>#N/A</v>
      </c>
      <c r="C960" s="404"/>
      <c r="D960" s="334"/>
      <c r="E960" s="416">
        <v>0</v>
      </c>
      <c r="F960" s="334"/>
      <c r="G960" s="346">
        <v>0</v>
      </c>
      <c r="H960" s="417">
        <v>1</v>
      </c>
      <c r="I960" s="346" t="e">
        <v>#N/A</v>
      </c>
      <c r="J960" s="419" t="e">
        <v>#N/A</v>
      </c>
      <c r="K960" s="420"/>
      <c r="L960" s="395" t="s">
        <v>932</v>
      </c>
      <c r="N960" s="395" t="s">
        <v>932</v>
      </c>
      <c r="O960" s="395"/>
    </row>
    <row r="961" hidden="1" spans="1:15">
      <c r="A961" s="404">
        <v>0</v>
      </c>
      <c r="B961" s="436" t="e">
        <v>#N/A</v>
      </c>
      <c r="C961" s="436"/>
      <c r="D961" s="334"/>
      <c r="E961" s="416">
        <v>0</v>
      </c>
      <c r="F961" s="334"/>
      <c r="G961" s="346">
        <v>0</v>
      </c>
      <c r="H961" s="417">
        <v>1</v>
      </c>
      <c r="I961" s="346" t="e">
        <v>#N/A</v>
      </c>
      <c r="J961" s="419" t="e">
        <v>#N/A</v>
      </c>
      <c r="K961" s="420"/>
      <c r="L961" s="395" t="s">
        <v>932</v>
      </c>
      <c r="N961" s="395" t="s">
        <v>932</v>
      </c>
      <c r="O961" s="395"/>
    </row>
    <row r="962" spans="1:15">
      <c r="A962" s="421"/>
      <c r="B962" s="422"/>
      <c r="C962" s="422"/>
      <c r="D962" s="422"/>
      <c r="E962" s="423"/>
      <c r="F962" s="424"/>
      <c r="G962" s="422"/>
      <c r="H962" s="422"/>
      <c r="I962" s="422"/>
      <c r="J962" s="422"/>
      <c r="K962" s="425" t="s">
        <v>14185</v>
      </c>
      <c r="L962" s="426">
        <v>847.634994</v>
      </c>
      <c r="N962" s="427">
        <v>274.5672</v>
      </c>
      <c r="O962" s="395"/>
    </row>
    <row r="963" hidden="1" spans="1:15">
      <c r="A963" s="428" t="s">
        <v>14186</v>
      </c>
      <c r="B963" s="429"/>
      <c r="C963" s="429"/>
      <c r="D963" s="430"/>
      <c r="E963" s="431" t="s">
        <v>74</v>
      </c>
      <c r="F963" s="431" t="s">
        <v>1123</v>
      </c>
      <c r="G963" s="430"/>
      <c r="H963" s="422"/>
      <c r="I963" s="431" t="s">
        <v>14177</v>
      </c>
      <c r="J963" s="430"/>
      <c r="K963" s="430"/>
      <c r="L963" s="432" t="s">
        <v>14187</v>
      </c>
      <c r="N963" s="395"/>
      <c r="O963" s="395"/>
    </row>
    <row r="964" hidden="1" spans="1:15">
      <c r="A964" s="404">
        <v>0</v>
      </c>
      <c r="B964" s="433" t="e">
        <v>#N/A</v>
      </c>
      <c r="C964" s="433"/>
      <c r="D964" s="334"/>
      <c r="E964" s="434">
        <v>0</v>
      </c>
      <c r="F964" s="333" t="s">
        <v>104</v>
      </c>
      <c r="G964" s="334"/>
      <c r="H964" s="334"/>
      <c r="I964" s="435" t="e">
        <v>#N/A</v>
      </c>
      <c r="J964" s="334"/>
      <c r="K964" s="334"/>
      <c r="L964" s="346" t="s">
        <v>932</v>
      </c>
      <c r="N964" s="395" t="s">
        <v>932</v>
      </c>
      <c r="O964" s="395"/>
    </row>
    <row r="965" hidden="1" spans="1:15">
      <c r="A965" s="404">
        <v>0</v>
      </c>
      <c r="B965" s="404" t="e">
        <v>#N/A</v>
      </c>
      <c r="C965" s="404"/>
      <c r="D965" s="334"/>
      <c r="E965" s="434">
        <v>0</v>
      </c>
      <c r="F965" s="333" t="s">
        <v>104</v>
      </c>
      <c r="G965" s="334"/>
      <c r="H965" s="334"/>
      <c r="I965" s="435" t="e">
        <v>#N/A</v>
      </c>
      <c r="J965" s="334"/>
      <c r="K965" s="334"/>
      <c r="L965" s="346" t="s">
        <v>932</v>
      </c>
      <c r="N965" s="395" t="s">
        <v>932</v>
      </c>
      <c r="O965" s="395"/>
    </row>
    <row r="966" hidden="1" spans="1:15">
      <c r="A966" s="404">
        <v>0</v>
      </c>
      <c r="B966" s="404" t="e">
        <v>#N/A</v>
      </c>
      <c r="C966" s="404"/>
      <c r="D966" s="334"/>
      <c r="E966" s="434">
        <v>0</v>
      </c>
      <c r="F966" s="333" t="s">
        <v>104</v>
      </c>
      <c r="G966" s="334"/>
      <c r="H966" s="334"/>
      <c r="I966" s="435" t="e">
        <v>#N/A</v>
      </c>
      <c r="J966" s="334"/>
      <c r="K966" s="334"/>
      <c r="L966" s="346" t="s">
        <v>932</v>
      </c>
      <c r="N966" s="395" t="s">
        <v>932</v>
      </c>
      <c r="O966" s="395"/>
    </row>
    <row r="967" hidden="1" spans="1:15">
      <c r="A967" s="404">
        <v>0</v>
      </c>
      <c r="B967" s="404" t="e">
        <v>#N/A</v>
      </c>
      <c r="C967" s="404"/>
      <c r="D967" s="334"/>
      <c r="E967" s="434">
        <v>0</v>
      </c>
      <c r="F967" s="333" t="s">
        <v>104</v>
      </c>
      <c r="G967" s="334"/>
      <c r="H967" s="334"/>
      <c r="I967" s="435" t="e">
        <v>#N/A</v>
      </c>
      <c r="J967" s="334"/>
      <c r="K967" s="334"/>
      <c r="L967" s="346" t="s">
        <v>932</v>
      </c>
      <c r="N967" s="395" t="s">
        <v>932</v>
      </c>
      <c r="O967" s="395"/>
    </row>
    <row r="968" hidden="1" spans="1:15">
      <c r="A968" s="404">
        <v>0</v>
      </c>
      <c r="B968" s="404" t="e">
        <v>#N/A</v>
      </c>
      <c r="C968" s="404"/>
      <c r="D968" s="334"/>
      <c r="E968" s="434">
        <v>0</v>
      </c>
      <c r="F968" s="333" t="s">
        <v>104</v>
      </c>
      <c r="G968" s="334"/>
      <c r="H968" s="334"/>
      <c r="I968" s="435" t="e">
        <v>#N/A</v>
      </c>
      <c r="J968" s="334"/>
      <c r="K968" s="334"/>
      <c r="L968" s="346" t="s">
        <v>932</v>
      </c>
      <c r="N968" s="395" t="s">
        <v>932</v>
      </c>
      <c r="O968" s="395"/>
    </row>
    <row r="969" hidden="1" spans="1:15">
      <c r="A969" s="404">
        <v>0</v>
      </c>
      <c r="B969" s="404" t="e">
        <v>#N/A</v>
      </c>
      <c r="C969" s="404"/>
      <c r="D969" s="334"/>
      <c r="E969" s="434">
        <v>0</v>
      </c>
      <c r="F969" s="333" t="s">
        <v>104</v>
      </c>
      <c r="G969" s="334"/>
      <c r="H969" s="334"/>
      <c r="I969" s="435" t="e">
        <v>#N/A</v>
      </c>
      <c r="J969" s="334"/>
      <c r="K969" s="334"/>
      <c r="L969" s="346" t="s">
        <v>932</v>
      </c>
      <c r="N969" s="395" t="s">
        <v>932</v>
      </c>
      <c r="O969" s="395"/>
    </row>
    <row r="970" hidden="1" spans="1:15">
      <c r="A970" s="404">
        <v>0</v>
      </c>
      <c r="B970" s="404" t="e">
        <v>#N/A</v>
      </c>
      <c r="C970" s="404"/>
      <c r="D970" s="334"/>
      <c r="E970" s="434">
        <v>0</v>
      </c>
      <c r="F970" s="333" t="s">
        <v>104</v>
      </c>
      <c r="G970" s="334"/>
      <c r="H970" s="334"/>
      <c r="I970" s="435" t="e">
        <v>#N/A</v>
      </c>
      <c r="J970" s="334"/>
      <c r="K970" s="334"/>
      <c r="L970" s="346" t="s">
        <v>932</v>
      </c>
      <c r="N970" s="395" t="s">
        <v>932</v>
      </c>
      <c r="O970" s="395"/>
    </row>
    <row r="971" hidden="1" spans="1:15">
      <c r="A971" s="404">
        <v>0</v>
      </c>
      <c r="B971" s="436" t="e">
        <v>#N/A</v>
      </c>
      <c r="C971" s="436"/>
      <c r="D971" s="334"/>
      <c r="E971" s="434">
        <v>0</v>
      </c>
      <c r="F971" s="333" t="s">
        <v>104</v>
      </c>
      <c r="G971" s="334"/>
      <c r="H971" s="334"/>
      <c r="I971" s="435" t="e">
        <v>#N/A</v>
      </c>
      <c r="J971" s="334"/>
      <c r="K971" s="334"/>
      <c r="L971" s="346" t="s">
        <v>932</v>
      </c>
      <c r="N971" s="395" t="s">
        <v>932</v>
      </c>
      <c r="O971" s="395"/>
    </row>
    <row r="972" hidden="1" spans="1:15">
      <c r="A972" s="421"/>
      <c r="B972" s="62"/>
      <c r="C972" s="62"/>
      <c r="D972" s="422"/>
      <c r="E972" s="423"/>
      <c r="F972" s="424"/>
      <c r="G972" s="422"/>
      <c r="H972" s="422"/>
      <c r="I972" s="422"/>
      <c r="J972" s="422"/>
      <c r="K972" s="425" t="s">
        <v>14188</v>
      </c>
      <c r="L972" s="426">
        <v>0</v>
      </c>
      <c r="N972" s="427">
        <v>0</v>
      </c>
      <c r="O972" s="395"/>
    </row>
    <row r="973" spans="1:15">
      <c r="I973" s="437"/>
      <c r="K973" s="383" t="s">
        <v>14189</v>
      </c>
      <c r="L973" s="427">
        <v>847.634994</v>
      </c>
      <c r="N973" s="395">
        <v>274.5672</v>
      </c>
      <c r="O973" s="395"/>
    </row>
    <row r="974" spans="1:15">
      <c r="K974" s="383" t="s">
        <v>14190</v>
      </c>
      <c r="L974" s="427">
        <v>1.85413201942427</v>
      </c>
      <c r="N974" s="395">
        <v>0.600593227753959</v>
      </c>
      <c r="O974" s="395">
        <v>0.028360012214542</v>
      </c>
    </row>
    <row r="975" spans="1:15">
      <c r="K975" s="383" t="s">
        <v>14191</v>
      </c>
      <c r="L975" s="427">
        <v>0.028360012214542</v>
      </c>
      <c r="N975" s="395"/>
      <c r="O975" s="395"/>
    </row>
    <row r="976" spans="1:15">
      <c r="K976" s="383" t="s">
        <v>14192</v>
      </c>
      <c r="L976" s="395">
        <v>0</v>
      </c>
      <c r="N976" s="395"/>
      <c r="O976" s="395"/>
    </row>
    <row r="977" hidden="1" spans="1:15">
      <c r="A977" s="428" t="s">
        <v>14193</v>
      </c>
      <c r="B977" s="430"/>
      <c r="C977" s="430"/>
      <c r="D977" s="430"/>
      <c r="E977" s="431" t="s">
        <v>74</v>
      </c>
      <c r="F977" s="431" t="s">
        <v>1123</v>
      </c>
      <c r="G977" s="430"/>
      <c r="H977" s="430"/>
      <c r="I977" s="425" t="s">
        <v>75</v>
      </c>
      <c r="J977" s="430"/>
      <c r="K977" s="430"/>
      <c r="L977" s="426" t="s">
        <v>14194</v>
      </c>
      <c r="N977" s="395"/>
      <c r="O977" s="395"/>
    </row>
    <row r="978" hidden="1" spans="1:15">
      <c r="A978" s="404">
        <v>0</v>
      </c>
      <c r="B978" s="433" t="e">
        <v>#N/A</v>
      </c>
      <c r="C978" s="433"/>
      <c r="D978" s="334"/>
      <c r="E978" s="434">
        <v>0</v>
      </c>
      <c r="F978" s="333" t="e">
        <v>#N/A</v>
      </c>
      <c r="G978" s="334"/>
      <c r="I978" s="395" t="e">
        <v>#N/A</v>
      </c>
      <c r="J978" s="395"/>
      <c r="K978" s="395"/>
      <c r="L978" s="346" t="s">
        <v>932</v>
      </c>
      <c r="N978" s="395"/>
      <c r="O978" s="395"/>
    </row>
    <row r="979" hidden="1" spans="1:15">
      <c r="A979" s="404">
        <v>0</v>
      </c>
      <c r="B979" s="404" t="e">
        <v>#N/A</v>
      </c>
      <c r="C979" s="404"/>
      <c r="D979" s="334"/>
      <c r="E979" s="434">
        <v>0</v>
      </c>
      <c r="F979" s="333" t="e">
        <v>#N/A</v>
      </c>
      <c r="G979" s="334"/>
      <c r="I979" s="395" t="e">
        <v>#N/A</v>
      </c>
      <c r="J979" s="395"/>
      <c r="K979" s="395"/>
      <c r="L979" s="346" t="s">
        <v>932</v>
      </c>
      <c r="N979" s="395"/>
      <c r="O979" s="395"/>
    </row>
    <row r="980" hidden="1" spans="1:15">
      <c r="A980" s="404">
        <v>0</v>
      </c>
      <c r="B980" s="404" t="e">
        <v>#N/A</v>
      </c>
      <c r="C980" s="404"/>
      <c r="D980" s="334"/>
      <c r="E980" s="434">
        <v>0</v>
      </c>
      <c r="F980" s="333" t="e">
        <v>#N/A</v>
      </c>
      <c r="G980" s="334"/>
      <c r="I980" s="395" t="e">
        <v>#N/A</v>
      </c>
      <c r="J980" s="395"/>
      <c r="K980" s="395"/>
      <c r="L980" s="346" t="s">
        <v>932</v>
      </c>
      <c r="N980" s="395"/>
      <c r="O980" s="395"/>
    </row>
    <row r="981" hidden="1" spans="1:15">
      <c r="A981" s="404">
        <v>0</v>
      </c>
      <c r="B981" s="404" t="e">
        <v>#N/A</v>
      </c>
      <c r="C981" s="404"/>
      <c r="D981" s="334"/>
      <c r="E981" s="434">
        <v>0</v>
      </c>
      <c r="F981" s="333" t="e">
        <v>#N/A</v>
      </c>
      <c r="G981" s="334"/>
      <c r="I981" s="395" t="e">
        <v>#N/A</v>
      </c>
      <c r="J981" s="395"/>
      <c r="K981" s="395"/>
      <c r="L981" s="346" t="s">
        <v>932</v>
      </c>
      <c r="N981" s="395"/>
      <c r="O981" s="395"/>
    </row>
    <row r="982" hidden="1" spans="1:15">
      <c r="A982" s="404">
        <v>0</v>
      </c>
      <c r="B982" s="404" t="e">
        <v>#N/A</v>
      </c>
      <c r="C982" s="404"/>
      <c r="D982" s="334"/>
      <c r="E982" s="434">
        <v>0</v>
      </c>
      <c r="F982" s="333" t="e">
        <v>#N/A</v>
      </c>
      <c r="G982" s="334"/>
      <c r="H982" s="334"/>
      <c r="I982" s="395" t="e">
        <v>#N/A</v>
      </c>
      <c r="J982" s="395"/>
      <c r="K982" s="395"/>
      <c r="L982" s="346" t="s">
        <v>932</v>
      </c>
      <c r="N982" s="395"/>
      <c r="O982" s="395"/>
    </row>
    <row r="983" hidden="1" spans="1:15">
      <c r="A983" s="404">
        <v>0</v>
      </c>
      <c r="B983" s="404" t="e">
        <v>#N/A</v>
      </c>
      <c r="C983" s="404"/>
      <c r="D983" s="334"/>
      <c r="E983" s="434">
        <v>0</v>
      </c>
      <c r="F983" s="333" t="e">
        <v>#N/A</v>
      </c>
      <c r="G983" s="334"/>
      <c r="H983" s="334"/>
      <c r="I983" s="395" t="e">
        <v>#N/A</v>
      </c>
      <c r="J983" s="395"/>
      <c r="K983" s="395"/>
      <c r="L983" s="346" t="s">
        <v>932</v>
      </c>
      <c r="N983" s="395"/>
      <c r="O983" s="395"/>
    </row>
    <row r="984" hidden="1" spans="1:15">
      <c r="A984" s="404">
        <v>0</v>
      </c>
      <c r="B984" s="404" t="e">
        <v>#N/A</v>
      </c>
      <c r="C984" s="404"/>
      <c r="D984" s="334"/>
      <c r="E984" s="434">
        <v>0</v>
      </c>
      <c r="F984" s="333" t="e">
        <v>#N/A</v>
      </c>
      <c r="G984" s="334"/>
      <c r="H984" s="334"/>
      <c r="I984" s="395" t="e">
        <v>#N/A</v>
      </c>
      <c r="J984" s="395"/>
      <c r="K984" s="395"/>
      <c r="L984" s="346" t="s">
        <v>932</v>
      </c>
      <c r="N984" s="395"/>
      <c r="O984" s="395"/>
    </row>
    <row r="985" hidden="1" spans="1:15">
      <c r="A985" s="404">
        <v>0</v>
      </c>
      <c r="B985" s="436" t="e">
        <v>#N/A</v>
      </c>
      <c r="C985" s="436"/>
      <c r="D985" s="438"/>
      <c r="E985" s="434">
        <v>0</v>
      </c>
      <c r="F985" s="333" t="e">
        <v>#N/A</v>
      </c>
      <c r="G985" s="334"/>
      <c r="H985" s="334"/>
      <c r="I985" s="395" t="e">
        <v>#N/A</v>
      </c>
      <c r="J985" s="395"/>
      <c r="K985" s="395"/>
      <c r="L985" s="346" t="s">
        <v>932</v>
      </c>
      <c r="N985" s="395"/>
      <c r="O985" s="395"/>
    </row>
    <row r="986" hidden="1" spans="1:15">
      <c r="A986" s="421"/>
      <c r="B986" s="422"/>
      <c r="C986" s="422"/>
      <c r="D986" s="422"/>
      <c r="E986" s="423"/>
      <c r="F986" s="424"/>
      <c r="G986" s="422"/>
      <c r="H986" s="422"/>
      <c r="I986" s="430"/>
      <c r="J986" s="430"/>
      <c r="K986" s="425" t="s">
        <v>14203</v>
      </c>
      <c r="L986" s="426">
        <v>0</v>
      </c>
      <c r="N986" s="395"/>
      <c r="O986" s="395"/>
    </row>
    <row r="987" hidden="1" spans="1:15">
      <c r="A987" s="428" t="s">
        <v>14204</v>
      </c>
      <c r="B987" s="430"/>
      <c r="C987" s="430"/>
      <c r="D987" s="430"/>
      <c r="E987" s="431" t="s">
        <v>74</v>
      </c>
      <c r="F987" s="431" t="s">
        <v>1123</v>
      </c>
      <c r="G987" s="430"/>
      <c r="H987" s="430"/>
      <c r="I987" s="425" t="s">
        <v>75</v>
      </c>
      <c r="J987" s="430"/>
      <c r="K987" s="430"/>
      <c r="L987" s="426" t="s">
        <v>14194</v>
      </c>
      <c r="N987" s="395"/>
      <c r="O987" s="395"/>
    </row>
    <row r="988" hidden="1" spans="1:15">
      <c r="A988" s="404">
        <v>0</v>
      </c>
      <c r="B988" s="334" t="e">
        <v>#N/A</v>
      </c>
      <c r="C988" s="334"/>
      <c r="D988" s="334"/>
      <c r="E988" s="434">
        <v>0</v>
      </c>
      <c r="F988" s="333" t="e">
        <v>#N/A</v>
      </c>
      <c r="G988" s="439"/>
      <c r="I988" s="346" t="e">
        <v>#N/A</v>
      </c>
      <c r="L988" s="346" t="s">
        <v>932</v>
      </c>
      <c r="N988" s="395"/>
      <c r="O988" s="395"/>
    </row>
    <row r="989" hidden="1" spans="1:15">
      <c r="A989" s="401">
        <v>0</v>
      </c>
      <c r="B989" s="334" t="e">
        <v>#N/A</v>
      </c>
      <c r="E989" s="440">
        <v>0</v>
      </c>
      <c r="F989" s="333" t="e">
        <v>#N/A</v>
      </c>
      <c r="G989" s="439"/>
      <c r="I989" s="346" t="e">
        <v>#N/A</v>
      </c>
      <c r="L989" s="346" t="s">
        <v>932</v>
      </c>
      <c r="N989" s="395"/>
      <c r="O989" s="395"/>
    </row>
    <row r="990" hidden="1" spans="1:15">
      <c r="A990" s="401">
        <v>0</v>
      </c>
      <c r="B990" s="334" t="e">
        <v>#N/A</v>
      </c>
      <c r="E990" s="440">
        <v>0</v>
      </c>
      <c r="F990" s="333" t="e">
        <v>#N/A</v>
      </c>
      <c r="G990" s="439"/>
      <c r="I990" s="346" t="e">
        <v>#N/A</v>
      </c>
      <c r="L990" s="346" t="s">
        <v>932</v>
      </c>
      <c r="N990" s="395"/>
      <c r="O990" s="395"/>
    </row>
    <row r="991" hidden="1" spans="1:15">
      <c r="A991" s="401">
        <v>0</v>
      </c>
      <c r="B991" s="334" t="e">
        <v>#N/A</v>
      </c>
      <c r="E991" s="440">
        <v>0</v>
      </c>
      <c r="F991" s="333" t="e">
        <v>#N/A</v>
      </c>
      <c r="G991" s="439"/>
      <c r="I991" s="346" t="e">
        <v>#N/A</v>
      </c>
      <c r="L991" s="346" t="s">
        <v>932</v>
      </c>
      <c r="N991" s="395"/>
      <c r="O991" s="395"/>
    </row>
    <row r="992" hidden="1" spans="1:15">
      <c r="A992" s="401">
        <v>0</v>
      </c>
      <c r="B992" s="334" t="e">
        <v>#N/A</v>
      </c>
      <c r="E992" s="440">
        <v>0</v>
      </c>
      <c r="F992" s="333" t="e">
        <v>#N/A</v>
      </c>
      <c r="G992" s="439"/>
      <c r="I992" s="346" t="e">
        <v>#N/A</v>
      </c>
      <c r="L992" s="346" t="s">
        <v>932</v>
      </c>
      <c r="N992" s="395"/>
      <c r="O992" s="395"/>
    </row>
    <row r="993" hidden="1" spans="1:15">
      <c r="A993" s="401">
        <v>0</v>
      </c>
      <c r="B993" s="334" t="e">
        <v>#N/A</v>
      </c>
      <c r="E993" s="440">
        <v>0</v>
      </c>
      <c r="F993" s="333" t="e">
        <v>#N/A</v>
      </c>
      <c r="G993" s="439"/>
      <c r="I993" s="346" t="e">
        <v>#N/A</v>
      </c>
      <c r="L993" s="346" t="s">
        <v>932</v>
      </c>
      <c r="N993" s="395"/>
      <c r="O993" s="395"/>
    </row>
    <row r="994" hidden="1" spans="1:15">
      <c r="A994" s="421"/>
      <c r="B994" s="422"/>
      <c r="C994" s="422"/>
      <c r="D994" s="422"/>
      <c r="E994" s="422"/>
      <c r="F994" s="422"/>
      <c r="G994" s="422"/>
      <c r="H994" s="422"/>
      <c r="I994" s="430"/>
      <c r="J994" s="430"/>
      <c r="K994" s="425" t="s">
        <v>14206</v>
      </c>
      <c r="L994" s="426">
        <v>0</v>
      </c>
      <c r="N994" s="395"/>
      <c r="O994" s="395"/>
    </row>
    <row r="995" spans="1:15">
      <c r="A995" s="421"/>
      <c r="B995" s="422"/>
      <c r="C995" s="422"/>
      <c r="D995" s="422"/>
      <c r="E995" s="422"/>
      <c r="F995" s="422"/>
      <c r="G995" s="422"/>
      <c r="H995" s="422"/>
      <c r="I995" s="430"/>
      <c r="J995" s="430"/>
      <c r="K995" s="425" t="s">
        <v>14207</v>
      </c>
      <c r="L995" s="426">
        <v>1.88249203163881</v>
      </c>
      <c r="N995" s="395"/>
      <c r="O995" s="395"/>
    </row>
    <row r="996" hidden="1" spans="1:15">
      <c r="A996" s="428" t="s">
        <v>14208</v>
      </c>
      <c r="B996" s="430"/>
      <c r="C996" s="430"/>
      <c r="D996" s="431" t="s">
        <v>55</v>
      </c>
      <c r="E996" s="431" t="s">
        <v>74</v>
      </c>
      <c r="F996" s="431" t="s">
        <v>1123</v>
      </c>
      <c r="G996" s="430"/>
      <c r="H996" s="430"/>
      <c r="I996" s="425" t="s">
        <v>75</v>
      </c>
      <c r="J996" s="430"/>
      <c r="K996" s="430"/>
      <c r="L996" s="426" t="s">
        <v>14194</v>
      </c>
      <c r="N996" s="395"/>
      <c r="O996" s="395"/>
    </row>
    <row r="997" hidden="1" spans="1:15">
      <c r="A997" s="404">
        <v>0</v>
      </c>
      <c r="B997" s="441" t="e">
        <v>#N/A</v>
      </c>
      <c r="C997" s="441"/>
      <c r="D997" s="442">
        <v>0</v>
      </c>
      <c r="E997" s="434">
        <v>0</v>
      </c>
      <c r="F997" s="333" t="s">
        <v>9885</v>
      </c>
      <c r="G997" s="443" t="s">
        <v>14209</v>
      </c>
      <c r="H997" s="334"/>
      <c r="I997" s="346">
        <v>0</v>
      </c>
      <c r="J997" s="334"/>
      <c r="K997" s="346"/>
      <c r="L997" s="346" t="s">
        <v>932</v>
      </c>
      <c r="N997" s="395"/>
      <c r="O997" s="395"/>
    </row>
    <row r="998" hidden="1" spans="1:15">
      <c r="A998" s="404">
        <v>0</v>
      </c>
      <c r="B998" s="334" t="e">
        <v>#N/A</v>
      </c>
      <c r="C998" s="334"/>
      <c r="D998" s="442">
        <v>0</v>
      </c>
      <c r="E998" s="434">
        <v>0</v>
      </c>
      <c r="F998" s="333" t="s">
        <v>9885</v>
      </c>
      <c r="G998" s="334"/>
      <c r="H998" s="334"/>
      <c r="I998" s="346">
        <v>0</v>
      </c>
      <c r="J998" s="334"/>
      <c r="K998" s="346"/>
      <c r="L998" s="346" t="s">
        <v>932</v>
      </c>
      <c r="N998" s="395"/>
      <c r="O998" s="395"/>
    </row>
    <row r="999" hidden="1" spans="1:15">
      <c r="A999" s="404">
        <v>0</v>
      </c>
      <c r="B999" s="334" t="e">
        <v>#N/A</v>
      </c>
      <c r="C999" s="334"/>
      <c r="D999" s="442">
        <v>0</v>
      </c>
      <c r="E999" s="434">
        <v>0</v>
      </c>
      <c r="F999" s="333" t="s">
        <v>9885</v>
      </c>
      <c r="G999" s="334"/>
      <c r="H999" s="334"/>
      <c r="I999" s="346">
        <v>0</v>
      </c>
      <c r="J999" s="334"/>
      <c r="K999" s="346"/>
      <c r="L999" s="346" t="s">
        <v>932</v>
      </c>
      <c r="N999" s="395"/>
      <c r="O999" s="395"/>
    </row>
    <row r="1000" hidden="1" spans="1:15">
      <c r="A1000" s="404">
        <v>0</v>
      </c>
      <c r="B1000" s="334" t="e">
        <v>#N/A</v>
      </c>
      <c r="C1000" s="334"/>
      <c r="D1000" s="442">
        <v>0</v>
      </c>
      <c r="E1000" s="434">
        <v>0</v>
      </c>
      <c r="F1000" s="333" t="s">
        <v>9885</v>
      </c>
      <c r="G1000" s="334"/>
      <c r="H1000" s="334"/>
      <c r="I1000" s="346">
        <v>0</v>
      </c>
      <c r="J1000" s="334"/>
      <c r="K1000" s="346"/>
      <c r="L1000" s="346" t="s">
        <v>932</v>
      </c>
      <c r="N1000" s="395"/>
      <c r="O1000" s="395"/>
    </row>
    <row r="1001" hidden="1" spans="1:15">
      <c r="A1001" s="404">
        <v>0</v>
      </c>
      <c r="B1001" s="334" t="e">
        <v>#N/A</v>
      </c>
      <c r="C1001" s="334"/>
      <c r="D1001" s="442">
        <v>0</v>
      </c>
      <c r="E1001" s="434">
        <v>0</v>
      </c>
      <c r="F1001" s="333" t="s">
        <v>9885</v>
      </c>
      <c r="G1001" s="334"/>
      <c r="H1001" s="334"/>
      <c r="I1001" s="346">
        <v>0</v>
      </c>
      <c r="J1001" s="334"/>
      <c r="K1001" s="346"/>
      <c r="L1001" s="346" t="s">
        <v>932</v>
      </c>
      <c r="N1001" s="395"/>
      <c r="O1001" s="395"/>
    </row>
    <row r="1002" hidden="1" spans="1:15">
      <c r="A1002" s="404">
        <v>0</v>
      </c>
      <c r="B1002" s="334" t="e">
        <v>#N/A</v>
      </c>
      <c r="C1002" s="334"/>
      <c r="D1002" s="442">
        <v>0</v>
      </c>
      <c r="E1002" s="434">
        <v>0</v>
      </c>
      <c r="F1002" s="333" t="s">
        <v>9885</v>
      </c>
      <c r="G1002" s="334"/>
      <c r="H1002" s="334"/>
      <c r="I1002" s="346">
        <v>0</v>
      </c>
      <c r="J1002" s="334"/>
      <c r="K1002" s="346"/>
      <c r="L1002" s="346" t="s">
        <v>932</v>
      </c>
      <c r="N1002" s="395"/>
      <c r="O1002" s="395"/>
    </row>
    <row r="1003" hidden="1" spans="1:15">
      <c r="A1003" s="404">
        <v>0</v>
      </c>
      <c r="B1003" s="334" t="e">
        <v>#N/A</v>
      </c>
      <c r="C1003" s="334"/>
      <c r="D1003" s="442">
        <v>0</v>
      </c>
      <c r="E1003" s="434">
        <v>0</v>
      </c>
      <c r="F1003" s="333" t="s">
        <v>9885</v>
      </c>
      <c r="G1003" s="334"/>
      <c r="H1003" s="334"/>
      <c r="I1003" s="346">
        <v>0</v>
      </c>
      <c r="J1003" s="334"/>
      <c r="K1003" s="346"/>
      <c r="L1003" s="346" t="s">
        <v>932</v>
      </c>
      <c r="N1003" s="395"/>
      <c r="O1003" s="395"/>
    </row>
    <row r="1004" hidden="1" spans="1:15">
      <c r="A1004" s="404">
        <v>0</v>
      </c>
      <c r="B1004" s="444" t="e">
        <v>#N/A</v>
      </c>
      <c r="C1004" s="444"/>
      <c r="D1004" s="442">
        <v>0</v>
      </c>
      <c r="E1004" s="434">
        <v>0</v>
      </c>
      <c r="F1004" s="333" t="s">
        <v>9885</v>
      </c>
      <c r="G1004" s="334"/>
      <c r="H1004" s="334"/>
      <c r="I1004" s="346">
        <v>0</v>
      </c>
      <c r="J1004" s="334"/>
      <c r="K1004" s="346"/>
      <c r="L1004" s="346" t="s">
        <v>932</v>
      </c>
      <c r="N1004" s="395"/>
      <c r="O1004" s="395"/>
    </row>
    <row r="1005" hidden="1" spans="1:15">
      <c r="A1005" s="428"/>
      <c r="B1005" s="445"/>
      <c r="C1005" s="445"/>
      <c r="D1005" s="430"/>
      <c r="E1005" s="430"/>
      <c r="F1005" s="430"/>
      <c r="G1005" s="430"/>
      <c r="H1005" s="430"/>
      <c r="I1005" s="430"/>
      <c r="J1005" s="430"/>
      <c r="K1005" s="425" t="s">
        <v>14210</v>
      </c>
      <c r="L1005" s="426">
        <v>0</v>
      </c>
      <c r="N1005" s="395"/>
      <c r="O1005" s="395"/>
    </row>
    <row r="1006" hidden="1" spans="1:15">
      <c r="A1006" s="446" t="s">
        <v>14211</v>
      </c>
      <c r="B1006" s="445"/>
      <c r="C1006" s="445"/>
      <c r="D1006" s="447" t="s">
        <v>55</v>
      </c>
      <c r="E1006" s="445" t="s">
        <v>74</v>
      </c>
      <c r="F1006" s="447" t="s">
        <v>1123</v>
      </c>
      <c r="G1006" s="445"/>
      <c r="H1006" s="447" t="s">
        <v>72</v>
      </c>
      <c r="I1006" s="447" t="s">
        <v>75</v>
      </c>
      <c r="J1006" s="445"/>
      <c r="K1006" s="448"/>
      <c r="L1006" s="449" t="s">
        <v>14194</v>
      </c>
      <c r="N1006" s="395"/>
      <c r="O1006" s="395"/>
    </row>
    <row r="1007" hidden="1" spans="1:15">
      <c r="A1007" s="404">
        <v>0</v>
      </c>
      <c r="B1007" s="433" t="e">
        <v>#N/A</v>
      </c>
      <c r="C1007" s="433"/>
      <c r="D1007" s="442">
        <v>0</v>
      </c>
      <c r="E1007" s="450">
        <v>0</v>
      </c>
      <c r="F1007" s="333" t="s">
        <v>13063</v>
      </c>
      <c r="G1007" s="333" t="s">
        <v>14212</v>
      </c>
      <c r="H1007" s="346">
        <v>0</v>
      </c>
      <c r="I1007" s="346">
        <v>0</v>
      </c>
      <c r="J1007" s="346"/>
      <c r="K1007" s="334"/>
      <c r="L1007" s="346" t="s">
        <v>932</v>
      </c>
      <c r="N1007" s="395"/>
      <c r="O1007" s="395"/>
    </row>
    <row r="1008" hidden="1" spans="1:15">
      <c r="A1008" s="404"/>
      <c r="B1008" s="404"/>
      <c r="C1008" s="334"/>
      <c r="D1008" s="442">
        <v>0</v>
      </c>
      <c r="E1008" s="450">
        <v>0</v>
      </c>
      <c r="F1008" s="333" t="s">
        <v>13063</v>
      </c>
      <c r="G1008" s="333" t="s">
        <v>14213</v>
      </c>
      <c r="H1008" s="346">
        <v>0</v>
      </c>
      <c r="I1008" s="346">
        <v>0</v>
      </c>
      <c r="J1008" s="346"/>
      <c r="K1008" s="334"/>
      <c r="L1008" s="346" t="s">
        <v>932</v>
      </c>
      <c r="N1008" s="395"/>
      <c r="O1008" s="395"/>
    </row>
    <row r="1009" hidden="1" spans="1:15">
      <c r="A1009" s="404"/>
      <c r="B1009" s="404"/>
      <c r="C1009" s="334"/>
      <c r="D1009" s="442">
        <v>0</v>
      </c>
      <c r="E1009" s="450">
        <v>0</v>
      </c>
      <c r="F1009" s="333" t="s">
        <v>13063</v>
      </c>
      <c r="G1009" s="333" t="s">
        <v>14214</v>
      </c>
      <c r="H1009" s="346">
        <v>0</v>
      </c>
      <c r="I1009" s="346">
        <v>0</v>
      </c>
      <c r="J1009" s="346"/>
      <c r="K1009" s="334"/>
      <c r="L1009" s="346" t="s">
        <v>932</v>
      </c>
      <c r="N1009" s="395"/>
      <c r="O1009" s="395"/>
    </row>
    <row r="1010" hidden="1" spans="1:15">
      <c r="A1010" s="404">
        <v>0</v>
      </c>
      <c r="B1010" s="404" t="e">
        <v>#N/A</v>
      </c>
      <c r="C1010" s="404"/>
      <c r="D1010" s="442">
        <v>0</v>
      </c>
      <c r="E1010" s="450">
        <v>0</v>
      </c>
      <c r="F1010" s="333" t="s">
        <v>13063</v>
      </c>
      <c r="G1010" s="333" t="s">
        <v>14212</v>
      </c>
      <c r="H1010" s="346">
        <v>0</v>
      </c>
      <c r="I1010" s="346">
        <v>0</v>
      </c>
      <c r="J1010" s="346"/>
      <c r="K1010" s="334"/>
      <c r="L1010" s="346" t="s">
        <v>932</v>
      </c>
      <c r="N1010" s="395"/>
      <c r="O1010" s="395"/>
    </row>
    <row r="1011" hidden="1" spans="1:15">
      <c r="A1011" s="404"/>
      <c r="B1011" s="404"/>
      <c r="C1011" s="334"/>
      <c r="D1011" s="442">
        <v>0</v>
      </c>
      <c r="E1011" s="450">
        <v>0</v>
      </c>
      <c r="F1011" s="333" t="s">
        <v>13063</v>
      </c>
      <c r="G1011" s="333" t="s">
        <v>14213</v>
      </c>
      <c r="H1011" s="346">
        <v>0</v>
      </c>
      <c r="I1011" s="346">
        <v>0</v>
      </c>
      <c r="J1011" s="346"/>
      <c r="K1011" s="334"/>
      <c r="L1011" s="346" t="s">
        <v>932</v>
      </c>
      <c r="N1011" s="395"/>
      <c r="O1011" s="395"/>
    </row>
    <row r="1012" hidden="1" spans="1:15">
      <c r="A1012" s="404"/>
      <c r="B1012" s="404"/>
      <c r="C1012" s="334"/>
      <c r="D1012" s="442">
        <v>0</v>
      </c>
      <c r="E1012" s="450">
        <v>0</v>
      </c>
      <c r="F1012" s="333" t="s">
        <v>13063</v>
      </c>
      <c r="G1012" s="333" t="s">
        <v>14214</v>
      </c>
      <c r="H1012" s="346">
        <v>0</v>
      </c>
      <c r="I1012" s="346">
        <v>0</v>
      </c>
      <c r="J1012" s="346"/>
      <c r="K1012" s="334"/>
      <c r="L1012" s="346" t="s">
        <v>932</v>
      </c>
      <c r="N1012" s="395"/>
      <c r="O1012" s="395"/>
    </row>
    <row r="1013" hidden="1" spans="1:15">
      <c r="A1013" s="404">
        <v>0</v>
      </c>
      <c r="B1013" s="404" t="e">
        <v>#N/A</v>
      </c>
      <c r="C1013" s="404"/>
      <c r="D1013" s="442">
        <v>0</v>
      </c>
      <c r="E1013" s="450">
        <v>0</v>
      </c>
      <c r="F1013" s="333" t="s">
        <v>13063</v>
      </c>
      <c r="G1013" s="333" t="s">
        <v>14212</v>
      </c>
      <c r="H1013" s="346">
        <v>0</v>
      </c>
      <c r="I1013" s="346">
        <v>0</v>
      </c>
      <c r="J1013" s="346"/>
      <c r="K1013" s="334"/>
      <c r="L1013" s="346" t="s">
        <v>932</v>
      </c>
      <c r="N1013" s="395"/>
      <c r="O1013" s="395"/>
    </row>
    <row r="1014" hidden="1" spans="1:15">
      <c r="A1014" s="404"/>
      <c r="B1014" s="404"/>
      <c r="C1014" s="334"/>
      <c r="D1014" s="442">
        <v>0</v>
      </c>
      <c r="E1014" s="450">
        <v>0</v>
      </c>
      <c r="F1014" s="333" t="s">
        <v>13063</v>
      </c>
      <c r="G1014" s="333" t="s">
        <v>14213</v>
      </c>
      <c r="H1014" s="346">
        <v>0</v>
      </c>
      <c r="I1014" s="346">
        <v>0</v>
      </c>
      <c r="J1014" s="346"/>
      <c r="K1014" s="334"/>
      <c r="L1014" s="346" t="s">
        <v>932</v>
      </c>
      <c r="N1014" s="395"/>
      <c r="O1014" s="395"/>
    </row>
    <row r="1015" hidden="1" spans="1:15">
      <c r="A1015" s="404"/>
      <c r="B1015" s="404"/>
      <c r="C1015" s="334"/>
      <c r="D1015" s="442">
        <v>0</v>
      </c>
      <c r="E1015" s="450">
        <v>0</v>
      </c>
      <c r="F1015" s="333" t="s">
        <v>13063</v>
      </c>
      <c r="G1015" s="333" t="s">
        <v>14214</v>
      </c>
      <c r="H1015" s="346">
        <v>0</v>
      </c>
      <c r="I1015" s="346">
        <v>0</v>
      </c>
      <c r="J1015" s="346"/>
      <c r="K1015" s="334"/>
      <c r="L1015" s="346" t="s">
        <v>932</v>
      </c>
      <c r="N1015" s="395"/>
      <c r="O1015" s="395"/>
    </row>
    <row r="1016" hidden="1" spans="1:15">
      <c r="A1016" s="404">
        <v>0</v>
      </c>
      <c r="B1016" s="404" t="e">
        <v>#N/A</v>
      </c>
      <c r="C1016" s="404"/>
      <c r="D1016" s="442">
        <v>0</v>
      </c>
      <c r="E1016" s="450">
        <v>0</v>
      </c>
      <c r="F1016" s="333" t="s">
        <v>13063</v>
      </c>
      <c r="G1016" s="333" t="s">
        <v>14212</v>
      </c>
      <c r="H1016" s="346">
        <v>0</v>
      </c>
      <c r="I1016" s="346">
        <v>0</v>
      </c>
      <c r="J1016" s="346"/>
      <c r="K1016" s="334"/>
      <c r="L1016" s="346" t="s">
        <v>932</v>
      </c>
      <c r="N1016" s="395"/>
      <c r="O1016" s="395"/>
    </row>
    <row r="1017" hidden="1" spans="1:15">
      <c r="A1017" s="404"/>
      <c r="B1017" s="404"/>
      <c r="C1017" s="334"/>
      <c r="D1017" s="442">
        <v>0</v>
      </c>
      <c r="E1017" s="450">
        <v>0</v>
      </c>
      <c r="F1017" s="333" t="s">
        <v>13063</v>
      </c>
      <c r="G1017" s="333" t="s">
        <v>14213</v>
      </c>
      <c r="H1017" s="346">
        <v>0</v>
      </c>
      <c r="I1017" s="346">
        <v>0</v>
      </c>
      <c r="J1017" s="346"/>
      <c r="K1017" s="334"/>
      <c r="L1017" s="346" t="s">
        <v>932</v>
      </c>
      <c r="N1017" s="395"/>
      <c r="O1017" s="395"/>
    </row>
    <row r="1018" hidden="1" spans="1:15">
      <c r="A1018" s="404"/>
      <c r="B1018" s="404"/>
      <c r="C1018" s="334"/>
      <c r="D1018" s="442">
        <v>0</v>
      </c>
      <c r="E1018" s="450">
        <v>0</v>
      </c>
      <c r="F1018" s="333" t="s">
        <v>13063</v>
      </c>
      <c r="G1018" s="333" t="s">
        <v>14214</v>
      </c>
      <c r="H1018" s="346">
        <v>0</v>
      </c>
      <c r="I1018" s="346">
        <v>0</v>
      </c>
      <c r="J1018" s="346"/>
      <c r="K1018" s="334"/>
      <c r="L1018" s="346" t="s">
        <v>932</v>
      </c>
      <c r="N1018" s="395"/>
      <c r="O1018" s="395"/>
    </row>
    <row r="1019" hidden="1" spans="1:15">
      <c r="A1019" s="404">
        <v>0</v>
      </c>
      <c r="B1019" s="404" t="e">
        <v>#N/A</v>
      </c>
      <c r="C1019" s="404"/>
      <c r="D1019" s="442">
        <v>0</v>
      </c>
      <c r="E1019" s="450">
        <v>0</v>
      </c>
      <c r="F1019" s="333" t="s">
        <v>13063</v>
      </c>
      <c r="G1019" s="333" t="s">
        <v>14212</v>
      </c>
      <c r="H1019" s="346">
        <v>0</v>
      </c>
      <c r="I1019" s="346">
        <v>0</v>
      </c>
      <c r="J1019" s="346"/>
      <c r="K1019" s="334"/>
      <c r="L1019" s="346" t="s">
        <v>932</v>
      </c>
      <c r="N1019" s="395"/>
      <c r="O1019" s="395"/>
    </row>
    <row r="1020" hidden="1" spans="1:15">
      <c r="A1020" s="404"/>
      <c r="B1020" s="404"/>
      <c r="C1020" s="334"/>
      <c r="D1020" s="442">
        <v>0</v>
      </c>
      <c r="E1020" s="450">
        <v>0</v>
      </c>
      <c r="F1020" s="333" t="s">
        <v>13063</v>
      </c>
      <c r="G1020" s="333" t="s">
        <v>14213</v>
      </c>
      <c r="H1020" s="346">
        <v>0</v>
      </c>
      <c r="I1020" s="346">
        <v>0</v>
      </c>
      <c r="J1020" s="346"/>
      <c r="K1020" s="334"/>
      <c r="L1020" s="346" t="s">
        <v>932</v>
      </c>
      <c r="N1020" s="395"/>
      <c r="O1020" s="395"/>
    </row>
    <row r="1021" hidden="1" spans="1:15">
      <c r="A1021" s="404"/>
      <c r="B1021" s="404"/>
      <c r="C1021" s="334"/>
      <c r="D1021" s="442">
        <v>0</v>
      </c>
      <c r="E1021" s="450">
        <v>0</v>
      </c>
      <c r="F1021" s="333" t="s">
        <v>13063</v>
      </c>
      <c r="G1021" s="333" t="s">
        <v>14214</v>
      </c>
      <c r="H1021" s="346">
        <v>0</v>
      </c>
      <c r="I1021" s="346">
        <v>0</v>
      </c>
      <c r="J1021" s="346"/>
      <c r="K1021" s="334"/>
      <c r="L1021" s="346" t="s">
        <v>932</v>
      </c>
      <c r="N1021" s="395"/>
      <c r="O1021" s="395"/>
    </row>
    <row r="1022" hidden="1" spans="1:15">
      <c r="A1022" s="401">
        <v>0</v>
      </c>
      <c r="B1022" s="401" t="e">
        <v>#N/A</v>
      </c>
      <c r="C1022" s="401"/>
      <c r="D1022" s="442">
        <v>0</v>
      </c>
      <c r="E1022" s="450">
        <v>0</v>
      </c>
      <c r="F1022" s="439" t="s">
        <v>13063</v>
      </c>
      <c r="G1022" s="439" t="s">
        <v>14212</v>
      </c>
      <c r="H1022" s="346">
        <v>0</v>
      </c>
      <c r="I1022" s="346">
        <v>0</v>
      </c>
      <c r="J1022" s="395"/>
      <c r="L1022" s="346" t="s">
        <v>932</v>
      </c>
      <c r="N1022" s="395"/>
      <c r="O1022" s="395"/>
    </row>
    <row r="1023" hidden="1" spans="1:15">
      <c r="A1023" s="401"/>
      <c r="B1023" s="401"/>
      <c r="D1023" s="442">
        <v>0</v>
      </c>
      <c r="E1023" s="450">
        <v>0</v>
      </c>
      <c r="F1023" s="439" t="s">
        <v>13063</v>
      </c>
      <c r="G1023" s="439" t="s">
        <v>14213</v>
      </c>
      <c r="H1023" s="346">
        <v>0</v>
      </c>
      <c r="I1023" s="346">
        <v>0</v>
      </c>
      <c r="J1023" s="395"/>
      <c r="L1023" s="346" t="s">
        <v>932</v>
      </c>
      <c r="N1023" s="395"/>
      <c r="O1023" s="395"/>
    </row>
    <row r="1024" hidden="1" spans="1:15">
      <c r="A1024" s="401"/>
      <c r="B1024" s="401"/>
      <c r="D1024" s="442">
        <v>0</v>
      </c>
      <c r="E1024" s="450">
        <v>0</v>
      </c>
      <c r="F1024" s="439" t="s">
        <v>13063</v>
      </c>
      <c r="G1024" s="439" t="s">
        <v>14214</v>
      </c>
      <c r="H1024" s="346">
        <v>0</v>
      </c>
      <c r="I1024" s="346">
        <v>0</v>
      </c>
      <c r="J1024" s="395"/>
      <c r="L1024" s="346" t="s">
        <v>932</v>
      </c>
      <c r="N1024" s="395"/>
      <c r="O1024" s="395"/>
    </row>
    <row r="1025" hidden="1" spans="1:15">
      <c r="A1025" s="401">
        <v>0</v>
      </c>
      <c r="B1025" s="401" t="e">
        <v>#N/A</v>
      </c>
      <c r="C1025" s="401"/>
      <c r="D1025" s="442">
        <v>0</v>
      </c>
      <c r="E1025" s="450">
        <v>0</v>
      </c>
      <c r="F1025" s="439" t="s">
        <v>13063</v>
      </c>
      <c r="G1025" s="439" t="s">
        <v>14212</v>
      </c>
      <c r="H1025" s="346">
        <v>0</v>
      </c>
      <c r="I1025" s="346">
        <v>0</v>
      </c>
      <c r="J1025" s="395"/>
      <c r="L1025" s="346" t="s">
        <v>932</v>
      </c>
      <c r="N1025" s="395"/>
      <c r="O1025" s="395"/>
    </row>
    <row r="1026" hidden="1" spans="1:15">
      <c r="A1026" s="401"/>
      <c r="B1026" s="401"/>
      <c r="D1026" s="442">
        <v>0</v>
      </c>
      <c r="E1026" s="450">
        <v>0</v>
      </c>
      <c r="F1026" s="439" t="s">
        <v>13063</v>
      </c>
      <c r="G1026" s="439" t="s">
        <v>14213</v>
      </c>
      <c r="H1026" s="346">
        <v>0</v>
      </c>
      <c r="I1026" s="346">
        <v>0</v>
      </c>
      <c r="J1026" s="395"/>
      <c r="L1026" s="346" t="s">
        <v>932</v>
      </c>
      <c r="N1026" s="395"/>
      <c r="O1026" s="395"/>
    </row>
    <row r="1027" hidden="1" spans="1:15">
      <c r="A1027" s="401"/>
      <c r="B1027" s="401"/>
      <c r="D1027" s="442">
        <v>0</v>
      </c>
      <c r="E1027" s="450">
        <v>0</v>
      </c>
      <c r="F1027" s="439" t="s">
        <v>13063</v>
      </c>
      <c r="G1027" s="439" t="s">
        <v>14214</v>
      </c>
      <c r="H1027" s="346">
        <v>0</v>
      </c>
      <c r="I1027" s="346">
        <v>0</v>
      </c>
      <c r="J1027" s="395"/>
      <c r="L1027" s="346" t="s">
        <v>932</v>
      </c>
      <c r="N1027" s="395"/>
      <c r="O1027" s="395"/>
    </row>
    <row r="1028" hidden="1" spans="1:15">
      <c r="A1028" s="401">
        <v>0</v>
      </c>
      <c r="B1028" s="401" t="e">
        <v>#N/A</v>
      </c>
      <c r="C1028" s="401"/>
      <c r="D1028" s="442">
        <v>0</v>
      </c>
      <c r="E1028" s="450">
        <v>0</v>
      </c>
      <c r="F1028" s="439" t="s">
        <v>13063</v>
      </c>
      <c r="G1028" s="439" t="s">
        <v>14212</v>
      </c>
      <c r="H1028" s="346">
        <v>0</v>
      </c>
      <c r="I1028" s="346">
        <v>0</v>
      </c>
      <c r="J1028" s="395"/>
      <c r="L1028" s="346" t="s">
        <v>932</v>
      </c>
      <c r="N1028" s="395"/>
      <c r="O1028" s="395"/>
    </row>
    <row r="1029" hidden="1" spans="1:15">
      <c r="A1029" s="401"/>
      <c r="B1029" s="401"/>
      <c r="D1029" s="442">
        <v>0</v>
      </c>
      <c r="E1029" s="450">
        <v>0</v>
      </c>
      <c r="F1029" s="439" t="s">
        <v>13063</v>
      </c>
      <c r="G1029" s="439" t="s">
        <v>14213</v>
      </c>
      <c r="H1029" s="346">
        <v>0</v>
      </c>
      <c r="I1029" s="346">
        <v>0</v>
      </c>
      <c r="J1029" s="395"/>
      <c r="L1029" s="346" t="s">
        <v>932</v>
      </c>
      <c r="N1029" s="395"/>
      <c r="O1029" s="395"/>
    </row>
    <row r="1030" hidden="1" spans="1:15">
      <c r="A1030" s="401"/>
      <c r="B1030" s="401"/>
      <c r="D1030" s="442">
        <v>0</v>
      </c>
      <c r="E1030" s="450">
        <v>0</v>
      </c>
      <c r="F1030" s="439" t="s">
        <v>13063</v>
      </c>
      <c r="G1030" s="439" t="s">
        <v>14214</v>
      </c>
      <c r="H1030" s="346">
        <v>0</v>
      </c>
      <c r="I1030" s="346">
        <v>0</v>
      </c>
      <c r="J1030" s="395"/>
      <c r="L1030" s="346" t="s">
        <v>932</v>
      </c>
      <c r="N1030" s="395"/>
      <c r="O1030" s="395"/>
    </row>
    <row r="1031" hidden="1" spans="1:15">
      <c r="A1031" s="421"/>
      <c r="B1031" s="422"/>
      <c r="C1031" s="422"/>
      <c r="D1031" s="422"/>
      <c r="E1031" s="422"/>
      <c r="F1031" s="422"/>
      <c r="G1031" s="422"/>
      <c r="H1031" s="422"/>
      <c r="I1031" s="430"/>
      <c r="J1031" s="430"/>
      <c r="K1031" s="425" t="s">
        <v>14215</v>
      </c>
      <c r="L1031" s="426">
        <v>0</v>
      </c>
      <c r="N1031" s="395"/>
      <c r="O1031" s="395"/>
    </row>
    <row r="1032" spans="1:15">
      <c r="A1032" s="451"/>
      <c r="B1032" s="452"/>
      <c r="C1032" s="452"/>
      <c r="D1032" s="452"/>
      <c r="E1032" s="452"/>
      <c r="F1032" s="452"/>
      <c r="G1032" s="452"/>
      <c r="H1032" s="452"/>
      <c r="I1032" s="453"/>
      <c r="J1032" s="453"/>
      <c r="K1032" s="454" t="s">
        <v>14216</v>
      </c>
      <c r="L1032" s="455">
        <v>1.88</v>
      </c>
      <c r="N1032" s="395"/>
      <c r="O1032" s="395"/>
    </row>
    <row r="1034" spans="1:15">
      <c r="A1034" s="391" t="s">
        <v>14172</v>
      </c>
      <c r="B1034" s="457"/>
      <c r="C1034" s="457"/>
      <c r="D1034" s="457"/>
      <c r="E1034" s="457"/>
      <c r="F1034" s="457"/>
      <c r="G1034" s="393"/>
      <c r="H1034" s="393"/>
      <c r="I1034" s="393"/>
      <c r="J1034" s="393"/>
      <c r="K1034" s="393"/>
      <c r="L1034" s="394"/>
      <c r="N1034" s="395"/>
      <c r="O1034" s="395"/>
    </row>
    <row r="1035" spans="1:15">
      <c r="A1035" s="396">
        <v>5914655</v>
      </c>
      <c r="B1035" s="397" t="s">
        <v>12958</v>
      </c>
      <c r="C1035" s="397"/>
      <c r="D1035" s="397"/>
      <c r="E1035" s="397"/>
      <c r="F1035" s="397"/>
      <c r="G1035" s="397"/>
      <c r="H1035" s="397" t="s">
        <v>9885</v>
      </c>
      <c r="I1035" s="398">
        <v>46023</v>
      </c>
      <c r="J1035" s="397"/>
      <c r="K1035" s="399" t="s">
        <v>14173</v>
      </c>
      <c r="L1035" s="400">
        <v>0</v>
      </c>
      <c r="N1035" s="395"/>
      <c r="O1035" s="395"/>
    </row>
    <row r="1036" spans="1:15">
      <c r="A1036" s="401"/>
      <c r="H1036" s="402" t="s">
        <v>14174</v>
      </c>
      <c r="I1036" s="434">
        <v>12.34</v>
      </c>
      <c r="J1036" s="404" t="s">
        <v>9885</v>
      </c>
      <c r="K1036" s="402" t="s">
        <v>14175</v>
      </c>
      <c r="L1036" s="456">
        <v>0.04722</v>
      </c>
      <c r="N1036" s="395"/>
      <c r="O1036" s="395"/>
    </row>
    <row r="1037" spans="1:15">
      <c r="A1037" s="405"/>
      <c r="B1037" s="405"/>
      <c r="C1037" s="405"/>
      <c r="D1037" s="406"/>
      <c r="E1037" s="406"/>
      <c r="F1037" s="406"/>
      <c r="G1037" s="407" t="s">
        <v>14176</v>
      </c>
      <c r="H1037" s="407"/>
      <c r="I1037" s="407" t="s">
        <v>14177</v>
      </c>
      <c r="J1037" s="407"/>
      <c r="K1037" s="405"/>
      <c r="L1037" s="409" t="s">
        <v>14178</v>
      </c>
      <c r="N1037" s="395"/>
      <c r="O1037" s="395"/>
    </row>
    <row r="1038" spans="1:15">
      <c r="A1038" s="410" t="s">
        <v>14179</v>
      </c>
      <c r="B1038" s="411"/>
      <c r="C1038" s="412"/>
      <c r="D1038" s="412"/>
      <c r="E1038" s="413" t="s">
        <v>74</v>
      </c>
      <c r="F1038" s="412"/>
      <c r="G1038" s="413" t="s">
        <v>14180</v>
      </c>
      <c r="H1038" s="413" t="s">
        <v>14181</v>
      </c>
      <c r="I1038" s="413" t="s">
        <v>14182</v>
      </c>
      <c r="J1038" s="413" t="s">
        <v>14183</v>
      </c>
      <c r="K1038" s="411"/>
      <c r="L1038" s="414" t="s">
        <v>14184</v>
      </c>
      <c r="N1038" s="395"/>
      <c r="O1038" s="395"/>
    </row>
    <row r="1039" spans="1:15">
      <c r="A1039" s="404" t="s">
        <v>14315</v>
      </c>
      <c r="B1039" s="415" t="s">
        <v>14316</v>
      </c>
      <c r="C1039" s="415"/>
      <c r="E1039" s="434">
        <v>1</v>
      </c>
      <c r="F1039" s="334"/>
      <c r="G1039" s="346">
        <v>1</v>
      </c>
      <c r="H1039" s="417">
        <v>0</v>
      </c>
      <c r="I1039" s="395">
        <v>284.8759</v>
      </c>
      <c r="J1039" s="418">
        <v>85.8102</v>
      </c>
      <c r="K1039" s="402"/>
      <c r="L1039" s="395">
        <v>284.8759</v>
      </c>
      <c r="N1039" s="395">
        <v>85.8102</v>
      </c>
      <c r="O1039" s="395"/>
    </row>
    <row r="1040" hidden="1" spans="1:15">
      <c r="A1040" s="404">
        <v>0</v>
      </c>
      <c r="B1040" s="404" t="e">
        <v>#N/A</v>
      </c>
      <c r="C1040" s="404"/>
      <c r="D1040" s="334"/>
      <c r="E1040" s="416">
        <v>0</v>
      </c>
      <c r="F1040" s="334"/>
      <c r="G1040" s="346">
        <v>0</v>
      </c>
      <c r="H1040" s="417">
        <v>1</v>
      </c>
      <c r="I1040" s="346" t="e">
        <v>#N/A</v>
      </c>
      <c r="J1040" s="419" t="e">
        <v>#N/A</v>
      </c>
      <c r="K1040" s="420"/>
      <c r="L1040" s="395" t="s">
        <v>932</v>
      </c>
      <c r="N1040" s="395" t="s">
        <v>932</v>
      </c>
      <c r="O1040" s="395"/>
    </row>
    <row r="1041" hidden="1" spans="1:15">
      <c r="A1041" s="404">
        <v>0</v>
      </c>
      <c r="B1041" s="404" t="e">
        <v>#N/A</v>
      </c>
      <c r="C1041" s="404"/>
      <c r="D1041" s="334"/>
      <c r="E1041" s="416">
        <v>0</v>
      </c>
      <c r="F1041" s="334"/>
      <c r="G1041" s="346">
        <v>0</v>
      </c>
      <c r="H1041" s="417">
        <v>1</v>
      </c>
      <c r="I1041" s="346" t="e">
        <v>#N/A</v>
      </c>
      <c r="J1041" s="419" t="e">
        <v>#N/A</v>
      </c>
      <c r="K1041" s="420"/>
      <c r="L1041" s="395" t="s">
        <v>932</v>
      </c>
      <c r="N1041" s="395" t="s">
        <v>932</v>
      </c>
      <c r="O1041" s="395"/>
    </row>
    <row r="1042" hidden="1" spans="1:15">
      <c r="A1042" s="404">
        <v>0</v>
      </c>
      <c r="B1042" s="404" t="e">
        <v>#N/A</v>
      </c>
      <c r="C1042" s="404"/>
      <c r="D1042" s="334"/>
      <c r="E1042" s="416">
        <v>0</v>
      </c>
      <c r="F1042" s="334"/>
      <c r="G1042" s="346">
        <v>0</v>
      </c>
      <c r="H1042" s="417">
        <v>1</v>
      </c>
      <c r="I1042" s="346" t="e">
        <v>#N/A</v>
      </c>
      <c r="J1042" s="419" t="e">
        <v>#N/A</v>
      </c>
      <c r="K1042" s="420"/>
      <c r="L1042" s="395" t="s">
        <v>932</v>
      </c>
      <c r="N1042" s="395" t="s">
        <v>932</v>
      </c>
      <c r="O1042" s="395"/>
    </row>
    <row r="1043" hidden="1" spans="1:15">
      <c r="A1043" s="404">
        <v>0</v>
      </c>
      <c r="B1043" s="404" t="e">
        <v>#N/A</v>
      </c>
      <c r="C1043" s="404"/>
      <c r="D1043" s="334"/>
      <c r="E1043" s="416">
        <v>0</v>
      </c>
      <c r="F1043" s="334"/>
      <c r="G1043" s="346">
        <v>0</v>
      </c>
      <c r="H1043" s="417">
        <v>1</v>
      </c>
      <c r="I1043" s="346" t="e">
        <v>#N/A</v>
      </c>
      <c r="J1043" s="419" t="e">
        <v>#N/A</v>
      </c>
      <c r="K1043" s="420"/>
      <c r="L1043" s="395" t="s">
        <v>932</v>
      </c>
      <c r="N1043" s="395" t="s">
        <v>932</v>
      </c>
      <c r="O1043" s="395"/>
    </row>
    <row r="1044" hidden="1" spans="1:15">
      <c r="A1044" s="404">
        <v>0</v>
      </c>
      <c r="B1044" s="404" t="e">
        <v>#N/A</v>
      </c>
      <c r="C1044" s="404"/>
      <c r="D1044" s="334"/>
      <c r="E1044" s="416">
        <v>0</v>
      </c>
      <c r="F1044" s="334"/>
      <c r="G1044" s="346">
        <v>0</v>
      </c>
      <c r="H1044" s="417">
        <v>1</v>
      </c>
      <c r="I1044" s="346" t="e">
        <v>#N/A</v>
      </c>
      <c r="J1044" s="419" t="e">
        <v>#N/A</v>
      </c>
      <c r="K1044" s="420"/>
      <c r="L1044" s="395" t="s">
        <v>932</v>
      </c>
      <c r="N1044" s="395" t="s">
        <v>932</v>
      </c>
      <c r="O1044" s="395"/>
    </row>
    <row r="1045" hidden="1" spans="1:15">
      <c r="A1045" s="404">
        <v>0</v>
      </c>
      <c r="B1045" s="404" t="e">
        <v>#N/A</v>
      </c>
      <c r="C1045" s="404"/>
      <c r="D1045" s="334"/>
      <c r="E1045" s="416">
        <v>0</v>
      </c>
      <c r="F1045" s="334"/>
      <c r="G1045" s="346">
        <v>0</v>
      </c>
      <c r="H1045" s="417">
        <v>1</v>
      </c>
      <c r="I1045" s="346" t="e">
        <v>#N/A</v>
      </c>
      <c r="J1045" s="419" t="e">
        <v>#N/A</v>
      </c>
      <c r="K1045" s="420"/>
      <c r="L1045" s="395" t="s">
        <v>932</v>
      </c>
      <c r="N1045" s="395" t="s">
        <v>932</v>
      </c>
      <c r="O1045" s="395"/>
    </row>
    <row r="1046" hidden="1" spans="1:15">
      <c r="A1046" s="404">
        <v>0</v>
      </c>
      <c r="B1046" s="436" t="e">
        <v>#N/A</v>
      </c>
      <c r="C1046" s="436"/>
      <c r="D1046" s="334"/>
      <c r="E1046" s="416">
        <v>0</v>
      </c>
      <c r="F1046" s="334"/>
      <c r="G1046" s="346">
        <v>0</v>
      </c>
      <c r="H1046" s="417">
        <v>1</v>
      </c>
      <c r="I1046" s="346" t="e">
        <v>#N/A</v>
      </c>
      <c r="J1046" s="419" t="e">
        <v>#N/A</v>
      </c>
      <c r="K1046" s="420"/>
      <c r="L1046" s="395" t="s">
        <v>932</v>
      </c>
      <c r="N1046" s="395" t="s">
        <v>932</v>
      </c>
      <c r="O1046" s="395"/>
    </row>
    <row r="1047" spans="1:15">
      <c r="A1047" s="421"/>
      <c r="B1047" s="422"/>
      <c r="C1047" s="422"/>
      <c r="D1047" s="422"/>
      <c r="E1047" s="423"/>
      <c r="F1047" s="424"/>
      <c r="G1047" s="422"/>
      <c r="H1047" s="422"/>
      <c r="I1047" s="422"/>
      <c r="J1047" s="422"/>
      <c r="K1047" s="425" t="s">
        <v>14185</v>
      </c>
      <c r="L1047" s="426">
        <v>284.8759</v>
      </c>
      <c r="N1047" s="427">
        <v>85.8102</v>
      </c>
      <c r="O1047" s="395"/>
    </row>
    <row r="1048" spans="1:15">
      <c r="A1048" s="428" t="s">
        <v>14186</v>
      </c>
      <c r="B1048" s="429"/>
      <c r="C1048" s="429"/>
      <c r="D1048" s="430"/>
      <c r="E1048" s="431" t="s">
        <v>74</v>
      </c>
      <c r="F1048" s="431" t="s">
        <v>1123</v>
      </c>
      <c r="G1048" s="430"/>
      <c r="H1048" s="422"/>
      <c r="I1048" s="431" t="s">
        <v>14177</v>
      </c>
      <c r="J1048" s="430"/>
      <c r="K1048" s="430"/>
      <c r="L1048" s="432" t="s">
        <v>14187</v>
      </c>
      <c r="N1048" s="395"/>
      <c r="O1048" s="395"/>
    </row>
    <row r="1049" spans="1:15">
      <c r="A1049" s="404" t="s">
        <v>935</v>
      </c>
      <c r="B1049" s="433" t="s">
        <v>936</v>
      </c>
      <c r="C1049" s="433"/>
      <c r="D1049" s="334"/>
      <c r="E1049" s="434">
        <v>6</v>
      </c>
      <c r="F1049" s="333" t="s">
        <v>104</v>
      </c>
      <c r="G1049" s="334"/>
      <c r="H1049" s="334"/>
      <c r="I1049" s="435">
        <v>23.6025</v>
      </c>
      <c r="J1049" s="334"/>
      <c r="K1049" s="334"/>
      <c r="L1049" s="346">
        <v>141.615</v>
      </c>
      <c r="N1049" s="395">
        <v>141.615</v>
      </c>
      <c r="O1049" s="395"/>
    </row>
    <row r="1050" hidden="1" spans="1:15">
      <c r="A1050" s="404">
        <v>0</v>
      </c>
      <c r="B1050" s="404" t="e">
        <v>#N/A</v>
      </c>
      <c r="C1050" s="404"/>
      <c r="D1050" s="334"/>
      <c r="E1050" s="434">
        <v>0</v>
      </c>
      <c r="F1050" s="333" t="s">
        <v>104</v>
      </c>
      <c r="G1050" s="334"/>
      <c r="H1050" s="334"/>
      <c r="I1050" s="435" t="e">
        <v>#N/A</v>
      </c>
      <c r="J1050" s="334"/>
      <c r="K1050" s="334"/>
      <c r="L1050" s="346" t="s">
        <v>932</v>
      </c>
      <c r="N1050" s="395" t="s">
        <v>932</v>
      </c>
      <c r="O1050" s="395"/>
    </row>
    <row r="1051" hidden="1" spans="1:15">
      <c r="A1051" s="404">
        <v>0</v>
      </c>
      <c r="B1051" s="404" t="e">
        <v>#N/A</v>
      </c>
      <c r="C1051" s="404"/>
      <c r="D1051" s="334"/>
      <c r="E1051" s="434">
        <v>0</v>
      </c>
      <c r="F1051" s="333" t="s">
        <v>104</v>
      </c>
      <c r="G1051" s="334"/>
      <c r="H1051" s="334"/>
      <c r="I1051" s="435" t="e">
        <v>#N/A</v>
      </c>
      <c r="J1051" s="334"/>
      <c r="K1051" s="334"/>
      <c r="L1051" s="346" t="s">
        <v>932</v>
      </c>
      <c r="N1051" s="395" t="s">
        <v>932</v>
      </c>
      <c r="O1051" s="395"/>
    </row>
    <row r="1052" hidden="1" spans="1:15">
      <c r="A1052" s="404">
        <v>0</v>
      </c>
      <c r="B1052" s="404" t="e">
        <v>#N/A</v>
      </c>
      <c r="C1052" s="404"/>
      <c r="D1052" s="334"/>
      <c r="E1052" s="434">
        <v>0</v>
      </c>
      <c r="F1052" s="333" t="s">
        <v>104</v>
      </c>
      <c r="G1052" s="334"/>
      <c r="H1052" s="334"/>
      <c r="I1052" s="435" t="e">
        <v>#N/A</v>
      </c>
      <c r="J1052" s="334"/>
      <c r="K1052" s="334"/>
      <c r="L1052" s="346" t="s">
        <v>932</v>
      </c>
      <c r="N1052" s="395" t="s">
        <v>932</v>
      </c>
      <c r="O1052" s="395"/>
    </row>
    <row r="1053" hidden="1" spans="1:15">
      <c r="A1053" s="404">
        <v>0</v>
      </c>
      <c r="B1053" s="404" t="e">
        <v>#N/A</v>
      </c>
      <c r="C1053" s="404"/>
      <c r="D1053" s="334"/>
      <c r="E1053" s="434">
        <v>0</v>
      </c>
      <c r="F1053" s="333" t="s">
        <v>104</v>
      </c>
      <c r="G1053" s="334"/>
      <c r="H1053" s="334"/>
      <c r="I1053" s="435" t="e">
        <v>#N/A</v>
      </c>
      <c r="J1053" s="334"/>
      <c r="K1053" s="334"/>
      <c r="L1053" s="346" t="s">
        <v>932</v>
      </c>
      <c r="N1053" s="395" t="s">
        <v>932</v>
      </c>
      <c r="O1053" s="395"/>
    </row>
    <row r="1054" hidden="1" spans="1:15">
      <c r="A1054" s="404">
        <v>0</v>
      </c>
      <c r="B1054" s="404" t="e">
        <v>#N/A</v>
      </c>
      <c r="C1054" s="404"/>
      <c r="D1054" s="334"/>
      <c r="E1054" s="434">
        <v>0</v>
      </c>
      <c r="F1054" s="333" t="s">
        <v>104</v>
      </c>
      <c r="G1054" s="334"/>
      <c r="H1054" s="334"/>
      <c r="I1054" s="435" t="e">
        <v>#N/A</v>
      </c>
      <c r="J1054" s="334"/>
      <c r="K1054" s="334"/>
      <c r="L1054" s="346" t="s">
        <v>932</v>
      </c>
      <c r="N1054" s="395" t="s">
        <v>932</v>
      </c>
      <c r="O1054" s="395"/>
    </row>
    <row r="1055" hidden="1" spans="1:15">
      <c r="A1055" s="404">
        <v>0</v>
      </c>
      <c r="B1055" s="404" t="e">
        <v>#N/A</v>
      </c>
      <c r="C1055" s="404"/>
      <c r="D1055" s="334"/>
      <c r="E1055" s="434">
        <v>0</v>
      </c>
      <c r="F1055" s="333" t="s">
        <v>104</v>
      </c>
      <c r="G1055" s="334"/>
      <c r="H1055" s="334"/>
      <c r="I1055" s="435" t="e">
        <v>#N/A</v>
      </c>
      <c r="J1055" s="334"/>
      <c r="K1055" s="334"/>
      <c r="L1055" s="346" t="s">
        <v>932</v>
      </c>
      <c r="N1055" s="395" t="s">
        <v>932</v>
      </c>
      <c r="O1055" s="395"/>
    </row>
    <row r="1056" hidden="1" spans="1:15">
      <c r="A1056" s="404">
        <v>0</v>
      </c>
      <c r="B1056" s="436" t="e">
        <v>#N/A</v>
      </c>
      <c r="C1056" s="436"/>
      <c r="D1056" s="334"/>
      <c r="E1056" s="434">
        <v>0</v>
      </c>
      <c r="F1056" s="333" t="s">
        <v>104</v>
      </c>
      <c r="G1056" s="334"/>
      <c r="H1056" s="334"/>
      <c r="I1056" s="435" t="e">
        <v>#N/A</v>
      </c>
      <c r="J1056" s="334"/>
      <c r="K1056" s="334"/>
      <c r="L1056" s="346" t="s">
        <v>932</v>
      </c>
      <c r="N1056" s="395" t="s">
        <v>932</v>
      </c>
      <c r="O1056" s="395"/>
    </row>
    <row r="1057" spans="1:15">
      <c r="A1057" s="421"/>
      <c r="B1057" s="62"/>
      <c r="C1057" s="62"/>
      <c r="D1057" s="422"/>
      <c r="E1057" s="423"/>
      <c r="F1057" s="424"/>
      <c r="G1057" s="422"/>
      <c r="H1057" s="422"/>
      <c r="I1057" s="422"/>
      <c r="J1057" s="422"/>
      <c r="K1057" s="425" t="s">
        <v>14188</v>
      </c>
      <c r="L1057" s="426">
        <v>141.615</v>
      </c>
      <c r="N1057" s="427">
        <v>141.615</v>
      </c>
      <c r="O1057" s="395"/>
    </row>
    <row r="1058" spans="1:15">
      <c r="I1058" s="437"/>
      <c r="K1058" s="383" t="s">
        <v>14189</v>
      </c>
      <c r="L1058" s="427">
        <v>426.4909</v>
      </c>
      <c r="N1058" s="395">
        <v>227.4252</v>
      </c>
      <c r="O1058" s="395"/>
    </row>
    <row r="1059" spans="1:15">
      <c r="K1059" s="383" t="s">
        <v>14190</v>
      </c>
      <c r="L1059" s="427">
        <v>34.5616612641815</v>
      </c>
      <c r="N1059" s="395">
        <v>18.4299189627229</v>
      </c>
      <c r="O1059" s="395">
        <v>0.870260773419773</v>
      </c>
    </row>
    <row r="1060" spans="1:15">
      <c r="K1060" s="383" t="s">
        <v>14191</v>
      </c>
      <c r="L1060" s="427">
        <v>0.870260773419773</v>
      </c>
      <c r="N1060" s="395"/>
      <c r="O1060" s="395"/>
    </row>
    <row r="1061" spans="1:15">
      <c r="K1061" s="383" t="s">
        <v>14192</v>
      </c>
      <c r="L1061" s="395">
        <v>0</v>
      </c>
      <c r="N1061" s="395"/>
      <c r="O1061" s="395"/>
    </row>
    <row r="1062" hidden="1" spans="1:15">
      <c r="A1062" s="428" t="s">
        <v>14193</v>
      </c>
      <c r="B1062" s="430"/>
      <c r="C1062" s="430"/>
      <c r="D1062" s="430"/>
      <c r="E1062" s="431" t="s">
        <v>74</v>
      </c>
      <c r="F1062" s="431" t="s">
        <v>1123</v>
      </c>
      <c r="G1062" s="430"/>
      <c r="H1062" s="430"/>
      <c r="I1062" s="425" t="s">
        <v>75</v>
      </c>
      <c r="J1062" s="430"/>
      <c r="K1062" s="430"/>
      <c r="L1062" s="426" t="s">
        <v>14194</v>
      </c>
      <c r="N1062" s="395"/>
      <c r="O1062" s="395"/>
    </row>
    <row r="1063" hidden="1" spans="1:15">
      <c r="A1063" s="404">
        <v>0</v>
      </c>
      <c r="B1063" s="433" t="e">
        <v>#N/A</v>
      </c>
      <c r="C1063" s="433"/>
      <c r="D1063" s="334"/>
      <c r="E1063" s="434">
        <v>0</v>
      </c>
      <c r="F1063" s="333" t="e">
        <v>#N/A</v>
      </c>
      <c r="G1063" s="334"/>
      <c r="I1063" s="395" t="e">
        <v>#N/A</v>
      </c>
      <c r="J1063" s="395"/>
      <c r="K1063" s="395"/>
      <c r="L1063" s="346" t="s">
        <v>932</v>
      </c>
      <c r="N1063" s="395"/>
      <c r="O1063" s="395"/>
    </row>
    <row r="1064" hidden="1" spans="1:15">
      <c r="A1064" s="404">
        <v>0</v>
      </c>
      <c r="B1064" s="404" t="e">
        <v>#N/A</v>
      </c>
      <c r="C1064" s="404"/>
      <c r="D1064" s="334"/>
      <c r="E1064" s="434">
        <v>0</v>
      </c>
      <c r="F1064" s="333" t="e">
        <v>#N/A</v>
      </c>
      <c r="G1064" s="334"/>
      <c r="I1064" s="395" t="e">
        <v>#N/A</v>
      </c>
      <c r="J1064" s="395"/>
      <c r="K1064" s="395"/>
      <c r="L1064" s="346" t="s">
        <v>932</v>
      </c>
      <c r="N1064" s="395"/>
      <c r="O1064" s="395"/>
    </row>
    <row r="1065" hidden="1" spans="1:15">
      <c r="A1065" s="404">
        <v>0</v>
      </c>
      <c r="B1065" s="404" t="e">
        <v>#N/A</v>
      </c>
      <c r="C1065" s="404"/>
      <c r="D1065" s="334"/>
      <c r="E1065" s="434">
        <v>0</v>
      </c>
      <c r="F1065" s="333" t="e">
        <v>#N/A</v>
      </c>
      <c r="G1065" s="334"/>
      <c r="I1065" s="395" t="e">
        <v>#N/A</v>
      </c>
      <c r="J1065" s="395"/>
      <c r="K1065" s="395"/>
      <c r="L1065" s="346" t="s">
        <v>932</v>
      </c>
      <c r="N1065" s="395"/>
      <c r="O1065" s="395"/>
    </row>
    <row r="1066" hidden="1" spans="1:15">
      <c r="A1066" s="404">
        <v>0</v>
      </c>
      <c r="B1066" s="404" t="e">
        <v>#N/A</v>
      </c>
      <c r="C1066" s="404"/>
      <c r="D1066" s="334"/>
      <c r="E1066" s="434">
        <v>0</v>
      </c>
      <c r="F1066" s="333" t="e">
        <v>#N/A</v>
      </c>
      <c r="G1066" s="334"/>
      <c r="I1066" s="395" t="e">
        <v>#N/A</v>
      </c>
      <c r="J1066" s="395"/>
      <c r="K1066" s="395"/>
      <c r="L1066" s="346" t="s">
        <v>932</v>
      </c>
      <c r="N1066" s="395"/>
      <c r="O1066" s="395"/>
    </row>
    <row r="1067" hidden="1" spans="1:15">
      <c r="A1067" s="404">
        <v>0</v>
      </c>
      <c r="B1067" s="404" t="e">
        <v>#N/A</v>
      </c>
      <c r="C1067" s="404"/>
      <c r="D1067" s="334"/>
      <c r="E1067" s="434">
        <v>0</v>
      </c>
      <c r="F1067" s="333" t="e">
        <v>#N/A</v>
      </c>
      <c r="G1067" s="334"/>
      <c r="H1067" s="334"/>
      <c r="I1067" s="395" t="e">
        <v>#N/A</v>
      </c>
      <c r="J1067" s="395"/>
      <c r="K1067" s="395"/>
      <c r="L1067" s="346" t="s">
        <v>932</v>
      </c>
      <c r="N1067" s="395"/>
      <c r="O1067" s="395"/>
    </row>
    <row r="1068" hidden="1" spans="1:15">
      <c r="A1068" s="404">
        <v>0</v>
      </c>
      <c r="B1068" s="404" t="e">
        <v>#N/A</v>
      </c>
      <c r="C1068" s="404"/>
      <c r="D1068" s="334"/>
      <c r="E1068" s="434">
        <v>0</v>
      </c>
      <c r="F1068" s="333" t="e">
        <v>#N/A</v>
      </c>
      <c r="G1068" s="334"/>
      <c r="H1068" s="334"/>
      <c r="I1068" s="395" t="e">
        <v>#N/A</v>
      </c>
      <c r="J1068" s="395"/>
      <c r="K1068" s="395"/>
      <c r="L1068" s="346" t="s">
        <v>932</v>
      </c>
      <c r="N1068" s="395"/>
      <c r="O1068" s="395"/>
    </row>
    <row r="1069" hidden="1" spans="1:15">
      <c r="A1069" s="404">
        <v>0</v>
      </c>
      <c r="B1069" s="404" t="e">
        <v>#N/A</v>
      </c>
      <c r="C1069" s="404"/>
      <c r="D1069" s="334"/>
      <c r="E1069" s="434">
        <v>0</v>
      </c>
      <c r="F1069" s="333" t="e">
        <v>#N/A</v>
      </c>
      <c r="G1069" s="334"/>
      <c r="H1069" s="334"/>
      <c r="I1069" s="395" t="e">
        <v>#N/A</v>
      </c>
      <c r="J1069" s="395"/>
      <c r="K1069" s="395"/>
      <c r="L1069" s="346" t="s">
        <v>932</v>
      </c>
      <c r="N1069" s="395"/>
      <c r="O1069" s="395"/>
    </row>
    <row r="1070" hidden="1" spans="1:15">
      <c r="A1070" s="404">
        <v>0</v>
      </c>
      <c r="B1070" s="436" t="e">
        <v>#N/A</v>
      </c>
      <c r="C1070" s="436"/>
      <c r="D1070" s="438"/>
      <c r="E1070" s="434">
        <v>0</v>
      </c>
      <c r="F1070" s="333" t="e">
        <v>#N/A</v>
      </c>
      <c r="G1070" s="334"/>
      <c r="H1070" s="334"/>
      <c r="I1070" s="395" t="e">
        <v>#N/A</v>
      </c>
      <c r="J1070" s="395"/>
      <c r="K1070" s="395"/>
      <c r="L1070" s="346" t="s">
        <v>932</v>
      </c>
      <c r="N1070" s="395"/>
      <c r="O1070" s="395"/>
    </row>
    <row r="1071" hidden="1" spans="1:15">
      <c r="A1071" s="421"/>
      <c r="B1071" s="422"/>
      <c r="C1071" s="422"/>
      <c r="D1071" s="422"/>
      <c r="E1071" s="423"/>
      <c r="F1071" s="424"/>
      <c r="G1071" s="422"/>
      <c r="H1071" s="422"/>
      <c r="I1071" s="430"/>
      <c r="J1071" s="430"/>
      <c r="K1071" s="425" t="s">
        <v>14203</v>
      </c>
      <c r="L1071" s="426">
        <v>0</v>
      </c>
      <c r="N1071" s="395"/>
      <c r="O1071" s="395"/>
    </row>
    <row r="1072" hidden="1" spans="1:15">
      <c r="A1072" s="428" t="s">
        <v>14204</v>
      </c>
      <c r="B1072" s="430"/>
      <c r="C1072" s="430"/>
      <c r="D1072" s="430"/>
      <c r="E1072" s="431" t="s">
        <v>74</v>
      </c>
      <c r="F1072" s="431" t="s">
        <v>1123</v>
      </c>
      <c r="G1072" s="430"/>
      <c r="H1072" s="430"/>
      <c r="I1072" s="425" t="s">
        <v>75</v>
      </c>
      <c r="J1072" s="430"/>
      <c r="K1072" s="430"/>
      <c r="L1072" s="426" t="s">
        <v>14194</v>
      </c>
      <c r="N1072" s="395"/>
      <c r="O1072" s="395"/>
    </row>
    <row r="1073" hidden="1" spans="1:15">
      <c r="A1073" s="404">
        <v>0</v>
      </c>
      <c r="B1073" s="334" t="e">
        <v>#N/A</v>
      </c>
      <c r="C1073" s="334"/>
      <c r="D1073" s="334"/>
      <c r="E1073" s="434">
        <v>0</v>
      </c>
      <c r="F1073" s="333" t="e">
        <v>#N/A</v>
      </c>
      <c r="G1073" s="439"/>
      <c r="I1073" s="346" t="e">
        <v>#N/A</v>
      </c>
      <c r="L1073" s="346" t="s">
        <v>932</v>
      </c>
      <c r="N1073" s="395"/>
      <c r="O1073" s="395"/>
    </row>
    <row r="1074" hidden="1" spans="1:15">
      <c r="A1074" s="401">
        <v>0</v>
      </c>
      <c r="B1074" s="334" t="e">
        <v>#N/A</v>
      </c>
      <c r="E1074" s="440">
        <v>0</v>
      </c>
      <c r="F1074" s="333" t="e">
        <v>#N/A</v>
      </c>
      <c r="G1074" s="439"/>
      <c r="I1074" s="346" t="e">
        <v>#N/A</v>
      </c>
      <c r="L1074" s="346" t="s">
        <v>932</v>
      </c>
      <c r="N1074" s="395"/>
      <c r="O1074" s="395"/>
    </row>
    <row r="1075" hidden="1" spans="1:15">
      <c r="A1075" s="401">
        <v>0</v>
      </c>
      <c r="B1075" s="334" t="e">
        <v>#N/A</v>
      </c>
      <c r="E1075" s="440">
        <v>0</v>
      </c>
      <c r="F1075" s="333" t="e">
        <v>#N/A</v>
      </c>
      <c r="G1075" s="439"/>
      <c r="I1075" s="346" t="e">
        <v>#N/A</v>
      </c>
      <c r="L1075" s="346" t="s">
        <v>932</v>
      </c>
      <c r="N1075" s="395"/>
      <c r="O1075" s="395"/>
    </row>
    <row r="1076" hidden="1" spans="1:15">
      <c r="A1076" s="401">
        <v>0</v>
      </c>
      <c r="B1076" s="334" t="e">
        <v>#N/A</v>
      </c>
      <c r="E1076" s="440">
        <v>0</v>
      </c>
      <c r="F1076" s="333" t="e">
        <v>#N/A</v>
      </c>
      <c r="G1076" s="439"/>
      <c r="I1076" s="346" t="e">
        <v>#N/A</v>
      </c>
      <c r="L1076" s="346" t="s">
        <v>932</v>
      </c>
      <c r="N1076" s="395"/>
      <c r="O1076" s="395"/>
    </row>
    <row r="1077" hidden="1" spans="1:15">
      <c r="A1077" s="401">
        <v>0</v>
      </c>
      <c r="B1077" s="334" t="e">
        <v>#N/A</v>
      </c>
      <c r="E1077" s="440">
        <v>0</v>
      </c>
      <c r="F1077" s="333" t="e">
        <v>#N/A</v>
      </c>
      <c r="G1077" s="439"/>
      <c r="I1077" s="346" t="e">
        <v>#N/A</v>
      </c>
      <c r="L1077" s="346" t="s">
        <v>932</v>
      </c>
      <c r="N1077" s="395"/>
      <c r="O1077" s="395"/>
    </row>
    <row r="1078" hidden="1" spans="1:15">
      <c r="A1078" s="401">
        <v>0</v>
      </c>
      <c r="B1078" s="334" t="e">
        <v>#N/A</v>
      </c>
      <c r="E1078" s="440">
        <v>0</v>
      </c>
      <c r="F1078" s="333" t="e">
        <v>#N/A</v>
      </c>
      <c r="G1078" s="439"/>
      <c r="I1078" s="346" t="e">
        <v>#N/A</v>
      </c>
      <c r="L1078" s="346" t="s">
        <v>932</v>
      </c>
      <c r="N1078" s="395"/>
      <c r="O1078" s="395"/>
    </row>
    <row r="1079" hidden="1" spans="1:15">
      <c r="A1079" s="421"/>
      <c r="B1079" s="422"/>
      <c r="C1079" s="422"/>
      <c r="D1079" s="422"/>
      <c r="E1079" s="422"/>
      <c r="F1079" s="422"/>
      <c r="G1079" s="422"/>
      <c r="H1079" s="422"/>
      <c r="I1079" s="430"/>
      <c r="J1079" s="430"/>
      <c r="K1079" s="425" t="s">
        <v>14206</v>
      </c>
      <c r="L1079" s="426">
        <v>0</v>
      </c>
      <c r="N1079" s="395"/>
      <c r="O1079" s="395"/>
    </row>
    <row r="1080" spans="1:15">
      <c r="A1080" s="421"/>
      <c r="B1080" s="422"/>
      <c r="C1080" s="422"/>
      <c r="D1080" s="422"/>
      <c r="E1080" s="422"/>
      <c r="F1080" s="422"/>
      <c r="G1080" s="422"/>
      <c r="H1080" s="422"/>
      <c r="I1080" s="430"/>
      <c r="J1080" s="430"/>
      <c r="K1080" s="425" t="s">
        <v>14207</v>
      </c>
      <c r="L1080" s="426">
        <v>35.4319220376013</v>
      </c>
      <c r="N1080" s="395"/>
      <c r="O1080" s="395"/>
    </row>
    <row r="1081" hidden="1" spans="1:15">
      <c r="A1081" s="428" t="s">
        <v>14208</v>
      </c>
      <c r="B1081" s="430"/>
      <c r="C1081" s="430"/>
      <c r="D1081" s="431" t="s">
        <v>55</v>
      </c>
      <c r="E1081" s="431" t="s">
        <v>74</v>
      </c>
      <c r="F1081" s="431" t="s">
        <v>1123</v>
      </c>
      <c r="G1081" s="430"/>
      <c r="H1081" s="430"/>
      <c r="I1081" s="425" t="s">
        <v>75</v>
      </c>
      <c r="J1081" s="430"/>
      <c r="K1081" s="430"/>
      <c r="L1081" s="426" t="s">
        <v>14194</v>
      </c>
      <c r="N1081" s="395"/>
      <c r="O1081" s="395"/>
    </row>
    <row r="1082" hidden="1" spans="1:15">
      <c r="A1082" s="404">
        <v>0</v>
      </c>
      <c r="B1082" s="441" t="e">
        <v>#N/A</v>
      </c>
      <c r="C1082" s="441"/>
      <c r="D1082" s="442">
        <v>0</v>
      </c>
      <c r="E1082" s="434">
        <v>0</v>
      </c>
      <c r="F1082" s="333" t="s">
        <v>9885</v>
      </c>
      <c r="G1082" s="443" t="s">
        <v>14209</v>
      </c>
      <c r="H1082" s="334"/>
      <c r="I1082" s="346">
        <v>0</v>
      </c>
      <c r="J1082" s="334"/>
      <c r="K1082" s="346"/>
      <c r="L1082" s="346" t="s">
        <v>932</v>
      </c>
      <c r="N1082" s="395"/>
      <c r="O1082" s="395"/>
    </row>
    <row r="1083" hidden="1" spans="1:15">
      <c r="A1083" s="404">
        <v>0</v>
      </c>
      <c r="B1083" s="334" t="e">
        <v>#N/A</v>
      </c>
      <c r="C1083" s="334"/>
      <c r="D1083" s="442">
        <v>0</v>
      </c>
      <c r="E1083" s="434">
        <v>0</v>
      </c>
      <c r="F1083" s="333" t="s">
        <v>9885</v>
      </c>
      <c r="G1083" s="334"/>
      <c r="H1083" s="334"/>
      <c r="I1083" s="346">
        <v>0</v>
      </c>
      <c r="J1083" s="334"/>
      <c r="K1083" s="346"/>
      <c r="L1083" s="346" t="s">
        <v>932</v>
      </c>
      <c r="N1083" s="395"/>
      <c r="O1083" s="395"/>
    </row>
    <row r="1084" hidden="1" spans="1:15">
      <c r="A1084" s="404">
        <v>0</v>
      </c>
      <c r="B1084" s="334" t="e">
        <v>#N/A</v>
      </c>
      <c r="C1084" s="334"/>
      <c r="D1084" s="442">
        <v>0</v>
      </c>
      <c r="E1084" s="434">
        <v>0</v>
      </c>
      <c r="F1084" s="333" t="s">
        <v>9885</v>
      </c>
      <c r="G1084" s="334"/>
      <c r="H1084" s="334"/>
      <c r="I1084" s="346">
        <v>0</v>
      </c>
      <c r="J1084" s="334"/>
      <c r="K1084" s="346"/>
      <c r="L1084" s="346" t="s">
        <v>932</v>
      </c>
      <c r="N1084" s="395"/>
      <c r="O1084" s="395"/>
    </row>
    <row r="1085" hidden="1" spans="1:15">
      <c r="A1085" s="404">
        <v>0</v>
      </c>
      <c r="B1085" s="334" t="e">
        <v>#N/A</v>
      </c>
      <c r="C1085" s="334"/>
      <c r="D1085" s="442">
        <v>0</v>
      </c>
      <c r="E1085" s="434">
        <v>0</v>
      </c>
      <c r="F1085" s="333" t="s">
        <v>9885</v>
      </c>
      <c r="G1085" s="334"/>
      <c r="H1085" s="334"/>
      <c r="I1085" s="346">
        <v>0</v>
      </c>
      <c r="J1085" s="334"/>
      <c r="K1085" s="346"/>
      <c r="L1085" s="346" t="s">
        <v>932</v>
      </c>
      <c r="N1085" s="395"/>
      <c r="O1085" s="395"/>
    </row>
    <row r="1086" hidden="1" spans="1:15">
      <c r="A1086" s="404">
        <v>0</v>
      </c>
      <c r="B1086" s="334" t="e">
        <v>#N/A</v>
      </c>
      <c r="C1086" s="334"/>
      <c r="D1086" s="442">
        <v>0</v>
      </c>
      <c r="E1086" s="434">
        <v>0</v>
      </c>
      <c r="F1086" s="333" t="s">
        <v>9885</v>
      </c>
      <c r="G1086" s="334"/>
      <c r="H1086" s="334"/>
      <c r="I1086" s="346">
        <v>0</v>
      </c>
      <c r="J1086" s="334"/>
      <c r="K1086" s="346"/>
      <c r="L1086" s="346" t="s">
        <v>932</v>
      </c>
      <c r="N1086" s="395"/>
      <c r="O1086" s="395"/>
    </row>
    <row r="1087" hidden="1" spans="1:15">
      <c r="A1087" s="404">
        <v>0</v>
      </c>
      <c r="B1087" s="334" t="e">
        <v>#N/A</v>
      </c>
      <c r="C1087" s="334"/>
      <c r="D1087" s="442">
        <v>0</v>
      </c>
      <c r="E1087" s="434">
        <v>0</v>
      </c>
      <c r="F1087" s="333" t="s">
        <v>9885</v>
      </c>
      <c r="G1087" s="334"/>
      <c r="H1087" s="334"/>
      <c r="I1087" s="346">
        <v>0</v>
      </c>
      <c r="J1087" s="334"/>
      <c r="K1087" s="346"/>
      <c r="L1087" s="346" t="s">
        <v>932</v>
      </c>
      <c r="N1087" s="395"/>
      <c r="O1087" s="395"/>
    </row>
    <row r="1088" hidden="1" spans="1:15">
      <c r="A1088" s="404">
        <v>0</v>
      </c>
      <c r="B1088" s="334" t="e">
        <v>#N/A</v>
      </c>
      <c r="C1088" s="334"/>
      <c r="D1088" s="442">
        <v>0</v>
      </c>
      <c r="E1088" s="434">
        <v>0</v>
      </c>
      <c r="F1088" s="333" t="s">
        <v>9885</v>
      </c>
      <c r="G1088" s="334"/>
      <c r="H1088" s="334"/>
      <c r="I1088" s="346">
        <v>0</v>
      </c>
      <c r="J1088" s="334"/>
      <c r="K1088" s="346"/>
      <c r="L1088" s="346" t="s">
        <v>932</v>
      </c>
      <c r="N1088" s="395"/>
      <c r="O1088" s="395"/>
    </row>
    <row r="1089" hidden="1" spans="1:15">
      <c r="A1089" s="404">
        <v>0</v>
      </c>
      <c r="B1089" s="444" t="e">
        <v>#N/A</v>
      </c>
      <c r="C1089" s="444"/>
      <c r="D1089" s="442">
        <v>0</v>
      </c>
      <c r="E1089" s="434">
        <v>0</v>
      </c>
      <c r="F1089" s="333" t="s">
        <v>9885</v>
      </c>
      <c r="G1089" s="334"/>
      <c r="H1089" s="334"/>
      <c r="I1089" s="346">
        <v>0</v>
      </c>
      <c r="J1089" s="334"/>
      <c r="K1089" s="346"/>
      <c r="L1089" s="346" t="s">
        <v>932</v>
      </c>
      <c r="N1089" s="395"/>
      <c r="O1089" s="395"/>
    </row>
    <row r="1090" hidden="1" spans="1:15">
      <c r="A1090" s="428"/>
      <c r="B1090" s="445"/>
      <c r="C1090" s="445"/>
      <c r="D1090" s="430"/>
      <c r="E1090" s="430"/>
      <c r="F1090" s="430"/>
      <c r="G1090" s="430"/>
      <c r="H1090" s="430"/>
      <c r="I1090" s="430"/>
      <c r="J1090" s="430"/>
      <c r="K1090" s="425" t="s">
        <v>14210</v>
      </c>
      <c r="L1090" s="426">
        <v>0</v>
      </c>
      <c r="N1090" s="395"/>
      <c r="O1090" s="395"/>
    </row>
    <row r="1091" hidden="1" spans="1:15">
      <c r="A1091" s="446" t="s">
        <v>14211</v>
      </c>
      <c r="B1091" s="445"/>
      <c r="C1091" s="445"/>
      <c r="D1091" s="447" t="s">
        <v>55</v>
      </c>
      <c r="E1091" s="445" t="s">
        <v>74</v>
      </c>
      <c r="F1091" s="447" t="s">
        <v>1123</v>
      </c>
      <c r="G1091" s="445"/>
      <c r="H1091" s="447" t="s">
        <v>72</v>
      </c>
      <c r="I1091" s="447" t="s">
        <v>75</v>
      </c>
      <c r="J1091" s="445"/>
      <c r="K1091" s="448"/>
      <c r="L1091" s="449" t="s">
        <v>14194</v>
      </c>
      <c r="N1091" s="395"/>
      <c r="O1091" s="395"/>
    </row>
    <row r="1092" hidden="1" spans="1:15">
      <c r="A1092" s="404">
        <v>0</v>
      </c>
      <c r="B1092" s="433" t="e">
        <v>#N/A</v>
      </c>
      <c r="C1092" s="433"/>
      <c r="D1092" s="442">
        <v>0</v>
      </c>
      <c r="E1092" s="450">
        <v>0</v>
      </c>
      <c r="F1092" s="333" t="s">
        <v>13063</v>
      </c>
      <c r="G1092" s="333" t="s">
        <v>14212</v>
      </c>
      <c r="H1092" s="346">
        <v>0</v>
      </c>
      <c r="I1092" s="346">
        <v>0</v>
      </c>
      <c r="J1092" s="346"/>
      <c r="K1092" s="334"/>
      <c r="L1092" s="346" t="s">
        <v>932</v>
      </c>
      <c r="N1092" s="395"/>
      <c r="O1092" s="395"/>
    </row>
    <row r="1093" hidden="1" spans="1:15">
      <c r="A1093" s="404"/>
      <c r="B1093" s="404"/>
      <c r="C1093" s="334"/>
      <c r="D1093" s="442">
        <v>0</v>
      </c>
      <c r="E1093" s="450">
        <v>0</v>
      </c>
      <c r="F1093" s="333" t="s">
        <v>13063</v>
      </c>
      <c r="G1093" s="333" t="s">
        <v>14213</v>
      </c>
      <c r="H1093" s="346">
        <v>0</v>
      </c>
      <c r="I1093" s="346">
        <v>0</v>
      </c>
      <c r="J1093" s="346"/>
      <c r="K1093" s="334"/>
      <c r="L1093" s="346" t="s">
        <v>932</v>
      </c>
      <c r="N1093" s="395"/>
      <c r="O1093" s="395"/>
    </row>
    <row r="1094" hidden="1" spans="1:15">
      <c r="A1094" s="404"/>
      <c r="B1094" s="404"/>
      <c r="C1094" s="334"/>
      <c r="D1094" s="442">
        <v>0</v>
      </c>
      <c r="E1094" s="450">
        <v>0</v>
      </c>
      <c r="F1094" s="333" t="s">
        <v>13063</v>
      </c>
      <c r="G1094" s="333" t="s">
        <v>14214</v>
      </c>
      <c r="H1094" s="346">
        <v>0</v>
      </c>
      <c r="I1094" s="346">
        <v>0</v>
      </c>
      <c r="J1094" s="346"/>
      <c r="K1094" s="334"/>
      <c r="L1094" s="346" t="s">
        <v>932</v>
      </c>
      <c r="N1094" s="395"/>
      <c r="O1094" s="395"/>
    </row>
    <row r="1095" hidden="1" spans="1:15">
      <c r="A1095" s="404">
        <v>0</v>
      </c>
      <c r="B1095" s="404" t="e">
        <v>#N/A</v>
      </c>
      <c r="C1095" s="404"/>
      <c r="D1095" s="442">
        <v>0</v>
      </c>
      <c r="E1095" s="450">
        <v>0</v>
      </c>
      <c r="F1095" s="333" t="s">
        <v>13063</v>
      </c>
      <c r="G1095" s="333" t="s">
        <v>14212</v>
      </c>
      <c r="H1095" s="346">
        <v>0</v>
      </c>
      <c r="I1095" s="346">
        <v>0</v>
      </c>
      <c r="J1095" s="346"/>
      <c r="K1095" s="334"/>
      <c r="L1095" s="346" t="s">
        <v>932</v>
      </c>
      <c r="N1095" s="395"/>
      <c r="O1095" s="395"/>
    </row>
    <row r="1096" hidden="1" spans="1:15">
      <c r="A1096" s="404"/>
      <c r="B1096" s="404"/>
      <c r="C1096" s="334"/>
      <c r="D1096" s="442">
        <v>0</v>
      </c>
      <c r="E1096" s="450">
        <v>0</v>
      </c>
      <c r="F1096" s="333" t="s">
        <v>13063</v>
      </c>
      <c r="G1096" s="333" t="s">
        <v>14213</v>
      </c>
      <c r="H1096" s="346">
        <v>0</v>
      </c>
      <c r="I1096" s="346">
        <v>0</v>
      </c>
      <c r="J1096" s="346"/>
      <c r="K1096" s="334"/>
      <c r="L1096" s="346" t="s">
        <v>932</v>
      </c>
      <c r="N1096" s="395"/>
      <c r="O1096" s="395"/>
    </row>
    <row r="1097" hidden="1" spans="1:15">
      <c r="A1097" s="404"/>
      <c r="B1097" s="404"/>
      <c r="C1097" s="334"/>
      <c r="D1097" s="442">
        <v>0</v>
      </c>
      <c r="E1097" s="450">
        <v>0</v>
      </c>
      <c r="F1097" s="333" t="s">
        <v>13063</v>
      </c>
      <c r="G1097" s="333" t="s">
        <v>14214</v>
      </c>
      <c r="H1097" s="346">
        <v>0</v>
      </c>
      <c r="I1097" s="346">
        <v>0</v>
      </c>
      <c r="J1097" s="346"/>
      <c r="K1097" s="334"/>
      <c r="L1097" s="346" t="s">
        <v>932</v>
      </c>
      <c r="N1097" s="395"/>
      <c r="O1097" s="395"/>
    </row>
    <row r="1098" hidden="1" spans="1:15">
      <c r="A1098" s="404">
        <v>0</v>
      </c>
      <c r="B1098" s="404" t="e">
        <v>#N/A</v>
      </c>
      <c r="C1098" s="404"/>
      <c r="D1098" s="442">
        <v>0</v>
      </c>
      <c r="E1098" s="450">
        <v>0</v>
      </c>
      <c r="F1098" s="333" t="s">
        <v>13063</v>
      </c>
      <c r="G1098" s="333" t="s">
        <v>14212</v>
      </c>
      <c r="H1098" s="346">
        <v>0</v>
      </c>
      <c r="I1098" s="346">
        <v>0</v>
      </c>
      <c r="J1098" s="346"/>
      <c r="K1098" s="334"/>
      <c r="L1098" s="346" t="s">
        <v>932</v>
      </c>
      <c r="N1098" s="395"/>
      <c r="O1098" s="395"/>
    </row>
    <row r="1099" hidden="1" spans="1:15">
      <c r="A1099" s="404"/>
      <c r="B1099" s="404"/>
      <c r="C1099" s="334"/>
      <c r="D1099" s="442">
        <v>0</v>
      </c>
      <c r="E1099" s="450">
        <v>0</v>
      </c>
      <c r="F1099" s="333" t="s">
        <v>13063</v>
      </c>
      <c r="G1099" s="333" t="s">
        <v>14213</v>
      </c>
      <c r="H1099" s="346">
        <v>0</v>
      </c>
      <c r="I1099" s="346">
        <v>0</v>
      </c>
      <c r="J1099" s="346"/>
      <c r="K1099" s="334"/>
      <c r="L1099" s="346" t="s">
        <v>932</v>
      </c>
      <c r="N1099" s="395"/>
      <c r="O1099" s="395"/>
    </row>
    <row r="1100" hidden="1" spans="1:15">
      <c r="A1100" s="404"/>
      <c r="B1100" s="404"/>
      <c r="C1100" s="334"/>
      <c r="D1100" s="442">
        <v>0</v>
      </c>
      <c r="E1100" s="450">
        <v>0</v>
      </c>
      <c r="F1100" s="333" t="s">
        <v>13063</v>
      </c>
      <c r="G1100" s="333" t="s">
        <v>14214</v>
      </c>
      <c r="H1100" s="346">
        <v>0</v>
      </c>
      <c r="I1100" s="346">
        <v>0</v>
      </c>
      <c r="J1100" s="346"/>
      <c r="K1100" s="334"/>
      <c r="L1100" s="346" t="s">
        <v>932</v>
      </c>
      <c r="N1100" s="395"/>
      <c r="O1100" s="395"/>
    </row>
    <row r="1101" hidden="1" spans="1:15">
      <c r="A1101" s="404">
        <v>0</v>
      </c>
      <c r="B1101" s="404" t="e">
        <v>#N/A</v>
      </c>
      <c r="C1101" s="404"/>
      <c r="D1101" s="442">
        <v>0</v>
      </c>
      <c r="E1101" s="450">
        <v>0</v>
      </c>
      <c r="F1101" s="333" t="s">
        <v>13063</v>
      </c>
      <c r="G1101" s="333" t="s">
        <v>14212</v>
      </c>
      <c r="H1101" s="346">
        <v>0</v>
      </c>
      <c r="I1101" s="346">
        <v>0</v>
      </c>
      <c r="J1101" s="346"/>
      <c r="K1101" s="334"/>
      <c r="L1101" s="346" t="s">
        <v>932</v>
      </c>
      <c r="N1101" s="395"/>
      <c r="O1101" s="395"/>
    </row>
    <row r="1102" hidden="1" spans="1:15">
      <c r="A1102" s="404"/>
      <c r="B1102" s="404"/>
      <c r="C1102" s="334"/>
      <c r="D1102" s="442">
        <v>0</v>
      </c>
      <c r="E1102" s="450">
        <v>0</v>
      </c>
      <c r="F1102" s="333" t="s">
        <v>13063</v>
      </c>
      <c r="G1102" s="333" t="s">
        <v>14213</v>
      </c>
      <c r="H1102" s="346">
        <v>0</v>
      </c>
      <c r="I1102" s="346">
        <v>0</v>
      </c>
      <c r="J1102" s="346"/>
      <c r="K1102" s="334"/>
      <c r="L1102" s="346" t="s">
        <v>932</v>
      </c>
      <c r="N1102" s="395"/>
      <c r="O1102" s="395"/>
    </row>
    <row r="1103" hidden="1" spans="1:15">
      <c r="A1103" s="404"/>
      <c r="B1103" s="404"/>
      <c r="C1103" s="334"/>
      <c r="D1103" s="442">
        <v>0</v>
      </c>
      <c r="E1103" s="450">
        <v>0</v>
      </c>
      <c r="F1103" s="333" t="s">
        <v>13063</v>
      </c>
      <c r="G1103" s="333" t="s">
        <v>14214</v>
      </c>
      <c r="H1103" s="346">
        <v>0</v>
      </c>
      <c r="I1103" s="346">
        <v>0</v>
      </c>
      <c r="J1103" s="346"/>
      <c r="K1103" s="334"/>
      <c r="L1103" s="346" t="s">
        <v>932</v>
      </c>
      <c r="N1103" s="395"/>
      <c r="O1103" s="395"/>
    </row>
    <row r="1104" hidden="1" spans="1:15">
      <c r="A1104" s="404">
        <v>0</v>
      </c>
      <c r="B1104" s="404" t="e">
        <v>#N/A</v>
      </c>
      <c r="C1104" s="404"/>
      <c r="D1104" s="442">
        <v>0</v>
      </c>
      <c r="E1104" s="450">
        <v>0</v>
      </c>
      <c r="F1104" s="333" t="s">
        <v>13063</v>
      </c>
      <c r="G1104" s="333" t="s">
        <v>14212</v>
      </c>
      <c r="H1104" s="346">
        <v>0</v>
      </c>
      <c r="I1104" s="346">
        <v>0</v>
      </c>
      <c r="J1104" s="346"/>
      <c r="K1104" s="334"/>
      <c r="L1104" s="346" t="s">
        <v>932</v>
      </c>
      <c r="N1104" s="395"/>
      <c r="O1104" s="395"/>
    </row>
    <row r="1105" hidden="1" spans="1:15">
      <c r="A1105" s="404"/>
      <c r="B1105" s="404"/>
      <c r="C1105" s="334"/>
      <c r="D1105" s="442">
        <v>0</v>
      </c>
      <c r="E1105" s="450">
        <v>0</v>
      </c>
      <c r="F1105" s="333" t="s">
        <v>13063</v>
      </c>
      <c r="G1105" s="333" t="s">
        <v>14213</v>
      </c>
      <c r="H1105" s="346">
        <v>0</v>
      </c>
      <c r="I1105" s="346">
        <v>0</v>
      </c>
      <c r="J1105" s="346"/>
      <c r="K1105" s="334"/>
      <c r="L1105" s="346" t="s">
        <v>932</v>
      </c>
      <c r="N1105" s="395"/>
      <c r="O1105" s="395"/>
    </row>
    <row r="1106" hidden="1" spans="1:15">
      <c r="A1106" s="404"/>
      <c r="B1106" s="404"/>
      <c r="C1106" s="334"/>
      <c r="D1106" s="442">
        <v>0</v>
      </c>
      <c r="E1106" s="450">
        <v>0</v>
      </c>
      <c r="F1106" s="333" t="s">
        <v>13063</v>
      </c>
      <c r="G1106" s="333" t="s">
        <v>14214</v>
      </c>
      <c r="H1106" s="346">
        <v>0</v>
      </c>
      <c r="I1106" s="346">
        <v>0</v>
      </c>
      <c r="J1106" s="346"/>
      <c r="K1106" s="334"/>
      <c r="L1106" s="346" t="s">
        <v>932</v>
      </c>
      <c r="N1106" s="395"/>
      <c r="O1106" s="395"/>
    </row>
    <row r="1107" hidden="1" spans="1:15">
      <c r="A1107" s="401">
        <v>0</v>
      </c>
      <c r="B1107" s="401" t="e">
        <v>#N/A</v>
      </c>
      <c r="C1107" s="401"/>
      <c r="D1107" s="442">
        <v>0</v>
      </c>
      <c r="E1107" s="450">
        <v>0</v>
      </c>
      <c r="F1107" s="439" t="s">
        <v>13063</v>
      </c>
      <c r="G1107" s="439" t="s">
        <v>14212</v>
      </c>
      <c r="H1107" s="346">
        <v>0</v>
      </c>
      <c r="I1107" s="346">
        <v>0</v>
      </c>
      <c r="J1107" s="395"/>
      <c r="L1107" s="346" t="s">
        <v>932</v>
      </c>
      <c r="N1107" s="395"/>
      <c r="O1107" s="395"/>
    </row>
    <row r="1108" hidden="1" spans="1:15">
      <c r="A1108" s="401"/>
      <c r="B1108" s="401"/>
      <c r="D1108" s="442">
        <v>0</v>
      </c>
      <c r="E1108" s="450">
        <v>0</v>
      </c>
      <c r="F1108" s="439" t="s">
        <v>13063</v>
      </c>
      <c r="G1108" s="439" t="s">
        <v>14213</v>
      </c>
      <c r="H1108" s="346">
        <v>0</v>
      </c>
      <c r="I1108" s="346">
        <v>0</v>
      </c>
      <c r="J1108" s="395"/>
      <c r="L1108" s="346" t="s">
        <v>932</v>
      </c>
      <c r="N1108" s="395"/>
      <c r="O1108" s="395"/>
    </row>
    <row r="1109" hidden="1" spans="1:15">
      <c r="A1109" s="401"/>
      <c r="B1109" s="401"/>
      <c r="D1109" s="442">
        <v>0</v>
      </c>
      <c r="E1109" s="450">
        <v>0</v>
      </c>
      <c r="F1109" s="439" t="s">
        <v>13063</v>
      </c>
      <c r="G1109" s="439" t="s">
        <v>14214</v>
      </c>
      <c r="H1109" s="346">
        <v>0</v>
      </c>
      <c r="I1109" s="346">
        <v>0</v>
      </c>
      <c r="J1109" s="395"/>
      <c r="L1109" s="346" t="s">
        <v>932</v>
      </c>
      <c r="N1109" s="395"/>
      <c r="O1109" s="395"/>
    </row>
    <row r="1110" hidden="1" spans="1:15">
      <c r="A1110" s="401">
        <v>0</v>
      </c>
      <c r="B1110" s="401" t="e">
        <v>#N/A</v>
      </c>
      <c r="C1110" s="401"/>
      <c r="D1110" s="442">
        <v>0</v>
      </c>
      <c r="E1110" s="450">
        <v>0</v>
      </c>
      <c r="F1110" s="439" t="s">
        <v>13063</v>
      </c>
      <c r="G1110" s="439" t="s">
        <v>14212</v>
      </c>
      <c r="H1110" s="346">
        <v>0</v>
      </c>
      <c r="I1110" s="346">
        <v>0</v>
      </c>
      <c r="J1110" s="395"/>
      <c r="L1110" s="346" t="s">
        <v>932</v>
      </c>
      <c r="N1110" s="395"/>
      <c r="O1110" s="395"/>
    </row>
    <row r="1111" hidden="1" spans="1:15">
      <c r="A1111" s="401"/>
      <c r="B1111" s="401"/>
      <c r="D1111" s="442">
        <v>0</v>
      </c>
      <c r="E1111" s="450">
        <v>0</v>
      </c>
      <c r="F1111" s="439" t="s">
        <v>13063</v>
      </c>
      <c r="G1111" s="439" t="s">
        <v>14213</v>
      </c>
      <c r="H1111" s="346">
        <v>0</v>
      </c>
      <c r="I1111" s="346">
        <v>0</v>
      </c>
      <c r="J1111" s="395"/>
      <c r="L1111" s="346" t="s">
        <v>932</v>
      </c>
      <c r="N1111" s="395"/>
      <c r="O1111" s="395"/>
    </row>
    <row r="1112" hidden="1" spans="1:15">
      <c r="A1112" s="401"/>
      <c r="B1112" s="401"/>
      <c r="D1112" s="442">
        <v>0</v>
      </c>
      <c r="E1112" s="450">
        <v>0</v>
      </c>
      <c r="F1112" s="439" t="s">
        <v>13063</v>
      </c>
      <c r="G1112" s="439" t="s">
        <v>14214</v>
      </c>
      <c r="H1112" s="346">
        <v>0</v>
      </c>
      <c r="I1112" s="346">
        <v>0</v>
      </c>
      <c r="J1112" s="395"/>
      <c r="L1112" s="346" t="s">
        <v>932</v>
      </c>
      <c r="N1112" s="395"/>
      <c r="O1112" s="395"/>
    </row>
    <row r="1113" hidden="1" spans="1:15">
      <c r="A1113" s="401">
        <v>0</v>
      </c>
      <c r="B1113" s="401" t="e">
        <v>#N/A</v>
      </c>
      <c r="C1113" s="401"/>
      <c r="D1113" s="442">
        <v>0</v>
      </c>
      <c r="E1113" s="450">
        <v>0</v>
      </c>
      <c r="F1113" s="439" t="s">
        <v>13063</v>
      </c>
      <c r="G1113" s="439" t="s">
        <v>14212</v>
      </c>
      <c r="H1113" s="346">
        <v>0</v>
      </c>
      <c r="I1113" s="346">
        <v>0</v>
      </c>
      <c r="J1113" s="395"/>
      <c r="L1113" s="346" t="s">
        <v>932</v>
      </c>
      <c r="N1113" s="395"/>
      <c r="O1113" s="395"/>
    </row>
    <row r="1114" hidden="1" spans="1:15">
      <c r="A1114" s="401"/>
      <c r="B1114" s="401"/>
      <c r="D1114" s="442">
        <v>0</v>
      </c>
      <c r="E1114" s="450">
        <v>0</v>
      </c>
      <c r="F1114" s="439" t="s">
        <v>13063</v>
      </c>
      <c r="G1114" s="439" t="s">
        <v>14213</v>
      </c>
      <c r="H1114" s="346">
        <v>0</v>
      </c>
      <c r="I1114" s="346">
        <v>0</v>
      </c>
      <c r="J1114" s="395"/>
      <c r="L1114" s="346" t="s">
        <v>932</v>
      </c>
      <c r="N1114" s="395"/>
      <c r="O1114" s="395"/>
    </row>
    <row r="1115" hidden="1" spans="1:15">
      <c r="A1115" s="401"/>
      <c r="B1115" s="401"/>
      <c r="D1115" s="442">
        <v>0</v>
      </c>
      <c r="E1115" s="450">
        <v>0</v>
      </c>
      <c r="F1115" s="439" t="s">
        <v>13063</v>
      </c>
      <c r="G1115" s="439" t="s">
        <v>14214</v>
      </c>
      <c r="H1115" s="346">
        <v>0</v>
      </c>
      <c r="I1115" s="346">
        <v>0</v>
      </c>
      <c r="J1115" s="395"/>
      <c r="L1115" s="346" t="s">
        <v>932</v>
      </c>
      <c r="N1115" s="395"/>
      <c r="O1115" s="395"/>
    </row>
    <row r="1116" hidden="1" spans="1:15">
      <c r="A1116" s="421"/>
      <c r="B1116" s="422"/>
      <c r="C1116" s="422"/>
      <c r="D1116" s="422"/>
      <c r="E1116" s="422"/>
      <c r="F1116" s="422"/>
      <c r="G1116" s="422"/>
      <c r="H1116" s="422"/>
      <c r="I1116" s="430"/>
      <c r="J1116" s="430"/>
      <c r="K1116" s="425" t="s">
        <v>14215</v>
      </c>
      <c r="L1116" s="426">
        <v>0</v>
      </c>
      <c r="N1116" s="395"/>
      <c r="O1116" s="395"/>
    </row>
    <row r="1117" spans="1:15">
      <c r="A1117" s="451"/>
      <c r="B1117" s="452"/>
      <c r="C1117" s="452"/>
      <c r="D1117" s="452"/>
      <c r="E1117" s="452"/>
      <c r="F1117" s="452"/>
      <c r="G1117" s="452"/>
      <c r="H1117" s="452"/>
      <c r="I1117" s="453"/>
      <c r="J1117" s="453"/>
      <c r="K1117" s="454" t="s">
        <v>14216</v>
      </c>
      <c r="L1117" s="455">
        <v>35.43</v>
      </c>
      <c r="N1117" s="395"/>
      <c r="O1117" s="395"/>
    </row>
    <row r="1119" spans="1:15">
      <c r="A1119" s="391" t="s">
        <v>14172</v>
      </c>
      <c r="B1119" s="457"/>
      <c r="C1119" s="457"/>
      <c r="D1119" s="457"/>
      <c r="E1119" s="457"/>
      <c r="F1119" s="457"/>
      <c r="G1119" s="393"/>
      <c r="H1119" s="393"/>
      <c r="I1119" s="393"/>
      <c r="J1119" s="393"/>
      <c r="K1119" s="393"/>
      <c r="L1119" s="394"/>
      <c r="N1119" s="395"/>
      <c r="O1119" s="395"/>
    </row>
    <row r="1120" spans="1:15">
      <c r="A1120" s="396">
        <v>5915015</v>
      </c>
      <c r="B1120" s="397" t="s">
        <v>12952</v>
      </c>
      <c r="C1120" s="397"/>
      <c r="D1120" s="397"/>
      <c r="E1120" s="397"/>
      <c r="F1120" s="397"/>
      <c r="G1120" s="397"/>
      <c r="H1120" s="397" t="s">
        <v>9885</v>
      </c>
      <c r="I1120" s="398">
        <v>46023</v>
      </c>
      <c r="J1120" s="397"/>
      <c r="K1120" s="399" t="s">
        <v>14173</v>
      </c>
      <c r="L1120" s="400">
        <v>0</v>
      </c>
      <c r="N1120" s="395"/>
      <c r="O1120" s="395"/>
    </row>
    <row r="1121" spans="1:15">
      <c r="A1121" s="401"/>
      <c r="H1121" s="402" t="s">
        <v>14174</v>
      </c>
      <c r="I1121" s="434">
        <v>20.8</v>
      </c>
      <c r="J1121" s="404" t="s">
        <v>9885</v>
      </c>
      <c r="K1121" s="402" t="s">
        <v>14175</v>
      </c>
      <c r="L1121" s="456">
        <v>0.04722</v>
      </c>
      <c r="N1121" s="395"/>
      <c r="O1121" s="395"/>
    </row>
    <row r="1122" spans="1:15">
      <c r="A1122" s="405"/>
      <c r="B1122" s="405"/>
      <c r="C1122" s="405"/>
      <c r="D1122" s="406"/>
      <c r="E1122" s="406"/>
      <c r="F1122" s="406"/>
      <c r="G1122" s="407" t="s">
        <v>14176</v>
      </c>
      <c r="H1122" s="407"/>
      <c r="I1122" s="407" t="s">
        <v>14177</v>
      </c>
      <c r="J1122" s="407"/>
      <c r="K1122" s="405"/>
      <c r="L1122" s="409" t="s">
        <v>14178</v>
      </c>
      <c r="N1122" s="395"/>
      <c r="O1122" s="395"/>
    </row>
    <row r="1123" spans="1:15">
      <c r="A1123" s="410" t="s">
        <v>14179</v>
      </c>
      <c r="B1123" s="411"/>
      <c r="C1123" s="412"/>
      <c r="D1123" s="412"/>
      <c r="E1123" s="413" t="s">
        <v>74</v>
      </c>
      <c r="F1123" s="412"/>
      <c r="G1123" s="413" t="s">
        <v>14180</v>
      </c>
      <c r="H1123" s="413" t="s">
        <v>14181</v>
      </c>
      <c r="I1123" s="413" t="s">
        <v>14182</v>
      </c>
      <c r="J1123" s="413" t="s">
        <v>14183</v>
      </c>
      <c r="K1123" s="411"/>
      <c r="L1123" s="414" t="s">
        <v>14184</v>
      </c>
      <c r="N1123" s="395"/>
      <c r="O1123" s="395"/>
    </row>
    <row r="1124" spans="1:15">
      <c r="A1124" s="404" t="s">
        <v>1108</v>
      </c>
      <c r="B1124" s="415" t="s">
        <v>14321</v>
      </c>
      <c r="C1124" s="415"/>
      <c r="E1124" s="434">
        <v>1</v>
      </c>
      <c r="F1124" s="334"/>
      <c r="G1124" s="346">
        <v>1</v>
      </c>
      <c r="H1124" s="417">
        <v>0</v>
      </c>
      <c r="I1124" s="395">
        <v>403.8049</v>
      </c>
      <c r="J1124" s="418">
        <v>125.203</v>
      </c>
      <c r="K1124" s="402"/>
      <c r="L1124" s="395">
        <v>403.8049</v>
      </c>
      <c r="N1124" s="395">
        <v>125.203</v>
      </c>
      <c r="O1124" s="395"/>
    </row>
    <row r="1125" hidden="1" spans="1:15">
      <c r="A1125" s="404">
        <v>0</v>
      </c>
      <c r="B1125" s="404" t="e">
        <v>#N/A</v>
      </c>
      <c r="C1125" s="404"/>
      <c r="D1125" s="334"/>
      <c r="E1125" s="434">
        <v>0</v>
      </c>
      <c r="F1125" s="334"/>
      <c r="G1125" s="346">
        <v>0</v>
      </c>
      <c r="H1125" s="417">
        <v>1</v>
      </c>
      <c r="I1125" s="346" t="e">
        <v>#N/A</v>
      </c>
      <c r="J1125" s="419" t="e">
        <v>#N/A</v>
      </c>
      <c r="K1125" s="420"/>
      <c r="L1125" s="395" t="s">
        <v>932</v>
      </c>
      <c r="N1125" s="395" t="s">
        <v>932</v>
      </c>
      <c r="O1125" s="395"/>
    </row>
    <row r="1126" hidden="1" spans="1:15">
      <c r="A1126" s="404">
        <v>0</v>
      </c>
      <c r="B1126" s="404" t="e">
        <v>#N/A</v>
      </c>
      <c r="C1126" s="404"/>
      <c r="D1126" s="334"/>
      <c r="E1126" s="416">
        <v>0</v>
      </c>
      <c r="F1126" s="334"/>
      <c r="G1126" s="346">
        <v>0</v>
      </c>
      <c r="H1126" s="417">
        <v>1</v>
      </c>
      <c r="I1126" s="346" t="e">
        <v>#N/A</v>
      </c>
      <c r="J1126" s="419" t="e">
        <v>#N/A</v>
      </c>
      <c r="K1126" s="420"/>
      <c r="L1126" s="395" t="s">
        <v>932</v>
      </c>
      <c r="N1126" s="395" t="s">
        <v>932</v>
      </c>
      <c r="O1126" s="395"/>
    </row>
    <row r="1127" hidden="1" spans="1:15">
      <c r="A1127" s="404">
        <v>0</v>
      </c>
      <c r="B1127" s="404" t="e">
        <v>#N/A</v>
      </c>
      <c r="C1127" s="404"/>
      <c r="D1127" s="334"/>
      <c r="E1127" s="416">
        <v>0</v>
      </c>
      <c r="F1127" s="334"/>
      <c r="G1127" s="346">
        <v>0</v>
      </c>
      <c r="H1127" s="417">
        <v>1</v>
      </c>
      <c r="I1127" s="346" t="e">
        <v>#N/A</v>
      </c>
      <c r="J1127" s="419" t="e">
        <v>#N/A</v>
      </c>
      <c r="K1127" s="420"/>
      <c r="L1127" s="395" t="s">
        <v>932</v>
      </c>
      <c r="N1127" s="395" t="s">
        <v>932</v>
      </c>
      <c r="O1127" s="395"/>
    </row>
    <row r="1128" hidden="1" spans="1:15">
      <c r="A1128" s="404">
        <v>0</v>
      </c>
      <c r="B1128" s="404" t="e">
        <v>#N/A</v>
      </c>
      <c r="C1128" s="404"/>
      <c r="D1128" s="334"/>
      <c r="E1128" s="416">
        <v>0</v>
      </c>
      <c r="F1128" s="334"/>
      <c r="G1128" s="346">
        <v>0</v>
      </c>
      <c r="H1128" s="417">
        <v>1</v>
      </c>
      <c r="I1128" s="346" t="e">
        <v>#N/A</v>
      </c>
      <c r="J1128" s="419" t="e">
        <v>#N/A</v>
      </c>
      <c r="K1128" s="420"/>
      <c r="L1128" s="395" t="s">
        <v>932</v>
      </c>
      <c r="N1128" s="395" t="s">
        <v>932</v>
      </c>
      <c r="O1128" s="395"/>
    </row>
    <row r="1129" hidden="1" spans="1:15">
      <c r="A1129" s="404">
        <v>0</v>
      </c>
      <c r="B1129" s="404" t="e">
        <v>#N/A</v>
      </c>
      <c r="C1129" s="404"/>
      <c r="D1129" s="334"/>
      <c r="E1129" s="416">
        <v>0</v>
      </c>
      <c r="F1129" s="334"/>
      <c r="G1129" s="346">
        <v>0</v>
      </c>
      <c r="H1129" s="417">
        <v>1</v>
      </c>
      <c r="I1129" s="346" t="e">
        <v>#N/A</v>
      </c>
      <c r="J1129" s="419" t="e">
        <v>#N/A</v>
      </c>
      <c r="K1129" s="420"/>
      <c r="L1129" s="395" t="s">
        <v>932</v>
      </c>
      <c r="N1129" s="395" t="s">
        <v>932</v>
      </c>
      <c r="O1129" s="395"/>
    </row>
    <row r="1130" hidden="1" spans="1:15">
      <c r="A1130" s="404">
        <v>0</v>
      </c>
      <c r="B1130" s="404" t="e">
        <v>#N/A</v>
      </c>
      <c r="C1130" s="404"/>
      <c r="D1130" s="334"/>
      <c r="E1130" s="416">
        <v>0</v>
      </c>
      <c r="F1130" s="334"/>
      <c r="G1130" s="346">
        <v>0</v>
      </c>
      <c r="H1130" s="417">
        <v>1</v>
      </c>
      <c r="I1130" s="346" t="e">
        <v>#N/A</v>
      </c>
      <c r="J1130" s="419" t="e">
        <v>#N/A</v>
      </c>
      <c r="K1130" s="420"/>
      <c r="L1130" s="395" t="s">
        <v>932</v>
      </c>
      <c r="N1130" s="395" t="s">
        <v>932</v>
      </c>
      <c r="O1130" s="395"/>
    </row>
    <row r="1131" hidden="1" spans="1:15">
      <c r="A1131" s="404">
        <v>0</v>
      </c>
      <c r="B1131" s="436" t="e">
        <v>#N/A</v>
      </c>
      <c r="C1131" s="436"/>
      <c r="D1131" s="334"/>
      <c r="E1131" s="416">
        <v>0</v>
      </c>
      <c r="F1131" s="334"/>
      <c r="G1131" s="346">
        <v>0</v>
      </c>
      <c r="H1131" s="417">
        <v>1</v>
      </c>
      <c r="I1131" s="346" t="e">
        <v>#N/A</v>
      </c>
      <c r="J1131" s="419" t="e">
        <v>#N/A</v>
      </c>
      <c r="K1131" s="420"/>
      <c r="L1131" s="395" t="s">
        <v>932</v>
      </c>
      <c r="N1131" s="395" t="s">
        <v>932</v>
      </c>
      <c r="O1131" s="395"/>
    </row>
    <row r="1132" spans="1:15">
      <c r="A1132" s="421"/>
      <c r="B1132" s="422"/>
      <c r="C1132" s="422"/>
      <c r="D1132" s="422"/>
      <c r="E1132" s="423"/>
      <c r="F1132" s="424"/>
      <c r="G1132" s="422"/>
      <c r="H1132" s="422"/>
      <c r="I1132" s="422"/>
      <c r="J1132" s="422"/>
      <c r="K1132" s="425" t="s">
        <v>14185</v>
      </c>
      <c r="L1132" s="426">
        <v>403.8049</v>
      </c>
      <c r="N1132" s="427">
        <v>125.203</v>
      </c>
      <c r="O1132" s="395"/>
    </row>
    <row r="1133" spans="1:15">
      <c r="A1133" s="428" t="s">
        <v>14186</v>
      </c>
      <c r="B1133" s="429"/>
      <c r="C1133" s="429"/>
      <c r="D1133" s="430"/>
      <c r="E1133" s="431" t="s">
        <v>74</v>
      </c>
      <c r="F1133" s="431" t="s">
        <v>1123</v>
      </c>
      <c r="G1133" s="430"/>
      <c r="H1133" s="422"/>
      <c r="I1133" s="431" t="s">
        <v>14177</v>
      </c>
      <c r="J1133" s="430"/>
      <c r="K1133" s="430"/>
      <c r="L1133" s="432" t="s">
        <v>14187</v>
      </c>
      <c r="N1133" s="395"/>
      <c r="O1133" s="395"/>
    </row>
    <row r="1134" spans="1:15">
      <c r="A1134" s="404" t="s">
        <v>935</v>
      </c>
      <c r="B1134" s="433" t="s">
        <v>936</v>
      </c>
      <c r="C1134" s="433"/>
      <c r="D1134" s="334"/>
      <c r="E1134" s="434">
        <v>2</v>
      </c>
      <c r="F1134" s="333" t="s">
        <v>104</v>
      </c>
      <c r="G1134" s="334"/>
      <c r="H1134" s="334"/>
      <c r="I1134" s="435">
        <v>23.6025</v>
      </c>
      <c r="J1134" s="334"/>
      <c r="K1134" s="334"/>
      <c r="L1134" s="346">
        <v>47.205</v>
      </c>
      <c r="N1134" s="395">
        <v>47.205</v>
      </c>
      <c r="O1134" s="395"/>
    </row>
    <row r="1135" hidden="1" spans="1:15">
      <c r="A1135" s="404">
        <v>0</v>
      </c>
      <c r="B1135" s="404" t="e">
        <v>#N/A</v>
      </c>
      <c r="C1135" s="404"/>
      <c r="D1135" s="334"/>
      <c r="E1135" s="434">
        <v>0</v>
      </c>
      <c r="F1135" s="333" t="s">
        <v>104</v>
      </c>
      <c r="G1135" s="334"/>
      <c r="H1135" s="334"/>
      <c r="I1135" s="435" t="e">
        <v>#N/A</v>
      </c>
      <c r="J1135" s="334"/>
      <c r="K1135" s="334"/>
      <c r="L1135" s="346" t="s">
        <v>932</v>
      </c>
      <c r="N1135" s="395" t="s">
        <v>932</v>
      </c>
      <c r="O1135" s="395"/>
    </row>
    <row r="1136" hidden="1" spans="1:15">
      <c r="A1136" s="404">
        <v>0</v>
      </c>
      <c r="B1136" s="404" t="e">
        <v>#N/A</v>
      </c>
      <c r="C1136" s="404"/>
      <c r="D1136" s="334"/>
      <c r="E1136" s="434">
        <v>0</v>
      </c>
      <c r="F1136" s="333" t="s">
        <v>104</v>
      </c>
      <c r="G1136" s="334"/>
      <c r="H1136" s="334"/>
      <c r="I1136" s="435" t="e">
        <v>#N/A</v>
      </c>
      <c r="J1136" s="334"/>
      <c r="K1136" s="334"/>
      <c r="L1136" s="346" t="s">
        <v>932</v>
      </c>
      <c r="N1136" s="395" t="s">
        <v>932</v>
      </c>
      <c r="O1136" s="395"/>
    </row>
    <row r="1137" hidden="1" spans="1:15">
      <c r="A1137" s="404">
        <v>0</v>
      </c>
      <c r="B1137" s="404" t="e">
        <v>#N/A</v>
      </c>
      <c r="C1137" s="404"/>
      <c r="D1137" s="334"/>
      <c r="E1137" s="434">
        <v>0</v>
      </c>
      <c r="F1137" s="333" t="s">
        <v>104</v>
      </c>
      <c r="G1137" s="334"/>
      <c r="H1137" s="334"/>
      <c r="I1137" s="435" t="e">
        <v>#N/A</v>
      </c>
      <c r="J1137" s="334"/>
      <c r="K1137" s="334"/>
      <c r="L1137" s="346" t="s">
        <v>932</v>
      </c>
      <c r="N1137" s="395" t="s">
        <v>932</v>
      </c>
      <c r="O1137" s="395"/>
    </row>
    <row r="1138" hidden="1" spans="1:15">
      <c r="A1138" s="404">
        <v>0</v>
      </c>
      <c r="B1138" s="404" t="e">
        <v>#N/A</v>
      </c>
      <c r="C1138" s="404"/>
      <c r="D1138" s="334"/>
      <c r="E1138" s="434">
        <v>0</v>
      </c>
      <c r="F1138" s="333" t="s">
        <v>104</v>
      </c>
      <c r="G1138" s="334"/>
      <c r="H1138" s="334"/>
      <c r="I1138" s="435" t="e">
        <v>#N/A</v>
      </c>
      <c r="J1138" s="334"/>
      <c r="K1138" s="334"/>
      <c r="L1138" s="346" t="s">
        <v>932</v>
      </c>
      <c r="N1138" s="395" t="s">
        <v>932</v>
      </c>
      <c r="O1138" s="395"/>
    </row>
    <row r="1139" hidden="1" spans="1:15">
      <c r="A1139" s="404">
        <v>0</v>
      </c>
      <c r="B1139" s="404" t="e">
        <v>#N/A</v>
      </c>
      <c r="C1139" s="404"/>
      <c r="D1139" s="334"/>
      <c r="E1139" s="434">
        <v>0</v>
      </c>
      <c r="F1139" s="333" t="s">
        <v>104</v>
      </c>
      <c r="G1139" s="334"/>
      <c r="H1139" s="334"/>
      <c r="I1139" s="435" t="e">
        <v>#N/A</v>
      </c>
      <c r="J1139" s="334"/>
      <c r="K1139" s="334"/>
      <c r="L1139" s="346" t="s">
        <v>932</v>
      </c>
      <c r="N1139" s="395" t="s">
        <v>932</v>
      </c>
      <c r="O1139" s="395"/>
    </row>
    <row r="1140" hidden="1" spans="1:15">
      <c r="A1140" s="404">
        <v>0</v>
      </c>
      <c r="B1140" s="404" t="e">
        <v>#N/A</v>
      </c>
      <c r="C1140" s="404"/>
      <c r="D1140" s="334"/>
      <c r="E1140" s="434">
        <v>0</v>
      </c>
      <c r="F1140" s="333" t="s">
        <v>104</v>
      </c>
      <c r="G1140" s="334"/>
      <c r="H1140" s="334"/>
      <c r="I1140" s="435" t="e">
        <v>#N/A</v>
      </c>
      <c r="J1140" s="334"/>
      <c r="K1140" s="334"/>
      <c r="L1140" s="346" t="s">
        <v>932</v>
      </c>
      <c r="N1140" s="395" t="s">
        <v>932</v>
      </c>
      <c r="O1140" s="395"/>
    </row>
    <row r="1141" hidden="1" spans="1:15">
      <c r="A1141" s="404">
        <v>0</v>
      </c>
      <c r="B1141" s="436" t="e">
        <v>#N/A</v>
      </c>
      <c r="C1141" s="436"/>
      <c r="D1141" s="334"/>
      <c r="E1141" s="434">
        <v>0</v>
      </c>
      <c r="F1141" s="333" t="s">
        <v>104</v>
      </c>
      <c r="G1141" s="334"/>
      <c r="H1141" s="334"/>
      <c r="I1141" s="435" t="e">
        <v>#N/A</v>
      </c>
      <c r="J1141" s="334"/>
      <c r="K1141" s="334"/>
      <c r="L1141" s="346" t="s">
        <v>932</v>
      </c>
      <c r="N1141" s="395" t="s">
        <v>932</v>
      </c>
      <c r="O1141" s="395"/>
    </row>
    <row r="1142" spans="1:15">
      <c r="A1142" s="421"/>
      <c r="B1142" s="62"/>
      <c r="C1142" s="62"/>
      <c r="D1142" s="422"/>
      <c r="E1142" s="423"/>
      <c r="F1142" s="424"/>
      <c r="G1142" s="422"/>
      <c r="H1142" s="422"/>
      <c r="I1142" s="422"/>
      <c r="J1142" s="422"/>
      <c r="K1142" s="425" t="s">
        <v>14188</v>
      </c>
      <c r="L1142" s="426">
        <v>47.205</v>
      </c>
      <c r="N1142" s="427">
        <v>47.205</v>
      </c>
      <c r="O1142" s="395"/>
    </row>
    <row r="1143" spans="1:15">
      <c r="I1143" s="437"/>
      <c r="K1143" s="383" t="s">
        <v>14189</v>
      </c>
      <c r="L1143" s="427">
        <v>451.0099</v>
      </c>
      <c r="N1143" s="395">
        <v>172.408</v>
      </c>
      <c r="O1143" s="395"/>
    </row>
    <row r="1144" spans="1:15">
      <c r="K1144" s="383" t="s">
        <v>14190</v>
      </c>
      <c r="L1144" s="427">
        <v>21.6831682692308</v>
      </c>
      <c r="N1144" s="395">
        <v>8.28884615384615</v>
      </c>
      <c r="O1144" s="395">
        <v>0.391399315384615</v>
      </c>
    </row>
    <row r="1145" spans="1:15">
      <c r="K1145" s="383" t="s">
        <v>14191</v>
      </c>
      <c r="L1145" s="427">
        <v>0.391399315384615</v>
      </c>
      <c r="N1145" s="395"/>
      <c r="O1145" s="395"/>
    </row>
    <row r="1146" spans="1:15">
      <c r="K1146" s="383" t="s">
        <v>14192</v>
      </c>
      <c r="L1146" s="395">
        <v>0</v>
      </c>
      <c r="N1146" s="395"/>
      <c r="O1146" s="395"/>
    </row>
    <row r="1147" hidden="1" spans="1:15">
      <c r="A1147" s="428" t="s">
        <v>14193</v>
      </c>
      <c r="B1147" s="430"/>
      <c r="C1147" s="430"/>
      <c r="D1147" s="430"/>
      <c r="E1147" s="431" t="s">
        <v>74</v>
      </c>
      <c r="F1147" s="431" t="s">
        <v>1123</v>
      </c>
      <c r="G1147" s="430"/>
      <c r="H1147" s="430"/>
      <c r="I1147" s="425" t="s">
        <v>75</v>
      </c>
      <c r="J1147" s="430"/>
      <c r="K1147" s="430"/>
      <c r="L1147" s="426" t="s">
        <v>14194</v>
      </c>
      <c r="N1147" s="395"/>
      <c r="O1147" s="395"/>
    </row>
    <row r="1148" hidden="1" spans="1:15">
      <c r="A1148" s="404">
        <v>0</v>
      </c>
      <c r="B1148" s="433" t="e">
        <v>#N/A</v>
      </c>
      <c r="C1148" s="433"/>
      <c r="D1148" s="334"/>
      <c r="E1148" s="434">
        <v>0</v>
      </c>
      <c r="F1148" s="333" t="e">
        <v>#N/A</v>
      </c>
      <c r="G1148" s="334"/>
      <c r="I1148" s="395" t="e">
        <v>#N/A</v>
      </c>
      <c r="J1148" s="395"/>
      <c r="K1148" s="395"/>
      <c r="L1148" s="346" t="s">
        <v>932</v>
      </c>
      <c r="N1148" s="395"/>
      <c r="O1148" s="395"/>
    </row>
    <row r="1149" hidden="1" spans="1:15">
      <c r="A1149" s="404">
        <v>0</v>
      </c>
      <c r="B1149" s="404" t="e">
        <v>#N/A</v>
      </c>
      <c r="C1149" s="404"/>
      <c r="D1149" s="334"/>
      <c r="E1149" s="434">
        <v>0</v>
      </c>
      <c r="F1149" s="333" t="e">
        <v>#N/A</v>
      </c>
      <c r="G1149" s="334"/>
      <c r="I1149" s="395" t="e">
        <v>#N/A</v>
      </c>
      <c r="J1149" s="395"/>
      <c r="K1149" s="395"/>
      <c r="L1149" s="346" t="s">
        <v>932</v>
      </c>
      <c r="N1149" s="395"/>
      <c r="O1149" s="395"/>
    </row>
    <row r="1150" hidden="1" spans="1:15">
      <c r="A1150" s="404">
        <v>0</v>
      </c>
      <c r="B1150" s="404" t="e">
        <v>#N/A</v>
      </c>
      <c r="C1150" s="404"/>
      <c r="D1150" s="334"/>
      <c r="E1150" s="434">
        <v>0</v>
      </c>
      <c r="F1150" s="333" t="e">
        <v>#N/A</v>
      </c>
      <c r="G1150" s="334"/>
      <c r="I1150" s="395" t="e">
        <v>#N/A</v>
      </c>
      <c r="J1150" s="395"/>
      <c r="K1150" s="395"/>
      <c r="L1150" s="346" t="s">
        <v>932</v>
      </c>
      <c r="N1150" s="395"/>
      <c r="O1150" s="395"/>
    </row>
    <row r="1151" hidden="1" spans="1:15">
      <c r="A1151" s="404">
        <v>0</v>
      </c>
      <c r="B1151" s="404" t="e">
        <v>#N/A</v>
      </c>
      <c r="C1151" s="404"/>
      <c r="D1151" s="334"/>
      <c r="E1151" s="434">
        <v>0</v>
      </c>
      <c r="F1151" s="333" t="e">
        <v>#N/A</v>
      </c>
      <c r="G1151" s="334"/>
      <c r="I1151" s="395" t="e">
        <v>#N/A</v>
      </c>
      <c r="J1151" s="395"/>
      <c r="K1151" s="395"/>
      <c r="L1151" s="346" t="s">
        <v>932</v>
      </c>
      <c r="N1151" s="395"/>
      <c r="O1151" s="395"/>
    </row>
    <row r="1152" hidden="1" spans="1:15">
      <c r="A1152" s="404">
        <v>0</v>
      </c>
      <c r="B1152" s="404" t="e">
        <v>#N/A</v>
      </c>
      <c r="C1152" s="404"/>
      <c r="D1152" s="334"/>
      <c r="E1152" s="434">
        <v>0</v>
      </c>
      <c r="F1152" s="333" t="e">
        <v>#N/A</v>
      </c>
      <c r="G1152" s="334"/>
      <c r="H1152" s="334"/>
      <c r="I1152" s="395" t="e">
        <v>#N/A</v>
      </c>
      <c r="J1152" s="395"/>
      <c r="K1152" s="395"/>
      <c r="L1152" s="346" t="s">
        <v>932</v>
      </c>
      <c r="N1152" s="395"/>
      <c r="O1152" s="395"/>
    </row>
    <row r="1153" hidden="1" spans="1:15">
      <c r="A1153" s="404">
        <v>0</v>
      </c>
      <c r="B1153" s="404" t="e">
        <v>#N/A</v>
      </c>
      <c r="C1153" s="404"/>
      <c r="D1153" s="334"/>
      <c r="E1153" s="434">
        <v>0</v>
      </c>
      <c r="F1153" s="333" t="e">
        <v>#N/A</v>
      </c>
      <c r="G1153" s="334"/>
      <c r="H1153" s="334"/>
      <c r="I1153" s="395" t="e">
        <v>#N/A</v>
      </c>
      <c r="J1153" s="395"/>
      <c r="K1153" s="395"/>
      <c r="L1153" s="346" t="s">
        <v>932</v>
      </c>
      <c r="N1153" s="395"/>
      <c r="O1153" s="395"/>
    </row>
    <row r="1154" hidden="1" spans="1:15">
      <c r="A1154" s="404">
        <v>0</v>
      </c>
      <c r="B1154" s="404" t="e">
        <v>#N/A</v>
      </c>
      <c r="C1154" s="404"/>
      <c r="D1154" s="334"/>
      <c r="E1154" s="434">
        <v>0</v>
      </c>
      <c r="F1154" s="333" t="e">
        <v>#N/A</v>
      </c>
      <c r="G1154" s="334"/>
      <c r="H1154" s="334"/>
      <c r="I1154" s="395" t="e">
        <v>#N/A</v>
      </c>
      <c r="J1154" s="395"/>
      <c r="K1154" s="395"/>
      <c r="L1154" s="346" t="s">
        <v>932</v>
      </c>
      <c r="N1154" s="395"/>
      <c r="O1154" s="395"/>
    </row>
    <row r="1155" hidden="1" spans="1:15">
      <c r="A1155" s="404">
        <v>0</v>
      </c>
      <c r="B1155" s="436" t="e">
        <v>#N/A</v>
      </c>
      <c r="C1155" s="436"/>
      <c r="D1155" s="438"/>
      <c r="E1155" s="434">
        <v>0</v>
      </c>
      <c r="F1155" s="333" t="e">
        <v>#N/A</v>
      </c>
      <c r="G1155" s="334"/>
      <c r="H1155" s="334"/>
      <c r="I1155" s="395" t="e">
        <v>#N/A</v>
      </c>
      <c r="J1155" s="395"/>
      <c r="K1155" s="395"/>
      <c r="L1155" s="346" t="s">
        <v>932</v>
      </c>
      <c r="N1155" s="395"/>
      <c r="O1155" s="395"/>
    </row>
    <row r="1156" hidden="1" spans="1:15">
      <c r="A1156" s="421"/>
      <c r="B1156" s="422"/>
      <c r="C1156" s="422"/>
      <c r="D1156" s="422"/>
      <c r="E1156" s="423"/>
      <c r="F1156" s="424"/>
      <c r="G1156" s="422"/>
      <c r="H1156" s="422"/>
      <c r="I1156" s="430"/>
      <c r="J1156" s="430"/>
      <c r="K1156" s="425" t="s">
        <v>14203</v>
      </c>
      <c r="L1156" s="426">
        <v>0</v>
      </c>
      <c r="N1156" s="395"/>
      <c r="O1156" s="395"/>
    </row>
    <row r="1157" hidden="1" spans="1:15">
      <c r="A1157" s="428" t="s">
        <v>14204</v>
      </c>
      <c r="B1157" s="430"/>
      <c r="C1157" s="430"/>
      <c r="D1157" s="430"/>
      <c r="E1157" s="431" t="s">
        <v>74</v>
      </c>
      <c r="F1157" s="431" t="s">
        <v>1123</v>
      </c>
      <c r="G1157" s="430"/>
      <c r="H1157" s="430"/>
      <c r="I1157" s="425" t="s">
        <v>75</v>
      </c>
      <c r="J1157" s="430"/>
      <c r="K1157" s="430"/>
      <c r="L1157" s="426" t="s">
        <v>14194</v>
      </c>
      <c r="N1157" s="395"/>
      <c r="O1157" s="395"/>
    </row>
    <row r="1158" hidden="1" spans="1:15">
      <c r="A1158" s="404">
        <v>0</v>
      </c>
      <c r="B1158" s="334" t="e">
        <v>#N/A</v>
      </c>
      <c r="C1158" s="334"/>
      <c r="D1158" s="334"/>
      <c r="E1158" s="434">
        <v>0</v>
      </c>
      <c r="F1158" s="333" t="e">
        <v>#N/A</v>
      </c>
      <c r="G1158" s="439"/>
      <c r="I1158" s="346" t="e">
        <v>#N/A</v>
      </c>
      <c r="L1158" s="346" t="s">
        <v>932</v>
      </c>
      <c r="N1158" s="395"/>
      <c r="O1158" s="395"/>
    </row>
    <row r="1159" hidden="1" spans="1:15">
      <c r="A1159" s="401">
        <v>0</v>
      </c>
      <c r="B1159" s="334" t="e">
        <v>#N/A</v>
      </c>
      <c r="E1159" s="440">
        <v>0</v>
      </c>
      <c r="F1159" s="333" t="e">
        <v>#N/A</v>
      </c>
      <c r="G1159" s="439"/>
      <c r="I1159" s="346" t="e">
        <v>#N/A</v>
      </c>
      <c r="L1159" s="346" t="s">
        <v>932</v>
      </c>
      <c r="N1159" s="395"/>
      <c r="O1159" s="395"/>
    </row>
    <row r="1160" hidden="1" spans="1:15">
      <c r="A1160" s="401">
        <v>0</v>
      </c>
      <c r="B1160" s="334" t="e">
        <v>#N/A</v>
      </c>
      <c r="E1160" s="440">
        <v>0</v>
      </c>
      <c r="F1160" s="333" t="e">
        <v>#N/A</v>
      </c>
      <c r="G1160" s="439"/>
      <c r="I1160" s="346" t="e">
        <v>#N/A</v>
      </c>
      <c r="L1160" s="346" t="s">
        <v>932</v>
      </c>
      <c r="N1160" s="395"/>
      <c r="O1160" s="395"/>
    </row>
    <row r="1161" hidden="1" spans="1:15">
      <c r="A1161" s="401">
        <v>0</v>
      </c>
      <c r="B1161" s="334" t="e">
        <v>#N/A</v>
      </c>
      <c r="E1161" s="440">
        <v>0</v>
      </c>
      <c r="F1161" s="333" t="e">
        <v>#N/A</v>
      </c>
      <c r="G1161" s="439"/>
      <c r="I1161" s="346" t="e">
        <v>#N/A</v>
      </c>
      <c r="L1161" s="346" t="s">
        <v>932</v>
      </c>
      <c r="N1161" s="395"/>
      <c r="O1161" s="395"/>
    </row>
    <row r="1162" hidden="1" spans="1:15">
      <c r="A1162" s="401">
        <v>0</v>
      </c>
      <c r="B1162" s="334" t="e">
        <v>#N/A</v>
      </c>
      <c r="E1162" s="440">
        <v>0</v>
      </c>
      <c r="F1162" s="333" t="e">
        <v>#N/A</v>
      </c>
      <c r="G1162" s="439"/>
      <c r="I1162" s="346" t="e">
        <v>#N/A</v>
      </c>
      <c r="L1162" s="346" t="s">
        <v>932</v>
      </c>
      <c r="N1162" s="395"/>
      <c r="O1162" s="395"/>
    </row>
    <row r="1163" hidden="1" spans="1:15">
      <c r="A1163" s="401">
        <v>0</v>
      </c>
      <c r="B1163" s="334" t="e">
        <v>#N/A</v>
      </c>
      <c r="E1163" s="440">
        <v>0</v>
      </c>
      <c r="F1163" s="333" t="e">
        <v>#N/A</v>
      </c>
      <c r="G1163" s="439"/>
      <c r="I1163" s="346" t="e">
        <v>#N/A</v>
      </c>
      <c r="L1163" s="346" t="s">
        <v>932</v>
      </c>
      <c r="N1163" s="395"/>
      <c r="O1163" s="395"/>
    </row>
    <row r="1164" hidden="1" spans="1:15">
      <c r="A1164" s="421"/>
      <c r="B1164" s="422"/>
      <c r="C1164" s="422"/>
      <c r="D1164" s="422"/>
      <c r="E1164" s="422"/>
      <c r="F1164" s="422"/>
      <c r="G1164" s="422"/>
      <c r="H1164" s="422"/>
      <c r="I1164" s="430"/>
      <c r="J1164" s="430"/>
      <c r="K1164" s="425" t="s">
        <v>14206</v>
      </c>
      <c r="L1164" s="426">
        <v>0</v>
      </c>
      <c r="N1164" s="395"/>
      <c r="O1164" s="395"/>
    </row>
    <row r="1165" spans="1:15">
      <c r="A1165" s="421"/>
      <c r="B1165" s="422"/>
      <c r="C1165" s="422"/>
      <c r="D1165" s="422"/>
      <c r="E1165" s="422"/>
      <c r="F1165" s="422"/>
      <c r="G1165" s="422"/>
      <c r="H1165" s="422"/>
      <c r="I1165" s="430"/>
      <c r="J1165" s="430"/>
      <c r="K1165" s="425" t="s">
        <v>14207</v>
      </c>
      <c r="L1165" s="426">
        <v>22.0745675846154</v>
      </c>
      <c r="N1165" s="395"/>
      <c r="O1165" s="395"/>
    </row>
    <row r="1166" hidden="1" spans="1:15">
      <c r="A1166" s="428" t="s">
        <v>14208</v>
      </c>
      <c r="B1166" s="430"/>
      <c r="C1166" s="430"/>
      <c r="D1166" s="431" t="s">
        <v>55</v>
      </c>
      <c r="E1166" s="431" t="s">
        <v>74</v>
      </c>
      <c r="F1166" s="431" t="s">
        <v>1123</v>
      </c>
      <c r="G1166" s="430"/>
      <c r="H1166" s="430"/>
      <c r="I1166" s="425" t="s">
        <v>75</v>
      </c>
      <c r="J1166" s="430"/>
      <c r="K1166" s="430"/>
      <c r="L1166" s="426" t="s">
        <v>14194</v>
      </c>
      <c r="N1166" s="395"/>
      <c r="O1166" s="395"/>
    </row>
    <row r="1167" hidden="1" spans="1:15">
      <c r="A1167" s="404">
        <v>0</v>
      </c>
      <c r="B1167" s="441" t="e">
        <v>#N/A</v>
      </c>
      <c r="C1167" s="441"/>
      <c r="D1167" s="442">
        <v>0</v>
      </c>
      <c r="E1167" s="434">
        <v>0</v>
      </c>
      <c r="F1167" s="333" t="s">
        <v>9885</v>
      </c>
      <c r="G1167" s="443" t="s">
        <v>14209</v>
      </c>
      <c r="H1167" s="334"/>
      <c r="I1167" s="346">
        <v>0</v>
      </c>
      <c r="J1167" s="334"/>
      <c r="K1167" s="346"/>
      <c r="L1167" s="346" t="s">
        <v>932</v>
      </c>
      <c r="N1167" s="395"/>
      <c r="O1167" s="395"/>
    </row>
    <row r="1168" hidden="1" spans="1:15">
      <c r="A1168" s="404">
        <v>0</v>
      </c>
      <c r="B1168" s="334" t="e">
        <v>#N/A</v>
      </c>
      <c r="C1168" s="334"/>
      <c r="D1168" s="442">
        <v>0</v>
      </c>
      <c r="E1168" s="434">
        <v>0</v>
      </c>
      <c r="F1168" s="333" t="s">
        <v>9885</v>
      </c>
      <c r="G1168" s="334"/>
      <c r="H1168" s="334"/>
      <c r="I1168" s="346">
        <v>0</v>
      </c>
      <c r="J1168" s="334"/>
      <c r="K1168" s="346"/>
      <c r="L1168" s="346" t="s">
        <v>932</v>
      </c>
      <c r="N1168" s="395"/>
      <c r="O1168" s="395"/>
    </row>
    <row r="1169" hidden="1" spans="1:15">
      <c r="A1169" s="404">
        <v>0</v>
      </c>
      <c r="B1169" s="334" t="e">
        <v>#N/A</v>
      </c>
      <c r="C1169" s="334"/>
      <c r="D1169" s="442">
        <v>0</v>
      </c>
      <c r="E1169" s="434">
        <v>0</v>
      </c>
      <c r="F1169" s="333" t="s">
        <v>9885</v>
      </c>
      <c r="G1169" s="334"/>
      <c r="H1169" s="334"/>
      <c r="I1169" s="346">
        <v>0</v>
      </c>
      <c r="J1169" s="334"/>
      <c r="K1169" s="346"/>
      <c r="L1169" s="346" t="s">
        <v>932</v>
      </c>
      <c r="N1169" s="395"/>
      <c r="O1169" s="395"/>
    </row>
    <row r="1170" hidden="1" spans="1:15">
      <c r="A1170" s="404">
        <v>0</v>
      </c>
      <c r="B1170" s="334" t="e">
        <v>#N/A</v>
      </c>
      <c r="C1170" s="334"/>
      <c r="D1170" s="442">
        <v>0</v>
      </c>
      <c r="E1170" s="434">
        <v>0</v>
      </c>
      <c r="F1170" s="333" t="s">
        <v>9885</v>
      </c>
      <c r="G1170" s="334"/>
      <c r="H1170" s="334"/>
      <c r="I1170" s="346">
        <v>0</v>
      </c>
      <c r="J1170" s="334"/>
      <c r="K1170" s="346"/>
      <c r="L1170" s="346" t="s">
        <v>932</v>
      </c>
      <c r="N1170" s="395"/>
      <c r="O1170" s="395"/>
    </row>
    <row r="1171" hidden="1" spans="1:15">
      <c r="A1171" s="404">
        <v>0</v>
      </c>
      <c r="B1171" s="334" t="e">
        <v>#N/A</v>
      </c>
      <c r="C1171" s="334"/>
      <c r="D1171" s="442">
        <v>0</v>
      </c>
      <c r="E1171" s="434">
        <v>0</v>
      </c>
      <c r="F1171" s="333" t="s">
        <v>9885</v>
      </c>
      <c r="G1171" s="334"/>
      <c r="H1171" s="334"/>
      <c r="I1171" s="346">
        <v>0</v>
      </c>
      <c r="J1171" s="334"/>
      <c r="K1171" s="346"/>
      <c r="L1171" s="346" t="s">
        <v>932</v>
      </c>
      <c r="N1171" s="395"/>
      <c r="O1171" s="395"/>
    </row>
    <row r="1172" hidden="1" spans="1:15">
      <c r="A1172" s="404">
        <v>0</v>
      </c>
      <c r="B1172" s="334" t="e">
        <v>#N/A</v>
      </c>
      <c r="C1172" s="334"/>
      <c r="D1172" s="442">
        <v>0</v>
      </c>
      <c r="E1172" s="434">
        <v>0</v>
      </c>
      <c r="F1172" s="333" t="s">
        <v>9885</v>
      </c>
      <c r="G1172" s="334"/>
      <c r="H1172" s="334"/>
      <c r="I1172" s="346">
        <v>0</v>
      </c>
      <c r="J1172" s="334"/>
      <c r="K1172" s="346"/>
      <c r="L1172" s="346" t="s">
        <v>932</v>
      </c>
      <c r="N1172" s="395"/>
      <c r="O1172" s="395"/>
    </row>
    <row r="1173" hidden="1" spans="1:15">
      <c r="A1173" s="404">
        <v>0</v>
      </c>
      <c r="B1173" s="334" t="e">
        <v>#N/A</v>
      </c>
      <c r="C1173" s="334"/>
      <c r="D1173" s="442">
        <v>0</v>
      </c>
      <c r="E1173" s="434">
        <v>0</v>
      </c>
      <c r="F1173" s="333" t="s">
        <v>9885</v>
      </c>
      <c r="G1173" s="334"/>
      <c r="H1173" s="334"/>
      <c r="I1173" s="346">
        <v>0</v>
      </c>
      <c r="J1173" s="334"/>
      <c r="K1173" s="346"/>
      <c r="L1173" s="346" t="s">
        <v>932</v>
      </c>
      <c r="N1173" s="395"/>
      <c r="O1173" s="395"/>
    </row>
    <row r="1174" hidden="1" spans="1:15">
      <c r="A1174" s="404">
        <v>0</v>
      </c>
      <c r="B1174" s="444" t="e">
        <v>#N/A</v>
      </c>
      <c r="C1174" s="444"/>
      <c r="D1174" s="442">
        <v>0</v>
      </c>
      <c r="E1174" s="434">
        <v>0</v>
      </c>
      <c r="F1174" s="333" t="s">
        <v>9885</v>
      </c>
      <c r="G1174" s="334"/>
      <c r="H1174" s="334"/>
      <c r="I1174" s="346">
        <v>0</v>
      </c>
      <c r="J1174" s="334"/>
      <c r="K1174" s="346"/>
      <c r="L1174" s="346" t="s">
        <v>932</v>
      </c>
      <c r="N1174" s="395"/>
      <c r="O1174" s="395"/>
    </row>
    <row r="1175" hidden="1" spans="1:15">
      <c r="A1175" s="428"/>
      <c r="B1175" s="445"/>
      <c r="C1175" s="445"/>
      <c r="D1175" s="430"/>
      <c r="E1175" s="430"/>
      <c r="F1175" s="430"/>
      <c r="G1175" s="430"/>
      <c r="H1175" s="430"/>
      <c r="I1175" s="430"/>
      <c r="J1175" s="430"/>
      <c r="K1175" s="425" t="s">
        <v>14210</v>
      </c>
      <c r="L1175" s="426">
        <v>0</v>
      </c>
      <c r="N1175" s="395"/>
      <c r="O1175" s="395"/>
    </row>
    <row r="1176" hidden="1" spans="1:15">
      <c r="A1176" s="446" t="s">
        <v>14211</v>
      </c>
      <c r="B1176" s="445"/>
      <c r="C1176" s="445"/>
      <c r="D1176" s="447" t="s">
        <v>55</v>
      </c>
      <c r="E1176" s="445" t="s">
        <v>74</v>
      </c>
      <c r="F1176" s="447" t="s">
        <v>1123</v>
      </c>
      <c r="G1176" s="445"/>
      <c r="H1176" s="447" t="s">
        <v>72</v>
      </c>
      <c r="I1176" s="447" t="s">
        <v>75</v>
      </c>
      <c r="J1176" s="445"/>
      <c r="K1176" s="448"/>
      <c r="L1176" s="449" t="s">
        <v>14194</v>
      </c>
      <c r="N1176" s="395"/>
      <c r="O1176" s="395"/>
    </row>
    <row r="1177" hidden="1" spans="1:15">
      <c r="A1177" s="404">
        <v>0</v>
      </c>
      <c r="B1177" s="433" t="e">
        <v>#N/A</v>
      </c>
      <c r="C1177" s="433"/>
      <c r="D1177" s="442">
        <v>0</v>
      </c>
      <c r="E1177" s="450">
        <v>0</v>
      </c>
      <c r="F1177" s="333" t="s">
        <v>13063</v>
      </c>
      <c r="G1177" s="333" t="s">
        <v>14212</v>
      </c>
      <c r="H1177" s="346">
        <v>0</v>
      </c>
      <c r="I1177" s="346">
        <v>0</v>
      </c>
      <c r="J1177" s="346"/>
      <c r="K1177" s="334"/>
      <c r="L1177" s="346" t="s">
        <v>932</v>
      </c>
      <c r="N1177" s="395"/>
      <c r="O1177" s="395"/>
    </row>
    <row r="1178" hidden="1" spans="1:15">
      <c r="A1178" s="404"/>
      <c r="B1178" s="404"/>
      <c r="C1178" s="334"/>
      <c r="D1178" s="442">
        <v>0</v>
      </c>
      <c r="E1178" s="450">
        <v>0</v>
      </c>
      <c r="F1178" s="333" t="s">
        <v>13063</v>
      </c>
      <c r="G1178" s="333" t="s">
        <v>14213</v>
      </c>
      <c r="H1178" s="346">
        <v>0</v>
      </c>
      <c r="I1178" s="346">
        <v>0</v>
      </c>
      <c r="J1178" s="346"/>
      <c r="K1178" s="334"/>
      <c r="L1178" s="346" t="s">
        <v>932</v>
      </c>
      <c r="N1178" s="395"/>
      <c r="O1178" s="395"/>
    </row>
    <row r="1179" hidden="1" spans="1:15">
      <c r="A1179" s="404"/>
      <c r="B1179" s="404"/>
      <c r="C1179" s="334"/>
      <c r="D1179" s="442">
        <v>0</v>
      </c>
      <c r="E1179" s="450">
        <v>0</v>
      </c>
      <c r="F1179" s="333" t="s">
        <v>13063</v>
      </c>
      <c r="G1179" s="333" t="s">
        <v>14214</v>
      </c>
      <c r="H1179" s="346">
        <v>0</v>
      </c>
      <c r="I1179" s="346">
        <v>0</v>
      </c>
      <c r="J1179" s="346"/>
      <c r="K1179" s="334"/>
      <c r="L1179" s="346" t="s">
        <v>932</v>
      </c>
      <c r="N1179" s="395"/>
      <c r="O1179" s="395"/>
    </row>
    <row r="1180" hidden="1" spans="1:15">
      <c r="A1180" s="404">
        <v>0</v>
      </c>
      <c r="B1180" s="404" t="e">
        <v>#N/A</v>
      </c>
      <c r="C1180" s="404"/>
      <c r="D1180" s="442">
        <v>0</v>
      </c>
      <c r="E1180" s="450">
        <v>0</v>
      </c>
      <c r="F1180" s="333" t="s">
        <v>13063</v>
      </c>
      <c r="G1180" s="333" t="s">
        <v>14212</v>
      </c>
      <c r="H1180" s="346">
        <v>0</v>
      </c>
      <c r="I1180" s="346">
        <v>0</v>
      </c>
      <c r="J1180" s="346"/>
      <c r="K1180" s="334"/>
      <c r="L1180" s="346" t="s">
        <v>932</v>
      </c>
      <c r="N1180" s="395"/>
      <c r="O1180" s="395"/>
    </row>
    <row r="1181" hidden="1" spans="1:15">
      <c r="A1181" s="404"/>
      <c r="B1181" s="404"/>
      <c r="C1181" s="334"/>
      <c r="D1181" s="442">
        <v>0</v>
      </c>
      <c r="E1181" s="450">
        <v>0</v>
      </c>
      <c r="F1181" s="333" t="s">
        <v>13063</v>
      </c>
      <c r="G1181" s="333" t="s">
        <v>14213</v>
      </c>
      <c r="H1181" s="346">
        <v>0</v>
      </c>
      <c r="I1181" s="346">
        <v>0</v>
      </c>
      <c r="J1181" s="346"/>
      <c r="K1181" s="334"/>
      <c r="L1181" s="346" t="s">
        <v>932</v>
      </c>
      <c r="N1181" s="395"/>
      <c r="O1181" s="395"/>
    </row>
    <row r="1182" hidden="1" spans="1:15">
      <c r="A1182" s="404"/>
      <c r="B1182" s="404"/>
      <c r="C1182" s="334"/>
      <c r="D1182" s="442">
        <v>0</v>
      </c>
      <c r="E1182" s="450">
        <v>0</v>
      </c>
      <c r="F1182" s="333" t="s">
        <v>13063</v>
      </c>
      <c r="G1182" s="333" t="s">
        <v>14214</v>
      </c>
      <c r="H1182" s="346">
        <v>0</v>
      </c>
      <c r="I1182" s="346">
        <v>0</v>
      </c>
      <c r="J1182" s="346"/>
      <c r="K1182" s="334"/>
      <c r="L1182" s="346" t="s">
        <v>932</v>
      </c>
      <c r="N1182" s="395"/>
      <c r="O1182" s="395"/>
    </row>
    <row r="1183" hidden="1" spans="1:15">
      <c r="A1183" s="404">
        <v>0</v>
      </c>
      <c r="B1183" s="404" t="e">
        <v>#N/A</v>
      </c>
      <c r="C1183" s="404"/>
      <c r="D1183" s="442">
        <v>0</v>
      </c>
      <c r="E1183" s="450">
        <v>0</v>
      </c>
      <c r="F1183" s="333" t="s">
        <v>13063</v>
      </c>
      <c r="G1183" s="333" t="s">
        <v>14212</v>
      </c>
      <c r="H1183" s="346">
        <v>0</v>
      </c>
      <c r="I1183" s="346">
        <v>0</v>
      </c>
      <c r="J1183" s="346"/>
      <c r="K1183" s="334"/>
      <c r="L1183" s="346" t="s">
        <v>932</v>
      </c>
      <c r="N1183" s="395"/>
      <c r="O1183" s="395"/>
    </row>
    <row r="1184" hidden="1" spans="1:15">
      <c r="A1184" s="404"/>
      <c r="B1184" s="404"/>
      <c r="C1184" s="334"/>
      <c r="D1184" s="442">
        <v>0</v>
      </c>
      <c r="E1184" s="450">
        <v>0</v>
      </c>
      <c r="F1184" s="333" t="s">
        <v>13063</v>
      </c>
      <c r="G1184" s="333" t="s">
        <v>14213</v>
      </c>
      <c r="H1184" s="346">
        <v>0</v>
      </c>
      <c r="I1184" s="346">
        <v>0</v>
      </c>
      <c r="J1184" s="346"/>
      <c r="K1184" s="334"/>
      <c r="L1184" s="346" t="s">
        <v>932</v>
      </c>
      <c r="N1184" s="395"/>
      <c r="O1184" s="395"/>
    </row>
    <row r="1185" hidden="1" spans="1:15">
      <c r="A1185" s="404"/>
      <c r="B1185" s="404"/>
      <c r="C1185" s="334"/>
      <c r="D1185" s="442">
        <v>0</v>
      </c>
      <c r="E1185" s="450">
        <v>0</v>
      </c>
      <c r="F1185" s="333" t="s">
        <v>13063</v>
      </c>
      <c r="G1185" s="333" t="s">
        <v>14214</v>
      </c>
      <c r="H1185" s="346">
        <v>0</v>
      </c>
      <c r="I1185" s="346">
        <v>0</v>
      </c>
      <c r="J1185" s="346"/>
      <c r="K1185" s="334"/>
      <c r="L1185" s="346" t="s">
        <v>932</v>
      </c>
      <c r="N1185" s="395"/>
      <c r="O1185" s="395"/>
    </row>
    <row r="1186" hidden="1" spans="1:15">
      <c r="A1186" s="404">
        <v>0</v>
      </c>
      <c r="B1186" s="404" t="e">
        <v>#N/A</v>
      </c>
      <c r="C1186" s="404"/>
      <c r="D1186" s="442">
        <v>0</v>
      </c>
      <c r="E1186" s="450">
        <v>0</v>
      </c>
      <c r="F1186" s="333" t="s">
        <v>13063</v>
      </c>
      <c r="G1186" s="333" t="s">
        <v>14212</v>
      </c>
      <c r="H1186" s="346">
        <v>0</v>
      </c>
      <c r="I1186" s="346">
        <v>0</v>
      </c>
      <c r="J1186" s="346"/>
      <c r="K1186" s="334"/>
      <c r="L1186" s="346" t="s">
        <v>932</v>
      </c>
      <c r="N1186" s="395"/>
      <c r="O1186" s="395"/>
    </row>
    <row r="1187" hidden="1" spans="1:15">
      <c r="A1187" s="404"/>
      <c r="B1187" s="404"/>
      <c r="C1187" s="334"/>
      <c r="D1187" s="442">
        <v>0</v>
      </c>
      <c r="E1187" s="450">
        <v>0</v>
      </c>
      <c r="F1187" s="333" t="s">
        <v>13063</v>
      </c>
      <c r="G1187" s="333" t="s">
        <v>14213</v>
      </c>
      <c r="H1187" s="346">
        <v>0</v>
      </c>
      <c r="I1187" s="346">
        <v>0</v>
      </c>
      <c r="J1187" s="346"/>
      <c r="K1187" s="334"/>
      <c r="L1187" s="346" t="s">
        <v>932</v>
      </c>
      <c r="N1187" s="395"/>
      <c r="O1187" s="395"/>
    </row>
    <row r="1188" hidden="1" spans="1:15">
      <c r="A1188" s="404"/>
      <c r="B1188" s="404"/>
      <c r="C1188" s="334"/>
      <c r="D1188" s="442">
        <v>0</v>
      </c>
      <c r="E1188" s="450">
        <v>0</v>
      </c>
      <c r="F1188" s="333" t="s">
        <v>13063</v>
      </c>
      <c r="G1188" s="333" t="s">
        <v>14214</v>
      </c>
      <c r="H1188" s="346">
        <v>0</v>
      </c>
      <c r="I1188" s="346">
        <v>0</v>
      </c>
      <c r="J1188" s="346"/>
      <c r="K1188" s="334"/>
      <c r="L1188" s="346" t="s">
        <v>932</v>
      </c>
      <c r="N1188" s="395"/>
      <c r="O1188" s="395"/>
    </row>
    <row r="1189" hidden="1" spans="1:15">
      <c r="A1189" s="404">
        <v>0</v>
      </c>
      <c r="B1189" s="404" t="e">
        <v>#N/A</v>
      </c>
      <c r="C1189" s="404"/>
      <c r="D1189" s="442">
        <v>0</v>
      </c>
      <c r="E1189" s="450">
        <v>0</v>
      </c>
      <c r="F1189" s="333" t="s">
        <v>13063</v>
      </c>
      <c r="G1189" s="333" t="s">
        <v>14212</v>
      </c>
      <c r="H1189" s="346">
        <v>0</v>
      </c>
      <c r="I1189" s="346">
        <v>0</v>
      </c>
      <c r="J1189" s="346"/>
      <c r="K1189" s="334"/>
      <c r="L1189" s="346" t="s">
        <v>932</v>
      </c>
      <c r="N1189" s="395"/>
      <c r="O1189" s="395"/>
    </row>
    <row r="1190" hidden="1" spans="1:15">
      <c r="A1190" s="404"/>
      <c r="B1190" s="404"/>
      <c r="C1190" s="334"/>
      <c r="D1190" s="442">
        <v>0</v>
      </c>
      <c r="E1190" s="450">
        <v>0</v>
      </c>
      <c r="F1190" s="333" t="s">
        <v>13063</v>
      </c>
      <c r="G1190" s="333" t="s">
        <v>14213</v>
      </c>
      <c r="H1190" s="346">
        <v>0</v>
      </c>
      <c r="I1190" s="346">
        <v>0</v>
      </c>
      <c r="J1190" s="346"/>
      <c r="K1190" s="334"/>
      <c r="L1190" s="346" t="s">
        <v>932</v>
      </c>
      <c r="N1190" s="395"/>
      <c r="O1190" s="395"/>
    </row>
    <row r="1191" hidden="1" spans="1:15">
      <c r="A1191" s="404"/>
      <c r="B1191" s="404"/>
      <c r="C1191" s="334"/>
      <c r="D1191" s="442">
        <v>0</v>
      </c>
      <c r="E1191" s="450">
        <v>0</v>
      </c>
      <c r="F1191" s="333" t="s">
        <v>13063</v>
      </c>
      <c r="G1191" s="333" t="s">
        <v>14214</v>
      </c>
      <c r="H1191" s="346">
        <v>0</v>
      </c>
      <c r="I1191" s="346">
        <v>0</v>
      </c>
      <c r="J1191" s="346"/>
      <c r="K1191" s="334"/>
      <c r="L1191" s="346" t="s">
        <v>932</v>
      </c>
      <c r="N1191" s="395"/>
      <c r="O1191" s="395"/>
    </row>
    <row r="1192" hidden="1" spans="1:15">
      <c r="A1192" s="401">
        <v>0</v>
      </c>
      <c r="B1192" s="401" t="e">
        <v>#N/A</v>
      </c>
      <c r="C1192" s="401"/>
      <c r="D1192" s="442">
        <v>0</v>
      </c>
      <c r="E1192" s="450">
        <v>0</v>
      </c>
      <c r="F1192" s="439" t="s">
        <v>13063</v>
      </c>
      <c r="G1192" s="439" t="s">
        <v>14212</v>
      </c>
      <c r="H1192" s="346">
        <v>0</v>
      </c>
      <c r="I1192" s="346">
        <v>0</v>
      </c>
      <c r="J1192" s="395"/>
      <c r="L1192" s="346" t="s">
        <v>932</v>
      </c>
      <c r="N1192" s="395"/>
      <c r="O1192" s="395"/>
    </row>
    <row r="1193" hidden="1" spans="1:15">
      <c r="A1193" s="401"/>
      <c r="B1193" s="401"/>
      <c r="D1193" s="442">
        <v>0</v>
      </c>
      <c r="E1193" s="450">
        <v>0</v>
      </c>
      <c r="F1193" s="439" t="s">
        <v>13063</v>
      </c>
      <c r="G1193" s="439" t="s">
        <v>14213</v>
      </c>
      <c r="H1193" s="346">
        <v>0</v>
      </c>
      <c r="I1193" s="346">
        <v>0</v>
      </c>
      <c r="J1193" s="395"/>
      <c r="L1193" s="346" t="s">
        <v>932</v>
      </c>
      <c r="N1193" s="395"/>
      <c r="O1193" s="395"/>
    </row>
    <row r="1194" hidden="1" spans="1:15">
      <c r="A1194" s="401"/>
      <c r="B1194" s="401"/>
      <c r="D1194" s="442">
        <v>0</v>
      </c>
      <c r="E1194" s="450">
        <v>0</v>
      </c>
      <c r="F1194" s="439" t="s">
        <v>13063</v>
      </c>
      <c r="G1194" s="439" t="s">
        <v>14214</v>
      </c>
      <c r="H1194" s="346">
        <v>0</v>
      </c>
      <c r="I1194" s="346">
        <v>0</v>
      </c>
      <c r="J1194" s="395"/>
      <c r="L1194" s="346" t="s">
        <v>932</v>
      </c>
      <c r="N1194" s="395"/>
      <c r="O1194" s="395"/>
    </row>
    <row r="1195" hidden="1" spans="1:15">
      <c r="A1195" s="401">
        <v>0</v>
      </c>
      <c r="B1195" s="401" t="e">
        <v>#N/A</v>
      </c>
      <c r="C1195" s="401"/>
      <c r="D1195" s="442">
        <v>0</v>
      </c>
      <c r="E1195" s="450">
        <v>0</v>
      </c>
      <c r="F1195" s="439" t="s">
        <v>13063</v>
      </c>
      <c r="G1195" s="439" t="s">
        <v>14212</v>
      </c>
      <c r="H1195" s="346">
        <v>0</v>
      </c>
      <c r="I1195" s="346">
        <v>0</v>
      </c>
      <c r="J1195" s="395"/>
      <c r="L1195" s="346" t="s">
        <v>932</v>
      </c>
      <c r="N1195" s="395"/>
      <c r="O1195" s="395"/>
    </row>
    <row r="1196" hidden="1" spans="1:15">
      <c r="A1196" s="401"/>
      <c r="B1196" s="401"/>
      <c r="D1196" s="442">
        <v>0</v>
      </c>
      <c r="E1196" s="450">
        <v>0</v>
      </c>
      <c r="F1196" s="439" t="s">
        <v>13063</v>
      </c>
      <c r="G1196" s="439" t="s">
        <v>14213</v>
      </c>
      <c r="H1196" s="346">
        <v>0</v>
      </c>
      <c r="I1196" s="346">
        <v>0</v>
      </c>
      <c r="J1196" s="395"/>
      <c r="L1196" s="346" t="s">
        <v>932</v>
      </c>
      <c r="N1196" s="395"/>
      <c r="O1196" s="395"/>
    </row>
    <row r="1197" hidden="1" spans="1:15">
      <c r="A1197" s="401"/>
      <c r="B1197" s="401"/>
      <c r="D1197" s="442">
        <v>0</v>
      </c>
      <c r="E1197" s="450">
        <v>0</v>
      </c>
      <c r="F1197" s="439" t="s">
        <v>13063</v>
      </c>
      <c r="G1197" s="439" t="s">
        <v>14214</v>
      </c>
      <c r="H1197" s="346">
        <v>0</v>
      </c>
      <c r="I1197" s="346">
        <v>0</v>
      </c>
      <c r="J1197" s="395"/>
      <c r="L1197" s="346" t="s">
        <v>932</v>
      </c>
      <c r="N1197" s="395"/>
      <c r="O1197" s="395"/>
    </row>
    <row r="1198" hidden="1" spans="1:15">
      <c r="A1198" s="401">
        <v>0</v>
      </c>
      <c r="B1198" s="401" t="e">
        <v>#N/A</v>
      </c>
      <c r="C1198" s="401"/>
      <c r="D1198" s="442">
        <v>0</v>
      </c>
      <c r="E1198" s="450">
        <v>0</v>
      </c>
      <c r="F1198" s="439" t="s">
        <v>13063</v>
      </c>
      <c r="G1198" s="439" t="s">
        <v>14212</v>
      </c>
      <c r="H1198" s="346">
        <v>0</v>
      </c>
      <c r="I1198" s="346">
        <v>0</v>
      </c>
      <c r="J1198" s="395"/>
      <c r="L1198" s="346" t="s">
        <v>932</v>
      </c>
      <c r="N1198" s="395"/>
      <c r="O1198" s="395"/>
    </row>
    <row r="1199" hidden="1" spans="1:15">
      <c r="A1199" s="401"/>
      <c r="B1199" s="401"/>
      <c r="D1199" s="442">
        <v>0</v>
      </c>
      <c r="E1199" s="450">
        <v>0</v>
      </c>
      <c r="F1199" s="439" t="s">
        <v>13063</v>
      </c>
      <c r="G1199" s="439" t="s">
        <v>14213</v>
      </c>
      <c r="H1199" s="346">
        <v>0</v>
      </c>
      <c r="I1199" s="346">
        <v>0</v>
      </c>
      <c r="J1199" s="395"/>
      <c r="L1199" s="346" t="s">
        <v>932</v>
      </c>
      <c r="N1199" s="395"/>
      <c r="O1199" s="395"/>
    </row>
    <row r="1200" hidden="1" spans="1:15">
      <c r="A1200" s="401"/>
      <c r="B1200" s="401"/>
      <c r="D1200" s="442">
        <v>0</v>
      </c>
      <c r="E1200" s="450">
        <v>0</v>
      </c>
      <c r="F1200" s="439" t="s">
        <v>13063</v>
      </c>
      <c r="G1200" s="439" t="s">
        <v>14214</v>
      </c>
      <c r="H1200" s="346">
        <v>0</v>
      </c>
      <c r="I1200" s="346">
        <v>0</v>
      </c>
      <c r="J1200" s="395"/>
      <c r="L1200" s="346" t="s">
        <v>932</v>
      </c>
      <c r="N1200" s="395"/>
      <c r="O1200" s="395"/>
    </row>
    <row r="1201" hidden="1" spans="1:15">
      <c r="A1201" s="421"/>
      <c r="B1201" s="422"/>
      <c r="C1201" s="422"/>
      <c r="D1201" s="422"/>
      <c r="E1201" s="422"/>
      <c r="F1201" s="422"/>
      <c r="G1201" s="422"/>
      <c r="H1201" s="422"/>
      <c r="I1201" s="430"/>
      <c r="J1201" s="430"/>
      <c r="K1201" s="425" t="s">
        <v>14215</v>
      </c>
      <c r="L1201" s="426">
        <v>0</v>
      </c>
      <c r="N1201" s="395"/>
      <c r="O1201" s="395"/>
    </row>
    <row r="1202" spans="1:15">
      <c r="A1202" s="451"/>
      <c r="B1202" s="452"/>
      <c r="C1202" s="452"/>
      <c r="D1202" s="452"/>
      <c r="E1202" s="452"/>
      <c r="F1202" s="452"/>
      <c r="G1202" s="452"/>
      <c r="H1202" s="452"/>
      <c r="I1202" s="453"/>
      <c r="J1202" s="453"/>
      <c r="K1202" s="454" t="s">
        <v>14216</v>
      </c>
      <c r="L1202" s="455">
        <v>22.07</v>
      </c>
      <c r="N1202" s="395"/>
      <c r="O1202" s="395"/>
    </row>
    <row r="1204" spans="1:15">
      <c r="A1204" s="391" t="s">
        <v>14172</v>
      </c>
      <c r="B1204" s="457"/>
      <c r="C1204" s="457"/>
      <c r="D1204" s="457"/>
      <c r="E1204" s="457"/>
      <c r="F1204" s="457"/>
      <c r="G1204" s="393"/>
      <c r="H1204" s="393"/>
      <c r="I1204" s="393"/>
      <c r="J1204" s="393"/>
      <c r="K1204" s="393"/>
      <c r="L1204" s="394"/>
      <c r="N1204" s="395"/>
      <c r="O1204" s="395"/>
    </row>
    <row r="1205" spans="1:15">
      <c r="A1205" s="396">
        <v>5915373</v>
      </c>
      <c r="B1205" s="397" t="s">
        <v>12954</v>
      </c>
      <c r="C1205" s="397"/>
      <c r="D1205" s="397"/>
      <c r="E1205" s="397"/>
      <c r="F1205" s="397"/>
      <c r="G1205" s="397"/>
      <c r="H1205" s="397" t="s">
        <v>9885</v>
      </c>
      <c r="I1205" s="398">
        <v>46023</v>
      </c>
      <c r="J1205" s="397"/>
      <c r="K1205" s="399" t="s">
        <v>14173</v>
      </c>
      <c r="L1205" s="400">
        <v>0</v>
      </c>
      <c r="N1205" s="395"/>
      <c r="O1205" s="395"/>
    </row>
    <row r="1206" spans="1:15">
      <c r="A1206" s="401"/>
      <c r="H1206" s="402" t="s">
        <v>14174</v>
      </c>
      <c r="I1206" s="434">
        <v>19.36</v>
      </c>
      <c r="J1206" s="404" t="s">
        <v>9885</v>
      </c>
      <c r="K1206" s="402" t="s">
        <v>14175</v>
      </c>
      <c r="L1206" s="456">
        <v>0.04722</v>
      </c>
      <c r="N1206" s="395"/>
      <c r="O1206" s="395"/>
    </row>
    <row r="1207" spans="1:15">
      <c r="A1207" s="405"/>
      <c r="B1207" s="405"/>
      <c r="C1207" s="405"/>
      <c r="D1207" s="406"/>
      <c r="E1207" s="406"/>
      <c r="F1207" s="406"/>
      <c r="G1207" s="407" t="s">
        <v>14176</v>
      </c>
      <c r="H1207" s="407"/>
      <c r="I1207" s="407" t="s">
        <v>14177</v>
      </c>
      <c r="J1207" s="407"/>
      <c r="K1207" s="405"/>
      <c r="L1207" s="409" t="s">
        <v>14178</v>
      </c>
      <c r="N1207" s="395"/>
      <c r="O1207" s="395"/>
    </row>
    <row r="1208" spans="1:15">
      <c r="A1208" s="410" t="s">
        <v>14179</v>
      </c>
      <c r="B1208" s="411"/>
      <c r="C1208" s="412"/>
      <c r="D1208" s="412"/>
      <c r="E1208" s="413" t="s">
        <v>74</v>
      </c>
      <c r="F1208" s="412"/>
      <c r="G1208" s="413" t="s">
        <v>14180</v>
      </c>
      <c r="H1208" s="413" t="s">
        <v>14181</v>
      </c>
      <c r="I1208" s="413" t="s">
        <v>14182</v>
      </c>
      <c r="J1208" s="413" t="s">
        <v>14183</v>
      </c>
      <c r="K1208" s="411"/>
      <c r="L1208" s="414" t="s">
        <v>14184</v>
      </c>
      <c r="N1208" s="395"/>
      <c r="O1208" s="395"/>
    </row>
    <row r="1209" spans="1:15">
      <c r="A1209" s="404" t="s">
        <v>14317</v>
      </c>
      <c r="B1209" s="415" t="s">
        <v>14318</v>
      </c>
      <c r="C1209" s="415"/>
      <c r="E1209" s="434">
        <v>1</v>
      </c>
      <c r="F1209" s="334"/>
      <c r="G1209" s="346">
        <v>1</v>
      </c>
      <c r="H1209" s="417">
        <v>0</v>
      </c>
      <c r="I1209" s="395">
        <v>329.5576</v>
      </c>
      <c r="J1209" s="418">
        <v>115.2184</v>
      </c>
      <c r="K1209" s="402"/>
      <c r="L1209" s="395">
        <v>329.5576</v>
      </c>
      <c r="N1209" s="395">
        <v>115.2184</v>
      </c>
      <c r="O1209" s="395"/>
    </row>
    <row r="1210" hidden="1" spans="1:15">
      <c r="A1210" s="404">
        <v>0</v>
      </c>
      <c r="B1210" s="404" t="e">
        <v>#N/A</v>
      </c>
      <c r="C1210" s="404"/>
      <c r="D1210" s="334"/>
      <c r="E1210" s="434">
        <v>0</v>
      </c>
      <c r="F1210" s="334"/>
      <c r="G1210" s="346">
        <v>0</v>
      </c>
      <c r="H1210" s="417">
        <v>1</v>
      </c>
      <c r="I1210" s="346" t="e">
        <v>#N/A</v>
      </c>
      <c r="J1210" s="419" t="e">
        <v>#N/A</v>
      </c>
      <c r="K1210" s="420"/>
      <c r="L1210" s="395" t="s">
        <v>932</v>
      </c>
      <c r="N1210" s="395" t="s">
        <v>932</v>
      </c>
      <c r="O1210" s="395"/>
    </row>
    <row r="1211" hidden="1" spans="1:15">
      <c r="A1211" s="404">
        <v>0</v>
      </c>
      <c r="B1211" s="404" t="e">
        <v>#N/A</v>
      </c>
      <c r="C1211" s="404"/>
      <c r="D1211" s="334"/>
      <c r="E1211" s="416">
        <v>0</v>
      </c>
      <c r="F1211" s="334"/>
      <c r="G1211" s="346">
        <v>0</v>
      </c>
      <c r="H1211" s="417">
        <v>1</v>
      </c>
      <c r="I1211" s="346" t="e">
        <v>#N/A</v>
      </c>
      <c r="J1211" s="419" t="e">
        <v>#N/A</v>
      </c>
      <c r="K1211" s="420"/>
      <c r="L1211" s="395" t="s">
        <v>932</v>
      </c>
      <c r="N1211" s="395" t="s">
        <v>932</v>
      </c>
      <c r="O1211" s="395"/>
    </row>
    <row r="1212" hidden="1" spans="1:15">
      <c r="A1212" s="404">
        <v>0</v>
      </c>
      <c r="B1212" s="404" t="e">
        <v>#N/A</v>
      </c>
      <c r="C1212" s="404"/>
      <c r="D1212" s="334"/>
      <c r="E1212" s="416">
        <v>0</v>
      </c>
      <c r="F1212" s="334"/>
      <c r="G1212" s="346">
        <v>0</v>
      </c>
      <c r="H1212" s="417">
        <v>1</v>
      </c>
      <c r="I1212" s="346" t="e">
        <v>#N/A</v>
      </c>
      <c r="J1212" s="419" t="e">
        <v>#N/A</v>
      </c>
      <c r="K1212" s="420"/>
      <c r="L1212" s="395" t="s">
        <v>932</v>
      </c>
      <c r="N1212" s="395" t="s">
        <v>932</v>
      </c>
      <c r="O1212" s="395"/>
    </row>
    <row r="1213" hidden="1" spans="1:15">
      <c r="A1213" s="404">
        <v>0</v>
      </c>
      <c r="B1213" s="404" t="e">
        <v>#N/A</v>
      </c>
      <c r="C1213" s="404"/>
      <c r="D1213" s="334"/>
      <c r="E1213" s="416">
        <v>0</v>
      </c>
      <c r="F1213" s="334"/>
      <c r="G1213" s="346">
        <v>0</v>
      </c>
      <c r="H1213" s="417">
        <v>1</v>
      </c>
      <c r="I1213" s="346" t="e">
        <v>#N/A</v>
      </c>
      <c r="J1213" s="419" t="e">
        <v>#N/A</v>
      </c>
      <c r="K1213" s="420"/>
      <c r="L1213" s="395" t="s">
        <v>932</v>
      </c>
      <c r="N1213" s="395" t="s">
        <v>932</v>
      </c>
      <c r="O1213" s="395"/>
    </row>
    <row r="1214" hidden="1" spans="1:15">
      <c r="A1214" s="404">
        <v>0</v>
      </c>
      <c r="B1214" s="404" t="e">
        <v>#N/A</v>
      </c>
      <c r="C1214" s="404"/>
      <c r="D1214" s="334"/>
      <c r="E1214" s="416">
        <v>0</v>
      </c>
      <c r="F1214" s="334"/>
      <c r="G1214" s="346">
        <v>0</v>
      </c>
      <c r="H1214" s="417">
        <v>1</v>
      </c>
      <c r="I1214" s="346" t="e">
        <v>#N/A</v>
      </c>
      <c r="J1214" s="419" t="e">
        <v>#N/A</v>
      </c>
      <c r="K1214" s="420"/>
      <c r="L1214" s="395" t="s">
        <v>932</v>
      </c>
      <c r="N1214" s="395" t="s">
        <v>932</v>
      </c>
      <c r="O1214" s="395"/>
    </row>
    <row r="1215" hidden="1" spans="1:15">
      <c r="A1215" s="404">
        <v>0</v>
      </c>
      <c r="B1215" s="404" t="e">
        <v>#N/A</v>
      </c>
      <c r="C1215" s="404"/>
      <c r="D1215" s="334"/>
      <c r="E1215" s="416">
        <v>0</v>
      </c>
      <c r="F1215" s="334"/>
      <c r="G1215" s="346">
        <v>0</v>
      </c>
      <c r="H1215" s="417">
        <v>1</v>
      </c>
      <c r="I1215" s="346" t="e">
        <v>#N/A</v>
      </c>
      <c r="J1215" s="419" t="e">
        <v>#N/A</v>
      </c>
      <c r="K1215" s="420"/>
      <c r="L1215" s="395" t="s">
        <v>932</v>
      </c>
      <c r="N1215" s="395" t="s">
        <v>932</v>
      </c>
      <c r="O1215" s="395"/>
    </row>
    <row r="1216" hidden="1" spans="1:15">
      <c r="A1216" s="404">
        <v>0</v>
      </c>
      <c r="B1216" s="436" t="e">
        <v>#N/A</v>
      </c>
      <c r="C1216" s="436"/>
      <c r="D1216" s="334"/>
      <c r="E1216" s="416">
        <v>0</v>
      </c>
      <c r="F1216" s="334"/>
      <c r="G1216" s="346">
        <v>0</v>
      </c>
      <c r="H1216" s="417">
        <v>1</v>
      </c>
      <c r="I1216" s="346" t="e">
        <v>#N/A</v>
      </c>
      <c r="J1216" s="419" t="e">
        <v>#N/A</v>
      </c>
      <c r="K1216" s="420"/>
      <c r="L1216" s="395" t="s">
        <v>932</v>
      </c>
      <c r="N1216" s="395" t="s">
        <v>932</v>
      </c>
      <c r="O1216" s="395"/>
    </row>
    <row r="1217" spans="1:15">
      <c r="A1217" s="421"/>
      <c r="B1217" s="422"/>
      <c r="C1217" s="422"/>
      <c r="D1217" s="422"/>
      <c r="E1217" s="423"/>
      <c r="F1217" s="424"/>
      <c r="G1217" s="422"/>
      <c r="H1217" s="422"/>
      <c r="I1217" s="422"/>
      <c r="J1217" s="422"/>
      <c r="K1217" s="425" t="s">
        <v>14185</v>
      </c>
      <c r="L1217" s="426">
        <v>329.5576</v>
      </c>
      <c r="N1217" s="427">
        <v>115.2184</v>
      </c>
      <c r="O1217" s="395"/>
    </row>
    <row r="1218" spans="1:15">
      <c r="A1218" s="428" t="s">
        <v>14186</v>
      </c>
      <c r="B1218" s="429"/>
      <c r="C1218" s="429"/>
      <c r="D1218" s="430"/>
      <c r="E1218" s="431" t="s">
        <v>74</v>
      </c>
      <c r="F1218" s="431" t="s">
        <v>1123</v>
      </c>
      <c r="G1218" s="430"/>
      <c r="H1218" s="422"/>
      <c r="I1218" s="431" t="s">
        <v>14177</v>
      </c>
      <c r="J1218" s="430"/>
      <c r="K1218" s="430"/>
      <c r="L1218" s="432" t="s">
        <v>14187</v>
      </c>
      <c r="N1218" s="395"/>
      <c r="O1218" s="395"/>
    </row>
    <row r="1219" spans="1:15">
      <c r="A1219" s="404" t="s">
        <v>935</v>
      </c>
      <c r="B1219" s="433" t="s">
        <v>936</v>
      </c>
      <c r="C1219" s="433"/>
      <c r="D1219" s="334"/>
      <c r="E1219" s="434">
        <v>2</v>
      </c>
      <c r="F1219" s="333" t="s">
        <v>104</v>
      </c>
      <c r="G1219" s="334"/>
      <c r="H1219" s="334"/>
      <c r="I1219" s="435">
        <v>23.6025</v>
      </c>
      <c r="J1219" s="334"/>
      <c r="K1219" s="334"/>
      <c r="L1219" s="346">
        <v>47.205</v>
      </c>
      <c r="N1219" s="395">
        <v>47.205</v>
      </c>
      <c r="O1219" s="395"/>
    </row>
    <row r="1220" hidden="1" spans="1:15">
      <c r="A1220" s="404">
        <v>0</v>
      </c>
      <c r="B1220" s="404" t="e">
        <v>#N/A</v>
      </c>
      <c r="C1220" s="404"/>
      <c r="D1220" s="334"/>
      <c r="E1220" s="434">
        <v>0</v>
      </c>
      <c r="F1220" s="333" t="s">
        <v>104</v>
      </c>
      <c r="G1220" s="334"/>
      <c r="H1220" s="334"/>
      <c r="I1220" s="435" t="e">
        <v>#N/A</v>
      </c>
      <c r="J1220" s="334"/>
      <c r="K1220" s="334"/>
      <c r="L1220" s="346" t="s">
        <v>932</v>
      </c>
      <c r="N1220" s="395" t="s">
        <v>932</v>
      </c>
      <c r="O1220" s="395"/>
    </row>
    <row r="1221" hidden="1" spans="1:15">
      <c r="A1221" s="404">
        <v>0</v>
      </c>
      <c r="B1221" s="404" t="e">
        <v>#N/A</v>
      </c>
      <c r="C1221" s="404"/>
      <c r="D1221" s="334"/>
      <c r="E1221" s="434">
        <v>0</v>
      </c>
      <c r="F1221" s="333" t="s">
        <v>104</v>
      </c>
      <c r="G1221" s="334"/>
      <c r="H1221" s="334"/>
      <c r="I1221" s="435" t="e">
        <v>#N/A</v>
      </c>
      <c r="J1221" s="334"/>
      <c r="K1221" s="334"/>
      <c r="L1221" s="346" t="s">
        <v>932</v>
      </c>
      <c r="N1221" s="395" t="s">
        <v>932</v>
      </c>
      <c r="O1221" s="395"/>
    </row>
    <row r="1222" hidden="1" spans="1:15">
      <c r="A1222" s="404">
        <v>0</v>
      </c>
      <c r="B1222" s="404" t="e">
        <v>#N/A</v>
      </c>
      <c r="C1222" s="404"/>
      <c r="D1222" s="334"/>
      <c r="E1222" s="434">
        <v>0</v>
      </c>
      <c r="F1222" s="333" t="s">
        <v>104</v>
      </c>
      <c r="G1222" s="334"/>
      <c r="H1222" s="334"/>
      <c r="I1222" s="435" t="e">
        <v>#N/A</v>
      </c>
      <c r="J1222" s="334"/>
      <c r="K1222" s="334"/>
      <c r="L1222" s="346" t="s">
        <v>932</v>
      </c>
      <c r="N1222" s="395" t="s">
        <v>932</v>
      </c>
      <c r="O1222" s="395"/>
    </row>
    <row r="1223" hidden="1" spans="1:15">
      <c r="A1223" s="404">
        <v>0</v>
      </c>
      <c r="B1223" s="404" t="e">
        <v>#N/A</v>
      </c>
      <c r="C1223" s="404"/>
      <c r="D1223" s="334"/>
      <c r="E1223" s="434">
        <v>0</v>
      </c>
      <c r="F1223" s="333" t="s">
        <v>104</v>
      </c>
      <c r="G1223" s="334"/>
      <c r="H1223" s="334"/>
      <c r="I1223" s="435" t="e">
        <v>#N/A</v>
      </c>
      <c r="J1223" s="334"/>
      <c r="K1223" s="334"/>
      <c r="L1223" s="346" t="s">
        <v>932</v>
      </c>
      <c r="N1223" s="395" t="s">
        <v>932</v>
      </c>
      <c r="O1223" s="395"/>
    </row>
    <row r="1224" hidden="1" spans="1:15">
      <c r="A1224" s="404">
        <v>0</v>
      </c>
      <c r="B1224" s="404" t="e">
        <v>#N/A</v>
      </c>
      <c r="C1224" s="404"/>
      <c r="D1224" s="334"/>
      <c r="E1224" s="434">
        <v>0</v>
      </c>
      <c r="F1224" s="333" t="s">
        <v>104</v>
      </c>
      <c r="G1224" s="334"/>
      <c r="H1224" s="334"/>
      <c r="I1224" s="435" t="e">
        <v>#N/A</v>
      </c>
      <c r="J1224" s="334"/>
      <c r="K1224" s="334"/>
      <c r="L1224" s="346" t="s">
        <v>932</v>
      </c>
      <c r="N1224" s="395" t="s">
        <v>932</v>
      </c>
      <c r="O1224" s="395"/>
    </row>
    <row r="1225" hidden="1" spans="1:15">
      <c r="A1225" s="404">
        <v>0</v>
      </c>
      <c r="B1225" s="404" t="e">
        <v>#N/A</v>
      </c>
      <c r="C1225" s="404"/>
      <c r="D1225" s="334"/>
      <c r="E1225" s="434">
        <v>0</v>
      </c>
      <c r="F1225" s="333" t="s">
        <v>104</v>
      </c>
      <c r="G1225" s="334"/>
      <c r="H1225" s="334"/>
      <c r="I1225" s="435" t="e">
        <v>#N/A</v>
      </c>
      <c r="J1225" s="334"/>
      <c r="K1225" s="334"/>
      <c r="L1225" s="346" t="s">
        <v>932</v>
      </c>
      <c r="N1225" s="395" t="s">
        <v>932</v>
      </c>
      <c r="O1225" s="395"/>
    </row>
    <row r="1226" hidden="1" spans="1:15">
      <c r="A1226" s="404">
        <v>0</v>
      </c>
      <c r="B1226" s="436" t="e">
        <v>#N/A</v>
      </c>
      <c r="C1226" s="436"/>
      <c r="D1226" s="334"/>
      <c r="E1226" s="434">
        <v>0</v>
      </c>
      <c r="F1226" s="333" t="s">
        <v>104</v>
      </c>
      <c r="G1226" s="334"/>
      <c r="H1226" s="334"/>
      <c r="I1226" s="435" t="e">
        <v>#N/A</v>
      </c>
      <c r="J1226" s="334"/>
      <c r="K1226" s="334"/>
      <c r="L1226" s="346" t="s">
        <v>932</v>
      </c>
      <c r="N1226" s="395" t="s">
        <v>932</v>
      </c>
      <c r="O1226" s="395"/>
    </row>
    <row r="1227" spans="1:15">
      <c r="A1227" s="421"/>
      <c r="B1227" s="62"/>
      <c r="C1227" s="62"/>
      <c r="D1227" s="422"/>
      <c r="E1227" s="423"/>
      <c r="F1227" s="424"/>
      <c r="G1227" s="422"/>
      <c r="H1227" s="422"/>
      <c r="I1227" s="422"/>
      <c r="J1227" s="422"/>
      <c r="K1227" s="425" t="s">
        <v>14188</v>
      </c>
      <c r="L1227" s="426">
        <v>47.205</v>
      </c>
      <c r="N1227" s="427">
        <v>47.205</v>
      </c>
      <c r="O1227" s="395"/>
    </row>
    <row r="1228" spans="1:15">
      <c r="I1228" s="437"/>
      <c r="K1228" s="383" t="s">
        <v>14189</v>
      </c>
      <c r="L1228" s="427">
        <v>376.7626</v>
      </c>
      <c r="N1228" s="395">
        <v>162.4234</v>
      </c>
      <c r="O1228" s="395"/>
    </row>
    <row r="1229" spans="1:15">
      <c r="K1229" s="383" t="s">
        <v>14190</v>
      </c>
      <c r="L1229" s="427">
        <v>19.4608780991736</v>
      </c>
      <c r="N1229" s="395">
        <v>8.38963842975207</v>
      </c>
      <c r="O1229" s="395">
        <v>0.396158726652893</v>
      </c>
    </row>
    <row r="1230" spans="1:15">
      <c r="K1230" s="383" t="s">
        <v>14191</v>
      </c>
      <c r="L1230" s="427">
        <v>0.396158726652893</v>
      </c>
      <c r="N1230" s="395"/>
      <c r="O1230" s="395"/>
    </row>
    <row r="1231" spans="1:15">
      <c r="K1231" s="383" t="s">
        <v>14192</v>
      </c>
      <c r="L1231" s="395">
        <v>0</v>
      </c>
      <c r="N1231" s="395"/>
      <c r="O1231" s="395"/>
    </row>
    <row r="1232" hidden="1" spans="1:15">
      <c r="A1232" s="428" t="s">
        <v>14193</v>
      </c>
      <c r="B1232" s="430"/>
      <c r="C1232" s="430"/>
      <c r="D1232" s="430"/>
      <c r="E1232" s="431" t="s">
        <v>74</v>
      </c>
      <c r="F1232" s="431" t="s">
        <v>1123</v>
      </c>
      <c r="G1232" s="430"/>
      <c r="H1232" s="430"/>
      <c r="I1232" s="425" t="s">
        <v>75</v>
      </c>
      <c r="J1232" s="430"/>
      <c r="K1232" s="430"/>
      <c r="L1232" s="426" t="s">
        <v>14194</v>
      </c>
      <c r="N1232" s="395"/>
      <c r="O1232" s="395"/>
    </row>
    <row r="1233" hidden="1" spans="1:15">
      <c r="A1233" s="404">
        <v>0</v>
      </c>
      <c r="B1233" s="433" t="e">
        <v>#N/A</v>
      </c>
      <c r="C1233" s="433"/>
      <c r="D1233" s="334"/>
      <c r="E1233" s="434">
        <v>0</v>
      </c>
      <c r="F1233" s="333" t="e">
        <v>#N/A</v>
      </c>
      <c r="G1233" s="334"/>
      <c r="I1233" s="395" t="e">
        <v>#N/A</v>
      </c>
      <c r="J1233" s="395"/>
      <c r="K1233" s="395"/>
      <c r="L1233" s="346" t="s">
        <v>932</v>
      </c>
      <c r="N1233" s="395"/>
      <c r="O1233" s="395"/>
    </row>
    <row r="1234" hidden="1" spans="1:15">
      <c r="A1234" s="404">
        <v>0</v>
      </c>
      <c r="B1234" s="404" t="e">
        <v>#N/A</v>
      </c>
      <c r="C1234" s="404"/>
      <c r="D1234" s="334"/>
      <c r="E1234" s="434">
        <v>0</v>
      </c>
      <c r="F1234" s="333" t="e">
        <v>#N/A</v>
      </c>
      <c r="G1234" s="334"/>
      <c r="I1234" s="395" t="e">
        <v>#N/A</v>
      </c>
      <c r="J1234" s="395"/>
      <c r="K1234" s="395"/>
      <c r="L1234" s="346" t="s">
        <v>932</v>
      </c>
      <c r="N1234" s="395"/>
      <c r="O1234" s="395"/>
    </row>
    <row r="1235" hidden="1" spans="1:15">
      <c r="A1235" s="404">
        <v>0</v>
      </c>
      <c r="B1235" s="404" t="e">
        <v>#N/A</v>
      </c>
      <c r="C1235" s="404"/>
      <c r="D1235" s="334"/>
      <c r="E1235" s="434">
        <v>0</v>
      </c>
      <c r="F1235" s="333" t="e">
        <v>#N/A</v>
      </c>
      <c r="G1235" s="334"/>
      <c r="I1235" s="395" t="e">
        <v>#N/A</v>
      </c>
      <c r="J1235" s="395"/>
      <c r="K1235" s="395"/>
      <c r="L1235" s="346" t="s">
        <v>932</v>
      </c>
      <c r="N1235" s="395"/>
      <c r="O1235" s="395"/>
    </row>
    <row r="1236" hidden="1" spans="1:15">
      <c r="A1236" s="404">
        <v>0</v>
      </c>
      <c r="B1236" s="404" t="e">
        <v>#N/A</v>
      </c>
      <c r="C1236" s="404"/>
      <c r="D1236" s="334"/>
      <c r="E1236" s="434">
        <v>0</v>
      </c>
      <c r="F1236" s="333" t="e">
        <v>#N/A</v>
      </c>
      <c r="G1236" s="334"/>
      <c r="I1236" s="395" t="e">
        <v>#N/A</v>
      </c>
      <c r="J1236" s="395"/>
      <c r="K1236" s="395"/>
      <c r="L1236" s="346" t="s">
        <v>932</v>
      </c>
      <c r="N1236" s="395"/>
      <c r="O1236" s="395"/>
    </row>
    <row r="1237" hidden="1" spans="1:15">
      <c r="A1237" s="404">
        <v>0</v>
      </c>
      <c r="B1237" s="404" t="e">
        <v>#N/A</v>
      </c>
      <c r="C1237" s="404"/>
      <c r="D1237" s="334"/>
      <c r="E1237" s="434">
        <v>0</v>
      </c>
      <c r="F1237" s="333" t="e">
        <v>#N/A</v>
      </c>
      <c r="G1237" s="334"/>
      <c r="H1237" s="334"/>
      <c r="I1237" s="395" t="e">
        <v>#N/A</v>
      </c>
      <c r="J1237" s="395"/>
      <c r="K1237" s="395"/>
      <c r="L1237" s="346" t="s">
        <v>932</v>
      </c>
      <c r="N1237" s="395"/>
      <c r="O1237" s="395"/>
    </row>
    <row r="1238" hidden="1" spans="1:15">
      <c r="A1238" s="404">
        <v>0</v>
      </c>
      <c r="B1238" s="404" t="e">
        <v>#N/A</v>
      </c>
      <c r="C1238" s="404"/>
      <c r="D1238" s="334"/>
      <c r="E1238" s="434">
        <v>0</v>
      </c>
      <c r="F1238" s="333" t="e">
        <v>#N/A</v>
      </c>
      <c r="G1238" s="334"/>
      <c r="H1238" s="334"/>
      <c r="I1238" s="395" t="e">
        <v>#N/A</v>
      </c>
      <c r="J1238" s="395"/>
      <c r="K1238" s="395"/>
      <c r="L1238" s="346" t="s">
        <v>932</v>
      </c>
      <c r="N1238" s="395"/>
      <c r="O1238" s="395"/>
    </row>
    <row r="1239" hidden="1" spans="1:15">
      <c r="A1239" s="404">
        <v>0</v>
      </c>
      <c r="B1239" s="404" t="e">
        <v>#N/A</v>
      </c>
      <c r="C1239" s="404"/>
      <c r="D1239" s="334"/>
      <c r="E1239" s="434">
        <v>0</v>
      </c>
      <c r="F1239" s="333" t="e">
        <v>#N/A</v>
      </c>
      <c r="G1239" s="334"/>
      <c r="H1239" s="334"/>
      <c r="I1239" s="395" t="e">
        <v>#N/A</v>
      </c>
      <c r="J1239" s="395"/>
      <c r="K1239" s="395"/>
      <c r="L1239" s="346" t="s">
        <v>932</v>
      </c>
      <c r="N1239" s="395"/>
      <c r="O1239" s="395"/>
    </row>
    <row r="1240" hidden="1" spans="1:15">
      <c r="A1240" s="404">
        <v>0</v>
      </c>
      <c r="B1240" s="436" t="e">
        <v>#N/A</v>
      </c>
      <c r="C1240" s="436"/>
      <c r="D1240" s="438"/>
      <c r="E1240" s="434">
        <v>0</v>
      </c>
      <c r="F1240" s="333" t="e">
        <v>#N/A</v>
      </c>
      <c r="G1240" s="334"/>
      <c r="H1240" s="334"/>
      <c r="I1240" s="395" t="e">
        <v>#N/A</v>
      </c>
      <c r="J1240" s="395"/>
      <c r="K1240" s="395"/>
      <c r="L1240" s="346" t="s">
        <v>932</v>
      </c>
      <c r="N1240" s="395"/>
      <c r="O1240" s="395"/>
    </row>
    <row r="1241" hidden="1" spans="1:15">
      <c r="A1241" s="421"/>
      <c r="B1241" s="422"/>
      <c r="C1241" s="422"/>
      <c r="D1241" s="422"/>
      <c r="E1241" s="423"/>
      <c r="F1241" s="424"/>
      <c r="G1241" s="422"/>
      <c r="H1241" s="422"/>
      <c r="I1241" s="430"/>
      <c r="J1241" s="430"/>
      <c r="K1241" s="425" t="s">
        <v>14203</v>
      </c>
      <c r="L1241" s="426">
        <v>0</v>
      </c>
      <c r="N1241" s="395"/>
      <c r="O1241" s="395"/>
    </row>
    <row r="1242" hidden="1" spans="1:15">
      <c r="A1242" s="428" t="s">
        <v>14204</v>
      </c>
      <c r="B1242" s="430"/>
      <c r="C1242" s="430"/>
      <c r="D1242" s="430"/>
      <c r="E1242" s="431" t="s">
        <v>74</v>
      </c>
      <c r="F1242" s="431" t="s">
        <v>1123</v>
      </c>
      <c r="G1242" s="430"/>
      <c r="H1242" s="430"/>
      <c r="I1242" s="425" t="s">
        <v>75</v>
      </c>
      <c r="J1242" s="430"/>
      <c r="K1242" s="430"/>
      <c r="L1242" s="426" t="s">
        <v>14194</v>
      </c>
      <c r="N1242" s="395"/>
      <c r="O1242" s="395"/>
    </row>
    <row r="1243" hidden="1" spans="1:15">
      <c r="A1243" s="404">
        <v>0</v>
      </c>
      <c r="B1243" s="334" t="e">
        <v>#N/A</v>
      </c>
      <c r="C1243" s="334"/>
      <c r="D1243" s="334"/>
      <c r="E1243" s="434">
        <v>0</v>
      </c>
      <c r="F1243" s="333" t="e">
        <v>#N/A</v>
      </c>
      <c r="G1243" s="439"/>
      <c r="I1243" s="346" t="e">
        <v>#N/A</v>
      </c>
      <c r="L1243" s="346" t="s">
        <v>932</v>
      </c>
      <c r="N1243" s="395"/>
      <c r="O1243" s="395"/>
    </row>
    <row r="1244" hidden="1" spans="1:15">
      <c r="A1244" s="401">
        <v>0</v>
      </c>
      <c r="B1244" s="334" t="e">
        <v>#N/A</v>
      </c>
      <c r="E1244" s="440">
        <v>0</v>
      </c>
      <c r="F1244" s="333" t="e">
        <v>#N/A</v>
      </c>
      <c r="G1244" s="439"/>
      <c r="I1244" s="346" t="e">
        <v>#N/A</v>
      </c>
      <c r="L1244" s="346" t="s">
        <v>932</v>
      </c>
      <c r="N1244" s="395"/>
      <c r="O1244" s="395"/>
    </row>
    <row r="1245" hidden="1" spans="1:15">
      <c r="A1245" s="401">
        <v>0</v>
      </c>
      <c r="B1245" s="334" t="e">
        <v>#N/A</v>
      </c>
      <c r="E1245" s="440">
        <v>0</v>
      </c>
      <c r="F1245" s="333" t="e">
        <v>#N/A</v>
      </c>
      <c r="G1245" s="439"/>
      <c r="I1245" s="346" t="e">
        <v>#N/A</v>
      </c>
      <c r="L1245" s="346" t="s">
        <v>932</v>
      </c>
      <c r="N1245" s="395"/>
      <c r="O1245" s="395"/>
    </row>
    <row r="1246" hidden="1" spans="1:15">
      <c r="A1246" s="401">
        <v>0</v>
      </c>
      <c r="B1246" s="334" t="e">
        <v>#N/A</v>
      </c>
      <c r="E1246" s="440">
        <v>0</v>
      </c>
      <c r="F1246" s="333" t="e">
        <v>#N/A</v>
      </c>
      <c r="G1246" s="439"/>
      <c r="I1246" s="346" t="e">
        <v>#N/A</v>
      </c>
      <c r="L1246" s="346" t="s">
        <v>932</v>
      </c>
      <c r="N1246" s="395"/>
      <c r="O1246" s="395"/>
    </row>
    <row r="1247" hidden="1" spans="1:15">
      <c r="A1247" s="401">
        <v>0</v>
      </c>
      <c r="B1247" s="334" t="e">
        <v>#N/A</v>
      </c>
      <c r="E1247" s="440">
        <v>0</v>
      </c>
      <c r="F1247" s="333" t="e">
        <v>#N/A</v>
      </c>
      <c r="G1247" s="439"/>
      <c r="I1247" s="346" t="e">
        <v>#N/A</v>
      </c>
      <c r="L1247" s="346" t="s">
        <v>932</v>
      </c>
      <c r="N1247" s="395"/>
      <c r="O1247" s="395"/>
    </row>
    <row r="1248" hidden="1" spans="1:15">
      <c r="A1248" s="401">
        <v>0</v>
      </c>
      <c r="B1248" s="334" t="e">
        <v>#N/A</v>
      </c>
      <c r="E1248" s="440">
        <v>0</v>
      </c>
      <c r="F1248" s="333" t="e">
        <v>#N/A</v>
      </c>
      <c r="G1248" s="439"/>
      <c r="I1248" s="346" t="e">
        <v>#N/A</v>
      </c>
      <c r="L1248" s="346" t="s">
        <v>932</v>
      </c>
      <c r="N1248" s="395"/>
      <c r="O1248" s="395"/>
    </row>
    <row r="1249" hidden="1" spans="1:15">
      <c r="A1249" s="421"/>
      <c r="B1249" s="422"/>
      <c r="C1249" s="422"/>
      <c r="D1249" s="422"/>
      <c r="E1249" s="422"/>
      <c r="F1249" s="422"/>
      <c r="G1249" s="422"/>
      <c r="H1249" s="422"/>
      <c r="I1249" s="430"/>
      <c r="J1249" s="430"/>
      <c r="K1249" s="425" t="s">
        <v>14206</v>
      </c>
      <c r="L1249" s="426">
        <v>0</v>
      </c>
      <c r="N1249" s="395"/>
      <c r="O1249" s="395"/>
    </row>
    <row r="1250" spans="1:15">
      <c r="A1250" s="421"/>
      <c r="B1250" s="422"/>
      <c r="C1250" s="422"/>
      <c r="D1250" s="422"/>
      <c r="E1250" s="422"/>
      <c r="F1250" s="422"/>
      <c r="G1250" s="422"/>
      <c r="H1250" s="422"/>
      <c r="I1250" s="430"/>
      <c r="J1250" s="430"/>
      <c r="K1250" s="425" t="s">
        <v>14207</v>
      </c>
      <c r="L1250" s="426">
        <v>19.8570368258264</v>
      </c>
      <c r="N1250" s="395"/>
      <c r="O1250" s="395"/>
    </row>
    <row r="1251" hidden="1" spans="1:15">
      <c r="A1251" s="428" t="s">
        <v>14208</v>
      </c>
      <c r="B1251" s="430"/>
      <c r="C1251" s="430"/>
      <c r="D1251" s="431" t="s">
        <v>55</v>
      </c>
      <c r="E1251" s="431" t="s">
        <v>74</v>
      </c>
      <c r="F1251" s="431" t="s">
        <v>1123</v>
      </c>
      <c r="G1251" s="430"/>
      <c r="H1251" s="430"/>
      <c r="I1251" s="425" t="s">
        <v>75</v>
      </c>
      <c r="J1251" s="430"/>
      <c r="K1251" s="430"/>
      <c r="L1251" s="426" t="s">
        <v>14194</v>
      </c>
      <c r="N1251" s="395"/>
      <c r="O1251" s="395"/>
    </row>
    <row r="1252" hidden="1" spans="1:15">
      <c r="A1252" s="404">
        <v>0</v>
      </c>
      <c r="B1252" s="441" t="e">
        <v>#N/A</v>
      </c>
      <c r="C1252" s="441"/>
      <c r="D1252" s="442">
        <v>0</v>
      </c>
      <c r="E1252" s="434">
        <v>0</v>
      </c>
      <c r="F1252" s="333" t="s">
        <v>9885</v>
      </c>
      <c r="G1252" s="443" t="s">
        <v>14209</v>
      </c>
      <c r="H1252" s="334"/>
      <c r="I1252" s="346">
        <v>0</v>
      </c>
      <c r="J1252" s="334"/>
      <c r="K1252" s="346"/>
      <c r="L1252" s="346" t="s">
        <v>932</v>
      </c>
      <c r="N1252" s="395"/>
      <c r="O1252" s="395"/>
    </row>
    <row r="1253" hidden="1" spans="1:15">
      <c r="A1253" s="404">
        <v>0</v>
      </c>
      <c r="B1253" s="334" t="e">
        <v>#N/A</v>
      </c>
      <c r="C1253" s="334"/>
      <c r="D1253" s="442">
        <v>0</v>
      </c>
      <c r="E1253" s="434">
        <v>0</v>
      </c>
      <c r="F1253" s="333" t="s">
        <v>9885</v>
      </c>
      <c r="G1253" s="334"/>
      <c r="H1253" s="334"/>
      <c r="I1253" s="346">
        <v>0</v>
      </c>
      <c r="J1253" s="334"/>
      <c r="K1253" s="346"/>
      <c r="L1253" s="346" t="s">
        <v>932</v>
      </c>
      <c r="N1253" s="395"/>
      <c r="O1253" s="395"/>
    </row>
    <row r="1254" hidden="1" spans="1:15">
      <c r="A1254" s="404">
        <v>0</v>
      </c>
      <c r="B1254" s="334" t="e">
        <v>#N/A</v>
      </c>
      <c r="C1254" s="334"/>
      <c r="D1254" s="442">
        <v>0</v>
      </c>
      <c r="E1254" s="434">
        <v>0</v>
      </c>
      <c r="F1254" s="333" t="s">
        <v>9885</v>
      </c>
      <c r="G1254" s="334"/>
      <c r="H1254" s="334"/>
      <c r="I1254" s="346">
        <v>0</v>
      </c>
      <c r="J1254" s="334"/>
      <c r="K1254" s="346"/>
      <c r="L1254" s="346" t="s">
        <v>932</v>
      </c>
      <c r="N1254" s="395"/>
      <c r="O1254" s="395"/>
    </row>
    <row r="1255" hidden="1" spans="1:15">
      <c r="A1255" s="404">
        <v>0</v>
      </c>
      <c r="B1255" s="334" t="e">
        <v>#N/A</v>
      </c>
      <c r="C1255" s="334"/>
      <c r="D1255" s="442">
        <v>0</v>
      </c>
      <c r="E1255" s="434">
        <v>0</v>
      </c>
      <c r="F1255" s="333" t="s">
        <v>9885</v>
      </c>
      <c r="G1255" s="334"/>
      <c r="H1255" s="334"/>
      <c r="I1255" s="346">
        <v>0</v>
      </c>
      <c r="J1255" s="334"/>
      <c r="K1255" s="346"/>
      <c r="L1255" s="346" t="s">
        <v>932</v>
      </c>
      <c r="N1255" s="395"/>
      <c r="O1255" s="395"/>
    </row>
    <row r="1256" hidden="1" spans="1:15">
      <c r="A1256" s="404">
        <v>0</v>
      </c>
      <c r="B1256" s="334" t="e">
        <v>#N/A</v>
      </c>
      <c r="C1256" s="334"/>
      <c r="D1256" s="442">
        <v>0</v>
      </c>
      <c r="E1256" s="434">
        <v>0</v>
      </c>
      <c r="F1256" s="333" t="s">
        <v>9885</v>
      </c>
      <c r="G1256" s="334"/>
      <c r="H1256" s="334"/>
      <c r="I1256" s="346">
        <v>0</v>
      </c>
      <c r="J1256" s="334"/>
      <c r="K1256" s="346"/>
      <c r="L1256" s="346" t="s">
        <v>932</v>
      </c>
      <c r="N1256" s="395"/>
      <c r="O1256" s="395"/>
    </row>
    <row r="1257" hidden="1" spans="1:15">
      <c r="A1257" s="404">
        <v>0</v>
      </c>
      <c r="B1257" s="334" t="e">
        <v>#N/A</v>
      </c>
      <c r="C1257" s="334"/>
      <c r="D1257" s="442">
        <v>0</v>
      </c>
      <c r="E1257" s="434">
        <v>0</v>
      </c>
      <c r="F1257" s="333" t="s">
        <v>9885</v>
      </c>
      <c r="G1257" s="334"/>
      <c r="H1257" s="334"/>
      <c r="I1257" s="346">
        <v>0</v>
      </c>
      <c r="J1257" s="334"/>
      <c r="K1257" s="346"/>
      <c r="L1257" s="346" t="s">
        <v>932</v>
      </c>
      <c r="N1257" s="395"/>
      <c r="O1257" s="395"/>
    </row>
    <row r="1258" hidden="1" spans="1:15">
      <c r="A1258" s="404">
        <v>0</v>
      </c>
      <c r="B1258" s="334" t="e">
        <v>#N/A</v>
      </c>
      <c r="C1258" s="334"/>
      <c r="D1258" s="442">
        <v>0</v>
      </c>
      <c r="E1258" s="434">
        <v>0</v>
      </c>
      <c r="F1258" s="333" t="s">
        <v>9885</v>
      </c>
      <c r="G1258" s="334"/>
      <c r="H1258" s="334"/>
      <c r="I1258" s="346">
        <v>0</v>
      </c>
      <c r="J1258" s="334"/>
      <c r="K1258" s="346"/>
      <c r="L1258" s="346" t="s">
        <v>932</v>
      </c>
      <c r="N1258" s="395"/>
      <c r="O1258" s="395"/>
    </row>
    <row r="1259" hidden="1" spans="1:15">
      <c r="A1259" s="404">
        <v>0</v>
      </c>
      <c r="B1259" s="444" t="e">
        <v>#N/A</v>
      </c>
      <c r="C1259" s="444"/>
      <c r="D1259" s="442">
        <v>0</v>
      </c>
      <c r="E1259" s="434">
        <v>0</v>
      </c>
      <c r="F1259" s="333" t="s">
        <v>9885</v>
      </c>
      <c r="G1259" s="334"/>
      <c r="H1259" s="334"/>
      <c r="I1259" s="346">
        <v>0</v>
      </c>
      <c r="J1259" s="334"/>
      <c r="K1259" s="346"/>
      <c r="L1259" s="346" t="s">
        <v>932</v>
      </c>
      <c r="N1259" s="395"/>
      <c r="O1259" s="395"/>
    </row>
    <row r="1260" hidden="1" spans="1:15">
      <c r="A1260" s="428"/>
      <c r="B1260" s="445"/>
      <c r="C1260" s="445"/>
      <c r="D1260" s="430"/>
      <c r="E1260" s="430"/>
      <c r="F1260" s="430"/>
      <c r="G1260" s="430"/>
      <c r="H1260" s="430"/>
      <c r="I1260" s="430"/>
      <c r="J1260" s="430"/>
      <c r="K1260" s="425" t="s">
        <v>14210</v>
      </c>
      <c r="L1260" s="426">
        <v>0</v>
      </c>
      <c r="N1260" s="395"/>
      <c r="O1260" s="395"/>
    </row>
    <row r="1261" hidden="1" spans="1:15">
      <c r="A1261" s="446" t="s">
        <v>14211</v>
      </c>
      <c r="B1261" s="445"/>
      <c r="C1261" s="445"/>
      <c r="D1261" s="447" t="s">
        <v>55</v>
      </c>
      <c r="E1261" s="445" t="s">
        <v>74</v>
      </c>
      <c r="F1261" s="447" t="s">
        <v>1123</v>
      </c>
      <c r="G1261" s="445"/>
      <c r="H1261" s="447" t="s">
        <v>72</v>
      </c>
      <c r="I1261" s="447" t="s">
        <v>75</v>
      </c>
      <c r="J1261" s="445"/>
      <c r="K1261" s="448"/>
      <c r="L1261" s="449" t="s">
        <v>14194</v>
      </c>
      <c r="N1261" s="395"/>
      <c r="O1261" s="395"/>
    </row>
    <row r="1262" hidden="1" spans="1:15">
      <c r="A1262" s="404">
        <v>0</v>
      </c>
      <c r="B1262" s="433" t="e">
        <v>#N/A</v>
      </c>
      <c r="C1262" s="433"/>
      <c r="D1262" s="442">
        <v>0</v>
      </c>
      <c r="E1262" s="450">
        <v>0</v>
      </c>
      <c r="F1262" s="333" t="s">
        <v>13063</v>
      </c>
      <c r="G1262" s="333" t="s">
        <v>14212</v>
      </c>
      <c r="H1262" s="346">
        <v>0</v>
      </c>
      <c r="I1262" s="346">
        <v>0</v>
      </c>
      <c r="J1262" s="346"/>
      <c r="K1262" s="334"/>
      <c r="L1262" s="346" t="s">
        <v>932</v>
      </c>
      <c r="N1262" s="395"/>
      <c r="O1262" s="395"/>
    </row>
    <row r="1263" hidden="1" spans="1:15">
      <c r="A1263" s="404"/>
      <c r="B1263" s="404"/>
      <c r="C1263" s="334"/>
      <c r="D1263" s="442">
        <v>0</v>
      </c>
      <c r="E1263" s="450">
        <v>0</v>
      </c>
      <c r="F1263" s="333" t="s">
        <v>13063</v>
      </c>
      <c r="G1263" s="333" t="s">
        <v>14213</v>
      </c>
      <c r="H1263" s="346">
        <v>0</v>
      </c>
      <c r="I1263" s="346">
        <v>0</v>
      </c>
      <c r="J1263" s="346"/>
      <c r="K1263" s="334"/>
      <c r="L1263" s="346" t="s">
        <v>932</v>
      </c>
      <c r="N1263" s="395"/>
      <c r="O1263" s="395"/>
    </row>
    <row r="1264" hidden="1" spans="1:15">
      <c r="A1264" s="404"/>
      <c r="B1264" s="404"/>
      <c r="C1264" s="334"/>
      <c r="D1264" s="442">
        <v>0</v>
      </c>
      <c r="E1264" s="450">
        <v>0</v>
      </c>
      <c r="F1264" s="333" t="s">
        <v>13063</v>
      </c>
      <c r="G1264" s="333" t="s">
        <v>14214</v>
      </c>
      <c r="H1264" s="346">
        <v>0</v>
      </c>
      <c r="I1264" s="346">
        <v>0</v>
      </c>
      <c r="J1264" s="346"/>
      <c r="K1264" s="334"/>
      <c r="L1264" s="346" t="s">
        <v>932</v>
      </c>
      <c r="N1264" s="395"/>
      <c r="O1264" s="395"/>
    </row>
    <row r="1265" hidden="1" spans="1:15">
      <c r="A1265" s="404">
        <v>0</v>
      </c>
      <c r="B1265" s="404" t="e">
        <v>#N/A</v>
      </c>
      <c r="C1265" s="404"/>
      <c r="D1265" s="442">
        <v>0</v>
      </c>
      <c r="E1265" s="450">
        <v>0</v>
      </c>
      <c r="F1265" s="333" t="s">
        <v>13063</v>
      </c>
      <c r="G1265" s="333" t="s">
        <v>14212</v>
      </c>
      <c r="H1265" s="346">
        <v>0</v>
      </c>
      <c r="I1265" s="346">
        <v>0</v>
      </c>
      <c r="J1265" s="346"/>
      <c r="K1265" s="334"/>
      <c r="L1265" s="346" t="s">
        <v>932</v>
      </c>
      <c r="N1265" s="395"/>
      <c r="O1265" s="395"/>
    </row>
    <row r="1266" hidden="1" spans="1:15">
      <c r="A1266" s="404"/>
      <c r="B1266" s="404"/>
      <c r="C1266" s="334"/>
      <c r="D1266" s="442">
        <v>0</v>
      </c>
      <c r="E1266" s="450">
        <v>0</v>
      </c>
      <c r="F1266" s="333" t="s">
        <v>13063</v>
      </c>
      <c r="G1266" s="333" t="s">
        <v>14213</v>
      </c>
      <c r="H1266" s="346">
        <v>0</v>
      </c>
      <c r="I1266" s="346">
        <v>0</v>
      </c>
      <c r="J1266" s="346"/>
      <c r="K1266" s="334"/>
      <c r="L1266" s="346" t="s">
        <v>932</v>
      </c>
      <c r="N1266" s="395"/>
      <c r="O1266" s="395"/>
    </row>
    <row r="1267" hidden="1" spans="1:15">
      <c r="A1267" s="404"/>
      <c r="B1267" s="404"/>
      <c r="C1267" s="334"/>
      <c r="D1267" s="442">
        <v>0</v>
      </c>
      <c r="E1267" s="450">
        <v>0</v>
      </c>
      <c r="F1267" s="333" t="s">
        <v>13063</v>
      </c>
      <c r="G1267" s="333" t="s">
        <v>14214</v>
      </c>
      <c r="H1267" s="346">
        <v>0</v>
      </c>
      <c r="I1267" s="346">
        <v>0</v>
      </c>
      <c r="J1267" s="346"/>
      <c r="K1267" s="334"/>
      <c r="L1267" s="346" t="s">
        <v>932</v>
      </c>
      <c r="N1267" s="395"/>
      <c r="O1267" s="395"/>
    </row>
    <row r="1268" hidden="1" spans="1:15">
      <c r="A1268" s="404">
        <v>0</v>
      </c>
      <c r="B1268" s="404" t="e">
        <v>#N/A</v>
      </c>
      <c r="C1268" s="404"/>
      <c r="D1268" s="442">
        <v>0</v>
      </c>
      <c r="E1268" s="450">
        <v>0</v>
      </c>
      <c r="F1268" s="333" t="s">
        <v>13063</v>
      </c>
      <c r="G1268" s="333" t="s">
        <v>14212</v>
      </c>
      <c r="H1268" s="346">
        <v>0</v>
      </c>
      <c r="I1268" s="346">
        <v>0</v>
      </c>
      <c r="J1268" s="346"/>
      <c r="K1268" s="334"/>
      <c r="L1268" s="346" t="s">
        <v>932</v>
      </c>
      <c r="N1268" s="395"/>
      <c r="O1268" s="395"/>
    </row>
    <row r="1269" hidden="1" spans="1:15">
      <c r="A1269" s="404"/>
      <c r="B1269" s="404"/>
      <c r="C1269" s="334"/>
      <c r="D1269" s="442">
        <v>0</v>
      </c>
      <c r="E1269" s="450">
        <v>0</v>
      </c>
      <c r="F1269" s="333" t="s">
        <v>13063</v>
      </c>
      <c r="G1269" s="333" t="s">
        <v>14213</v>
      </c>
      <c r="H1269" s="346">
        <v>0</v>
      </c>
      <c r="I1269" s="346">
        <v>0</v>
      </c>
      <c r="J1269" s="346"/>
      <c r="K1269" s="334"/>
      <c r="L1269" s="346" t="s">
        <v>932</v>
      </c>
      <c r="N1269" s="395"/>
      <c r="O1269" s="395"/>
    </row>
    <row r="1270" hidden="1" spans="1:15">
      <c r="A1270" s="404"/>
      <c r="B1270" s="404"/>
      <c r="C1270" s="334"/>
      <c r="D1270" s="442">
        <v>0</v>
      </c>
      <c r="E1270" s="450">
        <v>0</v>
      </c>
      <c r="F1270" s="333" t="s">
        <v>13063</v>
      </c>
      <c r="G1270" s="333" t="s">
        <v>14214</v>
      </c>
      <c r="H1270" s="346">
        <v>0</v>
      </c>
      <c r="I1270" s="346">
        <v>0</v>
      </c>
      <c r="J1270" s="346"/>
      <c r="K1270" s="334"/>
      <c r="L1270" s="346" t="s">
        <v>932</v>
      </c>
      <c r="N1270" s="395"/>
      <c r="O1270" s="395"/>
    </row>
    <row r="1271" hidden="1" spans="1:15">
      <c r="A1271" s="404">
        <v>0</v>
      </c>
      <c r="B1271" s="404" t="e">
        <v>#N/A</v>
      </c>
      <c r="C1271" s="404"/>
      <c r="D1271" s="442">
        <v>0</v>
      </c>
      <c r="E1271" s="450">
        <v>0</v>
      </c>
      <c r="F1271" s="333" t="s">
        <v>13063</v>
      </c>
      <c r="G1271" s="333" t="s">
        <v>14212</v>
      </c>
      <c r="H1271" s="346">
        <v>0</v>
      </c>
      <c r="I1271" s="346">
        <v>0</v>
      </c>
      <c r="J1271" s="346"/>
      <c r="K1271" s="334"/>
      <c r="L1271" s="346" t="s">
        <v>932</v>
      </c>
      <c r="N1271" s="395"/>
      <c r="O1271" s="395"/>
    </row>
    <row r="1272" hidden="1" spans="1:15">
      <c r="A1272" s="404"/>
      <c r="B1272" s="404"/>
      <c r="C1272" s="334"/>
      <c r="D1272" s="442">
        <v>0</v>
      </c>
      <c r="E1272" s="450">
        <v>0</v>
      </c>
      <c r="F1272" s="333" t="s">
        <v>13063</v>
      </c>
      <c r="G1272" s="333" t="s">
        <v>14213</v>
      </c>
      <c r="H1272" s="346">
        <v>0</v>
      </c>
      <c r="I1272" s="346">
        <v>0</v>
      </c>
      <c r="J1272" s="346"/>
      <c r="K1272" s="334"/>
      <c r="L1272" s="346" t="s">
        <v>932</v>
      </c>
      <c r="N1272" s="395"/>
      <c r="O1272" s="395"/>
    </row>
    <row r="1273" hidden="1" spans="1:15">
      <c r="A1273" s="404"/>
      <c r="B1273" s="404"/>
      <c r="C1273" s="334"/>
      <c r="D1273" s="442">
        <v>0</v>
      </c>
      <c r="E1273" s="450">
        <v>0</v>
      </c>
      <c r="F1273" s="333" t="s">
        <v>13063</v>
      </c>
      <c r="G1273" s="333" t="s">
        <v>14214</v>
      </c>
      <c r="H1273" s="346">
        <v>0</v>
      </c>
      <c r="I1273" s="346">
        <v>0</v>
      </c>
      <c r="J1273" s="346"/>
      <c r="K1273" s="334"/>
      <c r="L1273" s="346" t="s">
        <v>932</v>
      </c>
      <c r="N1273" s="395"/>
      <c r="O1273" s="395"/>
    </row>
    <row r="1274" hidden="1" spans="1:15">
      <c r="A1274" s="404">
        <v>0</v>
      </c>
      <c r="B1274" s="404" t="e">
        <v>#N/A</v>
      </c>
      <c r="C1274" s="404"/>
      <c r="D1274" s="442">
        <v>0</v>
      </c>
      <c r="E1274" s="450">
        <v>0</v>
      </c>
      <c r="F1274" s="333" t="s">
        <v>13063</v>
      </c>
      <c r="G1274" s="333" t="s">
        <v>14212</v>
      </c>
      <c r="H1274" s="346">
        <v>0</v>
      </c>
      <c r="I1274" s="346">
        <v>0</v>
      </c>
      <c r="J1274" s="346"/>
      <c r="K1274" s="334"/>
      <c r="L1274" s="346" t="s">
        <v>932</v>
      </c>
      <c r="N1274" s="395"/>
      <c r="O1274" s="395"/>
    </row>
    <row r="1275" hidden="1" spans="1:15">
      <c r="A1275" s="404"/>
      <c r="B1275" s="404"/>
      <c r="C1275" s="334"/>
      <c r="D1275" s="442">
        <v>0</v>
      </c>
      <c r="E1275" s="450">
        <v>0</v>
      </c>
      <c r="F1275" s="333" t="s">
        <v>13063</v>
      </c>
      <c r="G1275" s="333" t="s">
        <v>14213</v>
      </c>
      <c r="H1275" s="346">
        <v>0</v>
      </c>
      <c r="I1275" s="346">
        <v>0</v>
      </c>
      <c r="J1275" s="346"/>
      <c r="K1275" s="334"/>
      <c r="L1275" s="346" t="s">
        <v>932</v>
      </c>
      <c r="N1275" s="395"/>
      <c r="O1275" s="395"/>
    </row>
    <row r="1276" hidden="1" spans="1:15">
      <c r="A1276" s="404"/>
      <c r="B1276" s="404"/>
      <c r="C1276" s="334"/>
      <c r="D1276" s="442">
        <v>0</v>
      </c>
      <c r="E1276" s="450">
        <v>0</v>
      </c>
      <c r="F1276" s="333" t="s">
        <v>13063</v>
      </c>
      <c r="G1276" s="333" t="s">
        <v>14214</v>
      </c>
      <c r="H1276" s="346">
        <v>0</v>
      </c>
      <c r="I1276" s="346">
        <v>0</v>
      </c>
      <c r="J1276" s="346"/>
      <c r="K1276" s="334"/>
      <c r="L1276" s="346" t="s">
        <v>932</v>
      </c>
      <c r="N1276" s="395"/>
      <c r="O1276" s="395"/>
    </row>
    <row r="1277" hidden="1" spans="1:15">
      <c r="A1277" s="401">
        <v>0</v>
      </c>
      <c r="B1277" s="401" t="e">
        <v>#N/A</v>
      </c>
      <c r="C1277" s="401"/>
      <c r="D1277" s="442">
        <v>0</v>
      </c>
      <c r="E1277" s="450">
        <v>0</v>
      </c>
      <c r="F1277" s="439" t="s">
        <v>13063</v>
      </c>
      <c r="G1277" s="439" t="s">
        <v>14212</v>
      </c>
      <c r="H1277" s="346">
        <v>0</v>
      </c>
      <c r="I1277" s="346">
        <v>0</v>
      </c>
      <c r="J1277" s="395"/>
      <c r="L1277" s="346" t="s">
        <v>932</v>
      </c>
      <c r="N1277" s="395"/>
      <c r="O1277" s="395"/>
    </row>
    <row r="1278" hidden="1" spans="1:15">
      <c r="A1278" s="401"/>
      <c r="B1278" s="401"/>
      <c r="D1278" s="442">
        <v>0</v>
      </c>
      <c r="E1278" s="450">
        <v>0</v>
      </c>
      <c r="F1278" s="439" t="s">
        <v>13063</v>
      </c>
      <c r="G1278" s="439" t="s">
        <v>14213</v>
      </c>
      <c r="H1278" s="346">
        <v>0</v>
      </c>
      <c r="I1278" s="346">
        <v>0</v>
      </c>
      <c r="J1278" s="395"/>
      <c r="L1278" s="346" t="s">
        <v>932</v>
      </c>
      <c r="N1278" s="395"/>
      <c r="O1278" s="395"/>
    </row>
    <row r="1279" hidden="1" spans="1:15">
      <c r="A1279" s="401"/>
      <c r="B1279" s="401"/>
      <c r="D1279" s="442">
        <v>0</v>
      </c>
      <c r="E1279" s="450">
        <v>0</v>
      </c>
      <c r="F1279" s="439" t="s">
        <v>13063</v>
      </c>
      <c r="G1279" s="439" t="s">
        <v>14214</v>
      </c>
      <c r="H1279" s="346">
        <v>0</v>
      </c>
      <c r="I1279" s="346">
        <v>0</v>
      </c>
      <c r="J1279" s="395"/>
      <c r="L1279" s="346" t="s">
        <v>932</v>
      </c>
      <c r="N1279" s="395"/>
      <c r="O1279" s="395"/>
    </row>
    <row r="1280" hidden="1" spans="1:15">
      <c r="A1280" s="401">
        <v>0</v>
      </c>
      <c r="B1280" s="401" t="e">
        <v>#N/A</v>
      </c>
      <c r="C1280" s="401"/>
      <c r="D1280" s="442">
        <v>0</v>
      </c>
      <c r="E1280" s="450">
        <v>0</v>
      </c>
      <c r="F1280" s="439" t="s">
        <v>13063</v>
      </c>
      <c r="G1280" s="439" t="s">
        <v>14212</v>
      </c>
      <c r="H1280" s="346">
        <v>0</v>
      </c>
      <c r="I1280" s="346">
        <v>0</v>
      </c>
      <c r="J1280" s="395"/>
      <c r="L1280" s="346" t="s">
        <v>932</v>
      </c>
      <c r="N1280" s="395"/>
      <c r="O1280" s="395"/>
    </row>
    <row r="1281" hidden="1" spans="1:15">
      <c r="A1281" s="401"/>
      <c r="B1281" s="401"/>
      <c r="D1281" s="442">
        <v>0</v>
      </c>
      <c r="E1281" s="450">
        <v>0</v>
      </c>
      <c r="F1281" s="439" t="s">
        <v>13063</v>
      </c>
      <c r="G1281" s="439" t="s">
        <v>14213</v>
      </c>
      <c r="H1281" s="346">
        <v>0</v>
      </c>
      <c r="I1281" s="346">
        <v>0</v>
      </c>
      <c r="J1281" s="395"/>
      <c r="L1281" s="346" t="s">
        <v>932</v>
      </c>
      <c r="N1281" s="395"/>
      <c r="O1281" s="395"/>
    </row>
    <row r="1282" hidden="1" spans="1:15">
      <c r="A1282" s="401"/>
      <c r="B1282" s="401"/>
      <c r="D1282" s="442">
        <v>0</v>
      </c>
      <c r="E1282" s="450">
        <v>0</v>
      </c>
      <c r="F1282" s="439" t="s">
        <v>13063</v>
      </c>
      <c r="G1282" s="439" t="s">
        <v>14214</v>
      </c>
      <c r="H1282" s="346">
        <v>0</v>
      </c>
      <c r="I1282" s="346">
        <v>0</v>
      </c>
      <c r="J1282" s="395"/>
      <c r="L1282" s="346" t="s">
        <v>932</v>
      </c>
      <c r="N1282" s="395"/>
      <c r="O1282" s="395"/>
    </row>
    <row r="1283" hidden="1" spans="1:15">
      <c r="A1283" s="401">
        <v>0</v>
      </c>
      <c r="B1283" s="401" t="e">
        <v>#N/A</v>
      </c>
      <c r="C1283" s="401"/>
      <c r="D1283" s="442">
        <v>0</v>
      </c>
      <c r="E1283" s="450">
        <v>0</v>
      </c>
      <c r="F1283" s="439" t="s">
        <v>13063</v>
      </c>
      <c r="G1283" s="439" t="s">
        <v>14212</v>
      </c>
      <c r="H1283" s="346">
        <v>0</v>
      </c>
      <c r="I1283" s="346">
        <v>0</v>
      </c>
      <c r="J1283" s="395"/>
      <c r="L1283" s="346" t="s">
        <v>932</v>
      </c>
      <c r="N1283" s="395"/>
      <c r="O1283" s="395"/>
    </row>
    <row r="1284" hidden="1" spans="1:15">
      <c r="A1284" s="401"/>
      <c r="B1284" s="401"/>
      <c r="D1284" s="442">
        <v>0</v>
      </c>
      <c r="E1284" s="450">
        <v>0</v>
      </c>
      <c r="F1284" s="439" t="s">
        <v>13063</v>
      </c>
      <c r="G1284" s="439" t="s">
        <v>14213</v>
      </c>
      <c r="H1284" s="346">
        <v>0</v>
      </c>
      <c r="I1284" s="346">
        <v>0</v>
      </c>
      <c r="J1284" s="395"/>
      <c r="L1284" s="346" t="s">
        <v>932</v>
      </c>
      <c r="N1284" s="395"/>
      <c r="O1284" s="395"/>
    </row>
    <row r="1285" hidden="1" spans="1:15">
      <c r="A1285" s="401"/>
      <c r="B1285" s="401"/>
      <c r="D1285" s="442">
        <v>0</v>
      </c>
      <c r="E1285" s="450">
        <v>0</v>
      </c>
      <c r="F1285" s="439" t="s">
        <v>13063</v>
      </c>
      <c r="G1285" s="439" t="s">
        <v>14214</v>
      </c>
      <c r="H1285" s="346">
        <v>0</v>
      </c>
      <c r="I1285" s="346">
        <v>0</v>
      </c>
      <c r="J1285" s="395"/>
      <c r="L1285" s="346" t="s">
        <v>932</v>
      </c>
      <c r="N1285" s="395"/>
      <c r="O1285" s="395"/>
    </row>
    <row r="1286" hidden="1" spans="1:15">
      <c r="A1286" s="421"/>
      <c r="B1286" s="422"/>
      <c r="C1286" s="422"/>
      <c r="D1286" s="422"/>
      <c r="E1286" s="422"/>
      <c r="F1286" s="422"/>
      <c r="G1286" s="422"/>
      <c r="H1286" s="422"/>
      <c r="I1286" s="430"/>
      <c r="J1286" s="430"/>
      <c r="K1286" s="425" t="s">
        <v>14215</v>
      </c>
      <c r="L1286" s="426">
        <v>0</v>
      </c>
      <c r="N1286" s="395"/>
      <c r="O1286" s="395"/>
    </row>
    <row r="1287" spans="1:15">
      <c r="A1287" s="451"/>
      <c r="B1287" s="452"/>
      <c r="C1287" s="452"/>
      <c r="D1287" s="452"/>
      <c r="E1287" s="452"/>
      <c r="F1287" s="452"/>
      <c r="G1287" s="452"/>
      <c r="H1287" s="452"/>
      <c r="I1287" s="453"/>
      <c r="J1287" s="453"/>
      <c r="K1287" s="454" t="s">
        <v>14216</v>
      </c>
      <c r="L1287" s="455">
        <v>19.86</v>
      </c>
      <c r="N1287" s="395"/>
      <c r="O1287" s="395"/>
    </row>
  </sheetData>
  <mergeCells count="525">
    <mergeCell ref="B14:F14"/>
    <mergeCell ref="G17:H17"/>
    <mergeCell ref="I17:J17"/>
    <mergeCell ref="B19:C19"/>
    <mergeCell ref="B20:C20"/>
    <mergeCell ref="B21:C21"/>
    <mergeCell ref="B22:C22"/>
    <mergeCell ref="B23:C23"/>
    <mergeCell ref="B24:C24"/>
    <mergeCell ref="B25:C25"/>
    <mergeCell ref="B26:C26"/>
    <mergeCell ref="B29:C29"/>
    <mergeCell ref="B30:C30"/>
    <mergeCell ref="B31:C31"/>
    <mergeCell ref="B32:C32"/>
    <mergeCell ref="B33:C33"/>
    <mergeCell ref="B34:C34"/>
    <mergeCell ref="B35:C35"/>
    <mergeCell ref="B36:C36"/>
    <mergeCell ref="B43:C43"/>
    <mergeCell ref="B44:C44"/>
    <mergeCell ref="B45:C45"/>
    <mergeCell ref="B46:C46"/>
    <mergeCell ref="B47:C47"/>
    <mergeCell ref="B48:C48"/>
    <mergeCell ref="B49:C49"/>
    <mergeCell ref="B50:C50"/>
    <mergeCell ref="B72:C72"/>
    <mergeCell ref="B75:C75"/>
    <mergeCell ref="B78:C78"/>
    <mergeCell ref="B81:C81"/>
    <mergeCell ref="B84:C84"/>
    <mergeCell ref="B87:C87"/>
    <mergeCell ref="B90:C90"/>
    <mergeCell ref="B93:C93"/>
    <mergeCell ref="B99:F99"/>
    <mergeCell ref="G102:H102"/>
    <mergeCell ref="I102:J102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57:C157"/>
    <mergeCell ref="B160:C160"/>
    <mergeCell ref="B163:C163"/>
    <mergeCell ref="B166:C166"/>
    <mergeCell ref="B169:C169"/>
    <mergeCell ref="B172:C172"/>
    <mergeCell ref="B175:C175"/>
    <mergeCell ref="B178:C178"/>
    <mergeCell ref="B184:F184"/>
    <mergeCell ref="G187:H187"/>
    <mergeCell ref="I187:J187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42:C242"/>
    <mergeCell ref="B245:C245"/>
    <mergeCell ref="B248:C248"/>
    <mergeCell ref="B251:C251"/>
    <mergeCell ref="B254:C254"/>
    <mergeCell ref="B257:C257"/>
    <mergeCell ref="B260:C260"/>
    <mergeCell ref="B263:C263"/>
    <mergeCell ref="B269:F269"/>
    <mergeCell ref="G272:H272"/>
    <mergeCell ref="I272:J272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27:C327"/>
    <mergeCell ref="B330:C330"/>
    <mergeCell ref="B333:C333"/>
    <mergeCell ref="B336:C336"/>
    <mergeCell ref="B339:C339"/>
    <mergeCell ref="B342:C342"/>
    <mergeCell ref="B345:C345"/>
    <mergeCell ref="B348:C348"/>
    <mergeCell ref="B354:F354"/>
    <mergeCell ref="G357:H357"/>
    <mergeCell ref="I357:J357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412:C412"/>
    <mergeCell ref="B415:C415"/>
    <mergeCell ref="B418:C418"/>
    <mergeCell ref="B421:C421"/>
    <mergeCell ref="B424:C424"/>
    <mergeCell ref="B427:C427"/>
    <mergeCell ref="B430:C430"/>
    <mergeCell ref="B433:C433"/>
    <mergeCell ref="B439:F439"/>
    <mergeCell ref="G442:H442"/>
    <mergeCell ref="I442:J442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97:C497"/>
    <mergeCell ref="B500:C500"/>
    <mergeCell ref="B503:C503"/>
    <mergeCell ref="B506:C506"/>
    <mergeCell ref="B509:C509"/>
    <mergeCell ref="B512:C512"/>
    <mergeCell ref="B515:C515"/>
    <mergeCell ref="B518:C518"/>
    <mergeCell ref="B524:F524"/>
    <mergeCell ref="G527:H527"/>
    <mergeCell ref="I527:J527"/>
    <mergeCell ref="B529:D529"/>
    <mergeCell ref="B530:C530"/>
    <mergeCell ref="B531:C531"/>
    <mergeCell ref="B532:C532"/>
    <mergeCell ref="B533:C533"/>
    <mergeCell ref="B534:C534"/>
    <mergeCell ref="B535:C535"/>
    <mergeCell ref="B536:C536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82:C582"/>
    <mergeCell ref="B585:C585"/>
    <mergeCell ref="B588:C588"/>
    <mergeCell ref="B591:C591"/>
    <mergeCell ref="B594:C594"/>
    <mergeCell ref="B597:C597"/>
    <mergeCell ref="B600:C600"/>
    <mergeCell ref="B603:C603"/>
    <mergeCell ref="B609:F609"/>
    <mergeCell ref="G612:H612"/>
    <mergeCell ref="I612:J612"/>
    <mergeCell ref="B614:D614"/>
    <mergeCell ref="B615:C615"/>
    <mergeCell ref="B616:C616"/>
    <mergeCell ref="B617:C617"/>
    <mergeCell ref="B618:C618"/>
    <mergeCell ref="B619:C619"/>
    <mergeCell ref="B620:C620"/>
    <mergeCell ref="B621:C621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67:C667"/>
    <mergeCell ref="B670:C670"/>
    <mergeCell ref="B673:C673"/>
    <mergeCell ref="B676:C676"/>
    <mergeCell ref="B679:C679"/>
    <mergeCell ref="B682:C682"/>
    <mergeCell ref="B685:C685"/>
    <mergeCell ref="B688:C688"/>
    <mergeCell ref="B694:F694"/>
    <mergeCell ref="G697:H697"/>
    <mergeCell ref="I697:J697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52:C752"/>
    <mergeCell ref="B755:C755"/>
    <mergeCell ref="B758:C758"/>
    <mergeCell ref="B761:C761"/>
    <mergeCell ref="B764:C764"/>
    <mergeCell ref="B767:C767"/>
    <mergeCell ref="B770:C770"/>
    <mergeCell ref="B773:C773"/>
    <mergeCell ref="B779:F779"/>
    <mergeCell ref="G782:H782"/>
    <mergeCell ref="I782:J782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37:C837"/>
    <mergeCell ref="B840:C840"/>
    <mergeCell ref="B843:C843"/>
    <mergeCell ref="B846:C846"/>
    <mergeCell ref="B849:C849"/>
    <mergeCell ref="B852:C852"/>
    <mergeCell ref="B855:C855"/>
    <mergeCell ref="B858:C858"/>
    <mergeCell ref="B864:F864"/>
    <mergeCell ref="G867:H867"/>
    <mergeCell ref="I867:J867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22:C922"/>
    <mergeCell ref="B925:C925"/>
    <mergeCell ref="B928:C928"/>
    <mergeCell ref="B931:C931"/>
    <mergeCell ref="B934:C934"/>
    <mergeCell ref="B937:C937"/>
    <mergeCell ref="B940:C940"/>
    <mergeCell ref="B943:C943"/>
    <mergeCell ref="B949:F949"/>
    <mergeCell ref="G952:H952"/>
    <mergeCell ref="I952:J952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1007:C1007"/>
    <mergeCell ref="B1010:C1010"/>
    <mergeCell ref="B1013:C1013"/>
    <mergeCell ref="B1016:C1016"/>
    <mergeCell ref="B1019:C1019"/>
    <mergeCell ref="B1022:C1022"/>
    <mergeCell ref="B1025:C1025"/>
    <mergeCell ref="B1028:C1028"/>
    <mergeCell ref="B1034:F1034"/>
    <mergeCell ref="G1037:H1037"/>
    <mergeCell ref="I1037:J1037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92:C1092"/>
    <mergeCell ref="B1095:C1095"/>
    <mergeCell ref="B1098:C1098"/>
    <mergeCell ref="B1101:C1101"/>
    <mergeCell ref="B1104:C1104"/>
    <mergeCell ref="B1107:C1107"/>
    <mergeCell ref="B1110:C1110"/>
    <mergeCell ref="B1113:C1113"/>
    <mergeCell ref="B1119:F1119"/>
    <mergeCell ref="G1122:H1122"/>
    <mergeCell ref="I1122:J1122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77:C1177"/>
    <mergeCell ref="B1180:C1180"/>
    <mergeCell ref="B1183:C1183"/>
    <mergeCell ref="B1186:C1186"/>
    <mergeCell ref="B1189:C1189"/>
    <mergeCell ref="B1192:C1192"/>
    <mergeCell ref="B1195:C1195"/>
    <mergeCell ref="B1198:C1198"/>
    <mergeCell ref="B1204:F1204"/>
    <mergeCell ref="G1207:H1207"/>
    <mergeCell ref="I1207:J1207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62:C1262"/>
    <mergeCell ref="B1265:C1265"/>
    <mergeCell ref="B1268:C1268"/>
    <mergeCell ref="B1271:C1271"/>
    <mergeCell ref="B1274:C1274"/>
    <mergeCell ref="B1277:C1277"/>
    <mergeCell ref="B1280:C1280"/>
    <mergeCell ref="B1283:C1283"/>
  </mergeCells>
  <printOptions horizontalCentered="1"/>
  <pageMargins left="0.590551181102362" right="0.590551181102362" top="0.393700787401575" bottom="0.590551181102362" header="0" footer="0.118110236220472"/>
  <pageSetup paperSize="9" scale="58" fitToHeight="33" orientation="landscape"/>
  <headerFooter>
    <oddFooter>&amp;L&amp;G&amp;R&amp;9Projeto Executivo de Engenharia, Estudos e
Orçamentos para a Construção de Ponte Rodoviária
em Concreto Armado - Rodovia Vicinal</oddFooter>
  </headerFooter>
  <rowBreaks count="9" manualBreakCount="9">
    <brk id="97" max="11" man="1"/>
    <brk id="182" max="11" man="1"/>
    <brk id="267" max="11" man="1"/>
    <brk id="352" max="11" man="1"/>
    <brk id="522" max="11" man="1"/>
    <brk id="692" max="11" man="1"/>
    <brk id="777" max="11" man="1"/>
    <brk id="862" max="11" man="1"/>
    <brk id="1117" max="11" man="1"/>
  </rowBreaks>
  <drawing r:id="rId1"/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>
    <tabColor rgb="FF0070C0"/>
    <pageSetUpPr fitToPage="1"/>
  </sheetPr>
  <dimension ref="A1:I1417"/>
  <sheetViews>
    <sheetView showGridLines="0" view="pageBreakPreview" zoomScaleNormal="100" workbookViewId="0">
      <pane xSplit="1" ySplit="4" topLeftCell="B5" activePane="bottomRight" state="frozen"/>
      <selection/>
      <selection pane="topRight"/>
      <selection pane="bottomLeft"/>
      <selection pane="bottomRight" activeCell="B6" sqref="B6"/>
    </sheetView>
  </sheetViews>
  <sheetFormatPr defaultColWidth="9.1047619047619" defaultRowHeight="15"/>
  <cols>
    <col min="1" max="1" width="18.8857142857143" style="318" customWidth="1"/>
    <col min="2" max="2" width="100.333333333333" style="318" customWidth="1"/>
    <col min="3" max="3" width="8.43809523809524" style="318" customWidth="1"/>
    <col min="4" max="4" width="21.6666666666667" style="344" customWidth="1"/>
    <col min="5" max="5" width="19.3333333333333" style="344" hidden="1" customWidth="1"/>
    <col min="6" max="6" width="17.8857142857143" style="344" customWidth="1"/>
    <col min="7" max="7" width="17.3333333333333" style="345" hidden="1" customWidth="1"/>
    <col min="8" max="9" width="9.1047619047619" style="318" customWidth="1"/>
    <col min="10" max="16384" width="9.1047619047619" style="318"/>
  </cols>
  <sheetData>
    <row r="1" s="334" customFormat="1" spans="1:7">
      <c r="D1" s="346"/>
      <c r="E1" s="346"/>
      <c r="F1" s="346"/>
      <c r="G1" s="346"/>
    </row>
    <row r="2" s="334" customFormat="1" spans="1:7">
      <c r="D2" s="346"/>
      <c r="E2" s="346"/>
      <c r="F2" s="346"/>
      <c r="G2" s="346"/>
    </row>
    <row r="3" s="334" customFormat="1" spans="1:7">
      <c r="D3" s="346"/>
      <c r="E3" s="346"/>
      <c r="F3" s="346"/>
      <c r="G3" s="346"/>
    </row>
    <row r="4" customHeight="1" spans="1:7">
      <c r="A4" s="347" t="s">
        <v>55</v>
      </c>
      <c r="B4" s="321" t="s">
        <v>56</v>
      </c>
      <c r="C4" s="348" t="s">
        <v>1123</v>
      </c>
      <c r="D4" s="349" t="s">
        <v>14322</v>
      </c>
      <c r="E4" s="350" t="s">
        <v>14323</v>
      </c>
      <c r="F4" s="351" t="s">
        <v>14324</v>
      </c>
      <c r="G4" s="349" t="s">
        <v>14322</v>
      </c>
    </row>
    <row r="5" hidden="1" customHeight="1" spans="1:7">
      <c r="A5" s="352" t="s">
        <v>14325</v>
      </c>
      <c r="B5" s="352" t="str">
        <f>IF(A5="","",VLOOKUP(A5,Materiais_Base!A:D,2,"FALSO"))</f>
        <v>Aço CA 25</v>
      </c>
      <c r="C5" s="353" t="str">
        <f>IF(A5="","",VLOOKUP(A5,Materiais_Base!A:D,3,"FALSO"))</f>
        <v>kg</v>
      </c>
      <c r="D5" s="354" t="s">
        <v>932</v>
      </c>
      <c r="E5" s="355" t="str">
        <f>IF(D5="","",MIN(D5,F5))</f>
        <v/>
      </c>
      <c r="F5" s="354"/>
      <c r="G5" s="345" t="str">
        <f>IF(D5="","",VLOOKUP(A5,Materiais_Base!A:D,4,"FALSO"))</f>
        <v/>
      </c>
    </row>
    <row r="6" customHeight="1" spans="1:7">
      <c r="A6" s="352" t="s">
        <v>843</v>
      </c>
      <c r="B6" s="352" t="str">
        <f>IF(A6="","",VLOOKUP(A6,Materiais_Base!A:D,2,"FALSO"))</f>
        <v>Aço CA 50</v>
      </c>
      <c r="C6" s="353" t="str">
        <f>IF(A6="","",VLOOKUP(A6,Materiais_Base!A:D,3,"FALSO"))</f>
        <v>kg</v>
      </c>
      <c r="D6" s="354" t="s">
        <v>932</v>
      </c>
      <c r="E6" s="356">
        <f>MAX(D6,F6)</f>
        <v>6.47139450553941</v>
      </c>
      <c r="F6" s="354">
        <f>Cotações!BO21</f>
        <v>6.47139450553941</v>
      </c>
      <c r="G6" s="345" t="str">
        <f>IF(D6="","",VLOOKUP(A6,Materiais_Base!A:D,4,"FALSO"))</f>
        <v/>
      </c>
    </row>
    <row r="7" customHeight="1" spans="1:7">
      <c r="A7" s="352" t="s">
        <v>14326</v>
      </c>
      <c r="B7" s="352" t="str">
        <f>IF(A7="","",VLOOKUP(A7,Materiais_Base!A:D,2,"FALSO"))</f>
        <v>Brita 0</v>
      </c>
      <c r="C7" s="353" t="str">
        <f>IF(A7="","",VLOOKUP(A7,Materiais_Base!A:D,3,"FALSO"))</f>
        <v>m³</v>
      </c>
      <c r="D7" s="354">
        <v>133.2528</v>
      </c>
      <c r="E7" s="355">
        <f t="shared" ref="E7:E15" si="0">IF(D7="","",MIN(D7,F7))</f>
        <v>133.2528</v>
      </c>
      <c r="F7" s="354"/>
      <c r="G7" s="345">
        <f>IF(D7="","",VLOOKUP(A7,Materiais_Base!A:D,4,"FALSO"))</f>
        <v>133.2528</v>
      </c>
    </row>
    <row r="8" hidden="1" customHeight="1" spans="1:7">
      <c r="A8" s="352" t="s">
        <v>14327</v>
      </c>
      <c r="B8" s="352" t="str">
        <f>IF(A8="","",VLOOKUP(A8,Materiais_Base!A:D,2,"FALSO"))</f>
        <v>Fibra de poliamida para concreto</v>
      </c>
      <c r="C8" s="353" t="str">
        <f>IF(A8="","",VLOOKUP(A8,Materiais_Base!A:D,3,"FALSO"))</f>
        <v>kg</v>
      </c>
      <c r="D8" s="354" t="s">
        <v>932</v>
      </c>
      <c r="E8" s="355" t="str">
        <f t="shared" si="0"/>
        <v/>
      </c>
      <c r="F8" s="354"/>
      <c r="G8" s="345" t="str">
        <f>IF(D8="","",VLOOKUP(A8,Materiais_Base!A:D,4,"FALSO"))</f>
        <v/>
      </c>
    </row>
    <row r="9" hidden="1" customHeight="1" spans="1:7">
      <c r="A9" s="352" t="s">
        <v>14328</v>
      </c>
      <c r="B9" s="352" t="str">
        <f>IF(A9="","",VLOOKUP(A9,Materiais_Base!A:D,2,"FALSO"))</f>
        <v>Fibra de aço para concreto</v>
      </c>
      <c r="C9" s="353" t="str">
        <f>IF(A9="","",VLOOKUP(A9,Materiais_Base!A:D,3,"FALSO"))</f>
        <v>kg</v>
      </c>
      <c r="D9" s="354" t="s">
        <v>932</v>
      </c>
      <c r="E9" s="355" t="str">
        <f t="shared" si="0"/>
        <v/>
      </c>
      <c r="F9" s="354"/>
      <c r="G9" s="345" t="str">
        <f>IF(D9="","",VLOOKUP(A9,Materiais_Base!A:D,4,"FALSO"))</f>
        <v/>
      </c>
    </row>
    <row r="10" hidden="1" customHeight="1" spans="1:7">
      <c r="A10" s="352" t="s">
        <v>14329</v>
      </c>
      <c r="B10" s="352" t="str">
        <f>IF(A10="","",VLOOKUP(A10,Materiais_Base!A:D,2,"FALSO"))</f>
        <v>Detergente líquido neutro</v>
      </c>
      <c r="C10" s="353" t="str">
        <f>IF(A10="","",VLOOKUP(A10,Materiais_Base!A:D,3,"FALSO"))</f>
        <v>l</v>
      </c>
      <c r="D10" s="354" t="s">
        <v>932</v>
      </c>
      <c r="E10" s="355" t="str">
        <f t="shared" si="0"/>
        <v/>
      </c>
      <c r="F10" s="354"/>
      <c r="G10" s="345" t="str">
        <f>IF(D10="","",VLOOKUP(A10,Materiais_Base!A:D,4,"FALSO"))</f>
        <v/>
      </c>
    </row>
    <row r="11" hidden="1" customHeight="1" spans="1:7">
      <c r="A11" s="352" t="s">
        <v>14330</v>
      </c>
      <c r="B11" s="352" t="str">
        <f>IF(A11="","",VLOOKUP(A11,Materiais_Base!A:D,2,"FALSO"))</f>
        <v>Aço CP 175 RB</v>
      </c>
      <c r="C11" s="353" t="str">
        <f>IF(A11="","",VLOOKUP(A11,Materiais_Base!A:D,3,"FALSO"))</f>
        <v>kg</v>
      </c>
      <c r="D11" s="354" t="s">
        <v>932</v>
      </c>
      <c r="E11" s="355" t="str">
        <f t="shared" si="0"/>
        <v/>
      </c>
      <c r="F11" s="354"/>
      <c r="G11" s="345" t="str">
        <f>IF(D11="","",VLOOKUP(A11,Materiais_Base!A:D,4,"FALSO"))</f>
        <v/>
      </c>
    </row>
    <row r="12" customHeight="1" spans="1:7">
      <c r="A12" s="352" t="s">
        <v>14331</v>
      </c>
      <c r="B12" s="352" t="str">
        <f>IF(A12="","",VLOOKUP(A12,Materiais_Base!A:D,2,"FALSO"))</f>
        <v>Aditivo superplastificante à base de policarboxilato para concreto e argamassa </v>
      </c>
      <c r="C12" s="353" t="str">
        <f>IF(A12="","",VLOOKUP(A12,Materiais_Base!A:D,3,"FALSO"))</f>
        <v>kg</v>
      </c>
      <c r="D12" s="354">
        <v>13.7212</v>
      </c>
      <c r="E12" s="355">
        <f t="shared" si="0"/>
        <v>13.7212</v>
      </c>
      <c r="F12" s="354"/>
      <c r="G12" s="345">
        <f>IF(D12="","",VLOOKUP(A12,Materiais_Base!A:D,4,"FALSO"))</f>
        <v>13.7212</v>
      </c>
    </row>
    <row r="13" hidden="1" customHeight="1" spans="1:7">
      <c r="A13" s="352" t="s">
        <v>14332</v>
      </c>
      <c r="B13" s="352" t="str">
        <f>IF(A13="","",VLOOKUP(A13,Materiais_Base!A:D,2,"FALSO"))</f>
        <v>Aditivo modificador de viscosidade para concreto e argamassa</v>
      </c>
      <c r="C13" s="353" t="str">
        <f>IF(A13="","",VLOOKUP(A13,Materiais_Base!A:D,3,"FALSO"))</f>
        <v>kg</v>
      </c>
      <c r="D13" s="354" t="s">
        <v>932</v>
      </c>
      <c r="E13" s="355" t="str">
        <f t="shared" si="0"/>
        <v/>
      </c>
      <c r="F13" s="354"/>
      <c r="G13" s="345" t="str">
        <f>IF(D13="","",VLOOKUP(A13,Materiais_Base!A:D,4,"FALSO"))</f>
        <v/>
      </c>
    </row>
    <row r="14" hidden="1" customHeight="1" spans="1:7">
      <c r="A14" s="352" t="s">
        <v>14333</v>
      </c>
      <c r="B14" s="352" t="str">
        <f>IF(A14="","",VLOOKUP(A14,Materiais_Base!A:D,2,"FALSO"))</f>
        <v>Silicato de alumínio</v>
      </c>
      <c r="C14" s="353" t="str">
        <f>IF(A14="","",VLOOKUP(A14,Materiais_Base!A:D,3,"FALSO"))</f>
        <v>kg</v>
      </c>
      <c r="D14" s="354" t="s">
        <v>932</v>
      </c>
      <c r="E14" s="355" t="str">
        <f t="shared" si="0"/>
        <v/>
      </c>
      <c r="F14" s="354"/>
      <c r="G14" s="345" t="str">
        <f>IF(D14="","",VLOOKUP(A14,Materiais_Base!A:D,4,"FALSO"))</f>
        <v/>
      </c>
    </row>
    <row r="15" hidden="1" customHeight="1" spans="1:7">
      <c r="A15" s="352" t="s">
        <v>14334</v>
      </c>
      <c r="B15" s="352" t="str">
        <f>IF(A15="","",VLOOKUP(A15,Materiais_Base!A:D,2,"FALSO"))</f>
        <v>Grampo de ancoragem em aço CA 50 - D = 12,5 mm</v>
      </c>
      <c r="C15" s="353" t="str">
        <f>IF(A15="","",VLOOKUP(A15,Materiais_Base!A:D,3,"FALSO"))</f>
        <v>kg</v>
      </c>
      <c r="D15" s="354" t="s">
        <v>932</v>
      </c>
      <c r="E15" s="355" t="str">
        <f t="shared" si="0"/>
        <v/>
      </c>
      <c r="F15" s="354"/>
      <c r="G15" s="345" t="str">
        <f>IF(D15="","",VLOOKUP(A15,Materiais_Base!A:D,4,"FALSO"))</f>
        <v/>
      </c>
    </row>
    <row r="16" customHeight="1" spans="1:7">
      <c r="A16" s="352" t="s">
        <v>14263</v>
      </c>
      <c r="B16" s="352" t="str">
        <f>IF(A16="","",VLOOKUP(A16,Materiais_Base!A:D,2,"FALSO"))</f>
        <v>Aço CA 60</v>
      </c>
      <c r="C16" s="353" t="str">
        <f>IF(A16="","",VLOOKUP(A16,Materiais_Base!A:D,3,"FALSO"))</f>
        <v>kg</v>
      </c>
      <c r="D16" s="354">
        <v>8.8235</v>
      </c>
      <c r="E16" s="355">
        <f>IF(D16="","",MAX(D16,F16))</f>
        <v>8.8235</v>
      </c>
      <c r="F16" s="357"/>
      <c r="G16" s="345">
        <f>IF(D16="","",VLOOKUP(A16,Materiais_Base!A:D,4,"FALSO"))</f>
        <v>8.8235</v>
      </c>
    </row>
    <row r="17" hidden="1" customHeight="1" spans="1:7">
      <c r="A17" s="352" t="s">
        <v>14335</v>
      </c>
      <c r="B17" s="352" t="str">
        <f>IF(A17="","",VLOOKUP(A17,Materiais_Base!A:D,2,"FALSO"))</f>
        <v>Espoleta elétrica Nº 8 - D = 6,0 mm</v>
      </c>
      <c r="C17" s="353" t="str">
        <f>IF(A17="","",VLOOKUP(A17,Materiais_Base!A:D,3,"FALSO"))</f>
        <v>un</v>
      </c>
      <c r="D17" s="354" t="s">
        <v>932</v>
      </c>
      <c r="E17" s="355" t="str">
        <f t="shared" ref="E17:E61" si="1">IF(D17="","",MIN(D17,F17))</f>
        <v/>
      </c>
      <c r="F17" s="354"/>
      <c r="G17" s="345" t="str">
        <f>IF(D17="","",VLOOKUP(A17,Materiais_Base!A:D,4,"FALSO"))</f>
        <v/>
      </c>
    </row>
    <row r="18" hidden="1" customHeight="1" spans="1:7">
      <c r="A18" s="352" t="s">
        <v>14336</v>
      </c>
      <c r="B18" s="352" t="str">
        <f>IF(A18="","",VLOOKUP(A18,Materiais_Base!A:D,2,"FALSO"))</f>
        <v>Grampo sargento em ferro fundido tipo C com abertura útil de 105 mm (4")</v>
      </c>
      <c r="C18" s="353" t="str">
        <f>IF(A18="","",VLOOKUP(A18,Materiais_Base!A:D,3,"FALSO"))</f>
        <v>un</v>
      </c>
      <c r="D18" s="354" t="s">
        <v>932</v>
      </c>
      <c r="E18" s="355" t="str">
        <f t="shared" si="1"/>
        <v/>
      </c>
      <c r="F18" s="354"/>
      <c r="G18" s="345" t="str">
        <f>IF(D18="","",VLOOKUP(A18,Materiais_Base!A:D,4,"FALSO"))</f>
        <v/>
      </c>
    </row>
    <row r="19" customHeight="1" spans="1:7">
      <c r="A19" s="352" t="s">
        <v>14337</v>
      </c>
      <c r="B19" s="352" t="str">
        <f>IF(A19="","",VLOOKUP(A19,Materiais_Base!A:D,2,"FALSO"))</f>
        <v>Saco de aniagem ou de ráfia de 50 kg - C = 95 cm e L = 65 cm</v>
      </c>
      <c r="C19" s="353" t="str">
        <f>IF(A19="","",VLOOKUP(A19,Materiais_Base!A:D,3,"FALSO"))</f>
        <v>un</v>
      </c>
      <c r="D19" s="354">
        <v>2.5303</v>
      </c>
      <c r="E19" s="355">
        <f t="shared" si="1"/>
        <v>2.5303</v>
      </c>
      <c r="F19" s="354"/>
      <c r="G19" s="345">
        <f>IF(D19="","",VLOOKUP(A19,Materiais_Base!A:D,4,"FALSO"))</f>
        <v>2.5303</v>
      </c>
    </row>
    <row r="20" hidden="1" customHeight="1" spans="1:7">
      <c r="A20" s="352" t="s">
        <v>14338</v>
      </c>
      <c r="B20" s="352" t="str">
        <f>IF(A20="","",VLOOKUP(A20,Materiais_Base!A:D,2,"FALSO"))</f>
        <v>Grampo pesado em aço-carbono para cabo de aço - D = 13 mm (1/2")</v>
      </c>
      <c r="C20" s="353" t="str">
        <f>IF(A20="","",VLOOKUP(A20,Materiais_Base!A:D,3,"FALSO"))</f>
        <v>un</v>
      </c>
      <c r="D20" s="354" t="s">
        <v>932</v>
      </c>
      <c r="E20" s="355" t="str">
        <f t="shared" si="1"/>
        <v/>
      </c>
      <c r="F20" s="354"/>
      <c r="G20" s="345" t="str">
        <f>IF(D20="","",VLOOKUP(A20,Materiais_Base!A:D,4,"FALSO"))</f>
        <v/>
      </c>
    </row>
    <row r="21" hidden="1" customHeight="1" spans="1:7">
      <c r="A21" s="352" t="s">
        <v>14339</v>
      </c>
      <c r="B21" s="352" t="str">
        <f>IF(A21="","",VLOOKUP(A21,Materiais_Base!A:D,2,"FALSO"))</f>
        <v>Esticador em aço tipo olhal x olhal para cabo de aço - D = 13 mm</v>
      </c>
      <c r="C21" s="353" t="str">
        <f>IF(A21="","",VLOOKUP(A21,Materiais_Base!A:D,3,"FALSO"))</f>
        <v>un</v>
      </c>
      <c r="D21" s="354" t="s">
        <v>932</v>
      </c>
      <c r="E21" s="355" t="str">
        <f t="shared" si="1"/>
        <v/>
      </c>
      <c r="F21" s="354"/>
      <c r="G21" s="345" t="str">
        <f>IF(D21="","",VLOOKUP(A21,Materiais_Base!A:D,4,"FALSO"))</f>
        <v/>
      </c>
    </row>
    <row r="22" hidden="1" customHeight="1" spans="1:7">
      <c r="A22" s="352" t="s">
        <v>14340</v>
      </c>
      <c r="B22" s="352" t="str">
        <f>IF(A22="","",VLOOKUP(A22,Materiais_Base!A:D,2,"FALSO"))</f>
        <v>Grampo de ancoragem em aço CA 50 - D = 6,3 mm</v>
      </c>
      <c r="C22" s="353" t="str">
        <f>IF(A22="","",VLOOKUP(A22,Materiais_Base!A:D,3,"FALSO"))</f>
        <v>kg</v>
      </c>
      <c r="D22" s="354" t="s">
        <v>932</v>
      </c>
      <c r="E22" s="355" t="str">
        <f t="shared" si="1"/>
        <v/>
      </c>
      <c r="F22" s="354"/>
      <c r="G22" s="345" t="str">
        <f>IF(D22="","",VLOOKUP(A22,Materiais_Base!A:D,4,"FALSO"))</f>
        <v/>
      </c>
    </row>
    <row r="23" hidden="1" customHeight="1" spans="1:7">
      <c r="A23" s="352" t="s">
        <v>14341</v>
      </c>
      <c r="B23" s="352" t="str">
        <f>IF(A23="","",VLOOKUP(A23,Materiais_Base!A:D,2,"FALSO"))</f>
        <v>Herbicida glifosato para áreas contínuas</v>
      </c>
      <c r="C23" s="353" t="str">
        <f>IF(A23="","",VLOOKUP(A23,Materiais_Base!A:D,3,"FALSO"))</f>
        <v>l</v>
      </c>
      <c r="D23" s="354" t="s">
        <v>932</v>
      </c>
      <c r="E23" s="355" t="str">
        <f t="shared" si="1"/>
        <v/>
      </c>
      <c r="F23" s="354"/>
      <c r="G23" s="345" t="str">
        <f>IF(D23="","",VLOOKUP(A23,Materiais_Base!A:D,4,"FALSO"))</f>
        <v/>
      </c>
    </row>
    <row r="24" hidden="1" customHeight="1" spans="1:7">
      <c r="A24" s="352" t="s">
        <v>14342</v>
      </c>
      <c r="B24" s="352" t="str">
        <f>IF(A24="","",VLOOKUP(A24,Materiais_Base!A:D,2,"FALSO"))</f>
        <v>Adesivo plástico para tubos de PVC</v>
      </c>
      <c r="C24" s="353" t="str">
        <f>IF(A24="","",VLOOKUP(A24,Materiais_Base!A:D,3,"FALSO"))</f>
        <v>kg</v>
      </c>
      <c r="D24" s="354" t="s">
        <v>932</v>
      </c>
      <c r="E24" s="355" t="str">
        <f t="shared" si="1"/>
        <v/>
      </c>
      <c r="F24" s="354"/>
      <c r="G24" s="345" t="str">
        <f>IF(D24="","",VLOOKUP(A24,Materiais_Base!A:D,4,"FALSO"))</f>
        <v/>
      </c>
    </row>
    <row r="25" hidden="1" customHeight="1" spans="1:7">
      <c r="A25" s="352" t="s">
        <v>14343</v>
      </c>
      <c r="B25" s="352" t="str">
        <f>IF(A25="","",VLOOKUP(A25,Materiais_Base!A:D,2,"FALSO"))</f>
        <v>Aditivo aglutinante para argamassa</v>
      </c>
      <c r="C25" s="353" t="str">
        <f>IF(A25="","",VLOOKUP(A25,Materiais_Base!A:D,3,"FALSO"))</f>
        <v>l</v>
      </c>
      <c r="D25" s="354" t="s">
        <v>932</v>
      </c>
      <c r="E25" s="355" t="str">
        <f t="shared" si="1"/>
        <v/>
      </c>
      <c r="F25" s="354"/>
      <c r="G25" s="345" t="str">
        <f>IF(D25="","",VLOOKUP(A25,Materiais_Base!A:D,4,"FALSO"))</f>
        <v/>
      </c>
    </row>
    <row r="26" customHeight="1" spans="1:7">
      <c r="A26" s="352" t="s">
        <v>14344</v>
      </c>
      <c r="B26" s="352" t="str">
        <f>IF(A26="","",VLOOKUP(A26,Materiais_Base!A:D,2,"FALSO"))</f>
        <v>Areia média</v>
      </c>
      <c r="C26" s="353" t="str">
        <f>IF(A26="","",VLOOKUP(A26,Materiais_Base!A:D,3,"FALSO"))</f>
        <v>m³</v>
      </c>
      <c r="D26" s="354">
        <v>118.4549</v>
      </c>
      <c r="E26" s="355">
        <f t="shared" si="1"/>
        <v>118.4549</v>
      </c>
      <c r="F26" s="354"/>
      <c r="G26" s="345">
        <f>IF(D26="","",VLOOKUP(A26,Materiais_Base!A:D,4,"FALSO"))</f>
        <v>118.4549</v>
      </c>
    </row>
    <row r="27" hidden="1" customHeight="1" spans="1:7">
      <c r="A27" s="352" t="s">
        <v>14345</v>
      </c>
      <c r="B27" s="352" t="str">
        <f>IF(A27="","",VLOOKUP(A27,Materiais_Base!A:D,2,"FALSO"))</f>
        <v>Sílica ativa para concreto e argamassa (microssílica)</v>
      </c>
      <c r="C27" s="353" t="str">
        <f>IF(A27="","",VLOOKUP(A27,Materiais_Base!A:D,3,"FALSO"))</f>
        <v>kg</v>
      </c>
      <c r="D27" s="354" t="s">
        <v>932</v>
      </c>
      <c r="E27" s="355" t="str">
        <f t="shared" si="1"/>
        <v/>
      </c>
      <c r="F27" s="354"/>
      <c r="G27" s="345" t="str">
        <f>IF(D27="","",VLOOKUP(A27,Materiais_Base!A:D,4,"FALSO"))</f>
        <v/>
      </c>
    </row>
    <row r="28" customHeight="1" spans="1:7">
      <c r="A28" s="352" t="s">
        <v>14224</v>
      </c>
      <c r="B28" s="352" t="str">
        <f>IF(A28="","",VLOOKUP(A28,Materiais_Base!A:D,2,"FALSO"))</f>
        <v>Aditivo plastificante e retardador de pega para concreto e argamassa</v>
      </c>
      <c r="C28" s="353" t="str">
        <f>IF(A28="","",VLOOKUP(A28,Materiais_Base!A:D,3,"FALSO"))</f>
        <v>kg</v>
      </c>
      <c r="D28" s="354">
        <v>6.6001</v>
      </c>
      <c r="E28" s="355">
        <f t="shared" si="1"/>
        <v>6.6001</v>
      </c>
      <c r="F28" s="354"/>
      <c r="G28" s="345">
        <f>IF(D28="","",VLOOKUP(A28,Materiais_Base!A:D,4,"FALSO"))</f>
        <v>6.6001</v>
      </c>
    </row>
    <row r="29" hidden="1" customHeight="1" spans="1:7">
      <c r="A29" s="352" t="s">
        <v>14346</v>
      </c>
      <c r="B29" s="352" t="str">
        <f>IF(A29="","",VLOOKUP(A29,Materiais_Base!A:D,2,"FALSO"))</f>
        <v>Adesivo de contato para laminado elastoplástico</v>
      </c>
      <c r="C29" s="353" t="str">
        <f>IF(A29="","",VLOOKUP(A29,Materiais_Base!A:D,3,"FALSO"))</f>
        <v>kg</v>
      </c>
      <c r="D29" s="354" t="s">
        <v>932</v>
      </c>
      <c r="E29" s="355" t="str">
        <f t="shared" si="1"/>
        <v/>
      </c>
      <c r="F29" s="354"/>
      <c r="G29" s="345" t="str">
        <f>IF(D29="","",VLOOKUP(A29,Materiais_Base!A:D,4,"FALSO"))</f>
        <v/>
      </c>
    </row>
    <row r="30" hidden="1" customHeight="1" spans="1:7">
      <c r="A30" s="352" t="s">
        <v>14347</v>
      </c>
      <c r="B30" s="352" t="str">
        <f>IF(A30="","",VLOOKUP(A30,Materiais_Base!A:D,2,"FALSO"))</f>
        <v>Gasolina comum</v>
      </c>
      <c r="C30" s="353" t="str">
        <f>IF(A30="","",VLOOKUP(A30,Materiais_Base!A:D,3,"FALSO"))</f>
        <v>l</v>
      </c>
      <c r="D30" s="354" t="s">
        <v>932</v>
      </c>
      <c r="E30" s="355" t="str">
        <f t="shared" si="1"/>
        <v/>
      </c>
      <c r="F30" s="354"/>
      <c r="G30" s="345" t="str">
        <f>IF(D30="","",VLOOKUP(A30,Materiais_Base!A:D,4,"FALSO"))</f>
        <v/>
      </c>
    </row>
    <row r="31" customHeight="1" spans="1:7">
      <c r="A31" s="352" t="s">
        <v>779</v>
      </c>
      <c r="B31" s="352" t="str">
        <f>IF(A31="","",VLOOKUP(A31,Materiais_Base!A:D,2,"FALSO"))</f>
        <v>Contêiner com 2 banheiros - L = 2,44 m e C = 6,09 m (1 TEU)</v>
      </c>
      <c r="C31" s="353" t="str">
        <f>IF(A31="","",VLOOKUP(A31,Materiais_Base!A:D,3,"FALSO"))</f>
        <v>un</v>
      </c>
      <c r="D31" s="354">
        <v>90298.939</v>
      </c>
      <c r="E31" s="355">
        <f t="shared" si="1"/>
        <v>90298.939</v>
      </c>
      <c r="F31" s="354"/>
      <c r="G31" s="345">
        <f>IF(D31="","",VLOOKUP(A31,Materiais_Base!A:D,4,"FALSO"))</f>
        <v>90298.939</v>
      </c>
    </row>
    <row r="32" customHeight="1" spans="1:7">
      <c r="A32" s="352" t="s">
        <v>772</v>
      </c>
      <c r="B32" s="352" t="str">
        <f>IF(A32="","",VLOOKUP(A32,Materiais_Base!A:D,2,"FALSO"))</f>
        <v>Contêiner com janela - L = 2,44 m e C = 6,09 m (1 TEU)</v>
      </c>
      <c r="C32" s="353" t="str">
        <f>IF(A32="","",VLOOKUP(A32,Materiais_Base!A:D,3,"FALSO"))</f>
        <v>un</v>
      </c>
      <c r="D32" s="354">
        <v>36836.0447</v>
      </c>
      <c r="E32" s="355">
        <f t="shared" si="1"/>
        <v>36836.0447</v>
      </c>
      <c r="F32" s="354"/>
      <c r="G32" s="345">
        <f>IF(D32="","",VLOOKUP(A32,Materiais_Base!A:D,4,"FALSO"))</f>
        <v>36836.0447</v>
      </c>
    </row>
    <row r="33" hidden="1" customHeight="1" spans="1:7">
      <c r="A33" s="352" t="s">
        <v>14348</v>
      </c>
      <c r="B33" s="352" t="str">
        <f>IF(A33="","",VLOOKUP(A33,Materiais_Base!A:D,2,"FALSO"))</f>
        <v>Óleo diesel</v>
      </c>
      <c r="C33" s="353" t="str">
        <f>IF(A33="","",VLOOKUP(A33,Materiais_Base!A:D,3,"FALSO"))</f>
        <v>l</v>
      </c>
      <c r="D33" s="354" t="s">
        <v>932</v>
      </c>
      <c r="E33" s="355" t="str">
        <f t="shared" si="1"/>
        <v/>
      </c>
      <c r="F33" s="354"/>
      <c r="G33" s="345" t="str">
        <f>IF(D33="","",VLOOKUP(A33,Materiais_Base!A:D,4,"FALSO"))</f>
        <v/>
      </c>
    </row>
    <row r="34" hidden="1" customHeight="1" spans="1:7">
      <c r="A34" s="352" t="s">
        <v>14349</v>
      </c>
      <c r="B34" s="352" t="str">
        <f>IF(A34="","",VLOOKUP(A34,Materiais_Base!A:D,2,"FALSO"))</f>
        <v>Abrasivo de vidro com granulometria de 210 a 420 micra</v>
      </c>
      <c r="C34" s="353" t="str">
        <f>IF(A34="","",VLOOKUP(A34,Materiais_Base!A:D,3,"FALSO"))</f>
        <v>kg</v>
      </c>
      <c r="D34" s="354" t="s">
        <v>932</v>
      </c>
      <c r="E34" s="355" t="str">
        <f t="shared" si="1"/>
        <v/>
      </c>
      <c r="F34" s="354"/>
      <c r="G34" s="345" t="str">
        <f>IF(D34="","",VLOOKUP(A34,Materiais_Base!A:D,4,"FALSO"))</f>
        <v/>
      </c>
    </row>
    <row r="35" hidden="1" customHeight="1" spans="1:7">
      <c r="A35" s="352" t="s">
        <v>14350</v>
      </c>
      <c r="B35" s="352" t="str">
        <f>IF(A35="","",VLOOKUP(A35,Materiais_Base!A:D,2,"FALSO"))</f>
        <v>Barreira plástica monobloco para canalização de trânsito - C = 100 cm, L = 50 cm e H = 55 cm</v>
      </c>
      <c r="C35" s="353" t="str">
        <f>IF(A35="","",VLOOKUP(A35,Materiais_Base!A:D,3,"FALSO"))</f>
        <v>un</v>
      </c>
      <c r="D35" s="354" t="s">
        <v>932</v>
      </c>
      <c r="E35" s="355" t="str">
        <f t="shared" si="1"/>
        <v/>
      </c>
      <c r="F35" s="354"/>
      <c r="G35" s="345" t="str">
        <f>IF(D35="","",VLOOKUP(A35,Materiais_Base!A:D,4,"FALSO"))</f>
        <v/>
      </c>
    </row>
    <row r="36" hidden="1" customHeight="1" spans="1:7">
      <c r="A36" s="352" t="s">
        <v>14351</v>
      </c>
      <c r="B36" s="352" t="str">
        <f>IF(A36="","",VLOOKUP(A36,Materiais_Base!A:D,2,"FALSO"))</f>
        <v>Barreira plástica para canalização de trânsito - C = 60 cm, L = 45 cm e H = 60 cm</v>
      </c>
      <c r="C36" s="353" t="str">
        <f>IF(A36="","",VLOOKUP(A36,Materiais_Base!A:D,3,"FALSO"))</f>
        <v>un</v>
      </c>
      <c r="D36" s="354" t="s">
        <v>932</v>
      </c>
      <c r="E36" s="355" t="str">
        <f t="shared" si="1"/>
        <v/>
      </c>
      <c r="F36" s="354"/>
      <c r="G36" s="345" t="str">
        <f>IF(D36="","",VLOOKUP(A36,Materiais_Base!A:D,4,"FALSO"))</f>
        <v/>
      </c>
    </row>
    <row r="37" hidden="1" customHeight="1" spans="1:7">
      <c r="A37" s="352" t="s">
        <v>14352</v>
      </c>
      <c r="B37" s="352" t="str">
        <f>IF(A37="","",VLOOKUP(A37,Materiais_Base!A:D,2,"FALSO"))</f>
        <v>Cone de sinalização em polietileno - H = 75 cm e base quadrada de 40 x 40 cm</v>
      </c>
      <c r="C37" s="353" t="str">
        <f>IF(A37="","",VLOOKUP(A37,Materiais_Base!A:D,3,"FALSO"))</f>
        <v>un</v>
      </c>
      <c r="D37" s="354" t="s">
        <v>932</v>
      </c>
      <c r="E37" s="355" t="str">
        <f t="shared" si="1"/>
        <v/>
      </c>
      <c r="F37" s="354"/>
      <c r="G37" s="345" t="str">
        <f>IF(D37="","",VLOOKUP(A37,Materiais_Base!A:D,4,"FALSO"))</f>
        <v/>
      </c>
    </row>
    <row r="38" hidden="1" customHeight="1" spans="1:7">
      <c r="A38" s="352" t="s">
        <v>14353</v>
      </c>
      <c r="B38" s="352" t="str">
        <f>IF(A38="","",VLOOKUP(A38,Materiais_Base!A:D,2,"FALSO"))</f>
        <v>Balizador cônico refletivo em polietileno semiflexível - H = 114 cm e base octogonal de D = 40 cm</v>
      </c>
      <c r="C38" s="353" t="str">
        <f>IF(A38="","",VLOOKUP(A38,Materiais_Base!A:D,3,"FALSO"))</f>
        <v>un</v>
      </c>
      <c r="D38" s="354" t="s">
        <v>932</v>
      </c>
      <c r="E38" s="355" t="str">
        <f t="shared" si="1"/>
        <v/>
      </c>
      <c r="F38" s="354"/>
      <c r="G38" s="345" t="str">
        <f>IF(D38="","",VLOOKUP(A38,Materiais_Base!A:D,4,"FALSO"))</f>
        <v/>
      </c>
    </row>
    <row r="39" hidden="1" customHeight="1" spans="1:7">
      <c r="A39" s="352" t="s">
        <v>14354</v>
      </c>
      <c r="B39" s="352" t="str">
        <f>IF(A39="","",VLOOKUP(A39,Materiais_Base!A:D,2,"FALSO"))</f>
        <v>Delimitador de tráfego flexível com chumbador e duas faixas refletivas - H = 77 cm e D = 21 cm</v>
      </c>
      <c r="C39" s="353" t="str">
        <f>IF(A39="","",VLOOKUP(A39,Materiais_Base!A:D,3,"FALSO"))</f>
        <v>un</v>
      </c>
      <c r="D39" s="354" t="s">
        <v>932</v>
      </c>
      <c r="E39" s="355" t="str">
        <f t="shared" si="1"/>
        <v/>
      </c>
      <c r="F39" s="354"/>
      <c r="G39" s="345" t="str">
        <f>IF(D39="","",VLOOKUP(A39,Materiais_Base!A:D,4,"FALSO"))</f>
        <v/>
      </c>
    </row>
    <row r="40" hidden="1" customHeight="1" spans="1:7">
      <c r="A40" s="352" t="s">
        <v>14355</v>
      </c>
      <c r="B40" s="352" t="str">
        <f>IF(A40="","",VLOOKUP(A40,Materiais_Base!A:D,2,"FALSO"))</f>
        <v>Aditivo natural tipo goma xantana para hidrossemeadura</v>
      </c>
      <c r="C40" s="353" t="str">
        <f>IF(A40="","",VLOOKUP(A40,Materiais_Base!A:D,3,"FALSO"))</f>
        <v>kg</v>
      </c>
      <c r="D40" s="354" t="s">
        <v>932</v>
      </c>
      <c r="E40" s="355" t="str">
        <f t="shared" si="1"/>
        <v/>
      </c>
      <c r="F40" s="354"/>
      <c r="G40" s="345" t="str">
        <f>IF(D40="","",VLOOKUP(A40,Materiais_Base!A:D,4,"FALSO"))</f>
        <v/>
      </c>
    </row>
    <row r="41" hidden="1" customHeight="1" spans="1:7">
      <c r="A41" s="352" t="s">
        <v>14356</v>
      </c>
      <c r="B41" s="352" t="str">
        <f>IF(A41="","",VLOOKUP(A41,Materiais_Base!A:D,2,"FALSO"))</f>
        <v>Cilindro canalizador de tráfego em polietileno - H = 117 cm e base quadrada de 60 x 60 cm</v>
      </c>
      <c r="C41" s="353" t="str">
        <f>IF(A41="","",VLOOKUP(A41,Materiais_Base!A:D,3,"FALSO"))</f>
        <v>un</v>
      </c>
      <c r="D41" s="354" t="s">
        <v>932</v>
      </c>
      <c r="E41" s="355" t="str">
        <f t="shared" si="1"/>
        <v/>
      </c>
      <c r="F41" s="354"/>
      <c r="G41" s="345" t="str">
        <f>IF(D41="","",VLOOKUP(A41,Materiais_Base!A:D,4,"FALSO"))</f>
        <v/>
      </c>
    </row>
    <row r="42" customHeight="1" spans="1:7">
      <c r="A42" s="352" t="s">
        <v>14357</v>
      </c>
      <c r="B42" s="352" t="str">
        <f>IF(A42="","",VLOOKUP(A42,Materiais_Base!A:D,2,"FALSO"))</f>
        <v>Fita adesiva de PVC - L = 50 mm e C = 50 m</v>
      </c>
      <c r="C42" s="353" t="str">
        <f>IF(A42="","",VLOOKUP(A42,Materiais_Base!A:D,3,"FALSO"))</f>
        <v>m</v>
      </c>
      <c r="D42" s="354">
        <v>0.1184</v>
      </c>
      <c r="E42" s="355">
        <f t="shared" si="1"/>
        <v>0.1184</v>
      </c>
      <c r="F42" s="354"/>
      <c r="G42" s="345">
        <f>IF(D42="","",VLOOKUP(A42,Materiais_Base!A:D,4,"FALSO"))</f>
        <v>0.1184</v>
      </c>
    </row>
    <row r="43" hidden="1" customHeight="1" spans="1:7">
      <c r="A43" s="352" t="s">
        <v>14358</v>
      </c>
      <c r="B43" s="352" t="str">
        <f>IF(A43="","",VLOOKUP(A43,Materiais_Base!A:D,2,"FALSO"))</f>
        <v>Tela plástica em polipropileno na cor laranja para tapume - L = 1,2 m</v>
      </c>
      <c r="C43" s="353" t="str">
        <f>IF(A43="","",VLOOKUP(A43,Materiais_Base!A:D,3,"FALSO"))</f>
        <v>m</v>
      </c>
      <c r="D43" s="354" t="s">
        <v>932</v>
      </c>
      <c r="E43" s="355" t="str">
        <f t="shared" si="1"/>
        <v/>
      </c>
      <c r="F43" s="354"/>
      <c r="G43" s="345" t="str">
        <f>IF(D43="","",VLOOKUP(A43,Materiais_Base!A:D,4,"FALSO"))</f>
        <v/>
      </c>
    </row>
    <row r="44" hidden="1" customHeight="1" spans="1:7">
      <c r="A44" s="352" t="s">
        <v>14359</v>
      </c>
      <c r="B44" s="352" t="str">
        <f>IF(A44="","",VLOOKUP(A44,Materiais_Base!A:D,2,"FALSO"))</f>
        <v>Fita zebrada de cor laranja e branca - L = 7 a 8 cm</v>
      </c>
      <c r="C44" s="353" t="str">
        <f>IF(A44="","",VLOOKUP(A44,Materiais_Base!A:D,3,"FALSO"))</f>
        <v>m</v>
      </c>
      <c r="D44" s="354" t="s">
        <v>932</v>
      </c>
      <c r="E44" s="355" t="str">
        <f t="shared" si="1"/>
        <v/>
      </c>
      <c r="F44" s="354"/>
      <c r="G44" s="345" t="str">
        <f>IF(D44="","",VLOOKUP(A44,Materiais_Base!A:D,4,"FALSO"))</f>
        <v/>
      </c>
    </row>
    <row r="45" hidden="1" customHeight="1" spans="1:7">
      <c r="A45" s="352" t="s">
        <v>14360</v>
      </c>
      <c r="B45" s="352" t="str">
        <f>IF(A45="","",VLOOKUP(A45,Materiais_Base!A:D,2,"FALSO"))</f>
        <v>Barreira plástica articulável modular - C = 240 cm e H = 100 cm</v>
      </c>
      <c r="C45" s="353" t="str">
        <f>IF(A45="","",VLOOKUP(A45,Materiais_Base!A:D,3,"FALSO"))</f>
        <v>un</v>
      </c>
      <c r="D45" s="354" t="s">
        <v>932</v>
      </c>
      <c r="E45" s="355" t="str">
        <f t="shared" si="1"/>
        <v/>
      </c>
      <c r="F45" s="354"/>
      <c r="G45" s="345" t="str">
        <f>IF(D45="","",VLOOKUP(A45,Materiais_Base!A:D,4,"FALSO"))</f>
        <v/>
      </c>
    </row>
    <row r="46" hidden="1" customHeight="1" spans="1:7">
      <c r="A46" s="352" t="s">
        <v>14361</v>
      </c>
      <c r="B46" s="352" t="str">
        <f>IF(A46="","",VLOOKUP(A46,Materiais_Base!A:D,2,"FALSO"))</f>
        <v>Ferramenta de corte para removedora de faixa de sinalização (Smith Cutter)</v>
      </c>
      <c r="C46" s="353" t="str">
        <f>IF(A46="","",VLOOKUP(A46,Materiais_Base!A:D,3,"FALSO"))</f>
        <v>un</v>
      </c>
      <c r="D46" s="354" t="s">
        <v>932</v>
      </c>
      <c r="E46" s="355" t="str">
        <f t="shared" si="1"/>
        <v/>
      </c>
      <c r="F46" s="354"/>
      <c r="G46" s="345" t="str">
        <f>IF(D46="","",VLOOKUP(A46,Materiais_Base!A:D,4,"FALSO"))</f>
        <v/>
      </c>
    </row>
    <row r="47" customHeight="1" spans="1:7">
      <c r="A47" s="352" t="s">
        <v>776</v>
      </c>
      <c r="B47" s="352" t="str">
        <f>IF(A47="","",VLOOKUP(A47,Materiais_Base!A:D,2,"FALSO"))</f>
        <v>Contêiner com janela - L = 4,88 m e C = 6,09 m (1 TEU duplo)</v>
      </c>
      <c r="C47" s="353" t="str">
        <f>IF(A47="","",VLOOKUP(A47,Materiais_Base!A:D,3,"FALSO"))</f>
        <v>un</v>
      </c>
      <c r="D47" s="354">
        <v>127045.6007</v>
      </c>
      <c r="E47" s="355">
        <f t="shared" si="1"/>
        <v>127045.6007</v>
      </c>
      <c r="F47" s="354"/>
      <c r="G47" s="345">
        <f>IF(D47="","",VLOOKUP(A47,Materiais_Base!A:D,4,"FALSO"))</f>
        <v>127045.6007</v>
      </c>
    </row>
    <row r="48" customHeight="1" spans="1:7">
      <c r="A48" s="352" t="s">
        <v>774</v>
      </c>
      <c r="B48" s="352" t="str">
        <f>IF(A48="","",VLOOKUP(A48,Materiais_Base!A:D,2,"FALSO"))</f>
        <v>Contêiner com janela e 2 banheiros - L = 4,88 m e C = 6,09 m (1 TEU duplo)</v>
      </c>
      <c r="C48" s="353" t="str">
        <f>IF(A48="","",VLOOKUP(A48,Materiais_Base!A:D,3,"FALSO"))</f>
        <v>un</v>
      </c>
      <c r="D48" s="354">
        <v>132070.6307</v>
      </c>
      <c r="E48" s="355">
        <f t="shared" si="1"/>
        <v>132070.6307</v>
      </c>
      <c r="F48" s="354"/>
      <c r="G48" s="345">
        <f>IF(D48="","",VLOOKUP(A48,Materiais_Base!A:D,4,"FALSO"))</f>
        <v>132070.6307</v>
      </c>
    </row>
    <row r="49" customHeight="1" spans="1:7">
      <c r="A49" s="352" t="s">
        <v>769</v>
      </c>
      <c r="B49" s="352" t="str">
        <f>IF(A49="","",VLOOKUP(A49,Materiais_Base!A:D,2,"FALSO"))</f>
        <v>Contêiner com revestimento térmico, janela e banheiro - L = 2,44 m e C = 6,09 m (1 TEU)</v>
      </c>
      <c r="C49" s="353" t="str">
        <f>IF(A49="","",VLOOKUP(A49,Materiais_Base!A:D,3,"FALSO"))</f>
        <v>un</v>
      </c>
      <c r="D49" s="354">
        <v>58283.0633</v>
      </c>
      <c r="E49" s="355">
        <f t="shared" si="1"/>
        <v>58283.0633</v>
      </c>
      <c r="F49" s="354"/>
      <c r="G49" s="345">
        <f>IF(D49="","",VLOOKUP(A49,Materiais_Base!A:D,4,"FALSO"))</f>
        <v>58283.0633</v>
      </c>
    </row>
    <row r="50" hidden="1" customHeight="1" spans="1:7">
      <c r="A50" s="352" t="s">
        <v>14362</v>
      </c>
      <c r="B50" s="352" t="str">
        <f>IF(A50="","",VLOOKUP(A50,Materiais_Base!A:D,2,"FALSO"))</f>
        <v>Contêiner com revestimento térmico, janela e banheiro - L = 2,44 m e C = 12,19 m (2 TEU)</v>
      </c>
      <c r="C50" s="353" t="str">
        <f>IF(A50="","",VLOOKUP(A50,Materiais_Base!A:D,3,"FALSO"))</f>
        <v>un</v>
      </c>
      <c r="D50" s="358" t="s">
        <v>932</v>
      </c>
      <c r="E50" s="355" t="str">
        <f t="shared" si="1"/>
        <v/>
      </c>
      <c r="F50" s="354"/>
      <c r="G50" s="345" t="str">
        <f>IF(D50="","",VLOOKUP(A50,Materiais_Base!A:D,4,"FALSO"))</f>
        <v/>
      </c>
    </row>
    <row r="51" hidden="1" customHeight="1" spans="1:7">
      <c r="A51" s="352" t="s">
        <v>14363</v>
      </c>
      <c r="B51" s="352" t="str">
        <f>IF(A51="","",VLOOKUP(A51,Materiais_Base!A:D,2,"FALSO"))</f>
        <v>Tubo PEAD PE 100 PN 10 com flanges - D = 160 mm</v>
      </c>
      <c r="C51" s="353" t="str">
        <f>IF(A51="","",VLOOKUP(A51,Materiais_Base!A:D,3,"FALSO"))</f>
        <v>m</v>
      </c>
      <c r="D51" s="354" t="s">
        <v>932</v>
      </c>
      <c r="E51" s="355" t="str">
        <f t="shared" si="1"/>
        <v/>
      </c>
      <c r="F51" s="354"/>
      <c r="G51" s="345" t="str">
        <f>IF(D51="","",VLOOKUP(A51,Materiais_Base!A:D,4,"FALSO"))</f>
        <v/>
      </c>
    </row>
    <row r="52" customHeight="1" spans="1:7">
      <c r="A52" s="352" t="s">
        <v>14364</v>
      </c>
      <c r="B52" s="352" t="str">
        <f>IF(A52="","",VLOOKUP(A52,Materiais_Base!A:D,2,"FALSO"))</f>
        <v>Caibro de pinho - L = 7,5 cm e E = 10,0 cm</v>
      </c>
      <c r="C52" s="353" t="str">
        <f>IF(A52="","",VLOOKUP(A52,Materiais_Base!A:D,3,"FALSO"))</f>
        <v>m</v>
      </c>
      <c r="D52" s="354">
        <v>17.32</v>
      </c>
      <c r="E52" s="355">
        <f t="shared" si="1"/>
        <v>17.32</v>
      </c>
      <c r="F52" s="354"/>
      <c r="G52" s="345">
        <f>IF(D52="","",VLOOKUP(A52,Materiais_Base!A:D,4,"FALSO"))</f>
        <v>17.32</v>
      </c>
    </row>
    <row r="53" customHeight="1" spans="1:7">
      <c r="A53" s="352" t="s">
        <v>14365</v>
      </c>
      <c r="B53" s="352" t="str">
        <f>IF(A53="","",VLOOKUP(A53,Materiais_Base!A:D,2,"FALSO"))</f>
        <v>Arame farpado em aço galvanizado - D = 1,60 mm</v>
      </c>
      <c r="C53" s="353" t="str">
        <f>IF(A53="","",VLOOKUP(A53,Materiais_Base!A:D,3,"FALSO"))</f>
        <v>m</v>
      </c>
      <c r="D53" s="354">
        <v>0.7911</v>
      </c>
      <c r="E53" s="355">
        <f t="shared" si="1"/>
        <v>0.7911</v>
      </c>
      <c r="F53" s="354"/>
      <c r="G53" s="345">
        <f>IF(D53="","",VLOOKUP(A53,Materiais_Base!A:D,4,"FALSO"))</f>
        <v>0.7911</v>
      </c>
    </row>
    <row r="54" customHeight="1" spans="1:7">
      <c r="A54" s="352" t="s">
        <v>783</v>
      </c>
      <c r="B54" s="352" t="str">
        <f>IF(A54="","",VLOOKUP(A54,Materiais_Base!A:D,2,"FALSO"))</f>
        <v>Contêiner com 3 janelas para guarita - L = 2,44 m e C = 3,05 m (1/2 TEU)</v>
      </c>
      <c r="C54" s="353" t="str">
        <f>IF(A54="","",VLOOKUP(A54,Materiais_Base!A:D,3,"FALSO"))</f>
        <v>un</v>
      </c>
      <c r="D54" s="354">
        <v>40370.5143</v>
      </c>
      <c r="E54" s="355">
        <f t="shared" si="1"/>
        <v>40370.5143</v>
      </c>
      <c r="F54" s="354"/>
      <c r="G54" s="345">
        <f>IF(D54="","",VLOOKUP(A54,Materiais_Base!A:D,4,"FALSO"))</f>
        <v>40370.5143</v>
      </c>
    </row>
    <row r="55" hidden="1" customHeight="1" spans="1:7">
      <c r="A55" s="352" t="s">
        <v>14366</v>
      </c>
      <c r="B55" s="352" t="str">
        <f>IF(A55="","",VLOOKUP(A55,Materiais_Base!A:D,2,"FALSO"))</f>
        <v>Arame liso em aço galvanizado - D = 2,10 mm (14 BWG)</v>
      </c>
      <c r="C55" s="353" t="str">
        <f>IF(A55="","",VLOOKUP(A55,Materiais_Base!A:D,3,"FALSO"))</f>
        <v>kg</v>
      </c>
      <c r="D55" s="354" t="s">
        <v>932</v>
      </c>
      <c r="E55" s="355" t="str">
        <f t="shared" si="1"/>
        <v/>
      </c>
      <c r="F55" s="354"/>
      <c r="G55" s="345" t="str">
        <f>IF(D55="","",VLOOKUP(A55,Materiais_Base!A:D,4,"FALSO"))</f>
        <v/>
      </c>
    </row>
    <row r="56" hidden="1" customHeight="1" spans="1:7">
      <c r="A56" s="352" t="s">
        <v>14367</v>
      </c>
      <c r="B56" s="352" t="str">
        <f>IF(A56="","",VLOOKUP(A56,Materiais_Base!A:D,2,"FALSO"))</f>
        <v>Muda de árvore com altura de 0,30 a 0,80 m</v>
      </c>
      <c r="C56" s="353" t="str">
        <f>IF(A56="","",VLOOKUP(A56,Materiais_Base!A:D,3,"FALSO"))</f>
        <v>un</v>
      </c>
      <c r="D56" s="354" t="s">
        <v>932</v>
      </c>
      <c r="E56" s="355" t="str">
        <f t="shared" si="1"/>
        <v/>
      </c>
      <c r="F56" s="354"/>
      <c r="G56" s="345" t="str">
        <f>IF(D56="","",VLOOKUP(A56,Materiais_Base!A:D,4,"FALSO"))</f>
        <v/>
      </c>
    </row>
    <row r="57" hidden="1" customHeight="1" spans="1:7">
      <c r="A57" s="352" t="s">
        <v>14368</v>
      </c>
      <c r="B57" s="352" t="str">
        <f>IF(A57="","",VLOOKUP(A57,Materiais_Base!A:D,2,"FALSO"))</f>
        <v>Muda de arbusto com altura até 0,50 m</v>
      </c>
      <c r="C57" s="353" t="str">
        <f>IF(A57="","",VLOOKUP(A57,Materiais_Base!A:D,3,"FALSO"))</f>
        <v>un</v>
      </c>
      <c r="D57" s="354" t="s">
        <v>932</v>
      </c>
      <c r="E57" s="355" t="str">
        <f t="shared" si="1"/>
        <v/>
      </c>
      <c r="F57" s="354"/>
      <c r="G57" s="345" t="str">
        <f>IF(D57="","",VLOOKUP(A57,Materiais_Base!A:D,4,"FALSO"))</f>
        <v/>
      </c>
    </row>
    <row r="58" customHeight="1" spans="1:7">
      <c r="A58" s="352" t="s">
        <v>14220</v>
      </c>
      <c r="B58" s="352" t="str">
        <f>IF(A58="","",VLOOKUP(A58,Materiais_Base!A:D,2,"FALSO"))</f>
        <v>Arame liso recozido em aço-carbono - D = 1,24 mm (18 BWG)</v>
      </c>
      <c r="C58" s="353" t="str">
        <f>IF(A58="","",VLOOKUP(A58,Materiais_Base!A:D,3,"FALSO"))</f>
        <v>kg</v>
      </c>
      <c r="D58" s="354">
        <v>11.8043</v>
      </c>
      <c r="E58" s="355">
        <f t="shared" si="1"/>
        <v>11.8043</v>
      </c>
      <c r="F58" s="354"/>
      <c r="G58" s="345">
        <f>IF(D58="","",VLOOKUP(A58,Materiais_Base!A:D,4,"FALSO"))</f>
        <v>11.8043</v>
      </c>
    </row>
    <row r="59" customHeight="1" spans="1:7">
      <c r="A59" s="352" t="s">
        <v>14267</v>
      </c>
      <c r="B59" s="352" t="str">
        <f>IF(A59="","",VLOOKUP(A59,Materiais_Base!A:D,2,"FALSO"))</f>
        <v>Disco de corte abrasivo para policorte - D = 300 mm</v>
      </c>
      <c r="C59" s="353" t="str">
        <f>IF(A59="","",VLOOKUP(A59,Materiais_Base!A:D,3,"FALSO"))</f>
        <v>un</v>
      </c>
      <c r="D59" s="354">
        <v>23.9701</v>
      </c>
      <c r="E59" s="355">
        <f t="shared" si="1"/>
        <v>23.9701</v>
      </c>
      <c r="F59" s="354"/>
      <c r="G59" s="345">
        <f>IF(D59="","",VLOOKUP(A59,Materiais_Base!A:D,4,"FALSO"))</f>
        <v>23.9701</v>
      </c>
    </row>
    <row r="60" hidden="1" customHeight="1" spans="1:7">
      <c r="A60" s="352" t="s">
        <v>14369</v>
      </c>
      <c r="B60" s="352" t="str">
        <f>IF(A60="","",VLOOKUP(A60,Materiais_Base!A:D,2,"FALSO"))</f>
        <v>Areia fina</v>
      </c>
      <c r="C60" s="353" t="str">
        <f>IF(A60="","",VLOOKUP(A60,Materiais_Base!A:D,3,"FALSO"))</f>
        <v>m³</v>
      </c>
      <c r="D60" s="354" t="s">
        <v>932</v>
      </c>
      <c r="E60" s="355" t="str">
        <f t="shared" si="1"/>
        <v/>
      </c>
      <c r="F60" s="354"/>
      <c r="G60" s="345" t="str">
        <f>IF(D60="","",VLOOKUP(A60,Materiais_Base!A:D,4,"FALSO"))</f>
        <v/>
      </c>
    </row>
    <row r="61" hidden="1" customHeight="1" spans="1:7">
      <c r="A61" s="352" t="s">
        <v>14370</v>
      </c>
      <c r="B61" s="352" t="str">
        <f>IF(A61="","",VLOOKUP(A61,Materiais_Base!A:D,2,"FALSO"))</f>
        <v>Areia grossa</v>
      </c>
      <c r="C61" s="353" t="str">
        <f>IF(A61="","",VLOOKUP(A61,Materiais_Base!A:D,3,"FALSO"))</f>
        <v>m³</v>
      </c>
      <c r="D61" s="354" t="s">
        <v>932</v>
      </c>
      <c r="E61" s="355" t="str">
        <f t="shared" si="1"/>
        <v/>
      </c>
      <c r="F61" s="354"/>
      <c r="G61" s="345" t="str">
        <f>IF(D61="","",VLOOKUP(A61,Materiais_Base!A:D,4,"FALSO"))</f>
        <v/>
      </c>
    </row>
    <row r="62" customHeight="1" spans="1:7">
      <c r="A62" s="352" t="s">
        <v>851</v>
      </c>
      <c r="B62" s="352" t="str">
        <f>IF(A62="","",VLOOKUP(A62,Materiais_Base!A:D,2,"FALSO"))</f>
        <v>Areia média lavada</v>
      </c>
      <c r="C62" s="353" t="str">
        <f>IF(A62="","",VLOOKUP(A62,Materiais_Base!A:D,3,"FALSO"))</f>
        <v>m³</v>
      </c>
      <c r="D62" s="354" t="s">
        <v>932</v>
      </c>
      <c r="E62" s="355">
        <f>MAX(D62,F62)</f>
        <v>412.326997156484</v>
      </c>
      <c r="F62" s="359">
        <f>Cotações!BO28</f>
        <v>412.326997156484</v>
      </c>
      <c r="G62" s="345" t="str">
        <f>IF(D62="","",VLOOKUP(A62,Materiais_Base!A:D,4,"FALSO"))</f>
        <v/>
      </c>
    </row>
    <row r="63" hidden="1" customHeight="1" spans="1:7">
      <c r="A63" s="352" t="s">
        <v>14371</v>
      </c>
      <c r="B63" s="352" t="str">
        <f>IF(A63="","",VLOOKUP(A63,Materiais_Base!A:D,2,"FALSO"))</f>
        <v>Argamassa pré-dosada para grauteamento</v>
      </c>
      <c r="C63" s="353" t="str">
        <f>IF(A63="","",VLOOKUP(A63,Materiais_Base!A:D,3,"FALSO"))</f>
        <v>kg</v>
      </c>
      <c r="D63" s="354" t="s">
        <v>932</v>
      </c>
      <c r="E63" s="355" t="str">
        <f t="shared" ref="E63:E93" si="2">IF(D63="","",MIN(D63,F63))</f>
        <v/>
      </c>
      <c r="F63" s="354"/>
      <c r="G63" s="345" t="str">
        <f>IF(D63="","",VLOOKUP(A63,Materiais_Base!A:D,4,"FALSO"))</f>
        <v/>
      </c>
    </row>
    <row r="64" hidden="1" customHeight="1" spans="1:7">
      <c r="A64" s="352" t="s">
        <v>14372</v>
      </c>
      <c r="B64" s="352" t="str">
        <f>IF(A64="","",VLOOKUP(A64,Materiais_Base!A:D,2,"FALSO"))</f>
        <v>Argamassa pré-dosada autoadensável para grauteamento</v>
      </c>
      <c r="C64" s="353" t="str">
        <f>IF(A64="","",VLOOKUP(A64,Materiais_Base!A:D,3,"FALSO"))</f>
        <v>kg</v>
      </c>
      <c r="D64" s="354" t="s">
        <v>932</v>
      </c>
      <c r="E64" s="355" t="str">
        <f t="shared" si="2"/>
        <v/>
      </c>
      <c r="F64" s="354"/>
      <c r="G64" s="345" t="str">
        <f>IF(D64="","",VLOOKUP(A64,Materiais_Base!A:D,4,"FALSO"))</f>
        <v/>
      </c>
    </row>
    <row r="65" customHeight="1" spans="1:7">
      <c r="A65" s="352" t="s">
        <v>14373</v>
      </c>
      <c r="B65" s="352" t="str">
        <f>IF(A65="","",VLOOKUP(A65,Materiais_Base!A:D,2,"FALSO"))</f>
        <v>Ancoragem ativa para 4 cordoalhas - D = 12,7 mm</v>
      </c>
      <c r="C65" s="353" t="str">
        <f>IF(A65="","",VLOOKUP(A65,Materiais_Base!A:D,3,"FALSO"))</f>
        <v>un</v>
      </c>
      <c r="D65" s="354">
        <v>342.2946</v>
      </c>
      <c r="E65" s="355">
        <f t="shared" si="2"/>
        <v>342.2946</v>
      </c>
      <c r="F65" s="354"/>
      <c r="G65" s="345">
        <f>IF(D65="","",VLOOKUP(A65,Materiais_Base!A:D,4,"FALSO"))</f>
        <v>342.2946</v>
      </c>
    </row>
    <row r="66" hidden="1" customHeight="1" spans="1:7">
      <c r="A66" s="352" t="s">
        <v>14374</v>
      </c>
      <c r="B66" s="352" t="str">
        <f>IF(A66="","",VLOOKUP(A66,Materiais_Base!A:D,2,"FALSO"))</f>
        <v>Ancoragem ativa para 6 cordoalhas - D = 12,7 mm</v>
      </c>
      <c r="C66" s="353" t="str">
        <f>IF(A66="","",VLOOKUP(A66,Materiais_Base!A:D,3,"FALSO"))</f>
        <v>un</v>
      </c>
      <c r="D66" s="354" t="s">
        <v>932</v>
      </c>
      <c r="E66" s="355" t="str">
        <f t="shared" si="2"/>
        <v/>
      </c>
      <c r="F66" s="354"/>
      <c r="G66" s="345" t="str">
        <f>IF(D66="","",VLOOKUP(A66,Materiais_Base!A:D,4,"FALSO"))</f>
        <v/>
      </c>
    </row>
    <row r="67" hidden="1" customHeight="1" spans="1:7">
      <c r="A67" s="352" t="s">
        <v>14375</v>
      </c>
      <c r="B67" s="352" t="str">
        <f>IF(A67="","",VLOOKUP(A67,Materiais_Base!A:D,2,"FALSO"))</f>
        <v>Ancoragem ativa para 7 cordoalhas - D = 12,7 mm</v>
      </c>
      <c r="C67" s="353" t="str">
        <f>IF(A67="","",VLOOKUP(A67,Materiais_Base!A:D,3,"FALSO"))</f>
        <v>un</v>
      </c>
      <c r="D67" s="354" t="s">
        <v>932</v>
      </c>
      <c r="E67" s="355" t="str">
        <f t="shared" si="2"/>
        <v/>
      </c>
      <c r="F67" s="354"/>
      <c r="G67" s="345" t="str">
        <f>IF(D67="","",VLOOKUP(A67,Materiais_Base!A:D,4,"FALSO"))</f>
        <v/>
      </c>
    </row>
    <row r="68" hidden="1" customHeight="1" spans="1:7">
      <c r="A68" s="352" t="s">
        <v>14376</v>
      </c>
      <c r="B68" s="352" t="str">
        <f>IF(A68="","",VLOOKUP(A68,Materiais_Base!A:D,2,"FALSO"))</f>
        <v>Ancoragem ativa para 8 cordoalhas - D = 12,7 mm</v>
      </c>
      <c r="C68" s="353" t="str">
        <f>IF(A68="","",VLOOKUP(A68,Materiais_Base!A:D,3,"FALSO"))</f>
        <v>un</v>
      </c>
      <c r="D68" s="354" t="s">
        <v>932</v>
      </c>
      <c r="E68" s="355" t="str">
        <f t="shared" si="2"/>
        <v/>
      </c>
      <c r="F68" s="354"/>
      <c r="G68" s="345" t="str">
        <f>IF(D68="","",VLOOKUP(A68,Materiais_Base!A:D,4,"FALSO"))</f>
        <v/>
      </c>
    </row>
    <row r="69" hidden="1" customHeight="1" spans="1:7">
      <c r="A69" s="352" t="s">
        <v>14377</v>
      </c>
      <c r="B69" s="352" t="str">
        <f>IF(A69="","",VLOOKUP(A69,Materiais_Base!A:D,2,"FALSO"))</f>
        <v>Ancoragem ativa para 9 cordoalhas - D = 12,7 mm</v>
      </c>
      <c r="C69" s="353" t="str">
        <f>IF(A69="","",VLOOKUP(A69,Materiais_Base!A:D,3,"FALSO"))</f>
        <v>un</v>
      </c>
      <c r="D69" s="354" t="s">
        <v>932</v>
      </c>
      <c r="E69" s="355" t="str">
        <f t="shared" si="2"/>
        <v/>
      </c>
      <c r="F69" s="354"/>
      <c r="G69" s="345" t="str">
        <f>IF(D69="","",VLOOKUP(A69,Materiais_Base!A:D,4,"FALSO"))</f>
        <v/>
      </c>
    </row>
    <row r="70" hidden="1" customHeight="1" spans="1:7">
      <c r="A70" s="352" t="s">
        <v>14378</v>
      </c>
      <c r="B70" s="352" t="str">
        <f>IF(A70="","",VLOOKUP(A70,Materiais_Base!A:D,2,"FALSO"))</f>
        <v>Ancoragem ativa para 10 cordoalhas - D = 12,7 mm</v>
      </c>
      <c r="C70" s="353" t="str">
        <f>IF(A70="","",VLOOKUP(A70,Materiais_Base!A:D,3,"FALSO"))</f>
        <v>un</v>
      </c>
      <c r="D70" s="354" t="s">
        <v>932</v>
      </c>
      <c r="E70" s="355" t="str">
        <f t="shared" si="2"/>
        <v/>
      </c>
      <c r="F70" s="354"/>
      <c r="G70" s="345" t="str">
        <f>IF(D70="","",VLOOKUP(A70,Materiais_Base!A:D,4,"FALSO"))</f>
        <v/>
      </c>
    </row>
    <row r="71" hidden="1" customHeight="1" spans="1:7">
      <c r="A71" s="352" t="s">
        <v>14379</v>
      </c>
      <c r="B71" s="352" t="str">
        <f>IF(A71="","",VLOOKUP(A71,Materiais_Base!A:D,2,"FALSO"))</f>
        <v>Ancoragem ativa para 12 cordoalhas - D = 12,7 mm</v>
      </c>
      <c r="C71" s="353" t="str">
        <f>IF(A71="","",VLOOKUP(A71,Materiais_Base!A:D,3,"FALSO"))</f>
        <v>un</v>
      </c>
      <c r="D71" s="354" t="s">
        <v>932</v>
      </c>
      <c r="E71" s="355" t="str">
        <f t="shared" si="2"/>
        <v/>
      </c>
      <c r="F71" s="354"/>
      <c r="G71" s="345" t="str">
        <f>IF(D71="","",VLOOKUP(A71,Materiais_Base!A:D,4,"FALSO"))</f>
        <v/>
      </c>
    </row>
    <row r="72" hidden="1" customHeight="1" spans="1:7">
      <c r="A72" s="352" t="s">
        <v>14380</v>
      </c>
      <c r="B72" s="352" t="str">
        <f>IF(A72="","",VLOOKUP(A72,Materiais_Base!A:D,2,"FALSO"))</f>
        <v>Ancoragem ativa para 15 cordoalhas - D = 12,7 mm</v>
      </c>
      <c r="C72" s="353" t="str">
        <f>IF(A72="","",VLOOKUP(A72,Materiais_Base!A:D,3,"FALSO"))</f>
        <v>un</v>
      </c>
      <c r="D72" s="354" t="s">
        <v>932</v>
      </c>
      <c r="E72" s="355" t="str">
        <f t="shared" si="2"/>
        <v/>
      </c>
      <c r="F72" s="354"/>
      <c r="G72" s="345" t="str">
        <f>IF(D72="","",VLOOKUP(A72,Materiais_Base!A:D,4,"FALSO"))</f>
        <v/>
      </c>
    </row>
    <row r="73" hidden="1" customHeight="1" spans="1:7">
      <c r="A73" s="352" t="s">
        <v>14381</v>
      </c>
      <c r="B73" s="352" t="str">
        <f>IF(A73="","",VLOOKUP(A73,Materiais_Base!A:D,2,"FALSO"))</f>
        <v>Ancoragem ativa para 19 cordoalhas - D = 12,7 mm</v>
      </c>
      <c r="C73" s="353" t="str">
        <f>IF(A73="","",VLOOKUP(A73,Materiais_Base!A:D,3,"FALSO"))</f>
        <v>un</v>
      </c>
      <c r="D73" s="354" t="s">
        <v>932</v>
      </c>
      <c r="E73" s="355" t="str">
        <f t="shared" si="2"/>
        <v/>
      </c>
      <c r="F73" s="354"/>
      <c r="G73" s="345" t="str">
        <f>IF(D73="","",VLOOKUP(A73,Materiais_Base!A:D,4,"FALSO"))</f>
        <v/>
      </c>
    </row>
    <row r="74" hidden="1" customHeight="1" spans="1:7">
      <c r="A74" s="352" t="s">
        <v>14382</v>
      </c>
      <c r="B74" s="352" t="str">
        <f>IF(A74="","",VLOOKUP(A74,Materiais_Base!A:D,2,"FALSO"))</f>
        <v>Bambu com diâmetro médio de 10 cm</v>
      </c>
      <c r="C74" s="353" t="str">
        <f>IF(A74="","",VLOOKUP(A74,Materiais_Base!A:D,3,"FALSO"))</f>
        <v>m</v>
      </c>
      <c r="D74" s="354" t="s">
        <v>932</v>
      </c>
      <c r="E74" s="355" t="str">
        <f t="shared" si="2"/>
        <v/>
      </c>
      <c r="F74" s="354"/>
      <c r="G74" s="345" t="str">
        <f>IF(D74="","",VLOOKUP(A74,Materiais_Base!A:D,4,"FALSO"))</f>
        <v/>
      </c>
    </row>
    <row r="75" hidden="1" customHeight="1" spans="1:7">
      <c r="A75" s="352" t="s">
        <v>14383</v>
      </c>
      <c r="B75" s="352" t="str">
        <f>IF(A75="","",VLOOKUP(A75,Materiais_Base!A:D,2,"FALSO"))</f>
        <v>Ancoragem ativa para 22 cordoalhas - D = 12,7 mm</v>
      </c>
      <c r="C75" s="353" t="str">
        <f>IF(A75="","",VLOOKUP(A75,Materiais_Base!A:D,3,"FALSO"))</f>
        <v>un</v>
      </c>
      <c r="D75" s="354" t="s">
        <v>932</v>
      </c>
      <c r="E75" s="355" t="str">
        <f t="shared" si="2"/>
        <v/>
      </c>
      <c r="F75" s="354"/>
      <c r="G75" s="345" t="str">
        <f>IF(D75="","",VLOOKUP(A75,Materiais_Base!A:D,4,"FALSO"))</f>
        <v/>
      </c>
    </row>
    <row r="76" hidden="1" customHeight="1" spans="1:7">
      <c r="A76" s="352" t="s">
        <v>14384</v>
      </c>
      <c r="B76" s="352" t="str">
        <f>IF(A76="","",VLOOKUP(A76,Materiais_Base!A:D,2,"FALSO"))</f>
        <v>Ancoragem ativa para 27 cordoalhas - D = 12,7 mm</v>
      </c>
      <c r="C76" s="353" t="str">
        <f>IF(A76="","",VLOOKUP(A76,Materiais_Base!A:D,3,"FALSO"))</f>
        <v>un</v>
      </c>
      <c r="D76" s="354" t="s">
        <v>932</v>
      </c>
      <c r="E76" s="355" t="str">
        <f t="shared" si="2"/>
        <v/>
      </c>
      <c r="F76" s="354"/>
      <c r="G76" s="345" t="str">
        <f>IF(D76="","",VLOOKUP(A76,Materiais_Base!A:D,4,"FALSO"))</f>
        <v/>
      </c>
    </row>
    <row r="77" hidden="1" customHeight="1" spans="1:7">
      <c r="A77" s="352" t="s">
        <v>14385</v>
      </c>
      <c r="B77" s="352" t="str">
        <f>IF(A77="","",VLOOKUP(A77,Materiais_Base!A:D,2,"FALSO"))</f>
        <v>Ancoragem ativa para 31 cordoalhas - D = 12,7 mm</v>
      </c>
      <c r="C77" s="353" t="str">
        <f>IF(A77="","",VLOOKUP(A77,Materiais_Base!A:D,3,"FALSO"))</f>
        <v>un</v>
      </c>
      <c r="D77" s="354" t="s">
        <v>932</v>
      </c>
      <c r="E77" s="355" t="str">
        <f t="shared" si="2"/>
        <v/>
      </c>
      <c r="F77" s="354"/>
      <c r="G77" s="345" t="str">
        <f>IF(D77="","",VLOOKUP(A77,Materiais_Base!A:D,4,"FALSO"))</f>
        <v/>
      </c>
    </row>
    <row r="78" hidden="1" customHeight="1" spans="1:7">
      <c r="A78" s="352" t="s">
        <v>14386</v>
      </c>
      <c r="B78" s="352" t="str">
        <f>IF(A78="","",VLOOKUP(A78,Materiais_Base!A:D,2,"FALSO"))</f>
        <v>Aditivo acelerador de pega para concreto e argamassa projetados</v>
      </c>
      <c r="C78" s="353" t="str">
        <f>IF(A78="","",VLOOKUP(A78,Materiais_Base!A:D,3,"FALSO"))</f>
        <v>kg</v>
      </c>
      <c r="D78" s="354" t="s">
        <v>932</v>
      </c>
      <c r="E78" s="355" t="str">
        <f t="shared" si="2"/>
        <v/>
      </c>
      <c r="F78" s="354"/>
      <c r="G78" s="345" t="str">
        <f>IF(D78="","",VLOOKUP(A78,Materiais_Base!A:D,4,"FALSO"))</f>
        <v/>
      </c>
    </row>
    <row r="79" hidden="1" customHeight="1" spans="1:7">
      <c r="A79" s="352" t="s">
        <v>14387</v>
      </c>
      <c r="B79" s="352" t="str">
        <f>IF(A79="","",VLOOKUP(A79,Materiais_Base!A:D,2,"FALSO"))</f>
        <v>Asfalto diluído de petróleo - CM-30</v>
      </c>
      <c r="C79" s="353" t="str">
        <f>IF(A79="","",VLOOKUP(A79,Materiais_Base!A:D,3,"FALSO"))</f>
        <v>t</v>
      </c>
      <c r="D79" s="359" t="s">
        <v>932</v>
      </c>
      <c r="E79" s="355" t="str">
        <f t="shared" si="2"/>
        <v/>
      </c>
      <c r="F79" s="359"/>
      <c r="G79" s="345" t="str">
        <f>IF(D79="","",VLOOKUP(A79,Materiais_Base!A:D,4,"FALSO"))</f>
        <v/>
      </c>
    </row>
    <row r="80" hidden="1" customHeight="1" spans="1:7">
      <c r="A80" s="352" t="s">
        <v>14388</v>
      </c>
      <c r="B80" s="352" t="str">
        <f>IF(A80="","",VLOOKUP(A80,Materiais_Base!A:D,2,"FALSO"))</f>
        <v>Ancoragem ativa para 4 cordoalhas - D = 15,2 mm</v>
      </c>
      <c r="C80" s="353" t="str">
        <f>IF(A80="","",VLOOKUP(A80,Materiais_Base!A:D,3,"FALSO"))</f>
        <v>un</v>
      </c>
      <c r="D80" s="354" t="s">
        <v>932</v>
      </c>
      <c r="E80" s="355" t="str">
        <f t="shared" si="2"/>
        <v/>
      </c>
      <c r="F80" s="354"/>
      <c r="G80" s="345" t="str">
        <f>IF(D80="","",VLOOKUP(A80,Materiais_Base!A:D,4,"FALSO"))</f>
        <v/>
      </c>
    </row>
    <row r="81" hidden="1" customHeight="1" spans="1:7">
      <c r="A81" s="352" t="s">
        <v>14389</v>
      </c>
      <c r="B81" s="352" t="str">
        <f>IF(A81="","",VLOOKUP(A81,Materiais_Base!A:D,2,"FALSO"))</f>
        <v>Ancoragem ativa para 6 cordoalhas - D = 15,2 mm</v>
      </c>
      <c r="C81" s="353" t="str">
        <f>IF(A81="","",VLOOKUP(A81,Materiais_Base!A:D,3,"FALSO"))</f>
        <v>un</v>
      </c>
      <c r="D81" s="354" t="s">
        <v>932</v>
      </c>
      <c r="E81" s="355" t="str">
        <f t="shared" si="2"/>
        <v/>
      </c>
      <c r="F81" s="354"/>
      <c r="G81" s="345" t="str">
        <f>IF(D81="","",VLOOKUP(A81,Materiais_Base!A:D,4,"FALSO"))</f>
        <v/>
      </c>
    </row>
    <row r="82" hidden="1" customHeight="1" spans="1:7">
      <c r="A82" s="352" t="s">
        <v>14390</v>
      </c>
      <c r="B82" s="352" t="str">
        <f>IF(A82="","",VLOOKUP(A82,Materiais_Base!A:D,2,"FALSO"))</f>
        <v>Geocomposto para drenagem</v>
      </c>
      <c r="C82" s="353" t="str">
        <f>IF(A82="","",VLOOKUP(A82,Materiais_Base!A:D,3,"FALSO"))</f>
        <v>m²</v>
      </c>
      <c r="D82" s="354" t="s">
        <v>932</v>
      </c>
      <c r="E82" s="355" t="str">
        <f t="shared" si="2"/>
        <v/>
      </c>
      <c r="F82" s="354"/>
      <c r="G82" s="345" t="str">
        <f>IF(D82="","",VLOOKUP(A82,Materiais_Base!A:D,4,"FALSO"))</f>
        <v/>
      </c>
    </row>
    <row r="83" hidden="1" customHeight="1" spans="1:7">
      <c r="A83" s="352" t="s">
        <v>14391</v>
      </c>
      <c r="B83" s="352" t="str">
        <f>IF(A83="","",VLOOKUP(A83,Materiais_Base!A:D,2,"FALSO"))</f>
        <v>Ancoragem ativa para 7 cordoalhas - D = 15,2 mm</v>
      </c>
      <c r="C83" s="353" t="str">
        <f>IF(A83="","",VLOOKUP(A83,Materiais_Base!A:D,3,"FALSO"))</f>
        <v>un</v>
      </c>
      <c r="D83" s="354" t="s">
        <v>932</v>
      </c>
      <c r="E83" s="355" t="str">
        <f t="shared" si="2"/>
        <v/>
      </c>
      <c r="F83" s="354"/>
      <c r="G83" s="345" t="str">
        <f>IF(D83="","",VLOOKUP(A83,Materiais_Base!A:D,4,"FALSO"))</f>
        <v/>
      </c>
    </row>
    <row r="84" hidden="1" customHeight="1" spans="1:7">
      <c r="A84" s="352" t="s">
        <v>14392</v>
      </c>
      <c r="B84" s="352" t="str">
        <f>IF(A84="","",VLOOKUP(A84,Materiais_Base!A:D,2,"FALSO"))</f>
        <v>Geodreno vertical - L = 10 cm e E = 5 mm</v>
      </c>
      <c r="C84" s="353" t="str">
        <f>IF(A84="","",VLOOKUP(A84,Materiais_Base!A:D,3,"FALSO"))</f>
        <v>m</v>
      </c>
      <c r="D84" s="354" t="s">
        <v>932</v>
      </c>
      <c r="E84" s="355" t="str">
        <f t="shared" si="2"/>
        <v/>
      </c>
      <c r="F84" s="354"/>
      <c r="G84" s="345" t="str">
        <f>IF(D84="","",VLOOKUP(A84,Materiais_Base!A:D,4,"FALSO"))</f>
        <v/>
      </c>
    </row>
    <row r="85" hidden="1" customHeight="1" spans="1:7">
      <c r="A85" s="352" t="s">
        <v>14393</v>
      </c>
      <c r="B85" s="352" t="str">
        <f>IF(A85="","",VLOOKUP(A85,Materiais_Base!A:D,2,"FALSO"))</f>
        <v>Ancoragem ativa para 10 cordoalhas - D = 15,2 mm</v>
      </c>
      <c r="C85" s="353" t="str">
        <f>IF(A85="","",VLOOKUP(A85,Materiais_Base!A:D,3,"FALSO"))</f>
        <v>un</v>
      </c>
      <c r="D85" s="354" t="s">
        <v>932</v>
      </c>
      <c r="E85" s="355" t="str">
        <f t="shared" si="2"/>
        <v/>
      </c>
      <c r="F85" s="354"/>
      <c r="G85" s="345" t="str">
        <f>IF(D85="","",VLOOKUP(A85,Materiais_Base!A:D,4,"FALSO"))</f>
        <v/>
      </c>
    </row>
    <row r="86" hidden="1" customHeight="1" spans="1:7">
      <c r="A86" s="352" t="s">
        <v>14394</v>
      </c>
      <c r="B86" s="352" t="str">
        <f>IF(A86="","",VLOOKUP(A86,Materiais_Base!A:D,2,"FALSO"))</f>
        <v>Ancoragem ativa para 9 cordoalhas - D = 15,2 mm</v>
      </c>
      <c r="C86" s="353" t="str">
        <f>IF(A86="","",VLOOKUP(A86,Materiais_Base!A:D,3,"FALSO"))</f>
        <v>un</v>
      </c>
      <c r="D86" s="354" t="s">
        <v>932</v>
      </c>
      <c r="E86" s="355" t="str">
        <f t="shared" si="2"/>
        <v/>
      </c>
      <c r="F86" s="354"/>
      <c r="G86" s="345" t="str">
        <f>IF(D86="","",VLOOKUP(A86,Materiais_Base!A:D,4,"FALSO"))</f>
        <v/>
      </c>
    </row>
    <row r="87" hidden="1" customHeight="1" spans="1:7">
      <c r="A87" s="352" t="s">
        <v>14395</v>
      </c>
      <c r="B87" s="352" t="str">
        <f>IF(A87="","",VLOOKUP(A87,Materiais_Base!A:D,2,"FALSO"))</f>
        <v>Disco diamantado segmentado para corte de pavimento - D = 1.000 mm</v>
      </c>
      <c r="C87" s="353" t="str">
        <f>IF(A87="","",VLOOKUP(A87,Materiais_Base!A:D,3,"FALSO"))</f>
        <v>un</v>
      </c>
      <c r="D87" s="354" t="s">
        <v>932</v>
      </c>
      <c r="E87" s="355" t="str">
        <f t="shared" si="2"/>
        <v/>
      </c>
      <c r="F87" s="354"/>
      <c r="G87" s="345" t="str">
        <f>IF(D87="","",VLOOKUP(A87,Materiais_Base!A:D,4,"FALSO"))</f>
        <v/>
      </c>
    </row>
    <row r="88" customHeight="1" spans="1:7">
      <c r="A88" s="352" t="s">
        <v>14396</v>
      </c>
      <c r="B88" s="352" t="str">
        <f>IF(A88="","",VLOOKUP(A88,Materiais_Base!A:D,2,"FALSO"))</f>
        <v>Ancoragem ativa para 12 cordoalhas - D = 15,2 mm</v>
      </c>
      <c r="C88" s="353" t="str">
        <f>IF(A88="","",VLOOKUP(A88,Materiais_Base!A:D,3,"FALSO"))</f>
        <v>un</v>
      </c>
      <c r="D88" s="354">
        <v>1135.497</v>
      </c>
      <c r="E88" s="355">
        <f t="shared" si="2"/>
        <v>1135.497</v>
      </c>
      <c r="F88" s="354"/>
      <c r="G88" s="345">
        <f>IF(D88="","",VLOOKUP(A88,Materiais_Base!A:D,4,"FALSO"))</f>
        <v>1135.497</v>
      </c>
    </row>
    <row r="89" hidden="1" customHeight="1" spans="1:7">
      <c r="A89" s="352" t="s">
        <v>14397</v>
      </c>
      <c r="B89" s="352" t="str">
        <f>IF(A89="","",VLOOKUP(A89,Materiais_Base!A:D,2,"FALSO"))</f>
        <v>Disco diamantado segmentado para corte de pavimento - D = 1.500 mm</v>
      </c>
      <c r="C89" s="353" t="str">
        <f>IF(A89="","",VLOOKUP(A89,Materiais_Base!A:D,3,"FALSO"))</f>
        <v>un</v>
      </c>
      <c r="D89" s="354" t="s">
        <v>932</v>
      </c>
      <c r="E89" s="355" t="str">
        <f t="shared" si="2"/>
        <v/>
      </c>
      <c r="F89" s="354"/>
      <c r="G89" s="345" t="str">
        <f>IF(D89="","",VLOOKUP(A89,Materiais_Base!A:D,4,"FALSO"))</f>
        <v/>
      </c>
    </row>
    <row r="90" hidden="1" customHeight="1" spans="1:7">
      <c r="A90" s="352" t="s">
        <v>14398</v>
      </c>
      <c r="B90" s="352" t="str">
        <f>IF(A90="","",VLOOKUP(A90,Materiais_Base!A:D,2,"FALSO"))</f>
        <v>Biomanta vegetal de fibras de coco entrelaçadas com fios de polipropileno biodegradáveis - densidade 0,4 kg/m²</v>
      </c>
      <c r="C90" s="353" t="str">
        <f>IF(A90="","",VLOOKUP(A90,Materiais_Base!A:D,3,"FALSO"))</f>
        <v>m²</v>
      </c>
      <c r="D90" s="354" t="s">
        <v>932</v>
      </c>
      <c r="E90" s="355" t="str">
        <f t="shared" si="2"/>
        <v/>
      </c>
      <c r="F90" s="354"/>
      <c r="G90" s="345" t="str">
        <f>IF(D90="","",VLOOKUP(A90,Materiais_Base!A:D,4,"FALSO"))</f>
        <v/>
      </c>
    </row>
    <row r="91" hidden="1" customHeight="1" spans="1:7">
      <c r="A91" s="352" t="s">
        <v>14399</v>
      </c>
      <c r="B91" s="352" t="str">
        <f>IF(A91="","",VLOOKUP(A91,Materiais_Base!A:D,2,"FALSO"))</f>
        <v>Mangote flangeado de borracha reforçada com lonas sintéticas - C = 1,80 m e D = 0,30 m</v>
      </c>
      <c r="C91" s="353" t="str">
        <f>IF(A91="","",VLOOKUP(A91,Materiais_Base!A:D,3,"FALSO"))</f>
        <v>un</v>
      </c>
      <c r="D91" s="354" t="s">
        <v>932</v>
      </c>
      <c r="E91" s="355" t="str">
        <f t="shared" si="2"/>
        <v/>
      </c>
      <c r="F91" s="354"/>
      <c r="G91" s="345" t="str">
        <f>IF(D91="","",VLOOKUP(A91,Materiais_Base!A:D,4,"FALSO"))</f>
        <v/>
      </c>
    </row>
    <row r="92" hidden="1" customHeight="1" spans="1:7">
      <c r="A92" s="352" t="s">
        <v>14400</v>
      </c>
      <c r="B92" s="352" t="str">
        <f>IF(A92="","",VLOOKUP(A92,Materiais_Base!A:D,2,"FALSO"))</f>
        <v>Mangote flangeado de borracha reforçada com lonas sintéticas - C = 1,80 m e D = 0,40 m</v>
      </c>
      <c r="C92" s="353" t="str">
        <f>IF(A92="","",VLOOKUP(A92,Materiais_Base!A:D,3,"FALSO"))</f>
        <v>un</v>
      </c>
      <c r="D92" s="354" t="s">
        <v>932</v>
      </c>
      <c r="E92" s="355" t="str">
        <f t="shared" si="2"/>
        <v/>
      </c>
      <c r="F92" s="354"/>
      <c r="G92" s="345" t="str">
        <f>IF(D92="","",VLOOKUP(A92,Materiais_Base!A:D,4,"FALSO"))</f>
        <v/>
      </c>
    </row>
    <row r="93" hidden="1" customHeight="1" spans="1:7">
      <c r="A93" s="352" t="s">
        <v>14401</v>
      </c>
      <c r="B93" s="352" t="str">
        <f>IF(A93="","",VLOOKUP(A93,Materiais_Base!A:D,2,"FALSO"))</f>
        <v>Mangote flangeado de borracha reforçada com lonas sintéticas - C = 1,80 m e D = 0,45 m</v>
      </c>
      <c r="C93" s="353" t="str">
        <f>IF(A93="","",VLOOKUP(A93,Materiais_Base!A:D,3,"FALSO"))</f>
        <v>un</v>
      </c>
      <c r="D93" s="354" t="s">
        <v>932</v>
      </c>
      <c r="E93" s="355" t="str">
        <f t="shared" si="2"/>
        <v/>
      </c>
      <c r="F93" s="354"/>
      <c r="G93" s="345" t="str">
        <f>IF(D93="","",VLOOKUP(A93,Materiais_Base!A:D,4,"FALSO"))</f>
        <v/>
      </c>
    </row>
    <row r="94" hidden="1" customHeight="1" spans="1:7">
      <c r="A94" s="352" t="s">
        <v>14402</v>
      </c>
      <c r="B94" s="352" t="str">
        <f>IF(A94="","",VLOOKUP(A94,Materiais_Base!A:D,2,"FALSO"))</f>
        <v>Mangote flangeado de borracha reforçada com lonas sintéticas - C = 1,80 m e D = 0,50 m</v>
      </c>
      <c r="C94" s="353" t="str">
        <f>IF(A94="","",VLOOKUP(A94,Materiais_Base!A:D,3,"FALSO"))</f>
        <v>un</v>
      </c>
      <c r="D94" s="354" t="s">
        <v>932</v>
      </c>
      <c r="E94" s="355" t="str">
        <f t="shared" ref="E94:E125" si="3">IF(D94="","",MIN(D94,F94))</f>
        <v/>
      </c>
      <c r="F94" s="354"/>
      <c r="G94" s="345" t="str">
        <f>IF(D94="","",VLOOKUP(A94,Materiais_Base!A:D,4,"FALSO"))</f>
        <v/>
      </c>
    </row>
    <row r="95" hidden="1" customHeight="1" spans="1:7">
      <c r="A95" s="352" t="s">
        <v>14403</v>
      </c>
      <c r="B95" s="352" t="str">
        <f>IF(A95="","",VLOOKUP(A95,Materiais_Base!A:D,2,"FALSO"))</f>
        <v>Tubo PEAD PE 100 PN 8 com flanges - D = 250 mm</v>
      </c>
      <c r="C95" s="353" t="str">
        <f>IF(A95="","",VLOOKUP(A95,Materiais_Base!A:D,3,"FALSO"))</f>
        <v>m</v>
      </c>
      <c r="D95" s="354" t="s">
        <v>932</v>
      </c>
      <c r="E95" s="355" t="str">
        <f t="shared" si="3"/>
        <v/>
      </c>
      <c r="F95" s="354"/>
      <c r="G95" s="345" t="str">
        <f>IF(D95="","",VLOOKUP(A95,Materiais_Base!A:D,4,"FALSO"))</f>
        <v/>
      </c>
    </row>
    <row r="96" hidden="1" customHeight="1" spans="1:7">
      <c r="A96" s="352" t="s">
        <v>14404</v>
      </c>
      <c r="B96" s="352" t="str">
        <f>IF(A96="","",VLOOKUP(A96,Materiais_Base!A:D,2,"FALSO"))</f>
        <v>Tubo PEAD PE 100 PN 8 com flanges - D = 400 mm</v>
      </c>
      <c r="C96" s="353" t="str">
        <f>IF(A96="","",VLOOKUP(A96,Materiais_Base!A:D,3,"FALSO"))</f>
        <v>m</v>
      </c>
      <c r="D96" s="354" t="s">
        <v>932</v>
      </c>
      <c r="E96" s="355" t="str">
        <f t="shared" si="3"/>
        <v/>
      </c>
      <c r="F96" s="354"/>
      <c r="G96" s="345" t="str">
        <f>IF(D96="","",VLOOKUP(A96,Materiais_Base!A:D,4,"FALSO"))</f>
        <v/>
      </c>
    </row>
    <row r="97" hidden="1" customHeight="1" spans="1:7">
      <c r="A97" s="352" t="s">
        <v>14405</v>
      </c>
      <c r="B97" s="352" t="str">
        <f>IF(A97="","",VLOOKUP(A97,Materiais_Base!A:D,2,"FALSO"))</f>
        <v>Tubo PEAD PE 100 PN 8 com flanges - D = 450 mm</v>
      </c>
      <c r="C97" s="353" t="str">
        <f>IF(A97="","",VLOOKUP(A97,Materiais_Base!A:D,3,"FALSO"))</f>
        <v>m</v>
      </c>
      <c r="D97" s="354" t="s">
        <v>932</v>
      </c>
      <c r="E97" s="355" t="str">
        <f t="shared" si="3"/>
        <v/>
      </c>
      <c r="F97" s="354"/>
      <c r="G97" s="345" t="str">
        <f>IF(D97="","",VLOOKUP(A97,Materiais_Base!A:D,4,"FALSO"))</f>
        <v/>
      </c>
    </row>
    <row r="98" hidden="1" customHeight="1" spans="1:7">
      <c r="A98" s="352" t="s">
        <v>14406</v>
      </c>
      <c r="B98" s="352" t="str">
        <f>IF(A98="","",VLOOKUP(A98,Materiais_Base!A:D,2,"FALSO"))</f>
        <v>Tubo PEAD PE 100 PN 8 com flanges - D = 500 mm</v>
      </c>
      <c r="C98" s="353" t="str">
        <f>IF(A98="","",VLOOKUP(A98,Materiais_Base!A:D,3,"FALSO"))</f>
        <v>m</v>
      </c>
      <c r="D98" s="354" t="s">
        <v>932</v>
      </c>
      <c r="E98" s="355" t="str">
        <f t="shared" si="3"/>
        <v/>
      </c>
      <c r="F98" s="354"/>
      <c r="G98" s="345" t="str">
        <f>IF(D98="","",VLOOKUP(A98,Materiais_Base!A:D,4,"FALSO"))</f>
        <v/>
      </c>
    </row>
    <row r="99" hidden="1" customHeight="1" spans="1:7">
      <c r="A99" s="352" t="s">
        <v>14407</v>
      </c>
      <c r="B99" s="352" t="str">
        <f>IF(A99="","",VLOOKUP(A99,Materiais_Base!A:D,2,"FALSO"))</f>
        <v>Flutuador bipartido em polietileno com núcleo de espuma em poliuretano para tubos - D = 0,30 m</v>
      </c>
      <c r="C99" s="353" t="str">
        <f>IF(A99="","",VLOOKUP(A99,Materiais_Base!A:D,3,"FALSO"))</f>
        <v>un</v>
      </c>
      <c r="D99" s="354" t="s">
        <v>932</v>
      </c>
      <c r="E99" s="355" t="str">
        <f t="shared" si="3"/>
        <v/>
      </c>
      <c r="F99" s="354"/>
      <c r="G99" s="345" t="str">
        <f>IF(D99="","",VLOOKUP(A99,Materiais_Base!A:D,4,"FALSO"))</f>
        <v/>
      </c>
    </row>
    <row r="100" hidden="1" customHeight="1" spans="1:7">
      <c r="A100" s="352" t="s">
        <v>14408</v>
      </c>
      <c r="B100" s="352" t="str">
        <f>IF(A100="","",VLOOKUP(A100,Materiais_Base!A:D,2,"FALSO"))</f>
        <v>Flutuador bipartido em polietileno com núcleo de espuma em poliuretano para tubos - D = 0,40 m</v>
      </c>
      <c r="C100" s="353" t="str">
        <f>IF(A100="","",VLOOKUP(A100,Materiais_Base!A:D,3,"FALSO"))</f>
        <v>un</v>
      </c>
      <c r="D100" s="354" t="s">
        <v>932</v>
      </c>
      <c r="E100" s="355" t="str">
        <f t="shared" si="3"/>
        <v/>
      </c>
      <c r="F100" s="354"/>
      <c r="G100" s="345" t="str">
        <f>IF(D100="","",VLOOKUP(A100,Materiais_Base!A:D,4,"FALSO"))</f>
        <v/>
      </c>
    </row>
    <row r="101" hidden="1" customHeight="1" spans="1:7">
      <c r="A101" s="352" t="s">
        <v>14409</v>
      </c>
      <c r="B101" s="352" t="str">
        <f>IF(A101="","",VLOOKUP(A101,Materiais_Base!A:D,2,"FALSO"))</f>
        <v>Flutuador bipartido em polietileno com núcleo de espuma em poliuretano para tubos - D = 0,45 m</v>
      </c>
      <c r="C101" s="353" t="str">
        <f>IF(A101="","",VLOOKUP(A101,Materiais_Base!A:D,3,"FALSO"))</f>
        <v>un</v>
      </c>
      <c r="D101" s="354" t="s">
        <v>932</v>
      </c>
      <c r="E101" s="355" t="str">
        <f t="shared" si="3"/>
        <v/>
      </c>
      <c r="F101" s="354"/>
      <c r="G101" s="345" t="str">
        <f>IF(D101="","",VLOOKUP(A101,Materiais_Base!A:D,4,"FALSO"))</f>
        <v/>
      </c>
    </row>
    <row r="102" hidden="1" customHeight="1" spans="1:7">
      <c r="A102" s="352" t="s">
        <v>14410</v>
      </c>
      <c r="B102" s="352" t="str">
        <f>IF(A102="","",VLOOKUP(A102,Materiais_Base!A:D,2,"FALSO"))</f>
        <v>Flutuador bipartido em polietileno com núcleo de espuma em poliuretano para tubos - D = 0,50 m</v>
      </c>
      <c r="C102" s="353" t="str">
        <f>IF(A102="","",VLOOKUP(A102,Materiais_Base!A:D,3,"FALSO"))</f>
        <v>un</v>
      </c>
      <c r="D102" s="354" t="s">
        <v>932</v>
      </c>
      <c r="E102" s="355" t="str">
        <f t="shared" si="3"/>
        <v/>
      </c>
      <c r="F102" s="354"/>
      <c r="G102" s="345" t="str">
        <f>IF(D102="","",VLOOKUP(A102,Materiais_Base!A:D,4,"FALSO"))</f>
        <v/>
      </c>
    </row>
    <row r="103" hidden="1" customHeight="1" spans="1:7">
      <c r="A103" s="352" t="s">
        <v>14411</v>
      </c>
      <c r="B103" s="352" t="str">
        <f>IF(A103="","",VLOOKUP(A103,Materiais_Base!A:D,2,"FALSO"))</f>
        <v>Biomanta vegetal de fibras de palha entrelaçadas com fios de polipropileno biodegradáveis - densidade 0,6 kg/m²</v>
      </c>
      <c r="C103" s="353" t="str">
        <f>IF(A103="","",VLOOKUP(A103,Materiais_Base!A:D,3,"FALSO"))</f>
        <v>m²</v>
      </c>
      <c r="D103" s="354" t="s">
        <v>932</v>
      </c>
      <c r="E103" s="355" t="str">
        <f t="shared" si="3"/>
        <v/>
      </c>
      <c r="F103" s="354"/>
      <c r="G103" s="345" t="str">
        <f>IF(D103="","",VLOOKUP(A103,Materiais_Base!A:D,4,"FALSO"))</f>
        <v/>
      </c>
    </row>
    <row r="104" hidden="1" customHeight="1" spans="1:7">
      <c r="A104" s="352" t="s">
        <v>14412</v>
      </c>
      <c r="B104" s="352" t="str">
        <f>IF(A104="","",VLOOKUP(A104,Materiais_Base!A:D,2,"FALSO"))</f>
        <v>Retentor de sedimento em fibras vegetais - D = 20 cm</v>
      </c>
      <c r="C104" s="353" t="str">
        <f>IF(A104="","",VLOOKUP(A104,Materiais_Base!A:D,3,"FALSO"))</f>
        <v>m</v>
      </c>
      <c r="D104" s="354" t="s">
        <v>932</v>
      </c>
      <c r="E104" s="355" t="str">
        <f t="shared" si="3"/>
        <v/>
      </c>
      <c r="F104" s="354"/>
      <c r="G104" s="345" t="str">
        <f>IF(D104="","",VLOOKUP(A104,Materiais_Base!A:D,4,"FALSO"))</f>
        <v/>
      </c>
    </row>
    <row r="105" hidden="1" customHeight="1" spans="1:7">
      <c r="A105" s="352" t="s">
        <v>14413</v>
      </c>
      <c r="B105" s="352" t="str">
        <f>IF(A105="","",VLOOKUP(A105,Materiais_Base!A:D,2,"FALSO"))</f>
        <v>Ancoragem ativa para 15 cordoalhas - D = 15,2 mm</v>
      </c>
      <c r="C105" s="353" t="str">
        <f>IF(A105="","",VLOOKUP(A105,Materiais_Base!A:D,3,"FALSO"))</f>
        <v>un</v>
      </c>
      <c r="D105" s="354" t="s">
        <v>932</v>
      </c>
      <c r="E105" s="355" t="str">
        <f t="shared" si="3"/>
        <v/>
      </c>
      <c r="F105" s="354"/>
      <c r="G105" s="345" t="str">
        <f>IF(D105="","",VLOOKUP(A105,Materiais_Base!A:D,4,"FALSO"))</f>
        <v/>
      </c>
    </row>
    <row r="106" hidden="1" customHeight="1" spans="1:7">
      <c r="A106" s="352" t="s">
        <v>14414</v>
      </c>
      <c r="B106" s="352" t="str">
        <f>IF(A106="","",VLOOKUP(A106,Materiais_Base!A:D,2,"FALSO"))</f>
        <v>Tubo PEAD corrugado com paredes estruturadas para drenagem - D = 400 mm</v>
      </c>
      <c r="C106" s="353" t="str">
        <f>IF(A106="","",VLOOKUP(A106,Materiais_Base!A:D,3,"FALSO"))</f>
        <v>m</v>
      </c>
      <c r="D106" s="354" t="s">
        <v>932</v>
      </c>
      <c r="E106" s="355" t="str">
        <f t="shared" si="3"/>
        <v/>
      </c>
      <c r="F106" s="354"/>
      <c r="G106" s="345" t="str">
        <f>IF(D106="","",VLOOKUP(A106,Materiais_Base!A:D,4,"FALSO"))</f>
        <v/>
      </c>
    </row>
    <row r="107" hidden="1" customHeight="1" spans="1:7">
      <c r="A107" s="352" t="s">
        <v>14415</v>
      </c>
      <c r="B107" s="352" t="str">
        <f>IF(A107="","",VLOOKUP(A107,Materiais_Base!A:D,2,"FALSO"))</f>
        <v>Tubo PEAD corrugado com paredes estruturadas para drenagem - D = 450 mm</v>
      </c>
      <c r="C107" s="353" t="str">
        <f>IF(A107="","",VLOOKUP(A107,Materiais_Base!A:D,3,"FALSO"))</f>
        <v>m</v>
      </c>
      <c r="D107" s="354" t="s">
        <v>932</v>
      </c>
      <c r="E107" s="355" t="str">
        <f t="shared" si="3"/>
        <v/>
      </c>
      <c r="F107" s="354"/>
      <c r="G107" s="345" t="str">
        <f>IF(D107="","",VLOOKUP(A107,Materiais_Base!A:D,4,"FALSO"))</f>
        <v/>
      </c>
    </row>
    <row r="108" hidden="1" customHeight="1" spans="1:7">
      <c r="A108" s="352" t="s">
        <v>14416</v>
      </c>
      <c r="B108" s="352" t="str">
        <f>IF(A108="","",VLOOKUP(A108,Materiais_Base!A:D,2,"FALSO"))</f>
        <v>Tubo PEAD corrugado com paredes estruturadas para drenagem - D = 500 mm</v>
      </c>
      <c r="C108" s="353" t="str">
        <f>IF(A108="","",VLOOKUP(A108,Materiais_Base!A:D,3,"FALSO"))</f>
        <v>m</v>
      </c>
      <c r="D108" s="354" t="s">
        <v>932</v>
      </c>
      <c r="E108" s="355" t="str">
        <f t="shared" si="3"/>
        <v/>
      </c>
      <c r="F108" s="354"/>
      <c r="G108" s="345" t="str">
        <f>IF(D108="","",VLOOKUP(A108,Materiais_Base!A:D,4,"FALSO"))</f>
        <v/>
      </c>
    </row>
    <row r="109" hidden="1" customHeight="1" spans="1:7">
      <c r="A109" s="352" t="s">
        <v>14417</v>
      </c>
      <c r="B109" s="352" t="str">
        <f>IF(A109="","",VLOOKUP(A109,Materiais_Base!A:D,2,"FALSO"))</f>
        <v>Tubo PEAD corrugado com paredes estruturadas para drenagem - D = 600 mm</v>
      </c>
      <c r="C109" s="353" t="str">
        <f>IF(A109="","",VLOOKUP(A109,Materiais_Base!A:D,3,"FALSO"))</f>
        <v>m</v>
      </c>
      <c r="D109" s="354" t="s">
        <v>932</v>
      </c>
      <c r="E109" s="355" t="str">
        <f t="shared" si="3"/>
        <v/>
      </c>
      <c r="F109" s="354"/>
      <c r="G109" s="345" t="str">
        <f>IF(D109="","",VLOOKUP(A109,Materiais_Base!A:D,4,"FALSO"))</f>
        <v/>
      </c>
    </row>
    <row r="110" hidden="1" customHeight="1" spans="1:7">
      <c r="A110" s="352" t="s">
        <v>14418</v>
      </c>
      <c r="B110" s="352" t="str">
        <f>IF(A110="","",VLOOKUP(A110,Materiais_Base!A:D,2,"FALSO"))</f>
        <v>Tubo PEAD corrugado com paredes estruturadas para drenagem - D = 750 mm</v>
      </c>
      <c r="C110" s="353" t="str">
        <f>IF(A110="","",VLOOKUP(A110,Materiais_Base!A:D,3,"FALSO"))</f>
        <v>m</v>
      </c>
      <c r="D110" s="354" t="s">
        <v>932</v>
      </c>
      <c r="E110" s="355" t="str">
        <f t="shared" si="3"/>
        <v/>
      </c>
      <c r="F110" s="354"/>
      <c r="G110" s="345" t="str">
        <f>IF(D110="","",VLOOKUP(A110,Materiais_Base!A:D,4,"FALSO"))</f>
        <v/>
      </c>
    </row>
    <row r="111" hidden="1" customHeight="1" spans="1:7">
      <c r="A111" s="352" t="s">
        <v>14419</v>
      </c>
      <c r="B111" s="352" t="str">
        <f>IF(A111="","",VLOOKUP(A111,Materiais_Base!A:D,2,"FALSO"))</f>
        <v>Tubo PEAD corrugado com paredes estruturadas para drenagem - D = 800 mm</v>
      </c>
      <c r="C111" s="353" t="str">
        <f>IF(A111="","",VLOOKUP(A111,Materiais_Base!A:D,3,"FALSO"))</f>
        <v>m</v>
      </c>
      <c r="D111" s="354" t="s">
        <v>932</v>
      </c>
      <c r="E111" s="355" t="str">
        <f t="shared" si="3"/>
        <v/>
      </c>
      <c r="F111" s="354"/>
      <c r="G111" s="345" t="str">
        <f>IF(D111="","",VLOOKUP(A111,Materiais_Base!A:D,4,"FALSO"))</f>
        <v/>
      </c>
    </row>
    <row r="112" hidden="1" customHeight="1" spans="1:7">
      <c r="A112" s="352" t="s">
        <v>14420</v>
      </c>
      <c r="B112" s="352" t="str">
        <f>IF(A112="","",VLOOKUP(A112,Materiais_Base!A:D,2,"FALSO"))</f>
        <v>Tubo PEAD corrugado com paredes estruturadas para drenagem - D = 900 mm</v>
      </c>
      <c r="C112" s="353" t="str">
        <f>IF(A112="","",VLOOKUP(A112,Materiais_Base!A:D,3,"FALSO"))</f>
        <v>m</v>
      </c>
      <c r="D112" s="354" t="s">
        <v>932</v>
      </c>
      <c r="E112" s="355" t="str">
        <f t="shared" si="3"/>
        <v/>
      </c>
      <c r="F112" s="354"/>
      <c r="G112" s="345" t="str">
        <f>IF(D112="","",VLOOKUP(A112,Materiais_Base!A:D,4,"FALSO"))</f>
        <v/>
      </c>
    </row>
    <row r="113" hidden="1" customHeight="1" spans="1:7">
      <c r="A113" s="352" t="s">
        <v>14421</v>
      </c>
      <c r="B113" s="352" t="str">
        <f>IF(A113="","",VLOOKUP(A113,Materiais_Base!A:D,2,"FALSO"))</f>
        <v>Ancoragem ativa para 19 cordoalhas - D = 15,2 mm</v>
      </c>
      <c r="C113" s="353" t="str">
        <f>IF(A113="","",VLOOKUP(A113,Materiais_Base!A:D,3,"FALSO"))</f>
        <v>un</v>
      </c>
      <c r="D113" s="354" t="s">
        <v>932</v>
      </c>
      <c r="E113" s="355" t="str">
        <f t="shared" si="3"/>
        <v/>
      </c>
      <c r="F113" s="354"/>
      <c r="G113" s="345" t="str">
        <f>IF(D113="","",VLOOKUP(A113,Materiais_Base!A:D,4,"FALSO"))</f>
        <v/>
      </c>
    </row>
    <row r="114" hidden="1" customHeight="1" spans="1:7">
      <c r="A114" s="352" t="s">
        <v>14422</v>
      </c>
      <c r="B114" s="352" t="str">
        <f>IF(A114="","",VLOOKUP(A114,Materiais_Base!A:D,2,"FALSO"))</f>
        <v>Tubo PEAD corrugado com paredes estruturadas para drenagem - D = 1.000 mm</v>
      </c>
      <c r="C114" s="353" t="str">
        <f>IF(A114="","",VLOOKUP(A114,Materiais_Base!A:D,3,"FALSO"))</f>
        <v>m</v>
      </c>
      <c r="D114" s="354" t="s">
        <v>932</v>
      </c>
      <c r="E114" s="355" t="str">
        <f t="shared" si="3"/>
        <v/>
      </c>
      <c r="F114" s="354"/>
      <c r="G114" s="345" t="str">
        <f>IF(D114="","",VLOOKUP(A114,Materiais_Base!A:D,4,"FALSO"))</f>
        <v/>
      </c>
    </row>
    <row r="115" hidden="1" customHeight="1" spans="1:7">
      <c r="A115" s="352" t="s">
        <v>14423</v>
      </c>
      <c r="B115" s="352" t="str">
        <f>IF(A115="","",VLOOKUP(A115,Materiais_Base!A:D,2,"FALSO"))</f>
        <v>Bentonita</v>
      </c>
      <c r="C115" s="353" t="str">
        <f>IF(A115="","",VLOOKUP(A115,Materiais_Base!A:D,3,"FALSO"))</f>
        <v>kg</v>
      </c>
      <c r="D115" s="354" t="s">
        <v>932</v>
      </c>
      <c r="E115" s="355" t="str">
        <f t="shared" si="3"/>
        <v/>
      </c>
      <c r="F115" s="354"/>
      <c r="G115" s="345" t="str">
        <f>IF(D115="","",VLOOKUP(A115,Materiais_Base!A:D,4,"FALSO"))</f>
        <v/>
      </c>
    </row>
    <row r="116" hidden="1" customHeight="1" spans="1:7">
      <c r="A116" s="352" t="s">
        <v>14424</v>
      </c>
      <c r="B116" s="352" t="str">
        <f>IF(A116="","",VLOOKUP(A116,Materiais_Base!A:D,2,"FALSO"))</f>
        <v>Tubo PEAD corrugado com paredes estruturadas para drenagem - D = 1.050 mm</v>
      </c>
      <c r="C116" s="353" t="str">
        <f>IF(A116="","",VLOOKUP(A116,Materiais_Base!A:D,3,"FALSO"))</f>
        <v>m</v>
      </c>
      <c r="D116" s="354" t="s">
        <v>932</v>
      </c>
      <c r="E116" s="355" t="str">
        <f t="shared" si="3"/>
        <v/>
      </c>
      <c r="F116" s="354"/>
      <c r="G116" s="345" t="str">
        <f>IF(D116="","",VLOOKUP(A116,Materiais_Base!A:D,4,"FALSO"))</f>
        <v/>
      </c>
    </row>
    <row r="117" hidden="1" customHeight="1" spans="1:7">
      <c r="A117" s="352" t="s">
        <v>14425</v>
      </c>
      <c r="B117" s="352" t="str">
        <f>IF(A117="","",VLOOKUP(A117,Materiais_Base!A:D,2,"FALSO"))</f>
        <v>Tubo PEAD corrugado com paredes estruturadas para drenagem - D = 1.200 mm</v>
      </c>
      <c r="C117" s="353" t="str">
        <f>IF(A117="","",VLOOKUP(A117,Materiais_Base!A:D,3,"FALSO"))</f>
        <v>m</v>
      </c>
      <c r="D117" s="354" t="s">
        <v>932</v>
      </c>
      <c r="E117" s="355" t="str">
        <f t="shared" si="3"/>
        <v/>
      </c>
      <c r="F117" s="354"/>
      <c r="G117" s="345" t="str">
        <f>IF(D117="","",VLOOKUP(A117,Materiais_Base!A:D,4,"FALSO"))</f>
        <v/>
      </c>
    </row>
    <row r="118" hidden="1" customHeight="1" spans="1:7">
      <c r="A118" s="352" t="s">
        <v>14426</v>
      </c>
      <c r="B118" s="352" t="str">
        <f>IF(A118="","",VLOOKUP(A118,Materiais_Base!A:D,2,"FALSO"))</f>
        <v>Tubo PEAD corrugado com paredes estruturadas para drenagem - D = 1.500 mm</v>
      </c>
      <c r="C118" s="353" t="str">
        <f>IF(A118="","",VLOOKUP(A118,Materiais_Base!A:D,3,"FALSO"))</f>
        <v>m</v>
      </c>
      <c r="D118" s="354" t="s">
        <v>932</v>
      </c>
      <c r="E118" s="355" t="str">
        <f t="shared" si="3"/>
        <v/>
      </c>
      <c r="F118" s="354"/>
      <c r="G118" s="345" t="str">
        <f>IF(D118="","",VLOOKUP(A118,Materiais_Base!A:D,4,"FALSO"))</f>
        <v/>
      </c>
    </row>
    <row r="119" hidden="1" customHeight="1" spans="1:7">
      <c r="A119" s="352" t="s">
        <v>14427</v>
      </c>
      <c r="B119" s="352" t="str">
        <f>IF(A119="","",VLOOKUP(A119,Materiais_Base!A:D,2,"FALSO"))</f>
        <v>Ancoragem ativa para 22 cordoalhas - D = 15,2 mm</v>
      </c>
      <c r="C119" s="353" t="str">
        <f>IF(A119="","",VLOOKUP(A119,Materiais_Base!A:D,3,"FALSO"))</f>
        <v>un</v>
      </c>
      <c r="D119" s="354" t="s">
        <v>932</v>
      </c>
      <c r="E119" s="355" t="str">
        <f t="shared" si="3"/>
        <v/>
      </c>
      <c r="F119" s="354"/>
      <c r="G119" s="345" t="str">
        <f>IF(D119="","",VLOOKUP(A119,Materiais_Base!A:D,4,"FALSO"))</f>
        <v/>
      </c>
    </row>
    <row r="120" hidden="1" customHeight="1" spans="1:7">
      <c r="A120" s="352" t="s">
        <v>14428</v>
      </c>
      <c r="B120" s="352" t="str">
        <f>IF(A120="","",VLOOKUP(A120,Materiais_Base!A:D,2,"FALSO"))</f>
        <v>Ancoragem ativa para 27 cordoalhas - D = 15,2 mm</v>
      </c>
      <c r="C120" s="353" t="str">
        <f>IF(A120="","",VLOOKUP(A120,Materiais_Base!A:D,3,"FALSO"))</f>
        <v>un</v>
      </c>
      <c r="D120" s="354" t="s">
        <v>932</v>
      </c>
      <c r="E120" s="355" t="str">
        <f t="shared" si="3"/>
        <v/>
      </c>
      <c r="F120" s="354"/>
      <c r="G120" s="345" t="str">
        <f>IF(D120="","",VLOOKUP(A120,Materiais_Base!A:D,4,"FALSO"))</f>
        <v/>
      </c>
    </row>
    <row r="121" hidden="1" customHeight="1" spans="1:7">
      <c r="A121" s="352" t="s">
        <v>14429</v>
      </c>
      <c r="B121" s="352" t="str">
        <f>IF(A121="","",VLOOKUP(A121,Materiais_Base!A:D,2,"FALSO"))</f>
        <v>Ancoragem ativa para lajes para 1 cordoalha - D = 12,7 mm</v>
      </c>
      <c r="C121" s="353" t="str">
        <f>IF(A121="","",VLOOKUP(A121,Materiais_Base!A:D,3,"FALSO"))</f>
        <v>un</v>
      </c>
      <c r="D121" s="354" t="s">
        <v>932</v>
      </c>
      <c r="E121" s="355" t="str">
        <f t="shared" si="3"/>
        <v/>
      </c>
      <c r="F121" s="354"/>
      <c r="G121" s="345" t="str">
        <f>IF(D121="","",VLOOKUP(A121,Materiais_Base!A:D,4,"FALSO"))</f>
        <v/>
      </c>
    </row>
    <row r="122" hidden="1" customHeight="1" spans="1:7">
      <c r="A122" s="352" t="s">
        <v>14430</v>
      </c>
      <c r="B122" s="352" t="str">
        <f>IF(A122="","",VLOOKUP(A122,Materiais_Base!A:D,2,"FALSO"))</f>
        <v>Ancoragem ativa para lajes para 2 cordoalhas - D = 12,7 mm</v>
      </c>
      <c r="C122" s="353" t="str">
        <f>IF(A122="","",VLOOKUP(A122,Materiais_Base!A:D,3,"FALSO"))</f>
        <v>un</v>
      </c>
      <c r="D122" s="354" t="s">
        <v>932</v>
      </c>
      <c r="E122" s="355" t="str">
        <f t="shared" si="3"/>
        <v/>
      </c>
      <c r="F122" s="354"/>
      <c r="G122" s="345" t="str">
        <f>IF(D122="","",VLOOKUP(A122,Materiais_Base!A:D,4,"FALSO"))</f>
        <v/>
      </c>
    </row>
    <row r="123" hidden="1" customHeight="1" spans="1:7">
      <c r="A123" s="352" t="s">
        <v>14431</v>
      </c>
      <c r="B123" s="352" t="str">
        <f>IF(A123="","",VLOOKUP(A123,Materiais_Base!A:D,2,"FALSO"))</f>
        <v>Ancoragem ativa para lajes para 3 cordoalhas - D = 12,7 mm</v>
      </c>
      <c r="C123" s="353" t="str">
        <f>IF(A123="","",VLOOKUP(A123,Materiais_Base!A:D,3,"FALSO"))</f>
        <v>un</v>
      </c>
      <c r="D123" s="354" t="s">
        <v>932</v>
      </c>
      <c r="E123" s="355" t="str">
        <f t="shared" si="3"/>
        <v/>
      </c>
      <c r="F123" s="354"/>
      <c r="G123" s="345" t="str">
        <f>IF(D123="","",VLOOKUP(A123,Materiais_Base!A:D,4,"FALSO"))</f>
        <v/>
      </c>
    </row>
    <row r="124" hidden="1" customHeight="1" spans="1:7">
      <c r="A124" s="352" t="s">
        <v>14432</v>
      </c>
      <c r="B124" s="352" t="str">
        <f>IF(A124="","",VLOOKUP(A124,Materiais_Base!A:D,2,"FALSO"))</f>
        <v>Ancoragem ativa para lajes para 4 cordoalhas - D = 12,7 mm</v>
      </c>
      <c r="C124" s="353" t="str">
        <f>IF(A124="","",VLOOKUP(A124,Materiais_Base!A:D,3,"FALSO"))</f>
        <v>un</v>
      </c>
      <c r="D124" s="354" t="s">
        <v>932</v>
      </c>
      <c r="E124" s="355" t="str">
        <f t="shared" si="3"/>
        <v/>
      </c>
      <c r="F124" s="354"/>
      <c r="G124" s="345" t="str">
        <f>IF(D124="","",VLOOKUP(A124,Materiais_Base!A:D,4,"FALSO"))</f>
        <v/>
      </c>
    </row>
    <row r="125" customHeight="1" spans="1:7">
      <c r="A125" s="352" t="s">
        <v>14433</v>
      </c>
      <c r="B125" s="352" t="str">
        <f>IF(A125="","",VLOOKUP(A125,Materiais_Base!A:D,2,"FALSO"))</f>
        <v>Bloco de concreto - L = 19 cm, A = 19 cm e C = 39 cm</v>
      </c>
      <c r="C125" s="353" t="str">
        <f>IF(A125="","",VLOOKUP(A125,Materiais_Base!A:D,3,"FALSO"))</f>
        <v>un</v>
      </c>
      <c r="D125" s="354">
        <v>6.3089</v>
      </c>
      <c r="E125" s="355">
        <f t="shared" si="3"/>
        <v>6.3089</v>
      </c>
      <c r="F125" s="354"/>
      <c r="G125" s="345">
        <f>IF(D125="","",VLOOKUP(A125,Materiais_Base!A:D,4,"FALSO"))</f>
        <v>6.3089</v>
      </c>
    </row>
    <row r="126" hidden="1" customHeight="1" spans="1:7">
      <c r="A126" s="352" t="s">
        <v>14434</v>
      </c>
      <c r="B126" s="352" t="str">
        <f>IF(A126="","",VLOOKUP(A126,Materiais_Base!A:D,2,"FALSO"))</f>
        <v>Tela metálica galvanizada dobrada em L - C = 2,0 m, L = 0,4 m e H = 0,4 m</v>
      </c>
      <c r="C126" s="353" t="str">
        <f>IF(A126="","",VLOOKUP(A126,Materiais_Base!A:D,3,"FALSO"))</f>
        <v>un</v>
      </c>
      <c r="D126" s="354" t="s">
        <v>932</v>
      </c>
      <c r="E126" s="355" t="str">
        <f t="shared" ref="E126:E139" si="4">IF(D126="","",MIN(D126,F126))</f>
        <v/>
      </c>
      <c r="F126" s="354"/>
      <c r="G126" s="345" t="str">
        <f>IF(D126="","",VLOOKUP(A126,Materiais_Base!A:D,4,"FALSO"))</f>
        <v/>
      </c>
    </row>
    <row r="127" hidden="1" customHeight="1" spans="1:7">
      <c r="A127" s="352" t="s">
        <v>14435</v>
      </c>
      <c r="B127" s="352" t="str">
        <f>IF(A127="","",VLOOKUP(A127,Materiais_Base!A:D,2,"FALSO"))</f>
        <v>Extintor de incêndio tipo espuma mecânica - V = 10 l</v>
      </c>
      <c r="C127" s="353" t="str">
        <f>IF(A127="","",VLOOKUP(A127,Materiais_Base!A:D,3,"FALSO"))</f>
        <v>un</v>
      </c>
      <c r="D127" s="354" t="s">
        <v>932</v>
      </c>
      <c r="E127" s="355" t="str">
        <f t="shared" si="4"/>
        <v/>
      </c>
      <c r="F127" s="354"/>
      <c r="G127" s="345" t="str">
        <f>IF(D127="","",VLOOKUP(A127,Materiais_Base!A:D,4,"FALSO"))</f>
        <v/>
      </c>
    </row>
    <row r="128" hidden="1" customHeight="1" spans="1:7">
      <c r="A128" s="352" t="s">
        <v>14436</v>
      </c>
      <c r="B128" s="352" t="str">
        <f>IF(A128="","",VLOOKUP(A128,Materiais_Base!A:D,2,"FALSO"))</f>
        <v>Barra de fibra de vidro (vergalhão) - D = 25,0 mm</v>
      </c>
      <c r="C128" s="353" t="str">
        <f>IF(A128="","",VLOOKUP(A128,Materiais_Base!A:D,3,"FALSO"))</f>
        <v>m</v>
      </c>
      <c r="D128" s="354" t="s">
        <v>932</v>
      </c>
      <c r="E128" s="355" t="str">
        <f t="shared" si="4"/>
        <v/>
      </c>
      <c r="F128" s="354"/>
      <c r="G128" s="345" t="str">
        <f>IF(D128="","",VLOOKUP(A128,Materiais_Base!A:D,4,"FALSO"))</f>
        <v/>
      </c>
    </row>
    <row r="129" hidden="1" customHeight="1" spans="1:7">
      <c r="A129" s="352" t="s">
        <v>14437</v>
      </c>
      <c r="B129" s="352" t="str">
        <f>IF(A129="","",VLOOKUP(A129,Materiais_Base!A:D,2,"FALSO"))</f>
        <v>Corrente de elo soldado em aço galvanizado com acabamento polido - D = 3,18 mm (1/8")</v>
      </c>
      <c r="C129" s="353" t="str">
        <f>IF(A129="","",VLOOKUP(A129,Materiais_Base!A:D,3,"FALSO"))</f>
        <v>m</v>
      </c>
      <c r="D129" s="354" t="s">
        <v>932</v>
      </c>
      <c r="E129" s="355" t="str">
        <f t="shared" si="4"/>
        <v/>
      </c>
      <c r="F129" s="354"/>
      <c r="G129" s="345" t="str">
        <f>IF(D129="","",VLOOKUP(A129,Materiais_Base!A:D,4,"FALSO"))</f>
        <v/>
      </c>
    </row>
    <row r="130" hidden="1" customHeight="1" spans="1:7">
      <c r="A130" s="352" t="s">
        <v>14438</v>
      </c>
      <c r="B130" s="352" t="str">
        <f>IF(A130="","",VLOOKUP(A130,Materiais_Base!A:D,2,"FALSO"))</f>
        <v>Gonzo com aba em aço galvanizado - D = 12,7 mm (1/2")</v>
      </c>
      <c r="C130" s="353" t="str">
        <f>IF(A130="","",VLOOKUP(A130,Materiais_Base!A:D,3,"FALSO"))</f>
        <v>un</v>
      </c>
      <c r="D130" s="354" t="s">
        <v>932</v>
      </c>
      <c r="E130" s="355" t="str">
        <f t="shared" si="4"/>
        <v/>
      </c>
      <c r="F130" s="354"/>
      <c r="G130" s="345" t="str">
        <f>IF(D130="","",VLOOKUP(A130,Materiais_Base!A:D,4,"FALSO"))</f>
        <v/>
      </c>
    </row>
    <row r="131" hidden="1" customHeight="1" spans="1:7">
      <c r="A131" s="352" t="s">
        <v>14439</v>
      </c>
      <c r="B131" s="352" t="str">
        <f>IF(A131="","",VLOOKUP(A131,Materiais_Base!A:D,2,"FALSO"))</f>
        <v>Tubo em aço galvanizado - E = 1,50 mm e seção de 20 x 20 mm</v>
      </c>
      <c r="C131" s="353" t="str">
        <f>IF(A131="","",VLOOKUP(A131,Materiais_Base!A:D,3,"FALSO"))</f>
        <v>m</v>
      </c>
      <c r="D131" s="354" t="s">
        <v>932</v>
      </c>
      <c r="E131" s="355" t="str">
        <f t="shared" si="4"/>
        <v/>
      </c>
      <c r="F131" s="354"/>
      <c r="G131" s="345" t="str">
        <f>IF(D131="","",VLOOKUP(A131,Materiais_Base!A:D,4,"FALSO"))</f>
        <v/>
      </c>
    </row>
    <row r="132" hidden="1" customHeight="1" spans="1:7">
      <c r="A132" s="352" t="s">
        <v>14440</v>
      </c>
      <c r="B132" s="352" t="str">
        <f>IF(A132="","",VLOOKUP(A132,Materiais_Base!A:D,2,"FALSO"))</f>
        <v>Tubo em aço galvanizado - E = 2,25 mm e D = 20 mm (3/4")</v>
      </c>
      <c r="C132" s="353" t="str">
        <f>IF(A132="","",VLOOKUP(A132,Materiais_Base!A:D,3,"FALSO"))</f>
        <v>m</v>
      </c>
      <c r="D132" s="354" t="s">
        <v>932</v>
      </c>
      <c r="E132" s="355" t="str">
        <f t="shared" si="4"/>
        <v/>
      </c>
      <c r="F132" s="354"/>
      <c r="G132" s="345" t="str">
        <f>IF(D132="","",VLOOKUP(A132,Materiais_Base!A:D,4,"FALSO"))</f>
        <v/>
      </c>
    </row>
    <row r="133" hidden="1" customHeight="1" spans="1:7">
      <c r="A133" s="352" t="s">
        <v>14441</v>
      </c>
      <c r="B133" s="352" t="str">
        <f>IF(A133="","",VLOOKUP(A133,Materiais_Base!A:D,2,"FALSO"))</f>
        <v>Tela de poliamida industrial - E = 0,40 mm e malha de 1,6 mm</v>
      </c>
      <c r="C133" s="353" t="str">
        <f>IF(A133="","",VLOOKUP(A133,Materiais_Base!A:D,3,"FALSO"))</f>
        <v>m²</v>
      </c>
      <c r="D133" s="354" t="s">
        <v>932</v>
      </c>
      <c r="E133" s="355" t="str">
        <f t="shared" si="4"/>
        <v/>
      </c>
      <c r="F133" s="354"/>
      <c r="G133" s="345" t="str">
        <f>IF(D133="","",VLOOKUP(A133,Materiais_Base!A:D,4,"FALSO"))</f>
        <v/>
      </c>
    </row>
    <row r="134" hidden="1" customHeight="1" spans="1:7">
      <c r="A134" s="352" t="s">
        <v>14442</v>
      </c>
      <c r="B134" s="352" t="str">
        <f>IF(A134="","",VLOOKUP(A134,Materiais_Base!A:D,2,"FALSO"))</f>
        <v>Abraçadeira de poliamida - E = 3,6 mm e C = 200 mm</v>
      </c>
      <c r="C134" s="353" t="str">
        <f>IF(A134="","",VLOOKUP(A134,Materiais_Base!A:D,3,"FALSO"))</f>
        <v>un</v>
      </c>
      <c r="D134" s="354" t="s">
        <v>932</v>
      </c>
      <c r="E134" s="355" t="str">
        <f t="shared" si="4"/>
        <v/>
      </c>
      <c r="F134" s="354"/>
      <c r="G134" s="345" t="str">
        <f>IF(D134="","",VLOOKUP(A134,Materiais_Base!A:D,4,"FALSO"))</f>
        <v/>
      </c>
    </row>
    <row r="135" hidden="1" customHeight="1" spans="1:7">
      <c r="A135" s="352" t="s">
        <v>14443</v>
      </c>
      <c r="B135" s="352" t="str">
        <f>IF(A135="","",VLOOKUP(A135,Materiais_Base!A:D,2,"FALSO"))</f>
        <v>Roda em aço e pneu com câmara de ar 83/203 mm (3,25"/8") para carrinho de mão</v>
      </c>
      <c r="C135" s="353" t="str">
        <f>IF(A135="","",VLOOKUP(A135,Materiais_Base!A:D,3,"FALSO"))</f>
        <v>un</v>
      </c>
      <c r="D135" s="354" t="s">
        <v>932</v>
      </c>
      <c r="E135" s="355" t="str">
        <f t="shared" si="4"/>
        <v/>
      </c>
      <c r="F135" s="354"/>
      <c r="G135" s="345" t="str">
        <f>IF(D135="","",VLOOKUP(A135,Materiais_Base!A:D,4,"FALSO"))</f>
        <v/>
      </c>
    </row>
    <row r="136" hidden="1" customHeight="1" spans="1:7">
      <c r="A136" s="352" t="s">
        <v>14444</v>
      </c>
      <c r="B136" s="352" t="str">
        <f>IF(A136="","",VLOOKUP(A136,Materiais_Base!A:D,2,"FALSO"))</f>
        <v>Ancoragem ativa para lajes para 1 cordoalha - D = 15,2 mm</v>
      </c>
      <c r="C136" s="353" t="str">
        <f>IF(A136="","",VLOOKUP(A136,Materiais_Base!A:D,3,"FALSO"))</f>
        <v>un</v>
      </c>
      <c r="D136" s="354" t="s">
        <v>932</v>
      </c>
      <c r="E136" s="355" t="str">
        <f t="shared" si="4"/>
        <v/>
      </c>
      <c r="F136" s="354"/>
      <c r="G136" s="345" t="str">
        <f>IF(D136="","",VLOOKUP(A136,Materiais_Base!A:D,4,"FALSO"))</f>
        <v/>
      </c>
    </row>
    <row r="137" hidden="1" customHeight="1" spans="1:7">
      <c r="A137" s="352" t="s">
        <v>14445</v>
      </c>
      <c r="B137" s="352" t="str">
        <f>IF(A137="","",VLOOKUP(A137,Materiais_Base!A:D,2,"FALSO"))</f>
        <v>Ancoragem ativa para lajes para 2 cordoalhas - D = 15,2 mm</v>
      </c>
      <c r="C137" s="353" t="str">
        <f>IF(A137="","",VLOOKUP(A137,Materiais_Base!A:D,3,"FALSO"))</f>
        <v>un</v>
      </c>
      <c r="D137" s="354" t="s">
        <v>932</v>
      </c>
      <c r="E137" s="355" t="str">
        <f t="shared" si="4"/>
        <v/>
      </c>
      <c r="F137" s="354"/>
      <c r="G137" s="345" t="str">
        <f>IF(D137="","",VLOOKUP(A137,Materiais_Base!A:D,4,"FALSO"))</f>
        <v/>
      </c>
    </row>
    <row r="138" hidden="1" customHeight="1" spans="1:7">
      <c r="A138" s="352" t="s">
        <v>14446</v>
      </c>
      <c r="B138" s="352" t="str">
        <f>IF(A138="","",VLOOKUP(A138,Materiais_Base!A:D,2,"FALSO"))</f>
        <v>Ancoragem ativa para lajes para 3 cordoalhas - D = 15,2 mm</v>
      </c>
      <c r="C138" s="353" t="str">
        <f>IF(A138="","",VLOOKUP(A138,Materiais_Base!A:D,3,"FALSO"))</f>
        <v>un</v>
      </c>
      <c r="D138" s="354" t="s">
        <v>932</v>
      </c>
      <c r="E138" s="355" t="str">
        <f t="shared" si="4"/>
        <v/>
      </c>
      <c r="F138" s="354"/>
      <c r="G138" s="345" t="str">
        <f>IF(D138="","",VLOOKUP(A138,Materiais_Base!A:D,4,"FALSO"))</f>
        <v/>
      </c>
    </row>
    <row r="139" hidden="1" customHeight="1" spans="1:7">
      <c r="A139" s="352" t="s">
        <v>14447</v>
      </c>
      <c r="B139" s="352" t="str">
        <f>IF(A139="","",VLOOKUP(A139,Materiais_Base!A:D,2,"FALSO"))</f>
        <v>Ancoragem ativa para lajes para 4 cordoalhas - D = 15,2 mm</v>
      </c>
      <c r="C139" s="353" t="str">
        <f>IF(A139="","",VLOOKUP(A139,Materiais_Base!A:D,3,"FALSO"))</f>
        <v>un</v>
      </c>
      <c r="D139" s="354" t="s">
        <v>932</v>
      </c>
      <c r="E139" s="355" t="str">
        <f t="shared" si="4"/>
        <v/>
      </c>
      <c r="F139" s="354"/>
      <c r="G139" s="345" t="str">
        <f>IF(D139="","",VLOOKUP(A139,Materiais_Base!A:D,4,"FALSO"))</f>
        <v/>
      </c>
    </row>
    <row r="140" customHeight="1" spans="1:7">
      <c r="A140" s="352" t="s">
        <v>859</v>
      </c>
      <c r="B140" s="352" t="str">
        <f>IF(A140="","",VLOOKUP(A140,Materiais_Base!A:D,2,"FALSO"))</f>
        <v>Brita 1</v>
      </c>
      <c r="C140" s="353" t="str">
        <f>IF(A140="","",VLOOKUP(A140,Materiais_Base!A:D,3,"FALSO"))</f>
        <v>m³</v>
      </c>
      <c r="D140" s="354" t="s">
        <v>932</v>
      </c>
      <c r="E140" s="355">
        <f>MAX(D140,F140)</f>
        <v>495.717992658558</v>
      </c>
      <c r="F140" s="359">
        <f>Cotações!BO35</f>
        <v>495.717992658558</v>
      </c>
      <c r="G140" s="345" t="str">
        <f>IF(D140="","",VLOOKUP(A140,Materiais_Base!A:D,4,"FALSO"))</f>
        <v/>
      </c>
    </row>
    <row r="141" customHeight="1" spans="1:7">
      <c r="A141" s="352" t="s">
        <v>854</v>
      </c>
      <c r="B141" s="352" t="str">
        <f>IF(A141="","",VLOOKUP(A141,Materiais_Base!A:D,2,"FALSO"))</f>
        <v>Brita 2</v>
      </c>
      <c r="C141" s="353" t="str">
        <f>IF(A141="","",VLOOKUP(A141,Materiais_Base!A:D,3,"FALSO"))</f>
        <v>m³</v>
      </c>
      <c r="D141" s="354" t="s">
        <v>932</v>
      </c>
      <c r="E141" s="355">
        <f>MAX(D141,F141)</f>
        <v>496.690992606858</v>
      </c>
      <c r="F141" s="359">
        <f>Cotações!BO42</f>
        <v>496.690992606858</v>
      </c>
      <c r="G141" s="345" t="str">
        <f>IF(D141="","",VLOOKUP(A141,Materiais_Base!A:D,4,"FALSO"))</f>
        <v/>
      </c>
    </row>
    <row r="142" hidden="1" customHeight="1" spans="1:7">
      <c r="A142" s="352" t="s">
        <v>14448</v>
      </c>
      <c r="B142" s="352" t="str">
        <f>IF(A142="","",VLOOKUP(A142,Materiais_Base!A:D,2,"FALSO"))</f>
        <v>Brita 3</v>
      </c>
      <c r="C142" s="353" t="str">
        <f>IF(A142="","",VLOOKUP(A142,Materiais_Base!A:D,3,"FALSO"))</f>
        <v>m³</v>
      </c>
      <c r="D142" s="354" t="s">
        <v>932</v>
      </c>
      <c r="E142" s="355" t="str">
        <f t="shared" ref="E142:E172" si="5">IF(D142="","",MIN(D142,F142))</f>
        <v/>
      </c>
      <c r="F142" s="354"/>
      <c r="G142" s="345" t="str">
        <f>IF(D142="","",VLOOKUP(A142,Materiais_Base!A:D,4,"FALSO"))</f>
        <v/>
      </c>
    </row>
    <row r="143" hidden="1" customHeight="1" spans="1:7">
      <c r="A143" s="352" t="s">
        <v>14449</v>
      </c>
      <c r="B143" s="352" t="str">
        <f>IF(A143="","",VLOOKUP(A143,Materiais_Base!A:D,2,"FALSO"))</f>
        <v>Escória de aciaria</v>
      </c>
      <c r="C143" s="353" t="str">
        <f>IF(A143="","",VLOOKUP(A143,Materiais_Base!A:D,3,"FALSO"))</f>
        <v>m³</v>
      </c>
      <c r="D143" s="354" t="s">
        <v>932</v>
      </c>
      <c r="E143" s="355" t="str">
        <f t="shared" si="5"/>
        <v/>
      </c>
      <c r="F143" s="354"/>
      <c r="G143" s="345" t="str">
        <f>IF(D143="","",VLOOKUP(A143,Materiais_Base!A:D,4,"FALSO"))</f>
        <v/>
      </c>
    </row>
    <row r="144" hidden="1" customHeight="1" spans="1:7">
      <c r="A144" s="352" t="s">
        <v>14450</v>
      </c>
      <c r="B144" s="352" t="str">
        <f>IF(A144="","",VLOOKUP(A144,Materiais_Base!A:D,2,"FALSO"))</f>
        <v>Parafuso de cabeça chata em aço - D = 4,5 mm e bucha plástica - D = 8 mm (S8)</v>
      </c>
      <c r="C144" s="353" t="str">
        <f>IF(A144="","",VLOOKUP(A144,Materiais_Base!A:D,3,"FALSO"))</f>
        <v>un</v>
      </c>
      <c r="D144" s="354" t="s">
        <v>932</v>
      </c>
      <c r="E144" s="355" t="str">
        <f t="shared" si="5"/>
        <v/>
      </c>
      <c r="F144" s="354"/>
      <c r="G144" s="345" t="str">
        <f>IF(D144="","",VLOOKUP(A144,Materiais_Base!A:D,4,"FALSO"))</f>
        <v/>
      </c>
    </row>
    <row r="145" hidden="1" customHeight="1" spans="1:7">
      <c r="A145" s="352" t="s">
        <v>14451</v>
      </c>
      <c r="B145" s="352" t="str">
        <f>IF(A145="","",VLOOKUP(A145,Materiais_Base!A:D,2,"FALSO"))</f>
        <v>Coroa de botões esféricos linha T38 - D = 89 mm (3 1/2")</v>
      </c>
      <c r="C145" s="353" t="str">
        <f>IF(A145="","",VLOOKUP(A145,Materiais_Base!A:D,3,"FALSO"))</f>
        <v>un</v>
      </c>
      <c r="D145" s="354" t="s">
        <v>932</v>
      </c>
      <c r="E145" s="355" t="str">
        <f t="shared" si="5"/>
        <v/>
      </c>
      <c r="F145" s="354"/>
      <c r="G145" s="345" t="str">
        <f>IF(D145="","",VLOOKUP(A145,Materiais_Base!A:D,4,"FALSO"))</f>
        <v/>
      </c>
    </row>
    <row r="146" hidden="1" customHeight="1" spans="1:7">
      <c r="A146" s="352" t="s">
        <v>14452</v>
      </c>
      <c r="B146" s="352" t="str">
        <f>IF(A146="","",VLOOKUP(A146,Materiais_Base!A:D,2,"FALSO"))</f>
        <v>Coroa de botões esféricos linha T45 - D = 76 mm (3")</v>
      </c>
      <c r="C146" s="353" t="str">
        <f>IF(A146="","",VLOOKUP(A146,Materiais_Base!A:D,3,"FALSO"))</f>
        <v>un</v>
      </c>
      <c r="D146" s="354" t="s">
        <v>932</v>
      </c>
      <c r="E146" s="355" t="str">
        <f t="shared" si="5"/>
        <v/>
      </c>
      <c r="F146" s="354"/>
      <c r="G146" s="345" t="str">
        <f>IF(D146="","",VLOOKUP(A146,Materiais_Base!A:D,4,"FALSO"))</f>
        <v/>
      </c>
    </row>
    <row r="147" customHeight="1" spans="1:7">
      <c r="A147" s="352" t="s">
        <v>14453</v>
      </c>
      <c r="B147" s="352" t="str">
        <f>IF(A147="","",VLOOKUP(A147,Materiais_Base!A:D,2,"FALSO"))</f>
        <v>Enxofre</v>
      </c>
      <c r="C147" s="353" t="str">
        <f>IF(A147="","",VLOOKUP(A147,Materiais_Base!A:D,3,"FALSO"))</f>
        <v>kg</v>
      </c>
      <c r="D147" s="354">
        <v>3.3505</v>
      </c>
      <c r="E147" s="355">
        <f t="shared" si="5"/>
        <v>3.3505</v>
      </c>
      <c r="F147" s="354"/>
      <c r="G147" s="345">
        <f>IF(D147="","",VLOOKUP(A147,Materiais_Base!A:D,4,"FALSO"))</f>
        <v>3.3505</v>
      </c>
    </row>
    <row r="148" customHeight="1" spans="1:7">
      <c r="A148" s="352" t="s">
        <v>14454</v>
      </c>
      <c r="B148" s="352" t="str">
        <f>IF(A148="","",VLOOKUP(A148,Materiais_Base!A:D,2,"FALSO"))</f>
        <v>Adubo à base de nitrogênio, fósforo e potássio (NPK)</v>
      </c>
      <c r="C148" s="353" t="str">
        <f>IF(A148="","",VLOOKUP(A148,Materiais_Base!A:D,3,"FALSO"))</f>
        <v>kg</v>
      </c>
      <c r="D148" s="354">
        <v>2.9459</v>
      </c>
      <c r="E148" s="355">
        <f t="shared" si="5"/>
        <v>2.9459</v>
      </c>
      <c r="F148" s="354"/>
      <c r="G148" s="345">
        <f>IF(D148="","",VLOOKUP(A148,Materiais_Base!A:D,4,"FALSO"))</f>
        <v>2.9459</v>
      </c>
    </row>
    <row r="149" hidden="1" customHeight="1" spans="1:7">
      <c r="A149" s="352" t="s">
        <v>14455</v>
      </c>
      <c r="B149" s="352" t="str">
        <f>IF(A149="","",VLOOKUP(A149,Materiais_Base!A:D,2,"FALSO"))</f>
        <v>Filer calcário</v>
      </c>
      <c r="C149" s="353" t="str">
        <f>IF(A149="","",VLOOKUP(A149,Materiais_Base!A:D,3,"FALSO"))</f>
        <v>kg</v>
      </c>
      <c r="D149" s="354" t="s">
        <v>932</v>
      </c>
      <c r="E149" s="355" t="str">
        <f t="shared" si="5"/>
        <v/>
      </c>
      <c r="F149" s="354"/>
      <c r="G149" s="345" t="str">
        <f>IF(D149="","",VLOOKUP(A149,Materiais_Base!A:D,4,"FALSO"))</f>
        <v/>
      </c>
    </row>
    <row r="150" hidden="1" customHeight="1" spans="1:7">
      <c r="A150" s="352" t="s">
        <v>14456</v>
      </c>
      <c r="B150" s="352" t="str">
        <f>IF(A150="","",VLOOKUP(A150,Materiais_Base!A:D,2,"FALSO"))</f>
        <v>Sementes para hidrossemeadura</v>
      </c>
      <c r="C150" s="353" t="str">
        <f>IF(A150="","",VLOOKUP(A150,Materiais_Base!A:D,3,"FALSO"))</f>
        <v>kg</v>
      </c>
      <c r="D150" s="354" t="s">
        <v>932</v>
      </c>
      <c r="E150" s="355" t="str">
        <f t="shared" si="5"/>
        <v/>
      </c>
      <c r="F150" s="354"/>
      <c r="G150" s="345" t="str">
        <f>IF(D150="","",VLOOKUP(A150,Materiais_Base!A:D,4,"FALSO"))</f>
        <v/>
      </c>
    </row>
    <row r="151" hidden="1" customHeight="1" spans="1:7">
      <c r="A151" s="352" t="s">
        <v>14457</v>
      </c>
      <c r="B151" s="352" t="str">
        <f>IF(A151="","",VLOOKUP(A151,Materiais_Base!A:D,2,"FALSO"))</f>
        <v>Guia-chapéu pré-moldada - C = 120 cm</v>
      </c>
      <c r="C151" s="353" t="str">
        <f>IF(A151="","",VLOOKUP(A151,Materiais_Base!A:D,3,"FALSO"))</f>
        <v>un</v>
      </c>
      <c r="D151" s="354" t="s">
        <v>932</v>
      </c>
      <c r="E151" s="355" t="str">
        <f t="shared" si="5"/>
        <v/>
      </c>
      <c r="F151" s="354"/>
      <c r="G151" s="345" t="str">
        <f>IF(D151="","",VLOOKUP(A151,Materiais_Base!A:D,4,"FALSO"))</f>
        <v/>
      </c>
    </row>
    <row r="152" customHeight="1" spans="1:7">
      <c r="A152" s="352" t="s">
        <v>14458</v>
      </c>
      <c r="B152" s="352" t="str">
        <f>IF(A152="","",VLOOKUP(A152,Materiais_Base!A:D,2,"FALSO"))</f>
        <v>Adubo orgânico composto</v>
      </c>
      <c r="C152" s="353" t="str">
        <f>IF(A152="","",VLOOKUP(A152,Materiais_Base!A:D,3,"FALSO"))</f>
        <v>kg</v>
      </c>
      <c r="D152" s="354">
        <v>0.2911</v>
      </c>
      <c r="E152" s="355">
        <f t="shared" si="5"/>
        <v>0.2911</v>
      </c>
      <c r="F152" s="354"/>
      <c r="G152" s="345">
        <f>IF(D152="","",VLOOKUP(A152,Materiais_Base!A:D,4,"FALSO"))</f>
        <v>0.2911</v>
      </c>
    </row>
    <row r="153" hidden="1" customHeight="1" spans="1:7">
      <c r="A153" s="352" t="s">
        <v>14459</v>
      </c>
      <c r="B153" s="352" t="str">
        <f>IF(A153="","",VLOOKUP(A153,Materiais_Base!A:D,2,"FALSO"))</f>
        <v>Gabião tipo colchão em liga de zinco e alumínio revestido com polímero de malha hexagonal - E = 0,17 m</v>
      </c>
      <c r="C153" s="353" t="str">
        <f>IF(A153="","",VLOOKUP(A153,Materiais_Base!A:D,3,"FALSO"))</f>
        <v>m²</v>
      </c>
      <c r="D153" s="354" t="s">
        <v>932</v>
      </c>
      <c r="E153" s="355" t="str">
        <f t="shared" si="5"/>
        <v/>
      </c>
      <c r="F153" s="354"/>
      <c r="G153" s="345" t="str">
        <f>IF(D153="","",VLOOKUP(A153,Materiais_Base!A:D,4,"FALSO"))</f>
        <v/>
      </c>
    </row>
    <row r="154" hidden="1" customHeight="1" spans="1:7">
      <c r="A154" s="352" t="s">
        <v>14460</v>
      </c>
      <c r="B154" s="352" t="str">
        <f>IF(A154="","",VLOOKUP(A154,Materiais_Base!A:D,2,"FALSO"))</f>
        <v>Gabião tipo caixa em liga de zinco e alumínio de malha hexagonal - C = 2,00 m, L = 1,00 m e H = 0,50 m</v>
      </c>
      <c r="C154" s="353" t="str">
        <f>IF(A154="","",VLOOKUP(A154,Materiais_Base!A:D,3,"FALSO"))</f>
        <v>un</v>
      </c>
      <c r="D154" s="354" t="s">
        <v>932</v>
      </c>
      <c r="E154" s="355" t="str">
        <f t="shared" si="5"/>
        <v/>
      </c>
      <c r="F154" s="354"/>
      <c r="G154" s="345" t="str">
        <f>IF(D154="","",VLOOKUP(A154,Materiais_Base!A:D,4,"FALSO"))</f>
        <v/>
      </c>
    </row>
    <row r="155" hidden="1" customHeight="1" spans="1:7">
      <c r="A155" s="352" t="s">
        <v>14461</v>
      </c>
      <c r="B155" s="352" t="str">
        <f>IF(A155="","",VLOOKUP(A155,Materiais_Base!A:D,2,"FALSO"))</f>
        <v>Gabião tipo caixa em liga de zinco e alumínio de malha hexagonal - C = 2,00 m, L = 1,00 m e H = 1,00 m</v>
      </c>
      <c r="C155" s="353" t="str">
        <f>IF(A155="","",VLOOKUP(A155,Materiais_Base!A:D,3,"FALSO"))</f>
        <v>un</v>
      </c>
      <c r="D155" s="354" t="s">
        <v>932</v>
      </c>
      <c r="E155" s="355" t="str">
        <f t="shared" si="5"/>
        <v/>
      </c>
      <c r="F155" s="354"/>
      <c r="G155" s="345" t="str">
        <f>IF(D155="","",VLOOKUP(A155,Materiais_Base!A:D,4,"FALSO"))</f>
        <v/>
      </c>
    </row>
    <row r="156" hidden="1" customHeight="1" spans="1:7">
      <c r="A156" s="352" t="s">
        <v>14462</v>
      </c>
      <c r="B156" s="352" t="str">
        <f>IF(A156="","",VLOOKUP(A156,Materiais_Base!A:D,2,"FALSO"))</f>
        <v>Gabião tipo caixa em liga de zinco e alumínio revestido com polímero de malha hexagonal - C = 2,00 m, L = 1,00 m e H = 0,50 m</v>
      </c>
      <c r="C156" s="353" t="str">
        <f>IF(A156="","",VLOOKUP(A156,Materiais_Base!A:D,3,"FALSO"))</f>
        <v>un</v>
      </c>
      <c r="D156" s="354" t="s">
        <v>932</v>
      </c>
      <c r="E156" s="355" t="str">
        <f t="shared" si="5"/>
        <v/>
      </c>
      <c r="F156" s="354"/>
      <c r="G156" s="345" t="str">
        <f>IF(D156="","",VLOOKUP(A156,Materiais_Base!A:D,4,"FALSO"))</f>
        <v/>
      </c>
    </row>
    <row r="157" hidden="1" customHeight="1" spans="1:7">
      <c r="A157" s="352" t="s">
        <v>14463</v>
      </c>
      <c r="B157" s="352" t="str">
        <f>IF(A157="","",VLOOKUP(A157,Materiais_Base!A:D,2,"FALSO"))</f>
        <v>Gabião tipo caixa em liga de zinco e alumínio revestido com polímero de malha hexagonal - C = 2,00 m, L = 1,00 m e H = 1,00 m</v>
      </c>
      <c r="C157" s="353" t="str">
        <f>IF(A157="","",VLOOKUP(A157,Materiais_Base!A:D,3,"FALSO"))</f>
        <v>un</v>
      </c>
      <c r="D157" s="354" t="s">
        <v>932</v>
      </c>
      <c r="E157" s="355" t="str">
        <f t="shared" si="5"/>
        <v/>
      </c>
      <c r="F157" s="354"/>
      <c r="G157" s="345" t="str">
        <f>IF(D157="","",VLOOKUP(A157,Materiais_Base!A:D,4,"FALSO"))</f>
        <v/>
      </c>
    </row>
    <row r="158" hidden="1" customHeight="1" spans="1:7">
      <c r="A158" s="352" t="s">
        <v>14464</v>
      </c>
      <c r="B158" s="352" t="str">
        <f>IF(A158="","",VLOOKUP(A158,Materiais_Base!A:D,2,"FALSO"))</f>
        <v>Gabião tipo saco em liga de zinco e alumínio revestido com polímero de malha hexagonal - D = 0,65 m</v>
      </c>
      <c r="C158" s="353" t="str">
        <f>IF(A158="","",VLOOKUP(A158,Materiais_Base!A:D,3,"FALSO"))</f>
        <v>m³</v>
      </c>
      <c r="D158" s="354" t="s">
        <v>932</v>
      </c>
      <c r="E158" s="355" t="str">
        <f t="shared" si="5"/>
        <v/>
      </c>
      <c r="F158" s="354"/>
      <c r="G158" s="345" t="str">
        <f>IF(D158="","",VLOOKUP(A158,Materiais_Base!A:D,4,"FALSO"))</f>
        <v/>
      </c>
    </row>
    <row r="159" hidden="1" customHeight="1" spans="1:7">
      <c r="A159" s="352" t="s">
        <v>14465</v>
      </c>
      <c r="B159" s="352" t="str">
        <f>IF(A159="","",VLOOKUP(A159,Materiais_Base!A:D,2,"FALSO"))</f>
        <v>Gabião tipo colchão em liga de zinco e alumínio revestido com polímero de malha hexagonal - E = 0,23 m</v>
      </c>
      <c r="C159" s="353" t="str">
        <f>IF(A159="","",VLOOKUP(A159,Materiais_Base!A:D,3,"FALSO"))</f>
        <v>m²</v>
      </c>
      <c r="D159" s="354" t="s">
        <v>932</v>
      </c>
      <c r="E159" s="355" t="str">
        <f t="shared" si="5"/>
        <v/>
      </c>
      <c r="F159" s="354"/>
      <c r="G159" s="345" t="str">
        <f>IF(D159="","",VLOOKUP(A159,Materiais_Base!A:D,4,"FALSO"))</f>
        <v/>
      </c>
    </row>
    <row r="160" hidden="1" customHeight="1" spans="1:7">
      <c r="A160" s="352" t="s">
        <v>14466</v>
      </c>
      <c r="B160" s="352" t="str">
        <f>IF(A160="","",VLOOKUP(A160,Materiais_Base!A:D,2,"FALSO"))</f>
        <v>Gabião tipo colchão em liga de zinco e alumínio revestido com polímero de malha hexagonal - E = 0,30 m</v>
      </c>
      <c r="C160" s="353" t="str">
        <f>IF(A160="","",VLOOKUP(A160,Materiais_Base!A:D,3,"FALSO"))</f>
        <v>m²</v>
      </c>
      <c r="D160" s="354" t="s">
        <v>932</v>
      </c>
      <c r="E160" s="355" t="str">
        <f t="shared" si="5"/>
        <v/>
      </c>
      <c r="F160" s="354"/>
      <c r="G160" s="345" t="str">
        <f>IF(D160="","",VLOOKUP(A160,Materiais_Base!A:D,4,"FALSO"))</f>
        <v/>
      </c>
    </row>
    <row r="161" hidden="1" customHeight="1" spans="1:7">
      <c r="A161" s="352" t="s">
        <v>14467</v>
      </c>
      <c r="B161" s="352" t="str">
        <f>IF(A161="","",VLOOKUP(A161,Materiais_Base!A:D,2,"FALSO"))</f>
        <v>Energia elétrica</v>
      </c>
      <c r="C161" s="353" t="str">
        <f>IF(A161="","",VLOOKUP(A161,Materiais_Base!A:D,3,"FALSO"))</f>
        <v>kWh</v>
      </c>
      <c r="D161" s="354" t="s">
        <v>932</v>
      </c>
      <c r="E161" s="355" t="str">
        <f t="shared" si="5"/>
        <v/>
      </c>
      <c r="F161" s="354"/>
      <c r="G161" s="345" t="str">
        <f>IF(D161="","",VLOOKUP(A161,Materiais_Base!A:D,4,"FALSO"))</f>
        <v/>
      </c>
    </row>
    <row r="162" hidden="1" customHeight="1" spans="1:7">
      <c r="A162" s="352" t="s">
        <v>14468</v>
      </c>
      <c r="B162" s="352" t="str">
        <f>IF(A162="","",VLOOKUP(A162,Materiais_Base!A:D,2,"FALSO"))</f>
        <v>Cabo de cobre flexível antichama isolado em PVC - tensão de 450/750 V e seção de 16 mm²</v>
      </c>
      <c r="C162" s="353" t="str">
        <f>IF(A162="","",VLOOKUP(A162,Materiais_Base!A:D,3,"FALSO"))</f>
        <v>m</v>
      </c>
      <c r="D162" s="354" t="s">
        <v>932</v>
      </c>
      <c r="E162" s="355" t="str">
        <f t="shared" si="5"/>
        <v/>
      </c>
      <c r="F162" s="354"/>
      <c r="G162" s="345" t="str">
        <f>IF(D162="","",VLOOKUP(A162,Materiais_Base!A:D,4,"FALSO"))</f>
        <v/>
      </c>
    </row>
    <row r="163" hidden="1" customHeight="1" spans="1:7">
      <c r="A163" s="352" t="s">
        <v>14469</v>
      </c>
      <c r="B163" s="352" t="str">
        <f>IF(A163="","",VLOOKUP(A163,Materiais_Base!A:D,2,"FALSO"))</f>
        <v>Mistura gasosa de argônio e dióxido de carbono para solda MIG/MAG</v>
      </c>
      <c r="C163" s="353" t="str">
        <f>IF(A163="","",VLOOKUP(A163,Materiais_Base!A:D,3,"FALSO"))</f>
        <v>m³</v>
      </c>
      <c r="D163" s="354" t="s">
        <v>932</v>
      </c>
      <c r="E163" s="355" t="str">
        <f t="shared" si="5"/>
        <v/>
      </c>
      <c r="F163" s="354"/>
      <c r="G163" s="345" t="str">
        <f>IF(D163="","",VLOOKUP(A163,Materiais_Base!A:D,4,"FALSO"))</f>
        <v/>
      </c>
    </row>
    <row r="164" hidden="1" customHeight="1" spans="1:7">
      <c r="A164" s="352" t="s">
        <v>14470</v>
      </c>
      <c r="B164" s="352" t="str">
        <f>IF(A164="","",VLOOKUP(A164,Materiais_Base!A:D,2,"FALSO"))</f>
        <v>Tinta à base de etil silicato de zinco bicomponente para fundo preparador de pintura</v>
      </c>
      <c r="C164" s="353" t="str">
        <f>IF(A164="","",VLOOKUP(A164,Materiais_Base!A:D,3,"FALSO"))</f>
        <v>l</v>
      </c>
      <c r="D164" s="354" t="s">
        <v>932</v>
      </c>
      <c r="E164" s="355" t="str">
        <f t="shared" si="5"/>
        <v/>
      </c>
      <c r="F164" s="354"/>
      <c r="G164" s="345" t="str">
        <f>IF(D164="","",VLOOKUP(A164,Materiais_Base!A:D,4,"FALSO"))</f>
        <v/>
      </c>
    </row>
    <row r="165" hidden="1" customHeight="1" spans="1:7">
      <c r="A165" s="352" t="s">
        <v>14471</v>
      </c>
      <c r="B165" s="352" t="str">
        <f>IF(A165="","",VLOOKUP(A165,Materiais_Base!A:D,2,"FALSO"))</f>
        <v>Diluente para tinta à base de etil silicato de zinco</v>
      </c>
      <c r="C165" s="353" t="str">
        <f>IF(A165="","",VLOOKUP(A165,Materiais_Base!A:D,3,"FALSO"))</f>
        <v>l</v>
      </c>
      <c r="D165" s="354" t="s">
        <v>932</v>
      </c>
      <c r="E165" s="355" t="str">
        <f t="shared" si="5"/>
        <v/>
      </c>
      <c r="F165" s="354"/>
      <c r="G165" s="345" t="str">
        <f>IF(D165="","",VLOOKUP(A165,Materiais_Base!A:D,4,"FALSO"))</f>
        <v/>
      </c>
    </row>
    <row r="166" hidden="1" customHeight="1" spans="1:7">
      <c r="A166" s="352" t="s">
        <v>14472</v>
      </c>
      <c r="B166" s="352" t="str">
        <f>IF(A166="","",VLOOKUP(A166,Materiais_Base!A:D,2,"FALSO"))</f>
        <v>Cabo de cobre PP flexível isolado em PVC - tensão de 300/500 V e seção de 3 x 1,5 mm²</v>
      </c>
      <c r="C166" s="353" t="str">
        <f>IF(A166="","",VLOOKUP(A166,Materiais_Base!A:D,3,"FALSO"))</f>
        <v>m</v>
      </c>
      <c r="D166" s="354" t="s">
        <v>932</v>
      </c>
      <c r="E166" s="355" t="str">
        <f t="shared" si="5"/>
        <v/>
      </c>
      <c r="F166" s="354"/>
      <c r="G166" s="345" t="str">
        <f>IF(D166="","",VLOOKUP(A166,Materiais_Base!A:D,4,"FALSO"))</f>
        <v/>
      </c>
    </row>
    <row r="167" hidden="1" customHeight="1" spans="1:7">
      <c r="A167" s="352" t="s">
        <v>14473</v>
      </c>
      <c r="B167" s="352" t="str">
        <f>IF(A167="","",VLOOKUP(A167,Materiais_Base!A:D,2,"FALSO"))</f>
        <v>Bomba de combustível industrial eletrônica simples</v>
      </c>
      <c r="C167" s="353" t="str">
        <f>IF(A167="","",VLOOKUP(A167,Materiais_Base!A:D,3,"FALSO"))</f>
        <v>un</v>
      </c>
      <c r="D167" s="354" t="s">
        <v>932</v>
      </c>
      <c r="E167" s="355" t="str">
        <f t="shared" si="5"/>
        <v/>
      </c>
      <c r="F167" s="354"/>
      <c r="G167" s="345" t="str">
        <f>IF(D167="","",VLOOKUP(A167,Materiais_Base!A:D,4,"FALSO"))</f>
        <v/>
      </c>
    </row>
    <row r="168" hidden="1" customHeight="1" spans="1:7">
      <c r="A168" s="352" t="s">
        <v>14474</v>
      </c>
      <c r="B168" s="352" t="str">
        <f>IF(A168="","",VLOOKUP(A168,Materiais_Base!A:D,2,"FALSO"))</f>
        <v>Tanque de combustível aéreo horizontal com escada para visita - capacidade de 5.000 l</v>
      </c>
      <c r="C168" s="353" t="str">
        <f>IF(A168="","",VLOOKUP(A168,Materiais_Base!A:D,3,"FALSO"))</f>
        <v>un</v>
      </c>
      <c r="D168" s="354" t="s">
        <v>932</v>
      </c>
      <c r="E168" s="355" t="str">
        <f t="shared" si="5"/>
        <v/>
      </c>
      <c r="F168" s="354"/>
      <c r="G168" s="345" t="str">
        <f>IF(D168="","",VLOOKUP(A168,Materiais_Base!A:D,4,"FALSO"))</f>
        <v/>
      </c>
    </row>
    <row r="169" hidden="1" customHeight="1" spans="1:7">
      <c r="A169" s="352" t="s">
        <v>14475</v>
      </c>
      <c r="B169" s="352" t="str">
        <f>IF(A169="","",VLOOKUP(A169,Materiais_Base!A:D,2,"FALSO"))</f>
        <v>Cabo de cobre flexível antichama isolado em PVC - tensão de 0,6/1,0 kV e seção de 240 mm²</v>
      </c>
      <c r="C169" s="353" t="str">
        <f>IF(A169="","",VLOOKUP(A169,Materiais_Base!A:D,3,"FALSO"))</f>
        <v>m</v>
      </c>
      <c r="D169" s="354" t="s">
        <v>932</v>
      </c>
      <c r="E169" s="355" t="str">
        <f t="shared" si="5"/>
        <v/>
      </c>
      <c r="F169" s="354"/>
      <c r="G169" s="345" t="str">
        <f>IF(D169="","",VLOOKUP(A169,Materiais_Base!A:D,4,"FALSO"))</f>
        <v/>
      </c>
    </row>
    <row r="170" hidden="1" customHeight="1" spans="1:7">
      <c r="A170" s="352" t="s">
        <v>14476</v>
      </c>
      <c r="B170" s="352" t="str">
        <f>IF(A170="","",VLOOKUP(A170,Materiais_Base!A:D,2,"FALSO"))</f>
        <v>Cabo de cobre flexível antichama isolado em PVC - tensão de 0,6/1,0 kV e seção de 50 mm²</v>
      </c>
      <c r="C170" s="353" t="str">
        <f>IF(A170="","",VLOOKUP(A170,Materiais_Base!A:D,3,"FALSO"))</f>
        <v>m</v>
      </c>
      <c r="D170" s="354" t="s">
        <v>932</v>
      </c>
      <c r="E170" s="355" t="str">
        <f t="shared" si="5"/>
        <v/>
      </c>
      <c r="F170" s="354"/>
      <c r="G170" s="345" t="str">
        <f>IF(D170="","",VLOOKUP(A170,Materiais_Base!A:D,4,"FALSO"))</f>
        <v/>
      </c>
    </row>
    <row r="171" customHeight="1" spans="1:7">
      <c r="A171" s="352" t="s">
        <v>14228</v>
      </c>
      <c r="B171" s="352" t="str">
        <f>IF(A171="","",VLOOKUP(A171,Materiais_Base!A:D,2,"FALSO"))</f>
        <v>Caibro de pinho - L = 7,5 cm e E = 7,5 cm</v>
      </c>
      <c r="C171" s="353" t="str">
        <f>IF(A171="","",VLOOKUP(A171,Materiais_Base!A:D,3,"FALSO"))</f>
        <v>m</v>
      </c>
      <c r="D171" s="354">
        <v>12.99</v>
      </c>
      <c r="E171" s="355">
        <f t="shared" si="5"/>
        <v>12.99</v>
      </c>
      <c r="F171" s="354"/>
      <c r="G171" s="345">
        <f>IF(D171="","",VLOOKUP(A171,Materiais_Base!A:D,4,"FALSO"))</f>
        <v>12.99</v>
      </c>
    </row>
    <row r="172" customHeight="1" spans="1:7">
      <c r="A172" s="352" t="s">
        <v>14477</v>
      </c>
      <c r="B172" s="352" t="str">
        <f>IF(A172="","",VLOOKUP(A172,Materiais_Base!A:D,2,"FALSO"))</f>
        <v>Pontalete para escoramento - D = 15 cm</v>
      </c>
      <c r="C172" s="353" t="str">
        <f>IF(A172="","",VLOOKUP(A172,Materiais_Base!A:D,3,"FALSO"))</f>
        <v>m</v>
      </c>
      <c r="D172" s="354">
        <v>5.9455</v>
      </c>
      <c r="E172" s="355">
        <f t="shared" si="5"/>
        <v>5.9455</v>
      </c>
      <c r="F172" s="354"/>
      <c r="G172" s="345">
        <f>IF(D172="","",VLOOKUP(A172,Materiais_Base!A:D,4,"FALSO"))</f>
        <v>5.9455</v>
      </c>
    </row>
    <row r="173" customHeight="1" spans="1:7">
      <c r="A173" s="352" t="s">
        <v>14241</v>
      </c>
      <c r="B173" s="352" t="str">
        <f>IF(A173="","",VLOOKUP(A173,Materiais_Base!A:D,2,"FALSO"))</f>
        <v>Tábua - E = 2,5 cm e L = 30 cm</v>
      </c>
      <c r="C173" s="353" t="str">
        <f>IF(A173="","",VLOOKUP(A173,Materiais_Base!A:D,3,"FALSO"))</f>
        <v>m</v>
      </c>
      <c r="D173" s="354">
        <v>10.1655</v>
      </c>
      <c r="E173" s="355">
        <f t="shared" ref="E173:E193" si="6">IF(D173="","",MIN(D173,F173))</f>
        <v>10.1655</v>
      </c>
      <c r="F173" s="354"/>
      <c r="G173" s="345">
        <f>IF(D173="","",VLOOKUP(A173,Materiais_Base!A:D,4,"FALSO"))</f>
        <v>10.1655</v>
      </c>
    </row>
    <row r="174" customHeight="1" spans="1:7">
      <c r="A174" s="352" t="s">
        <v>14478</v>
      </c>
      <c r="B174" s="352" t="str">
        <f>IF(A174="","",VLOOKUP(A174,Materiais_Base!A:D,2,"FALSO"))</f>
        <v>Tábua - E = 2,5 cm e L = 15 cm</v>
      </c>
      <c r="C174" s="353" t="str">
        <f>IF(A174="","",VLOOKUP(A174,Materiais_Base!A:D,3,"FALSO"))</f>
        <v>m</v>
      </c>
      <c r="D174" s="354">
        <v>4.88</v>
      </c>
      <c r="E174" s="355">
        <f t="shared" si="6"/>
        <v>4.88</v>
      </c>
      <c r="F174" s="354"/>
      <c r="G174" s="345">
        <f>IF(D174="","",VLOOKUP(A174,Materiais_Base!A:D,4,"FALSO"))</f>
        <v>4.88</v>
      </c>
    </row>
    <row r="175" customHeight="1" spans="1:7">
      <c r="A175" s="352" t="s">
        <v>14239</v>
      </c>
      <c r="B175" s="352" t="str">
        <f>IF(A175="","",VLOOKUP(A175,Materiais_Base!A:D,2,"FALSO"))</f>
        <v>Tábua - E = 2,5 cm e L = 10 cm</v>
      </c>
      <c r="C175" s="353" t="str">
        <f>IF(A175="","",VLOOKUP(A175,Materiais_Base!A:D,3,"FALSO"))</f>
        <v>m</v>
      </c>
      <c r="D175" s="354">
        <v>3.5723</v>
      </c>
      <c r="E175" s="355">
        <f t="shared" si="6"/>
        <v>3.5723</v>
      </c>
      <c r="F175" s="354"/>
      <c r="G175" s="345">
        <f>IF(D175="","",VLOOKUP(A175,Materiais_Base!A:D,4,"FALSO"))</f>
        <v>3.5723</v>
      </c>
    </row>
    <row r="176" hidden="1" customHeight="1" spans="1:7">
      <c r="A176" s="352" t="s">
        <v>14479</v>
      </c>
      <c r="B176" s="352" t="str">
        <f>IF(A176="","",VLOOKUP(A176,Materiais_Base!A:D,2,"FALSO"))</f>
        <v>Pontalete para escoramento - D = 10 cm</v>
      </c>
      <c r="C176" s="353" t="str">
        <f>IF(A176="","",VLOOKUP(A176,Materiais_Base!A:D,3,"FALSO"))</f>
        <v>m</v>
      </c>
      <c r="D176" s="354" t="s">
        <v>932</v>
      </c>
      <c r="E176" s="355" t="str">
        <f t="shared" si="6"/>
        <v/>
      </c>
      <c r="F176" s="354"/>
      <c r="G176" s="345" t="str">
        <f>IF(D176="","",VLOOKUP(A176,Materiais_Base!A:D,4,"FALSO"))</f>
        <v/>
      </c>
    </row>
    <row r="177" customHeight="1" spans="1:7">
      <c r="A177" s="352" t="s">
        <v>14235</v>
      </c>
      <c r="B177" s="352" t="str">
        <f>IF(A177="","",VLOOKUP(A177,Materiais_Base!A:D,2,"FALSO"))</f>
        <v>Peça de madeira - L = 7,5 cm e E = 2,5 cm</v>
      </c>
      <c r="C177" s="353" t="str">
        <f>IF(A177="","",VLOOKUP(A177,Materiais_Base!A:D,3,"FALSO"))</f>
        <v>m</v>
      </c>
      <c r="D177" s="354">
        <v>4.33</v>
      </c>
      <c r="E177" s="355">
        <f t="shared" si="6"/>
        <v>4.33</v>
      </c>
      <c r="F177" s="354"/>
      <c r="G177" s="345">
        <f>IF(D177="","",VLOOKUP(A177,Materiais_Base!A:D,4,"FALSO"))</f>
        <v>4.33</v>
      </c>
    </row>
    <row r="178" customHeight="1" spans="1:7">
      <c r="A178" s="352" t="s">
        <v>14480</v>
      </c>
      <c r="B178" s="352" t="str">
        <f>IF(A178="","",VLOOKUP(A178,Materiais_Base!A:D,2,"FALSO"))</f>
        <v>Cal hidratada - a granel</v>
      </c>
      <c r="C178" s="353" t="str">
        <f>IF(A178="","",VLOOKUP(A178,Materiais_Base!A:D,3,"FALSO"))</f>
        <v>kg</v>
      </c>
      <c r="D178" s="354">
        <v>0.407</v>
      </c>
      <c r="E178" s="355">
        <f t="shared" si="6"/>
        <v>0.407</v>
      </c>
      <c r="F178" s="354"/>
      <c r="G178" s="345">
        <f>IF(D178="","",VLOOKUP(A178,Materiais_Base!A:D,4,"FALSO"))</f>
        <v>0.407</v>
      </c>
    </row>
    <row r="179" customHeight="1" spans="1:7">
      <c r="A179" s="352" t="s">
        <v>14481</v>
      </c>
      <c r="B179" s="352" t="str">
        <f>IF(A179="","",VLOOKUP(A179,Materiais_Base!A:D,2,"FALSO"))</f>
        <v>Cal hidratada - saco</v>
      </c>
      <c r="C179" s="353" t="str">
        <f>IF(A179="","",VLOOKUP(A179,Materiais_Base!A:D,3,"FALSO"))</f>
        <v>kg</v>
      </c>
      <c r="D179" s="354">
        <v>0.6329</v>
      </c>
      <c r="E179" s="355">
        <f t="shared" si="6"/>
        <v>0.6329</v>
      </c>
      <c r="F179" s="354"/>
      <c r="G179" s="345">
        <f>IF(D179="","",VLOOKUP(A179,Materiais_Base!A:D,4,"FALSO"))</f>
        <v>0.6329</v>
      </c>
    </row>
    <row r="180" hidden="1" customHeight="1" spans="1:7">
      <c r="A180" s="352" t="s">
        <v>14482</v>
      </c>
      <c r="B180" s="352" t="str">
        <f>IF(A180="","",VLOOKUP(A180,Materiais_Base!A:D,2,"FALSO"))</f>
        <v>Disco de aço para bomba de projeção via seca</v>
      </c>
      <c r="C180" s="353" t="str">
        <f>IF(A180="","",VLOOKUP(A180,Materiais_Base!A:D,3,"FALSO"))</f>
        <v>un</v>
      </c>
      <c r="D180" s="354" t="s">
        <v>932</v>
      </c>
      <c r="E180" s="355" t="str">
        <f t="shared" si="6"/>
        <v/>
      </c>
      <c r="F180" s="354"/>
      <c r="G180" s="345" t="str">
        <f>IF(D180="","",VLOOKUP(A180,Materiais_Base!A:D,4,"FALSO"))</f>
        <v/>
      </c>
    </row>
    <row r="181" hidden="1" customHeight="1" spans="1:7">
      <c r="A181" s="352" t="s">
        <v>14483</v>
      </c>
      <c r="B181" s="352" t="str">
        <f>IF(A181="","",VLOOKUP(A181,Materiais_Base!A:D,2,"FALSO"))</f>
        <v>Disco de borracha para bomba de projeção via seca</v>
      </c>
      <c r="C181" s="353" t="str">
        <f>IF(A181="","",VLOOKUP(A181,Materiais_Base!A:D,3,"FALSO"))</f>
        <v>un</v>
      </c>
      <c r="D181" s="354" t="s">
        <v>932</v>
      </c>
      <c r="E181" s="355" t="str">
        <f t="shared" si="6"/>
        <v/>
      </c>
      <c r="F181" s="354"/>
      <c r="G181" s="345" t="str">
        <f>IF(D181="","",VLOOKUP(A181,Materiais_Base!A:D,4,"FALSO"))</f>
        <v/>
      </c>
    </row>
    <row r="182" hidden="1" customHeight="1" spans="1:7">
      <c r="A182" s="352" t="s">
        <v>14484</v>
      </c>
      <c r="B182" s="352" t="str">
        <f>IF(A182="","",VLOOKUP(A182,Materiais_Base!A:D,2,"FALSO"))</f>
        <v>Bico para bomba de projeção</v>
      </c>
      <c r="C182" s="353" t="str">
        <f>IF(A182="","",VLOOKUP(A182,Materiais_Base!A:D,3,"FALSO"))</f>
        <v>un</v>
      </c>
      <c r="D182" s="354" t="s">
        <v>932</v>
      </c>
      <c r="E182" s="355" t="str">
        <f t="shared" si="6"/>
        <v/>
      </c>
      <c r="F182" s="354"/>
      <c r="G182" s="345" t="str">
        <f>IF(D182="","",VLOOKUP(A182,Materiais_Base!A:D,4,"FALSO"))</f>
        <v/>
      </c>
    </row>
    <row r="183" hidden="1" customHeight="1" spans="1:7">
      <c r="A183" s="352" t="s">
        <v>14485</v>
      </c>
      <c r="B183" s="352" t="str">
        <f>IF(A183="","",VLOOKUP(A183,Materiais_Base!A:D,2,"FALSO"))</f>
        <v>Mangote para bomba de projeção</v>
      </c>
      <c r="C183" s="353" t="str">
        <f>IF(A183="","",VLOOKUP(A183,Materiais_Base!A:D,3,"FALSO"))</f>
        <v>m</v>
      </c>
      <c r="D183" s="354" t="s">
        <v>932</v>
      </c>
      <c r="E183" s="355" t="str">
        <f t="shared" si="6"/>
        <v/>
      </c>
      <c r="F183" s="354"/>
      <c r="G183" s="345" t="str">
        <f>IF(D183="","",VLOOKUP(A183,Materiais_Base!A:D,4,"FALSO"))</f>
        <v/>
      </c>
    </row>
    <row r="184" customHeight="1" spans="1:7">
      <c r="A184" s="352" t="s">
        <v>14291</v>
      </c>
      <c r="B184" s="352" t="str">
        <f>IF(A184="","",VLOOKUP(A184,Materiais_Base!A:D,2,"FALSO"))</f>
        <v>Cantoneira em ferro de abas iguais - L = 25,4 mm e E = 4,76 mm</v>
      </c>
      <c r="C184" s="353" t="str">
        <f>IF(A184="","",VLOOKUP(A184,Materiais_Base!A:D,3,"FALSO"))</f>
        <v>kg</v>
      </c>
      <c r="D184" s="354">
        <v>9.9646</v>
      </c>
      <c r="E184" s="355">
        <f t="shared" si="6"/>
        <v>9.9646</v>
      </c>
      <c r="F184" s="354"/>
      <c r="G184" s="345">
        <f>IF(D184="","",VLOOKUP(A184,Materiais_Base!A:D,4,"FALSO"))</f>
        <v>9.9646</v>
      </c>
    </row>
    <row r="185" hidden="1" customHeight="1" spans="1:7">
      <c r="A185" s="352" t="s">
        <v>14486</v>
      </c>
      <c r="B185" s="352" t="str">
        <f>IF(A185="","",VLOOKUP(A185,Materiais_Base!A:D,2,"FALSO"))</f>
        <v>Cantoneira em aço ASTM A36 galvanizado</v>
      </c>
      <c r="C185" s="353" t="str">
        <f>IF(A185="","",VLOOKUP(A185,Materiais_Base!A:D,3,"FALSO"))</f>
        <v>kg</v>
      </c>
      <c r="D185" s="354" t="s">
        <v>932</v>
      </c>
      <c r="E185" s="355" t="str">
        <f t="shared" si="6"/>
        <v/>
      </c>
      <c r="F185" s="354"/>
      <c r="G185" s="345" t="str">
        <f>IF(D185="","",VLOOKUP(A185,Materiais_Base!A:D,4,"FALSO"))</f>
        <v/>
      </c>
    </row>
    <row r="186" hidden="1" customHeight="1" spans="1:7">
      <c r="A186" s="352" t="s">
        <v>14487</v>
      </c>
      <c r="B186" s="352" t="str">
        <f>IF(A186="","",VLOOKUP(A186,Materiais_Base!A:D,2,"FALSO"))</f>
        <v>Chapa de alumínio - E = 1,5 mm</v>
      </c>
      <c r="C186" s="353" t="str">
        <f>IF(A186="","",VLOOKUP(A186,Materiais_Base!A:D,3,"FALSO"))</f>
        <v>m²</v>
      </c>
      <c r="D186" s="354" t="s">
        <v>932</v>
      </c>
      <c r="E186" s="355" t="str">
        <f t="shared" si="6"/>
        <v/>
      </c>
      <c r="F186" s="354"/>
      <c r="G186" s="345" t="str">
        <f>IF(D186="","",VLOOKUP(A186,Materiais_Base!A:D,4,"FALSO"))</f>
        <v/>
      </c>
    </row>
    <row r="187" hidden="1" customHeight="1" spans="1:7">
      <c r="A187" s="352" t="s">
        <v>14488</v>
      </c>
      <c r="B187" s="352" t="str">
        <f>IF(A187="","",VLOOKUP(A187,Materiais_Base!A:D,2,"FALSO"))</f>
        <v>Chumbador de expansão controlada por torque em aço zincado para concreto - D = 12,5 mm</v>
      </c>
      <c r="C187" s="353" t="str">
        <f>IF(A187="","",VLOOKUP(A187,Materiais_Base!A:D,3,"FALSO"))</f>
        <v>un</v>
      </c>
      <c r="D187" s="354" t="s">
        <v>932</v>
      </c>
      <c r="E187" s="355" t="str">
        <f t="shared" si="6"/>
        <v/>
      </c>
      <c r="F187" s="354"/>
      <c r="G187" s="345" t="str">
        <f>IF(D187="","",VLOOKUP(A187,Materiais_Base!A:D,4,"FALSO"))</f>
        <v/>
      </c>
    </row>
    <row r="188" hidden="1" customHeight="1" spans="1:7">
      <c r="A188" s="352" t="s">
        <v>14489</v>
      </c>
      <c r="B188" s="352" t="str">
        <f>IF(A188="","",VLOOKUP(A188,Materiais_Base!A:D,2,"FALSO"))</f>
        <v>Chumbador de expansão controlada por torque em aço zincado para concreto - D = 6,3 mm</v>
      </c>
      <c r="C188" s="353" t="str">
        <f>IF(A188="","",VLOOKUP(A188,Materiais_Base!A:D,3,"FALSO"))</f>
        <v>un</v>
      </c>
      <c r="D188" s="354" t="s">
        <v>932</v>
      </c>
      <c r="E188" s="355" t="str">
        <f t="shared" si="6"/>
        <v/>
      </c>
      <c r="F188" s="354"/>
      <c r="G188" s="345" t="str">
        <f>IF(D188="","",VLOOKUP(A188,Materiais_Base!A:D,4,"FALSO"))</f>
        <v/>
      </c>
    </row>
    <row r="189" customHeight="1" spans="1:7">
      <c r="A189" s="352" t="s">
        <v>14289</v>
      </c>
      <c r="B189" s="352" t="str">
        <f>IF(A189="","",VLOOKUP(A189,Materiais_Base!A:D,2,"FALSO"))</f>
        <v>Chumbador de expansão controlada por torque em aço zincado para concreto - D = 20,0 mm</v>
      </c>
      <c r="C189" s="353" t="str">
        <f>IF(A189="","",VLOOKUP(A189,Materiais_Base!A:D,3,"FALSO"))</f>
        <v>un</v>
      </c>
      <c r="D189" s="354">
        <v>14.1269</v>
      </c>
      <c r="E189" s="355">
        <f t="shared" si="6"/>
        <v>14.1269</v>
      </c>
      <c r="F189" s="354"/>
      <c r="G189" s="345">
        <f>IF(D189="","",VLOOKUP(A189,Materiais_Base!A:D,4,"FALSO"))</f>
        <v>14.1269</v>
      </c>
    </row>
    <row r="190" hidden="1" customHeight="1" spans="1:7">
      <c r="A190" s="352" t="s">
        <v>14490</v>
      </c>
      <c r="B190" s="352" t="str">
        <f>IF(A190="","",VLOOKUP(A190,Materiais_Base!A:D,2,"FALSO"))</f>
        <v>Chumbador de expansão controlada por torque em aço zincado para concreto - D = 10,0 mm</v>
      </c>
      <c r="C190" s="353" t="str">
        <f>IF(A190="","",VLOOKUP(A190,Materiais_Base!A:D,3,"FALSO"))</f>
        <v>un</v>
      </c>
      <c r="D190" s="354" t="s">
        <v>932</v>
      </c>
      <c r="E190" s="355" t="str">
        <f t="shared" si="6"/>
        <v/>
      </c>
      <c r="F190" s="354"/>
      <c r="G190" s="345" t="str">
        <f>IF(D190="","",VLOOKUP(A190,Materiais_Base!A:D,4,"FALSO"))</f>
        <v/>
      </c>
    </row>
    <row r="191" customHeight="1" spans="1:7">
      <c r="A191" s="352" t="s">
        <v>14491</v>
      </c>
      <c r="B191" s="352" t="str">
        <f>IF(A191="","",VLOOKUP(A191,Materiais_Base!A:D,2,"FALSO"))</f>
        <v>Chumbador de expansão controlada por torque em aço zincado para concreto - D = 16,0 mm</v>
      </c>
      <c r="C191" s="353" t="str">
        <f>IF(A191="","",VLOOKUP(A191,Materiais_Base!A:D,3,"FALSO"))</f>
        <v>un</v>
      </c>
      <c r="D191" s="354">
        <v>9.5545</v>
      </c>
      <c r="E191" s="355">
        <f t="shared" si="6"/>
        <v>9.5545</v>
      </c>
      <c r="F191" s="354"/>
      <c r="G191" s="345">
        <f>IF(D191="","",VLOOKUP(A191,Materiais_Base!A:D,4,"FALSO"))</f>
        <v>9.5545</v>
      </c>
    </row>
    <row r="192" hidden="1" customHeight="1" spans="1:7">
      <c r="A192" s="352" t="s">
        <v>14492</v>
      </c>
      <c r="B192" s="352" t="str">
        <f>IF(A192="","",VLOOKUP(A192,Materiais_Base!A:D,2,"FALSO"))</f>
        <v>Chumbador de expansão controlada por torque em aço zincado para concreto - D = 25,0 mm</v>
      </c>
      <c r="C192" s="353" t="str">
        <f>IF(A192="","",VLOOKUP(A192,Materiais_Base!A:D,3,"FALSO"))</f>
        <v>un</v>
      </c>
      <c r="D192" s="354" t="s">
        <v>932</v>
      </c>
      <c r="E192" s="355" t="str">
        <f t="shared" si="6"/>
        <v/>
      </c>
      <c r="F192" s="354"/>
      <c r="G192" s="345" t="str">
        <f>IF(D192="","",VLOOKUP(A192,Materiais_Base!A:D,4,"FALSO"))</f>
        <v/>
      </c>
    </row>
    <row r="193" hidden="1" customHeight="1" spans="1:7">
      <c r="A193" s="352" t="s">
        <v>14493</v>
      </c>
      <c r="B193" s="352" t="str">
        <f>IF(A193="","",VLOOKUP(A193,Materiais_Base!A:D,2,"FALSO"))</f>
        <v>Argamassa expansiva para desmonte de rocha e demolição de concreto</v>
      </c>
      <c r="C193" s="353" t="str">
        <f>IF(A193="","",VLOOKUP(A193,Materiais_Base!A:D,3,"FALSO"))</f>
        <v>kg</v>
      </c>
      <c r="D193" s="354" t="s">
        <v>932</v>
      </c>
      <c r="E193" s="355" t="str">
        <f t="shared" si="6"/>
        <v/>
      </c>
      <c r="F193" s="354"/>
      <c r="G193" s="345" t="str">
        <f>IF(D193="","",VLOOKUP(A193,Materiais_Base!A:D,4,"FALSO"))</f>
        <v/>
      </c>
    </row>
    <row r="194" customHeight="1" spans="1:7">
      <c r="A194" s="352" t="s">
        <v>836</v>
      </c>
      <c r="B194" s="352" t="str">
        <f>IF(A194="","",VLOOKUP(A194,Materiais_Base!A:D,2,"FALSO"))</f>
        <v>Cimento Portland CP II - 32 - saco</v>
      </c>
      <c r="C194" s="353" t="str">
        <f>IF(A194="","",VLOOKUP(A194,Materiais_Base!A:D,3,"FALSO"))</f>
        <v>kg</v>
      </c>
      <c r="D194" s="354" t="s">
        <v>932</v>
      </c>
      <c r="E194" s="355">
        <f>MAX(D194,F194)</f>
        <v>0.973615959156765</v>
      </c>
      <c r="F194" s="359">
        <f>Cotações!BO48</f>
        <v>0.973615959156765</v>
      </c>
      <c r="G194" s="345" t="str">
        <f>IF(D194="","",VLOOKUP(A194,Materiais_Base!A:D,4,"FALSO"))</f>
        <v/>
      </c>
    </row>
    <row r="195" customHeight="1" spans="1:7">
      <c r="A195" s="352" t="s">
        <v>14265</v>
      </c>
      <c r="B195" s="352" t="str">
        <f>IF(A195="","",VLOOKUP(A195,Materiais_Base!A:D,2,"FALSO"))</f>
        <v>Cordoalha nua tipo CP 190 RB - D = 12,7 mm</v>
      </c>
      <c r="C195" s="353" t="str">
        <f>IF(A195="","",VLOOKUP(A195,Materiais_Base!A:D,3,"FALSO"))</f>
        <v>kg</v>
      </c>
      <c r="D195" s="354">
        <v>8.5928</v>
      </c>
      <c r="E195" s="355">
        <f>IF(D195="","",MAX(D195,F195))</f>
        <v>8.5928</v>
      </c>
      <c r="F195" s="354"/>
      <c r="G195" s="345">
        <f>IF(D195="","",VLOOKUP(A195,Materiais_Base!A:D,4,"FALSO"))</f>
        <v>8.5928</v>
      </c>
    </row>
    <row r="196" ht="13.95" customHeight="1" spans="1:7">
      <c r="A196" s="352" t="s">
        <v>14494</v>
      </c>
      <c r="B196" s="352" t="str">
        <f>IF(A196="","",VLOOKUP(A196,Materiais_Base!A:D,2,"FALSO"))</f>
        <v>Cordoalha nua tipo CP 190 RB - D = 15,2 mm</v>
      </c>
      <c r="C196" s="353" t="str">
        <f>IF(A196="","",VLOOKUP(A196,Materiais_Base!A:D,3,"FALSO"))</f>
        <v>kg</v>
      </c>
      <c r="D196" s="359">
        <v>8.5928</v>
      </c>
      <c r="E196" s="355">
        <f>IF(D196="","",MAX(D196,F196))</f>
        <v>8.5928</v>
      </c>
      <c r="F196" s="354"/>
      <c r="G196" s="345">
        <f>IF(D196="","",VLOOKUP(A196,Materiais_Base!A:D,4,"FALSO"))</f>
        <v>8.5928</v>
      </c>
    </row>
    <row r="197" hidden="1" customHeight="1" spans="1:7">
      <c r="A197" s="352" t="s">
        <v>14495</v>
      </c>
      <c r="B197" s="352" t="str">
        <f>IF(A197="","",VLOOKUP(A197,Materiais_Base!A:D,2,"FALSO"))</f>
        <v>Perfil de alumínio tipo L421 para placa de sinalização - seção de 33 x 40 mm</v>
      </c>
      <c r="C197" s="353" t="str">
        <f>IF(A197="","",VLOOKUP(A197,Materiais_Base!A:D,3,"FALSO"))</f>
        <v>m</v>
      </c>
      <c r="D197" s="354" t="s">
        <v>932</v>
      </c>
      <c r="E197" s="355" t="str">
        <f t="shared" ref="E197:E260" si="7">IF(D197="","",MIN(D197,F197))</f>
        <v/>
      </c>
      <c r="F197" s="354"/>
      <c r="G197" s="345" t="str">
        <f>IF(D197="","",VLOOKUP(A197,Materiais_Base!A:D,4,"FALSO"))</f>
        <v/>
      </c>
    </row>
    <row r="198" hidden="1" customHeight="1" spans="1:7">
      <c r="A198" s="352" t="s">
        <v>14496</v>
      </c>
      <c r="B198" s="352" t="str">
        <f>IF(A198="","",VLOOKUP(A198,Materiais_Base!A:D,2,"FALSO"))</f>
        <v>Tirante de barra de aço - tensão de escoamento = 950 MPa, tensão de ruptura = 1.050 MPa e D = 32 mm</v>
      </c>
      <c r="C198" s="353" t="str">
        <f>IF(A198="","",VLOOKUP(A198,Materiais_Base!A:D,3,"FALSO"))</f>
        <v>m</v>
      </c>
      <c r="D198" s="354" t="s">
        <v>932</v>
      </c>
      <c r="E198" s="355" t="str">
        <f t="shared" si="7"/>
        <v/>
      </c>
      <c r="F198" s="354"/>
      <c r="G198" s="345" t="str">
        <f>IF(D198="","",VLOOKUP(A198,Materiais_Base!A:D,4,"FALSO"))</f>
        <v/>
      </c>
    </row>
    <row r="199" hidden="1" customHeight="1" spans="1:7">
      <c r="A199" s="352" t="s">
        <v>14497</v>
      </c>
      <c r="B199" s="352" t="str">
        <f>IF(A199="","",VLOOKUP(A199,Materiais_Base!A:D,2,"FALSO"))</f>
        <v>Compensado plastificado - E = 10 mm</v>
      </c>
      <c r="C199" s="353" t="str">
        <f>IF(A199="","",VLOOKUP(A199,Materiais_Base!A:D,3,"FALSO"))</f>
        <v>m²</v>
      </c>
      <c r="D199" s="354" t="s">
        <v>932</v>
      </c>
      <c r="E199" s="355" t="str">
        <f t="shared" si="7"/>
        <v/>
      </c>
      <c r="F199" s="354"/>
      <c r="G199" s="345" t="str">
        <f>IF(D199="","",VLOOKUP(A199,Materiais_Base!A:D,4,"FALSO"))</f>
        <v/>
      </c>
    </row>
    <row r="200" hidden="1" customHeight="1" spans="1:7">
      <c r="A200" s="352" t="s">
        <v>14498</v>
      </c>
      <c r="B200" s="352" t="str">
        <f>IF(A200="","",VLOOKUP(A200,Materiais_Base!A:D,2,"FALSO"))</f>
        <v>Compensado plastificado - E = 12 mm</v>
      </c>
      <c r="C200" s="353" t="str">
        <f>IF(A200="","",VLOOKUP(A200,Materiais_Base!A:D,3,"FALSO"))</f>
        <v>m²</v>
      </c>
      <c r="D200" s="354" t="s">
        <v>932</v>
      </c>
      <c r="E200" s="355" t="str">
        <f t="shared" si="7"/>
        <v/>
      </c>
      <c r="F200" s="354"/>
      <c r="G200" s="345" t="str">
        <f>IF(D200="","",VLOOKUP(A200,Materiais_Base!A:D,4,"FALSO"))</f>
        <v/>
      </c>
    </row>
    <row r="201" hidden="1" customHeight="1" spans="1:7">
      <c r="A201" s="352" t="s">
        <v>14499</v>
      </c>
      <c r="B201" s="352" t="str">
        <f>IF(A201="","",VLOOKUP(A201,Materiais_Base!A:D,2,"FALSO"))</f>
        <v>Luva em aço para emenda tipo prensada - D = 12,5 mm</v>
      </c>
      <c r="C201" s="353" t="str">
        <f>IF(A201="","",VLOOKUP(A201,Materiais_Base!A:D,3,"FALSO"))</f>
        <v>un</v>
      </c>
      <c r="D201" s="354" t="s">
        <v>932</v>
      </c>
      <c r="E201" s="355" t="str">
        <f t="shared" si="7"/>
        <v/>
      </c>
      <c r="F201" s="354"/>
      <c r="G201" s="345" t="str">
        <f>IF(D201="","",VLOOKUP(A201,Materiais_Base!A:D,4,"FALSO"))</f>
        <v/>
      </c>
    </row>
    <row r="202" hidden="1" customHeight="1" spans="1:7">
      <c r="A202" s="352" t="s">
        <v>14500</v>
      </c>
      <c r="B202" s="352" t="str">
        <f>IF(A202="","",VLOOKUP(A202,Materiais_Base!A:D,2,"FALSO"))</f>
        <v>Luva em aço para emenda tipo prensada - D = 16,0 mm</v>
      </c>
      <c r="C202" s="353" t="str">
        <f>IF(A202="","",VLOOKUP(A202,Materiais_Base!A:D,3,"FALSO"))</f>
        <v>un</v>
      </c>
      <c r="D202" s="354" t="s">
        <v>932</v>
      </c>
      <c r="E202" s="355" t="str">
        <f t="shared" si="7"/>
        <v/>
      </c>
      <c r="F202" s="354"/>
      <c r="G202" s="345" t="str">
        <f>IF(D202="","",VLOOKUP(A202,Materiais_Base!A:D,4,"FALSO"))</f>
        <v/>
      </c>
    </row>
    <row r="203" customHeight="1" spans="1:7">
      <c r="A203" s="352" t="s">
        <v>14501</v>
      </c>
      <c r="B203" s="352" t="str">
        <f>IF(A203="","",VLOOKUP(A203,Materiais_Base!A:D,2,"FALSO"))</f>
        <v>Compensado resinado - E = 10 mm</v>
      </c>
      <c r="C203" s="353" t="str">
        <f>IF(A203="","",VLOOKUP(A203,Materiais_Base!A:D,3,"FALSO"))</f>
        <v>m²</v>
      </c>
      <c r="D203" s="354">
        <v>30.6768</v>
      </c>
      <c r="E203" s="355">
        <f t="shared" si="7"/>
        <v>30.6768</v>
      </c>
      <c r="F203" s="354"/>
      <c r="G203" s="345">
        <f>IF(D203="","",VLOOKUP(A203,Materiais_Base!A:D,4,"FALSO"))</f>
        <v>30.6768</v>
      </c>
    </row>
    <row r="204" customHeight="1" spans="1:7">
      <c r="A204" s="352" t="s">
        <v>14230</v>
      </c>
      <c r="B204" s="352" t="str">
        <f>IF(A204="","",VLOOKUP(A204,Materiais_Base!A:D,2,"FALSO"))</f>
        <v>Compensado resinado - E = 12 mm</v>
      </c>
      <c r="C204" s="353" t="str">
        <f>IF(A204="","",VLOOKUP(A204,Materiais_Base!A:D,3,"FALSO"))</f>
        <v>m²</v>
      </c>
      <c r="D204" s="354">
        <v>32.6249</v>
      </c>
      <c r="E204" s="355">
        <f t="shared" si="7"/>
        <v>32.6249</v>
      </c>
      <c r="F204" s="354"/>
      <c r="G204" s="345">
        <f>IF(D204="","",VLOOKUP(A204,Materiais_Base!A:D,4,"FALSO"))</f>
        <v>32.6249</v>
      </c>
    </row>
    <row r="205" hidden="1" customHeight="1" spans="1:7">
      <c r="A205" s="352" t="s">
        <v>14502</v>
      </c>
      <c r="B205" s="352" t="str">
        <f>IF(A205="","",VLOOKUP(A205,Materiais_Base!A:D,2,"FALSO"))</f>
        <v>Compensado resinado - E = 14 mm</v>
      </c>
      <c r="C205" s="353" t="str">
        <f>IF(A205="","",VLOOKUP(A205,Materiais_Base!A:D,3,"FALSO"))</f>
        <v>m²</v>
      </c>
      <c r="D205" s="354" t="s">
        <v>932</v>
      </c>
      <c r="E205" s="355" t="str">
        <f t="shared" si="7"/>
        <v/>
      </c>
      <c r="F205" s="354"/>
      <c r="G205" s="345" t="str">
        <f>IF(D205="","",VLOOKUP(A205,Materiais_Base!A:D,4,"FALSO"))</f>
        <v/>
      </c>
    </row>
    <row r="206" customHeight="1" spans="1:7">
      <c r="A206" s="352" t="s">
        <v>14503</v>
      </c>
      <c r="B206" s="352" t="str">
        <f>IF(A206="","",VLOOKUP(A206,Materiais_Base!A:D,2,"FALSO"))</f>
        <v>Compensado de virola - E = 6 mm</v>
      </c>
      <c r="C206" s="353" t="str">
        <f>IF(A206="","",VLOOKUP(A206,Materiais_Base!A:D,3,"FALSO"))</f>
        <v>m²</v>
      </c>
      <c r="D206" s="354">
        <v>28.125</v>
      </c>
      <c r="E206" s="355">
        <f t="shared" si="7"/>
        <v>28.125</v>
      </c>
      <c r="F206" s="354"/>
      <c r="G206" s="345">
        <f>IF(D206="","",VLOOKUP(A206,Materiais_Base!A:D,4,"FALSO"))</f>
        <v>28.125</v>
      </c>
    </row>
    <row r="207" hidden="1" customHeight="1" spans="1:7">
      <c r="A207" s="352" t="s">
        <v>14504</v>
      </c>
      <c r="B207" s="352" t="str">
        <f>IF(A207="","",VLOOKUP(A207,Materiais_Base!A:D,2,"FALSO"))</f>
        <v>Concreto usinado - fck = 20 MPa (comercial)</v>
      </c>
      <c r="C207" s="353" t="str">
        <f>IF(A207="","",VLOOKUP(A207,Materiais_Base!A:D,3,"FALSO"))</f>
        <v>m³</v>
      </c>
      <c r="D207" s="359" t="s">
        <v>932</v>
      </c>
      <c r="E207" s="355" t="str">
        <f t="shared" si="7"/>
        <v/>
      </c>
      <c r="F207" s="359"/>
      <c r="G207" s="345" t="str">
        <f>IF(D207="","",VLOOKUP(A207,Materiais_Base!A:D,4,"FALSO"))</f>
        <v/>
      </c>
    </row>
    <row r="208" hidden="1" customHeight="1" spans="1:7">
      <c r="A208" s="352" t="s">
        <v>14505</v>
      </c>
      <c r="B208" s="352" t="str">
        <f>IF(A208="","",VLOOKUP(A208,Materiais_Base!A:D,2,"FALSO"))</f>
        <v>Concreto usinado - fck = 25 MPa (comercial)</v>
      </c>
      <c r="C208" s="353" t="str">
        <f>IF(A208="","",VLOOKUP(A208,Materiais_Base!A:D,3,"FALSO"))</f>
        <v>m³</v>
      </c>
      <c r="D208" s="359" t="s">
        <v>932</v>
      </c>
      <c r="E208" s="355" t="str">
        <f t="shared" si="7"/>
        <v/>
      </c>
      <c r="F208" s="359"/>
      <c r="G208" s="345" t="str">
        <f>IF(D208="","",VLOOKUP(A208,Materiais_Base!A:D,4,"FALSO"))</f>
        <v/>
      </c>
    </row>
    <row r="209" hidden="1" customHeight="1" spans="1:7">
      <c r="A209" s="352" t="s">
        <v>14506</v>
      </c>
      <c r="B209" s="352" t="str">
        <f>IF(A209="","",VLOOKUP(A209,Materiais_Base!A:D,2,"FALSO"))</f>
        <v>Concreto usinado - fck = 30 MPa (comercial)</v>
      </c>
      <c r="C209" s="353" t="str">
        <f>IF(A209="","",VLOOKUP(A209,Materiais_Base!A:D,3,"FALSO"))</f>
        <v>m³</v>
      </c>
      <c r="D209" s="359" t="s">
        <v>932</v>
      </c>
      <c r="E209" s="355" t="str">
        <f t="shared" si="7"/>
        <v/>
      </c>
      <c r="F209" s="359"/>
      <c r="G209" s="345" t="str">
        <f>IF(D209="","",VLOOKUP(A209,Materiais_Base!A:D,4,"FALSO"))</f>
        <v/>
      </c>
    </row>
    <row r="210" hidden="1" customHeight="1" spans="1:7">
      <c r="A210" s="352" t="s">
        <v>14507</v>
      </c>
      <c r="B210" s="352" t="str">
        <f>IF(A210="","",VLOOKUP(A210,Materiais_Base!A:D,2,"FALSO"))</f>
        <v>Concreto usinado - fck = 35 MPa (comercial)</v>
      </c>
      <c r="C210" s="353" t="str">
        <f>IF(A210="","",VLOOKUP(A210,Materiais_Base!A:D,3,"FALSO"))</f>
        <v>m³</v>
      </c>
      <c r="D210" s="359" t="s">
        <v>932</v>
      </c>
      <c r="E210" s="355" t="str">
        <f t="shared" si="7"/>
        <v/>
      </c>
      <c r="F210" s="359"/>
      <c r="G210" s="345" t="str">
        <f>IF(D210="","",VLOOKUP(A210,Materiais_Base!A:D,4,"FALSO"))</f>
        <v/>
      </c>
    </row>
    <row r="211" hidden="1" customHeight="1" spans="1:7">
      <c r="A211" s="352" t="s">
        <v>14508</v>
      </c>
      <c r="B211" s="352" t="str">
        <f>IF(A211="","",VLOOKUP(A211,Materiais_Base!A:D,2,"FALSO"))</f>
        <v>Compensado plastificado - E = 14 mm</v>
      </c>
      <c r="C211" s="353" t="str">
        <f>IF(A211="","",VLOOKUP(A211,Materiais_Base!A:D,3,"FALSO"))</f>
        <v>m²</v>
      </c>
      <c r="D211" s="354" t="s">
        <v>932</v>
      </c>
      <c r="E211" s="355" t="str">
        <f t="shared" si="7"/>
        <v/>
      </c>
      <c r="F211" s="354"/>
      <c r="G211" s="345" t="str">
        <f>IF(D211="","",VLOOKUP(A211,Materiais_Base!A:D,4,"FALSO"))</f>
        <v/>
      </c>
    </row>
    <row r="212" hidden="1" customHeight="1" spans="1:7">
      <c r="A212" s="352" t="s">
        <v>14509</v>
      </c>
      <c r="B212" s="352" t="str">
        <f>IF(A212="","",VLOOKUP(A212,Materiais_Base!A:D,2,"FALSO"))</f>
        <v>Luva em aço para emenda tipo prensada - D = 20,0 mm</v>
      </c>
      <c r="C212" s="353" t="str">
        <f>IF(A212="","",VLOOKUP(A212,Materiais_Base!A:D,3,"FALSO"))</f>
        <v>un</v>
      </c>
      <c r="D212" s="354" t="s">
        <v>932</v>
      </c>
      <c r="E212" s="355" t="str">
        <f t="shared" si="7"/>
        <v/>
      </c>
      <c r="F212" s="354"/>
      <c r="G212" s="345" t="str">
        <f>IF(D212="","",VLOOKUP(A212,Materiais_Base!A:D,4,"FALSO"))</f>
        <v/>
      </c>
    </row>
    <row r="213" hidden="1" customHeight="1" spans="1:7">
      <c r="A213" s="352" t="s">
        <v>14510</v>
      </c>
      <c r="B213" s="352" t="str">
        <f>IF(A213="","",VLOOKUP(A213,Materiais_Base!A:D,2,"FALSO"))</f>
        <v>Luva em aço para emenda tipo prensada - D = 25,0 mm</v>
      </c>
      <c r="C213" s="353" t="str">
        <f>IF(A213="","",VLOOKUP(A213,Materiais_Base!A:D,3,"FALSO"))</f>
        <v>un</v>
      </c>
      <c r="D213" s="354" t="s">
        <v>932</v>
      </c>
      <c r="E213" s="355" t="str">
        <f t="shared" si="7"/>
        <v/>
      </c>
      <c r="F213" s="354"/>
      <c r="G213" s="345" t="str">
        <f>IF(D213="","",VLOOKUP(A213,Materiais_Base!A:D,4,"FALSO"))</f>
        <v/>
      </c>
    </row>
    <row r="214" hidden="1" customHeight="1" spans="1:7">
      <c r="A214" s="352" t="s">
        <v>14511</v>
      </c>
      <c r="B214" s="352" t="str">
        <f>IF(A214="","",VLOOKUP(A214,Materiais_Base!A:D,2,"FALSO"))</f>
        <v>Luva em aço para emenda tipo prensada - D = 32,0 mm</v>
      </c>
      <c r="C214" s="353" t="str">
        <f>IF(A214="","",VLOOKUP(A214,Materiais_Base!A:D,3,"FALSO"))</f>
        <v>un</v>
      </c>
      <c r="D214" s="354" t="s">
        <v>932</v>
      </c>
      <c r="E214" s="355" t="str">
        <f t="shared" si="7"/>
        <v/>
      </c>
      <c r="F214" s="354"/>
      <c r="G214" s="345" t="str">
        <f>IF(D214="","",VLOOKUP(A214,Materiais_Base!A:D,4,"FALSO"))</f>
        <v/>
      </c>
    </row>
    <row r="215" hidden="1" customHeight="1" spans="1:7">
      <c r="A215" s="352" t="s">
        <v>14512</v>
      </c>
      <c r="B215" s="352" t="str">
        <f>IF(A215="","",VLOOKUP(A215,Materiais_Base!A:D,2,"FALSO"))</f>
        <v>Luva em aço para emenda com rosca cônica - D = 12,5 mm</v>
      </c>
      <c r="C215" s="353" t="str">
        <f>IF(A215="","",VLOOKUP(A215,Materiais_Base!A:D,3,"FALSO"))</f>
        <v>un</v>
      </c>
      <c r="D215" s="354" t="s">
        <v>932</v>
      </c>
      <c r="E215" s="355" t="str">
        <f t="shared" si="7"/>
        <v/>
      </c>
      <c r="F215" s="354"/>
      <c r="G215" s="345" t="str">
        <f>IF(D215="","",VLOOKUP(A215,Materiais_Base!A:D,4,"FALSO"))</f>
        <v/>
      </c>
    </row>
    <row r="216" hidden="1" customHeight="1" spans="1:7">
      <c r="A216" s="352" t="s">
        <v>14513</v>
      </c>
      <c r="B216" s="352" t="str">
        <f>IF(A216="","",VLOOKUP(A216,Materiais_Base!A:D,2,"FALSO"))</f>
        <v>Luva em aço para emenda com rosca cônica - D = 16,0 mm</v>
      </c>
      <c r="C216" s="353" t="str">
        <f>IF(A216="","",VLOOKUP(A216,Materiais_Base!A:D,3,"FALSO"))</f>
        <v>un</v>
      </c>
      <c r="D216" s="354" t="s">
        <v>932</v>
      </c>
      <c r="E216" s="355" t="str">
        <f t="shared" si="7"/>
        <v/>
      </c>
      <c r="F216" s="354"/>
      <c r="G216" s="345" t="str">
        <f>IF(D216="","",VLOOKUP(A216,Materiais_Base!A:D,4,"FALSO"))</f>
        <v/>
      </c>
    </row>
    <row r="217" hidden="1" customHeight="1" spans="1:7">
      <c r="A217" s="352" t="s">
        <v>14514</v>
      </c>
      <c r="B217" s="352" t="str">
        <f>IF(A217="","",VLOOKUP(A217,Materiais_Base!A:D,2,"FALSO"))</f>
        <v>Luva em aço para emenda com rosca cônica - D = 20,0 mm</v>
      </c>
      <c r="C217" s="353" t="str">
        <f>IF(A217="","",VLOOKUP(A217,Materiais_Base!A:D,3,"FALSO"))</f>
        <v>un</v>
      </c>
      <c r="D217" s="354" t="s">
        <v>932</v>
      </c>
      <c r="E217" s="355" t="str">
        <f t="shared" si="7"/>
        <v/>
      </c>
      <c r="F217" s="354"/>
      <c r="G217" s="345" t="str">
        <f>IF(D217="","",VLOOKUP(A217,Materiais_Base!A:D,4,"FALSO"))</f>
        <v/>
      </c>
    </row>
    <row r="218" hidden="1" customHeight="1" spans="1:7">
      <c r="A218" s="352" t="s">
        <v>14515</v>
      </c>
      <c r="B218" s="352" t="str">
        <f>IF(A218="","",VLOOKUP(A218,Materiais_Base!A:D,2,"FALSO"))</f>
        <v>Luva em aço para emenda com rosca cônica - D = 25,0 mm</v>
      </c>
      <c r="C218" s="353" t="str">
        <f>IF(A218="","",VLOOKUP(A218,Materiais_Base!A:D,3,"FALSO"))</f>
        <v>un</v>
      </c>
      <c r="D218" s="354" t="s">
        <v>932</v>
      </c>
      <c r="E218" s="355" t="str">
        <f t="shared" si="7"/>
        <v/>
      </c>
      <c r="F218" s="354"/>
      <c r="G218" s="345" t="str">
        <f>IF(D218="","",VLOOKUP(A218,Materiais_Base!A:D,4,"FALSO"))</f>
        <v/>
      </c>
    </row>
    <row r="219" hidden="1" customHeight="1" spans="1:7">
      <c r="A219" s="352" t="s">
        <v>14516</v>
      </c>
      <c r="B219" s="352" t="str">
        <f>IF(A219="","",VLOOKUP(A219,Materiais_Base!A:D,2,"FALSO"))</f>
        <v>Luva em aço para emenda com rosca cônica - D = 32,0 mm</v>
      </c>
      <c r="C219" s="353" t="str">
        <f>IF(A219="","",VLOOKUP(A219,Materiais_Base!A:D,3,"FALSO"))</f>
        <v>un</v>
      </c>
      <c r="D219" s="354" t="s">
        <v>932</v>
      </c>
      <c r="E219" s="355" t="str">
        <f t="shared" si="7"/>
        <v/>
      </c>
      <c r="F219" s="354"/>
      <c r="G219" s="345" t="str">
        <f>IF(D219="","",VLOOKUP(A219,Materiais_Base!A:D,4,"FALSO"))</f>
        <v/>
      </c>
    </row>
    <row r="220" hidden="1" customHeight="1" spans="1:7">
      <c r="A220" s="352" t="s">
        <v>14517</v>
      </c>
      <c r="B220" s="352" t="str">
        <f>IF(A220="","",VLOOKUP(A220,Materiais_Base!A:D,2,"FALSO"))</f>
        <v>Broca de widia - D = 8 mm e C = 120 mm</v>
      </c>
      <c r="C220" s="353" t="str">
        <f>IF(A220="","",VLOOKUP(A220,Materiais_Base!A:D,3,"FALSO"))</f>
        <v>un</v>
      </c>
      <c r="D220" s="354" t="s">
        <v>932</v>
      </c>
      <c r="E220" s="355" t="str">
        <f t="shared" si="7"/>
        <v/>
      </c>
      <c r="F220" s="354"/>
      <c r="G220" s="345" t="str">
        <f>IF(D220="","",VLOOKUP(A220,Materiais_Base!A:D,4,"FALSO"))</f>
        <v/>
      </c>
    </row>
    <row r="221" hidden="1" customHeight="1" spans="1:7">
      <c r="A221" s="352" t="s">
        <v>14518</v>
      </c>
      <c r="B221" s="352" t="str">
        <f>IF(A221="","",VLOOKUP(A221,Materiais_Base!A:D,2,"FALSO"))</f>
        <v>Abrasivo tipo granalha de aço</v>
      </c>
      <c r="C221" s="353" t="str">
        <f>IF(A221="","",VLOOKUP(A221,Materiais_Base!A:D,3,"FALSO"))</f>
        <v>kg</v>
      </c>
      <c r="D221" s="354" t="s">
        <v>932</v>
      </c>
      <c r="E221" s="355" t="str">
        <f t="shared" si="7"/>
        <v/>
      </c>
      <c r="F221" s="354"/>
      <c r="G221" s="345" t="str">
        <f>IF(D221="","",VLOOKUP(A221,Materiais_Base!A:D,4,"FALSO"))</f>
        <v/>
      </c>
    </row>
    <row r="222" hidden="1" customHeight="1" spans="1:7">
      <c r="A222" s="352" t="s">
        <v>14519</v>
      </c>
      <c r="B222" s="352" t="str">
        <f>IF(A222="","",VLOOKUP(A222,Materiais_Base!A:D,2,"FALSO"))</f>
        <v>Bico venturi longo - D = 7,9 mm (5/16")</v>
      </c>
      <c r="C222" s="353" t="str">
        <f>IF(A222="","",VLOOKUP(A222,Materiais_Base!A:D,3,"FALSO"))</f>
        <v>un</v>
      </c>
      <c r="D222" s="354" t="s">
        <v>932</v>
      </c>
      <c r="E222" s="355" t="str">
        <f t="shared" si="7"/>
        <v/>
      </c>
      <c r="F222" s="354"/>
      <c r="G222" s="345" t="str">
        <f>IF(D222="","",VLOOKUP(A222,Materiais_Base!A:D,4,"FALSO"))</f>
        <v/>
      </c>
    </row>
    <row r="223" hidden="1" customHeight="1" spans="1:7">
      <c r="A223" s="352" t="s">
        <v>14520</v>
      </c>
      <c r="B223" s="352" t="str">
        <f>IF(A223="","",VLOOKUP(A223,Materiais_Base!A:D,2,"FALSO"))</f>
        <v>Laminado elastoplástico - E = 1,5 mm</v>
      </c>
      <c r="C223" s="353" t="str">
        <f>IF(A223="","",VLOOKUP(A223,Materiais_Base!A:D,3,"FALSO"))</f>
        <v>m²</v>
      </c>
      <c r="D223" s="354" t="s">
        <v>932</v>
      </c>
      <c r="E223" s="355" t="str">
        <f t="shared" si="7"/>
        <v/>
      </c>
      <c r="F223" s="354"/>
      <c r="G223" s="345" t="str">
        <f>IF(D223="","",VLOOKUP(A223,Materiais_Base!A:D,4,"FALSO"))</f>
        <v/>
      </c>
    </row>
    <row r="224" hidden="1" customHeight="1" spans="1:7">
      <c r="A224" s="352" t="s">
        <v>14521</v>
      </c>
      <c r="B224" s="352" t="str">
        <f>IF(A224="","",VLOOKUP(A224,Materiais_Base!A:D,2,"FALSO"))</f>
        <v>Escora tubular galvanizada regulável telescópica para tunnel liner - L = 2,42 a 4,00 m e capacidade de 1.750 a 625 kg</v>
      </c>
      <c r="C224" s="353" t="str">
        <f>IF(A224="","",VLOOKUP(A224,Materiais_Base!A:D,3,"FALSO"))</f>
        <v>kg</v>
      </c>
      <c r="D224" s="354" t="s">
        <v>932</v>
      </c>
      <c r="E224" s="355" t="str">
        <f t="shared" si="7"/>
        <v/>
      </c>
      <c r="F224" s="354"/>
      <c r="G224" s="345" t="str">
        <f>IF(D224="","",VLOOKUP(A224,Materiais_Base!A:D,4,"FALSO"))</f>
        <v/>
      </c>
    </row>
    <row r="225" hidden="1" customHeight="1" spans="1:7">
      <c r="A225" s="352" t="s">
        <v>14522</v>
      </c>
      <c r="B225" s="352" t="str">
        <f>IF(A225="","",VLOOKUP(A225,Materiais_Base!A:D,2,"FALSO"))</f>
        <v>Escora tubular galvanizada regulável - L = 3,00 a 4,50 m e capacidade de 2.100 a 750 kg</v>
      </c>
      <c r="C225" s="353" t="str">
        <f>IF(A225="","",VLOOKUP(A225,Materiais_Base!A:D,3,"FALSO"))</f>
        <v>un</v>
      </c>
      <c r="D225" s="354" t="s">
        <v>932</v>
      </c>
      <c r="E225" s="355" t="str">
        <f t="shared" si="7"/>
        <v/>
      </c>
      <c r="F225" s="354"/>
      <c r="G225" s="345" t="str">
        <f>IF(D225="","",VLOOKUP(A225,Materiais_Base!A:D,4,"FALSO"))</f>
        <v/>
      </c>
    </row>
    <row r="226" hidden="1" customHeight="1" spans="1:7">
      <c r="A226" s="352" t="s">
        <v>14523</v>
      </c>
      <c r="B226" s="352" t="str">
        <f>IF(A226="","",VLOOKUP(A226,Materiais_Base!A:D,2,"FALSO"))</f>
        <v>Escora tubular galvanizada regulável - L = 2,00 a 3,10 m e capacidade de 3.200 a 1.500 kg</v>
      </c>
      <c r="C226" s="353" t="str">
        <f>IF(A226="","",VLOOKUP(A226,Materiais_Base!A:D,3,"FALSO"))</f>
        <v>un</v>
      </c>
      <c r="D226" s="354" t="s">
        <v>932</v>
      </c>
      <c r="E226" s="355" t="str">
        <f t="shared" si="7"/>
        <v/>
      </c>
      <c r="F226" s="354"/>
      <c r="G226" s="345" t="str">
        <f>IF(D226="","",VLOOKUP(A226,Materiais_Base!A:D,4,"FALSO"))</f>
        <v/>
      </c>
    </row>
    <row r="227" hidden="1" customHeight="1" spans="1:7">
      <c r="A227" s="352" t="s">
        <v>14524</v>
      </c>
      <c r="B227" s="352" t="str">
        <f>IF(A227="","",VLOOKUP(A227,Materiais_Base!A:D,2,"FALSO"))</f>
        <v>Quadro tubular contraventado com acessórios - C = 1,00 m, L = 1,00 m e H = 1,25 m</v>
      </c>
      <c r="C227" s="353" t="str">
        <f>IF(A227="","",VLOOKUP(A227,Materiais_Base!A:D,3,"FALSO"))</f>
        <v>un</v>
      </c>
      <c r="D227" s="354" t="s">
        <v>932</v>
      </c>
      <c r="E227" s="355" t="str">
        <f t="shared" si="7"/>
        <v/>
      </c>
      <c r="F227" s="354"/>
      <c r="G227" s="345" t="str">
        <f>IF(D227="","",VLOOKUP(A227,Materiais_Base!A:D,4,"FALSO"))</f>
        <v/>
      </c>
    </row>
    <row r="228" customHeight="1" spans="1:7">
      <c r="A228" s="352" t="s">
        <v>14253</v>
      </c>
      <c r="B228" s="352" t="str">
        <f>IF(A228="","",VLOOKUP(A228,Materiais_Base!A:D,2,"FALSO"))</f>
        <v>Sapata ajustável para andaime - base quadrada de 15 x 15 cm</v>
      </c>
      <c r="C228" s="353" t="str">
        <f>IF(A228="","",VLOOKUP(A228,Materiais_Base!A:D,3,"FALSO"))</f>
        <v>un</v>
      </c>
      <c r="D228" s="354">
        <v>97.4055</v>
      </c>
      <c r="E228" s="355">
        <f t="shared" si="7"/>
        <v>97.4055</v>
      </c>
      <c r="F228" s="354"/>
      <c r="G228" s="345">
        <f>IF(D228="","",VLOOKUP(A228,Materiais_Base!A:D,4,"FALSO"))</f>
        <v>97.4055</v>
      </c>
    </row>
    <row r="229" customHeight="1" spans="1:7">
      <c r="A229" s="352" t="s">
        <v>14245</v>
      </c>
      <c r="B229" s="352" t="str">
        <f>IF(A229="","",VLOOKUP(A229,Materiais_Base!A:D,2,"FALSO"))</f>
        <v>Escada metálica tipo marinheiro para andaime</v>
      </c>
      <c r="C229" s="353" t="str">
        <f>IF(A229="","",VLOOKUP(A229,Materiais_Base!A:D,3,"FALSO"))</f>
        <v>m</v>
      </c>
      <c r="D229" s="354">
        <v>202.7678</v>
      </c>
      <c r="E229" s="355">
        <f t="shared" si="7"/>
        <v>202.7678</v>
      </c>
      <c r="F229" s="354"/>
      <c r="G229" s="345">
        <f>IF(D229="","",VLOOKUP(A229,Materiais_Base!A:D,4,"FALSO"))</f>
        <v>202.7678</v>
      </c>
    </row>
    <row r="230" customHeight="1" spans="1:7">
      <c r="A230" s="352" t="s">
        <v>14249</v>
      </c>
      <c r="B230" s="352" t="str">
        <f>IF(A230="","",VLOOKUP(A230,Materiais_Base!A:D,2,"FALSO"))</f>
        <v>Quadro tubular contraventado para andaime - H = 100 cm e L = 150 cm</v>
      </c>
      <c r="C230" s="353" t="str">
        <f>IF(A230="","",VLOOKUP(A230,Materiais_Base!A:D,3,"FALSO"))</f>
        <v>un</v>
      </c>
      <c r="D230" s="354">
        <v>223.6073</v>
      </c>
      <c r="E230" s="355">
        <f t="shared" si="7"/>
        <v>223.6073</v>
      </c>
      <c r="F230" s="354"/>
      <c r="G230" s="345">
        <f>IF(D230="","",VLOOKUP(A230,Materiais_Base!A:D,4,"FALSO"))</f>
        <v>223.6073</v>
      </c>
    </row>
    <row r="231" customHeight="1" spans="1:7">
      <c r="A231" s="352" t="s">
        <v>14243</v>
      </c>
      <c r="B231" s="352" t="str">
        <f>IF(A231="","",VLOOKUP(A231,Materiais_Base!A:D,2,"FALSO"))</f>
        <v>Diagonal tubular para andaime - C = 212 cm</v>
      </c>
      <c r="C231" s="353" t="str">
        <f>IF(A231="","",VLOOKUP(A231,Materiais_Base!A:D,3,"FALSO"))</f>
        <v>un</v>
      </c>
      <c r="D231" s="354">
        <v>71.4413</v>
      </c>
      <c r="E231" s="355">
        <f t="shared" si="7"/>
        <v>71.4413</v>
      </c>
      <c r="F231" s="354"/>
      <c r="G231" s="345">
        <f>IF(D231="","",VLOOKUP(A231,Materiais_Base!A:D,4,"FALSO"))</f>
        <v>71.4413</v>
      </c>
    </row>
    <row r="232" customHeight="1" spans="1:7">
      <c r="A232" s="352" t="s">
        <v>14247</v>
      </c>
      <c r="B232" s="352" t="str">
        <f>IF(A232="","",VLOOKUP(A232,Materiais_Base!A:D,2,"FALSO"))</f>
        <v>Plataforma metálica de piso para andaime - C = 150 e L = 37 cm</v>
      </c>
      <c r="C232" s="353" t="str">
        <f>IF(A232="","",VLOOKUP(A232,Materiais_Base!A:D,3,"FALSO"))</f>
        <v>un</v>
      </c>
      <c r="D232" s="354">
        <v>233.7258</v>
      </c>
      <c r="E232" s="355">
        <f t="shared" si="7"/>
        <v>233.7258</v>
      </c>
      <c r="F232" s="354"/>
      <c r="G232" s="345">
        <f>IF(D232="","",VLOOKUP(A232,Materiais_Base!A:D,4,"FALSO"))</f>
        <v>233.7258</v>
      </c>
    </row>
    <row r="233" customHeight="1" spans="1:7">
      <c r="A233" s="352" t="s">
        <v>14251</v>
      </c>
      <c r="B233" s="352" t="str">
        <f>IF(A233="","",VLOOKUP(A233,Materiais_Base!A:D,2,"FALSO"))</f>
        <v>Quadro tubular tipo guarda-corpo com acessórios para andaime - H = 120 cm e L = 150 cm</v>
      </c>
      <c r="C233" s="353" t="str">
        <f>IF(A233="","",VLOOKUP(A233,Materiais_Base!A:D,3,"FALSO"))</f>
        <v>un</v>
      </c>
      <c r="D233" s="354">
        <v>323.5624</v>
      </c>
      <c r="E233" s="355">
        <f t="shared" si="7"/>
        <v>323.5624</v>
      </c>
      <c r="F233" s="354"/>
      <c r="G233" s="345">
        <f>IF(D233="","",VLOOKUP(A233,Materiais_Base!A:D,4,"FALSO"))</f>
        <v>323.5624</v>
      </c>
    </row>
    <row r="234" customHeight="1" spans="1:7">
      <c r="A234" s="352" t="s">
        <v>14232</v>
      </c>
      <c r="B234" s="352" t="str">
        <f>IF(A234="","",VLOOKUP(A234,Materiais_Base!A:D,2,"FALSO"))</f>
        <v>Desmoldante para fôrmas de madeira</v>
      </c>
      <c r="C234" s="353" t="str">
        <f>IF(A234="","",VLOOKUP(A234,Materiais_Base!A:D,3,"FALSO"))</f>
        <v>l</v>
      </c>
      <c r="D234" s="354">
        <v>12.7534</v>
      </c>
      <c r="E234" s="355">
        <f t="shared" si="7"/>
        <v>12.7534</v>
      </c>
      <c r="F234" s="354"/>
      <c r="G234" s="345">
        <f>IF(D234="","",VLOOKUP(A234,Materiais_Base!A:D,4,"FALSO"))</f>
        <v>12.7534</v>
      </c>
    </row>
    <row r="235" customHeight="1" spans="1:7">
      <c r="A235" s="352" t="s">
        <v>14525</v>
      </c>
      <c r="B235" s="352" t="str">
        <f>IF(A235="","",VLOOKUP(A235,Materiais_Base!A:D,2,"FALSO"))</f>
        <v>Ponteiro para martelete - D = 32 mm e C = 1,00 m</v>
      </c>
      <c r="C235" s="353" t="str">
        <f>IF(A235="","",VLOOKUP(A235,Materiais_Base!A:D,3,"FALSO"))</f>
        <v>un</v>
      </c>
      <c r="D235" s="354">
        <v>857.4517</v>
      </c>
      <c r="E235" s="355">
        <f t="shared" si="7"/>
        <v>857.4517</v>
      </c>
      <c r="F235" s="354"/>
      <c r="G235" s="345">
        <f>IF(D235="","",VLOOKUP(A235,Materiais_Base!A:D,4,"FALSO"))</f>
        <v>857.4517</v>
      </c>
    </row>
    <row r="236" customHeight="1" spans="1:7">
      <c r="A236" s="352" t="s">
        <v>14526</v>
      </c>
      <c r="B236" s="352" t="str">
        <f>IF(A236="","",VLOOKUP(A236,Materiais_Base!A:D,2,"FALSO"))</f>
        <v>Ponteiro para rompedor hidráulico de 520 kg</v>
      </c>
      <c r="C236" s="353" t="str">
        <f>IF(A236="","",VLOOKUP(A236,Materiais_Base!A:D,3,"FALSO"))</f>
        <v>un</v>
      </c>
      <c r="D236" s="354">
        <v>6328.0987</v>
      </c>
      <c r="E236" s="355">
        <f t="shared" si="7"/>
        <v>6328.0987</v>
      </c>
      <c r="F236" s="354"/>
      <c r="G236" s="345">
        <f>IF(D236="","",VLOOKUP(A236,Materiais_Base!A:D,4,"FALSO"))</f>
        <v>6328.0987</v>
      </c>
    </row>
    <row r="237" hidden="1" customHeight="1" spans="1:7">
      <c r="A237" s="352" t="s">
        <v>14527</v>
      </c>
      <c r="B237" s="352" t="str">
        <f>IF(A237="","",VLOOKUP(A237,Materiais_Base!A:D,2,"FALSO"))</f>
        <v>Concreto usinado - fctM,k = 4,5 MPa (comercial)</v>
      </c>
      <c r="C237" s="353" t="str">
        <f>IF(A237="","",VLOOKUP(A237,Materiais_Base!A:D,3,"FALSO"))</f>
        <v>m³</v>
      </c>
      <c r="D237" s="354" t="s">
        <v>932</v>
      </c>
      <c r="E237" s="355" t="str">
        <f t="shared" si="7"/>
        <v/>
      </c>
      <c r="F237" s="354"/>
      <c r="G237" s="345" t="str">
        <f>IF(D237="","",VLOOKUP(A237,Materiais_Base!A:D,4,"FALSO"))</f>
        <v/>
      </c>
    </row>
    <row r="238" hidden="1" customHeight="1" spans="1:7">
      <c r="A238" s="352" t="s">
        <v>14528</v>
      </c>
      <c r="B238" s="352" t="str">
        <f>IF(A238="","",VLOOKUP(A238,Materiais_Base!A:D,2,"FALSO"))</f>
        <v>Aditivo incorporador de ar para concreto e argamassa</v>
      </c>
      <c r="C238" s="353" t="str">
        <f>IF(A238="","",VLOOKUP(A238,Materiais_Base!A:D,3,"FALSO"))</f>
        <v>kg</v>
      </c>
      <c r="D238" s="354" t="s">
        <v>932</v>
      </c>
      <c r="E238" s="355" t="str">
        <f t="shared" si="7"/>
        <v/>
      </c>
      <c r="F238" s="354"/>
      <c r="G238" s="345" t="str">
        <f>IF(D238="","",VLOOKUP(A238,Materiais_Base!A:D,4,"FALSO"))</f>
        <v/>
      </c>
    </row>
    <row r="239" hidden="1" customHeight="1" spans="1:7">
      <c r="A239" s="352" t="s">
        <v>14529</v>
      </c>
      <c r="B239" s="352" t="str">
        <f>IF(A239="","",VLOOKUP(A239,Materiais_Base!A:D,2,"FALSO"))</f>
        <v>Estaca pré-moldada de concreto protendido com compressão admissível de 100 t</v>
      </c>
      <c r="C239" s="353" t="str">
        <f>IF(A239="","",VLOOKUP(A239,Materiais_Base!A:D,3,"FALSO"))</f>
        <v>m</v>
      </c>
      <c r="D239" s="354" t="s">
        <v>932</v>
      </c>
      <c r="E239" s="355" t="str">
        <f t="shared" si="7"/>
        <v/>
      </c>
      <c r="F239" s="354"/>
      <c r="G239" s="345" t="str">
        <f>IF(D239="","",VLOOKUP(A239,Materiais_Base!A:D,4,"FALSO"))</f>
        <v/>
      </c>
    </row>
    <row r="240" hidden="1" customHeight="1" spans="1:7">
      <c r="A240" s="352" t="s">
        <v>14530</v>
      </c>
      <c r="B240" s="352" t="str">
        <f>IF(A240="","",VLOOKUP(A240,Materiais_Base!A:D,2,"FALSO"))</f>
        <v>Estaca pré-moldada de concreto protendido com compressão admissível de 25 t</v>
      </c>
      <c r="C240" s="353" t="str">
        <f>IF(A240="","",VLOOKUP(A240,Materiais_Base!A:D,3,"FALSO"))</f>
        <v>m</v>
      </c>
      <c r="D240" s="354" t="s">
        <v>932</v>
      </c>
      <c r="E240" s="355" t="str">
        <f t="shared" si="7"/>
        <v/>
      </c>
      <c r="F240" s="354"/>
      <c r="G240" s="345" t="str">
        <f>IF(D240="","",VLOOKUP(A240,Materiais_Base!A:D,4,"FALSO"))</f>
        <v/>
      </c>
    </row>
    <row r="241" hidden="1" customHeight="1" spans="1:7">
      <c r="A241" s="352" t="s">
        <v>14531</v>
      </c>
      <c r="B241" s="352" t="str">
        <f>IF(A241="","",VLOOKUP(A241,Materiais_Base!A:D,2,"FALSO"))</f>
        <v>Estaca pré-moldada de concreto protendido com compressão admissível de 35 t</v>
      </c>
      <c r="C241" s="353" t="str">
        <f>IF(A241="","",VLOOKUP(A241,Materiais_Base!A:D,3,"FALSO"))</f>
        <v>m</v>
      </c>
      <c r="D241" s="354" t="s">
        <v>932</v>
      </c>
      <c r="E241" s="355" t="str">
        <f t="shared" si="7"/>
        <v/>
      </c>
      <c r="F241" s="354"/>
      <c r="G241" s="345" t="str">
        <f>IF(D241="","",VLOOKUP(A241,Materiais_Base!A:D,4,"FALSO"))</f>
        <v/>
      </c>
    </row>
    <row r="242" hidden="1" customHeight="1" spans="1:7">
      <c r="A242" s="352" t="s">
        <v>14532</v>
      </c>
      <c r="B242" s="352" t="str">
        <f>IF(A242="","",VLOOKUP(A242,Materiais_Base!A:D,2,"FALSO"))</f>
        <v>Estaca pré-moldada de concreto protendido com compressão admissível de 60 t</v>
      </c>
      <c r="C242" s="353" t="str">
        <f>IF(A242="","",VLOOKUP(A242,Materiais_Base!A:D,3,"FALSO"))</f>
        <v>m</v>
      </c>
      <c r="D242" s="354" t="s">
        <v>932</v>
      </c>
      <c r="E242" s="355" t="str">
        <f t="shared" si="7"/>
        <v/>
      </c>
      <c r="F242" s="354"/>
      <c r="G242" s="345" t="str">
        <f>IF(D242="","",VLOOKUP(A242,Materiais_Base!A:D,4,"FALSO"))</f>
        <v/>
      </c>
    </row>
    <row r="243" hidden="1" customHeight="1" spans="1:7">
      <c r="A243" s="352" t="s">
        <v>14533</v>
      </c>
      <c r="B243" s="352" t="str">
        <f>IF(A243="","",VLOOKUP(A243,Materiais_Base!A:D,2,"FALSO"))</f>
        <v>Estaca pré-moldada de concreto protendido com compressão admissível de 75 t</v>
      </c>
      <c r="C243" s="353" t="str">
        <f>IF(A243="","",VLOOKUP(A243,Materiais_Base!A:D,3,"FALSO"))</f>
        <v>m</v>
      </c>
      <c r="D243" s="354" t="s">
        <v>932</v>
      </c>
      <c r="E243" s="355" t="str">
        <f t="shared" si="7"/>
        <v/>
      </c>
      <c r="F243" s="354"/>
      <c r="G243" s="345" t="str">
        <f>IF(D243="","",VLOOKUP(A243,Materiais_Base!A:D,4,"FALSO"))</f>
        <v/>
      </c>
    </row>
    <row r="244" hidden="1" customHeight="1" spans="1:7">
      <c r="A244" s="352" t="s">
        <v>14534</v>
      </c>
      <c r="B244" s="352" t="str">
        <f>IF(A244="","",VLOOKUP(A244,Materiais_Base!A:D,2,"FALSO"))</f>
        <v>Martelo de fundo DTH - DN = 76 mm (3")</v>
      </c>
      <c r="C244" s="353" t="str">
        <f>IF(A244="","",VLOOKUP(A244,Materiais_Base!A:D,3,"FALSO"))</f>
        <v>un</v>
      </c>
      <c r="D244" s="354" t="s">
        <v>932</v>
      </c>
      <c r="E244" s="355" t="str">
        <f t="shared" si="7"/>
        <v/>
      </c>
      <c r="F244" s="354"/>
      <c r="G244" s="345" t="str">
        <f>IF(D244="","",VLOOKUP(A244,Materiais_Base!A:D,4,"FALSO"))</f>
        <v/>
      </c>
    </row>
    <row r="245" hidden="1" customHeight="1" spans="1:7">
      <c r="A245" s="352" t="s">
        <v>14535</v>
      </c>
      <c r="B245" s="352" t="str">
        <f>IF(A245="","",VLOOKUP(A245,Materiais_Base!A:D,2,"FALSO"))</f>
        <v>Martelo de fundo DTH - DN = 127 mm (5")</v>
      </c>
      <c r="C245" s="353" t="str">
        <f>IF(A245="","",VLOOKUP(A245,Materiais_Base!A:D,3,"FALSO"))</f>
        <v>un</v>
      </c>
      <c r="D245" s="354" t="s">
        <v>932</v>
      </c>
      <c r="E245" s="355" t="str">
        <f t="shared" si="7"/>
        <v/>
      </c>
      <c r="F245" s="354"/>
      <c r="G245" s="345" t="str">
        <f>IF(D245="","",VLOOKUP(A245,Materiais_Base!A:D,4,"FALSO"))</f>
        <v/>
      </c>
    </row>
    <row r="246" hidden="1" customHeight="1" spans="1:7">
      <c r="A246" s="352" t="s">
        <v>14536</v>
      </c>
      <c r="B246" s="352" t="str">
        <f>IF(A246="","",VLOOKUP(A246,Materiais_Base!A:D,2,"FALSO"))</f>
        <v>Martelo de fundo DTH - DN = 152 mm (6")</v>
      </c>
      <c r="C246" s="353" t="str">
        <f>IF(A246="","",VLOOKUP(A246,Materiais_Base!A:D,3,"FALSO"))</f>
        <v>un</v>
      </c>
      <c r="D246" s="354" t="s">
        <v>932</v>
      </c>
      <c r="E246" s="355" t="str">
        <f t="shared" si="7"/>
        <v/>
      </c>
      <c r="F246" s="354"/>
      <c r="G246" s="345" t="str">
        <f>IF(D246="","",VLOOKUP(A246,Materiais_Base!A:D,4,"FALSO"))</f>
        <v/>
      </c>
    </row>
    <row r="247" hidden="1" customHeight="1" spans="1:7">
      <c r="A247" s="352" t="s">
        <v>14537</v>
      </c>
      <c r="B247" s="352" t="str">
        <f>IF(A247="","",VLOOKUP(A247,Materiais_Base!A:D,2,"FALSO"))</f>
        <v>Martelo de fundo DTH - DN = 203 mm (8")</v>
      </c>
      <c r="C247" s="353" t="str">
        <f>IF(A247="","",VLOOKUP(A247,Materiais_Base!A:D,3,"FALSO"))</f>
        <v>un</v>
      </c>
      <c r="D247" s="354" t="s">
        <v>932</v>
      </c>
      <c r="E247" s="355" t="str">
        <f t="shared" si="7"/>
        <v/>
      </c>
      <c r="F247" s="354"/>
      <c r="G247" s="345" t="str">
        <f>IF(D247="","",VLOOKUP(A247,Materiais_Base!A:D,4,"FALSO"))</f>
        <v/>
      </c>
    </row>
    <row r="248" hidden="1" customHeight="1" spans="1:7">
      <c r="A248" s="352" t="s">
        <v>14538</v>
      </c>
      <c r="B248" s="352" t="str">
        <f>IF(A248="","",VLOOKUP(A248,Materiais_Base!A:D,2,"FALSO"))</f>
        <v>Estaca pré-moldada de concreto armado centrifugado com compressão admissível de 55 t</v>
      </c>
      <c r="C248" s="353" t="str">
        <f>IF(A248="","",VLOOKUP(A248,Materiais_Base!A:D,3,"FALSO"))</f>
        <v>m</v>
      </c>
      <c r="D248" s="354" t="s">
        <v>932</v>
      </c>
      <c r="E248" s="355" t="str">
        <f t="shared" si="7"/>
        <v/>
      </c>
      <c r="F248" s="354"/>
      <c r="G248" s="345" t="str">
        <f>IF(D248="","",VLOOKUP(A248,Materiais_Base!A:D,4,"FALSO"))</f>
        <v/>
      </c>
    </row>
    <row r="249" hidden="1" customHeight="1" spans="1:7">
      <c r="A249" s="352" t="s">
        <v>14539</v>
      </c>
      <c r="B249" s="352" t="str">
        <f>IF(A249="","",VLOOKUP(A249,Materiais_Base!A:D,2,"FALSO"))</f>
        <v>Estaca pré-moldada de concreto armado centrifugado com compressão admissível de 80 t</v>
      </c>
      <c r="C249" s="353" t="str">
        <f>IF(A249="","",VLOOKUP(A249,Materiais_Base!A:D,3,"FALSO"))</f>
        <v>m</v>
      </c>
      <c r="D249" s="354" t="s">
        <v>932</v>
      </c>
      <c r="E249" s="355" t="str">
        <f t="shared" si="7"/>
        <v/>
      </c>
      <c r="F249" s="354"/>
      <c r="G249" s="345" t="str">
        <f>IF(D249="","",VLOOKUP(A249,Materiais_Base!A:D,4,"FALSO"))</f>
        <v/>
      </c>
    </row>
    <row r="250" hidden="1" customHeight="1" spans="1:7">
      <c r="A250" s="352" t="s">
        <v>14540</v>
      </c>
      <c r="B250" s="352" t="str">
        <f>IF(A250="","",VLOOKUP(A250,Materiais_Base!A:D,2,"FALSO"))</f>
        <v>Aço em perfis ASTM A36</v>
      </c>
      <c r="C250" s="353" t="str">
        <f>IF(A250="","",VLOOKUP(A250,Materiais_Base!A:D,3,"FALSO"))</f>
        <v>kg</v>
      </c>
      <c r="D250" s="354" t="s">
        <v>932</v>
      </c>
      <c r="E250" s="355" t="str">
        <f t="shared" si="7"/>
        <v/>
      </c>
      <c r="F250" s="354"/>
      <c r="G250" s="345" t="str">
        <f>IF(D250="","",VLOOKUP(A250,Materiais_Base!A:D,4,"FALSO"))</f>
        <v/>
      </c>
    </row>
    <row r="251" hidden="1" customHeight="1" spans="1:7">
      <c r="A251" s="352" t="s">
        <v>14541</v>
      </c>
      <c r="B251" s="352" t="str">
        <f>IF(A251="","",VLOOKUP(A251,Materiais_Base!A:D,2,"FALSO"))</f>
        <v>Estaca pré-moldada de concreto armado centrifugado com compressão admissível de 100 t</v>
      </c>
      <c r="C251" s="353" t="str">
        <f>IF(A251="","",VLOOKUP(A251,Materiais_Base!A:D,3,"FALSO"))</f>
        <v>m</v>
      </c>
      <c r="D251" s="354" t="s">
        <v>932</v>
      </c>
      <c r="E251" s="355" t="str">
        <f t="shared" si="7"/>
        <v/>
      </c>
      <c r="F251" s="354"/>
      <c r="G251" s="345" t="str">
        <f>IF(D251="","",VLOOKUP(A251,Materiais_Base!A:D,4,"FALSO"))</f>
        <v/>
      </c>
    </row>
    <row r="252" hidden="1" customHeight="1" spans="1:7">
      <c r="A252" s="352" t="s">
        <v>14542</v>
      </c>
      <c r="B252" s="352" t="str">
        <f>IF(A252="","",VLOOKUP(A252,Materiais_Base!A:D,2,"FALSO"))</f>
        <v>Diluente epóxi</v>
      </c>
      <c r="C252" s="353" t="str">
        <f>IF(A252="","",VLOOKUP(A252,Materiais_Base!A:D,3,"FALSO"))</f>
        <v>l</v>
      </c>
      <c r="D252" s="354" t="s">
        <v>932</v>
      </c>
      <c r="E252" s="355" t="str">
        <f t="shared" si="7"/>
        <v/>
      </c>
      <c r="F252" s="354"/>
      <c r="G252" s="345" t="str">
        <f>IF(D252="","",VLOOKUP(A252,Materiais_Base!A:D,4,"FALSO"))</f>
        <v/>
      </c>
    </row>
    <row r="253" hidden="1" customHeight="1" spans="1:7">
      <c r="A253" s="352" t="s">
        <v>14543</v>
      </c>
      <c r="B253" s="352" t="str">
        <f>IF(A253="","",VLOOKUP(A253,Materiais_Base!A:D,2,"FALSO"))</f>
        <v>Tinta anticorrosiva zarcão para fundo preparador de pintura</v>
      </c>
      <c r="C253" s="353" t="str">
        <f>IF(A253="","",VLOOKUP(A253,Materiais_Base!A:D,3,"FALSO"))</f>
        <v>l</v>
      </c>
      <c r="D253" s="354" t="s">
        <v>932</v>
      </c>
      <c r="E253" s="355" t="str">
        <f t="shared" si="7"/>
        <v/>
      </c>
      <c r="F253" s="354"/>
      <c r="G253" s="345" t="str">
        <f>IF(D253="","",VLOOKUP(A253,Materiais_Base!A:D,4,"FALSO"))</f>
        <v/>
      </c>
    </row>
    <row r="254" hidden="1" customHeight="1" spans="1:7">
      <c r="A254" s="352" t="s">
        <v>14544</v>
      </c>
      <c r="B254" s="352" t="str">
        <f>IF(A254="","",VLOOKUP(A254,Materiais_Base!A:D,2,"FALSO"))</f>
        <v>Estaca pré-moldada de concreto armado centrifugado com compressão admissível de 125 t</v>
      </c>
      <c r="C254" s="353" t="str">
        <f>IF(A254="","",VLOOKUP(A254,Materiais_Base!A:D,3,"FALSO"))</f>
        <v>m</v>
      </c>
      <c r="D254" s="354" t="s">
        <v>932</v>
      </c>
      <c r="E254" s="355" t="str">
        <f t="shared" si="7"/>
        <v/>
      </c>
      <c r="F254" s="354"/>
      <c r="G254" s="345" t="str">
        <f>IF(D254="","",VLOOKUP(A254,Materiais_Base!A:D,4,"FALSO"))</f>
        <v/>
      </c>
    </row>
    <row r="255" hidden="1" customHeight="1" spans="1:7">
      <c r="A255" s="352" t="s">
        <v>14545</v>
      </c>
      <c r="B255" s="352" t="str">
        <f>IF(A255="","",VLOOKUP(A255,Materiais_Base!A:D,2,"FALSO"))</f>
        <v>Fixador de cal para pintura</v>
      </c>
      <c r="C255" s="353" t="str">
        <f>IF(A255="","",VLOOKUP(A255,Materiais_Base!A:D,3,"FALSO"))</f>
        <v>l</v>
      </c>
      <c r="D255" s="354" t="s">
        <v>932</v>
      </c>
      <c r="E255" s="355" t="str">
        <f t="shared" si="7"/>
        <v/>
      </c>
      <c r="F255" s="354"/>
      <c r="G255" s="345" t="str">
        <f>IF(D255="","",VLOOKUP(A255,Materiais_Base!A:D,4,"FALSO"))</f>
        <v/>
      </c>
    </row>
    <row r="256" hidden="1" customHeight="1" spans="1:7">
      <c r="A256" s="352" t="s">
        <v>14546</v>
      </c>
      <c r="B256" s="352" t="str">
        <f>IF(A256="","",VLOOKUP(A256,Materiais_Base!A:D,2,"FALSO"))</f>
        <v>Estaca pré-moldada de concreto armado centrifugado com compressão admissível de 170 t</v>
      </c>
      <c r="C256" s="353" t="str">
        <f>IF(A256="","",VLOOKUP(A256,Materiais_Base!A:D,3,"FALSO"))</f>
        <v>m</v>
      </c>
      <c r="D256" s="354" t="s">
        <v>932</v>
      </c>
      <c r="E256" s="355" t="str">
        <f t="shared" si="7"/>
        <v/>
      </c>
      <c r="F256" s="354"/>
      <c r="G256" s="345" t="str">
        <f>IF(D256="","",VLOOKUP(A256,Materiais_Base!A:D,4,"FALSO"))</f>
        <v/>
      </c>
    </row>
    <row r="257" hidden="1" customHeight="1" spans="1:7">
      <c r="A257" s="352" t="s">
        <v>14547</v>
      </c>
      <c r="B257" s="352" t="str">
        <f>IF(A257="","",VLOOKUP(A257,Materiais_Base!A:D,2,"FALSO"))</f>
        <v>Grama tipo batatais</v>
      </c>
      <c r="C257" s="353" t="str">
        <f>IF(A257="","",VLOOKUP(A257,Materiais_Base!A:D,3,"FALSO"))</f>
        <v>m²</v>
      </c>
      <c r="D257" s="354" t="s">
        <v>932</v>
      </c>
      <c r="E257" s="355" t="str">
        <f t="shared" si="7"/>
        <v/>
      </c>
      <c r="F257" s="354"/>
      <c r="G257" s="345" t="str">
        <f>IF(D257="","",VLOOKUP(A257,Materiais_Base!A:D,4,"FALSO"))</f>
        <v/>
      </c>
    </row>
    <row r="258" customHeight="1" spans="1:7">
      <c r="A258" s="352" t="s">
        <v>14548</v>
      </c>
      <c r="B258" s="352" t="str">
        <f>IF(A258="","",VLOOKUP(A258,Materiais_Base!A:D,2,"FALSO"))</f>
        <v>Grampo em aço galvanizado para cerca - C = 25,4 mm e E = 3,76 mm (1" x 9 BWG)</v>
      </c>
      <c r="C258" s="353" t="str">
        <f>IF(A258="","",VLOOKUP(A258,Materiais_Base!A:D,3,"FALSO"))</f>
        <v>kg</v>
      </c>
      <c r="D258" s="354">
        <v>15.7375</v>
      </c>
      <c r="E258" s="355">
        <f t="shared" si="7"/>
        <v>15.7375</v>
      </c>
      <c r="F258" s="354"/>
      <c r="G258" s="345">
        <f>IF(D258="","",VLOOKUP(A258,Materiais_Base!A:D,4,"FALSO"))</f>
        <v>15.7375</v>
      </c>
    </row>
    <row r="259" hidden="1" customHeight="1" spans="1:7">
      <c r="A259" s="352" t="s">
        <v>14549</v>
      </c>
      <c r="B259" s="352" t="str">
        <f>IF(A259="","",VLOOKUP(A259,Materiais_Base!A:D,2,"FALSO"))</f>
        <v>Estaca pré-moldada de concreto armado centrifugado com compressão admissível de 230 t</v>
      </c>
      <c r="C259" s="353" t="str">
        <f>IF(A259="","",VLOOKUP(A259,Materiais_Base!A:D,3,"FALSO"))</f>
        <v>m</v>
      </c>
      <c r="D259" s="354" t="s">
        <v>932</v>
      </c>
      <c r="E259" s="355" t="str">
        <f t="shared" si="7"/>
        <v/>
      </c>
      <c r="F259" s="354"/>
      <c r="G259" s="345" t="str">
        <f>IF(D259="","",VLOOKUP(A259,Materiais_Base!A:D,4,"FALSO"))</f>
        <v/>
      </c>
    </row>
    <row r="260" hidden="1" customHeight="1" spans="1:7">
      <c r="A260" s="352" t="s">
        <v>14550</v>
      </c>
      <c r="B260" s="352" t="str">
        <f>IF(A260="","",VLOOKUP(A260,Materiais_Base!A:D,2,"FALSO"))</f>
        <v>Estaca pré-moldada de concreto armado centrifugado com compressão admissível de 300 t</v>
      </c>
      <c r="C260" s="353" t="str">
        <f>IF(A260="","",VLOOKUP(A260,Materiais_Base!A:D,3,"FALSO"))</f>
        <v>m</v>
      </c>
      <c r="D260" s="354" t="s">
        <v>932</v>
      </c>
      <c r="E260" s="355" t="str">
        <f t="shared" si="7"/>
        <v/>
      </c>
      <c r="F260" s="354"/>
      <c r="G260" s="345" t="str">
        <f>IF(D260="","",VLOOKUP(A260,Materiais_Base!A:D,4,"FALSO"))</f>
        <v/>
      </c>
    </row>
    <row r="261" hidden="1" customHeight="1" spans="1:7">
      <c r="A261" s="352" t="s">
        <v>14551</v>
      </c>
      <c r="B261" s="352" t="str">
        <f>IF(A261="","",VLOOKUP(A261,Materiais_Base!A:D,2,"FALSO"))</f>
        <v>Sinalizador a LED com bateria</v>
      </c>
      <c r="C261" s="353" t="str">
        <f>IF(A261="","",VLOOKUP(A261,Materiais_Base!A:D,3,"FALSO"))</f>
        <v>un</v>
      </c>
      <c r="D261" s="354" t="s">
        <v>932</v>
      </c>
      <c r="E261" s="355" t="str">
        <f t="shared" ref="E261:E323" si="8">IF(D261="","",MIN(D261,F261))</f>
        <v/>
      </c>
      <c r="F261" s="354"/>
      <c r="G261" s="345" t="str">
        <f>IF(D261="","",VLOOKUP(A261,Materiais_Base!A:D,4,"FALSO"))</f>
        <v/>
      </c>
    </row>
    <row r="262" hidden="1" customHeight="1" spans="1:7">
      <c r="A262" s="352" t="s">
        <v>14552</v>
      </c>
      <c r="B262" s="352" t="str">
        <f>IF(A262="","",VLOOKUP(A262,Materiais_Base!A:D,2,"FALSO"))</f>
        <v>Lona plástica - E = 200 micra</v>
      </c>
      <c r="C262" s="353" t="str">
        <f>IF(A262="","",VLOOKUP(A262,Materiais_Base!A:D,3,"FALSO"))</f>
        <v>m²</v>
      </c>
      <c r="D262" s="354" t="s">
        <v>932</v>
      </c>
      <c r="E262" s="355" t="str">
        <f t="shared" si="8"/>
        <v/>
      </c>
      <c r="F262" s="354"/>
      <c r="G262" s="345" t="str">
        <f>IF(D262="","",VLOOKUP(A262,Materiais_Base!A:D,4,"FALSO"))</f>
        <v/>
      </c>
    </row>
    <row r="263" hidden="1" customHeight="1" spans="1:7">
      <c r="A263" s="352" t="s">
        <v>14553</v>
      </c>
      <c r="B263" s="352" t="str">
        <f>IF(A263="","",VLOOKUP(A263,Materiais_Base!A:D,2,"FALSO"))</f>
        <v>Cavalete em polietileno zebrado com faixa refletiva</v>
      </c>
      <c r="C263" s="353" t="str">
        <f>IF(A263="","",VLOOKUP(A263,Materiais_Base!A:D,3,"FALSO"))</f>
        <v>un</v>
      </c>
      <c r="D263" s="354" t="s">
        <v>932</v>
      </c>
      <c r="E263" s="355" t="str">
        <f t="shared" si="8"/>
        <v/>
      </c>
      <c r="F263" s="354"/>
      <c r="G263" s="345" t="str">
        <f>IF(D263="","",VLOOKUP(A263,Materiais_Base!A:D,4,"FALSO"))</f>
        <v/>
      </c>
    </row>
    <row r="264" hidden="1" customHeight="1" spans="1:7">
      <c r="A264" s="352" t="s">
        <v>14554</v>
      </c>
      <c r="B264" s="352" t="str">
        <f>IF(A264="","",VLOOKUP(A264,Materiais_Base!A:D,2,"FALSO"))</f>
        <v>Perfil de alumínio tipo L463 para placa de sinalização - seção de 50 x 50 mm</v>
      </c>
      <c r="C264" s="353" t="str">
        <f>IF(A264="","",VLOOKUP(A264,Materiais_Base!A:D,3,"FALSO"))</f>
        <v>m</v>
      </c>
      <c r="D264" s="354" t="s">
        <v>932</v>
      </c>
      <c r="E264" s="355" t="str">
        <f t="shared" si="8"/>
        <v/>
      </c>
      <c r="F264" s="354"/>
      <c r="G264" s="345" t="str">
        <f>IF(D264="","",VLOOKUP(A264,Materiais_Base!A:D,4,"FALSO"))</f>
        <v/>
      </c>
    </row>
    <row r="265" hidden="1" customHeight="1" spans="1:7">
      <c r="A265" s="352" t="s">
        <v>14555</v>
      </c>
      <c r="B265" s="352" t="str">
        <f>IF(A265="","",VLOOKUP(A265,Materiais_Base!A:D,2,"FALSO"))</f>
        <v>Placa de poliestireno expandido (EPS)</v>
      </c>
      <c r="C265" s="353" t="str">
        <f>IF(A265="","",VLOOKUP(A265,Materiais_Base!A:D,3,"FALSO"))</f>
        <v>m³</v>
      </c>
      <c r="D265" s="354" t="s">
        <v>932</v>
      </c>
      <c r="E265" s="355" t="str">
        <f t="shared" si="8"/>
        <v/>
      </c>
      <c r="F265" s="354"/>
      <c r="G265" s="345" t="str">
        <f>IF(D265="","",VLOOKUP(A265,Materiais_Base!A:D,4,"FALSO"))</f>
        <v/>
      </c>
    </row>
    <row r="266" hidden="1" customHeight="1" spans="1:7">
      <c r="A266" s="352" t="s">
        <v>14556</v>
      </c>
      <c r="B266" s="352" t="str">
        <f>IF(A266="","",VLOOKUP(A266,Materiais_Base!A:D,2,"FALSO"))</f>
        <v>Suporte em aço-carbono galvanizado tipo perfil C para placa de sinalização</v>
      </c>
      <c r="C266" s="353" t="str">
        <f>IF(A266="","",VLOOKUP(A266,Materiais_Base!A:D,3,"FALSO"))</f>
        <v>kg</v>
      </c>
      <c r="D266" s="354" t="s">
        <v>932</v>
      </c>
      <c r="E266" s="355" t="str">
        <f t="shared" si="8"/>
        <v/>
      </c>
      <c r="F266" s="354"/>
      <c r="G266" s="345" t="str">
        <f>IF(D266="","",VLOOKUP(A266,Materiais_Base!A:D,4,"FALSO"))</f>
        <v/>
      </c>
    </row>
    <row r="267" customHeight="1" spans="1:7">
      <c r="A267" s="352" t="s">
        <v>14277</v>
      </c>
      <c r="B267" s="352" t="str">
        <f>IF(A267="","",VLOOKUP(A267,Materiais_Base!A:D,2,"FALSO"))</f>
        <v>Conjunto para fixação de placas em aço galvanizado composto por barra chata, abraçadeira, parafusos, porcas e arruelas</v>
      </c>
      <c r="C267" s="353" t="str">
        <f>IF(A267="","",VLOOKUP(A267,Materiais_Base!A:D,3,"FALSO"))</f>
        <v>kg</v>
      </c>
      <c r="D267" s="354">
        <v>37.4618</v>
      </c>
      <c r="E267" s="355">
        <f t="shared" si="8"/>
        <v>37.4618</v>
      </c>
      <c r="F267" s="354"/>
      <c r="G267" s="345">
        <f>IF(D267="","",VLOOKUP(A267,Materiais_Base!A:D,4,"FALSO"))</f>
        <v>37.4618</v>
      </c>
    </row>
    <row r="268" hidden="1" customHeight="1" spans="1:7">
      <c r="A268" s="352" t="s">
        <v>14557</v>
      </c>
      <c r="B268" s="352" t="str">
        <f>IF(A268="","",VLOOKUP(A268,Materiais_Base!A:D,2,"FALSO"))</f>
        <v>Semipórtico metálico para vão de 8,3 m e vento de 35 m/s</v>
      </c>
      <c r="C268" s="353" t="str">
        <f>IF(A268="","",VLOOKUP(A268,Materiais_Base!A:D,3,"FALSO"))</f>
        <v>un</v>
      </c>
      <c r="D268" s="354" t="s">
        <v>932</v>
      </c>
      <c r="E268" s="355" t="str">
        <f t="shared" si="8"/>
        <v/>
      </c>
      <c r="F268" s="354"/>
      <c r="G268" s="345" t="str">
        <f>IF(D268="","",VLOOKUP(A268,Materiais_Base!A:D,4,"FALSO"))</f>
        <v/>
      </c>
    </row>
    <row r="269" customHeight="1" spans="1:7">
      <c r="A269" s="352" t="s">
        <v>14558</v>
      </c>
      <c r="B269" s="352" t="str">
        <f>IF(A269="","",VLOOKUP(A269,Materiais_Base!A:D,2,"FALSO"))</f>
        <v>Apoio de neoprene fretado</v>
      </c>
      <c r="C269" s="353" t="str">
        <f>IF(A269="","",VLOOKUP(A269,Materiais_Base!A:D,3,"FALSO"))</f>
        <v>dm³</v>
      </c>
      <c r="D269" s="354">
        <v>121.734</v>
      </c>
      <c r="E269" s="355">
        <f t="shared" si="8"/>
        <v>121.734</v>
      </c>
      <c r="F269" s="354"/>
      <c r="G269" s="345">
        <f>IF(D269="","",VLOOKUP(A269,Materiais_Base!A:D,4,"FALSO"))</f>
        <v>121.734</v>
      </c>
    </row>
    <row r="270" hidden="1" customHeight="1" spans="1:7">
      <c r="A270" s="352" t="s">
        <v>14559</v>
      </c>
      <c r="B270" s="352" t="str">
        <f>IF(A270="","",VLOOKUP(A270,Materiais_Base!A:D,2,"FALSO"))</f>
        <v>Cabo de aço - D = 12,70 mm (1/2")</v>
      </c>
      <c r="C270" s="353" t="str">
        <f>IF(A270="","",VLOOKUP(A270,Materiais_Base!A:D,3,"FALSO"))</f>
        <v>m</v>
      </c>
      <c r="D270" s="354" t="s">
        <v>932</v>
      </c>
      <c r="E270" s="355" t="str">
        <f t="shared" si="8"/>
        <v/>
      </c>
      <c r="F270" s="354"/>
      <c r="G270" s="345" t="str">
        <f>IF(D270="","",VLOOKUP(A270,Materiais_Base!A:D,4,"FALSO"))</f>
        <v/>
      </c>
    </row>
    <row r="271" hidden="1" customHeight="1" spans="1:7">
      <c r="A271" s="352" t="s">
        <v>14560</v>
      </c>
      <c r="B271" s="352" t="str">
        <f>IF(A271="","",VLOOKUP(A271,Materiais_Base!A:D,2,"FALSO"))</f>
        <v>Semipórtico duplo metálico para vão de 2 x 8,3 m e vento de 35 m/s</v>
      </c>
      <c r="C271" s="353" t="str">
        <f>IF(A271="","",VLOOKUP(A271,Materiais_Base!A:D,3,"FALSO"))</f>
        <v>un</v>
      </c>
      <c r="D271" s="354" t="s">
        <v>932</v>
      </c>
      <c r="E271" s="355" t="str">
        <f t="shared" si="8"/>
        <v/>
      </c>
      <c r="F271" s="354"/>
      <c r="G271" s="345" t="str">
        <f>IF(D271="","",VLOOKUP(A271,Materiais_Base!A:D,4,"FALSO"))</f>
        <v/>
      </c>
    </row>
    <row r="272" hidden="1" customHeight="1" spans="1:7">
      <c r="A272" s="352" t="s">
        <v>14561</v>
      </c>
      <c r="B272" s="352" t="str">
        <f>IF(A272="","",VLOOKUP(A272,Materiais_Base!A:D,2,"FALSO"))</f>
        <v>Brita 4</v>
      </c>
      <c r="C272" s="353" t="str">
        <f>IF(A272="","",VLOOKUP(A272,Materiais_Base!A:D,3,"FALSO"))</f>
        <v>m³</v>
      </c>
      <c r="D272" s="354" t="s">
        <v>932</v>
      </c>
      <c r="E272" s="355" t="str">
        <f t="shared" si="8"/>
        <v/>
      </c>
      <c r="F272" s="354"/>
      <c r="G272" s="345" t="str">
        <f>IF(D272="","",VLOOKUP(A272,Materiais_Base!A:D,4,"FALSO"))</f>
        <v/>
      </c>
    </row>
    <row r="273" hidden="1" customHeight="1" spans="1:7">
      <c r="A273" s="352" t="s">
        <v>14562</v>
      </c>
      <c r="B273" s="352" t="str">
        <f>IF(A273="","",VLOOKUP(A273,Materiais_Base!A:D,2,"FALSO"))</f>
        <v>Cabo de aço - D = 6,35 mm (1/4")</v>
      </c>
      <c r="C273" s="353" t="str">
        <f>IF(A273="","",VLOOKUP(A273,Materiais_Base!A:D,3,"FALSO"))</f>
        <v>m</v>
      </c>
      <c r="D273" s="354" t="s">
        <v>932</v>
      </c>
      <c r="E273" s="355" t="str">
        <f t="shared" si="8"/>
        <v/>
      </c>
      <c r="F273" s="354"/>
      <c r="G273" s="345" t="str">
        <f>IF(D273="","",VLOOKUP(A273,Materiais_Base!A:D,4,"FALSO"))</f>
        <v/>
      </c>
    </row>
    <row r="274" hidden="1" customHeight="1" spans="1:7">
      <c r="A274" s="352" t="s">
        <v>14563</v>
      </c>
      <c r="B274" s="352" t="str">
        <f>IF(A274="","",VLOOKUP(A274,Materiais_Base!A:D,2,"FALSO"))</f>
        <v>Sapatilha em aço inox - D = 6,35 mm (1/4")</v>
      </c>
      <c r="C274" s="353" t="str">
        <f>IF(A274="","",VLOOKUP(A274,Materiais_Base!A:D,3,"FALSO"))</f>
        <v>un</v>
      </c>
      <c r="D274" s="354" t="s">
        <v>932</v>
      </c>
      <c r="E274" s="355" t="str">
        <f t="shared" si="8"/>
        <v/>
      </c>
      <c r="F274" s="354"/>
      <c r="G274" s="345" t="str">
        <f>IF(D274="","",VLOOKUP(A274,Materiais_Base!A:D,4,"FALSO"))</f>
        <v/>
      </c>
    </row>
    <row r="275" hidden="1" customHeight="1" spans="1:7">
      <c r="A275" s="352" t="s">
        <v>14564</v>
      </c>
      <c r="B275" s="352" t="str">
        <f>IF(A275="","",VLOOKUP(A275,Materiais_Base!A:D,2,"FALSO"))</f>
        <v>Semipórtico metálico para vão de 8,3 m e vento de 40 m/s</v>
      </c>
      <c r="C275" s="353" t="str">
        <f>IF(A275="","",VLOOKUP(A275,Materiais_Base!A:D,3,"FALSO"))</f>
        <v>un</v>
      </c>
      <c r="D275" s="354" t="s">
        <v>932</v>
      </c>
      <c r="E275" s="355" t="str">
        <f t="shared" si="8"/>
        <v/>
      </c>
      <c r="F275" s="354"/>
      <c r="G275" s="345" t="str">
        <f>IF(D275="","",VLOOKUP(A275,Materiais_Base!A:D,4,"FALSO"))</f>
        <v/>
      </c>
    </row>
    <row r="276" hidden="1" customHeight="1" spans="1:7">
      <c r="A276" s="352" t="s">
        <v>14565</v>
      </c>
      <c r="B276" s="352" t="str">
        <f>IF(A276="","",VLOOKUP(A276,Materiais_Base!A:D,2,"FALSO"))</f>
        <v>Semipórtico duplo metálico para vão de 2 x 8,3 m e vento de 40 m/s</v>
      </c>
      <c r="C276" s="353" t="str">
        <f>IF(A276="","",VLOOKUP(A276,Materiais_Base!A:D,3,"FALSO"))</f>
        <v>un</v>
      </c>
      <c r="D276" s="354" t="s">
        <v>932</v>
      </c>
      <c r="E276" s="355" t="str">
        <f t="shared" si="8"/>
        <v/>
      </c>
      <c r="F276" s="354"/>
      <c r="G276" s="345" t="str">
        <f>IF(D276="","",VLOOKUP(A276,Materiais_Base!A:D,4,"FALSO"))</f>
        <v/>
      </c>
    </row>
    <row r="277" hidden="1" customHeight="1" spans="1:7">
      <c r="A277" s="352" t="s">
        <v>14566</v>
      </c>
      <c r="B277" s="352" t="str">
        <f>IF(A277="","",VLOOKUP(A277,Materiais_Base!A:D,2,"FALSO"))</f>
        <v>Pórtico metálico para vão de 15,9 m e vento de 40 m/s</v>
      </c>
      <c r="C277" s="353" t="str">
        <f>IF(A277="","",VLOOKUP(A277,Materiais_Base!A:D,3,"FALSO"))</f>
        <v>un</v>
      </c>
      <c r="D277" s="354" t="s">
        <v>932</v>
      </c>
      <c r="E277" s="355" t="str">
        <f t="shared" si="8"/>
        <v/>
      </c>
      <c r="F277" s="354"/>
      <c r="G277" s="345" t="str">
        <f>IF(D277="","",VLOOKUP(A277,Materiais_Base!A:D,4,"FALSO"))</f>
        <v/>
      </c>
    </row>
    <row r="278" hidden="1" customHeight="1" spans="1:7">
      <c r="A278" s="352" t="s">
        <v>14567</v>
      </c>
      <c r="B278" s="352" t="str">
        <f>IF(A278="","",VLOOKUP(A278,Materiais_Base!A:D,2,"FALSO"))</f>
        <v>Semipórtico metálico para vão de 8,3 m e vento de 45 m/s</v>
      </c>
      <c r="C278" s="353" t="str">
        <f>IF(A278="","",VLOOKUP(A278,Materiais_Base!A:D,3,"FALSO"))</f>
        <v>un</v>
      </c>
      <c r="D278" s="354" t="s">
        <v>932</v>
      </c>
      <c r="E278" s="355" t="str">
        <f t="shared" si="8"/>
        <v/>
      </c>
      <c r="F278" s="354"/>
      <c r="G278" s="345" t="str">
        <f>IF(D278="","",VLOOKUP(A278,Materiais_Base!A:D,4,"FALSO"))</f>
        <v/>
      </c>
    </row>
    <row r="279" hidden="1" customHeight="1" spans="1:7">
      <c r="A279" s="352" t="s">
        <v>14568</v>
      </c>
      <c r="B279" s="352" t="str">
        <f>IF(A279="","",VLOOKUP(A279,Materiais_Base!A:D,2,"FALSO"))</f>
        <v>Corda de sisal - D = 12,0 mm</v>
      </c>
      <c r="C279" s="353" t="str">
        <f>IF(A279="","",VLOOKUP(A279,Materiais_Base!A:D,3,"FALSO"))</f>
        <v>m</v>
      </c>
      <c r="D279" s="354" t="s">
        <v>932</v>
      </c>
      <c r="E279" s="355" t="str">
        <f t="shared" si="8"/>
        <v/>
      </c>
      <c r="F279" s="354"/>
      <c r="G279" s="345" t="str">
        <f>IF(D279="","",VLOOKUP(A279,Materiais_Base!A:D,4,"FALSO"))</f>
        <v/>
      </c>
    </row>
    <row r="280" hidden="1" customHeight="1" spans="1:7">
      <c r="A280" s="352" t="s">
        <v>14569</v>
      </c>
      <c r="B280" s="352" t="str">
        <f>IF(A280="","",VLOOKUP(A280,Materiais_Base!A:D,2,"FALSO"))</f>
        <v>Grampo leve em aço-carbono para cabo de aço - D = 6,3 mm (1/4")</v>
      </c>
      <c r="C280" s="353" t="str">
        <f>IF(A280="","",VLOOKUP(A280,Materiais_Base!A:D,3,"FALSO"))</f>
        <v>un</v>
      </c>
      <c r="D280" s="354" t="s">
        <v>932</v>
      </c>
      <c r="E280" s="355" t="str">
        <f t="shared" si="8"/>
        <v/>
      </c>
      <c r="F280" s="354"/>
      <c r="G280" s="345" t="str">
        <f>IF(D280="","",VLOOKUP(A280,Materiais_Base!A:D,4,"FALSO"))</f>
        <v/>
      </c>
    </row>
    <row r="281" hidden="1" customHeight="1" spans="1:7">
      <c r="A281" s="352" t="s">
        <v>14570</v>
      </c>
      <c r="B281" s="352" t="str">
        <f>IF(A281="","",VLOOKUP(A281,Materiais_Base!A:D,2,"FALSO"))</f>
        <v>Poste de concreto - carga nominal de 800 daN, H = 15 m e D = 520 mm</v>
      </c>
      <c r="C281" s="353" t="str">
        <f>IF(A281="","",VLOOKUP(A281,Materiais_Base!A:D,3,"FALSO"))</f>
        <v>un</v>
      </c>
      <c r="D281" s="354" t="s">
        <v>932</v>
      </c>
      <c r="E281" s="355" t="str">
        <f t="shared" si="8"/>
        <v/>
      </c>
      <c r="F281" s="354"/>
      <c r="G281" s="345" t="str">
        <f>IF(D281="","",VLOOKUP(A281,Materiais_Base!A:D,4,"FALSO"))</f>
        <v/>
      </c>
    </row>
    <row r="282" hidden="1" customHeight="1" spans="1:7">
      <c r="A282" s="352" t="s">
        <v>14571</v>
      </c>
      <c r="B282" s="352" t="str">
        <f>IF(A282="","",VLOOKUP(A282,Materiais_Base!A:D,2,"FALSO"))</f>
        <v>Semipórtico duplo metálico para vão de 2 x 8,3 m e vento de 45 m/s</v>
      </c>
      <c r="C282" s="353" t="str">
        <f>IF(A282="","",VLOOKUP(A282,Materiais_Base!A:D,3,"FALSO"))</f>
        <v>un</v>
      </c>
      <c r="D282" s="354" t="s">
        <v>932</v>
      </c>
      <c r="E282" s="355" t="str">
        <f t="shared" si="8"/>
        <v/>
      </c>
      <c r="F282" s="354"/>
      <c r="G282" s="345" t="str">
        <f>IF(D282="","",VLOOKUP(A282,Materiais_Base!A:D,4,"FALSO"))</f>
        <v/>
      </c>
    </row>
    <row r="283" hidden="1" customHeight="1" spans="1:7">
      <c r="A283" s="352" t="s">
        <v>14572</v>
      </c>
      <c r="B283" s="352" t="str">
        <f>IF(A283="","",VLOOKUP(A283,Materiais_Base!A:D,2,"FALSO"))</f>
        <v>Pórtico metálico para vão de 15,9 m e vento de 45 m/s</v>
      </c>
      <c r="C283" s="353" t="str">
        <f>IF(A283="","",VLOOKUP(A283,Materiais_Base!A:D,3,"FALSO"))</f>
        <v>un</v>
      </c>
      <c r="D283" s="354" t="s">
        <v>932</v>
      </c>
      <c r="E283" s="355" t="str">
        <f t="shared" si="8"/>
        <v/>
      </c>
      <c r="F283" s="354"/>
      <c r="G283" s="345" t="str">
        <f>IF(D283="","",VLOOKUP(A283,Materiais_Base!A:D,4,"FALSO"))</f>
        <v/>
      </c>
    </row>
    <row r="284" hidden="1" customHeight="1" spans="1:7">
      <c r="A284" s="352" t="s">
        <v>14573</v>
      </c>
      <c r="B284" s="352" t="str">
        <f>IF(A284="","",VLOOKUP(A284,Materiais_Base!A:D,2,"FALSO"))</f>
        <v>Lâmpada fluorescente compacta eletrônica - potência de 20 W</v>
      </c>
      <c r="C284" s="353" t="str">
        <f>IF(A284="","",VLOOKUP(A284,Materiais_Base!A:D,3,"FALSO"))</f>
        <v>un</v>
      </c>
      <c r="D284" s="354" t="s">
        <v>932</v>
      </c>
      <c r="E284" s="355" t="str">
        <f t="shared" si="8"/>
        <v/>
      </c>
      <c r="F284" s="354"/>
      <c r="G284" s="345" t="str">
        <f>IF(D284="","",VLOOKUP(A284,Materiais_Base!A:D,4,"FALSO"))</f>
        <v/>
      </c>
    </row>
    <row r="285" hidden="1" customHeight="1" spans="1:7">
      <c r="A285" s="352" t="s">
        <v>14574</v>
      </c>
      <c r="B285" s="352" t="str">
        <f>IF(A285="","",VLOOKUP(A285,Materiais_Base!A:D,2,"FALSO"))</f>
        <v>Manta asfáltica não-tecido em poliéster - E = 3 mm</v>
      </c>
      <c r="C285" s="353" t="str">
        <f>IF(A285="","",VLOOKUP(A285,Materiais_Base!A:D,3,"FALSO"))</f>
        <v>m²</v>
      </c>
      <c r="D285" s="354" t="s">
        <v>932</v>
      </c>
      <c r="E285" s="355" t="str">
        <f t="shared" si="8"/>
        <v/>
      </c>
      <c r="F285" s="354"/>
      <c r="G285" s="345" t="str">
        <f>IF(D285="","",VLOOKUP(A285,Materiais_Base!A:D,4,"FALSO"))</f>
        <v/>
      </c>
    </row>
    <row r="286" hidden="1" customHeight="1" spans="1:7">
      <c r="A286" s="352" t="s">
        <v>14575</v>
      </c>
      <c r="B286" s="352" t="str">
        <f>IF(A286="","",VLOOKUP(A286,Materiais_Base!A:D,2,"FALSO"))</f>
        <v>Manta asfáltica não-tecido em poliéster - E = 4 mm</v>
      </c>
      <c r="C286" s="353" t="str">
        <f>IF(A286="","",VLOOKUP(A286,Materiais_Base!A:D,3,"FALSO"))</f>
        <v>m²</v>
      </c>
      <c r="D286" s="354" t="s">
        <v>932</v>
      </c>
      <c r="E286" s="355" t="str">
        <f t="shared" si="8"/>
        <v/>
      </c>
      <c r="F286" s="354"/>
      <c r="G286" s="345" t="str">
        <f>IF(D286="","",VLOOKUP(A286,Materiais_Base!A:D,4,"FALSO"))</f>
        <v/>
      </c>
    </row>
    <row r="287" hidden="1" customHeight="1" spans="1:7">
      <c r="A287" s="352" t="s">
        <v>14576</v>
      </c>
      <c r="B287" s="352" t="str">
        <f>IF(A287="","",VLOOKUP(A287,Materiais_Base!A:D,2,"FALSO"))</f>
        <v>Lixa para ferro Nº 150</v>
      </c>
      <c r="C287" s="353" t="str">
        <f>IF(A287="","",VLOOKUP(A287,Materiais_Base!A:D,3,"FALSO"))</f>
        <v>un</v>
      </c>
      <c r="D287" s="354" t="s">
        <v>932</v>
      </c>
      <c r="E287" s="355" t="str">
        <f t="shared" si="8"/>
        <v/>
      </c>
      <c r="F287" s="354"/>
      <c r="G287" s="345" t="str">
        <f>IF(D287="","",VLOOKUP(A287,Materiais_Base!A:D,4,"FALSO"))</f>
        <v/>
      </c>
    </row>
    <row r="288" hidden="1" customHeight="1" spans="1:7">
      <c r="A288" s="352" t="s">
        <v>14577</v>
      </c>
      <c r="B288" s="352" t="str">
        <f>IF(A288="","",VLOOKUP(A288,Materiais_Base!A:D,2,"FALSO"))</f>
        <v>Estaca prancha metálica</v>
      </c>
      <c r="C288" s="353" t="str">
        <f>IF(A288="","",VLOOKUP(A288,Materiais_Base!A:D,3,"FALSO"))</f>
        <v>kg</v>
      </c>
      <c r="D288" s="354" t="s">
        <v>932</v>
      </c>
      <c r="E288" s="355" t="str">
        <f t="shared" si="8"/>
        <v/>
      </c>
      <c r="F288" s="354"/>
      <c r="G288" s="345" t="str">
        <f>IF(D288="","",VLOOKUP(A288,Materiais_Base!A:D,4,"FALSO"))</f>
        <v/>
      </c>
    </row>
    <row r="289" hidden="1" customHeight="1" spans="1:7">
      <c r="A289" s="352" t="s">
        <v>14578</v>
      </c>
      <c r="B289" s="352" t="str">
        <f>IF(A289="","",VLOOKUP(A289,Materiais_Base!A:D,2,"FALSO"))</f>
        <v>Parafuso de cabeça sextavada em aço galvanizado com porca e arruela de pressão - D = 6,35 mm (1/4")</v>
      </c>
      <c r="C289" s="353" t="str">
        <f>IF(A289="","",VLOOKUP(A289,Materiais_Base!A:D,3,"FALSO"))</f>
        <v>cj</v>
      </c>
      <c r="D289" s="354" t="s">
        <v>932</v>
      </c>
      <c r="E289" s="355" t="str">
        <f t="shared" si="8"/>
        <v/>
      </c>
      <c r="F289" s="354"/>
      <c r="G289" s="345" t="str">
        <f>IF(D289="","",VLOOKUP(A289,Materiais_Base!A:D,4,"FALSO"))</f>
        <v/>
      </c>
    </row>
    <row r="290" hidden="1" customHeight="1" spans="1:7">
      <c r="A290" s="352" t="s">
        <v>14579</v>
      </c>
      <c r="B290" s="352" t="str">
        <f>IF(A290="","",VLOOKUP(A290,Materiais_Base!A:D,2,"FALSO"))</f>
        <v>Parafuso de cabeça sextavada em aço galvanizado com porca e arruela de pressão - D = 9,525 mm (3/8")</v>
      </c>
      <c r="C290" s="353" t="str">
        <f>IF(A290="","",VLOOKUP(A290,Materiais_Base!A:D,3,"FALSO"))</f>
        <v>cj</v>
      </c>
      <c r="D290" s="354" t="s">
        <v>932</v>
      </c>
      <c r="E290" s="355" t="str">
        <f t="shared" si="8"/>
        <v/>
      </c>
      <c r="F290" s="354"/>
      <c r="G290" s="345" t="str">
        <f>IF(D290="","",VLOOKUP(A290,Materiais_Base!A:D,4,"FALSO"))</f>
        <v/>
      </c>
    </row>
    <row r="291" hidden="1" customHeight="1" spans="1:7">
      <c r="A291" s="352" t="s">
        <v>14580</v>
      </c>
      <c r="B291" s="352" t="str">
        <f>IF(A291="","",VLOOKUP(A291,Materiais_Base!A:D,2,"FALSO"))</f>
        <v>Madeira estrutural de eucalipto</v>
      </c>
      <c r="C291" s="353" t="str">
        <f>IF(A291="","",VLOOKUP(A291,Materiais_Base!A:D,3,"FALSO"))</f>
        <v>m³</v>
      </c>
      <c r="D291" s="354" t="s">
        <v>932</v>
      </c>
      <c r="E291" s="355" t="str">
        <f t="shared" si="8"/>
        <v/>
      </c>
      <c r="F291" s="354"/>
      <c r="G291" s="345" t="str">
        <f>IF(D291="","",VLOOKUP(A291,Materiais_Base!A:D,4,"FALSO"))</f>
        <v/>
      </c>
    </row>
    <row r="292" hidden="1" customHeight="1" spans="1:7">
      <c r="A292" s="352" t="s">
        <v>14581</v>
      </c>
      <c r="B292" s="352" t="str">
        <f>IF(A292="","",VLOOKUP(A292,Materiais_Base!A:D,2,"FALSO"))</f>
        <v>Tela em aço CA 60 soldada nervurada</v>
      </c>
      <c r="C292" s="353" t="str">
        <f>IF(A292="","",VLOOKUP(A292,Materiais_Base!A:D,3,"FALSO"))</f>
        <v>kg</v>
      </c>
      <c r="D292" s="354" t="s">
        <v>932</v>
      </c>
      <c r="E292" s="355" t="str">
        <f t="shared" si="8"/>
        <v/>
      </c>
      <c r="F292" s="354"/>
      <c r="G292" s="345" t="str">
        <f>IF(D292="","",VLOOKUP(A292,Materiais_Base!A:D,4,"FALSO"))</f>
        <v/>
      </c>
    </row>
    <row r="293" hidden="1" customHeight="1" spans="1:7">
      <c r="A293" s="352" t="s">
        <v>14582</v>
      </c>
      <c r="B293" s="352" t="str">
        <f>IF(A293="","",VLOOKUP(A293,Materiais_Base!A:D,2,"FALSO"))</f>
        <v>Tela em aço galvanizado para alambrado - E = 1,64 mm (BWG 16) e malha de 50 mm</v>
      </c>
      <c r="C293" s="353" t="str">
        <f>IF(A293="","",VLOOKUP(A293,Materiais_Base!A:D,3,"FALSO"))</f>
        <v>m²</v>
      </c>
      <c r="D293" s="354" t="s">
        <v>932</v>
      </c>
      <c r="E293" s="355" t="str">
        <f t="shared" si="8"/>
        <v/>
      </c>
      <c r="F293" s="354"/>
      <c r="G293" s="345" t="str">
        <f>IF(D293="","",VLOOKUP(A293,Materiais_Base!A:D,4,"FALSO"))</f>
        <v/>
      </c>
    </row>
    <row r="294" hidden="1" customHeight="1" spans="1:7">
      <c r="A294" s="352" t="s">
        <v>14583</v>
      </c>
      <c r="B294" s="352" t="str">
        <f>IF(A294="","",VLOOKUP(A294,Materiais_Base!A:D,2,"FALSO"))</f>
        <v>Manta de PVC reforçada com tela de poliéster - E = 1,2 mm</v>
      </c>
      <c r="C294" s="353" t="str">
        <f>IF(A294="","",VLOOKUP(A294,Materiais_Base!A:D,3,"FALSO"))</f>
        <v>m²</v>
      </c>
      <c r="D294" s="354" t="s">
        <v>932</v>
      </c>
      <c r="E294" s="355" t="str">
        <f t="shared" si="8"/>
        <v/>
      </c>
      <c r="F294" s="354"/>
      <c r="G294" s="345" t="str">
        <f>IF(D294="","",VLOOKUP(A294,Materiais_Base!A:D,4,"FALSO"))</f>
        <v/>
      </c>
    </row>
    <row r="295" hidden="1" customHeight="1" spans="1:7">
      <c r="A295" s="352" t="s">
        <v>14584</v>
      </c>
      <c r="B295" s="352" t="str">
        <f>IF(A295="","",VLOOKUP(A295,Materiais_Base!A:D,2,"FALSO"))</f>
        <v>Manta de PVC reforçada com tela de poliéster - E = 1,5 mm</v>
      </c>
      <c r="C295" s="353" t="str">
        <f>IF(A295="","",VLOOKUP(A295,Materiais_Base!A:D,3,"FALSO"))</f>
        <v>m²</v>
      </c>
      <c r="D295" s="354" t="s">
        <v>932</v>
      </c>
      <c r="E295" s="355" t="str">
        <f t="shared" si="8"/>
        <v/>
      </c>
      <c r="F295" s="354"/>
      <c r="G295" s="345" t="str">
        <f>IF(D295="","",VLOOKUP(A295,Materiais_Base!A:D,4,"FALSO"))</f>
        <v/>
      </c>
    </row>
    <row r="296" hidden="1" customHeight="1" spans="1:7">
      <c r="A296" s="352" t="s">
        <v>14585</v>
      </c>
      <c r="B296" s="352" t="str">
        <f>IF(A296="","",VLOOKUP(A296,Materiais_Base!A:D,2,"FALSO"))</f>
        <v>Massa para vidro</v>
      </c>
      <c r="C296" s="353" t="str">
        <f>IF(A296="","",VLOOKUP(A296,Materiais_Base!A:D,3,"FALSO"))</f>
        <v>kg</v>
      </c>
      <c r="D296" s="354" t="s">
        <v>932</v>
      </c>
      <c r="E296" s="355" t="str">
        <f t="shared" si="8"/>
        <v/>
      </c>
      <c r="F296" s="354"/>
      <c r="G296" s="345" t="str">
        <f>IF(D296="","",VLOOKUP(A296,Materiais_Base!A:D,4,"FALSO"))</f>
        <v/>
      </c>
    </row>
    <row r="297" hidden="1" customHeight="1" spans="1:7">
      <c r="A297" s="352" t="s">
        <v>14586</v>
      </c>
      <c r="B297" s="352" t="str">
        <f>IF(A297="","",VLOOKUP(A297,Materiais_Base!A:D,2,"FALSO"))</f>
        <v>Cera de proteção para ancoragem de estais</v>
      </c>
      <c r="C297" s="353" t="str">
        <f>IF(A297="","",VLOOKUP(A297,Materiais_Base!A:D,3,"FALSO"))</f>
        <v>kg</v>
      </c>
      <c r="D297" s="354" t="s">
        <v>932</v>
      </c>
      <c r="E297" s="355" t="str">
        <f t="shared" si="8"/>
        <v/>
      </c>
      <c r="F297" s="354"/>
      <c r="G297" s="345" t="str">
        <f>IF(D297="","",VLOOKUP(A297,Materiais_Base!A:D,4,"FALSO"))</f>
        <v/>
      </c>
    </row>
    <row r="298" hidden="1" customHeight="1" spans="1:7">
      <c r="A298" s="352" t="s">
        <v>14587</v>
      </c>
      <c r="B298" s="352" t="str">
        <f>IF(A298="","",VLOOKUP(A298,Materiais_Base!A:D,2,"FALSO"))</f>
        <v>Parafuso de cabeça sextavada em aço inox - D = 12,7 mm (1/2") e C = 127,0 mm (5")</v>
      </c>
      <c r="C298" s="353" t="str">
        <f>IF(A298="","",VLOOKUP(A298,Materiais_Base!A:D,3,"FALSO"))</f>
        <v>un</v>
      </c>
      <c r="D298" s="354" t="s">
        <v>932</v>
      </c>
      <c r="E298" s="355" t="str">
        <f t="shared" si="8"/>
        <v/>
      </c>
      <c r="F298" s="354"/>
      <c r="G298" s="345" t="str">
        <f>IF(D298="","",VLOOKUP(A298,Materiais_Base!A:D,4,"FALSO"))</f>
        <v/>
      </c>
    </row>
    <row r="299" hidden="1" customHeight="1" spans="1:7">
      <c r="A299" s="352" t="s">
        <v>14588</v>
      </c>
      <c r="B299" s="352" t="str">
        <f>IF(A299="","",VLOOKUP(A299,Materiais_Base!A:D,2,"FALSO"))</f>
        <v>Parafuso de cabeça sextavada em aço galvanizado tipo auto-atarraxante com arruelas de vedação - D = 6,3 mm e C = 19 mm</v>
      </c>
      <c r="C299" s="353" t="str">
        <f>IF(A299="","",VLOOKUP(A299,Materiais_Base!A:D,3,"FALSO"))</f>
        <v>un</v>
      </c>
      <c r="D299" s="354" t="s">
        <v>932</v>
      </c>
      <c r="E299" s="355" t="str">
        <f t="shared" si="8"/>
        <v/>
      </c>
      <c r="F299" s="354"/>
      <c r="G299" s="345" t="str">
        <f>IF(D299="","",VLOOKUP(A299,Materiais_Base!A:D,4,"FALSO"))</f>
        <v/>
      </c>
    </row>
    <row r="300" customHeight="1" spans="1:7">
      <c r="A300" s="352" t="s">
        <v>14255</v>
      </c>
      <c r="B300" s="352" t="str">
        <f>IF(A300="","",VLOOKUP(A300,Materiais_Base!A:D,2,"FALSO"))</f>
        <v>Pedra de mão ou rachão</v>
      </c>
      <c r="C300" s="353" t="str">
        <f>IF(A300="","",VLOOKUP(A300,Materiais_Base!A:D,3,"FALSO"))</f>
        <v>m³</v>
      </c>
      <c r="D300" s="354">
        <v>117.3231</v>
      </c>
      <c r="E300" s="355">
        <f t="shared" si="8"/>
        <v>117.3231</v>
      </c>
      <c r="F300" s="354"/>
      <c r="G300" s="345">
        <f>IF(D300="","",VLOOKUP(A300,Materiais_Base!A:D,4,"FALSO"))</f>
        <v>117.3231</v>
      </c>
    </row>
    <row r="301" customHeight="1" spans="1:7">
      <c r="A301" s="352" t="s">
        <v>14589</v>
      </c>
      <c r="B301" s="352" t="str">
        <f>IF(A301="","",VLOOKUP(A301,Materiais_Base!A:D,2,"FALSO"))</f>
        <v>Pedrisco</v>
      </c>
      <c r="C301" s="353" t="str">
        <f>IF(A301="","",VLOOKUP(A301,Materiais_Base!A:D,3,"FALSO"))</f>
        <v>m³</v>
      </c>
      <c r="D301" s="354">
        <v>129.6565</v>
      </c>
      <c r="E301" s="355">
        <f t="shared" si="8"/>
        <v>129.6565</v>
      </c>
      <c r="F301" s="354"/>
      <c r="G301" s="345">
        <f>IF(D301="","",VLOOKUP(A301,Materiais_Base!A:D,4,"FALSO"))</f>
        <v>129.6565</v>
      </c>
    </row>
    <row r="302" hidden="1" customHeight="1" spans="1:7">
      <c r="A302" s="352" t="s">
        <v>14590</v>
      </c>
      <c r="B302" s="352" t="str">
        <f>IF(A302="","",VLOOKUP(A302,Materiais_Base!A:D,2,"FALSO"))</f>
        <v>Cruzeta de madeira para poste - H = 240 cm</v>
      </c>
      <c r="C302" s="353" t="str">
        <f>IF(A302="","",VLOOKUP(A302,Materiais_Base!A:D,3,"FALSO"))</f>
        <v>un</v>
      </c>
      <c r="D302" s="354" t="s">
        <v>932</v>
      </c>
      <c r="E302" s="355" t="str">
        <f t="shared" si="8"/>
        <v/>
      </c>
      <c r="F302" s="354"/>
      <c r="G302" s="345" t="str">
        <f>IF(D302="","",VLOOKUP(A302,Materiais_Base!A:D,4,"FALSO"))</f>
        <v/>
      </c>
    </row>
    <row r="303" hidden="1" customHeight="1" spans="1:7">
      <c r="A303" s="352" t="s">
        <v>14591</v>
      </c>
      <c r="B303" s="352" t="str">
        <f>IF(A303="","",VLOOKUP(A303,Materiais_Base!A:D,2,"FALSO"))</f>
        <v>Selante elástico à base de poliuretano</v>
      </c>
      <c r="C303" s="353" t="str">
        <f>IF(A303="","",VLOOKUP(A303,Materiais_Base!A:D,3,"FALSO"))</f>
        <v>kg</v>
      </c>
      <c r="D303" s="354" t="s">
        <v>932</v>
      </c>
      <c r="E303" s="355" t="str">
        <f t="shared" si="8"/>
        <v/>
      </c>
      <c r="F303" s="354"/>
      <c r="G303" s="345" t="str">
        <f>IF(D303="","",VLOOKUP(A303,Materiais_Base!A:D,4,"FALSO"))</f>
        <v/>
      </c>
    </row>
    <row r="304" hidden="1" customHeight="1" spans="1:7">
      <c r="A304" s="352" t="s">
        <v>14592</v>
      </c>
      <c r="B304" s="352" t="str">
        <f>IF(A304="","",VLOOKUP(A304,Materiais_Base!A:D,2,"FALSO"))</f>
        <v>Cordão de polietileno expandido de baixa densidade - D = 15,0 mm</v>
      </c>
      <c r="C304" s="353" t="str">
        <f>IF(A304="","",VLOOKUP(A304,Materiais_Base!A:D,3,"FALSO"))</f>
        <v>m</v>
      </c>
      <c r="D304" s="354" t="s">
        <v>932</v>
      </c>
      <c r="E304" s="355" t="str">
        <f t="shared" si="8"/>
        <v/>
      </c>
      <c r="F304" s="354"/>
      <c r="G304" s="345" t="str">
        <f>IF(D304="","",VLOOKUP(A304,Materiais_Base!A:D,4,"FALSO"))</f>
        <v/>
      </c>
    </row>
    <row r="305" hidden="1" customHeight="1" spans="1:7">
      <c r="A305" s="352" t="s">
        <v>14593</v>
      </c>
      <c r="B305" s="352" t="str">
        <f>IF(A305="","",VLOOKUP(A305,Materiais_Base!A:D,2,"FALSO"))</f>
        <v>Junta de dilatação em elastômero e perfil VV - L = 20 mm e H = 40 mm</v>
      </c>
      <c r="C305" s="353" t="str">
        <f>IF(A305="","",VLOOKUP(A305,Materiais_Base!A:D,3,"FALSO"))</f>
        <v>m</v>
      </c>
      <c r="D305" s="354" t="s">
        <v>932</v>
      </c>
      <c r="E305" s="355" t="str">
        <f t="shared" si="8"/>
        <v/>
      </c>
      <c r="F305" s="354"/>
      <c r="G305" s="345" t="str">
        <f>IF(D305="","",VLOOKUP(A305,Materiais_Base!A:D,4,"FALSO"))</f>
        <v/>
      </c>
    </row>
    <row r="306" customHeight="1" spans="1:7">
      <c r="A306" s="352" t="s">
        <v>14594</v>
      </c>
      <c r="B306" s="352" t="str">
        <f>IF(A306="","",VLOOKUP(A306,Materiais_Base!A:D,2,"FALSO"))</f>
        <v>Junta de dilatação em elastômero e perfil VV - L = 25 mm e H = 50 mm</v>
      </c>
      <c r="C306" s="353" t="str">
        <f>IF(A306="","",VLOOKUP(A306,Materiais_Base!A:D,3,"FALSO"))</f>
        <v>m</v>
      </c>
      <c r="D306" s="354">
        <v>197.6073</v>
      </c>
      <c r="E306" s="355">
        <f t="shared" si="8"/>
        <v>197.6073</v>
      </c>
      <c r="F306" s="354"/>
      <c r="G306" s="345">
        <f>IF(D306="","",VLOOKUP(A306,Materiais_Base!A:D,4,"FALSO"))</f>
        <v>197.6073</v>
      </c>
    </row>
    <row r="307" hidden="1" customHeight="1" spans="1:7">
      <c r="A307" s="352" t="s">
        <v>14595</v>
      </c>
      <c r="B307" s="352" t="str">
        <f>IF(A307="","",VLOOKUP(A307,Materiais_Base!A:D,2,"FALSO"))</f>
        <v>Pó de pedra</v>
      </c>
      <c r="C307" s="353" t="str">
        <f>IF(A307="","",VLOOKUP(A307,Materiais_Base!A:D,3,"FALSO"))</f>
        <v>m³</v>
      </c>
      <c r="D307" s="354" t="s">
        <v>932</v>
      </c>
      <c r="E307" s="355" t="str">
        <f t="shared" si="8"/>
        <v/>
      </c>
      <c r="F307" s="354"/>
      <c r="G307" s="345" t="str">
        <f>IF(D307="","",VLOOKUP(A307,Materiais_Base!A:D,4,"FALSO"))</f>
        <v/>
      </c>
    </row>
    <row r="308" hidden="1" customHeight="1" spans="1:7">
      <c r="A308" s="352" t="s">
        <v>14596</v>
      </c>
      <c r="B308" s="352" t="str">
        <f>IF(A308="","",VLOOKUP(A308,Materiais_Base!A:D,2,"FALSO"))</f>
        <v>Junta de dilatação em elastômero e perfil VV - L = 35 mm e H = 60 mm</v>
      </c>
      <c r="C308" s="353" t="str">
        <f>IF(A308="","",VLOOKUP(A308,Materiais_Base!A:D,3,"FALSO"))</f>
        <v>m</v>
      </c>
      <c r="D308" s="354" t="s">
        <v>932</v>
      </c>
      <c r="E308" s="355" t="str">
        <f t="shared" si="8"/>
        <v/>
      </c>
      <c r="F308" s="354"/>
      <c r="G308" s="345" t="str">
        <f>IF(D308="","",VLOOKUP(A308,Materiais_Base!A:D,4,"FALSO"))</f>
        <v/>
      </c>
    </row>
    <row r="309" customHeight="1" spans="1:7">
      <c r="A309" s="352" t="s">
        <v>14597</v>
      </c>
      <c r="B309" s="352" t="str">
        <f>IF(A309="","",VLOOKUP(A309,Materiais_Base!A:D,2,"FALSO"))</f>
        <v>Adesivo estrutural à base de resina epóxi bicomponente tipo ADE-52 ou similar</v>
      </c>
      <c r="C309" s="353" t="str">
        <f>IF(A309="","",VLOOKUP(A309,Materiais_Base!A:D,3,"FALSO"))</f>
        <v>kg</v>
      </c>
      <c r="D309" s="354">
        <v>135.429</v>
      </c>
      <c r="E309" s="355">
        <f t="shared" si="8"/>
        <v>135.429</v>
      </c>
      <c r="F309" s="354"/>
      <c r="G309" s="345">
        <f>IF(D309="","",VLOOKUP(A309,Materiais_Base!A:D,4,"FALSO"))</f>
        <v>135.429</v>
      </c>
    </row>
    <row r="310" hidden="1" customHeight="1" spans="1:7">
      <c r="A310" s="352" t="s">
        <v>14598</v>
      </c>
      <c r="B310" s="352" t="str">
        <f>IF(A310="","",VLOOKUP(A310,Materiais_Base!A:D,2,"FALSO"))</f>
        <v>Junta de dilatação em elastômero e perfil VV - L = 40 mm e H = 70 mm</v>
      </c>
      <c r="C310" s="353" t="str">
        <f>IF(A310="","",VLOOKUP(A310,Materiais_Base!A:D,3,"FALSO"))</f>
        <v>m</v>
      </c>
      <c r="D310" s="354" t="s">
        <v>932</v>
      </c>
      <c r="E310" s="355" t="str">
        <f t="shared" si="8"/>
        <v/>
      </c>
      <c r="F310" s="354"/>
      <c r="G310" s="345" t="str">
        <f>IF(D310="","",VLOOKUP(A310,Materiais_Base!A:D,4,"FALSO"))</f>
        <v/>
      </c>
    </row>
    <row r="311" hidden="1" customHeight="1" spans="1:7">
      <c r="A311" s="352" t="s">
        <v>14599</v>
      </c>
      <c r="B311" s="352" t="str">
        <f>IF(A311="","",VLOOKUP(A311,Materiais_Base!A:D,2,"FALSO"))</f>
        <v>Junta de dilatação em elastômero e perfil VV - L = 50 mm e H = 80 mm</v>
      </c>
      <c r="C311" s="353" t="str">
        <f>IF(A311="","",VLOOKUP(A311,Materiais_Base!A:D,3,"FALSO"))</f>
        <v>m</v>
      </c>
      <c r="D311" s="354" t="s">
        <v>932</v>
      </c>
      <c r="E311" s="355" t="str">
        <f t="shared" si="8"/>
        <v/>
      </c>
      <c r="F311" s="354"/>
      <c r="G311" s="345" t="str">
        <f>IF(D311="","",VLOOKUP(A311,Materiais_Base!A:D,4,"FALSO"))</f>
        <v/>
      </c>
    </row>
    <row r="312" hidden="1" customHeight="1" spans="1:7">
      <c r="A312" s="352" t="s">
        <v>14600</v>
      </c>
      <c r="B312" s="352" t="str">
        <f>IF(A312="","",VLOOKUP(A312,Materiais_Base!A:D,2,"FALSO"))</f>
        <v>Arame liso em aço galvanizado - D = 1,65 mm (16 BWG)</v>
      </c>
      <c r="C312" s="353" t="str">
        <f>IF(A312="","",VLOOKUP(A312,Materiais_Base!A:D,3,"FALSO"))</f>
        <v>kg</v>
      </c>
      <c r="D312" s="354" t="s">
        <v>932</v>
      </c>
      <c r="E312" s="355" t="str">
        <f t="shared" si="8"/>
        <v/>
      </c>
      <c r="F312" s="354"/>
      <c r="G312" s="345" t="str">
        <f>IF(D312="","",VLOOKUP(A312,Materiais_Base!A:D,4,"FALSO"))</f>
        <v/>
      </c>
    </row>
    <row r="313" customHeight="1" spans="1:7">
      <c r="A313" s="352" t="s">
        <v>14237</v>
      </c>
      <c r="B313" s="352" t="str">
        <f>IF(A313="","",VLOOKUP(A313,Materiais_Base!A:D,2,"FALSO"))</f>
        <v>Prego de ferro</v>
      </c>
      <c r="C313" s="353" t="str">
        <f>IF(A313="","",VLOOKUP(A313,Materiais_Base!A:D,3,"FALSO"))</f>
        <v>kg</v>
      </c>
      <c r="D313" s="354">
        <v>14.43</v>
      </c>
      <c r="E313" s="355">
        <f t="shared" si="8"/>
        <v>14.43</v>
      </c>
      <c r="F313" s="354"/>
      <c r="G313" s="345">
        <f>IF(D313="","",VLOOKUP(A313,Materiais_Base!A:D,4,"FALSO"))</f>
        <v>14.43</v>
      </c>
    </row>
    <row r="314" hidden="1" customHeight="1" spans="1:7">
      <c r="A314" s="352" t="s">
        <v>14601</v>
      </c>
      <c r="B314" s="352" t="str">
        <f>IF(A314="","",VLOOKUP(A314,Materiais_Base!A:D,2,"FALSO"))</f>
        <v>Pórtico metálico para vão de 15,9 m e vento de 35 m/s</v>
      </c>
      <c r="C314" s="353" t="str">
        <f>IF(A314="","",VLOOKUP(A314,Materiais_Base!A:D,3,"FALSO"))</f>
        <v>un</v>
      </c>
      <c r="D314" s="354" t="s">
        <v>932</v>
      </c>
      <c r="E314" s="355" t="str">
        <f t="shared" si="8"/>
        <v/>
      </c>
      <c r="F314" s="354"/>
      <c r="G314" s="345" t="str">
        <f>IF(D314="","",VLOOKUP(A314,Materiais_Base!A:D,4,"FALSO"))</f>
        <v/>
      </c>
    </row>
    <row r="315" hidden="1" customHeight="1" spans="1:7">
      <c r="A315" s="352" t="s">
        <v>14602</v>
      </c>
      <c r="B315" s="352" t="str">
        <f>IF(A315="","",VLOOKUP(A315,Materiais_Base!A:D,2,"FALSO"))</f>
        <v>Projetor externo em alumínio fundido para lâmpada de até 2.000 W</v>
      </c>
      <c r="C315" s="353" t="str">
        <f>IF(A315="","",VLOOKUP(A315,Materiais_Base!A:D,3,"FALSO"))</f>
        <v>un</v>
      </c>
      <c r="D315" s="354" t="s">
        <v>932</v>
      </c>
      <c r="E315" s="355" t="str">
        <f t="shared" si="8"/>
        <v/>
      </c>
      <c r="F315" s="354"/>
      <c r="G315" s="345" t="str">
        <f>IF(D315="","",VLOOKUP(A315,Materiais_Base!A:D,4,"FALSO"))</f>
        <v/>
      </c>
    </row>
    <row r="316" hidden="1" customHeight="1" spans="1:7">
      <c r="A316" s="352" t="s">
        <v>14603</v>
      </c>
      <c r="B316" s="352" t="str">
        <f>IF(A316="","",VLOOKUP(A316,Materiais_Base!A:D,2,"FALSO"))</f>
        <v>Coroa diamantada - D = 15,87 mm (5/8")</v>
      </c>
      <c r="C316" s="353" t="str">
        <f>IF(A316="","",VLOOKUP(A316,Materiais_Base!A:D,3,"FALSO"))</f>
        <v>un</v>
      </c>
      <c r="D316" s="354" t="s">
        <v>932</v>
      </c>
      <c r="E316" s="355" t="str">
        <f t="shared" si="8"/>
        <v/>
      </c>
      <c r="F316" s="354"/>
      <c r="G316" s="345" t="str">
        <f>IF(D316="","",VLOOKUP(A316,Materiais_Base!A:D,4,"FALSO"))</f>
        <v/>
      </c>
    </row>
    <row r="317" hidden="1" customHeight="1" spans="1:7">
      <c r="A317" s="352" t="s">
        <v>14604</v>
      </c>
      <c r="B317" s="352" t="str">
        <f>IF(A317="","",VLOOKUP(A317,Materiais_Base!A:D,2,"FALSO"))</f>
        <v>Coroa diamantada - D = 19,50 mm (3/4")</v>
      </c>
      <c r="C317" s="353" t="str">
        <f>IF(A317="","",VLOOKUP(A317,Materiais_Base!A:D,3,"FALSO"))</f>
        <v>un</v>
      </c>
      <c r="D317" s="354" t="s">
        <v>932</v>
      </c>
      <c r="E317" s="355" t="str">
        <f t="shared" si="8"/>
        <v/>
      </c>
      <c r="F317" s="354"/>
      <c r="G317" s="345" t="str">
        <f>IF(D317="","",VLOOKUP(A317,Materiais_Base!A:D,4,"FALSO"))</f>
        <v/>
      </c>
    </row>
    <row r="318" hidden="1" customHeight="1" spans="1:7">
      <c r="A318" s="352" t="s">
        <v>14605</v>
      </c>
      <c r="B318" s="352" t="str">
        <f>IF(A318="","",VLOOKUP(A318,Materiais_Base!A:D,2,"FALSO"))</f>
        <v>Coroa diamantada - D = 25,40 mm (1")</v>
      </c>
      <c r="C318" s="353" t="str">
        <f>IF(A318="","",VLOOKUP(A318,Materiais_Base!A:D,3,"FALSO"))</f>
        <v>un</v>
      </c>
      <c r="D318" s="354" t="s">
        <v>932</v>
      </c>
      <c r="E318" s="355" t="str">
        <f t="shared" si="8"/>
        <v/>
      </c>
      <c r="F318" s="354"/>
      <c r="G318" s="345" t="str">
        <f>IF(D318="","",VLOOKUP(A318,Materiais_Base!A:D,4,"FALSO"))</f>
        <v/>
      </c>
    </row>
    <row r="319" hidden="1" customHeight="1" spans="1:7">
      <c r="A319" s="352" t="s">
        <v>14606</v>
      </c>
      <c r="B319" s="352" t="str">
        <f>IF(A319="","",VLOOKUP(A319,Materiais_Base!A:D,2,"FALSO"))</f>
        <v>Barra em aço SAE 1010/1020 roscada - D = 9,5 mm (3/8")</v>
      </c>
      <c r="C319" s="353" t="str">
        <f>IF(A319="","",VLOOKUP(A319,Materiais_Base!A:D,3,"FALSO"))</f>
        <v>m</v>
      </c>
      <c r="D319" s="354" t="s">
        <v>932</v>
      </c>
      <c r="E319" s="355" t="str">
        <f t="shared" si="8"/>
        <v/>
      </c>
      <c r="F319" s="354"/>
      <c r="G319" s="345" t="str">
        <f>IF(D319="","",VLOOKUP(A319,Materiais_Base!A:D,4,"FALSO"))</f>
        <v/>
      </c>
    </row>
    <row r="320" hidden="1" customHeight="1" spans="1:7">
      <c r="A320" s="352" t="s">
        <v>14607</v>
      </c>
      <c r="B320" s="352" t="str">
        <f>IF(A320="","",VLOOKUP(A320,Materiais_Base!A:D,2,"FALSO"))</f>
        <v>Roller bit - Tooth cutter - série 8 - D = 700 mm</v>
      </c>
      <c r="C320" s="353" t="str">
        <f>IF(A320="","",VLOOKUP(A320,Materiais_Base!A:D,3,"FALSO"))</f>
        <v>un</v>
      </c>
      <c r="D320" s="354" t="s">
        <v>932</v>
      </c>
      <c r="E320" s="355" t="str">
        <f t="shared" si="8"/>
        <v/>
      </c>
      <c r="F320" s="354"/>
      <c r="G320" s="345" t="str">
        <f>IF(D320="","",VLOOKUP(A320,Materiais_Base!A:D,4,"FALSO"))</f>
        <v/>
      </c>
    </row>
    <row r="321" hidden="1" customHeight="1" spans="1:7">
      <c r="A321" s="352" t="s">
        <v>14608</v>
      </c>
      <c r="B321" s="352" t="str">
        <f>IF(A321="","",VLOOKUP(A321,Materiais_Base!A:D,2,"FALSO"))</f>
        <v>Roller bit - Tooth cutter - série 8 - D = 800 mm</v>
      </c>
      <c r="C321" s="353" t="str">
        <f>IF(A321="","",VLOOKUP(A321,Materiais_Base!A:D,3,"FALSO"))</f>
        <v>un</v>
      </c>
      <c r="D321" s="354" t="s">
        <v>932</v>
      </c>
      <c r="E321" s="355" t="str">
        <f t="shared" si="8"/>
        <v/>
      </c>
      <c r="F321" s="354"/>
      <c r="G321" s="345" t="str">
        <f>IF(D321="","",VLOOKUP(A321,Materiais_Base!A:D,4,"FALSO"))</f>
        <v/>
      </c>
    </row>
    <row r="322" hidden="1" customHeight="1" spans="1:7">
      <c r="A322" s="352" t="s">
        <v>14609</v>
      </c>
      <c r="B322" s="352" t="str">
        <f>IF(A322="","",VLOOKUP(A322,Materiais_Base!A:D,2,"FALSO"))</f>
        <v>Roller bit - Tooth cutter - série 8 - D = 900 mm</v>
      </c>
      <c r="C322" s="353" t="str">
        <f>IF(A322="","",VLOOKUP(A322,Materiais_Base!A:D,3,"FALSO"))</f>
        <v>un</v>
      </c>
      <c r="D322" s="354" t="s">
        <v>932</v>
      </c>
      <c r="E322" s="355" t="str">
        <f t="shared" si="8"/>
        <v/>
      </c>
      <c r="F322" s="354"/>
      <c r="G322" s="345" t="str">
        <f>IF(D322="","",VLOOKUP(A322,Materiais_Base!A:D,4,"FALSO"))</f>
        <v/>
      </c>
    </row>
    <row r="323" hidden="1" customHeight="1" spans="1:7">
      <c r="A323" s="352" t="s">
        <v>14610</v>
      </c>
      <c r="B323" s="352" t="str">
        <f>IF(A323="","",VLOOKUP(A323,Materiais_Base!A:D,2,"FALSO"))</f>
        <v>Roller bit - Tooth cutter - série 8 - D = 1.000 mm</v>
      </c>
      <c r="C323" s="353" t="str">
        <f>IF(A323="","",VLOOKUP(A323,Materiais_Base!A:D,3,"FALSO"))</f>
        <v>un</v>
      </c>
      <c r="D323" s="354" t="s">
        <v>932</v>
      </c>
      <c r="E323" s="355" t="str">
        <f t="shared" si="8"/>
        <v/>
      </c>
      <c r="F323" s="354"/>
      <c r="G323" s="345" t="str">
        <f>IF(D323="","",VLOOKUP(A323,Materiais_Base!A:D,4,"FALSO"))</f>
        <v/>
      </c>
    </row>
    <row r="324" hidden="1" customHeight="1" spans="1:7">
      <c r="A324" s="352" t="s">
        <v>14611</v>
      </c>
      <c r="B324" s="352" t="str">
        <f>IF(A324="","",VLOOKUP(A324,Materiais_Base!A:D,2,"FALSO"))</f>
        <v>Roller bit - Tooth cutter - série 8 - D = 1.100 mm</v>
      </c>
      <c r="C324" s="353" t="str">
        <f>IF(A324="","",VLOOKUP(A324,Materiais_Base!A:D,3,"FALSO"))</f>
        <v>un</v>
      </c>
      <c r="D324" s="354" t="s">
        <v>932</v>
      </c>
      <c r="E324" s="355" t="str">
        <f t="shared" ref="E324:E387" si="9">IF(D324="","",MIN(D324,F324))</f>
        <v/>
      </c>
      <c r="F324" s="354"/>
      <c r="G324" s="345" t="str">
        <f>IF(D324="","",VLOOKUP(A324,Materiais_Base!A:D,4,"FALSO"))</f>
        <v/>
      </c>
    </row>
    <row r="325" hidden="1" customHeight="1" spans="1:7">
      <c r="A325" s="352" t="s">
        <v>14612</v>
      </c>
      <c r="B325" s="352" t="str">
        <f>IF(A325="","",VLOOKUP(A325,Materiais_Base!A:D,2,"FALSO"))</f>
        <v>Roller bit - Tooth cutter - série 8 - D = 1.200 mm</v>
      </c>
      <c r="C325" s="353" t="str">
        <f>IF(A325="","",VLOOKUP(A325,Materiais_Base!A:D,3,"FALSO"))</f>
        <v>un</v>
      </c>
      <c r="D325" s="354" t="s">
        <v>932</v>
      </c>
      <c r="E325" s="355" t="str">
        <f t="shared" si="9"/>
        <v/>
      </c>
      <c r="F325" s="354"/>
      <c r="G325" s="345" t="str">
        <f>IF(D325="","",VLOOKUP(A325,Materiais_Base!A:D,4,"FALSO"))</f>
        <v/>
      </c>
    </row>
    <row r="326" hidden="1" customHeight="1" spans="1:7">
      <c r="A326" s="352" t="s">
        <v>14613</v>
      </c>
      <c r="B326" s="352" t="str">
        <f>IF(A326="","",VLOOKUP(A326,Materiais_Base!A:D,2,"FALSO"))</f>
        <v>Roller bit - Tooth cutter - série 8 - D = 1.300 mm</v>
      </c>
      <c r="C326" s="353" t="str">
        <f>IF(A326="","",VLOOKUP(A326,Materiais_Base!A:D,3,"FALSO"))</f>
        <v>un</v>
      </c>
      <c r="D326" s="354" t="s">
        <v>932</v>
      </c>
      <c r="E326" s="355" t="str">
        <f t="shared" si="9"/>
        <v/>
      </c>
      <c r="F326" s="354"/>
      <c r="G326" s="345" t="str">
        <f>IF(D326="","",VLOOKUP(A326,Materiais_Base!A:D,4,"FALSO"))</f>
        <v/>
      </c>
    </row>
    <row r="327" hidden="1" customHeight="1" spans="1:7">
      <c r="A327" s="352" t="s">
        <v>14614</v>
      </c>
      <c r="B327" s="352" t="str">
        <f>IF(A327="","",VLOOKUP(A327,Materiais_Base!A:D,2,"FALSO"))</f>
        <v>Roller bit - Tooth cutter - série 13 - D = 1.400 mm</v>
      </c>
      <c r="C327" s="353" t="str">
        <f>IF(A327="","",VLOOKUP(A327,Materiais_Base!A:D,3,"FALSO"))</f>
        <v>un</v>
      </c>
      <c r="D327" s="354" t="s">
        <v>932</v>
      </c>
      <c r="E327" s="355" t="str">
        <f t="shared" si="9"/>
        <v/>
      </c>
      <c r="F327" s="354"/>
      <c r="G327" s="345" t="str">
        <f>IF(D327="","",VLOOKUP(A327,Materiais_Base!A:D,4,"FALSO"))</f>
        <v/>
      </c>
    </row>
    <row r="328" hidden="1" customHeight="1" spans="1:7">
      <c r="A328" s="352" t="s">
        <v>14615</v>
      </c>
      <c r="B328" s="352" t="str">
        <f>IF(A328="","",VLOOKUP(A328,Materiais_Base!A:D,2,"FALSO"))</f>
        <v>Roller bit - Tooth cutter - série 13 - D = 1.500 mm</v>
      </c>
      <c r="C328" s="353" t="str">
        <f>IF(A328="","",VLOOKUP(A328,Materiais_Base!A:D,3,"FALSO"))</f>
        <v>un</v>
      </c>
      <c r="D328" s="354" t="s">
        <v>932</v>
      </c>
      <c r="E328" s="355" t="str">
        <f t="shared" si="9"/>
        <v/>
      </c>
      <c r="F328" s="354"/>
      <c r="G328" s="345" t="str">
        <f>IF(D328="","",VLOOKUP(A328,Materiais_Base!A:D,4,"FALSO"))</f>
        <v/>
      </c>
    </row>
    <row r="329" hidden="1" customHeight="1" spans="1:7">
      <c r="A329" s="352" t="s">
        <v>14616</v>
      </c>
      <c r="B329" s="352" t="str">
        <f>IF(A329="","",VLOOKUP(A329,Materiais_Base!A:D,2,"FALSO"))</f>
        <v>Roller bit - Tooth cutter - série 13 - D = 1.600 mm</v>
      </c>
      <c r="C329" s="353" t="str">
        <f>IF(A329="","",VLOOKUP(A329,Materiais_Base!A:D,3,"FALSO"))</f>
        <v>un</v>
      </c>
      <c r="D329" s="354" t="s">
        <v>932</v>
      </c>
      <c r="E329" s="355" t="str">
        <f t="shared" si="9"/>
        <v/>
      </c>
      <c r="F329" s="354"/>
      <c r="G329" s="345" t="str">
        <f>IF(D329="","",VLOOKUP(A329,Materiais_Base!A:D,4,"FALSO"))</f>
        <v/>
      </c>
    </row>
    <row r="330" hidden="1" customHeight="1" spans="1:7">
      <c r="A330" s="352" t="s">
        <v>14617</v>
      </c>
      <c r="B330" s="352" t="str">
        <f>IF(A330="","",VLOOKUP(A330,Materiais_Base!A:D,2,"FALSO"))</f>
        <v>Roller bit - Tooth cutter - série 13 - D = 1.700 mm</v>
      </c>
      <c r="C330" s="353" t="str">
        <f>IF(A330="","",VLOOKUP(A330,Materiais_Base!A:D,3,"FALSO"))</f>
        <v>un</v>
      </c>
      <c r="D330" s="354" t="s">
        <v>932</v>
      </c>
      <c r="E330" s="355" t="str">
        <f t="shared" si="9"/>
        <v/>
      </c>
      <c r="F330" s="354"/>
      <c r="G330" s="345" t="str">
        <f>IF(D330="","",VLOOKUP(A330,Materiais_Base!A:D,4,"FALSO"))</f>
        <v/>
      </c>
    </row>
    <row r="331" hidden="1" customHeight="1" spans="1:7">
      <c r="A331" s="352" t="s">
        <v>14618</v>
      </c>
      <c r="B331" s="352" t="str">
        <f>IF(A331="","",VLOOKUP(A331,Materiais_Base!A:D,2,"FALSO"))</f>
        <v>Roller bit - Tooth cutter - série 13 - D = 1.800 mm</v>
      </c>
      <c r="C331" s="353" t="str">
        <f>IF(A331="","",VLOOKUP(A331,Materiais_Base!A:D,3,"FALSO"))</f>
        <v>un</v>
      </c>
      <c r="D331" s="354" t="s">
        <v>932</v>
      </c>
      <c r="E331" s="355" t="str">
        <f t="shared" si="9"/>
        <v/>
      </c>
      <c r="F331" s="354"/>
      <c r="G331" s="345" t="str">
        <f>IF(D331="","",VLOOKUP(A331,Materiais_Base!A:D,4,"FALSO"))</f>
        <v/>
      </c>
    </row>
    <row r="332" hidden="1" customHeight="1" spans="1:7">
      <c r="A332" s="352" t="s">
        <v>14619</v>
      </c>
      <c r="B332" s="352" t="str">
        <f>IF(A332="","",VLOOKUP(A332,Materiais_Base!A:D,2,"FALSO"))</f>
        <v>Roller bit - TCI button cutter - cantilever - D = 600 mm</v>
      </c>
      <c r="C332" s="353" t="str">
        <f>IF(A332="","",VLOOKUP(A332,Materiais_Base!A:D,3,"FALSO"))</f>
        <v>un</v>
      </c>
      <c r="D332" s="354" t="s">
        <v>932</v>
      </c>
      <c r="E332" s="355" t="str">
        <f t="shared" si="9"/>
        <v/>
      </c>
      <c r="F332" s="354"/>
      <c r="G332" s="345" t="str">
        <f>IF(D332="","",VLOOKUP(A332,Materiais_Base!A:D,4,"FALSO"))</f>
        <v/>
      </c>
    </row>
    <row r="333" hidden="1" customHeight="1" spans="1:7">
      <c r="A333" s="352" t="s">
        <v>14620</v>
      </c>
      <c r="B333" s="352" t="str">
        <f>IF(A333="","",VLOOKUP(A333,Materiais_Base!A:D,2,"FALSO"))</f>
        <v>Roller bit - TCI button cutter - série 8 - D = 700 mm</v>
      </c>
      <c r="C333" s="353" t="str">
        <f>IF(A333="","",VLOOKUP(A333,Materiais_Base!A:D,3,"FALSO"))</f>
        <v>un</v>
      </c>
      <c r="D333" s="354" t="s">
        <v>932</v>
      </c>
      <c r="E333" s="355" t="str">
        <f t="shared" si="9"/>
        <v/>
      </c>
      <c r="F333" s="354"/>
      <c r="G333" s="345" t="str">
        <f>IF(D333="","",VLOOKUP(A333,Materiais_Base!A:D,4,"FALSO"))</f>
        <v/>
      </c>
    </row>
    <row r="334" hidden="1" customHeight="1" spans="1:7">
      <c r="A334" s="352" t="s">
        <v>14621</v>
      </c>
      <c r="B334" s="352" t="str">
        <f>IF(A334="","",VLOOKUP(A334,Materiais_Base!A:D,2,"FALSO"))</f>
        <v>Roller bit - TCI button cutter - série 8 - D = 800 mm</v>
      </c>
      <c r="C334" s="353" t="str">
        <f>IF(A334="","",VLOOKUP(A334,Materiais_Base!A:D,3,"FALSO"))</f>
        <v>un</v>
      </c>
      <c r="D334" s="354" t="s">
        <v>932</v>
      </c>
      <c r="E334" s="355" t="str">
        <f t="shared" si="9"/>
        <v/>
      </c>
      <c r="F334" s="354"/>
      <c r="G334" s="345" t="str">
        <f>IF(D334="","",VLOOKUP(A334,Materiais_Base!A:D,4,"FALSO"))</f>
        <v/>
      </c>
    </row>
    <row r="335" hidden="1" customHeight="1" spans="1:7">
      <c r="A335" s="352" t="s">
        <v>14622</v>
      </c>
      <c r="B335" s="352" t="str">
        <f>IF(A335="","",VLOOKUP(A335,Materiais_Base!A:D,2,"FALSO"))</f>
        <v>Roller bit - TCI button cutter - série 8 - D = 900 mm</v>
      </c>
      <c r="C335" s="353" t="str">
        <f>IF(A335="","",VLOOKUP(A335,Materiais_Base!A:D,3,"FALSO"))</f>
        <v>un</v>
      </c>
      <c r="D335" s="354" t="s">
        <v>932</v>
      </c>
      <c r="E335" s="355" t="str">
        <f t="shared" si="9"/>
        <v/>
      </c>
      <c r="F335" s="354"/>
      <c r="G335" s="345" t="str">
        <f>IF(D335="","",VLOOKUP(A335,Materiais_Base!A:D,4,"FALSO"))</f>
        <v/>
      </c>
    </row>
    <row r="336" hidden="1" customHeight="1" spans="1:7">
      <c r="A336" s="352" t="s">
        <v>14623</v>
      </c>
      <c r="B336" s="352" t="str">
        <f>IF(A336="","",VLOOKUP(A336,Materiais_Base!A:D,2,"FALSO"))</f>
        <v>Roller bit - TCI button cutter - série 8 - D = 1.000 mm</v>
      </c>
      <c r="C336" s="353" t="str">
        <f>IF(A336="","",VLOOKUP(A336,Materiais_Base!A:D,3,"FALSO"))</f>
        <v>un</v>
      </c>
      <c r="D336" s="354" t="s">
        <v>932</v>
      </c>
      <c r="E336" s="355" t="str">
        <f t="shared" si="9"/>
        <v/>
      </c>
      <c r="F336" s="354"/>
      <c r="G336" s="345" t="str">
        <f>IF(D336="","",VLOOKUP(A336,Materiais_Base!A:D,4,"FALSO"))</f>
        <v/>
      </c>
    </row>
    <row r="337" hidden="1" customHeight="1" spans="1:7">
      <c r="A337" s="352" t="s">
        <v>14624</v>
      </c>
      <c r="B337" s="352" t="str">
        <f>IF(A337="","",VLOOKUP(A337,Materiais_Base!A:D,2,"FALSO"))</f>
        <v>Roller bit - TCI button cutter - série 8 - D = 1.100 mm</v>
      </c>
      <c r="C337" s="353" t="str">
        <f>IF(A337="","",VLOOKUP(A337,Materiais_Base!A:D,3,"FALSO"))</f>
        <v>un</v>
      </c>
      <c r="D337" s="354" t="s">
        <v>932</v>
      </c>
      <c r="E337" s="355" t="str">
        <f t="shared" si="9"/>
        <v/>
      </c>
      <c r="F337" s="354"/>
      <c r="G337" s="345" t="str">
        <f>IF(D337="","",VLOOKUP(A337,Materiais_Base!A:D,4,"FALSO"))</f>
        <v/>
      </c>
    </row>
    <row r="338" hidden="1" customHeight="1" spans="1:7">
      <c r="A338" s="352" t="s">
        <v>14625</v>
      </c>
      <c r="B338" s="352" t="str">
        <f>IF(A338="","",VLOOKUP(A338,Materiais_Base!A:D,2,"FALSO"))</f>
        <v>Roller bit - TCI button cutter - série 8 - D = 1.200 mm</v>
      </c>
      <c r="C338" s="353" t="str">
        <f>IF(A338="","",VLOOKUP(A338,Materiais_Base!A:D,3,"FALSO"))</f>
        <v>un</v>
      </c>
      <c r="D338" s="354" t="s">
        <v>932</v>
      </c>
      <c r="E338" s="355" t="str">
        <f t="shared" si="9"/>
        <v/>
      </c>
      <c r="F338" s="354"/>
      <c r="G338" s="345" t="str">
        <f>IF(D338="","",VLOOKUP(A338,Materiais_Base!A:D,4,"FALSO"))</f>
        <v/>
      </c>
    </row>
    <row r="339" hidden="1" customHeight="1" spans="1:7">
      <c r="A339" s="352" t="s">
        <v>14626</v>
      </c>
      <c r="B339" s="352" t="str">
        <f>IF(A339="","",VLOOKUP(A339,Materiais_Base!A:D,2,"FALSO"))</f>
        <v>Roller bit - TCI button cutter - série 8 - D = 1.300 mm</v>
      </c>
      <c r="C339" s="353" t="str">
        <f>IF(A339="","",VLOOKUP(A339,Materiais_Base!A:D,3,"FALSO"))</f>
        <v>un</v>
      </c>
      <c r="D339" s="354" t="s">
        <v>932</v>
      </c>
      <c r="E339" s="355" t="str">
        <f t="shared" si="9"/>
        <v/>
      </c>
      <c r="F339" s="354"/>
      <c r="G339" s="345" t="str">
        <f>IF(D339="","",VLOOKUP(A339,Materiais_Base!A:D,4,"FALSO"))</f>
        <v/>
      </c>
    </row>
    <row r="340" hidden="1" customHeight="1" spans="1:7">
      <c r="A340" s="352" t="s">
        <v>14627</v>
      </c>
      <c r="B340" s="352" t="str">
        <f>IF(A340="","",VLOOKUP(A340,Materiais_Base!A:D,2,"FALSO"))</f>
        <v>Roller bit - TCI button cutter - série 13 - D = 1.400 mm</v>
      </c>
      <c r="C340" s="353" t="str">
        <f>IF(A340="","",VLOOKUP(A340,Materiais_Base!A:D,3,"FALSO"))</f>
        <v>un</v>
      </c>
      <c r="D340" s="354" t="s">
        <v>932</v>
      </c>
      <c r="E340" s="355" t="str">
        <f t="shared" si="9"/>
        <v/>
      </c>
      <c r="F340" s="354"/>
      <c r="G340" s="345" t="str">
        <f>IF(D340="","",VLOOKUP(A340,Materiais_Base!A:D,4,"FALSO"))</f>
        <v/>
      </c>
    </row>
    <row r="341" hidden="1" customHeight="1" spans="1:7">
      <c r="A341" s="352" t="s">
        <v>14628</v>
      </c>
      <c r="B341" s="352" t="str">
        <f>IF(A341="","",VLOOKUP(A341,Materiais_Base!A:D,2,"FALSO"))</f>
        <v>Roller bit - TCI button cutter - série 13 - D = 1.500 mm</v>
      </c>
      <c r="C341" s="353" t="str">
        <f>IF(A341="","",VLOOKUP(A341,Materiais_Base!A:D,3,"FALSO"))</f>
        <v>un</v>
      </c>
      <c r="D341" s="354" t="s">
        <v>932</v>
      </c>
      <c r="E341" s="355" t="str">
        <f t="shared" si="9"/>
        <v/>
      </c>
      <c r="F341" s="354"/>
      <c r="G341" s="345" t="str">
        <f>IF(D341="","",VLOOKUP(A341,Materiais_Base!A:D,4,"FALSO"))</f>
        <v/>
      </c>
    </row>
    <row r="342" hidden="1" customHeight="1" spans="1:7">
      <c r="A342" s="352" t="s">
        <v>14629</v>
      </c>
      <c r="B342" s="352" t="str">
        <f>IF(A342="","",VLOOKUP(A342,Materiais_Base!A:D,2,"FALSO"))</f>
        <v>Roller bit - TCI button cutter - série 13 - D = 1.600 mm</v>
      </c>
      <c r="C342" s="353" t="str">
        <f>IF(A342="","",VLOOKUP(A342,Materiais_Base!A:D,3,"FALSO"))</f>
        <v>un</v>
      </c>
      <c r="D342" s="354" t="s">
        <v>932</v>
      </c>
      <c r="E342" s="355" t="str">
        <f t="shared" si="9"/>
        <v/>
      </c>
      <c r="F342" s="354"/>
      <c r="G342" s="345" t="str">
        <f>IF(D342="","",VLOOKUP(A342,Materiais_Base!A:D,4,"FALSO"))</f>
        <v/>
      </c>
    </row>
    <row r="343" hidden="1" customHeight="1" spans="1:7">
      <c r="A343" s="352" t="s">
        <v>14630</v>
      </c>
      <c r="B343" s="352" t="str">
        <f>IF(A343="","",VLOOKUP(A343,Materiais_Base!A:D,2,"FALSO"))</f>
        <v>Roller bit - TCI button cutter - série 13 - D = 1.700 mm</v>
      </c>
      <c r="C343" s="353" t="str">
        <f>IF(A343="","",VLOOKUP(A343,Materiais_Base!A:D,3,"FALSO"))</f>
        <v>un</v>
      </c>
      <c r="D343" s="354" t="s">
        <v>932</v>
      </c>
      <c r="E343" s="355" t="str">
        <f t="shared" si="9"/>
        <v/>
      </c>
      <c r="F343" s="354"/>
      <c r="G343" s="345" t="str">
        <f>IF(D343="","",VLOOKUP(A343,Materiais_Base!A:D,4,"FALSO"))</f>
        <v/>
      </c>
    </row>
    <row r="344" hidden="1" customHeight="1" spans="1:7">
      <c r="A344" s="352" t="s">
        <v>14631</v>
      </c>
      <c r="B344" s="352" t="str">
        <f>IF(A344="","",VLOOKUP(A344,Materiais_Base!A:D,2,"FALSO"))</f>
        <v>Roller bit - TCI button cutter - série 13 - D = 1.800 mm</v>
      </c>
      <c r="C344" s="353" t="str">
        <f>IF(A344="","",VLOOKUP(A344,Materiais_Base!A:D,3,"FALSO"))</f>
        <v>un</v>
      </c>
      <c r="D344" s="354" t="s">
        <v>932</v>
      </c>
      <c r="E344" s="355" t="str">
        <f t="shared" si="9"/>
        <v/>
      </c>
      <c r="F344" s="354"/>
      <c r="G344" s="345" t="str">
        <f>IF(D344="","",VLOOKUP(A344,Materiais_Base!A:D,4,"FALSO"))</f>
        <v/>
      </c>
    </row>
    <row r="345" hidden="1" customHeight="1" spans="1:7">
      <c r="A345" s="352" t="s">
        <v>14632</v>
      </c>
      <c r="B345" s="352" t="str">
        <f>IF(A345="","",VLOOKUP(A345,Materiais_Base!A:D,2,"FALSO"))</f>
        <v>Ripa de madeira - E = 4,0 cm e L = 1,5 cm</v>
      </c>
      <c r="C345" s="353" t="str">
        <f>IF(A345="","",VLOOKUP(A345,Materiais_Base!A:D,3,"FALSO"))</f>
        <v>m</v>
      </c>
      <c r="D345" s="354" t="s">
        <v>932</v>
      </c>
      <c r="E345" s="355" t="str">
        <f t="shared" si="9"/>
        <v/>
      </c>
      <c r="F345" s="354"/>
      <c r="G345" s="345" t="str">
        <f>IF(D345="","",VLOOKUP(A345,Materiais_Base!A:D,4,"FALSO"))</f>
        <v/>
      </c>
    </row>
    <row r="346" hidden="1" customHeight="1" spans="1:7">
      <c r="A346" s="352" t="s">
        <v>14633</v>
      </c>
      <c r="B346" s="352" t="str">
        <f>IF(A346="","",VLOOKUP(A346,Materiais_Base!A:D,2,"FALSO"))</f>
        <v>Série de brocas integrais S11</v>
      </c>
      <c r="C346" s="353" t="str">
        <f>IF(A346="","",VLOOKUP(A346,Materiais_Base!A:D,3,"FALSO"))</f>
        <v>un</v>
      </c>
      <c r="D346" s="354" t="s">
        <v>932</v>
      </c>
      <c r="E346" s="355" t="str">
        <f t="shared" si="9"/>
        <v/>
      </c>
      <c r="F346" s="354"/>
      <c r="G346" s="345" t="str">
        <f>IF(D346="","",VLOOKUP(A346,Materiais_Base!A:D,4,"FALSO"))</f>
        <v/>
      </c>
    </row>
    <row r="347" hidden="1" customHeight="1" spans="1:7">
      <c r="A347" s="352" t="s">
        <v>14634</v>
      </c>
      <c r="B347" s="352" t="str">
        <f>IF(A347="","",VLOOKUP(A347,Materiais_Base!A:D,2,"FALSO"))</f>
        <v>Parafuso de cabeça sextavada em aço galvanizado - D = 15,875 mm (5/8") e C = 101,600 mm (4")</v>
      </c>
      <c r="C347" s="353" t="str">
        <f>IF(A347="","",VLOOKUP(A347,Materiais_Base!A:D,3,"FALSO"))</f>
        <v>un</v>
      </c>
      <c r="D347" s="354" t="s">
        <v>932</v>
      </c>
      <c r="E347" s="355" t="str">
        <f t="shared" si="9"/>
        <v/>
      </c>
      <c r="F347" s="354"/>
      <c r="G347" s="345" t="str">
        <f>IF(D347="","",VLOOKUP(A347,Materiais_Base!A:D,4,"FALSO"))</f>
        <v/>
      </c>
    </row>
    <row r="348" hidden="1" customHeight="1" spans="1:7">
      <c r="A348" s="352" t="s">
        <v>14635</v>
      </c>
      <c r="B348" s="352" t="str">
        <f>IF(A348="","",VLOOKUP(A348,Materiais_Base!A:D,2,"FALSO"))</f>
        <v>Muda de árvore ornamental com altura de 2,00 a 3,00 m</v>
      </c>
      <c r="C348" s="353" t="str">
        <f>IF(A348="","",VLOOKUP(A348,Materiais_Base!A:D,3,"FALSO"))</f>
        <v>un</v>
      </c>
      <c r="D348" s="354" t="s">
        <v>932</v>
      </c>
      <c r="E348" s="355" t="str">
        <f t="shared" si="9"/>
        <v/>
      </c>
      <c r="F348" s="354"/>
      <c r="G348" s="345" t="str">
        <f>IF(D348="","",VLOOKUP(A348,Materiais_Base!A:D,4,"FALSO"))</f>
        <v/>
      </c>
    </row>
    <row r="349" hidden="1" customHeight="1" spans="1:7">
      <c r="A349" s="352" t="s">
        <v>14636</v>
      </c>
      <c r="B349" s="352" t="str">
        <f>IF(A349="","",VLOOKUP(A349,Materiais_Base!A:D,2,"FALSO"))</f>
        <v>Muda de árvore ornamental com altura de 1,00 a 2,00 m</v>
      </c>
      <c r="C349" s="353" t="str">
        <f>IF(A349="","",VLOOKUP(A349,Materiais_Base!A:D,3,"FALSO"))</f>
        <v>un</v>
      </c>
      <c r="D349" s="354" t="s">
        <v>932</v>
      </c>
      <c r="E349" s="355" t="str">
        <f t="shared" si="9"/>
        <v/>
      </c>
      <c r="F349" s="354"/>
      <c r="G349" s="345" t="str">
        <f>IF(D349="","",VLOOKUP(A349,Materiais_Base!A:D,4,"FALSO"))</f>
        <v/>
      </c>
    </row>
    <row r="350" hidden="1" customHeight="1" spans="1:7">
      <c r="A350" s="352" t="s">
        <v>14637</v>
      </c>
      <c r="B350" s="352" t="str">
        <f>IF(A350="","",VLOOKUP(A350,Materiais_Base!A:D,2,"FALSO"))</f>
        <v>Muda de árvore ornamental com altura até 1,00 m</v>
      </c>
      <c r="C350" s="353" t="str">
        <f>IF(A350="","",VLOOKUP(A350,Materiais_Base!A:D,3,"FALSO"))</f>
        <v>un</v>
      </c>
      <c r="D350" s="354" t="s">
        <v>932</v>
      </c>
      <c r="E350" s="355" t="str">
        <f t="shared" si="9"/>
        <v/>
      </c>
      <c r="F350" s="354"/>
      <c r="G350" s="345" t="str">
        <f>IF(D350="","",VLOOKUP(A350,Materiais_Base!A:D,4,"FALSO"))</f>
        <v/>
      </c>
    </row>
    <row r="351" customHeight="1" spans="1:7">
      <c r="A351" s="352" t="s">
        <v>14638</v>
      </c>
      <c r="B351" s="352" t="str">
        <f>IF(A351="","",VLOOKUP(A351,Materiais_Base!A:D,2,"FALSO"))</f>
        <v>Sarrafo em madeira de terceira - E = 2,5 cm e L = 5 cm</v>
      </c>
      <c r="C351" s="353" t="str">
        <f>IF(A351="","",VLOOKUP(A351,Materiais_Base!A:D,3,"FALSO"))</f>
        <v>m</v>
      </c>
      <c r="D351" s="354">
        <v>2.1712</v>
      </c>
      <c r="E351" s="355">
        <f t="shared" si="9"/>
        <v>2.1712</v>
      </c>
      <c r="F351" s="354"/>
      <c r="G351" s="345">
        <f>IF(D351="","",VLOOKUP(A351,Materiais_Base!A:D,4,"FALSO"))</f>
        <v>2.1712</v>
      </c>
    </row>
    <row r="352" hidden="1" customHeight="1" spans="1:7">
      <c r="A352" s="352" t="s">
        <v>14639</v>
      </c>
      <c r="B352" s="352" t="str">
        <f>IF(A352="","",VLOOKUP(A352,Materiais_Base!A:D,2,"FALSO"))</f>
        <v>Muda de árvore frutífera com altura de 2,00 a 3,00 m</v>
      </c>
      <c r="C352" s="353" t="str">
        <f>IF(A352="","",VLOOKUP(A352,Materiais_Base!A:D,3,"FALSO"))</f>
        <v>un</v>
      </c>
      <c r="D352" s="354" t="s">
        <v>932</v>
      </c>
      <c r="E352" s="355" t="str">
        <f t="shared" si="9"/>
        <v/>
      </c>
      <c r="F352" s="354"/>
      <c r="G352" s="345" t="str">
        <f>IF(D352="","",VLOOKUP(A352,Materiais_Base!A:D,4,"FALSO"))</f>
        <v/>
      </c>
    </row>
    <row r="353" hidden="1" customHeight="1" spans="1:7">
      <c r="A353" s="352" t="s">
        <v>14640</v>
      </c>
      <c r="B353" s="352" t="str">
        <f>IF(A353="","",VLOOKUP(A353,Materiais_Base!A:D,2,"FALSO"))</f>
        <v>Muda de árvore frutífera com altura de 1,00 a 2,00 m</v>
      </c>
      <c r="C353" s="353" t="str">
        <f>IF(A353="","",VLOOKUP(A353,Materiais_Base!A:D,3,"FALSO"))</f>
        <v>un</v>
      </c>
      <c r="D353" s="354" t="s">
        <v>932</v>
      </c>
      <c r="E353" s="355" t="str">
        <f t="shared" si="9"/>
        <v/>
      </c>
      <c r="F353" s="354"/>
      <c r="G353" s="345" t="str">
        <f>IF(D353="","",VLOOKUP(A353,Materiais_Base!A:D,4,"FALSO"))</f>
        <v/>
      </c>
    </row>
    <row r="354" hidden="1" customHeight="1" spans="1:7">
      <c r="A354" s="352" t="s">
        <v>14641</v>
      </c>
      <c r="B354" s="352" t="str">
        <f>IF(A354="","",VLOOKUP(A354,Materiais_Base!A:D,2,"FALSO"))</f>
        <v>Muda de árvore frutífera com altura até 1,00 m</v>
      </c>
      <c r="C354" s="353" t="str">
        <f>IF(A354="","",VLOOKUP(A354,Materiais_Base!A:D,3,"FALSO"))</f>
        <v>un</v>
      </c>
      <c r="D354" s="354" t="s">
        <v>932</v>
      </c>
      <c r="E354" s="355" t="str">
        <f t="shared" si="9"/>
        <v/>
      </c>
      <c r="F354" s="354"/>
      <c r="G354" s="345" t="str">
        <f>IF(D354="","",VLOOKUP(A354,Materiais_Base!A:D,4,"FALSO"))</f>
        <v/>
      </c>
    </row>
    <row r="355" hidden="1" customHeight="1" spans="1:7">
      <c r="A355" s="352" t="s">
        <v>14642</v>
      </c>
      <c r="B355" s="352" t="str">
        <f>IF(A355="","",VLOOKUP(A355,Materiais_Base!A:D,2,"FALSO"))</f>
        <v>Tapete de floríferas com altura até 0,50 m</v>
      </c>
      <c r="C355" s="353" t="str">
        <f>IF(A355="","",VLOOKUP(A355,Materiais_Base!A:D,3,"FALSO"))</f>
        <v>m²</v>
      </c>
      <c r="D355" s="354" t="s">
        <v>932</v>
      </c>
      <c r="E355" s="355" t="str">
        <f t="shared" si="9"/>
        <v/>
      </c>
      <c r="F355" s="354"/>
      <c r="G355" s="345" t="str">
        <f>IF(D355="","",VLOOKUP(A355,Materiais_Base!A:D,4,"FALSO"))</f>
        <v/>
      </c>
    </row>
    <row r="356" hidden="1" customHeight="1" spans="1:7">
      <c r="A356" s="352" t="s">
        <v>14643</v>
      </c>
      <c r="B356" s="352" t="str">
        <f>IF(A356="","",VLOOKUP(A356,Materiais_Base!A:D,2,"FALSO"))</f>
        <v>Herbicida glifosato para aplicação localizada</v>
      </c>
      <c r="C356" s="353" t="str">
        <f>IF(A356="","",VLOOKUP(A356,Materiais_Base!A:D,3,"FALSO"))</f>
        <v>l</v>
      </c>
      <c r="D356" s="354" t="s">
        <v>932</v>
      </c>
      <c r="E356" s="355" t="str">
        <f t="shared" si="9"/>
        <v/>
      </c>
      <c r="F356" s="354"/>
      <c r="G356" s="345" t="str">
        <f>IF(D356="","",VLOOKUP(A356,Materiais_Base!A:D,4,"FALSO"))</f>
        <v/>
      </c>
    </row>
    <row r="357" hidden="1" customHeight="1" spans="1:7">
      <c r="A357" s="352" t="s">
        <v>14644</v>
      </c>
      <c r="B357" s="352" t="str">
        <f>IF(A357="","",VLOOKUP(A357,Materiais_Base!A:D,2,"FALSO"))</f>
        <v>Desengraxante líquido biodegradável</v>
      </c>
      <c r="C357" s="353" t="str">
        <f>IF(A357="","",VLOOKUP(A357,Materiais_Base!A:D,3,"FALSO"))</f>
        <v>l</v>
      </c>
      <c r="D357" s="354" t="s">
        <v>932</v>
      </c>
      <c r="E357" s="355" t="str">
        <f t="shared" si="9"/>
        <v/>
      </c>
      <c r="F357" s="354"/>
      <c r="G357" s="345" t="str">
        <f>IF(D357="","",VLOOKUP(A357,Materiais_Base!A:D,4,"FALSO"))</f>
        <v/>
      </c>
    </row>
    <row r="358" customHeight="1" spans="1:7">
      <c r="A358" s="352" t="s">
        <v>14309</v>
      </c>
      <c r="B358" s="352" t="str">
        <f>IF(A358="","",VLOOKUP(A358,Materiais_Base!A:D,2,"FALSO"))</f>
        <v>Chapa fina em aço galvanizado</v>
      </c>
      <c r="C358" s="353" t="str">
        <f>IF(A358="","",VLOOKUP(A358,Materiais_Base!A:D,3,"FALSO"))</f>
        <v>kg</v>
      </c>
      <c r="D358" s="354">
        <v>9.8967</v>
      </c>
      <c r="E358" s="355">
        <f t="shared" si="9"/>
        <v>9.8967</v>
      </c>
      <c r="F358" s="354"/>
      <c r="G358" s="345">
        <f>IF(D358="","",VLOOKUP(A358,Materiais_Base!A:D,4,"FALSO"))</f>
        <v>9.8967</v>
      </c>
    </row>
    <row r="359" hidden="1" customHeight="1" spans="1:7">
      <c r="A359" s="352" t="s">
        <v>14645</v>
      </c>
      <c r="B359" s="352" t="str">
        <f>IF(A359="","",VLOOKUP(A359,Materiais_Base!A:D,2,"FALSO"))</f>
        <v>Pingadeira de elastômero com aba inclinada - L = 40 mm e H = 40 mm</v>
      </c>
      <c r="C359" s="353" t="str">
        <f>IF(A359="","",VLOOKUP(A359,Materiais_Base!A:D,3,"FALSO"))</f>
        <v>m</v>
      </c>
      <c r="D359" s="354" t="s">
        <v>932</v>
      </c>
      <c r="E359" s="355" t="str">
        <f t="shared" si="9"/>
        <v/>
      </c>
      <c r="F359" s="354"/>
      <c r="G359" s="345" t="str">
        <f>IF(D359="","",VLOOKUP(A359,Materiais_Base!A:D,4,"FALSO"))</f>
        <v/>
      </c>
    </row>
    <row r="360" hidden="1" customHeight="1" spans="1:7">
      <c r="A360" s="352" t="s">
        <v>14646</v>
      </c>
      <c r="B360" s="352" t="str">
        <f>IF(A360="","",VLOOKUP(A360,Materiais_Base!A:D,2,"FALSO"))</f>
        <v>Selador acrílico para pintura</v>
      </c>
      <c r="C360" s="353" t="str">
        <f>IF(A360="","",VLOOKUP(A360,Materiais_Base!A:D,3,"FALSO"))</f>
        <v>l</v>
      </c>
      <c r="D360" s="354" t="s">
        <v>932</v>
      </c>
      <c r="E360" s="355" t="str">
        <f t="shared" si="9"/>
        <v/>
      </c>
      <c r="F360" s="354"/>
      <c r="G360" s="345" t="str">
        <f>IF(D360="","",VLOOKUP(A360,Materiais_Base!A:D,4,"FALSO"))</f>
        <v/>
      </c>
    </row>
    <row r="361" hidden="1" customHeight="1" spans="1:7">
      <c r="A361" s="352" t="s">
        <v>14647</v>
      </c>
      <c r="B361" s="352" t="str">
        <f>IF(A361="","",VLOOKUP(A361,Materiais_Base!A:D,2,"FALSO"))</f>
        <v>Aditivo látex de polímero SBR para concreto e argamassa</v>
      </c>
      <c r="C361" s="353" t="str">
        <f>IF(A361="","",VLOOKUP(A361,Materiais_Base!A:D,3,"FALSO"))</f>
        <v>l</v>
      </c>
      <c r="D361" s="354" t="s">
        <v>932</v>
      </c>
      <c r="E361" s="355" t="str">
        <f t="shared" si="9"/>
        <v/>
      </c>
      <c r="F361" s="354"/>
      <c r="G361" s="345" t="str">
        <f>IF(D361="","",VLOOKUP(A361,Materiais_Base!A:D,4,"FALSO"))</f>
        <v/>
      </c>
    </row>
    <row r="362" customHeight="1" spans="1:7">
      <c r="A362" s="352" t="s">
        <v>14648</v>
      </c>
      <c r="B362" s="352" t="str">
        <f>IF(A362="","",VLOOKUP(A362,Materiais_Base!A:D,2,"FALSO"))</f>
        <v>Chapa fina em aço ASTM A36</v>
      </c>
      <c r="C362" s="353" t="str">
        <f>IF(A362="","",VLOOKUP(A362,Materiais_Base!A:D,3,"FALSO"))</f>
        <v>kg</v>
      </c>
      <c r="D362" s="354">
        <v>9.3956</v>
      </c>
      <c r="E362" s="355">
        <f t="shared" si="9"/>
        <v>9.3956</v>
      </c>
      <c r="F362" s="354"/>
      <c r="G362" s="345">
        <f>IF(D362="","",VLOOKUP(A362,Materiais_Base!A:D,4,"FALSO"))</f>
        <v>9.3956</v>
      </c>
    </row>
    <row r="363" hidden="1" customHeight="1" spans="1:7">
      <c r="A363" s="352" t="s">
        <v>14649</v>
      </c>
      <c r="B363" s="352" t="str">
        <f>IF(A363="","",VLOOKUP(A363,Materiais_Base!A:D,2,"FALSO"))</f>
        <v>Treliça nervurada eletrossoldada em aço CA 60</v>
      </c>
      <c r="C363" s="353" t="str">
        <f>IF(A363="","",VLOOKUP(A363,Materiais_Base!A:D,3,"FALSO"))</f>
        <v>kg</v>
      </c>
      <c r="D363" s="354" t="s">
        <v>932</v>
      </c>
      <c r="E363" s="355" t="str">
        <f t="shared" si="9"/>
        <v/>
      </c>
      <c r="F363" s="354"/>
      <c r="G363" s="345" t="str">
        <f>IF(D363="","",VLOOKUP(A363,Materiais_Base!A:D,4,"FALSO"))</f>
        <v/>
      </c>
    </row>
    <row r="364" customHeight="1" spans="1:7">
      <c r="A364" s="352" t="s">
        <v>14650</v>
      </c>
      <c r="B364" s="352" t="str">
        <f>IF(A364="","",VLOOKUP(A364,Materiais_Base!A:D,2,"FALSO"))</f>
        <v>Chapa grossa em aço ASTM A36</v>
      </c>
      <c r="C364" s="353" t="str">
        <f>IF(A364="","",VLOOKUP(A364,Materiais_Base!A:D,3,"FALSO"))</f>
        <v>kg</v>
      </c>
      <c r="D364" s="354">
        <v>10.3611</v>
      </c>
      <c r="E364" s="355">
        <f t="shared" si="9"/>
        <v>10.3611</v>
      </c>
      <c r="F364" s="354"/>
      <c r="G364" s="345">
        <f>IF(D364="","",VLOOKUP(A364,Materiais_Base!A:D,4,"FALSO"))</f>
        <v>10.3611</v>
      </c>
    </row>
    <row r="365" customHeight="1" spans="1:7">
      <c r="A365" s="352" t="s">
        <v>14651</v>
      </c>
      <c r="B365" s="352" t="str">
        <f>IF(A365="","",VLOOKUP(A365,Materiais_Base!A:D,2,"FALSO"))</f>
        <v>Argamassa polimérica monocomponente para reparos estruturais</v>
      </c>
      <c r="C365" s="353" t="str">
        <f>IF(A365="","",VLOOKUP(A365,Materiais_Base!A:D,3,"FALSO"))</f>
        <v>kg</v>
      </c>
      <c r="D365" s="354">
        <v>5.7747</v>
      </c>
      <c r="E365" s="355">
        <f t="shared" si="9"/>
        <v>5.7747</v>
      </c>
      <c r="F365" s="354"/>
      <c r="G365" s="345">
        <f>IF(D365="","",VLOOKUP(A365,Materiais_Base!A:D,4,"FALSO"))</f>
        <v>5.7747</v>
      </c>
    </row>
    <row r="366" hidden="1" customHeight="1" spans="1:7">
      <c r="A366" s="352" t="s">
        <v>14652</v>
      </c>
      <c r="B366" s="352" t="str">
        <f>IF(A366="","",VLOOKUP(A366,Materiais_Base!A:D,2,"FALSO"))</f>
        <v>Areia grossa lavada</v>
      </c>
      <c r="C366" s="353" t="str">
        <f>IF(A366="","",VLOOKUP(A366,Materiais_Base!A:D,3,"FALSO"))</f>
        <v>m³</v>
      </c>
      <c r="D366" s="354" t="s">
        <v>932</v>
      </c>
      <c r="E366" s="355" t="str">
        <f t="shared" si="9"/>
        <v/>
      </c>
      <c r="F366" s="354"/>
      <c r="G366" s="345" t="str">
        <f>IF(D366="","",VLOOKUP(A366,Materiais_Base!A:D,4,"FALSO"))</f>
        <v/>
      </c>
    </row>
    <row r="367" hidden="1" customHeight="1" spans="1:7">
      <c r="A367" s="352" t="s">
        <v>14653</v>
      </c>
      <c r="B367" s="352" t="str">
        <f>IF(A367="","",VLOOKUP(A367,Materiais_Base!A:D,2,"FALSO"))</f>
        <v>Areia fina lavada</v>
      </c>
      <c r="C367" s="353" t="str">
        <f>IF(A367="","",VLOOKUP(A367,Materiais_Base!A:D,3,"FALSO"))</f>
        <v>m³</v>
      </c>
      <c r="D367" s="354" t="s">
        <v>932</v>
      </c>
      <c r="E367" s="355" t="str">
        <f t="shared" si="9"/>
        <v/>
      </c>
      <c r="F367" s="354"/>
      <c r="G367" s="345" t="str">
        <f>IF(D367="","",VLOOKUP(A367,Materiais_Base!A:D,4,"FALSO"))</f>
        <v/>
      </c>
    </row>
    <row r="368" hidden="1" customHeight="1" spans="1:7">
      <c r="A368" s="352" t="s">
        <v>14654</v>
      </c>
      <c r="B368" s="352" t="str">
        <f>IF(A368="","",VLOOKUP(A368,Materiais_Base!A:D,2,"FALSO"))</f>
        <v>Tubo em aço-carbono com funil cônico tremonha para lançamento de concreto</v>
      </c>
      <c r="C368" s="353" t="str">
        <f>IF(A368="","",VLOOKUP(A368,Materiais_Base!A:D,3,"FALSO"))</f>
        <v>kg</v>
      </c>
      <c r="D368" s="354" t="s">
        <v>932</v>
      </c>
      <c r="E368" s="355" t="str">
        <f t="shared" si="9"/>
        <v/>
      </c>
      <c r="F368" s="354"/>
      <c r="G368" s="345" t="str">
        <f>IF(D368="","",VLOOKUP(A368,Materiais_Base!A:D,4,"FALSO"))</f>
        <v/>
      </c>
    </row>
    <row r="369" customHeight="1" spans="1:7">
      <c r="A369" s="352" t="s">
        <v>14655</v>
      </c>
      <c r="B369" s="352" t="str">
        <f>IF(A369="","",VLOOKUP(A369,Materiais_Base!A:D,2,"FALSO"))</f>
        <v>Disco de corte diamantado para concreto e asfalto - D = 350 mm</v>
      </c>
      <c r="C369" s="353" t="str">
        <f>IF(A369="","",VLOOKUP(A369,Materiais_Base!A:D,3,"FALSO"))</f>
        <v>un</v>
      </c>
      <c r="D369" s="354">
        <v>461.7917</v>
      </c>
      <c r="E369" s="355">
        <f t="shared" si="9"/>
        <v>461.7917</v>
      </c>
      <c r="F369" s="354"/>
      <c r="G369" s="345">
        <f>IF(D369="","",VLOOKUP(A369,Materiais_Base!A:D,4,"FALSO"))</f>
        <v>461.7917</v>
      </c>
    </row>
    <row r="370" customHeight="1" spans="1:7">
      <c r="A370" s="352" t="s">
        <v>14656</v>
      </c>
      <c r="B370" s="352" t="str">
        <f>IF(A370="","",VLOOKUP(A370,Materiais_Base!A:D,2,"FALSO"))</f>
        <v>Adesivo estrutural à base de resina epóxi de média viscosidade</v>
      </c>
      <c r="C370" s="353" t="str">
        <f>IF(A370="","",VLOOKUP(A370,Materiais_Base!A:D,3,"FALSO"))</f>
        <v>kg</v>
      </c>
      <c r="D370" s="354">
        <v>58.217</v>
      </c>
      <c r="E370" s="355">
        <f t="shared" si="9"/>
        <v>58.217</v>
      </c>
      <c r="F370" s="354"/>
      <c r="G370" s="345">
        <f>IF(D370="","",VLOOKUP(A370,Materiais_Base!A:D,4,"FALSO"))</f>
        <v>58.217</v>
      </c>
    </row>
    <row r="371" hidden="1" customHeight="1" spans="1:7">
      <c r="A371" s="352" t="s">
        <v>14657</v>
      </c>
      <c r="B371" s="352" t="str">
        <f>IF(A371="","",VLOOKUP(A371,Materiais_Base!A:D,2,"FALSO"))</f>
        <v>Cordoalha tipo CP 177 RB para estais - D = 15,7 mm</v>
      </c>
      <c r="C371" s="353" t="str">
        <f>IF(A371="","",VLOOKUP(A371,Materiais_Base!A:D,3,"FALSO"))</f>
        <v>kg</v>
      </c>
      <c r="D371" s="354" t="s">
        <v>932</v>
      </c>
      <c r="E371" s="355" t="str">
        <f t="shared" si="9"/>
        <v/>
      </c>
      <c r="F371" s="354"/>
      <c r="G371" s="345" t="str">
        <f>IF(D371="","",VLOOKUP(A371,Materiais_Base!A:D,4,"FALSO"))</f>
        <v/>
      </c>
    </row>
    <row r="372" customHeight="1" spans="1:7">
      <c r="A372" s="352" t="s">
        <v>14658</v>
      </c>
      <c r="B372" s="352" t="str">
        <f>IF(A372="","",VLOOKUP(A372,Materiais_Base!A:D,2,"FALSO"))</f>
        <v>Ponteiro para martelete - D = 22 mm e C = 1,00 m</v>
      </c>
      <c r="C372" s="353" t="str">
        <f>IF(A372="","",VLOOKUP(A372,Materiais_Base!A:D,3,"FALSO"))</f>
        <v>un</v>
      </c>
      <c r="D372" s="354">
        <v>491.5904</v>
      </c>
      <c r="E372" s="355">
        <f t="shared" si="9"/>
        <v>491.5904</v>
      </c>
      <c r="F372" s="354"/>
      <c r="G372" s="345">
        <f>IF(D372="","",VLOOKUP(A372,Materiais_Base!A:D,4,"FALSO"))</f>
        <v>491.5904</v>
      </c>
    </row>
    <row r="373" customHeight="1" spans="1:7">
      <c r="A373" s="352" t="s">
        <v>14659</v>
      </c>
      <c r="B373" s="352" t="str">
        <f>IF(A373="","",VLOOKUP(A373,Materiais_Base!A:D,2,"FALSO"))</f>
        <v>Eletrodo revestido E60XX</v>
      </c>
      <c r="C373" s="353" t="str">
        <f>IF(A373="","",VLOOKUP(A373,Materiais_Base!A:D,3,"FALSO"))</f>
        <v>kg</v>
      </c>
      <c r="D373" s="354">
        <v>29.3712</v>
      </c>
      <c r="E373" s="355">
        <f t="shared" si="9"/>
        <v>29.3712</v>
      </c>
      <c r="F373" s="354"/>
      <c r="G373" s="345">
        <f>IF(D373="","",VLOOKUP(A373,Materiais_Base!A:D,4,"FALSO"))</f>
        <v>29.3712</v>
      </c>
    </row>
    <row r="374" customHeight="1" spans="1:7">
      <c r="A374" s="352" t="s">
        <v>14660</v>
      </c>
      <c r="B374" s="352" t="str">
        <f>IF(A374="","",VLOOKUP(A374,Materiais_Base!A:D,2,"FALSO"))</f>
        <v>Vareta em aço-carbono para solda oxiacetileno AWS A 5.2 R45</v>
      </c>
      <c r="C374" s="353" t="str">
        <f>IF(A374="","",VLOOKUP(A374,Materiais_Base!A:D,3,"FALSO"))</f>
        <v>kg</v>
      </c>
      <c r="D374" s="354">
        <v>32.8854</v>
      </c>
      <c r="E374" s="355">
        <f t="shared" si="9"/>
        <v>32.8854</v>
      </c>
      <c r="F374" s="354"/>
      <c r="G374" s="345">
        <f>IF(D374="","",VLOOKUP(A374,Materiais_Base!A:D,4,"FALSO"))</f>
        <v>32.8854</v>
      </c>
    </row>
    <row r="375" hidden="1" customHeight="1" spans="1:7">
      <c r="A375" s="352" t="s">
        <v>14661</v>
      </c>
      <c r="B375" s="352" t="str">
        <f>IF(A375="","",VLOOKUP(A375,Materiais_Base!A:D,2,"FALSO"))</f>
        <v>Grelha metálica para canaletas - C = 1,00 m e L = 0,30 m</v>
      </c>
      <c r="C375" s="353" t="str">
        <f>IF(A375="","",VLOOKUP(A375,Materiais_Base!A:D,3,"FALSO"))</f>
        <v>un</v>
      </c>
      <c r="D375" s="354" t="s">
        <v>932</v>
      </c>
      <c r="E375" s="355" t="str">
        <f t="shared" si="9"/>
        <v/>
      </c>
      <c r="F375" s="354"/>
      <c r="G375" s="345" t="str">
        <f>IF(D375="","",VLOOKUP(A375,Materiais_Base!A:D,4,"FALSO"))</f>
        <v/>
      </c>
    </row>
    <row r="376" hidden="1" customHeight="1" spans="1:7">
      <c r="A376" s="352" t="s">
        <v>14662</v>
      </c>
      <c r="B376" s="352" t="str">
        <f>IF(A376="","",VLOOKUP(A376,Materiais_Base!A:D,2,"FALSO"))</f>
        <v>Porta-grelha metálica - C = 1,00 m e L = 0,30 m</v>
      </c>
      <c r="C376" s="353" t="str">
        <f>IF(A376="","",VLOOKUP(A376,Materiais_Base!A:D,3,"FALSO"))</f>
        <v>m</v>
      </c>
      <c r="D376" s="354" t="s">
        <v>932</v>
      </c>
      <c r="E376" s="355" t="str">
        <f t="shared" si="9"/>
        <v/>
      </c>
      <c r="F376" s="354"/>
      <c r="G376" s="345" t="str">
        <f>IF(D376="","",VLOOKUP(A376,Materiais_Base!A:D,4,"FALSO"))</f>
        <v/>
      </c>
    </row>
    <row r="377" hidden="1" customHeight="1" spans="1:7">
      <c r="A377" s="352" t="s">
        <v>14663</v>
      </c>
      <c r="B377" s="352" t="str">
        <f>IF(A377="","",VLOOKUP(A377,Materiais_Base!A:D,2,"FALSO"))</f>
        <v>Tábua de pinho de terceira - E = 2,5 cm</v>
      </c>
      <c r="C377" s="353" t="str">
        <f>IF(A377="","",VLOOKUP(A377,Materiais_Base!A:D,3,"FALSO"))</f>
        <v>m²</v>
      </c>
      <c r="D377" s="354" t="s">
        <v>932</v>
      </c>
      <c r="E377" s="355" t="str">
        <f t="shared" si="9"/>
        <v/>
      </c>
      <c r="F377" s="354"/>
      <c r="G377" s="345" t="str">
        <f>IF(D377="","",VLOOKUP(A377,Materiais_Base!A:D,4,"FALSO"))</f>
        <v/>
      </c>
    </row>
    <row r="378" hidden="1" customHeight="1" spans="1:7">
      <c r="A378" s="352" t="s">
        <v>14664</v>
      </c>
      <c r="B378" s="352" t="str">
        <f>IF(A378="","",VLOOKUP(A378,Materiais_Base!A:D,2,"FALSO"))</f>
        <v>Tampão de ferro fundido articulado para águas pluviais - DN 600 classe 400</v>
      </c>
      <c r="C378" s="353" t="str">
        <f>IF(A378="","",VLOOKUP(A378,Materiais_Base!A:D,3,"FALSO"))</f>
        <v>un</v>
      </c>
      <c r="D378" s="354" t="s">
        <v>932</v>
      </c>
      <c r="E378" s="355" t="str">
        <f t="shared" si="9"/>
        <v/>
      </c>
      <c r="F378" s="354"/>
      <c r="G378" s="345" t="str">
        <f>IF(D378="","",VLOOKUP(A378,Materiais_Base!A:D,4,"FALSO"))</f>
        <v/>
      </c>
    </row>
    <row r="379" hidden="1" customHeight="1" spans="1:7">
      <c r="A379" s="352" t="s">
        <v>14665</v>
      </c>
      <c r="B379" s="352" t="str">
        <f>IF(A379="","",VLOOKUP(A379,Materiais_Base!A:D,2,"FALSO"))</f>
        <v>Grelha metálica para canaletas - C = 0,50 m e L = 0,50 m</v>
      </c>
      <c r="C379" s="353" t="str">
        <f>IF(A379="","",VLOOKUP(A379,Materiais_Base!A:D,3,"FALSO"))</f>
        <v>un</v>
      </c>
      <c r="D379" s="354" t="s">
        <v>932</v>
      </c>
      <c r="E379" s="355" t="str">
        <f t="shared" si="9"/>
        <v/>
      </c>
      <c r="F379" s="354"/>
      <c r="G379" s="345" t="str">
        <f>IF(D379="","",VLOOKUP(A379,Materiais_Base!A:D,4,"FALSO"))</f>
        <v/>
      </c>
    </row>
    <row r="380" hidden="1" customHeight="1" spans="1:7">
      <c r="A380" s="352" t="s">
        <v>14666</v>
      </c>
      <c r="B380" s="352" t="str">
        <f>IF(A380="","",VLOOKUP(A380,Materiais_Base!A:D,2,"FALSO"))</f>
        <v>Porta-grelha metálica - C = 0,50 m e L = 0,50 m</v>
      </c>
      <c r="C380" s="353" t="str">
        <f>IF(A380="","",VLOOKUP(A380,Materiais_Base!A:D,3,"FALSO"))</f>
        <v>m</v>
      </c>
      <c r="D380" s="354" t="s">
        <v>932</v>
      </c>
      <c r="E380" s="355" t="str">
        <f t="shared" si="9"/>
        <v/>
      </c>
      <c r="F380" s="354"/>
      <c r="G380" s="345" t="str">
        <f>IF(D380="","",VLOOKUP(A380,Materiais_Base!A:D,4,"FALSO"))</f>
        <v/>
      </c>
    </row>
    <row r="381" hidden="1" customHeight="1" spans="1:7">
      <c r="A381" s="352" t="s">
        <v>14667</v>
      </c>
      <c r="B381" s="352" t="str">
        <f>IF(A381="","",VLOOKUP(A381,Materiais_Base!A:D,2,"FALSO"))</f>
        <v>Geogrelha bidirecional em polipropileno extrudado - resistência à tração de 30 kN/m, deformação inferior a 5% e malha de 36 x 34 mm</v>
      </c>
      <c r="C381" s="353" t="str">
        <f>IF(A381="","",VLOOKUP(A381,Materiais_Base!A:D,3,"FALSO"))</f>
        <v>m²</v>
      </c>
      <c r="D381" s="354" t="s">
        <v>932</v>
      </c>
      <c r="E381" s="355" t="str">
        <f t="shared" si="9"/>
        <v/>
      </c>
      <c r="F381" s="354"/>
      <c r="G381" s="345" t="str">
        <f>IF(D381="","",VLOOKUP(A381,Materiais_Base!A:D,4,"FALSO"))</f>
        <v/>
      </c>
    </row>
    <row r="382" hidden="1" customHeight="1" spans="1:7">
      <c r="A382" s="352" t="s">
        <v>14668</v>
      </c>
      <c r="B382" s="352" t="str">
        <f>IF(A382="","",VLOOKUP(A382,Materiais_Base!A:D,2,"FALSO"))</f>
        <v>Geogrelha unidirecional em poliéster - resistência à tração longitudinal de 50 kN/m</v>
      </c>
      <c r="C382" s="353" t="str">
        <f>IF(A382="","",VLOOKUP(A382,Materiais_Base!A:D,3,"FALSO"))</f>
        <v>m²</v>
      </c>
      <c r="D382" s="354" t="s">
        <v>932</v>
      </c>
      <c r="E382" s="355" t="str">
        <f t="shared" si="9"/>
        <v/>
      </c>
      <c r="F382" s="354"/>
      <c r="G382" s="345" t="str">
        <f>IF(D382="","",VLOOKUP(A382,Materiais_Base!A:D,4,"FALSO"))</f>
        <v/>
      </c>
    </row>
    <row r="383" hidden="1" customHeight="1" spans="1:7">
      <c r="A383" s="352" t="s">
        <v>14669</v>
      </c>
      <c r="B383" s="352" t="str">
        <f>IF(A383="","",VLOOKUP(A383,Materiais_Base!A:D,2,"FALSO"))</f>
        <v>Geogrelha unidirecional em poliéster - resistência à tração longitudinal de 90 kN/m</v>
      </c>
      <c r="C383" s="353" t="str">
        <f>IF(A383="","",VLOOKUP(A383,Materiais_Base!A:D,3,"FALSO"))</f>
        <v>m²</v>
      </c>
      <c r="D383" s="354" t="s">
        <v>932</v>
      </c>
      <c r="E383" s="355" t="str">
        <f t="shared" si="9"/>
        <v/>
      </c>
      <c r="F383" s="354"/>
      <c r="G383" s="345" t="str">
        <f>IF(D383="","",VLOOKUP(A383,Materiais_Base!A:D,4,"FALSO"))</f>
        <v/>
      </c>
    </row>
    <row r="384" hidden="1" customHeight="1" spans="1:7">
      <c r="A384" s="352" t="s">
        <v>14670</v>
      </c>
      <c r="B384" s="352" t="str">
        <f>IF(A384="","",VLOOKUP(A384,Materiais_Base!A:D,2,"FALSO"))</f>
        <v>Geogrelha unidirecional em poliéster - resistência à tração longitudinal de 100 kN/m</v>
      </c>
      <c r="C384" s="353" t="str">
        <f>IF(A384="","",VLOOKUP(A384,Materiais_Base!A:D,3,"FALSO"))</f>
        <v>m²</v>
      </c>
      <c r="D384" s="354" t="s">
        <v>932</v>
      </c>
      <c r="E384" s="355" t="str">
        <f t="shared" si="9"/>
        <v/>
      </c>
      <c r="F384" s="354"/>
      <c r="G384" s="345" t="str">
        <f>IF(D384="","",VLOOKUP(A384,Materiais_Base!A:D,4,"FALSO"))</f>
        <v/>
      </c>
    </row>
    <row r="385" hidden="1" customHeight="1" spans="1:7">
      <c r="A385" s="352" t="s">
        <v>14671</v>
      </c>
      <c r="B385" s="352" t="str">
        <f>IF(A385="","",VLOOKUP(A385,Materiais_Base!A:D,2,"FALSO"))</f>
        <v>Geogrelha unidirecional em poliéster - resistência à tração longitudinal de 150 kN/m</v>
      </c>
      <c r="C385" s="353" t="str">
        <f>IF(A385="","",VLOOKUP(A385,Materiais_Base!A:D,3,"FALSO"))</f>
        <v>m²</v>
      </c>
      <c r="D385" s="354" t="s">
        <v>932</v>
      </c>
      <c r="E385" s="355" t="str">
        <f t="shared" si="9"/>
        <v/>
      </c>
      <c r="F385" s="354"/>
      <c r="G385" s="345" t="str">
        <f>IF(D385="","",VLOOKUP(A385,Materiais_Base!A:D,4,"FALSO"))</f>
        <v/>
      </c>
    </row>
    <row r="386" hidden="1" customHeight="1" spans="1:7">
      <c r="A386" s="352" t="s">
        <v>14672</v>
      </c>
      <c r="B386" s="352" t="str">
        <f>IF(A386="","",VLOOKUP(A386,Materiais_Base!A:D,2,"FALSO"))</f>
        <v>Geogrelha unidirecional em poliéster - resistência à tração longitudinal de 200 kN/m</v>
      </c>
      <c r="C386" s="353" t="str">
        <f>IF(A386="","",VLOOKUP(A386,Materiais_Base!A:D,3,"FALSO"))</f>
        <v>m²</v>
      </c>
      <c r="D386" s="354" t="s">
        <v>932</v>
      </c>
      <c r="E386" s="355" t="str">
        <f t="shared" si="9"/>
        <v/>
      </c>
      <c r="F386" s="354"/>
      <c r="G386" s="345" t="str">
        <f>IF(D386="","",VLOOKUP(A386,Materiais_Base!A:D,4,"FALSO"))</f>
        <v/>
      </c>
    </row>
    <row r="387" hidden="1" customHeight="1" spans="1:7">
      <c r="A387" s="352" t="s">
        <v>14673</v>
      </c>
      <c r="B387" s="352" t="str">
        <f>IF(A387="","",VLOOKUP(A387,Materiais_Base!A:D,2,"FALSO"))</f>
        <v>Geogrelha unidirecional em poliéster - resistência à tração longitudinal de 300 kN/m</v>
      </c>
      <c r="C387" s="353" t="str">
        <f>IF(A387="","",VLOOKUP(A387,Materiais_Base!A:D,3,"FALSO"))</f>
        <v>m²</v>
      </c>
      <c r="D387" s="354" t="s">
        <v>932</v>
      </c>
      <c r="E387" s="355" t="str">
        <f t="shared" si="9"/>
        <v/>
      </c>
      <c r="F387" s="354"/>
      <c r="G387" s="345" t="str">
        <f>IF(D387="","",VLOOKUP(A387,Materiais_Base!A:D,4,"FALSO"))</f>
        <v/>
      </c>
    </row>
    <row r="388" hidden="1" customHeight="1" spans="1:7">
      <c r="A388" s="352" t="s">
        <v>14674</v>
      </c>
      <c r="B388" s="352" t="str">
        <f>IF(A388="","",VLOOKUP(A388,Materiais_Base!A:D,2,"FALSO"))</f>
        <v>Geogrelha unidirecional em poliéster - resistência à tração longitudinal de 400 kN/m</v>
      </c>
      <c r="C388" s="353" t="str">
        <f>IF(A388="","",VLOOKUP(A388,Materiais_Base!A:D,3,"FALSO"))</f>
        <v>m²</v>
      </c>
      <c r="D388" s="354" t="s">
        <v>932</v>
      </c>
      <c r="E388" s="355" t="str">
        <f t="shared" ref="E388:E420" si="10">IF(D388="","",MIN(D388,F388))</f>
        <v/>
      </c>
      <c r="F388" s="354"/>
      <c r="G388" s="345" t="str">
        <f>IF(D388="","",VLOOKUP(A388,Materiais_Base!A:D,4,"FALSO"))</f>
        <v/>
      </c>
    </row>
    <row r="389" hidden="1" customHeight="1" spans="1:7">
      <c r="A389" s="352" t="s">
        <v>14675</v>
      </c>
      <c r="B389" s="352" t="str">
        <f>IF(A389="","",VLOOKUP(A389,Materiais_Base!A:D,2,"FALSO"))</f>
        <v>Geocélula em PEAD - H = 75 mm e célula de 289 cm²</v>
      </c>
      <c r="C389" s="353" t="str">
        <f>IF(A389="","",VLOOKUP(A389,Materiais_Base!A:D,3,"FALSO"))</f>
        <v>m²</v>
      </c>
      <c r="D389" s="354" t="s">
        <v>932</v>
      </c>
      <c r="E389" s="355" t="str">
        <f t="shared" si="10"/>
        <v/>
      </c>
      <c r="F389" s="354"/>
      <c r="G389" s="345" t="str">
        <f>IF(D389="","",VLOOKUP(A389,Materiais_Base!A:D,4,"FALSO"))</f>
        <v/>
      </c>
    </row>
    <row r="390" hidden="1" customHeight="1" spans="1:7">
      <c r="A390" s="352" t="s">
        <v>14676</v>
      </c>
      <c r="B390" s="352" t="str">
        <f>IF(A390="","",VLOOKUP(A390,Materiais_Base!A:D,2,"FALSO"))</f>
        <v>Geocélula em PEAD - H = 100 mm e célula de 289 cm²</v>
      </c>
      <c r="C390" s="353" t="str">
        <f>IF(A390="","",VLOOKUP(A390,Materiais_Base!A:D,3,"FALSO"))</f>
        <v>m²</v>
      </c>
      <c r="D390" s="354" t="s">
        <v>932</v>
      </c>
      <c r="E390" s="355" t="str">
        <f t="shared" si="10"/>
        <v/>
      </c>
      <c r="F390" s="354"/>
      <c r="G390" s="345" t="str">
        <f>IF(D390="","",VLOOKUP(A390,Materiais_Base!A:D,4,"FALSO"))</f>
        <v/>
      </c>
    </row>
    <row r="391" hidden="1" customHeight="1" spans="1:7">
      <c r="A391" s="352" t="s">
        <v>14677</v>
      </c>
      <c r="B391" s="352" t="str">
        <f>IF(A391="","",VLOOKUP(A391,Materiais_Base!A:D,2,"FALSO"))</f>
        <v>Geocélula em PEAD - H = 150 mm e célula de 289 cm²</v>
      </c>
      <c r="C391" s="353" t="str">
        <f>IF(A391="","",VLOOKUP(A391,Materiais_Base!A:D,3,"FALSO"))</f>
        <v>m²</v>
      </c>
      <c r="D391" s="354" t="s">
        <v>932</v>
      </c>
      <c r="E391" s="355" t="str">
        <f t="shared" si="10"/>
        <v/>
      </c>
      <c r="F391" s="354"/>
      <c r="G391" s="345" t="str">
        <f>IF(D391="","",VLOOKUP(A391,Materiais_Base!A:D,4,"FALSO"))</f>
        <v/>
      </c>
    </row>
    <row r="392" hidden="1" customHeight="1" spans="1:7">
      <c r="A392" s="352" t="s">
        <v>14678</v>
      </c>
      <c r="B392" s="352" t="str">
        <f>IF(A392="","",VLOOKUP(A392,Materiais_Base!A:D,2,"FALSO"))</f>
        <v>Geocélula em PEAD - H = 200 mm e célula de 289 cm²</v>
      </c>
      <c r="C392" s="353" t="str">
        <f>IF(A392="","",VLOOKUP(A392,Materiais_Base!A:D,3,"FALSO"))</f>
        <v>m²</v>
      </c>
      <c r="D392" s="354" t="s">
        <v>932</v>
      </c>
      <c r="E392" s="355" t="str">
        <f t="shared" si="10"/>
        <v/>
      </c>
      <c r="F392" s="354"/>
      <c r="G392" s="345" t="str">
        <f>IF(D392="","",VLOOKUP(A392,Materiais_Base!A:D,4,"FALSO"))</f>
        <v/>
      </c>
    </row>
    <row r="393" hidden="1" customHeight="1" spans="1:7">
      <c r="A393" s="352" t="s">
        <v>14679</v>
      </c>
      <c r="B393" s="352" t="str">
        <f>IF(A393="","",VLOOKUP(A393,Materiais_Base!A:D,2,"FALSO"))</f>
        <v>Geocélula em PEAD - H = 75 mm e célula de 460 cm²</v>
      </c>
      <c r="C393" s="353" t="str">
        <f>IF(A393="","",VLOOKUP(A393,Materiais_Base!A:D,3,"FALSO"))</f>
        <v>m²</v>
      </c>
      <c r="D393" s="354" t="s">
        <v>932</v>
      </c>
      <c r="E393" s="355" t="str">
        <f t="shared" si="10"/>
        <v/>
      </c>
      <c r="F393" s="354"/>
      <c r="G393" s="345" t="str">
        <f>IF(D393="","",VLOOKUP(A393,Materiais_Base!A:D,4,"FALSO"))</f>
        <v/>
      </c>
    </row>
    <row r="394" hidden="1" customHeight="1" spans="1:7">
      <c r="A394" s="352" t="s">
        <v>14680</v>
      </c>
      <c r="B394" s="352" t="str">
        <f>IF(A394="","",VLOOKUP(A394,Materiais_Base!A:D,2,"FALSO"))</f>
        <v>Geocélula em PEAD - H = 100 mm e célula de 460 cm²</v>
      </c>
      <c r="C394" s="353" t="str">
        <f>IF(A394="","",VLOOKUP(A394,Materiais_Base!A:D,3,"FALSO"))</f>
        <v>m²</v>
      </c>
      <c r="D394" s="354" t="s">
        <v>932</v>
      </c>
      <c r="E394" s="355" t="str">
        <f t="shared" si="10"/>
        <v/>
      </c>
      <c r="F394" s="354"/>
      <c r="G394" s="345" t="str">
        <f>IF(D394="","",VLOOKUP(A394,Materiais_Base!A:D,4,"FALSO"))</f>
        <v/>
      </c>
    </row>
    <row r="395" hidden="1" customHeight="1" spans="1:7">
      <c r="A395" s="352" t="s">
        <v>14681</v>
      </c>
      <c r="B395" s="352" t="str">
        <f>IF(A395="","",VLOOKUP(A395,Materiais_Base!A:D,2,"FALSO"))</f>
        <v>Geocélula em PEAD - H = 150 mm e célula de 460 cm²</v>
      </c>
      <c r="C395" s="353" t="str">
        <f>IF(A395="","",VLOOKUP(A395,Materiais_Base!A:D,3,"FALSO"))</f>
        <v>m²</v>
      </c>
      <c r="D395" s="354" t="s">
        <v>932</v>
      </c>
      <c r="E395" s="355" t="str">
        <f t="shared" si="10"/>
        <v/>
      </c>
      <c r="F395" s="354"/>
      <c r="G395" s="345" t="str">
        <f>IF(D395="","",VLOOKUP(A395,Materiais_Base!A:D,4,"FALSO"))</f>
        <v/>
      </c>
    </row>
    <row r="396" hidden="1" customHeight="1" spans="1:7">
      <c r="A396" s="352" t="s">
        <v>14682</v>
      </c>
      <c r="B396" s="352" t="str">
        <f>IF(A396="","",VLOOKUP(A396,Materiais_Base!A:D,2,"FALSO"))</f>
        <v>Geocélula em PEAD - H = 200 mm e célula de 460 cm²</v>
      </c>
      <c r="C396" s="353" t="str">
        <f>IF(A396="","",VLOOKUP(A396,Materiais_Base!A:D,3,"FALSO"))</f>
        <v>m²</v>
      </c>
      <c r="D396" s="354" t="s">
        <v>932</v>
      </c>
      <c r="E396" s="355" t="str">
        <f t="shared" si="10"/>
        <v/>
      </c>
      <c r="F396" s="354"/>
      <c r="G396" s="345" t="str">
        <f>IF(D396="","",VLOOKUP(A396,Materiais_Base!A:D,4,"FALSO"))</f>
        <v/>
      </c>
    </row>
    <row r="397" hidden="1" customHeight="1" spans="1:7">
      <c r="A397" s="352" t="s">
        <v>14683</v>
      </c>
      <c r="B397" s="352" t="str">
        <f>IF(A397="","",VLOOKUP(A397,Materiais_Base!A:D,2,"FALSO"))</f>
        <v>Geocélula em PEAD - H = 75 mm e célula de 1.206 cm²</v>
      </c>
      <c r="C397" s="353" t="str">
        <f>IF(A397="","",VLOOKUP(A397,Materiais_Base!A:D,3,"FALSO"))</f>
        <v>m²</v>
      </c>
      <c r="D397" s="354" t="s">
        <v>932</v>
      </c>
      <c r="E397" s="355" t="str">
        <f t="shared" si="10"/>
        <v/>
      </c>
      <c r="F397" s="354"/>
      <c r="G397" s="345" t="str">
        <f>IF(D397="","",VLOOKUP(A397,Materiais_Base!A:D,4,"FALSO"))</f>
        <v/>
      </c>
    </row>
    <row r="398" hidden="1" customHeight="1" spans="1:7">
      <c r="A398" s="352" t="s">
        <v>14684</v>
      </c>
      <c r="B398" s="352" t="str">
        <f>IF(A398="","",VLOOKUP(A398,Materiais_Base!A:D,2,"FALSO"))</f>
        <v>Geocélula em PEAD - H = 100 mm e célula de 1.206 cm²</v>
      </c>
      <c r="C398" s="353" t="str">
        <f>IF(A398="","",VLOOKUP(A398,Materiais_Base!A:D,3,"FALSO"))</f>
        <v>m²</v>
      </c>
      <c r="D398" s="354" t="s">
        <v>932</v>
      </c>
      <c r="E398" s="355" t="str">
        <f t="shared" si="10"/>
        <v/>
      </c>
      <c r="F398" s="354"/>
      <c r="G398" s="345" t="str">
        <f>IF(D398="","",VLOOKUP(A398,Materiais_Base!A:D,4,"FALSO"))</f>
        <v/>
      </c>
    </row>
    <row r="399" hidden="1" customHeight="1" spans="1:7">
      <c r="A399" s="352" t="s">
        <v>14685</v>
      </c>
      <c r="B399" s="352" t="str">
        <f>IF(A399="","",VLOOKUP(A399,Materiais_Base!A:D,2,"FALSO"))</f>
        <v>Geocélula em PEAD - H = 150 mm e célula de 1.206 cm²</v>
      </c>
      <c r="C399" s="353" t="str">
        <f>IF(A399="","",VLOOKUP(A399,Materiais_Base!A:D,3,"FALSO"))</f>
        <v>m²</v>
      </c>
      <c r="D399" s="354" t="s">
        <v>932</v>
      </c>
      <c r="E399" s="355" t="str">
        <f t="shared" si="10"/>
        <v/>
      </c>
      <c r="F399" s="354"/>
      <c r="G399" s="345" t="str">
        <f>IF(D399="","",VLOOKUP(A399,Materiais_Base!A:D,4,"FALSO"))</f>
        <v/>
      </c>
    </row>
    <row r="400" hidden="1" customHeight="1" spans="1:7">
      <c r="A400" s="352" t="s">
        <v>14686</v>
      </c>
      <c r="B400" s="352" t="str">
        <f>IF(A400="","",VLOOKUP(A400,Materiais_Base!A:D,2,"FALSO"))</f>
        <v>Geocélula em PEAD - H = 200 mm e célula de 1.206 cm²</v>
      </c>
      <c r="C400" s="353" t="str">
        <f>IF(A400="","",VLOOKUP(A400,Materiais_Base!A:D,3,"FALSO"))</f>
        <v>m²</v>
      </c>
      <c r="D400" s="354" t="s">
        <v>932</v>
      </c>
      <c r="E400" s="355" t="str">
        <f t="shared" si="10"/>
        <v/>
      </c>
      <c r="F400" s="354"/>
      <c r="G400" s="345" t="str">
        <f>IF(D400="","",VLOOKUP(A400,Materiais_Base!A:D,4,"FALSO"))</f>
        <v/>
      </c>
    </row>
    <row r="401" hidden="1" customHeight="1" spans="1:7">
      <c r="A401" s="352" t="s">
        <v>14687</v>
      </c>
      <c r="B401" s="352" t="str">
        <f>IF(A401="","",VLOOKUP(A401,Materiais_Base!A:D,2,"FALSO"))</f>
        <v>Tubo de PVC rosqueável para água fria - D = 75 mm (3")</v>
      </c>
      <c r="C401" s="353" t="str">
        <f>IF(A401="","",VLOOKUP(A401,Materiais_Base!A:D,3,"FALSO"))</f>
        <v>m</v>
      </c>
      <c r="D401" s="354" t="s">
        <v>932</v>
      </c>
      <c r="E401" s="355" t="str">
        <f t="shared" si="10"/>
        <v/>
      </c>
      <c r="F401" s="354"/>
      <c r="G401" s="345" t="str">
        <f>IF(D401="","",VLOOKUP(A401,Materiais_Base!A:D,4,"FALSO"))</f>
        <v/>
      </c>
    </row>
    <row r="402" hidden="1" customHeight="1" spans="1:7">
      <c r="A402" s="352" t="s">
        <v>14688</v>
      </c>
      <c r="B402" s="352" t="str">
        <f>IF(A402="","",VLOOKUP(A402,Materiais_Base!A:D,2,"FALSO"))</f>
        <v>Coroa diamantada - D = 31,80 mm (1 1/4")</v>
      </c>
      <c r="C402" s="353" t="str">
        <f>IF(A402="","",VLOOKUP(A402,Materiais_Base!A:D,3,"FALSO"))</f>
        <v>un</v>
      </c>
      <c r="D402" s="354" t="s">
        <v>932</v>
      </c>
      <c r="E402" s="355" t="str">
        <f t="shared" si="10"/>
        <v/>
      </c>
      <c r="F402" s="354"/>
      <c r="G402" s="345" t="str">
        <f>IF(D402="","",VLOOKUP(A402,Materiais_Base!A:D,4,"FALSO"))</f>
        <v/>
      </c>
    </row>
    <row r="403" hidden="1" customHeight="1" spans="1:7">
      <c r="A403" s="352" t="s">
        <v>14689</v>
      </c>
      <c r="B403" s="352" t="str">
        <f>IF(A403="","",VLOOKUP(A403,Materiais_Base!A:D,2,"FALSO"))</f>
        <v>Coroa diamantada - D = 38,10 mm (1 1/2")</v>
      </c>
      <c r="C403" s="353" t="str">
        <f>IF(A403="","",VLOOKUP(A403,Materiais_Base!A:D,3,"FALSO"))</f>
        <v>un</v>
      </c>
      <c r="D403" s="354" t="s">
        <v>932</v>
      </c>
      <c r="E403" s="355" t="str">
        <f t="shared" si="10"/>
        <v/>
      </c>
      <c r="F403" s="354"/>
      <c r="G403" s="345" t="str">
        <f>IF(D403="","",VLOOKUP(A403,Materiais_Base!A:D,4,"FALSO"))</f>
        <v/>
      </c>
    </row>
    <row r="404" hidden="1" customHeight="1" spans="1:7">
      <c r="A404" s="352" t="s">
        <v>14690</v>
      </c>
      <c r="B404" s="352" t="str">
        <f>IF(A404="","",VLOOKUP(A404,Materiais_Base!A:D,2,"FALSO"))</f>
        <v>Coroa diamantada - D = 44,50 mm (1 3/4")</v>
      </c>
      <c r="C404" s="353" t="str">
        <f>IF(A404="","",VLOOKUP(A404,Materiais_Base!A:D,3,"FALSO"))</f>
        <v>un</v>
      </c>
      <c r="D404" s="354" t="s">
        <v>932</v>
      </c>
      <c r="E404" s="355" t="str">
        <f t="shared" si="10"/>
        <v/>
      </c>
      <c r="F404" s="354"/>
      <c r="G404" s="345" t="str">
        <f>IF(D404="","",VLOOKUP(A404,Materiais_Base!A:D,4,"FALSO"))</f>
        <v/>
      </c>
    </row>
    <row r="405" hidden="1" customHeight="1" spans="1:7">
      <c r="A405" s="352" t="s">
        <v>14691</v>
      </c>
      <c r="B405" s="352" t="str">
        <f>IF(A405="","",VLOOKUP(A405,Materiais_Base!A:D,2,"FALSO"))</f>
        <v>Coroa diamantada - D = 50,80 mm (2")</v>
      </c>
      <c r="C405" s="353" t="str">
        <f>IF(A405="","",VLOOKUP(A405,Materiais_Base!A:D,3,"FALSO"))</f>
        <v>un</v>
      </c>
      <c r="D405" s="354" t="s">
        <v>932</v>
      </c>
      <c r="E405" s="355" t="str">
        <f t="shared" si="10"/>
        <v/>
      </c>
      <c r="F405" s="354"/>
      <c r="G405" s="345" t="str">
        <f>IF(D405="","",VLOOKUP(A405,Materiais_Base!A:D,4,"FALSO"))</f>
        <v/>
      </c>
    </row>
    <row r="406" hidden="1" customHeight="1" spans="1:7">
      <c r="A406" s="352" t="s">
        <v>14692</v>
      </c>
      <c r="B406" s="352" t="str">
        <f>IF(A406="","",VLOOKUP(A406,Materiais_Base!A:D,2,"FALSO"))</f>
        <v>Coroa diamantada - D = 63,50 mm (2 1/2")</v>
      </c>
      <c r="C406" s="353" t="str">
        <f>IF(A406="","",VLOOKUP(A406,Materiais_Base!A:D,3,"FALSO"))</f>
        <v>un</v>
      </c>
      <c r="D406" s="354" t="s">
        <v>932</v>
      </c>
      <c r="E406" s="355" t="str">
        <f t="shared" si="10"/>
        <v/>
      </c>
      <c r="F406" s="354"/>
      <c r="G406" s="345" t="str">
        <f>IF(D406="","",VLOOKUP(A406,Materiais_Base!A:D,4,"FALSO"))</f>
        <v/>
      </c>
    </row>
    <row r="407" hidden="1" customHeight="1" spans="1:7">
      <c r="A407" s="352" t="s">
        <v>14693</v>
      </c>
      <c r="B407" s="352" t="str">
        <f>IF(A407="","",VLOOKUP(A407,Materiais_Base!A:D,2,"FALSO"))</f>
        <v>Coroa diamantada - D = 76,20 mm (3")</v>
      </c>
      <c r="C407" s="353" t="str">
        <f>IF(A407="","",VLOOKUP(A407,Materiais_Base!A:D,3,"FALSO"))</f>
        <v>un</v>
      </c>
      <c r="D407" s="354" t="s">
        <v>932</v>
      </c>
      <c r="E407" s="355" t="str">
        <f t="shared" si="10"/>
        <v/>
      </c>
      <c r="F407" s="354"/>
      <c r="G407" s="345" t="str">
        <f>IF(D407="","",VLOOKUP(A407,Materiais_Base!A:D,4,"FALSO"))</f>
        <v/>
      </c>
    </row>
    <row r="408" hidden="1" customHeight="1" spans="1:7">
      <c r="A408" s="352" t="s">
        <v>14694</v>
      </c>
      <c r="B408" s="352" t="str">
        <f>IF(A408="","",VLOOKUP(A408,Materiais_Base!A:D,2,"FALSO"))</f>
        <v>Coroa diamantada - D = 101,60 mm (4")</v>
      </c>
      <c r="C408" s="353" t="str">
        <f>IF(A408="","",VLOOKUP(A408,Materiais_Base!A:D,3,"FALSO"))</f>
        <v>un</v>
      </c>
      <c r="D408" s="354" t="s">
        <v>932</v>
      </c>
      <c r="E408" s="355" t="str">
        <f t="shared" si="10"/>
        <v/>
      </c>
      <c r="F408" s="354"/>
      <c r="G408" s="345" t="str">
        <f>IF(D408="","",VLOOKUP(A408,Materiais_Base!A:D,4,"FALSO"))</f>
        <v/>
      </c>
    </row>
    <row r="409" hidden="1" customHeight="1" spans="1:7">
      <c r="A409" s="352" t="s">
        <v>14695</v>
      </c>
      <c r="B409" s="352" t="str">
        <f>IF(A409="","",VLOOKUP(A409,Materiais_Base!A:D,2,"FALSO"))</f>
        <v>Broca de widia - D = 10 mm e C = 150 mm</v>
      </c>
      <c r="C409" s="353" t="str">
        <f>IF(A409="","",VLOOKUP(A409,Materiais_Base!A:D,3,"FALSO"))</f>
        <v>un</v>
      </c>
      <c r="D409" s="354" t="s">
        <v>932</v>
      </c>
      <c r="E409" s="355" t="str">
        <f t="shared" si="10"/>
        <v/>
      </c>
      <c r="F409" s="354"/>
      <c r="G409" s="345" t="str">
        <f>IF(D409="","",VLOOKUP(A409,Materiais_Base!A:D,4,"FALSO"))</f>
        <v/>
      </c>
    </row>
    <row r="410" hidden="1" customHeight="1" spans="1:7">
      <c r="A410" s="352" t="s">
        <v>14696</v>
      </c>
      <c r="B410" s="352" t="str">
        <f>IF(A410="","",VLOOKUP(A410,Materiais_Base!A:D,2,"FALSO"))</f>
        <v>Broca de widia - D = 13 mm e C = 150 mm</v>
      </c>
      <c r="C410" s="353" t="str">
        <f>IF(A410="","",VLOOKUP(A410,Materiais_Base!A:D,3,"FALSO"))</f>
        <v>un</v>
      </c>
      <c r="D410" s="354" t="s">
        <v>932</v>
      </c>
      <c r="E410" s="355" t="str">
        <f t="shared" si="10"/>
        <v/>
      </c>
      <c r="F410" s="354"/>
      <c r="G410" s="345" t="str">
        <f>IF(D410="","",VLOOKUP(A410,Materiais_Base!A:D,4,"FALSO"))</f>
        <v/>
      </c>
    </row>
    <row r="411" hidden="1" customHeight="1" spans="1:7">
      <c r="A411" s="352" t="s">
        <v>14697</v>
      </c>
      <c r="B411" s="352" t="str">
        <f>IF(A411="","",VLOOKUP(A411,Materiais_Base!A:D,2,"FALSO"))</f>
        <v>Telha trapezoidal em aço zincado - E = 0,43 mm</v>
      </c>
      <c r="C411" s="353" t="str">
        <f>IF(A411="","",VLOOKUP(A411,Materiais_Base!A:D,3,"FALSO"))</f>
        <v>m²</v>
      </c>
      <c r="D411" s="354" t="s">
        <v>932</v>
      </c>
      <c r="E411" s="355" t="str">
        <f t="shared" si="10"/>
        <v/>
      </c>
      <c r="F411" s="354"/>
      <c r="G411" s="345" t="str">
        <f>IF(D411="","",VLOOKUP(A411,Materiais_Base!A:D,4,"FALSO"))</f>
        <v/>
      </c>
    </row>
    <row r="412" hidden="1" customHeight="1" spans="1:7">
      <c r="A412" s="352" t="s">
        <v>14698</v>
      </c>
      <c r="B412" s="352" t="str">
        <f>IF(A412="","",VLOOKUP(A412,Materiais_Base!A:D,2,"FALSO"))</f>
        <v>Geotêxtil não-tecido agulhado em poliéster - resistência à tração longitudinal de 31 kN/m</v>
      </c>
      <c r="C412" s="353" t="str">
        <f>IF(A412="","",VLOOKUP(A412,Materiais_Base!A:D,3,"FALSO"))</f>
        <v>m²</v>
      </c>
      <c r="D412" s="354" t="s">
        <v>932</v>
      </c>
      <c r="E412" s="355" t="str">
        <f t="shared" si="10"/>
        <v/>
      </c>
      <c r="F412" s="354"/>
      <c r="G412" s="345" t="str">
        <f>IF(D412="","",VLOOKUP(A412,Materiais_Base!A:D,4,"FALSO"))</f>
        <v/>
      </c>
    </row>
    <row r="413" hidden="1" customHeight="1" spans="1:7">
      <c r="A413" s="352" t="s">
        <v>14699</v>
      </c>
      <c r="B413" s="352" t="str">
        <f>IF(A413="","",VLOOKUP(A413,Materiais_Base!A:D,2,"FALSO"))</f>
        <v>Tinta látex à base de resina acrílica</v>
      </c>
      <c r="C413" s="353" t="str">
        <f>IF(A413="","",VLOOKUP(A413,Materiais_Base!A:D,3,"FALSO"))</f>
        <v>l</v>
      </c>
      <c r="D413" s="354" t="s">
        <v>932</v>
      </c>
      <c r="E413" s="355" t="str">
        <f t="shared" si="10"/>
        <v/>
      </c>
      <c r="F413" s="354"/>
      <c r="G413" s="345" t="str">
        <f>IF(D413="","",VLOOKUP(A413,Materiais_Base!A:D,4,"FALSO"))</f>
        <v/>
      </c>
    </row>
    <row r="414" hidden="1" customHeight="1" spans="1:7">
      <c r="A414" s="352" t="s">
        <v>14700</v>
      </c>
      <c r="B414" s="352" t="str">
        <f>IF(A414="","",VLOOKUP(A414,Materiais_Base!A:D,2,"FALSO"))</f>
        <v>Tinta plástica à base de resina metacrílica aplicada a frio por dispersão ou extrusão</v>
      </c>
      <c r="C414" s="353" t="str">
        <f>IF(A414="","",VLOOKUP(A414,Materiais_Base!A:D,3,"FALSO"))</f>
        <v>kg</v>
      </c>
      <c r="D414" s="354" t="s">
        <v>932</v>
      </c>
      <c r="E414" s="355" t="str">
        <f t="shared" si="10"/>
        <v/>
      </c>
      <c r="F414" s="354"/>
      <c r="G414" s="345" t="str">
        <f>IF(D414="","",VLOOKUP(A414,Materiais_Base!A:D,4,"FALSO"))</f>
        <v/>
      </c>
    </row>
    <row r="415" hidden="1" customHeight="1" spans="1:7">
      <c r="A415" s="352" t="s">
        <v>14701</v>
      </c>
      <c r="B415" s="352" t="str">
        <f>IF(A415="","",VLOOKUP(A415,Materiais_Base!A:D,2,"FALSO"))</f>
        <v>Massa termoplástica aplicada por extrusão</v>
      </c>
      <c r="C415" s="353" t="str">
        <f>IF(A415="","",VLOOKUP(A415,Materiais_Base!A:D,3,"FALSO"))</f>
        <v>kg</v>
      </c>
      <c r="D415" s="354" t="s">
        <v>932</v>
      </c>
      <c r="E415" s="355" t="str">
        <f t="shared" si="10"/>
        <v/>
      </c>
      <c r="F415" s="354"/>
      <c r="G415" s="345" t="str">
        <f>IF(D415="","",VLOOKUP(A415,Materiais_Base!A:D,4,"FALSO"))</f>
        <v/>
      </c>
    </row>
    <row r="416" hidden="1" customHeight="1" spans="1:7">
      <c r="A416" s="352" t="s">
        <v>14702</v>
      </c>
      <c r="B416" s="352" t="str">
        <f>IF(A416="","",VLOOKUP(A416,Materiais_Base!A:D,2,"FALSO"))</f>
        <v>Suporte polimérico ecológico maciço colapsível para placa de sinalização - D = 6,4 cm</v>
      </c>
      <c r="C416" s="353" t="str">
        <f>IF(A416="","",VLOOKUP(A416,Materiais_Base!A:D,3,"FALSO"))</f>
        <v>m</v>
      </c>
      <c r="D416" s="354" t="s">
        <v>932</v>
      </c>
      <c r="E416" s="355" t="str">
        <f t="shared" si="10"/>
        <v/>
      </c>
      <c r="F416" s="354"/>
      <c r="G416" s="345" t="str">
        <f>IF(D416="","",VLOOKUP(A416,Materiais_Base!A:D,4,"FALSO"))</f>
        <v/>
      </c>
    </row>
    <row r="417" hidden="1" customHeight="1" spans="1:7">
      <c r="A417" s="352" t="s">
        <v>14703</v>
      </c>
      <c r="B417" s="352" t="str">
        <f>IF(A417="","",VLOOKUP(A417,Materiais_Base!A:D,2,"FALSO"))</f>
        <v>Trilho TR25 em aço-carbono usado</v>
      </c>
      <c r="C417" s="353" t="str">
        <f>IF(A417="","",VLOOKUP(A417,Materiais_Base!A:D,3,"FALSO"))</f>
        <v>kg</v>
      </c>
      <c r="D417" s="354" t="s">
        <v>932</v>
      </c>
      <c r="E417" s="355" t="str">
        <f t="shared" si="10"/>
        <v/>
      </c>
      <c r="F417" s="354"/>
      <c r="G417" s="345" t="str">
        <f>IF(D417="","",VLOOKUP(A417,Materiais_Base!A:D,4,"FALSO"))</f>
        <v/>
      </c>
    </row>
    <row r="418" hidden="1" customHeight="1" spans="1:7">
      <c r="A418" s="352" t="s">
        <v>14704</v>
      </c>
      <c r="B418" s="352" t="str">
        <f>IF(A418="","",VLOOKUP(A418,Materiais_Base!A:D,2,"FALSO"))</f>
        <v>Trilho TR37 em aço-carbono usado</v>
      </c>
      <c r="C418" s="353" t="str">
        <f>IF(A418="","",VLOOKUP(A418,Materiais_Base!A:D,3,"FALSO"))</f>
        <v>kg</v>
      </c>
      <c r="D418" s="354" t="s">
        <v>932</v>
      </c>
      <c r="E418" s="355" t="str">
        <f t="shared" si="10"/>
        <v/>
      </c>
      <c r="F418" s="354"/>
      <c r="G418" s="345" t="str">
        <f>IF(D418="","",VLOOKUP(A418,Materiais_Base!A:D,4,"FALSO"))</f>
        <v/>
      </c>
    </row>
    <row r="419" hidden="1" customHeight="1" spans="1:7">
      <c r="A419" s="352" t="s">
        <v>14705</v>
      </c>
      <c r="B419" s="352" t="str">
        <f>IF(A419="","",VLOOKUP(A419,Materiais_Base!A:D,2,"FALSO"))</f>
        <v>Trilho TR45 em aço-carbono usado</v>
      </c>
      <c r="C419" s="353" t="str">
        <f>IF(A419="","",VLOOKUP(A419,Materiais_Base!A:D,3,"FALSO"))</f>
        <v>kg</v>
      </c>
      <c r="D419" s="354" t="s">
        <v>932</v>
      </c>
      <c r="E419" s="355" t="str">
        <f t="shared" si="10"/>
        <v/>
      </c>
      <c r="F419" s="354"/>
      <c r="G419" s="345" t="str">
        <f>IF(D419="","",VLOOKUP(A419,Materiais_Base!A:D,4,"FALSO"))</f>
        <v/>
      </c>
    </row>
    <row r="420" hidden="1" customHeight="1" spans="1:7">
      <c r="A420" s="352" t="s">
        <v>14706</v>
      </c>
      <c r="B420" s="352" t="str">
        <f>IF(A420="","",VLOOKUP(A420,Materiais_Base!A:D,2,"FALSO"))</f>
        <v>Trilho TR57 em aço-carbono usado</v>
      </c>
      <c r="C420" s="353" t="str">
        <f>IF(A420="","",VLOOKUP(A420,Materiais_Base!A:D,3,"FALSO"))</f>
        <v>kg</v>
      </c>
      <c r="D420" s="354" t="s">
        <v>932</v>
      </c>
      <c r="E420" s="355" t="str">
        <f t="shared" si="10"/>
        <v/>
      </c>
      <c r="F420" s="354"/>
      <c r="G420" s="345" t="str">
        <f>IF(D420="","",VLOOKUP(A420,Materiais_Base!A:D,4,"FALSO"))</f>
        <v/>
      </c>
    </row>
    <row r="421" customHeight="1" spans="1:7">
      <c r="A421" s="352" t="s">
        <v>14222</v>
      </c>
      <c r="B421" s="352" t="str">
        <f>IF(A421="","",VLOOKUP(A421,Materiais_Base!A:D,2,"FALSO"))</f>
        <v>Trilho TR68 em aço-carbono usado</v>
      </c>
      <c r="C421" s="353" t="str">
        <f>IF(A421="","",VLOOKUP(A421,Materiais_Base!A:D,3,"FALSO"))</f>
        <v>kg</v>
      </c>
      <c r="D421" s="359" t="s">
        <v>932</v>
      </c>
      <c r="E421" s="355">
        <f>F421</f>
        <v>5.00920104368051</v>
      </c>
      <c r="F421" s="359">
        <f>Cotações!BO54</f>
        <v>5.00920104368051</v>
      </c>
      <c r="G421" s="345" t="str">
        <f>IF(D421="","",VLOOKUP(A421,Materiais_Base!A:D,4,"FALSO"))</f>
        <v/>
      </c>
    </row>
    <row r="422" hidden="1" customHeight="1" spans="1:7">
      <c r="A422" s="352" t="s">
        <v>14707</v>
      </c>
      <c r="B422" s="352" t="str">
        <f>IF(A422="","",VLOOKUP(A422,Materiais_Base!A:D,2,"FALSO"))</f>
        <v>Tubo em aço galvanizado com rosca BSP classe leve - D = 50 mm (2")</v>
      </c>
      <c r="C422" s="353" t="str">
        <f>IF(A422="","",VLOOKUP(A422,Materiais_Base!A:D,3,"FALSO"))</f>
        <v>m</v>
      </c>
      <c r="D422" s="354" t="s">
        <v>932</v>
      </c>
      <c r="E422" s="355" t="str">
        <f t="shared" ref="E422:E453" si="11">IF(D422="","",MIN(D422,F422))</f>
        <v/>
      </c>
      <c r="F422" s="354"/>
      <c r="G422" s="345" t="str">
        <f>IF(D422="","",VLOOKUP(A422,Materiais_Base!A:D,4,"FALSO"))</f>
        <v/>
      </c>
    </row>
    <row r="423" hidden="1" customHeight="1" spans="1:7">
      <c r="A423" s="352" t="s">
        <v>14708</v>
      </c>
      <c r="B423" s="352" t="str">
        <f>IF(A423="","",VLOOKUP(A423,Materiais_Base!A:D,2,"FALSO"))</f>
        <v>Tubo em aço galvanizado com rosca BSP classe leve - D = 20 mm (3/4")</v>
      </c>
      <c r="C423" s="353" t="str">
        <f>IF(A423="","",VLOOKUP(A423,Materiais_Base!A:D,3,"FALSO"))</f>
        <v>m</v>
      </c>
      <c r="D423" s="354" t="s">
        <v>932</v>
      </c>
      <c r="E423" s="355" t="str">
        <f t="shared" si="11"/>
        <v/>
      </c>
      <c r="F423" s="354"/>
      <c r="G423" s="345" t="str">
        <f>IF(D423="","",VLOOKUP(A423,Materiais_Base!A:D,4,"FALSO"))</f>
        <v/>
      </c>
    </row>
    <row r="424" hidden="1" customHeight="1" spans="1:7">
      <c r="A424" s="352" t="s">
        <v>14709</v>
      </c>
      <c r="B424" s="352" t="str">
        <f>IF(A424="","",VLOOKUP(A424,Materiais_Base!A:D,2,"FALSO"))</f>
        <v>Tubo em aço galvanizado com rosca BSP classe leve - D = 80 mm (3")</v>
      </c>
      <c r="C424" s="353" t="str">
        <f>IF(A424="","",VLOOKUP(A424,Materiais_Base!A:D,3,"FALSO"))</f>
        <v>m</v>
      </c>
      <c r="D424" s="354" t="s">
        <v>932</v>
      </c>
      <c r="E424" s="355" t="str">
        <f t="shared" si="11"/>
        <v/>
      </c>
      <c r="F424" s="354"/>
      <c r="G424" s="345" t="str">
        <f>IF(D424="","",VLOOKUP(A424,Materiais_Base!A:D,4,"FALSO"))</f>
        <v/>
      </c>
    </row>
    <row r="425" customHeight="1" spans="1:7">
      <c r="A425" s="352" t="s">
        <v>14710</v>
      </c>
      <c r="B425" s="352" t="str">
        <f>IF(A425="","",VLOOKUP(A425,Materiais_Base!A:D,2,"FALSO"))</f>
        <v>Tubo em aço galvanizado com rosca BSP classe leve - D = 100 mm (4")</v>
      </c>
      <c r="C425" s="353" t="str">
        <f>IF(A425="","",VLOOKUP(A425,Materiais_Base!A:D,3,"FALSO"))</f>
        <v>m</v>
      </c>
      <c r="D425" s="354">
        <v>129.7219</v>
      </c>
      <c r="E425" s="355">
        <f t="shared" si="11"/>
        <v>129.7219</v>
      </c>
      <c r="F425" s="354"/>
      <c r="G425" s="345">
        <f>IF(D425="","",VLOOKUP(A425,Materiais_Base!A:D,4,"FALSO"))</f>
        <v>129.7219</v>
      </c>
    </row>
    <row r="426" hidden="1" customHeight="1" spans="1:7">
      <c r="A426" s="352" t="s">
        <v>14711</v>
      </c>
      <c r="B426" s="352" t="str">
        <f>IF(A426="","",VLOOKUP(A426,Materiais_Base!A:D,2,"FALSO"))</f>
        <v>Suporte polimérico ecológico maciço colapsível para placa de sinalização - seção de 8 x 8 cm</v>
      </c>
      <c r="C426" s="353" t="str">
        <f>IF(A426="","",VLOOKUP(A426,Materiais_Base!A:D,3,"FALSO"))</f>
        <v>m</v>
      </c>
      <c r="D426" s="354" t="s">
        <v>932</v>
      </c>
      <c r="E426" s="355" t="str">
        <f t="shared" si="11"/>
        <v/>
      </c>
      <c r="F426" s="354"/>
      <c r="G426" s="345" t="str">
        <f>IF(D426="","",VLOOKUP(A426,Materiais_Base!A:D,4,"FALSO"))</f>
        <v/>
      </c>
    </row>
    <row r="427" hidden="1" customHeight="1" spans="1:7">
      <c r="A427" s="352" t="s">
        <v>14712</v>
      </c>
      <c r="B427" s="352" t="str">
        <f>IF(A427="","",VLOOKUP(A427,Materiais_Base!A:D,2,"FALSO"))</f>
        <v>Suporte polimérico ecológico maciço colapsível para placa de sinalização - seção de 7 x 15 cm</v>
      </c>
      <c r="C427" s="353" t="str">
        <f>IF(A427="","",VLOOKUP(A427,Materiais_Base!A:D,3,"FALSO"))</f>
        <v>m</v>
      </c>
      <c r="D427" s="354" t="s">
        <v>932</v>
      </c>
      <c r="E427" s="355" t="str">
        <f t="shared" si="11"/>
        <v/>
      </c>
      <c r="F427" s="354"/>
      <c r="G427" s="345" t="str">
        <f>IF(D427="","",VLOOKUP(A427,Materiais_Base!A:D,4,"FALSO"))</f>
        <v/>
      </c>
    </row>
    <row r="428" customHeight="1" spans="1:7">
      <c r="A428" s="352" t="s">
        <v>14713</v>
      </c>
      <c r="B428" s="352" t="str">
        <f>IF(A428="","",VLOOKUP(A428,Materiais_Base!A:D,2,"FALSO"))</f>
        <v>Mourão de madeira - H = 2,10 m e D = 0,10 m</v>
      </c>
      <c r="C428" s="353" t="str">
        <f>IF(A428="","",VLOOKUP(A428,Materiais_Base!A:D,3,"FALSO"))</f>
        <v>un</v>
      </c>
      <c r="D428" s="354">
        <v>32.2923</v>
      </c>
      <c r="E428" s="355">
        <f t="shared" si="11"/>
        <v>32.2923</v>
      </c>
      <c r="F428" s="354"/>
      <c r="G428" s="345">
        <f>IF(D428="","",VLOOKUP(A428,Materiais_Base!A:D,4,"FALSO"))</f>
        <v>32.2923</v>
      </c>
    </row>
    <row r="429" customHeight="1" spans="1:7">
      <c r="A429" s="352" t="s">
        <v>14714</v>
      </c>
      <c r="B429" s="352" t="str">
        <f>IF(A429="","",VLOOKUP(A429,Materiais_Base!A:D,2,"FALSO"))</f>
        <v>Mourão de madeira - H = 2,20 m e D = 0,15 m</v>
      </c>
      <c r="C429" s="353" t="str">
        <f>IF(A429="","",VLOOKUP(A429,Materiais_Base!A:D,3,"FALSO"))</f>
        <v>un</v>
      </c>
      <c r="D429" s="354">
        <v>72.1191</v>
      </c>
      <c r="E429" s="355">
        <f t="shared" si="11"/>
        <v>72.1191</v>
      </c>
      <c r="F429" s="354"/>
      <c r="G429" s="345">
        <f>IF(D429="","",VLOOKUP(A429,Materiais_Base!A:D,4,"FALSO"))</f>
        <v>72.1191</v>
      </c>
    </row>
    <row r="430" hidden="1" customHeight="1" spans="1:7">
      <c r="A430" s="352" t="s">
        <v>14715</v>
      </c>
      <c r="B430" s="352" t="str">
        <f>IF(A430="","",VLOOKUP(A430,Materiais_Base!A:D,2,"FALSO"))</f>
        <v>Nonel iniciador - C = 300,0 m</v>
      </c>
      <c r="C430" s="353" t="str">
        <f>IF(A430="","",VLOOKUP(A430,Materiais_Base!A:D,3,"FALSO"))</f>
        <v>un</v>
      </c>
      <c r="D430" s="354" t="s">
        <v>932</v>
      </c>
      <c r="E430" s="355" t="str">
        <f t="shared" si="11"/>
        <v/>
      </c>
      <c r="F430" s="354"/>
      <c r="G430" s="345" t="str">
        <f>IF(D430="","",VLOOKUP(A430,Materiais_Base!A:D,4,"FALSO"))</f>
        <v/>
      </c>
    </row>
    <row r="431" hidden="1" customHeight="1" spans="1:7">
      <c r="A431" s="352" t="s">
        <v>14716</v>
      </c>
      <c r="B431" s="352" t="str">
        <f>IF(A431="","",VLOOKUP(A431,Materiais_Base!A:D,2,"FALSO"))</f>
        <v>Coroa de botões esféricos - D = 130 mm (5 1/8")</v>
      </c>
      <c r="C431" s="353" t="str">
        <f>IF(A431="","",VLOOKUP(A431,Materiais_Base!A:D,3,"FALSO"))</f>
        <v>un</v>
      </c>
      <c r="D431" s="354" t="s">
        <v>932</v>
      </c>
      <c r="E431" s="355" t="str">
        <f t="shared" si="11"/>
        <v/>
      </c>
      <c r="F431" s="354"/>
      <c r="G431" s="345" t="str">
        <f>IF(D431="","",VLOOKUP(A431,Materiais_Base!A:D,4,"FALSO"))</f>
        <v/>
      </c>
    </row>
    <row r="432" hidden="1" customHeight="1" spans="1:7">
      <c r="A432" s="352" t="s">
        <v>14717</v>
      </c>
      <c r="B432" s="352" t="str">
        <f>IF(A432="","",VLOOKUP(A432,Materiais_Base!A:D,2,"FALSO"))</f>
        <v>Coroa de botões esféricos - D = 194 mm (7 5/8")</v>
      </c>
      <c r="C432" s="353" t="str">
        <f>IF(A432="","",VLOOKUP(A432,Materiais_Base!A:D,3,"FALSO"))</f>
        <v>un</v>
      </c>
      <c r="D432" s="354" t="s">
        <v>932</v>
      </c>
      <c r="E432" s="355" t="str">
        <f t="shared" si="11"/>
        <v/>
      </c>
      <c r="F432" s="354"/>
      <c r="G432" s="345" t="str">
        <f>IF(D432="","",VLOOKUP(A432,Materiais_Base!A:D,4,"FALSO"))</f>
        <v/>
      </c>
    </row>
    <row r="433" hidden="1" customHeight="1" spans="1:7">
      <c r="A433" s="352" t="s">
        <v>14718</v>
      </c>
      <c r="B433" s="352" t="str">
        <f>IF(A433="","",VLOOKUP(A433,Materiais_Base!A:D,2,"FALSO"))</f>
        <v>Coroa de botões esféricos - D = 251 mm (9 7/8")</v>
      </c>
      <c r="C433" s="353" t="str">
        <f>IF(A433="","",VLOOKUP(A433,Materiais_Base!A:D,3,"FALSO"))</f>
        <v>un</v>
      </c>
      <c r="D433" s="354" t="s">
        <v>932</v>
      </c>
      <c r="E433" s="355" t="str">
        <f t="shared" si="11"/>
        <v/>
      </c>
      <c r="F433" s="354"/>
      <c r="G433" s="345" t="str">
        <f>IF(D433="","",VLOOKUP(A433,Materiais_Base!A:D,4,"FALSO"))</f>
        <v/>
      </c>
    </row>
    <row r="434" hidden="1" customHeight="1" spans="1:7">
      <c r="A434" s="352" t="s">
        <v>14719</v>
      </c>
      <c r="B434" s="352" t="str">
        <f>IF(A434="","",VLOOKUP(A434,Materiais_Base!A:D,2,"FALSO"))</f>
        <v>Coroa de botões esféricos - D = 355 mm (14")</v>
      </c>
      <c r="C434" s="353" t="str">
        <f>IF(A434="","",VLOOKUP(A434,Materiais_Base!A:D,3,"FALSO"))</f>
        <v>un</v>
      </c>
      <c r="D434" s="354" t="s">
        <v>932</v>
      </c>
      <c r="E434" s="355" t="str">
        <f t="shared" si="11"/>
        <v/>
      </c>
      <c r="F434" s="354"/>
      <c r="G434" s="345" t="str">
        <f>IF(D434="","",VLOOKUP(A434,Materiais_Base!A:D,4,"FALSO"))</f>
        <v/>
      </c>
    </row>
    <row r="435" hidden="1" customHeight="1" spans="1:7">
      <c r="A435" s="352" t="s">
        <v>14720</v>
      </c>
      <c r="B435" s="352" t="str">
        <f>IF(A435="","",VLOOKUP(A435,Materiais_Base!A:D,2,"FALSO"))</f>
        <v>Coroa de botões esféricos linha ST68 - D = 102 mm (4")</v>
      </c>
      <c r="C435" s="353" t="str">
        <f>IF(A435="","",VLOOKUP(A435,Materiais_Base!A:D,3,"FALSO"))</f>
        <v>un</v>
      </c>
      <c r="D435" s="354" t="s">
        <v>932</v>
      </c>
      <c r="E435" s="355" t="str">
        <f t="shared" si="11"/>
        <v/>
      </c>
      <c r="F435" s="354"/>
      <c r="G435" s="345" t="str">
        <f>IF(D435="","",VLOOKUP(A435,Materiais_Base!A:D,4,"FALSO"))</f>
        <v/>
      </c>
    </row>
    <row r="436" hidden="1" customHeight="1" spans="1:7">
      <c r="A436" s="352" t="s">
        <v>14721</v>
      </c>
      <c r="B436" s="352" t="str">
        <f>IF(A436="","",VLOOKUP(A436,Materiais_Base!A:D,2,"FALSO"))</f>
        <v>Coroa piloto de botões esféricos para sistema autoperfurante - D = 76,2 mm (3")</v>
      </c>
      <c r="C436" s="353" t="str">
        <f>IF(A436="","",VLOOKUP(A436,Materiais_Base!A:D,3,"FALSO"))</f>
        <v>un</v>
      </c>
      <c r="D436" s="354" t="s">
        <v>932</v>
      </c>
      <c r="E436" s="355" t="str">
        <f t="shared" si="11"/>
        <v/>
      </c>
      <c r="F436" s="354"/>
      <c r="G436" s="345" t="str">
        <f>IF(D436="","",VLOOKUP(A436,Materiais_Base!A:D,4,"FALSO"))</f>
        <v/>
      </c>
    </row>
    <row r="437" hidden="1" customHeight="1" spans="1:7">
      <c r="A437" s="352" t="s">
        <v>14722</v>
      </c>
      <c r="B437" s="352" t="str">
        <f>IF(A437="","",VLOOKUP(A437,Materiais_Base!A:D,2,"FALSO"))</f>
        <v>Tubo de PVC ponta e bolsa para esgoto - D = 50 mm (2")</v>
      </c>
      <c r="C437" s="353" t="str">
        <f>IF(A437="","",VLOOKUP(A437,Materiais_Base!A:D,3,"FALSO"))</f>
        <v>m</v>
      </c>
      <c r="D437" s="354" t="s">
        <v>932</v>
      </c>
      <c r="E437" s="355" t="str">
        <f t="shared" si="11"/>
        <v/>
      </c>
      <c r="F437" s="354"/>
      <c r="G437" s="345" t="str">
        <f>IF(D437="","",VLOOKUP(A437,Materiais_Base!A:D,4,"FALSO"))</f>
        <v/>
      </c>
    </row>
    <row r="438" hidden="1" customHeight="1" spans="1:7">
      <c r="A438" s="352" t="s">
        <v>14723</v>
      </c>
      <c r="B438" s="352" t="str">
        <f>IF(A438="","",VLOOKUP(A438,Materiais_Base!A:D,2,"FALSO"))</f>
        <v>Tubo de PVC ponta e bolsa para esgoto - D = 75 mm (3")</v>
      </c>
      <c r="C438" s="353" t="str">
        <f>IF(A438="","",VLOOKUP(A438,Materiais_Base!A:D,3,"FALSO"))</f>
        <v>m</v>
      </c>
      <c r="D438" s="354" t="s">
        <v>932</v>
      </c>
      <c r="E438" s="355" t="str">
        <f t="shared" si="11"/>
        <v/>
      </c>
      <c r="F438" s="354"/>
      <c r="G438" s="345" t="str">
        <f>IF(D438="","",VLOOKUP(A438,Materiais_Base!A:D,4,"FALSO"))</f>
        <v/>
      </c>
    </row>
    <row r="439" customHeight="1" spans="1:7">
      <c r="A439" s="352" t="s">
        <v>14279</v>
      </c>
      <c r="B439" s="352" t="str">
        <f>IF(A439="","",VLOOKUP(A439,Materiais_Base!A:D,2,"FALSO"))</f>
        <v>Suporte em madeira de eucalipto tratado - seção de 8 x 8 cm</v>
      </c>
      <c r="C439" s="353" t="str">
        <f>IF(A439="","",VLOOKUP(A439,Materiais_Base!A:D,3,"FALSO"))</f>
        <v>m</v>
      </c>
      <c r="D439" s="354">
        <v>15.9955</v>
      </c>
      <c r="E439" s="355">
        <f t="shared" si="11"/>
        <v>15.9955</v>
      </c>
      <c r="F439" s="354"/>
      <c r="G439" s="345">
        <f>IF(D439="","",VLOOKUP(A439,Materiais_Base!A:D,4,"FALSO"))</f>
        <v>15.9955</v>
      </c>
    </row>
    <row r="440" hidden="1" customHeight="1" spans="1:7">
      <c r="A440" s="352" t="s">
        <v>14724</v>
      </c>
      <c r="B440" s="352" t="str">
        <f>IF(A440="","",VLOOKUP(A440,Materiais_Base!A:D,2,"FALSO"))</f>
        <v>Tubo de PVC rosqueável para água fria - D = 40 mm (1 1/2")</v>
      </c>
      <c r="C440" s="353" t="str">
        <f>IF(A440="","",VLOOKUP(A440,Materiais_Base!A:D,3,"FALSO"))</f>
        <v>m</v>
      </c>
      <c r="D440" s="354" t="s">
        <v>932</v>
      </c>
      <c r="E440" s="355" t="str">
        <f t="shared" si="11"/>
        <v/>
      </c>
      <c r="F440" s="354"/>
      <c r="G440" s="345" t="str">
        <f>IF(D440="","",VLOOKUP(A440,Materiais_Base!A:D,4,"FALSO"))</f>
        <v/>
      </c>
    </row>
    <row r="441" customHeight="1" spans="1:7">
      <c r="A441" s="352" t="s">
        <v>14283</v>
      </c>
      <c r="B441" s="352" t="str">
        <f>IF(A441="","",VLOOKUP(A441,Materiais_Base!A:D,2,"FALSO"))</f>
        <v>Tubo de PVC rosqueável para água fria - D = 100 mm (4")</v>
      </c>
      <c r="C441" s="353" t="str">
        <f>IF(A441="","",VLOOKUP(A441,Materiais_Base!A:D,3,"FALSO"))</f>
        <v>m</v>
      </c>
      <c r="D441" s="354">
        <v>80.7461</v>
      </c>
      <c r="E441" s="355">
        <f t="shared" si="11"/>
        <v>80.7461</v>
      </c>
      <c r="F441" s="354"/>
      <c r="G441" s="345">
        <f>IF(D441="","",VLOOKUP(A441,Materiais_Base!A:D,4,"FALSO"))</f>
        <v>80.7461</v>
      </c>
    </row>
    <row r="442" hidden="1" customHeight="1" spans="1:7">
      <c r="A442" s="352" t="s">
        <v>14725</v>
      </c>
      <c r="B442" s="352" t="str">
        <f>IF(A442="","",VLOOKUP(A442,Materiais_Base!A:D,2,"FALSO"))</f>
        <v>Tubo de PVC rosqueável para água fria - D = 150 mm (6")</v>
      </c>
      <c r="C442" s="353" t="str">
        <f>IF(A442="","",VLOOKUP(A442,Materiais_Base!A:D,3,"FALSO"))</f>
        <v>m</v>
      </c>
      <c r="D442" s="354" t="s">
        <v>932</v>
      </c>
      <c r="E442" s="355" t="str">
        <f t="shared" si="11"/>
        <v/>
      </c>
      <c r="F442" s="354"/>
      <c r="G442" s="345" t="str">
        <f>IF(D442="","",VLOOKUP(A442,Materiais_Base!A:D,4,"FALSO"))</f>
        <v/>
      </c>
    </row>
    <row r="443" hidden="1" customHeight="1" spans="1:7">
      <c r="A443" s="352" t="s">
        <v>14726</v>
      </c>
      <c r="B443" s="352" t="str">
        <f>IF(A443="","",VLOOKUP(A443,Materiais_Base!A:D,2,"FALSO"))</f>
        <v>Duto flexível de ventilação em PVC - D = 1,20 m</v>
      </c>
      <c r="C443" s="353" t="str">
        <f>IF(A443="","",VLOOKUP(A443,Materiais_Base!A:D,3,"FALSO"))</f>
        <v>m</v>
      </c>
      <c r="D443" s="354" t="s">
        <v>932</v>
      </c>
      <c r="E443" s="355" t="str">
        <f t="shared" si="11"/>
        <v/>
      </c>
      <c r="F443" s="354"/>
      <c r="G443" s="345" t="str">
        <f>IF(D443="","",VLOOKUP(A443,Materiais_Base!A:D,4,"FALSO"))</f>
        <v/>
      </c>
    </row>
    <row r="444" hidden="1" customHeight="1" spans="1:7">
      <c r="A444" s="352" t="s">
        <v>14727</v>
      </c>
      <c r="B444" s="352" t="str">
        <f>IF(A444="","",VLOOKUP(A444,Materiais_Base!A:D,2,"FALSO"))</f>
        <v>Broca integral série H19 - D = 24 mm e C = 0,4 m</v>
      </c>
      <c r="C444" s="353" t="str">
        <f>IF(A444="","",VLOOKUP(A444,Materiais_Base!A:D,3,"FALSO"))</f>
        <v>un</v>
      </c>
      <c r="D444" s="354" t="s">
        <v>932</v>
      </c>
      <c r="E444" s="355" t="str">
        <f t="shared" si="11"/>
        <v/>
      </c>
      <c r="F444" s="354"/>
      <c r="G444" s="345" t="str">
        <f>IF(D444="","",VLOOKUP(A444,Materiais_Base!A:D,4,"FALSO"))</f>
        <v/>
      </c>
    </row>
    <row r="445" hidden="1" customHeight="1" spans="1:7">
      <c r="A445" s="352" t="s">
        <v>14728</v>
      </c>
      <c r="B445" s="352" t="str">
        <f>IF(A445="","",VLOOKUP(A445,Materiais_Base!A:D,2,"FALSO"))</f>
        <v>Geotêxtil não-tecido agulhado em poliéster - resistência à tração longitudinal de 10 kN/m</v>
      </c>
      <c r="C445" s="353" t="str">
        <f>IF(A445="","",VLOOKUP(A445,Materiais_Base!A:D,3,"FALSO"))</f>
        <v>m²</v>
      </c>
      <c r="D445" s="354" t="s">
        <v>932</v>
      </c>
      <c r="E445" s="355" t="str">
        <f t="shared" si="11"/>
        <v/>
      </c>
      <c r="F445" s="354"/>
      <c r="G445" s="345" t="str">
        <f>IF(D445="","",VLOOKUP(A445,Materiais_Base!A:D,4,"FALSO"))</f>
        <v/>
      </c>
    </row>
    <row r="446" hidden="1" customHeight="1" spans="1:7">
      <c r="A446" s="352" t="s">
        <v>14729</v>
      </c>
      <c r="B446" s="352" t="str">
        <f>IF(A446="","",VLOOKUP(A446,Materiais_Base!A:D,2,"FALSO"))</f>
        <v>Haste de perfuração simples para jet grouting - D = 88,9 mm (3 1/2") e C = 3,00 m</v>
      </c>
      <c r="C446" s="353" t="str">
        <f>IF(A446="","",VLOOKUP(A446,Materiais_Base!A:D,3,"FALSO"))</f>
        <v>un</v>
      </c>
      <c r="D446" s="354" t="s">
        <v>932</v>
      </c>
      <c r="E446" s="355" t="str">
        <f t="shared" si="11"/>
        <v/>
      </c>
      <c r="F446" s="354"/>
      <c r="G446" s="345" t="str">
        <f>IF(D446="","",VLOOKUP(A446,Materiais_Base!A:D,4,"FALSO"))</f>
        <v/>
      </c>
    </row>
    <row r="447" hidden="1" customHeight="1" spans="1:7">
      <c r="A447" s="352" t="s">
        <v>14730</v>
      </c>
      <c r="B447" s="352" t="str">
        <f>IF(A447="","",VLOOKUP(A447,Materiais_Base!A:D,2,"FALSO"))</f>
        <v>Luva em aço galvanizado com rosca BSP classe leve - D = 50 mm (2")</v>
      </c>
      <c r="C447" s="353" t="str">
        <f>IF(A447="","",VLOOKUP(A447,Materiais_Base!A:D,3,"FALSO"))</f>
        <v>un</v>
      </c>
      <c r="D447" s="354" t="s">
        <v>932</v>
      </c>
      <c r="E447" s="355" t="str">
        <f t="shared" si="11"/>
        <v/>
      </c>
      <c r="F447" s="354"/>
      <c r="G447" s="345" t="str">
        <f>IF(D447="","",VLOOKUP(A447,Materiais_Base!A:D,4,"FALSO"))</f>
        <v/>
      </c>
    </row>
    <row r="448" hidden="1" customHeight="1" spans="1:7">
      <c r="A448" s="352" t="s">
        <v>14731</v>
      </c>
      <c r="B448" s="352" t="str">
        <f>IF(A448="","",VLOOKUP(A448,Materiais_Base!A:D,2,"FALSO"))</f>
        <v>Manta drenante em malha de polietileno e geotêxtil de polipropileno em uma das faces</v>
      </c>
      <c r="C448" s="353" t="str">
        <f>IF(A448="","",VLOOKUP(A448,Materiais_Base!A:D,3,"FALSO"))</f>
        <v>m²</v>
      </c>
      <c r="D448" s="354" t="s">
        <v>932</v>
      </c>
      <c r="E448" s="355" t="str">
        <f t="shared" si="11"/>
        <v/>
      </c>
      <c r="F448" s="354"/>
      <c r="G448" s="345" t="str">
        <f>IF(D448="","",VLOOKUP(A448,Materiais_Base!A:D,4,"FALSO"))</f>
        <v/>
      </c>
    </row>
    <row r="449" hidden="1" customHeight="1" spans="1:7">
      <c r="A449" s="352" t="s">
        <v>14732</v>
      </c>
      <c r="B449" s="352" t="str">
        <f>IF(A449="","",VLOOKUP(A449,Materiais_Base!A:D,2,"FALSO"))</f>
        <v>Punho linha ST68 para perfuração - D = 80 mm (3 5/32")</v>
      </c>
      <c r="C449" s="353" t="str">
        <f>IF(A449="","",VLOOKUP(A449,Materiais_Base!A:D,3,"FALSO"))</f>
        <v>un</v>
      </c>
      <c r="D449" s="354" t="s">
        <v>932</v>
      </c>
      <c r="E449" s="355" t="str">
        <f t="shared" si="11"/>
        <v/>
      </c>
      <c r="F449" s="354"/>
      <c r="G449" s="345" t="str">
        <f>IF(D449="","",VLOOKUP(A449,Materiais_Base!A:D,4,"FALSO"))</f>
        <v/>
      </c>
    </row>
    <row r="450" hidden="1" customHeight="1" spans="1:7">
      <c r="A450" s="352" t="s">
        <v>14733</v>
      </c>
      <c r="B450" s="352" t="str">
        <f>IF(A450="","",VLOOKUP(A450,Materiais_Base!A:D,2,"FALSO"))</f>
        <v>Adesivo à base de resina poliéster bicomponente para ancoragem</v>
      </c>
      <c r="C450" s="353" t="str">
        <f>IF(A450="","",VLOOKUP(A450,Materiais_Base!A:D,3,"FALSO"))</f>
        <v>kg</v>
      </c>
      <c r="D450" s="354" t="s">
        <v>932</v>
      </c>
      <c r="E450" s="355" t="str">
        <f t="shared" si="11"/>
        <v/>
      </c>
      <c r="F450" s="354"/>
      <c r="G450" s="345" t="str">
        <f>IF(D450="","",VLOOKUP(A450,Materiais_Base!A:D,4,"FALSO"))</f>
        <v/>
      </c>
    </row>
    <row r="451" hidden="1" customHeight="1" spans="1:7">
      <c r="A451" s="352" t="s">
        <v>14734</v>
      </c>
      <c r="B451" s="352" t="str">
        <f>IF(A451="","",VLOOKUP(A451,Materiais_Base!A:D,2,"FALSO"))</f>
        <v>Tubo em aço-carbono para ar comprimido - D = 150 mm (6")</v>
      </c>
      <c r="C451" s="353" t="str">
        <f>IF(A451="","",VLOOKUP(A451,Materiais_Base!A:D,3,"FALSO"))</f>
        <v>m</v>
      </c>
      <c r="D451" s="354" t="s">
        <v>932</v>
      </c>
      <c r="E451" s="355" t="str">
        <f t="shared" si="11"/>
        <v/>
      </c>
      <c r="F451" s="354"/>
      <c r="G451" s="345" t="str">
        <f>IF(D451="","",VLOOKUP(A451,Materiais_Base!A:D,4,"FALSO"))</f>
        <v/>
      </c>
    </row>
    <row r="452" hidden="1" customHeight="1" spans="1:7">
      <c r="A452" s="352" t="s">
        <v>14735</v>
      </c>
      <c r="B452" s="352" t="str">
        <f>IF(A452="","",VLOOKUP(A452,Materiais_Base!A:D,2,"FALSO"))</f>
        <v>Haste linha T45 para perfuratriz sobre esteiras - D = 45,0 mm (1 3/4") e C = 3,60 m</v>
      </c>
      <c r="C452" s="353" t="str">
        <f>IF(A452="","",VLOOKUP(A452,Materiais_Base!A:D,3,"FALSO"))</f>
        <v>un</v>
      </c>
      <c r="D452" s="354" t="s">
        <v>932</v>
      </c>
      <c r="E452" s="355" t="str">
        <f t="shared" si="11"/>
        <v/>
      </c>
      <c r="F452" s="354"/>
      <c r="G452" s="345" t="str">
        <f>IF(D452="","",VLOOKUP(A452,Materiais_Base!A:D,4,"FALSO"))</f>
        <v/>
      </c>
    </row>
    <row r="453" hidden="1" customHeight="1" spans="1:7">
      <c r="A453" s="352" t="s">
        <v>14736</v>
      </c>
      <c r="B453" s="352" t="str">
        <f>IF(A453="","",VLOOKUP(A453,Materiais_Base!A:D,2,"FALSO"))</f>
        <v>Punho linha T45 para perfuratriz sobre esteiras - D = 45 mm (1 3/4")</v>
      </c>
      <c r="C453" s="353" t="str">
        <f>IF(A453="","",VLOOKUP(A453,Materiais_Base!A:D,3,"FALSO"))</f>
        <v>un</v>
      </c>
      <c r="D453" s="354" t="s">
        <v>932</v>
      </c>
      <c r="E453" s="355" t="str">
        <f t="shared" si="11"/>
        <v/>
      </c>
      <c r="F453" s="354"/>
      <c r="G453" s="345" t="str">
        <f>IF(D453="","",VLOOKUP(A453,Materiais_Base!A:D,4,"FALSO"))</f>
        <v/>
      </c>
    </row>
    <row r="454" hidden="1" customHeight="1" spans="1:7">
      <c r="A454" s="352" t="s">
        <v>14737</v>
      </c>
      <c r="B454" s="352" t="str">
        <f>IF(A454="","",VLOOKUP(A454,Materiais_Base!A:D,2,"FALSO"))</f>
        <v>Luva em aço linha T45 para perfuratriz sobre esteiras - D = 45,0 mm (1 3/4")</v>
      </c>
      <c r="C454" s="353" t="str">
        <f>IF(A454="","",VLOOKUP(A454,Materiais_Base!A:D,3,"FALSO"))</f>
        <v>un</v>
      </c>
      <c r="D454" s="354" t="s">
        <v>932</v>
      </c>
      <c r="E454" s="355" t="str">
        <f t="shared" ref="E454:E485" si="12">IF(D454="","",MIN(D454,F454))</f>
        <v/>
      </c>
      <c r="F454" s="354"/>
      <c r="G454" s="345" t="str">
        <f>IF(D454="","",VLOOKUP(A454,Materiais_Base!A:D,4,"FALSO"))</f>
        <v/>
      </c>
    </row>
    <row r="455" hidden="1" customHeight="1" spans="1:7">
      <c r="A455" s="352" t="s">
        <v>14738</v>
      </c>
      <c r="B455" s="352" t="str">
        <f>IF(A455="","",VLOOKUP(A455,Materiais_Base!A:D,2,"FALSO"))</f>
        <v>Coroa de botões esféricos linha T45 - D = 89 mm (3 1/2")</v>
      </c>
      <c r="C455" s="353" t="str">
        <f>IF(A455="","",VLOOKUP(A455,Materiais_Base!A:D,3,"FALSO"))</f>
        <v>un</v>
      </c>
      <c r="D455" s="354" t="s">
        <v>932</v>
      </c>
      <c r="E455" s="355" t="str">
        <f t="shared" si="12"/>
        <v/>
      </c>
      <c r="F455" s="354"/>
      <c r="G455" s="345" t="str">
        <f>IF(D455="","",VLOOKUP(A455,Materiais_Base!A:D,4,"FALSO"))</f>
        <v/>
      </c>
    </row>
    <row r="456" hidden="1" customHeight="1" spans="1:7">
      <c r="A456" s="352" t="s">
        <v>14739</v>
      </c>
      <c r="B456" s="352" t="str">
        <f>IF(A456="","",VLOOKUP(A456,Materiais_Base!A:D,2,"FALSO"))</f>
        <v>Tubo em aço-carbono para sistema autoperfurante - D = 76,2 mm</v>
      </c>
      <c r="C456" s="353" t="str">
        <f>IF(A456="","",VLOOKUP(A456,Materiais_Base!A:D,3,"FALSO"))</f>
        <v>m</v>
      </c>
      <c r="D456" s="354" t="s">
        <v>932</v>
      </c>
      <c r="E456" s="355" t="str">
        <f t="shared" si="12"/>
        <v/>
      </c>
      <c r="F456" s="354"/>
      <c r="G456" s="345" t="str">
        <f>IF(D456="","",VLOOKUP(A456,Materiais_Base!A:D,4,"FALSO"))</f>
        <v/>
      </c>
    </row>
    <row r="457" hidden="1" customHeight="1" spans="1:7">
      <c r="A457" s="352" t="s">
        <v>14740</v>
      </c>
      <c r="B457" s="352" t="str">
        <f>IF(A457="","",VLOOKUP(A457,Materiais_Base!A:D,2,"FALSO"))</f>
        <v>Haste linha ST68 para perfuração - D = 87,0 mm (3 7/16") e C = 1,83 m</v>
      </c>
      <c r="C457" s="353" t="str">
        <f>IF(A457="","",VLOOKUP(A457,Materiais_Base!A:D,3,"FALSO"))</f>
        <v>un</v>
      </c>
      <c r="D457" s="354" t="s">
        <v>932</v>
      </c>
      <c r="E457" s="355" t="str">
        <f t="shared" si="12"/>
        <v/>
      </c>
      <c r="F457" s="354"/>
      <c r="G457" s="345" t="str">
        <f>IF(D457="","",VLOOKUP(A457,Materiais_Base!A:D,4,"FALSO"))</f>
        <v/>
      </c>
    </row>
    <row r="458" hidden="1" customHeight="1" spans="1:7">
      <c r="A458" s="352" t="s">
        <v>14741</v>
      </c>
      <c r="B458" s="352" t="str">
        <f>IF(A458="","",VLOOKUP(A458,Materiais_Base!A:D,2,"FALSO"))</f>
        <v>Hidromonitor com bico de injeção para jet grouting - D = 88,9 mm (3 1/2")</v>
      </c>
      <c r="C458" s="353" t="str">
        <f>IF(A458="","",VLOOKUP(A458,Materiais_Base!A:D,3,"FALSO"))</f>
        <v>un</v>
      </c>
      <c r="D458" s="354" t="s">
        <v>932</v>
      </c>
      <c r="E458" s="355" t="str">
        <f t="shared" si="12"/>
        <v/>
      </c>
      <c r="F458" s="354"/>
      <c r="G458" s="345" t="str">
        <f>IF(D458="","",VLOOKUP(A458,Materiais_Base!A:D,4,"FALSO"))</f>
        <v/>
      </c>
    </row>
    <row r="459" hidden="1" customHeight="1" spans="1:7">
      <c r="A459" s="352" t="s">
        <v>14742</v>
      </c>
      <c r="B459" s="352" t="str">
        <f>IF(A459="","",VLOOKUP(A459,Materiais_Base!A:D,2,"FALSO"))</f>
        <v>Disco de corte diamantado segmentado para concreto - D = 110 mm</v>
      </c>
      <c r="C459" s="353" t="str">
        <f>IF(A459="","",VLOOKUP(A459,Materiais_Base!A:D,3,"FALSO"))</f>
        <v>un</v>
      </c>
      <c r="D459" s="354" t="s">
        <v>932</v>
      </c>
      <c r="E459" s="355" t="str">
        <f t="shared" si="12"/>
        <v/>
      </c>
      <c r="F459" s="354"/>
      <c r="G459" s="345" t="str">
        <f>IF(D459="","",VLOOKUP(A459,Materiais_Base!A:D,4,"FALSO"))</f>
        <v/>
      </c>
    </row>
    <row r="460" customHeight="1" spans="1:7">
      <c r="A460" s="352" t="s">
        <v>14743</v>
      </c>
      <c r="B460" s="352" t="str">
        <f>IF(A460="","",VLOOKUP(A460,Materiais_Base!A:D,2,"FALSO"))</f>
        <v>Pó calcário dolomítico</v>
      </c>
      <c r="C460" s="353" t="str">
        <f>IF(A460="","",VLOOKUP(A460,Materiais_Base!A:D,3,"FALSO"))</f>
        <v>kg</v>
      </c>
      <c r="D460" s="354">
        <v>0.1386</v>
      </c>
      <c r="E460" s="355">
        <f t="shared" si="12"/>
        <v>0.1386</v>
      </c>
      <c r="F460" s="354"/>
      <c r="G460" s="345">
        <f>IF(D460="","",VLOOKUP(A460,Materiais_Base!A:D,4,"FALSO"))</f>
        <v>0.1386</v>
      </c>
    </row>
    <row r="461" hidden="1" customHeight="1" spans="1:7">
      <c r="A461" s="352" t="s">
        <v>14744</v>
      </c>
      <c r="B461" s="352" t="str">
        <f>IF(A461="","",VLOOKUP(A461,Materiais_Base!A:D,2,"FALSO"))</f>
        <v>Material formador de camada protetora para hidrossemeadura</v>
      </c>
      <c r="C461" s="353" t="str">
        <f>IF(A461="","",VLOOKUP(A461,Materiais_Base!A:D,3,"FALSO"))</f>
        <v>kg</v>
      </c>
      <c r="D461" s="354" t="s">
        <v>932</v>
      </c>
      <c r="E461" s="355" t="str">
        <f t="shared" si="12"/>
        <v/>
      </c>
      <c r="F461" s="354"/>
      <c r="G461" s="345" t="str">
        <f>IF(D461="","",VLOOKUP(A461,Materiais_Base!A:D,4,"FALSO"))</f>
        <v/>
      </c>
    </row>
    <row r="462" hidden="1" customHeight="1" spans="1:7">
      <c r="A462" s="352" t="s">
        <v>14745</v>
      </c>
      <c r="B462" s="352" t="str">
        <f>IF(A462="","",VLOOKUP(A462,Materiais_Base!A:D,2,"FALSO"))</f>
        <v>Tubo em aço-carbono schedule 40 - D = 65 mm (2 1/2")</v>
      </c>
      <c r="C462" s="353" t="str">
        <f>IF(A462="","",VLOOKUP(A462,Materiais_Base!A:D,3,"FALSO"))</f>
        <v>m</v>
      </c>
      <c r="D462" s="354" t="s">
        <v>932</v>
      </c>
      <c r="E462" s="355" t="str">
        <f t="shared" si="12"/>
        <v/>
      </c>
      <c r="F462" s="354"/>
      <c r="G462" s="345" t="str">
        <f>IF(D462="","",VLOOKUP(A462,Materiais_Base!A:D,4,"FALSO"))</f>
        <v/>
      </c>
    </row>
    <row r="463" hidden="1" customHeight="1" spans="1:7">
      <c r="A463" s="352" t="s">
        <v>14746</v>
      </c>
      <c r="B463" s="352" t="str">
        <f>IF(A463="","",VLOOKUP(A463,Materiais_Base!A:D,2,"FALSO"))</f>
        <v>Ancoragem regulável para estais de 19 cordoalhas - D = 15,7 mm</v>
      </c>
      <c r="C463" s="353" t="str">
        <f>IF(A463="","",VLOOKUP(A463,Materiais_Base!A:D,3,"FALSO"))</f>
        <v>un</v>
      </c>
      <c r="D463" s="354" t="s">
        <v>932</v>
      </c>
      <c r="E463" s="355" t="str">
        <f t="shared" si="12"/>
        <v/>
      </c>
      <c r="F463" s="354"/>
      <c r="G463" s="345" t="str">
        <f>IF(D463="","",VLOOKUP(A463,Materiais_Base!A:D,4,"FALSO"))</f>
        <v/>
      </c>
    </row>
    <row r="464" hidden="1" customHeight="1" spans="1:7">
      <c r="A464" s="352" t="s">
        <v>14747</v>
      </c>
      <c r="B464" s="352" t="str">
        <f>IF(A464="","",VLOOKUP(A464,Materiais_Base!A:D,2,"FALSO"))</f>
        <v>Ancoragem regulável para estais de 31 cordoalhas - D = 15,7 mm</v>
      </c>
      <c r="C464" s="353" t="str">
        <f>IF(A464="","",VLOOKUP(A464,Materiais_Base!A:D,3,"FALSO"))</f>
        <v>un</v>
      </c>
      <c r="D464" s="354" t="s">
        <v>932</v>
      </c>
      <c r="E464" s="355" t="str">
        <f t="shared" si="12"/>
        <v/>
      </c>
      <c r="F464" s="354"/>
      <c r="G464" s="345" t="str">
        <f>IF(D464="","",VLOOKUP(A464,Materiais_Base!A:D,4,"FALSO"))</f>
        <v/>
      </c>
    </row>
    <row r="465" hidden="1" customHeight="1" spans="1:7">
      <c r="A465" s="352" t="s">
        <v>14748</v>
      </c>
      <c r="B465" s="352" t="str">
        <f>IF(A465="","",VLOOKUP(A465,Materiais_Base!A:D,2,"FALSO"))</f>
        <v>Ancoragem regulável para estais de 37 cordoalhas - D = 15,7 mm</v>
      </c>
      <c r="C465" s="353" t="str">
        <f>IF(A465="","",VLOOKUP(A465,Materiais_Base!A:D,3,"FALSO"))</f>
        <v>un</v>
      </c>
      <c r="D465" s="354" t="s">
        <v>932</v>
      </c>
      <c r="E465" s="355" t="str">
        <f t="shared" si="12"/>
        <v/>
      </c>
      <c r="F465" s="354"/>
      <c r="G465" s="345" t="str">
        <f>IF(D465="","",VLOOKUP(A465,Materiais_Base!A:D,4,"FALSO"))</f>
        <v/>
      </c>
    </row>
    <row r="466" hidden="1" customHeight="1" spans="1:7">
      <c r="A466" s="352" t="s">
        <v>14749</v>
      </c>
      <c r="B466" s="352" t="str">
        <f>IF(A466="","",VLOOKUP(A466,Materiais_Base!A:D,2,"FALSO"))</f>
        <v>Ancoragem regulável para estais de 55 cordoalhas - D = 15,7 mm</v>
      </c>
      <c r="C466" s="353" t="str">
        <f>IF(A466="","",VLOOKUP(A466,Materiais_Base!A:D,3,"FALSO"))</f>
        <v>un</v>
      </c>
      <c r="D466" s="354" t="s">
        <v>932</v>
      </c>
      <c r="E466" s="355" t="str">
        <f t="shared" si="12"/>
        <v/>
      </c>
      <c r="F466" s="354"/>
      <c r="G466" s="345" t="str">
        <f>IF(D466="","",VLOOKUP(A466,Materiais_Base!A:D,4,"FALSO"))</f>
        <v/>
      </c>
    </row>
    <row r="467" hidden="1" customHeight="1" spans="1:7">
      <c r="A467" s="352" t="s">
        <v>14750</v>
      </c>
      <c r="B467" s="352" t="str">
        <f>IF(A467="","",VLOOKUP(A467,Materiais_Base!A:D,2,"FALSO"))</f>
        <v>Ancoragem regulável para estais de 61 cordoalhas - D = 15,7 mm</v>
      </c>
      <c r="C467" s="353" t="str">
        <f>IF(A467="","",VLOOKUP(A467,Materiais_Base!A:D,3,"FALSO"))</f>
        <v>un</v>
      </c>
      <c r="D467" s="354" t="s">
        <v>932</v>
      </c>
      <c r="E467" s="355" t="str">
        <f t="shared" si="12"/>
        <v/>
      </c>
      <c r="F467" s="354"/>
      <c r="G467" s="345" t="str">
        <f>IF(D467="","",VLOOKUP(A467,Materiais_Base!A:D,4,"FALSO"))</f>
        <v/>
      </c>
    </row>
    <row r="468" hidden="1" customHeight="1" spans="1:7">
      <c r="A468" s="352" t="s">
        <v>14751</v>
      </c>
      <c r="B468" s="352" t="str">
        <f>IF(A468="","",VLOOKUP(A468,Materiais_Base!A:D,2,"FALSO"))</f>
        <v>Ancoragem regulável para estais de 73 cordoalhas - D = 15,7 mm</v>
      </c>
      <c r="C468" s="353" t="str">
        <f>IF(A468="","",VLOOKUP(A468,Materiais_Base!A:D,3,"FALSO"))</f>
        <v>un</v>
      </c>
      <c r="D468" s="354" t="s">
        <v>932</v>
      </c>
      <c r="E468" s="355" t="str">
        <f t="shared" si="12"/>
        <v/>
      </c>
      <c r="F468" s="354"/>
      <c r="G468" s="345" t="str">
        <f>IF(D468="","",VLOOKUP(A468,Materiais_Base!A:D,4,"FALSO"))</f>
        <v/>
      </c>
    </row>
    <row r="469" hidden="1" customHeight="1" spans="1:7">
      <c r="A469" s="352" t="s">
        <v>14752</v>
      </c>
      <c r="B469" s="352" t="str">
        <f>IF(A469="","",VLOOKUP(A469,Materiais_Base!A:D,2,"FALSO"))</f>
        <v>Ancoragem regulável para estais de 91 cordoalhas - D = 15,7 mm</v>
      </c>
      <c r="C469" s="353" t="str">
        <f>IF(A469="","",VLOOKUP(A469,Materiais_Base!A:D,3,"FALSO"))</f>
        <v>un</v>
      </c>
      <c r="D469" s="354" t="s">
        <v>932</v>
      </c>
      <c r="E469" s="355" t="str">
        <f t="shared" si="12"/>
        <v/>
      </c>
      <c r="F469" s="354"/>
      <c r="G469" s="345" t="str">
        <f>IF(D469="","",VLOOKUP(A469,Materiais_Base!A:D,4,"FALSO"))</f>
        <v/>
      </c>
    </row>
    <row r="470" hidden="1" customHeight="1" spans="1:7">
      <c r="A470" s="352" t="s">
        <v>14753</v>
      </c>
      <c r="B470" s="352" t="str">
        <f>IF(A470="","",VLOOKUP(A470,Materiais_Base!A:D,2,"FALSO"))</f>
        <v>Ancoragem fixa para estais de 19 cordoalhas - D = 15,7 mm</v>
      </c>
      <c r="C470" s="353" t="str">
        <f>IF(A470="","",VLOOKUP(A470,Materiais_Base!A:D,3,"FALSO"))</f>
        <v>un</v>
      </c>
      <c r="D470" s="354" t="s">
        <v>932</v>
      </c>
      <c r="E470" s="355" t="str">
        <f t="shared" si="12"/>
        <v/>
      </c>
      <c r="F470" s="354"/>
      <c r="G470" s="345" t="str">
        <f>IF(D470="","",VLOOKUP(A470,Materiais_Base!A:D,4,"FALSO"))</f>
        <v/>
      </c>
    </row>
    <row r="471" hidden="1" customHeight="1" spans="1:7">
      <c r="A471" s="352" t="s">
        <v>14754</v>
      </c>
      <c r="B471" s="352" t="str">
        <f>IF(A471="","",VLOOKUP(A471,Materiais_Base!A:D,2,"FALSO"))</f>
        <v>Ancoragem fixa para estais de 31 cordoalhas - D = 15,7 mm</v>
      </c>
      <c r="C471" s="353" t="str">
        <f>IF(A471="","",VLOOKUP(A471,Materiais_Base!A:D,3,"FALSO"))</f>
        <v>un</v>
      </c>
      <c r="D471" s="354" t="s">
        <v>932</v>
      </c>
      <c r="E471" s="355" t="str">
        <f t="shared" si="12"/>
        <v/>
      </c>
      <c r="F471" s="354"/>
      <c r="G471" s="345" t="str">
        <f>IF(D471="","",VLOOKUP(A471,Materiais_Base!A:D,4,"FALSO"))</f>
        <v/>
      </c>
    </row>
    <row r="472" hidden="1" customHeight="1" spans="1:7">
      <c r="A472" s="352" t="s">
        <v>14755</v>
      </c>
      <c r="B472" s="352" t="str">
        <f>IF(A472="","",VLOOKUP(A472,Materiais_Base!A:D,2,"FALSO"))</f>
        <v>Ancoragem fixa para estais de 37 cordoalhas - D = 15,7 mm</v>
      </c>
      <c r="C472" s="353" t="str">
        <f>IF(A472="","",VLOOKUP(A472,Materiais_Base!A:D,3,"FALSO"))</f>
        <v>un</v>
      </c>
      <c r="D472" s="354" t="s">
        <v>932</v>
      </c>
      <c r="E472" s="355" t="str">
        <f t="shared" si="12"/>
        <v/>
      </c>
      <c r="F472" s="354"/>
      <c r="G472" s="345" t="str">
        <f>IF(D472="","",VLOOKUP(A472,Materiais_Base!A:D,4,"FALSO"))</f>
        <v/>
      </c>
    </row>
    <row r="473" hidden="1" customHeight="1" spans="1:7">
      <c r="A473" s="352" t="s">
        <v>14756</v>
      </c>
      <c r="B473" s="352" t="str">
        <f>IF(A473="","",VLOOKUP(A473,Materiais_Base!A:D,2,"FALSO"))</f>
        <v>Ancoragem fixa para estais de 55 cordoalhas - D = 15,7 mm</v>
      </c>
      <c r="C473" s="353" t="str">
        <f>IF(A473="","",VLOOKUP(A473,Materiais_Base!A:D,3,"FALSO"))</f>
        <v>un</v>
      </c>
      <c r="D473" s="354" t="s">
        <v>932</v>
      </c>
      <c r="E473" s="355" t="str">
        <f t="shared" si="12"/>
        <v/>
      </c>
      <c r="F473" s="354"/>
      <c r="G473" s="345" t="str">
        <f>IF(D473="","",VLOOKUP(A473,Materiais_Base!A:D,4,"FALSO"))</f>
        <v/>
      </c>
    </row>
    <row r="474" hidden="1" customHeight="1" spans="1:7">
      <c r="A474" s="352" t="s">
        <v>14757</v>
      </c>
      <c r="B474" s="352" t="str">
        <f>IF(A474="","",VLOOKUP(A474,Materiais_Base!A:D,2,"FALSO"))</f>
        <v>Ancoragem fixa para estais de 61 cordoalhas - D = 15,7 mm</v>
      </c>
      <c r="C474" s="353" t="str">
        <f>IF(A474="","",VLOOKUP(A474,Materiais_Base!A:D,3,"FALSO"))</f>
        <v>un</v>
      </c>
      <c r="D474" s="354" t="s">
        <v>932</v>
      </c>
      <c r="E474" s="355" t="str">
        <f t="shared" si="12"/>
        <v/>
      </c>
      <c r="F474" s="354"/>
      <c r="G474" s="345" t="str">
        <f>IF(D474="","",VLOOKUP(A474,Materiais_Base!A:D,4,"FALSO"))</f>
        <v/>
      </c>
    </row>
    <row r="475" hidden="1" customHeight="1" spans="1:7">
      <c r="A475" s="352" t="s">
        <v>14758</v>
      </c>
      <c r="B475" s="352" t="str">
        <f>IF(A475="","",VLOOKUP(A475,Materiais_Base!A:D,2,"FALSO"))</f>
        <v>Ancoragem fixa para estais de 73 cordoalhas - D = 15,7 mm</v>
      </c>
      <c r="C475" s="353" t="str">
        <f>IF(A475="","",VLOOKUP(A475,Materiais_Base!A:D,3,"FALSO"))</f>
        <v>un</v>
      </c>
      <c r="D475" s="354" t="s">
        <v>932</v>
      </c>
      <c r="E475" s="355" t="str">
        <f t="shared" si="12"/>
        <v/>
      </c>
      <c r="F475" s="354"/>
      <c r="G475" s="345" t="str">
        <f>IF(D475="","",VLOOKUP(A475,Materiais_Base!A:D,4,"FALSO"))</f>
        <v/>
      </c>
    </row>
    <row r="476" hidden="1" customHeight="1" spans="1:7">
      <c r="A476" s="352" t="s">
        <v>14759</v>
      </c>
      <c r="B476" s="352" t="str">
        <f>IF(A476="","",VLOOKUP(A476,Materiais_Base!A:D,2,"FALSO"))</f>
        <v>Ancoragem fixa para estais de 91 cordoalhas - D = 15,7 mm</v>
      </c>
      <c r="C476" s="353" t="str">
        <f>IF(A476="","",VLOOKUP(A476,Materiais_Base!A:D,3,"FALSO"))</f>
        <v>un</v>
      </c>
      <c r="D476" s="354" t="s">
        <v>932</v>
      </c>
      <c r="E476" s="355" t="str">
        <f t="shared" si="12"/>
        <v/>
      </c>
      <c r="F476" s="354"/>
      <c r="G476" s="345" t="str">
        <f>IF(D476="","",VLOOKUP(A476,Materiais_Base!A:D,4,"FALSO"))</f>
        <v/>
      </c>
    </row>
    <row r="477" hidden="1" customHeight="1" spans="1:7">
      <c r="A477" s="352" t="s">
        <v>14760</v>
      </c>
      <c r="B477" s="352" t="str">
        <f>IF(A477="","",VLOOKUP(A477,Materiais_Base!A:D,2,"FALSO"))</f>
        <v>Estaca de tutoramento - D = 5 cm e H = 2 m</v>
      </c>
      <c r="C477" s="353" t="str">
        <f>IF(A477="","",VLOOKUP(A477,Materiais_Base!A:D,3,"FALSO"))</f>
        <v>un</v>
      </c>
      <c r="D477" s="354" t="s">
        <v>932</v>
      </c>
      <c r="E477" s="355" t="str">
        <f t="shared" si="12"/>
        <v/>
      </c>
      <c r="F477" s="354"/>
      <c r="G477" s="345" t="str">
        <f>IF(D477="","",VLOOKUP(A477,Materiais_Base!A:D,4,"FALSO"))</f>
        <v/>
      </c>
    </row>
    <row r="478" hidden="1" customHeight="1" spans="1:7">
      <c r="A478" s="352" t="s">
        <v>14761</v>
      </c>
      <c r="B478" s="352" t="str">
        <f>IF(A478="","",VLOOKUP(A478,Materiais_Base!A:D,2,"FALSO"))</f>
        <v>Ancoragem ativa para 31 cordoalhas - D = 15,2 mm</v>
      </c>
      <c r="C478" s="353" t="str">
        <f>IF(A478="","",VLOOKUP(A478,Materiais_Base!A:D,3,"FALSO"))</f>
        <v>un</v>
      </c>
      <c r="D478" s="354" t="s">
        <v>932</v>
      </c>
      <c r="E478" s="355" t="str">
        <f t="shared" si="12"/>
        <v/>
      </c>
      <c r="F478" s="354"/>
      <c r="G478" s="345" t="str">
        <f>IF(D478="","",VLOOKUP(A478,Materiais_Base!A:D,4,"FALSO"))</f>
        <v/>
      </c>
    </row>
    <row r="479" hidden="1" customHeight="1" spans="1:7">
      <c r="A479" s="352" t="s">
        <v>14762</v>
      </c>
      <c r="B479" s="352" t="str">
        <f>IF(A479="","",VLOOKUP(A479,Materiais_Base!A:D,2,"FALSO"))</f>
        <v>Gás liquefeito de petróleo (GLP)</v>
      </c>
      <c r="C479" s="353" t="str">
        <f>IF(A479="","",VLOOKUP(A479,Materiais_Base!A:D,3,"FALSO"))</f>
        <v>kg</v>
      </c>
      <c r="D479" s="354" t="s">
        <v>932</v>
      </c>
      <c r="E479" s="355" t="str">
        <f t="shared" si="12"/>
        <v/>
      </c>
      <c r="F479" s="354"/>
      <c r="G479" s="345" t="str">
        <f>IF(D479="","",VLOOKUP(A479,Materiais_Base!A:D,4,"FALSO"))</f>
        <v/>
      </c>
    </row>
    <row r="480" customHeight="1" spans="1:7">
      <c r="A480" s="352" t="s">
        <v>14763</v>
      </c>
      <c r="B480" s="352" t="str">
        <f>IF(A480="","",VLOOKUP(A480,Materiais_Base!A:D,2,"FALSO"))</f>
        <v>Gás oxigênio</v>
      </c>
      <c r="C480" s="353" t="str">
        <f>IF(A480="","",VLOOKUP(A480,Materiais_Base!A:D,3,"FALSO"))</f>
        <v>m³</v>
      </c>
      <c r="D480" s="354">
        <v>20.4829</v>
      </c>
      <c r="E480" s="355">
        <f t="shared" si="12"/>
        <v>20.4829</v>
      </c>
      <c r="F480" s="354"/>
      <c r="G480" s="345">
        <f>IF(D480="","",VLOOKUP(A480,Materiais_Base!A:D,4,"FALSO"))</f>
        <v>20.4829</v>
      </c>
    </row>
    <row r="481" customHeight="1" spans="1:7">
      <c r="A481" s="352" t="s">
        <v>14764</v>
      </c>
      <c r="B481" s="352" t="str">
        <f>IF(A481="","",VLOOKUP(A481,Materiais_Base!A:D,2,"FALSO"))</f>
        <v>Gás acetileno</v>
      </c>
      <c r="C481" s="353" t="str">
        <f>IF(A481="","",VLOOKUP(A481,Materiais_Base!A:D,3,"FALSO"))</f>
        <v>kg</v>
      </c>
      <c r="D481" s="354">
        <v>110.6229</v>
      </c>
      <c r="E481" s="355">
        <f t="shared" si="12"/>
        <v>110.6229</v>
      </c>
      <c r="F481" s="354"/>
      <c r="G481" s="345">
        <f>IF(D481="","",VLOOKUP(A481,Materiais_Base!A:D,4,"FALSO"))</f>
        <v>110.6229</v>
      </c>
    </row>
    <row r="482" hidden="1" customHeight="1" spans="1:7">
      <c r="A482" s="352" t="s">
        <v>14765</v>
      </c>
      <c r="B482" s="352" t="str">
        <f>IF(A482="","",VLOOKUP(A482,Materiais_Base!A:D,2,"FALSO"))</f>
        <v>Fita de espuma EPDM para vedação com adesivo em uma face - E = 4 mm e L = 40 mm</v>
      </c>
      <c r="C482" s="353" t="str">
        <f>IF(A482="","",VLOOKUP(A482,Materiais_Base!A:D,3,"FALSO"))</f>
        <v>m</v>
      </c>
      <c r="D482" s="354" t="s">
        <v>932</v>
      </c>
      <c r="E482" s="355" t="str">
        <f t="shared" si="12"/>
        <v/>
      </c>
      <c r="F482" s="354"/>
      <c r="G482" s="345" t="str">
        <f>IF(D482="","",VLOOKUP(A482,Materiais_Base!A:D,4,"FALSO"))</f>
        <v/>
      </c>
    </row>
    <row r="483" hidden="1" customHeight="1" spans="1:7">
      <c r="A483" s="352" t="s">
        <v>14766</v>
      </c>
      <c r="B483" s="352" t="str">
        <f>IF(A483="","",VLOOKUP(A483,Materiais_Base!A:D,2,"FALSO"))</f>
        <v>Manta asfáltica não-tecido em poliéster - antirraíz - E = 3 mm</v>
      </c>
      <c r="C483" s="353" t="str">
        <f>IF(A483="","",VLOOKUP(A483,Materiais_Base!A:D,3,"FALSO"))</f>
        <v>m²</v>
      </c>
      <c r="D483" s="354" t="s">
        <v>932</v>
      </c>
      <c r="E483" s="355" t="str">
        <f t="shared" si="12"/>
        <v/>
      </c>
      <c r="F483" s="354"/>
      <c r="G483" s="345" t="str">
        <f>IF(D483="","",VLOOKUP(A483,Materiais_Base!A:D,4,"FALSO"))</f>
        <v/>
      </c>
    </row>
    <row r="484" hidden="1" customHeight="1" spans="1:7">
      <c r="A484" s="352" t="s">
        <v>14767</v>
      </c>
      <c r="B484" s="352" t="str">
        <f>IF(A484="","",VLOOKUP(A484,Materiais_Base!A:D,2,"FALSO"))</f>
        <v>Longarina de madeira de primeira - L = 16 cm e E = 6 cm</v>
      </c>
      <c r="C484" s="353" t="str">
        <f>IF(A484="","",VLOOKUP(A484,Materiais_Base!A:D,3,"FALSO"))</f>
        <v>m</v>
      </c>
      <c r="D484" s="354" t="s">
        <v>932</v>
      </c>
      <c r="E484" s="355" t="str">
        <f t="shared" si="12"/>
        <v/>
      </c>
      <c r="F484" s="354"/>
      <c r="G484" s="345" t="str">
        <f>IF(D484="","",VLOOKUP(A484,Materiais_Base!A:D,4,"FALSO"))</f>
        <v/>
      </c>
    </row>
    <row r="485" hidden="1" customHeight="1" spans="1:7">
      <c r="A485" s="352" t="s">
        <v>14768</v>
      </c>
      <c r="B485" s="352" t="str">
        <f>IF(A485="","",VLOOKUP(A485,Materiais_Base!A:D,2,"FALSO"))</f>
        <v>Estronca de madeira - D = 20 cm</v>
      </c>
      <c r="C485" s="353" t="str">
        <f>IF(A485="","",VLOOKUP(A485,Materiais_Base!A:D,3,"FALSO"))</f>
        <v>m</v>
      </c>
      <c r="D485" s="354" t="s">
        <v>932</v>
      </c>
      <c r="E485" s="355" t="str">
        <f t="shared" si="12"/>
        <v/>
      </c>
      <c r="F485" s="354"/>
      <c r="G485" s="345" t="str">
        <f>IF(D485="","",VLOOKUP(A485,Materiais_Base!A:D,4,"FALSO"))</f>
        <v/>
      </c>
    </row>
    <row r="486" hidden="1" customHeight="1" spans="1:7">
      <c r="A486" s="352" t="s">
        <v>14769</v>
      </c>
      <c r="B486" s="352" t="str">
        <f>IF(A486="","",VLOOKUP(A486,Materiais_Base!A:D,2,"FALSO"))</f>
        <v>Cartucho de cimento - D = 25 mm e C = 320 mm</v>
      </c>
      <c r="C486" s="353" t="str">
        <f>IF(A486="","",VLOOKUP(A486,Materiais_Base!A:D,3,"FALSO"))</f>
        <v>un</v>
      </c>
      <c r="D486" s="354" t="s">
        <v>932</v>
      </c>
      <c r="E486" s="355" t="str">
        <f t="shared" ref="E486:E516" si="13">IF(D486="","",MIN(D486,F486))</f>
        <v/>
      </c>
      <c r="F486" s="354"/>
      <c r="G486" s="345" t="str">
        <f>IF(D486="","",VLOOKUP(A486,Materiais_Base!A:D,4,"FALSO"))</f>
        <v/>
      </c>
    </row>
    <row r="487" hidden="1" customHeight="1" spans="1:7">
      <c r="A487" s="352" t="s">
        <v>14770</v>
      </c>
      <c r="B487" s="352" t="str">
        <f>IF(A487="","",VLOOKUP(A487,Materiais_Base!A:D,2,"FALSO"))</f>
        <v>Cartucho de resina poliéster - D = 38 mm e C = 500 mm</v>
      </c>
      <c r="C487" s="353" t="str">
        <f>IF(A487="","",VLOOKUP(A487,Materiais_Base!A:D,3,"FALSO"))</f>
        <v>un</v>
      </c>
      <c r="D487" s="354" t="s">
        <v>932</v>
      </c>
      <c r="E487" s="355" t="str">
        <f t="shared" si="13"/>
        <v/>
      </c>
      <c r="F487" s="354"/>
      <c r="G487" s="345" t="str">
        <f>IF(D487="","",VLOOKUP(A487,Materiais_Base!A:D,4,"FALSO"))</f>
        <v/>
      </c>
    </row>
    <row r="488" hidden="1" customHeight="1" spans="1:7">
      <c r="A488" s="352" t="s">
        <v>14771</v>
      </c>
      <c r="B488" s="352" t="str">
        <f>IF(A488="","",VLOOKUP(A488,Materiais_Base!A:D,2,"FALSO"))</f>
        <v>Ancoragem ativa para 8 cordoalhas - D = 15,2 mm</v>
      </c>
      <c r="C488" s="353" t="str">
        <f>IF(A488="","",VLOOKUP(A488,Materiais_Base!A:D,3,"FALSO"))</f>
        <v>un</v>
      </c>
      <c r="D488" s="354" t="s">
        <v>932</v>
      </c>
      <c r="E488" s="355" t="str">
        <f t="shared" si="13"/>
        <v/>
      </c>
      <c r="F488" s="354"/>
      <c r="G488" s="345" t="str">
        <f>IF(D488="","",VLOOKUP(A488,Materiais_Base!A:D,4,"FALSO"))</f>
        <v/>
      </c>
    </row>
    <row r="489" hidden="1" customHeight="1" spans="1:7">
      <c r="A489" s="352" t="s">
        <v>14772</v>
      </c>
      <c r="B489" s="352" t="str">
        <f>IF(A489="","",VLOOKUP(A489,Materiais_Base!A:D,2,"FALSO"))</f>
        <v>Ancoragem passiva aderente para 10 cordoalhas - D = 15,2 mm</v>
      </c>
      <c r="C489" s="353" t="str">
        <f>IF(A489="","",VLOOKUP(A489,Materiais_Base!A:D,3,"FALSO"))</f>
        <v>un</v>
      </c>
      <c r="D489" s="354" t="s">
        <v>932</v>
      </c>
      <c r="E489" s="355" t="str">
        <f t="shared" si="13"/>
        <v/>
      </c>
      <c r="F489" s="354"/>
      <c r="G489" s="345" t="str">
        <f>IF(D489="","",VLOOKUP(A489,Materiais_Base!A:D,4,"FALSO"))</f>
        <v/>
      </c>
    </row>
    <row r="490" hidden="1" customHeight="1" spans="1:7">
      <c r="A490" s="352" t="s">
        <v>14773</v>
      </c>
      <c r="B490" s="352" t="str">
        <f>IF(A490="","",VLOOKUP(A490,Materiais_Base!A:D,2,"FALSO"))</f>
        <v>Tinta em pó à base de resina epóxi</v>
      </c>
      <c r="C490" s="353" t="str">
        <f>IF(A490="","",VLOOKUP(A490,Materiais_Base!A:D,3,"FALSO"))</f>
        <v>kg</v>
      </c>
      <c r="D490" s="354" t="s">
        <v>932</v>
      </c>
      <c r="E490" s="355" t="str">
        <f t="shared" si="13"/>
        <v/>
      </c>
      <c r="F490" s="354"/>
      <c r="G490" s="345" t="str">
        <f>IF(D490="","",VLOOKUP(A490,Materiais_Base!A:D,4,"FALSO"))</f>
        <v/>
      </c>
    </row>
    <row r="491" hidden="1" customHeight="1" spans="1:7">
      <c r="A491" s="352" t="s">
        <v>14774</v>
      </c>
      <c r="B491" s="352" t="str">
        <f>IF(A491="","",VLOOKUP(A491,Materiais_Base!A:D,2,"FALSO"))</f>
        <v>Coroa de botões esféricos - D = 120 mm (4 3/4")</v>
      </c>
      <c r="C491" s="353" t="str">
        <f>IF(A491="","",VLOOKUP(A491,Materiais_Base!A:D,3,"FALSO"))</f>
        <v>un</v>
      </c>
      <c r="D491" s="354" t="s">
        <v>932</v>
      </c>
      <c r="E491" s="355" t="str">
        <f t="shared" si="13"/>
        <v/>
      </c>
      <c r="F491" s="354"/>
      <c r="G491" s="345" t="str">
        <f>IF(D491="","",VLOOKUP(A491,Materiais_Base!A:D,4,"FALSO"))</f>
        <v/>
      </c>
    </row>
    <row r="492" hidden="1" customHeight="1" spans="1:7">
      <c r="A492" s="352" t="s">
        <v>14775</v>
      </c>
      <c r="B492" s="352" t="str">
        <f>IF(A492="","",VLOOKUP(A492,Materiais_Base!A:D,2,"FALSO"))</f>
        <v>Cunha metálica para cordoalha - D = 12,7 mm</v>
      </c>
      <c r="C492" s="353" t="str">
        <f>IF(A492="","",VLOOKUP(A492,Materiais_Base!A:D,3,"FALSO"))</f>
        <v>un</v>
      </c>
      <c r="D492" s="354" t="s">
        <v>932</v>
      </c>
      <c r="E492" s="355" t="str">
        <f t="shared" si="13"/>
        <v/>
      </c>
      <c r="F492" s="354"/>
      <c r="G492" s="345" t="str">
        <f>IF(D492="","",VLOOKUP(A492,Materiais_Base!A:D,4,"FALSO"))</f>
        <v/>
      </c>
    </row>
    <row r="493" hidden="1" customHeight="1" spans="1:7">
      <c r="A493" s="352" t="s">
        <v>14776</v>
      </c>
      <c r="B493" s="352" t="str">
        <f>IF(A493="","",VLOOKUP(A493,Materiais_Base!A:D,2,"FALSO"))</f>
        <v>Martelo de fundo DTH - DN = 102 mm (4")</v>
      </c>
      <c r="C493" s="353" t="str">
        <f>IF(A493="","",VLOOKUP(A493,Materiais_Base!A:D,3,"FALSO"))</f>
        <v>un</v>
      </c>
      <c r="D493" s="354" t="s">
        <v>932</v>
      </c>
      <c r="E493" s="355" t="str">
        <f t="shared" si="13"/>
        <v/>
      </c>
      <c r="F493" s="354"/>
      <c r="G493" s="345" t="str">
        <f>IF(D493="","",VLOOKUP(A493,Materiais_Base!A:D,4,"FALSO"))</f>
        <v/>
      </c>
    </row>
    <row r="494" hidden="1" customHeight="1" spans="1:7">
      <c r="A494" s="352" t="s">
        <v>14777</v>
      </c>
      <c r="B494" s="352" t="str">
        <f>IF(A494="","",VLOOKUP(A494,Materiais_Base!A:D,2,"FALSO"))</f>
        <v>Haste de perfuração com rosca API 2 3/8" - D = 73 mm (2 7/8")</v>
      </c>
      <c r="C494" s="353" t="str">
        <f>IF(A494="","",VLOOKUP(A494,Materiais_Base!A:D,3,"FALSO"))</f>
        <v>m</v>
      </c>
      <c r="D494" s="354" t="s">
        <v>932</v>
      </c>
      <c r="E494" s="355" t="str">
        <f t="shared" si="13"/>
        <v/>
      </c>
      <c r="F494" s="354"/>
      <c r="G494" s="345" t="str">
        <f>IF(D494="","",VLOOKUP(A494,Materiais_Base!A:D,4,"FALSO"))</f>
        <v/>
      </c>
    </row>
    <row r="495" hidden="1" customHeight="1" spans="1:7">
      <c r="A495" s="352" t="s">
        <v>14778</v>
      </c>
      <c r="B495" s="352" t="str">
        <f>IF(A495="","",VLOOKUP(A495,Materiais_Base!A:D,2,"FALSO"))</f>
        <v>Válvula manchete - D = 32 mm</v>
      </c>
      <c r="C495" s="353" t="str">
        <f>IF(A495="","",VLOOKUP(A495,Materiais_Base!A:D,3,"FALSO"))</f>
        <v>un</v>
      </c>
      <c r="D495" s="354" t="s">
        <v>932</v>
      </c>
      <c r="E495" s="355" t="str">
        <f t="shared" si="13"/>
        <v/>
      </c>
      <c r="F495" s="354"/>
      <c r="G495" s="345" t="str">
        <f>IF(D495="","",VLOOKUP(A495,Materiais_Base!A:D,4,"FALSO"))</f>
        <v/>
      </c>
    </row>
    <row r="496" hidden="1" customHeight="1" spans="1:7">
      <c r="A496" s="352" t="s">
        <v>14779</v>
      </c>
      <c r="B496" s="352" t="str">
        <f>IF(A496="","",VLOOKUP(A496,Materiais_Base!A:D,2,"FALSO"))</f>
        <v>Válvula manchete - D = 40 mm</v>
      </c>
      <c r="C496" s="353" t="str">
        <f>IF(A496="","",VLOOKUP(A496,Materiais_Base!A:D,3,"FALSO"))</f>
        <v>un</v>
      </c>
      <c r="D496" s="354" t="s">
        <v>932</v>
      </c>
      <c r="E496" s="355" t="str">
        <f t="shared" si="13"/>
        <v/>
      </c>
      <c r="F496" s="354"/>
      <c r="G496" s="345" t="str">
        <f>IF(D496="","",VLOOKUP(A496,Materiais_Base!A:D,4,"FALSO"))</f>
        <v/>
      </c>
    </row>
    <row r="497" hidden="1" customHeight="1" spans="1:7">
      <c r="A497" s="352" t="s">
        <v>14780</v>
      </c>
      <c r="B497" s="352" t="str">
        <f>IF(A497="","",VLOOKUP(A497,Materiais_Base!A:D,2,"FALSO"))</f>
        <v>Tubo PEAD PE 80 PN 6 - D = 40 mm</v>
      </c>
      <c r="C497" s="353" t="str">
        <f>IF(A497="","",VLOOKUP(A497,Materiais_Base!A:D,3,"FALSO"))</f>
        <v>m</v>
      </c>
      <c r="D497" s="354" t="s">
        <v>932</v>
      </c>
      <c r="E497" s="355" t="str">
        <f t="shared" si="13"/>
        <v/>
      </c>
      <c r="F497" s="354"/>
      <c r="G497" s="345" t="str">
        <f>IF(D497="","",VLOOKUP(A497,Materiais_Base!A:D,4,"FALSO"))</f>
        <v/>
      </c>
    </row>
    <row r="498" hidden="1" customHeight="1" spans="1:7">
      <c r="A498" s="352" t="s">
        <v>14781</v>
      </c>
      <c r="B498" s="352" t="str">
        <f>IF(A498="","",VLOOKUP(A498,Materiais_Base!A:D,2,"FALSO"))</f>
        <v>Tubo PEAD PE 80 PN 16 - D = 20 mm</v>
      </c>
      <c r="C498" s="353" t="str">
        <f>IF(A498="","",VLOOKUP(A498,Materiais_Base!A:D,3,"FALSO"))</f>
        <v>m</v>
      </c>
      <c r="D498" s="354" t="s">
        <v>932</v>
      </c>
      <c r="E498" s="355" t="str">
        <f t="shared" si="13"/>
        <v/>
      </c>
      <c r="F498" s="354"/>
      <c r="G498" s="345" t="str">
        <f>IF(D498="","",VLOOKUP(A498,Materiais_Base!A:D,4,"FALSO"))</f>
        <v/>
      </c>
    </row>
    <row r="499" hidden="1" customHeight="1" spans="1:7">
      <c r="A499" s="352" t="s">
        <v>14782</v>
      </c>
      <c r="B499" s="352" t="str">
        <f>IF(A499="","",VLOOKUP(A499,Materiais_Base!A:D,2,"FALSO"))</f>
        <v>Tubo PEAD PE 80 PN 8 - D = 32 mm</v>
      </c>
      <c r="C499" s="353" t="str">
        <f>IF(A499="","",VLOOKUP(A499,Materiais_Base!A:D,3,"FALSO"))</f>
        <v>m</v>
      </c>
      <c r="D499" s="354" t="s">
        <v>932</v>
      </c>
      <c r="E499" s="355" t="str">
        <f t="shared" si="13"/>
        <v/>
      </c>
      <c r="F499" s="354"/>
      <c r="G499" s="345" t="str">
        <f>IF(D499="","",VLOOKUP(A499,Materiais_Base!A:D,4,"FALSO"))</f>
        <v/>
      </c>
    </row>
    <row r="500" hidden="1" customHeight="1" spans="1:7">
      <c r="A500" s="352" t="s">
        <v>14783</v>
      </c>
      <c r="B500" s="352" t="str">
        <f>IF(A500="","",VLOOKUP(A500,Materiais_Base!A:D,2,"FALSO"))</f>
        <v>Tubo PEAD PE 80 PN 8 - D = 40 mm</v>
      </c>
      <c r="C500" s="353" t="str">
        <f>IF(A500="","",VLOOKUP(A500,Materiais_Base!A:D,3,"FALSO"))</f>
        <v>m</v>
      </c>
      <c r="D500" s="354" t="s">
        <v>932</v>
      </c>
      <c r="E500" s="355" t="str">
        <f t="shared" si="13"/>
        <v/>
      </c>
      <c r="F500" s="354"/>
      <c r="G500" s="345" t="str">
        <f>IF(D500="","",VLOOKUP(A500,Materiais_Base!A:D,4,"FALSO"))</f>
        <v/>
      </c>
    </row>
    <row r="501" hidden="1" customHeight="1" spans="1:7">
      <c r="A501" s="352" t="s">
        <v>14784</v>
      </c>
      <c r="B501" s="352" t="str">
        <f>IF(A501="","",VLOOKUP(A501,Materiais_Base!A:D,2,"FALSO"))</f>
        <v>Tubo PEAD PE 80 PN 8 - D = 50 mm</v>
      </c>
      <c r="C501" s="353" t="str">
        <f>IF(A501="","",VLOOKUP(A501,Materiais_Base!A:D,3,"FALSO"))</f>
        <v>m</v>
      </c>
      <c r="D501" s="354" t="s">
        <v>932</v>
      </c>
      <c r="E501" s="355" t="str">
        <f t="shared" si="13"/>
        <v/>
      </c>
      <c r="F501" s="354"/>
      <c r="G501" s="345" t="str">
        <f>IF(D501="","",VLOOKUP(A501,Materiais_Base!A:D,4,"FALSO"))</f>
        <v/>
      </c>
    </row>
    <row r="502" hidden="1" customHeight="1" spans="1:7">
      <c r="A502" s="352" t="s">
        <v>14785</v>
      </c>
      <c r="B502" s="352" t="str">
        <f>IF(A502="","",VLOOKUP(A502,Materiais_Base!A:D,2,"FALSO"))</f>
        <v>Tubo PEAD PE 80 PN 8 - D = 63 mm</v>
      </c>
      <c r="C502" s="353" t="str">
        <f>IF(A502="","",VLOOKUP(A502,Materiais_Base!A:D,3,"FALSO"))</f>
        <v>m</v>
      </c>
      <c r="D502" s="354" t="s">
        <v>932</v>
      </c>
      <c r="E502" s="355" t="str">
        <f t="shared" si="13"/>
        <v/>
      </c>
      <c r="F502" s="354"/>
      <c r="G502" s="345" t="str">
        <f>IF(D502="","",VLOOKUP(A502,Materiais_Base!A:D,4,"FALSO"))</f>
        <v/>
      </c>
    </row>
    <row r="503" hidden="1" customHeight="1" spans="1:7">
      <c r="A503" s="352" t="s">
        <v>14786</v>
      </c>
      <c r="B503" s="352" t="str">
        <f>IF(A503="","",VLOOKUP(A503,Materiais_Base!A:D,2,"FALSO"))</f>
        <v>Tubo PEAD PE 80 PN 8 - D = 75 mm</v>
      </c>
      <c r="C503" s="353" t="str">
        <f>IF(A503="","",VLOOKUP(A503,Materiais_Base!A:D,3,"FALSO"))</f>
        <v>m</v>
      </c>
      <c r="D503" s="354" t="s">
        <v>932</v>
      </c>
      <c r="E503" s="355" t="str">
        <f t="shared" si="13"/>
        <v/>
      </c>
      <c r="F503" s="354"/>
      <c r="G503" s="345" t="str">
        <f>IF(D503="","",VLOOKUP(A503,Materiais_Base!A:D,4,"FALSO"))</f>
        <v/>
      </c>
    </row>
    <row r="504" hidden="1" customHeight="1" spans="1:7">
      <c r="A504" s="352" t="s">
        <v>14787</v>
      </c>
      <c r="B504" s="352" t="str">
        <f>IF(A504="","",VLOOKUP(A504,Materiais_Base!A:D,2,"FALSO"))</f>
        <v>Tubo PEAD PE 80 PN 8 - D = 110 mm</v>
      </c>
      <c r="C504" s="353" t="str">
        <f>IF(A504="","",VLOOKUP(A504,Materiais_Base!A:D,3,"FALSO"))</f>
        <v>m</v>
      </c>
      <c r="D504" s="354" t="s">
        <v>932</v>
      </c>
      <c r="E504" s="355" t="str">
        <f t="shared" si="13"/>
        <v/>
      </c>
      <c r="F504" s="354"/>
      <c r="G504" s="345" t="str">
        <f>IF(D504="","",VLOOKUP(A504,Materiais_Base!A:D,4,"FALSO"))</f>
        <v/>
      </c>
    </row>
    <row r="505" hidden="1" customHeight="1" spans="1:7">
      <c r="A505" s="352" t="s">
        <v>14788</v>
      </c>
      <c r="B505" s="352" t="str">
        <f>IF(A505="","",VLOOKUP(A505,Materiais_Base!A:D,2,"FALSO"))</f>
        <v>Tubo de PVC espaguete - D = 14 mm</v>
      </c>
      <c r="C505" s="353" t="str">
        <f>IF(A505="","",VLOOKUP(A505,Materiais_Base!A:D,3,"FALSO"))</f>
        <v>m</v>
      </c>
      <c r="D505" s="354" t="s">
        <v>932</v>
      </c>
      <c r="E505" s="355" t="str">
        <f t="shared" si="13"/>
        <v/>
      </c>
      <c r="F505" s="354"/>
      <c r="G505" s="345" t="str">
        <f>IF(D505="","",VLOOKUP(A505,Materiais_Base!A:D,4,"FALSO"))</f>
        <v/>
      </c>
    </row>
    <row r="506" hidden="1" customHeight="1" spans="1:7">
      <c r="A506" s="352" t="s">
        <v>14789</v>
      </c>
      <c r="B506" s="352" t="str">
        <f>IF(A506="","",VLOOKUP(A506,Materiais_Base!A:D,2,"FALSO"))</f>
        <v>Espaçador plástico tipo disco separador para tirante com 6 cordoalhas - D = 12,7 mm</v>
      </c>
      <c r="C506" s="353" t="str">
        <f>IF(A506="","",VLOOKUP(A506,Materiais_Base!A:D,3,"FALSO"))</f>
        <v>un</v>
      </c>
      <c r="D506" s="354" t="s">
        <v>932</v>
      </c>
      <c r="E506" s="355" t="str">
        <f t="shared" si="13"/>
        <v/>
      </c>
      <c r="F506" s="354"/>
      <c r="G506" s="345" t="str">
        <f>IF(D506="","",VLOOKUP(A506,Materiais_Base!A:D,4,"FALSO"))</f>
        <v/>
      </c>
    </row>
    <row r="507" hidden="1" customHeight="1" spans="1:7">
      <c r="A507" s="352" t="s">
        <v>14790</v>
      </c>
      <c r="B507" s="352" t="str">
        <f>IF(A507="","",VLOOKUP(A507,Materiais_Base!A:D,2,"FALSO"))</f>
        <v>Espaçador plástico tipo disco separador para tirante com 8 cordoalhas - D = 12,7 mm</v>
      </c>
      <c r="C507" s="353" t="str">
        <f>IF(A507="","",VLOOKUP(A507,Materiais_Base!A:D,3,"FALSO"))</f>
        <v>un</v>
      </c>
      <c r="D507" s="354" t="s">
        <v>932</v>
      </c>
      <c r="E507" s="355" t="str">
        <f t="shared" si="13"/>
        <v/>
      </c>
      <c r="F507" s="354"/>
      <c r="G507" s="345" t="str">
        <f>IF(D507="","",VLOOKUP(A507,Materiais_Base!A:D,4,"FALSO"))</f>
        <v/>
      </c>
    </row>
    <row r="508" hidden="1" customHeight="1" spans="1:7">
      <c r="A508" s="352" t="s">
        <v>14791</v>
      </c>
      <c r="B508" s="352" t="str">
        <f>IF(A508="","",VLOOKUP(A508,Materiais_Base!A:D,2,"FALSO"))</f>
        <v>Espaçador plástico tipo disco separador para tirante com 10 cordoalhas - D = 12,7 mm</v>
      </c>
      <c r="C508" s="353" t="str">
        <f>IF(A508="","",VLOOKUP(A508,Materiais_Base!A:D,3,"FALSO"))</f>
        <v>un</v>
      </c>
      <c r="D508" s="354" t="s">
        <v>932</v>
      </c>
      <c r="E508" s="355" t="str">
        <f t="shared" si="13"/>
        <v/>
      </c>
      <c r="F508" s="354"/>
      <c r="G508" s="345" t="str">
        <f>IF(D508="","",VLOOKUP(A508,Materiais_Base!A:D,4,"FALSO"))</f>
        <v/>
      </c>
    </row>
    <row r="509" hidden="1" customHeight="1" spans="1:7">
      <c r="A509" s="352" t="s">
        <v>14792</v>
      </c>
      <c r="B509" s="352" t="str">
        <f>IF(A509="","",VLOOKUP(A509,Materiais_Base!A:D,2,"FALSO"))</f>
        <v>Espaçador plástico tipo disco separador para tirante com 12 cordoalhas - D = 12,7 mm</v>
      </c>
      <c r="C509" s="353" t="str">
        <f>IF(A509="","",VLOOKUP(A509,Materiais_Base!A:D,3,"FALSO"))</f>
        <v>un</v>
      </c>
      <c r="D509" s="354" t="s">
        <v>932</v>
      </c>
      <c r="E509" s="355" t="str">
        <f t="shared" si="13"/>
        <v/>
      </c>
      <c r="F509" s="354"/>
      <c r="G509" s="345" t="str">
        <f>IF(D509="","",VLOOKUP(A509,Materiais_Base!A:D,4,"FALSO"))</f>
        <v/>
      </c>
    </row>
    <row r="510" hidden="1" customHeight="1" spans="1:7">
      <c r="A510" s="352" t="s">
        <v>14793</v>
      </c>
      <c r="B510" s="352" t="str">
        <f>IF(A510="","",VLOOKUP(A510,Materiais_Base!A:D,2,"FALSO"))</f>
        <v>Espaçador plástico tipo centralizador carambola para tirante de barra de aço - D = 32,0 mm</v>
      </c>
      <c r="C510" s="353" t="str">
        <f>IF(A510="","",VLOOKUP(A510,Materiais_Base!A:D,3,"FALSO"))</f>
        <v>un</v>
      </c>
      <c r="D510" s="354" t="s">
        <v>932</v>
      </c>
      <c r="E510" s="355" t="str">
        <f t="shared" si="13"/>
        <v/>
      </c>
      <c r="F510" s="354"/>
      <c r="G510" s="345" t="str">
        <f>IF(D510="","",VLOOKUP(A510,Materiais_Base!A:D,4,"FALSO"))</f>
        <v/>
      </c>
    </row>
    <row r="511" hidden="1" customHeight="1" spans="1:7">
      <c r="A511" s="352" t="s">
        <v>14794</v>
      </c>
      <c r="B511" s="352" t="str">
        <f>IF(A511="","",VLOOKUP(A511,Materiais_Base!A:D,2,"FALSO"))</f>
        <v>Espaçador plástico tipo centralizador carambola para tirante de barra de aço - D = 30,0 mm</v>
      </c>
      <c r="C511" s="353" t="str">
        <f>IF(A511="","",VLOOKUP(A511,Materiais_Base!A:D,3,"FALSO"))</f>
        <v>un</v>
      </c>
      <c r="D511" s="354" t="s">
        <v>932</v>
      </c>
      <c r="E511" s="355" t="str">
        <f t="shared" si="13"/>
        <v/>
      </c>
      <c r="F511" s="354"/>
      <c r="G511" s="345" t="str">
        <f>IF(D511="","",VLOOKUP(A511,Materiais_Base!A:D,4,"FALSO"))</f>
        <v/>
      </c>
    </row>
    <row r="512" hidden="1" customHeight="1" spans="1:7">
      <c r="A512" s="352" t="s">
        <v>14795</v>
      </c>
      <c r="B512" s="352" t="str">
        <f>IF(A512="","",VLOOKUP(A512,Materiais_Base!A:D,2,"FALSO"))</f>
        <v>Espaçador plástico tipo centralizador carambola para tirante de barra de aço - D = 40,0 mm</v>
      </c>
      <c r="C512" s="353" t="str">
        <f>IF(A512="","",VLOOKUP(A512,Materiais_Base!A:D,3,"FALSO"))</f>
        <v>un</v>
      </c>
      <c r="D512" s="354" t="s">
        <v>932</v>
      </c>
      <c r="E512" s="355" t="str">
        <f t="shared" si="13"/>
        <v/>
      </c>
      <c r="F512" s="354"/>
      <c r="G512" s="345" t="str">
        <f>IF(D512="","",VLOOKUP(A512,Materiais_Base!A:D,4,"FALSO"))</f>
        <v/>
      </c>
    </row>
    <row r="513" customHeight="1" spans="1:7">
      <c r="A513" s="352" t="s">
        <v>14796</v>
      </c>
      <c r="B513" s="352" t="str">
        <f>IF(A513="","",VLOOKUP(A513,Materiais_Base!A:D,2,"FALSO"))</f>
        <v>Óleo tipo A1</v>
      </c>
      <c r="C513" s="353" t="str">
        <f>IF(A513="","",VLOOKUP(A513,Materiais_Base!A:D,3,"FALSO"))</f>
        <v>l</v>
      </c>
      <c r="D513" s="354">
        <v>5.7496</v>
      </c>
      <c r="E513" s="355">
        <f t="shared" si="13"/>
        <v>5.7496</v>
      </c>
      <c r="F513" s="354"/>
      <c r="G513" s="345">
        <f>IF(D513="","",VLOOKUP(A513,Materiais_Base!A:D,4,"FALSO"))</f>
        <v>5.7496</v>
      </c>
    </row>
    <row r="514" hidden="1" customHeight="1" spans="1:7">
      <c r="A514" s="352" t="s">
        <v>14797</v>
      </c>
      <c r="B514" s="352" t="str">
        <f>IF(A514="","",VLOOKUP(A514,Materiais_Base!A:D,2,"FALSO"))</f>
        <v>Espaçador plástico tipo centralizador carambola para tirante de barra de aço - D = 47,0 mm</v>
      </c>
      <c r="C514" s="353" t="str">
        <f>IF(A514="","",VLOOKUP(A514,Materiais_Base!A:D,3,"FALSO"))</f>
        <v>un</v>
      </c>
      <c r="D514" s="354" t="s">
        <v>932</v>
      </c>
      <c r="E514" s="355" t="str">
        <f t="shared" si="13"/>
        <v/>
      </c>
      <c r="F514" s="354"/>
      <c r="G514" s="345" t="str">
        <f>IF(D514="","",VLOOKUP(A514,Materiais_Base!A:D,4,"FALSO"))</f>
        <v/>
      </c>
    </row>
    <row r="515" hidden="1" customHeight="1" spans="1:7">
      <c r="A515" s="352" t="s">
        <v>14798</v>
      </c>
      <c r="B515" s="352" t="str">
        <f>IF(A515="","",VLOOKUP(A515,Materiais_Base!A:D,2,"FALSO"))</f>
        <v>Cimento asfáltico de petróleo - CAP 50/70</v>
      </c>
      <c r="C515" s="353" t="str">
        <f>IF(A515="","",VLOOKUP(A515,Materiais_Base!A:D,3,"FALSO"))</f>
        <v>t</v>
      </c>
      <c r="D515" s="359" t="s">
        <v>14799</v>
      </c>
      <c r="E515" s="355">
        <f t="shared" si="13"/>
        <v>0</v>
      </c>
      <c r="F515" s="359"/>
      <c r="G515" s="345" t="str">
        <f>IF(D515="","",VLOOKUP(A515,Materiais_Base!A:D,4,"FALSO"))</f>
        <v>-</v>
      </c>
    </row>
    <row r="516" hidden="1" customHeight="1" spans="1:7">
      <c r="A516" s="352" t="s">
        <v>14800</v>
      </c>
      <c r="B516" s="352" t="str">
        <f>IF(A516="","",VLOOKUP(A516,Materiais_Base!A:D,2,"FALSO"))</f>
        <v>Cimento asfáltico de petróleo - CAP 150/200</v>
      </c>
      <c r="C516" s="353" t="str">
        <f>IF(A516="","",VLOOKUP(A516,Materiais_Base!A:D,3,"FALSO"))</f>
        <v>t</v>
      </c>
      <c r="D516" s="359" t="s">
        <v>932</v>
      </c>
      <c r="E516" s="355" t="str">
        <f t="shared" si="13"/>
        <v/>
      </c>
      <c r="F516" s="359"/>
      <c r="G516" s="345" t="str">
        <f>IF(D516="","",VLOOKUP(A516,Materiais_Base!A:D,4,"FALSO"))</f>
        <v/>
      </c>
    </row>
    <row r="517" hidden="1" customHeight="1" spans="1:7">
      <c r="A517" s="352" t="s">
        <v>14801</v>
      </c>
      <c r="B517" s="352" t="str">
        <f>IF(A517="","",VLOOKUP(A517,Materiais_Base!A:D,2,"FALSO"))</f>
        <v>Cimento asfáltico de petróleo - CAP 85/100</v>
      </c>
      <c r="C517" s="353" t="str">
        <f>IF(A517="","",VLOOKUP(A517,Materiais_Base!A:D,3,"FALSO"))</f>
        <v>t</v>
      </c>
      <c r="D517" s="359" t="s">
        <v>932</v>
      </c>
      <c r="E517" s="355" t="str">
        <f t="shared" ref="E517:E535" si="14">IF(D517="","",MIN(D517,F517))</f>
        <v/>
      </c>
      <c r="F517" s="359"/>
      <c r="G517" s="345" t="str">
        <f>IF(D517="","",VLOOKUP(A517,Materiais_Base!A:D,4,"FALSO"))</f>
        <v/>
      </c>
    </row>
    <row r="518" hidden="1" customHeight="1" spans="1:7">
      <c r="A518" s="352" t="s">
        <v>14802</v>
      </c>
      <c r="B518" s="352" t="str">
        <f>IF(A518="","",VLOOKUP(A518,Materiais_Base!A:D,2,"FALSO"))</f>
        <v>Emulsão asfáltica - RR-1C</v>
      </c>
      <c r="C518" s="353" t="str">
        <f>IF(A518="","",VLOOKUP(A518,Materiais_Base!A:D,3,"FALSO"))</f>
        <v>t</v>
      </c>
      <c r="D518" s="359" t="s">
        <v>932</v>
      </c>
      <c r="E518" s="355" t="str">
        <f t="shared" si="14"/>
        <v/>
      </c>
      <c r="F518" s="359"/>
      <c r="G518" s="345" t="str">
        <f>IF(D518="","",VLOOKUP(A518,Materiais_Base!A:D,4,"FALSO"))</f>
        <v/>
      </c>
    </row>
    <row r="519" hidden="1" customHeight="1" spans="1:7">
      <c r="A519" s="352" t="s">
        <v>14803</v>
      </c>
      <c r="B519" s="352" t="str">
        <f>IF(A519="","",VLOOKUP(A519,Materiais_Base!A:D,2,"FALSO"))</f>
        <v>Emulsão asfáltica - RM-1C</v>
      </c>
      <c r="C519" s="353" t="str">
        <f>IF(A519="","",VLOOKUP(A519,Materiais_Base!A:D,3,"FALSO"))</f>
        <v>t</v>
      </c>
      <c r="D519" s="359" t="s">
        <v>932</v>
      </c>
      <c r="E519" s="355" t="str">
        <f t="shared" si="14"/>
        <v/>
      </c>
      <c r="F519" s="359"/>
      <c r="G519" s="345" t="str">
        <f>IF(D519="","",VLOOKUP(A519,Materiais_Base!A:D,4,"FALSO"))</f>
        <v/>
      </c>
    </row>
    <row r="520" hidden="1" customHeight="1" spans="1:7">
      <c r="A520" s="352" t="s">
        <v>14804</v>
      </c>
      <c r="B520" s="352" t="str">
        <f>IF(A520="","",VLOOKUP(A520,Materiais_Base!A:D,2,"FALSO"))</f>
        <v>Espaçador plástico tipo centralizador carambola para tirante de barra de aço - D = 50,0 mm</v>
      </c>
      <c r="C520" s="353" t="str">
        <f>IF(A520="","",VLOOKUP(A520,Materiais_Base!A:D,3,"FALSO"))</f>
        <v>un</v>
      </c>
      <c r="D520" s="354" t="s">
        <v>932</v>
      </c>
      <c r="E520" s="355" t="str">
        <f t="shared" si="14"/>
        <v/>
      </c>
      <c r="F520" s="354"/>
      <c r="G520" s="345" t="str">
        <f>IF(D520="","",VLOOKUP(A520,Materiais_Base!A:D,4,"FALSO"))</f>
        <v/>
      </c>
    </row>
    <row r="521" hidden="1" customHeight="1" spans="1:7">
      <c r="A521" s="352" t="s">
        <v>14805</v>
      </c>
      <c r="B521" s="352" t="str">
        <f>IF(A521="","",VLOOKUP(A521,Materiais_Base!A:D,2,"FALSO"))</f>
        <v>Emulsão asfáltica - RL-1C</v>
      </c>
      <c r="C521" s="353" t="str">
        <f>IF(A521="","",VLOOKUP(A521,Materiais_Base!A:D,3,"FALSO"))</f>
        <v>t</v>
      </c>
      <c r="D521" s="359" t="s">
        <v>932</v>
      </c>
      <c r="E521" s="355" t="str">
        <f t="shared" si="14"/>
        <v/>
      </c>
      <c r="F521" s="359"/>
      <c r="G521" s="345" t="str">
        <f>IF(D521="","",VLOOKUP(A521,Materiais_Base!A:D,4,"FALSO"))</f>
        <v/>
      </c>
    </row>
    <row r="522" hidden="1" customHeight="1" spans="1:7">
      <c r="A522" s="352" t="s">
        <v>14806</v>
      </c>
      <c r="B522" s="352" t="str">
        <f>IF(A522="","",VLOOKUP(A522,Materiais_Base!A:D,2,"FALSO"))</f>
        <v>Emulsão asfáltica com polímero - RC-1C-E</v>
      </c>
      <c r="C522" s="353" t="str">
        <f>IF(A522="","",VLOOKUP(A522,Materiais_Base!A:D,3,"FALSO"))</f>
        <v>t</v>
      </c>
      <c r="D522" s="359" t="s">
        <v>932</v>
      </c>
      <c r="E522" s="355" t="str">
        <f t="shared" si="14"/>
        <v/>
      </c>
      <c r="F522" s="359"/>
      <c r="G522" s="345" t="str">
        <f>IF(D522="","",VLOOKUP(A522,Materiais_Base!A:D,4,"FALSO"))</f>
        <v/>
      </c>
    </row>
    <row r="523" hidden="1" customHeight="1" spans="1:7">
      <c r="A523" s="352" t="s">
        <v>14807</v>
      </c>
      <c r="B523" s="352" t="str">
        <f>IF(A523="","",VLOOKUP(A523,Materiais_Base!A:D,2,"FALSO"))</f>
        <v>Cimento asfáltico de petróleo com polímero - CAP 150/200-E</v>
      </c>
      <c r="C523" s="353" t="str">
        <f>IF(A523="","",VLOOKUP(A523,Materiais_Base!A:D,3,"FALSO"))</f>
        <v>t</v>
      </c>
      <c r="D523" s="359" t="s">
        <v>932</v>
      </c>
      <c r="E523" s="355" t="str">
        <f t="shared" si="14"/>
        <v/>
      </c>
      <c r="F523" s="359"/>
      <c r="G523" s="345" t="str">
        <f>IF(D523="","",VLOOKUP(A523,Materiais_Base!A:D,4,"FALSO"))</f>
        <v/>
      </c>
    </row>
    <row r="524" hidden="1" customHeight="1" spans="1:7">
      <c r="A524" s="352" t="s">
        <v>14808</v>
      </c>
      <c r="B524" s="352" t="str">
        <f>IF(A524="","",VLOOKUP(A524,Materiais_Base!A:D,2,"FALSO"))</f>
        <v>Aditivo asfáltico de reciclagem para misturas a quente</v>
      </c>
      <c r="C524" s="353" t="str">
        <f>IF(A524="","",VLOOKUP(A524,Materiais_Base!A:D,3,"FALSO"))</f>
        <v>t</v>
      </c>
      <c r="D524" s="354" t="s">
        <v>932</v>
      </c>
      <c r="E524" s="355" t="str">
        <f t="shared" si="14"/>
        <v/>
      </c>
      <c r="F524" s="354"/>
      <c r="G524" s="345" t="str">
        <f>IF(D524="","",VLOOKUP(A524,Materiais_Base!A:D,4,"FALSO"))</f>
        <v/>
      </c>
    </row>
    <row r="525" hidden="1" customHeight="1" spans="1:7">
      <c r="A525" s="352" t="s">
        <v>14809</v>
      </c>
      <c r="B525" s="352" t="str">
        <f>IF(A525="","",VLOOKUP(A525,Materiais_Base!A:D,2,"FALSO"))</f>
        <v>Cimento Portland CP II - 32 - a granel</v>
      </c>
      <c r="C525" s="353" t="str">
        <f>IF(A525="","",VLOOKUP(A525,Materiais_Base!A:D,3,"FALSO"))</f>
        <v>kg</v>
      </c>
      <c r="D525" s="354" t="s">
        <v>932</v>
      </c>
      <c r="E525" s="355" t="str">
        <f t="shared" si="14"/>
        <v/>
      </c>
      <c r="F525" s="354"/>
      <c r="G525" s="345" t="str">
        <f>IF(D525="","",VLOOKUP(A525,Materiais_Base!A:D,4,"FALSO"))</f>
        <v/>
      </c>
    </row>
    <row r="526" hidden="1" customHeight="1" spans="1:7">
      <c r="A526" s="352" t="s">
        <v>14810</v>
      </c>
      <c r="B526" s="352" t="str">
        <f>IF(A526="","",VLOOKUP(A526,Materiais_Base!A:D,2,"FALSO"))</f>
        <v>Cimento asfáltico de petróleo com polímero - CAP 55/75-E</v>
      </c>
      <c r="C526" s="353" t="str">
        <f>IF(A526="","",VLOOKUP(A526,Materiais_Base!A:D,3,"FALSO"))</f>
        <v>t</v>
      </c>
      <c r="D526" s="359" t="s">
        <v>932</v>
      </c>
      <c r="E526" s="355" t="str">
        <f t="shared" si="14"/>
        <v/>
      </c>
      <c r="F526" s="359"/>
      <c r="G526" s="345" t="str">
        <f>IF(D526="","",VLOOKUP(A526,Materiais_Base!A:D,4,"FALSO"))</f>
        <v/>
      </c>
    </row>
    <row r="527" hidden="1" customHeight="1" spans="1:7">
      <c r="A527" s="352" t="s">
        <v>14811</v>
      </c>
      <c r="B527" s="352" t="str">
        <f>IF(A527="","",VLOOKUP(A527,Materiais_Base!A:D,2,"FALSO"))</f>
        <v>Emulsão asfáltica com polímero - RR-2C-E</v>
      </c>
      <c r="C527" s="353" t="str">
        <f>IF(A527="","",VLOOKUP(A527,Materiais_Base!A:D,3,"FALSO"))</f>
        <v>t</v>
      </c>
      <c r="D527" s="359" t="s">
        <v>932</v>
      </c>
      <c r="E527" s="355" t="str">
        <f t="shared" si="14"/>
        <v/>
      </c>
      <c r="F527" s="359"/>
      <c r="G527" s="345" t="str">
        <f>IF(D527="","",VLOOKUP(A527,Materiais_Base!A:D,4,"FALSO"))</f>
        <v/>
      </c>
    </row>
    <row r="528" hidden="1" customHeight="1" spans="1:7">
      <c r="A528" s="352" t="s">
        <v>14812</v>
      </c>
      <c r="B528" s="352" t="str">
        <f>IF(A528="","",VLOOKUP(A528,Materiais_Base!A:D,2,"FALSO"))</f>
        <v>Emulsão asfáltica com polímero - RM-1C-E</v>
      </c>
      <c r="C528" s="353" t="str">
        <f>IF(A528="","",VLOOKUP(A528,Materiais_Base!A:D,3,"FALSO"))</f>
        <v>t</v>
      </c>
      <c r="D528" s="359" t="s">
        <v>932</v>
      </c>
      <c r="E528" s="355" t="str">
        <f t="shared" si="14"/>
        <v/>
      </c>
      <c r="F528" s="359"/>
      <c r="G528" s="345" t="str">
        <f>IF(D528="","",VLOOKUP(A528,Materiais_Base!A:D,4,"FALSO"))</f>
        <v/>
      </c>
    </row>
    <row r="529" hidden="1" customHeight="1" spans="1:7">
      <c r="A529" s="352" t="s">
        <v>14813</v>
      </c>
      <c r="B529" s="352" t="str">
        <f>IF(A529="","",VLOOKUP(A529,Materiais_Base!A:D,2,"FALSO"))</f>
        <v>Espaçador plástico tipo centralizador carambola para tirante de barra de aço - D = 53,0 mm</v>
      </c>
      <c r="C529" s="353" t="str">
        <f>IF(A529="","",VLOOKUP(A529,Materiais_Base!A:D,3,"FALSO"))</f>
        <v>un</v>
      </c>
      <c r="D529" s="354" t="s">
        <v>932</v>
      </c>
      <c r="E529" s="355" t="str">
        <f t="shared" si="14"/>
        <v/>
      </c>
      <c r="F529" s="354"/>
      <c r="G529" s="345" t="str">
        <f>IF(D529="","",VLOOKUP(A529,Materiais_Base!A:D,4,"FALSO"))</f>
        <v/>
      </c>
    </row>
    <row r="530" hidden="1" customHeight="1" spans="1:7">
      <c r="A530" s="352" t="s">
        <v>14814</v>
      </c>
      <c r="B530" s="352" t="str">
        <f>IF(A530="","",VLOOKUP(A530,Materiais_Base!A:D,2,"FALSO"))</f>
        <v>Espaçador plástico tipo centralizador carambola para tirante de barra de aço - D = 57,0 mm</v>
      </c>
      <c r="C530" s="353" t="str">
        <f>IF(A530="","",VLOOKUP(A530,Materiais_Base!A:D,3,"FALSO"))</f>
        <v>un</v>
      </c>
      <c r="D530" s="354" t="s">
        <v>932</v>
      </c>
      <c r="E530" s="355" t="str">
        <f t="shared" si="14"/>
        <v/>
      </c>
      <c r="F530" s="354"/>
      <c r="G530" s="345" t="str">
        <f>IF(D530="","",VLOOKUP(A530,Materiais_Base!A:D,4,"FALSO"))</f>
        <v/>
      </c>
    </row>
    <row r="531" hidden="1" customHeight="1" spans="1:7">
      <c r="A531" s="352" t="s">
        <v>14815</v>
      </c>
      <c r="B531" s="352" t="str">
        <f>IF(A531="","",VLOOKUP(A531,Materiais_Base!A:D,2,"FALSO"))</f>
        <v>Espaçador plástico tipo centralizador carambola para tirante de barra de aço - D = 63,0 mm</v>
      </c>
      <c r="C531" s="353" t="str">
        <f>IF(A531="","",VLOOKUP(A531,Materiais_Base!A:D,3,"FALSO"))</f>
        <v>un</v>
      </c>
      <c r="D531" s="354" t="s">
        <v>932</v>
      </c>
      <c r="E531" s="355" t="str">
        <f t="shared" si="14"/>
        <v/>
      </c>
      <c r="F531" s="354"/>
      <c r="G531" s="345" t="str">
        <f>IF(D531="","",VLOOKUP(A531,Materiais_Base!A:D,4,"FALSO"))</f>
        <v/>
      </c>
    </row>
    <row r="532" hidden="1" customHeight="1" spans="1:7">
      <c r="A532" s="352" t="s">
        <v>14816</v>
      </c>
      <c r="B532" s="352" t="str">
        <f>IF(A532="","",VLOOKUP(A532,Materiais_Base!A:D,2,"FALSO"))</f>
        <v>Espaçador plástico tipo centralizador carambola para tirante de barra de aço - D = 69,0 mm</v>
      </c>
      <c r="C532" s="353" t="str">
        <f>IF(A532="","",VLOOKUP(A532,Materiais_Base!A:D,3,"FALSO"))</f>
        <v>un</v>
      </c>
      <c r="D532" s="354" t="s">
        <v>932</v>
      </c>
      <c r="E532" s="355" t="str">
        <f t="shared" si="14"/>
        <v/>
      </c>
      <c r="F532" s="354"/>
      <c r="G532" s="345" t="str">
        <f>IF(D532="","",VLOOKUP(A532,Materiais_Base!A:D,4,"FALSO"))</f>
        <v/>
      </c>
    </row>
    <row r="533" hidden="1" customHeight="1" spans="1:7">
      <c r="A533" s="352" t="s">
        <v>14817</v>
      </c>
      <c r="B533" s="352" t="str">
        <f>IF(A533="","",VLOOKUP(A533,Materiais_Base!A:D,2,"FALSO"))</f>
        <v>Cantoneira em ferro de abas iguais - L = 63,5 mm e E = 9,53 mm</v>
      </c>
      <c r="C533" s="353" t="str">
        <f>IF(A533="","",VLOOKUP(A533,Materiais_Base!A:D,3,"FALSO"))</f>
        <v>kg</v>
      </c>
      <c r="D533" s="354" t="s">
        <v>932</v>
      </c>
      <c r="E533" s="355" t="str">
        <f t="shared" si="14"/>
        <v/>
      </c>
      <c r="F533" s="354"/>
      <c r="G533" s="345" t="str">
        <f>IF(D533="","",VLOOKUP(A533,Materiais_Base!A:D,4,"FALSO"))</f>
        <v/>
      </c>
    </row>
    <row r="534" hidden="1" customHeight="1" spans="1:7">
      <c r="A534" s="352" t="s">
        <v>14818</v>
      </c>
      <c r="B534" s="352" t="str">
        <f>IF(A534="","",VLOOKUP(A534,Materiais_Base!A:D,2,"FALSO"))</f>
        <v>Defensa metálica maleável simples</v>
      </c>
      <c r="C534" s="353" t="str">
        <f>IF(A534="","",VLOOKUP(A534,Materiais_Base!A:D,3,"FALSO"))</f>
        <v>un</v>
      </c>
      <c r="D534" s="354" t="s">
        <v>932</v>
      </c>
      <c r="E534" s="355" t="str">
        <f t="shared" si="14"/>
        <v/>
      </c>
      <c r="F534" s="354"/>
      <c r="G534" s="345" t="str">
        <f>IF(D534="","",VLOOKUP(A534,Materiais_Base!A:D,4,"FALSO"))</f>
        <v/>
      </c>
    </row>
    <row r="535" hidden="1" customHeight="1" spans="1:7">
      <c r="A535" s="352" t="s">
        <v>14819</v>
      </c>
      <c r="B535" s="352" t="str">
        <f>IF(A535="","",VLOOKUP(A535,Materiais_Base!A:D,2,"FALSO"))</f>
        <v>Defensa metálica maleável dupla</v>
      </c>
      <c r="C535" s="353" t="str">
        <f>IF(A535="","",VLOOKUP(A535,Materiais_Base!A:D,3,"FALSO"))</f>
        <v>un</v>
      </c>
      <c r="D535" s="354" t="s">
        <v>932</v>
      </c>
      <c r="E535" s="355" t="str">
        <f t="shared" si="14"/>
        <v/>
      </c>
      <c r="F535" s="354"/>
      <c r="G535" s="345" t="str">
        <f>IF(D535="","",VLOOKUP(A535,Materiais_Base!A:D,4,"FALSO"))</f>
        <v/>
      </c>
    </row>
    <row r="536" customHeight="1" spans="1:7">
      <c r="A536" s="352" t="s">
        <v>14820</v>
      </c>
      <c r="B536" s="352" t="str">
        <f>IF(A536="","",VLOOKUP(A536,Materiais_Base!A:D,2,"FALSO"))</f>
        <v>Defensa metálica semimaleável simples</v>
      </c>
      <c r="C536" s="353" t="str">
        <f>IF(A536="","",VLOOKUP(A536,Materiais_Base!A:D,3,"FALSO"))</f>
        <v>un</v>
      </c>
      <c r="D536" s="354">
        <v>1267.9151</v>
      </c>
      <c r="E536" s="355">
        <f>MAX(D536,F536)</f>
        <v>1267.9151</v>
      </c>
      <c r="F536" s="354"/>
      <c r="G536" s="345">
        <f>IF(D536="","",VLOOKUP(A536,Materiais_Base!A:D,4,"FALSO"))</f>
        <v>1267.9151</v>
      </c>
    </row>
    <row r="537" hidden="1" customHeight="1" spans="1:7">
      <c r="A537" s="352" t="s">
        <v>14821</v>
      </c>
      <c r="B537" s="352" t="str">
        <f>IF(A537="","",VLOOKUP(A537,Materiais_Base!A:D,2,"FALSO"))</f>
        <v>Defensa metálica semimaleável dupla</v>
      </c>
      <c r="C537" s="353" t="str">
        <f>IF(A537="","",VLOOKUP(A537,Materiais_Base!A:D,3,"FALSO"))</f>
        <v>un</v>
      </c>
      <c r="D537" s="354" t="s">
        <v>932</v>
      </c>
      <c r="E537" s="355" t="str">
        <f t="shared" ref="E537:E600" si="15">IF(D537="","",MIN(D537,F537))</f>
        <v/>
      </c>
      <c r="F537" s="354"/>
      <c r="G537" s="345" t="str">
        <f>IF(D537="","",VLOOKUP(A537,Materiais_Base!A:D,4,"FALSO"))</f>
        <v/>
      </c>
    </row>
    <row r="538" hidden="1" customHeight="1" spans="1:7">
      <c r="A538" s="352" t="s">
        <v>14822</v>
      </c>
      <c r="B538" s="352" t="str">
        <f>IF(A538="","",VLOOKUP(A538,Materiais_Base!A:D,2,"FALSO"))</f>
        <v>Dente de corte para fresadora de 155 kW</v>
      </c>
      <c r="C538" s="353" t="str">
        <f>IF(A538="","",VLOOKUP(A538,Materiais_Base!A:D,3,"FALSO"))</f>
        <v>un</v>
      </c>
      <c r="D538" s="354" t="s">
        <v>932</v>
      </c>
      <c r="E538" s="355" t="str">
        <f t="shared" si="15"/>
        <v/>
      </c>
      <c r="F538" s="354"/>
      <c r="G538" s="345" t="str">
        <f>IF(D538="","",VLOOKUP(A538,Materiais_Base!A:D,4,"FALSO"))</f>
        <v/>
      </c>
    </row>
    <row r="539" hidden="1" customHeight="1" spans="1:7">
      <c r="A539" s="352" t="s">
        <v>14823</v>
      </c>
      <c r="B539" s="352" t="str">
        <f>IF(A539="","",VLOOKUP(A539,Materiais_Base!A:D,2,"FALSO"))</f>
        <v>Módulo de transição de defensa metálica tipo dupla onda com lâmina adicional para barreira rígida</v>
      </c>
      <c r="C539" s="353" t="str">
        <f>IF(A539="","",VLOOKUP(A539,Materiais_Base!A:D,3,"FALSO"))</f>
        <v>un</v>
      </c>
      <c r="D539" s="354" t="s">
        <v>932</v>
      </c>
      <c r="E539" s="355" t="str">
        <f t="shared" si="15"/>
        <v/>
      </c>
      <c r="F539" s="354"/>
      <c r="G539" s="345" t="str">
        <f>IF(D539="","",VLOOKUP(A539,Materiais_Base!A:D,4,"FALSO"))</f>
        <v/>
      </c>
    </row>
    <row r="540" hidden="1" customHeight="1" spans="1:7">
      <c r="A540" s="352" t="s">
        <v>14824</v>
      </c>
      <c r="B540" s="352" t="str">
        <f>IF(A540="","",VLOOKUP(A540,Materiais_Base!A:D,2,"FALSO"))</f>
        <v>Dente de corte para fresadora de 455 kW</v>
      </c>
      <c r="C540" s="353" t="str">
        <f>IF(A540="","",VLOOKUP(A540,Materiais_Base!A:D,3,"FALSO"))</f>
        <v>un</v>
      </c>
      <c r="D540" s="354" t="s">
        <v>932</v>
      </c>
      <c r="E540" s="355" t="str">
        <f t="shared" si="15"/>
        <v/>
      </c>
      <c r="F540" s="354"/>
      <c r="G540" s="345" t="str">
        <f>IF(D540="","",VLOOKUP(A540,Materiais_Base!A:D,4,"FALSO"))</f>
        <v/>
      </c>
    </row>
    <row r="541" hidden="1" customHeight="1" spans="1:7">
      <c r="A541" s="352" t="s">
        <v>14825</v>
      </c>
      <c r="B541" s="352" t="str">
        <f>IF(A541="","",VLOOKUP(A541,Materiais_Base!A:D,2,"FALSO"))</f>
        <v>Terminal aéreo de defensa metálica (tipo A)</v>
      </c>
      <c r="C541" s="353" t="str">
        <f>IF(A541="","",VLOOKUP(A541,Materiais_Base!A:D,3,"FALSO"))</f>
        <v>un</v>
      </c>
      <c r="D541" s="354" t="s">
        <v>932</v>
      </c>
      <c r="E541" s="355" t="str">
        <f t="shared" si="15"/>
        <v/>
      </c>
      <c r="F541" s="354"/>
      <c r="G541" s="345" t="str">
        <f>IF(D541="","",VLOOKUP(A541,Materiais_Base!A:D,4,"FALSO"))</f>
        <v/>
      </c>
    </row>
    <row r="542" customHeight="1" spans="1:7">
      <c r="A542" s="352" t="s">
        <v>14826</v>
      </c>
      <c r="B542" s="352" t="str">
        <f>IF(A542="","",VLOOKUP(A542,Materiais_Base!A:D,2,"FALSO"))</f>
        <v>Terminal de ancoragem de defensa metálica em barreira rígida (tipo D)</v>
      </c>
      <c r="C542" s="353" t="str">
        <f>IF(A542="","",VLOOKUP(A542,Materiais_Base!A:D,3,"FALSO"))</f>
        <v>un</v>
      </c>
      <c r="D542" s="354">
        <v>408.1253</v>
      </c>
      <c r="E542" s="355">
        <f t="shared" si="15"/>
        <v>408.1253</v>
      </c>
      <c r="F542" s="354"/>
      <c r="G542" s="345">
        <f>IF(D542="","",VLOOKUP(A542,Materiais_Base!A:D,4,"FALSO"))</f>
        <v>408.1253</v>
      </c>
    </row>
    <row r="543" hidden="1" customHeight="1" spans="1:7">
      <c r="A543" s="352" t="s">
        <v>14827</v>
      </c>
      <c r="B543" s="352" t="str">
        <f>IF(A543="","",VLOOKUP(A543,Materiais_Base!A:D,2,"FALSO"))</f>
        <v>Luva em aço para emenda de tirantes - D = 38 mm e C = 115 mm</v>
      </c>
      <c r="C543" s="353" t="str">
        <f>IF(A543="","",VLOOKUP(A543,Materiais_Base!A:D,3,"FALSO"))</f>
        <v>un</v>
      </c>
      <c r="D543" s="354" t="s">
        <v>932</v>
      </c>
      <c r="E543" s="355" t="str">
        <f t="shared" si="15"/>
        <v/>
      </c>
      <c r="F543" s="354"/>
      <c r="G543" s="345" t="str">
        <f>IF(D543="","",VLOOKUP(A543,Materiais_Base!A:D,4,"FALSO"))</f>
        <v/>
      </c>
    </row>
    <row r="544" hidden="1" customHeight="1" spans="1:7">
      <c r="A544" s="352" t="s">
        <v>14828</v>
      </c>
      <c r="B544" s="352" t="str">
        <f>IF(A544="","",VLOOKUP(A544,Materiais_Base!A:D,2,"FALSO"))</f>
        <v>Luva em aço para emenda de tirantes - D = 48 mm e C = 120 mm</v>
      </c>
      <c r="C544" s="353" t="str">
        <f>IF(A544="","",VLOOKUP(A544,Materiais_Base!A:D,3,"FALSO"))</f>
        <v>un</v>
      </c>
      <c r="D544" s="354" t="s">
        <v>932</v>
      </c>
      <c r="E544" s="355" t="str">
        <f t="shared" si="15"/>
        <v/>
      </c>
      <c r="F544" s="354"/>
      <c r="G544" s="345" t="str">
        <f>IF(D544="","",VLOOKUP(A544,Materiais_Base!A:D,4,"FALSO"))</f>
        <v/>
      </c>
    </row>
    <row r="545" hidden="1" customHeight="1" spans="1:7">
      <c r="A545" s="352" t="s">
        <v>14829</v>
      </c>
      <c r="B545" s="352" t="str">
        <f>IF(A545="","",VLOOKUP(A545,Materiais_Base!A:D,2,"FALSO"))</f>
        <v>Luva em aço para emenda de tirantes - D = 60 mm e C = 160 mm</v>
      </c>
      <c r="C545" s="353" t="str">
        <f>IF(A545="","",VLOOKUP(A545,Materiais_Base!A:D,3,"FALSO"))</f>
        <v>un</v>
      </c>
      <c r="D545" s="354" t="s">
        <v>932</v>
      </c>
      <c r="E545" s="355" t="str">
        <f t="shared" si="15"/>
        <v/>
      </c>
      <c r="F545" s="354"/>
      <c r="G545" s="345" t="str">
        <f>IF(D545="","",VLOOKUP(A545,Materiais_Base!A:D,4,"FALSO"))</f>
        <v/>
      </c>
    </row>
    <row r="546" hidden="1" customHeight="1" spans="1:7">
      <c r="A546" s="352" t="s">
        <v>14830</v>
      </c>
      <c r="B546" s="352" t="str">
        <f>IF(A546="","",VLOOKUP(A546,Materiais_Base!A:D,2,"FALSO"))</f>
        <v>Luva em aço para emenda de tirantes - D = 50 mm e C = 130 mm</v>
      </c>
      <c r="C546" s="353" t="str">
        <f>IF(A546="","",VLOOKUP(A546,Materiais_Base!A:D,3,"FALSO"))</f>
        <v>un</v>
      </c>
      <c r="D546" s="354" t="s">
        <v>932</v>
      </c>
      <c r="E546" s="355" t="str">
        <f t="shared" si="15"/>
        <v/>
      </c>
      <c r="F546" s="354"/>
      <c r="G546" s="345" t="str">
        <f>IF(D546="","",VLOOKUP(A546,Materiais_Base!A:D,4,"FALSO"))</f>
        <v/>
      </c>
    </row>
    <row r="547" hidden="1" customHeight="1" spans="1:7">
      <c r="A547" s="352" t="s">
        <v>14831</v>
      </c>
      <c r="B547" s="352" t="str">
        <f>IF(A547="","",VLOOKUP(A547,Materiais_Base!A:D,2,"FALSO"))</f>
        <v>Luva em aço para emenda de tirantes - D = 63 mm e C = 180 mm</v>
      </c>
      <c r="C547" s="353" t="str">
        <f>IF(A547="","",VLOOKUP(A547,Materiais_Base!A:D,3,"FALSO"))</f>
        <v>un</v>
      </c>
      <c r="D547" s="354" t="s">
        <v>932</v>
      </c>
      <c r="E547" s="355" t="str">
        <f t="shared" si="15"/>
        <v/>
      </c>
      <c r="F547" s="354"/>
      <c r="G547" s="345" t="str">
        <f>IF(D547="","",VLOOKUP(A547,Materiais_Base!A:D,4,"FALSO"))</f>
        <v/>
      </c>
    </row>
    <row r="548" hidden="1" customHeight="1" spans="1:7">
      <c r="A548" s="352" t="s">
        <v>14832</v>
      </c>
      <c r="B548" s="352" t="str">
        <f>IF(A548="","",VLOOKUP(A548,Materiais_Base!A:D,2,"FALSO"))</f>
        <v>Luva em aço para emenda de tirantes - D = 73 mm e C = 180 mm</v>
      </c>
      <c r="C548" s="353" t="str">
        <f>IF(A548="","",VLOOKUP(A548,Materiais_Base!A:D,3,"FALSO"))</f>
        <v>un</v>
      </c>
      <c r="D548" s="354" t="s">
        <v>932</v>
      </c>
      <c r="E548" s="355" t="str">
        <f t="shared" si="15"/>
        <v/>
      </c>
      <c r="F548" s="354"/>
      <c r="G548" s="345" t="str">
        <f>IF(D548="","",VLOOKUP(A548,Materiais_Base!A:D,4,"FALSO"))</f>
        <v/>
      </c>
    </row>
    <row r="549" hidden="1" customHeight="1" spans="1:7">
      <c r="A549" s="352" t="s">
        <v>14833</v>
      </c>
      <c r="B549" s="352" t="str">
        <f>IF(A549="","",VLOOKUP(A549,Materiais_Base!A:D,2,"FALSO"))</f>
        <v>Luva em aço para emenda de tirantes - D = 73 mm e C = 200 mm</v>
      </c>
      <c r="C549" s="353" t="str">
        <f>IF(A549="","",VLOOKUP(A549,Materiais_Base!A:D,3,"FALSO"))</f>
        <v>un</v>
      </c>
      <c r="D549" s="354" t="s">
        <v>932</v>
      </c>
      <c r="E549" s="355" t="str">
        <f t="shared" si="15"/>
        <v/>
      </c>
      <c r="F549" s="354"/>
      <c r="G549" s="345" t="str">
        <f>IF(D549="","",VLOOKUP(A549,Materiais_Base!A:D,4,"FALSO"))</f>
        <v/>
      </c>
    </row>
    <row r="550" hidden="1" customHeight="1" spans="1:7">
      <c r="A550" s="352" t="s">
        <v>14834</v>
      </c>
      <c r="B550" s="352" t="str">
        <f>IF(A550="","",VLOOKUP(A550,Materiais_Base!A:D,2,"FALSO"))</f>
        <v>Luva em aço para emenda de tirantes - D = 82 mm e C = 200 mm</v>
      </c>
      <c r="C550" s="353" t="str">
        <f>IF(A550="","",VLOOKUP(A550,Materiais_Base!A:D,3,"FALSO"))</f>
        <v>un</v>
      </c>
      <c r="D550" s="354" t="s">
        <v>932</v>
      </c>
      <c r="E550" s="355" t="str">
        <f t="shared" si="15"/>
        <v/>
      </c>
      <c r="F550" s="354"/>
      <c r="G550" s="345" t="str">
        <f>IF(D550="","",VLOOKUP(A550,Materiais_Base!A:D,4,"FALSO"))</f>
        <v/>
      </c>
    </row>
    <row r="551" hidden="1" customHeight="1" spans="1:7">
      <c r="A551" s="352" t="s">
        <v>14835</v>
      </c>
      <c r="B551" s="352" t="str">
        <f>IF(A551="","",VLOOKUP(A551,Materiais_Base!A:D,2,"FALSO"))</f>
        <v>Luva em aço para emenda de tirantes - D = 89 mm e C = 210 mm</v>
      </c>
      <c r="C551" s="353" t="str">
        <f>IF(A551="","",VLOOKUP(A551,Materiais_Base!A:D,3,"FALSO"))</f>
        <v>un</v>
      </c>
      <c r="D551" s="354" t="s">
        <v>932</v>
      </c>
      <c r="E551" s="355" t="str">
        <f t="shared" si="15"/>
        <v/>
      </c>
      <c r="F551" s="354"/>
      <c r="G551" s="345" t="str">
        <f>IF(D551="","",VLOOKUP(A551,Materiais_Base!A:D,4,"FALSO"))</f>
        <v/>
      </c>
    </row>
    <row r="552" hidden="1" customHeight="1" spans="1:7">
      <c r="A552" s="352" t="s">
        <v>14836</v>
      </c>
      <c r="B552" s="352" t="str">
        <f>IF(A552="","",VLOOKUP(A552,Materiais_Base!A:D,2,"FALSO"))</f>
        <v>Luva em aço para emenda de tirantes - D = 97 mm e C = 210 mm</v>
      </c>
      <c r="C552" s="353" t="str">
        <f>IF(A552="","",VLOOKUP(A552,Materiais_Base!A:D,3,"FALSO"))</f>
        <v>un</v>
      </c>
      <c r="D552" s="354" t="s">
        <v>932</v>
      </c>
      <c r="E552" s="355" t="str">
        <f t="shared" si="15"/>
        <v/>
      </c>
      <c r="F552" s="354"/>
      <c r="G552" s="345" t="str">
        <f>IF(D552="","",VLOOKUP(A552,Materiais_Base!A:D,4,"FALSO"))</f>
        <v/>
      </c>
    </row>
    <row r="553" hidden="1" customHeight="1" spans="1:7">
      <c r="A553" s="352" t="s">
        <v>14837</v>
      </c>
      <c r="B553" s="352" t="str">
        <f>IF(A553="","",VLOOKUP(A553,Materiais_Base!A:D,2,"FALSO"))</f>
        <v>Placa de ancoragem para tirante de barra de aço - E = 16,0 mm e seção de 160 x 160 mm</v>
      </c>
      <c r="C553" s="353" t="str">
        <f>IF(A553="","",VLOOKUP(A553,Materiais_Base!A:D,3,"FALSO"))</f>
        <v>un</v>
      </c>
      <c r="D553" s="354" t="s">
        <v>932</v>
      </c>
      <c r="E553" s="355" t="str">
        <f t="shared" si="15"/>
        <v/>
      </c>
      <c r="F553" s="354"/>
      <c r="G553" s="345" t="str">
        <f>IF(D553="","",VLOOKUP(A553,Materiais_Base!A:D,4,"FALSO"))</f>
        <v/>
      </c>
    </row>
    <row r="554" hidden="1" customHeight="1" spans="1:7">
      <c r="A554" s="352" t="s">
        <v>14838</v>
      </c>
      <c r="B554" s="352" t="str">
        <f>IF(A554="","",VLOOKUP(A554,Materiais_Base!A:D,2,"FALSO"))</f>
        <v>Placa de ancoragem para tirante de barra de aço - E = 16,0 mm e seção de 200 x 200 mm</v>
      </c>
      <c r="C554" s="353" t="str">
        <f>IF(A554="","",VLOOKUP(A554,Materiais_Base!A:D,3,"FALSO"))</f>
        <v>un</v>
      </c>
      <c r="D554" s="354" t="s">
        <v>932</v>
      </c>
      <c r="E554" s="355" t="str">
        <f t="shared" si="15"/>
        <v/>
      </c>
      <c r="F554" s="354"/>
      <c r="G554" s="345" t="str">
        <f>IF(D554="","",VLOOKUP(A554,Materiais_Base!A:D,4,"FALSO"))</f>
        <v/>
      </c>
    </row>
    <row r="555" hidden="1" customHeight="1" spans="1:7">
      <c r="A555" s="352" t="s">
        <v>14839</v>
      </c>
      <c r="B555" s="352" t="str">
        <f>IF(A555="","",VLOOKUP(A555,Materiais_Base!A:D,2,"FALSO"))</f>
        <v>Placa de ancoragem para tirante de barra de aço - E = 22,0 mm e seção de 200 x 200 mm</v>
      </c>
      <c r="C555" s="353" t="str">
        <f>IF(A555="","",VLOOKUP(A555,Materiais_Base!A:D,3,"FALSO"))</f>
        <v>un</v>
      </c>
      <c r="D555" s="354" t="s">
        <v>932</v>
      </c>
      <c r="E555" s="355" t="str">
        <f t="shared" si="15"/>
        <v/>
      </c>
      <c r="F555" s="354"/>
      <c r="G555" s="345" t="str">
        <f>IF(D555="","",VLOOKUP(A555,Materiais_Base!A:D,4,"FALSO"))</f>
        <v/>
      </c>
    </row>
    <row r="556" hidden="1" customHeight="1" spans="1:7">
      <c r="A556" s="352" t="s">
        <v>14840</v>
      </c>
      <c r="B556" s="352" t="str">
        <f>IF(A556="","",VLOOKUP(A556,Materiais_Base!A:D,2,"FALSO"))</f>
        <v>Amortecedor retrátil tipo TAU II paralelo PCB ou similar para velocidade de projeto de 100 km/h</v>
      </c>
      <c r="C556" s="353" t="str">
        <f>IF(A556="","",VLOOKUP(A556,Materiais_Base!A:D,3,"FALSO"))</f>
        <v>un</v>
      </c>
      <c r="D556" s="354" t="s">
        <v>932</v>
      </c>
      <c r="E556" s="355" t="str">
        <f t="shared" si="15"/>
        <v/>
      </c>
      <c r="F556" s="354"/>
      <c r="G556" s="345" t="str">
        <f>IF(D556="","",VLOOKUP(A556,Materiais_Base!A:D,4,"FALSO"))</f>
        <v/>
      </c>
    </row>
    <row r="557" hidden="1" customHeight="1" spans="1:7">
      <c r="A557" s="352" t="s">
        <v>14841</v>
      </c>
      <c r="B557" s="352" t="str">
        <f>IF(A557="","",VLOOKUP(A557,Materiais_Base!A:D,2,"FALSO"))</f>
        <v>Amortecedor retrátil tipo TAU II combinado PCB ou similar para velocidade de projeto de 100 km/h e âncora traseira de 900 mm</v>
      </c>
      <c r="C557" s="353" t="str">
        <f>IF(A557="","",VLOOKUP(A557,Materiais_Base!A:D,3,"FALSO"))</f>
        <v>un</v>
      </c>
      <c r="D557" s="354" t="s">
        <v>932</v>
      </c>
      <c r="E557" s="355" t="str">
        <f t="shared" si="15"/>
        <v/>
      </c>
      <c r="F557" s="354"/>
      <c r="G557" s="345" t="str">
        <f>IF(D557="","",VLOOKUP(A557,Materiais_Base!A:D,4,"FALSO"))</f>
        <v/>
      </c>
    </row>
    <row r="558" hidden="1" customHeight="1" spans="1:7">
      <c r="A558" s="352" t="s">
        <v>14842</v>
      </c>
      <c r="B558" s="352" t="str">
        <f>IF(A558="","",VLOOKUP(A558,Materiais_Base!A:D,2,"FALSO"))</f>
        <v>Amortecedor retrátil tipo TAU II combinado PCB ou similar para velocidade de projeto de 100 km/h e âncora traseira de 1.060 mm</v>
      </c>
      <c r="C558" s="353" t="str">
        <f>IF(A558="","",VLOOKUP(A558,Materiais_Base!A:D,3,"FALSO"))</f>
        <v>un</v>
      </c>
      <c r="D558" s="354" t="s">
        <v>932</v>
      </c>
      <c r="E558" s="355" t="str">
        <f t="shared" si="15"/>
        <v/>
      </c>
      <c r="F558" s="354"/>
      <c r="G558" s="345" t="str">
        <f>IF(D558="","",VLOOKUP(A558,Materiais_Base!A:D,4,"FALSO"))</f>
        <v/>
      </c>
    </row>
    <row r="559" hidden="1" customHeight="1" spans="1:7">
      <c r="A559" s="352" t="s">
        <v>14843</v>
      </c>
      <c r="B559" s="352" t="str">
        <f>IF(A559="","",VLOOKUP(A559,Materiais_Base!A:D,2,"FALSO"))</f>
        <v>Amortecedor retrátil tipo TAU II combinado PCB ou similar para velocidade de projeto de 100 km/h e âncora traseira de 1.220 mm</v>
      </c>
      <c r="C559" s="353" t="str">
        <f>IF(A559="","",VLOOKUP(A559,Materiais_Base!A:D,3,"FALSO"))</f>
        <v>un</v>
      </c>
      <c r="D559" s="354" t="s">
        <v>932</v>
      </c>
      <c r="E559" s="355" t="str">
        <f t="shared" si="15"/>
        <v/>
      </c>
      <c r="F559" s="354"/>
      <c r="G559" s="345" t="str">
        <f>IF(D559="","",VLOOKUP(A559,Materiais_Base!A:D,4,"FALSO"))</f>
        <v/>
      </c>
    </row>
    <row r="560" hidden="1" customHeight="1" spans="1:7">
      <c r="A560" s="352" t="s">
        <v>14844</v>
      </c>
      <c r="B560" s="352" t="str">
        <f>IF(A560="","",VLOOKUP(A560,Materiais_Base!A:D,2,"FALSO"))</f>
        <v>Amortecedor retrátil tipo TAU II combinado PCB ou similar para velocidade de projeto de 100 km/h e âncora traseira de 1.370 mm</v>
      </c>
      <c r="C560" s="353" t="str">
        <f>IF(A560="","",VLOOKUP(A560,Materiais_Base!A:D,3,"FALSO"))</f>
        <v>un</v>
      </c>
      <c r="D560" s="354" t="s">
        <v>932</v>
      </c>
      <c r="E560" s="355" t="str">
        <f t="shared" si="15"/>
        <v/>
      </c>
      <c r="F560" s="354"/>
      <c r="G560" s="345" t="str">
        <f>IF(D560="","",VLOOKUP(A560,Materiais_Base!A:D,4,"FALSO"))</f>
        <v/>
      </c>
    </row>
    <row r="561" hidden="1" customHeight="1" spans="1:7">
      <c r="A561" s="352" t="s">
        <v>14845</v>
      </c>
      <c r="B561" s="352" t="str">
        <f>IF(A561="","",VLOOKUP(A561,Materiais_Base!A:D,2,"FALSO"))</f>
        <v>Dispositivo de ancoragem de fixação elástica Pandrol - ombreira</v>
      </c>
      <c r="C561" s="353" t="str">
        <f>IF(A561="","",VLOOKUP(A561,Materiais_Base!A:D,3,"FALSO"))</f>
        <v>un</v>
      </c>
      <c r="D561" s="354" t="s">
        <v>932</v>
      </c>
      <c r="E561" s="355" t="str">
        <f t="shared" si="15"/>
        <v/>
      </c>
      <c r="F561" s="354"/>
      <c r="G561" s="345" t="str">
        <f>IF(D561="","",VLOOKUP(A561,Materiais_Base!A:D,4,"FALSO"))</f>
        <v/>
      </c>
    </row>
    <row r="562" hidden="1" customHeight="1" spans="1:7">
      <c r="A562" s="352" t="s">
        <v>14846</v>
      </c>
      <c r="B562" s="352" t="str">
        <f>IF(A562="","",VLOOKUP(A562,Materiais_Base!A:D,2,"FALSO"))</f>
        <v>Amortecedor retrátil tipo TAU II combinado PCB ou similar para velocidade de projeto de 100 km/h e âncora traseira de 1.520 mm</v>
      </c>
      <c r="C562" s="353" t="str">
        <f>IF(A562="","",VLOOKUP(A562,Materiais_Base!A:D,3,"FALSO"))</f>
        <v>un</v>
      </c>
      <c r="D562" s="354" t="s">
        <v>932</v>
      </c>
      <c r="E562" s="355" t="str">
        <f t="shared" si="15"/>
        <v/>
      </c>
      <c r="F562" s="354"/>
      <c r="G562" s="345" t="str">
        <f>IF(D562="","",VLOOKUP(A562,Materiais_Base!A:D,4,"FALSO"))</f>
        <v/>
      </c>
    </row>
    <row r="563" hidden="1" customHeight="1" spans="1:7">
      <c r="A563" s="352" t="s">
        <v>14847</v>
      </c>
      <c r="B563" s="352" t="str">
        <f>IF(A563="","",VLOOKUP(A563,Materiais_Base!A:D,2,"FALSO"))</f>
        <v>Amortecedor retrátil tipo TAU II afunilado PCB ou similar para velocidade de projeto de 100 km/h e âncora traseira de 1.680 mm</v>
      </c>
      <c r="C563" s="353" t="str">
        <f>IF(A563="","",VLOOKUP(A563,Materiais_Base!A:D,3,"FALSO"))</f>
        <v>un</v>
      </c>
      <c r="D563" s="354" t="s">
        <v>932</v>
      </c>
      <c r="E563" s="355" t="str">
        <f t="shared" si="15"/>
        <v/>
      </c>
      <c r="F563" s="354"/>
      <c r="G563" s="345" t="str">
        <f>IF(D563="","",VLOOKUP(A563,Materiais_Base!A:D,4,"FALSO"))</f>
        <v/>
      </c>
    </row>
    <row r="564" hidden="1" customHeight="1" spans="1:7">
      <c r="A564" s="352" t="s">
        <v>14848</v>
      </c>
      <c r="B564" s="352" t="str">
        <f>IF(A564="","",VLOOKUP(A564,Materiais_Base!A:D,2,"FALSO"))</f>
        <v>Amortecedor retrátil tipo TAU II afunilado PCB ou similar para velocidade de projeto de 100 km/h e âncora traseira de 1.830 mm</v>
      </c>
      <c r="C564" s="353" t="str">
        <f>IF(A564="","",VLOOKUP(A564,Materiais_Base!A:D,3,"FALSO"))</f>
        <v>un</v>
      </c>
      <c r="D564" s="354" t="s">
        <v>932</v>
      </c>
      <c r="E564" s="355" t="str">
        <f t="shared" si="15"/>
        <v/>
      </c>
      <c r="F564" s="354"/>
      <c r="G564" s="345" t="str">
        <f>IF(D564="","",VLOOKUP(A564,Materiais_Base!A:D,4,"FALSO"))</f>
        <v/>
      </c>
    </row>
    <row r="565" hidden="1" customHeight="1" spans="1:7">
      <c r="A565" s="352" t="s">
        <v>14849</v>
      </c>
      <c r="B565" s="352" t="str">
        <f>IF(A565="","",VLOOKUP(A565,Materiais_Base!A:D,2,"FALSO"))</f>
        <v>Placa de ancoragem para tirante de barra de aço - E = 32,0 mm e seção de 250 x 250 mm</v>
      </c>
      <c r="C565" s="353" t="str">
        <f>IF(A565="","",VLOOKUP(A565,Materiais_Base!A:D,3,"FALSO"))</f>
        <v>un</v>
      </c>
      <c r="D565" s="354" t="s">
        <v>932</v>
      </c>
      <c r="E565" s="355" t="str">
        <f t="shared" si="15"/>
        <v/>
      </c>
      <c r="F565" s="354"/>
      <c r="G565" s="345" t="str">
        <f>IF(D565="","",VLOOKUP(A565,Materiais_Base!A:D,4,"FALSO"))</f>
        <v/>
      </c>
    </row>
    <row r="566" hidden="1" customHeight="1" spans="1:7">
      <c r="A566" s="352" t="s">
        <v>14850</v>
      </c>
      <c r="B566" s="352" t="str">
        <f>IF(A566="","",VLOOKUP(A566,Materiais_Base!A:D,2,"FALSO"))</f>
        <v>Placa de ancoragem para tirante de barra de aço - E = 38,0 mm e seção de 250 x 250 mm</v>
      </c>
      <c r="C566" s="353" t="str">
        <f>IF(A566="","",VLOOKUP(A566,Materiais_Base!A:D,3,"FALSO"))</f>
        <v>un</v>
      </c>
      <c r="D566" s="354" t="s">
        <v>932</v>
      </c>
      <c r="E566" s="355" t="str">
        <f t="shared" si="15"/>
        <v/>
      </c>
      <c r="F566" s="354"/>
      <c r="G566" s="345" t="str">
        <f>IF(D566="","",VLOOKUP(A566,Materiais_Base!A:D,4,"FALSO"))</f>
        <v/>
      </c>
    </row>
    <row r="567" hidden="1" customHeight="1" spans="1:7">
      <c r="A567" s="352" t="s">
        <v>14851</v>
      </c>
      <c r="B567" s="352" t="str">
        <f>IF(A567="","",VLOOKUP(A567,Materiais_Base!A:D,2,"FALSO"))</f>
        <v>Placa de ancoragem para tirante de barra de aço - E = 51,0 mm e seção de 300 x 300 mm</v>
      </c>
      <c r="C567" s="353" t="str">
        <f>IF(A567="","",VLOOKUP(A567,Materiais_Base!A:D,3,"FALSO"))</f>
        <v>un</v>
      </c>
      <c r="D567" s="354" t="s">
        <v>932</v>
      </c>
      <c r="E567" s="355" t="str">
        <f t="shared" si="15"/>
        <v/>
      </c>
      <c r="F567" s="354"/>
      <c r="G567" s="345" t="str">
        <f>IF(D567="","",VLOOKUP(A567,Materiais_Base!A:D,4,"FALSO"))</f>
        <v/>
      </c>
    </row>
    <row r="568" hidden="1" customHeight="1" spans="1:7">
      <c r="A568" s="352" t="s">
        <v>14852</v>
      </c>
      <c r="B568" s="352" t="str">
        <f>IF(A568="","",VLOOKUP(A568,Materiais_Base!A:D,2,"FALSO"))</f>
        <v>Placa de ancoragem para tirante de barra de aço - E = 64,0 mm e seção de 350 x 350 mm</v>
      </c>
      <c r="C568" s="353" t="str">
        <f>IF(A568="","",VLOOKUP(A568,Materiais_Base!A:D,3,"FALSO"))</f>
        <v>un</v>
      </c>
      <c r="D568" s="354" t="s">
        <v>932</v>
      </c>
      <c r="E568" s="355" t="str">
        <f t="shared" si="15"/>
        <v/>
      </c>
      <c r="F568" s="354"/>
      <c r="G568" s="345" t="str">
        <f>IF(D568="","",VLOOKUP(A568,Materiais_Base!A:D,4,"FALSO"))</f>
        <v/>
      </c>
    </row>
    <row r="569" hidden="1" customHeight="1" spans="1:7">
      <c r="A569" s="352" t="s">
        <v>14853</v>
      </c>
      <c r="B569" s="352" t="str">
        <f>IF(A569="","",VLOOKUP(A569,Materiais_Base!A:D,2,"FALSO"))</f>
        <v>Placa de ancoragem para tirante com 6 cordoalhas de D = 12,7 mm</v>
      </c>
      <c r="C569" s="353" t="str">
        <f>IF(A569="","",VLOOKUP(A569,Materiais_Base!A:D,3,"FALSO"))</f>
        <v>un</v>
      </c>
      <c r="D569" s="354" t="s">
        <v>932</v>
      </c>
      <c r="E569" s="355" t="str">
        <f t="shared" si="15"/>
        <v/>
      </c>
      <c r="F569" s="354"/>
      <c r="G569" s="345" t="str">
        <f>IF(D569="","",VLOOKUP(A569,Materiais_Base!A:D,4,"FALSO"))</f>
        <v/>
      </c>
    </row>
    <row r="570" hidden="1" customHeight="1" spans="1:7">
      <c r="A570" s="352" t="s">
        <v>14854</v>
      </c>
      <c r="B570" s="352" t="str">
        <f>IF(A570="","",VLOOKUP(A570,Materiais_Base!A:D,2,"FALSO"))</f>
        <v>Placa de ancoragem para tirante com 8 cordoalhas de D = 12,7 mm</v>
      </c>
      <c r="C570" s="353" t="str">
        <f>IF(A570="","",VLOOKUP(A570,Materiais_Base!A:D,3,"FALSO"))</f>
        <v>un</v>
      </c>
      <c r="D570" s="354" t="s">
        <v>932</v>
      </c>
      <c r="E570" s="355" t="str">
        <f t="shared" si="15"/>
        <v/>
      </c>
      <c r="F570" s="354"/>
      <c r="G570" s="345" t="str">
        <f>IF(D570="","",VLOOKUP(A570,Materiais_Base!A:D,4,"FALSO"))</f>
        <v/>
      </c>
    </row>
    <row r="571" hidden="1" customHeight="1" spans="1:7">
      <c r="A571" s="352" t="s">
        <v>14855</v>
      </c>
      <c r="B571" s="352" t="str">
        <f>IF(A571="","",VLOOKUP(A571,Materiais_Base!A:D,2,"FALSO"))</f>
        <v>Placa de ancoragem para tirante com 10 cordoalhas de D = 12,7 mm</v>
      </c>
      <c r="C571" s="353" t="str">
        <f>IF(A571="","",VLOOKUP(A571,Materiais_Base!A:D,3,"FALSO"))</f>
        <v>un</v>
      </c>
      <c r="D571" s="354" t="s">
        <v>932</v>
      </c>
      <c r="E571" s="355" t="str">
        <f t="shared" si="15"/>
        <v/>
      </c>
      <c r="F571" s="354"/>
      <c r="G571" s="345" t="str">
        <f>IF(D571="","",VLOOKUP(A571,Materiais_Base!A:D,4,"FALSO"))</f>
        <v/>
      </c>
    </row>
    <row r="572" hidden="1" customHeight="1" spans="1:7">
      <c r="A572" s="352" t="s">
        <v>14856</v>
      </c>
      <c r="B572" s="352" t="str">
        <f>IF(A572="","",VLOOKUP(A572,Materiais_Base!A:D,2,"FALSO"))</f>
        <v>Placa de ancoragem para tirante com 12 cordoalhas de D = 12,7 mm</v>
      </c>
      <c r="C572" s="353" t="str">
        <f>IF(A572="","",VLOOKUP(A572,Materiais_Base!A:D,3,"FALSO"))</f>
        <v>un</v>
      </c>
      <c r="D572" s="354" t="s">
        <v>932</v>
      </c>
      <c r="E572" s="355" t="str">
        <f t="shared" si="15"/>
        <v/>
      </c>
      <c r="F572" s="354"/>
      <c r="G572" s="345" t="str">
        <f>IF(D572="","",VLOOKUP(A572,Materiais_Base!A:D,4,"FALSO"))</f>
        <v/>
      </c>
    </row>
    <row r="573" hidden="1" customHeight="1" spans="1:7">
      <c r="A573" s="352" t="s">
        <v>14857</v>
      </c>
      <c r="B573" s="352" t="str">
        <f>IF(A573="","",VLOOKUP(A573,Materiais_Base!A:D,2,"FALSO"))</f>
        <v>Mourão de madeira - H = 2,20 m e D = 0,10 m</v>
      </c>
      <c r="C573" s="353" t="str">
        <f>IF(A573="","",VLOOKUP(A573,Materiais_Base!A:D,3,"FALSO"))</f>
        <v>un</v>
      </c>
      <c r="D573" s="354" t="s">
        <v>932</v>
      </c>
      <c r="E573" s="355" t="str">
        <f t="shared" si="15"/>
        <v/>
      </c>
      <c r="F573" s="354"/>
      <c r="G573" s="345" t="str">
        <f>IF(D573="","",VLOOKUP(A573,Materiais_Base!A:D,4,"FALSO"))</f>
        <v/>
      </c>
    </row>
    <row r="574" hidden="1" customHeight="1" spans="1:7">
      <c r="A574" s="352" t="s">
        <v>14858</v>
      </c>
      <c r="B574" s="352" t="str">
        <f>IF(A574="","",VLOOKUP(A574,Materiais_Base!A:D,2,"FALSO"))</f>
        <v>Amortecedor retrátil tipo TAU II afunilado PCB ou similar para velocidade de projeto de 100 km/h e âncora traseira de 1.980 mm</v>
      </c>
      <c r="C574" s="353" t="str">
        <f>IF(A574="","",VLOOKUP(A574,Materiais_Base!A:D,3,"FALSO"))</f>
        <v>un</v>
      </c>
      <c r="D574" s="354" t="s">
        <v>932</v>
      </c>
      <c r="E574" s="355" t="str">
        <f t="shared" si="15"/>
        <v/>
      </c>
      <c r="F574" s="354"/>
      <c r="G574" s="345" t="str">
        <f>IF(D574="","",VLOOKUP(A574,Materiais_Base!A:D,4,"FALSO"))</f>
        <v/>
      </c>
    </row>
    <row r="575" hidden="1" customHeight="1" spans="1:7">
      <c r="A575" s="352" t="s">
        <v>14859</v>
      </c>
      <c r="B575" s="352" t="str">
        <f>IF(A575="","",VLOOKUP(A575,Materiais_Base!A:D,2,"FALSO"))</f>
        <v>Porca em aço para ancoragem de tirantes - D = 38 mm e C = 55 mm</v>
      </c>
      <c r="C575" s="353" t="str">
        <f>IF(A575="","",VLOOKUP(A575,Materiais_Base!A:D,3,"FALSO"))</f>
        <v>un</v>
      </c>
      <c r="D575" s="354" t="s">
        <v>932</v>
      </c>
      <c r="E575" s="355" t="str">
        <f t="shared" si="15"/>
        <v/>
      </c>
      <c r="F575" s="354"/>
      <c r="G575" s="345" t="str">
        <f>IF(D575="","",VLOOKUP(A575,Materiais_Base!A:D,4,"FALSO"))</f>
        <v/>
      </c>
    </row>
    <row r="576" customHeight="1" spans="1:7">
      <c r="A576" s="352" t="s">
        <v>14860</v>
      </c>
      <c r="B576" s="352" t="str">
        <f>IF(A576="","",VLOOKUP(A576,Materiais_Base!A:D,2,"FALSO"))</f>
        <v>Gastalho - L = 10 cm e E = 2 cm</v>
      </c>
      <c r="C576" s="353" t="str">
        <f>IF(A576="","",VLOOKUP(A576,Materiais_Base!A:D,3,"FALSO"))</f>
        <v>m</v>
      </c>
      <c r="D576" s="354">
        <v>3.26</v>
      </c>
      <c r="E576" s="355">
        <f t="shared" si="15"/>
        <v>3.26</v>
      </c>
      <c r="F576" s="354"/>
      <c r="G576" s="345">
        <f>IF(D576="","",VLOOKUP(A576,Materiais_Base!A:D,4,"FALSO"))</f>
        <v>3.26</v>
      </c>
    </row>
    <row r="577" hidden="1" customHeight="1" spans="1:7">
      <c r="A577" s="352" t="s">
        <v>14861</v>
      </c>
      <c r="B577" s="352" t="str">
        <f>IF(A577="","",VLOOKUP(A577,Materiais_Base!A:D,2,"FALSO"))</f>
        <v>Porca em aço para ancoragem de tirantes - D = 38 mm e C = 60 mm</v>
      </c>
      <c r="C577" s="353" t="str">
        <f>IF(A577="","",VLOOKUP(A577,Materiais_Base!A:D,3,"FALSO"))</f>
        <v>un</v>
      </c>
      <c r="D577" s="354" t="s">
        <v>932</v>
      </c>
      <c r="E577" s="355" t="str">
        <f t="shared" si="15"/>
        <v/>
      </c>
      <c r="F577" s="354"/>
      <c r="G577" s="345" t="str">
        <f>IF(D577="","",VLOOKUP(A577,Materiais_Base!A:D,4,"FALSO"))</f>
        <v/>
      </c>
    </row>
    <row r="578" hidden="1" customHeight="1" spans="1:7">
      <c r="A578" s="352" t="s">
        <v>14862</v>
      </c>
      <c r="B578" s="352" t="str">
        <f>IF(A578="","",VLOOKUP(A578,Materiais_Base!A:D,2,"FALSO"))</f>
        <v>Porca em aço para ancoragem de tirantes - D = 48 mm e C = 65 mm</v>
      </c>
      <c r="C578" s="353" t="str">
        <f>IF(A578="","",VLOOKUP(A578,Materiais_Base!A:D,3,"FALSO"))</f>
        <v>un</v>
      </c>
      <c r="D578" s="354" t="s">
        <v>932</v>
      </c>
      <c r="E578" s="355" t="str">
        <f t="shared" si="15"/>
        <v/>
      </c>
      <c r="F578" s="354"/>
      <c r="G578" s="345" t="str">
        <f>IF(D578="","",VLOOKUP(A578,Materiais_Base!A:D,4,"FALSO"))</f>
        <v/>
      </c>
    </row>
    <row r="579" hidden="1" customHeight="1" spans="1:7">
      <c r="A579" s="352" t="s">
        <v>14863</v>
      </c>
      <c r="B579" s="352" t="str">
        <f>IF(A579="","",VLOOKUP(A579,Materiais_Base!A:D,2,"FALSO"))</f>
        <v>Amortecedor retrátil tipo TAU II afunilado PCB ou similar para velocidade de projeto de 100 km/h e âncora traseira de 2.130 mm</v>
      </c>
      <c r="C579" s="353" t="str">
        <f>IF(A579="","",VLOOKUP(A579,Materiais_Base!A:D,3,"FALSO"))</f>
        <v>un</v>
      </c>
      <c r="D579" s="354" t="s">
        <v>932</v>
      </c>
      <c r="E579" s="355" t="str">
        <f t="shared" si="15"/>
        <v/>
      </c>
      <c r="F579" s="354"/>
      <c r="G579" s="345" t="str">
        <f>IF(D579="","",VLOOKUP(A579,Materiais_Base!A:D,4,"FALSO"))</f>
        <v/>
      </c>
    </row>
    <row r="580" hidden="1" customHeight="1" spans="1:7">
      <c r="A580" s="352" t="s">
        <v>14864</v>
      </c>
      <c r="B580" s="352" t="str">
        <f>IF(A580="","",VLOOKUP(A580,Materiais_Base!A:D,2,"FALSO"))</f>
        <v>Cordel detonante NP 10</v>
      </c>
      <c r="C580" s="353" t="str">
        <f>IF(A580="","",VLOOKUP(A580,Materiais_Base!A:D,3,"FALSO"))</f>
        <v>m</v>
      </c>
      <c r="D580" s="354" t="s">
        <v>932</v>
      </c>
      <c r="E580" s="355" t="str">
        <f t="shared" si="15"/>
        <v/>
      </c>
      <c r="F580" s="354"/>
      <c r="G580" s="345" t="str">
        <f>IF(D580="","",VLOOKUP(A580,Materiais_Base!A:D,4,"FALSO"))</f>
        <v/>
      </c>
    </row>
    <row r="581" hidden="1" customHeight="1" spans="1:7">
      <c r="A581" s="352" t="s">
        <v>14865</v>
      </c>
      <c r="B581" s="352" t="str">
        <f>IF(A581="","",VLOOKUP(A581,Materiais_Base!A:D,2,"FALSO"))</f>
        <v>Retardo de cordel</v>
      </c>
      <c r="C581" s="353" t="str">
        <f>IF(A581="","",VLOOKUP(A581,Materiais_Base!A:D,3,"FALSO"))</f>
        <v>un</v>
      </c>
      <c r="D581" s="354" t="s">
        <v>932</v>
      </c>
      <c r="E581" s="355" t="str">
        <f t="shared" si="15"/>
        <v/>
      </c>
      <c r="F581" s="354"/>
      <c r="G581" s="345" t="str">
        <f>IF(D581="","",VLOOKUP(A581,Materiais_Base!A:D,4,"FALSO"))</f>
        <v/>
      </c>
    </row>
    <row r="582" hidden="1" customHeight="1" spans="1:7">
      <c r="A582" s="352" t="s">
        <v>14866</v>
      </c>
      <c r="B582" s="352" t="str">
        <f>IF(A582="","",VLOOKUP(A582,Materiais_Base!A:D,2,"FALSO"))</f>
        <v>Estopim</v>
      </c>
      <c r="C582" s="353" t="str">
        <f>IF(A582="","",VLOOKUP(A582,Materiais_Base!A:D,3,"FALSO"))</f>
        <v>m</v>
      </c>
      <c r="D582" s="354" t="s">
        <v>932</v>
      </c>
      <c r="E582" s="355" t="str">
        <f t="shared" si="15"/>
        <v/>
      </c>
      <c r="F582" s="354"/>
      <c r="G582" s="345" t="str">
        <f>IF(D582="","",VLOOKUP(A582,Materiais_Base!A:D,4,"FALSO"))</f>
        <v/>
      </c>
    </row>
    <row r="583" hidden="1" customHeight="1" spans="1:7">
      <c r="A583" s="352" t="s">
        <v>14867</v>
      </c>
      <c r="B583" s="352" t="str">
        <f>IF(A583="","",VLOOKUP(A583,Materiais_Base!A:D,2,"FALSO"))</f>
        <v>Tinta à base de resina acrílica estirenada para demarcação viária</v>
      </c>
      <c r="C583" s="353" t="str">
        <f>IF(A583="","",VLOOKUP(A583,Materiais_Base!A:D,3,"FALSO"))</f>
        <v>l</v>
      </c>
      <c r="D583" s="354" t="s">
        <v>932</v>
      </c>
      <c r="E583" s="355" t="str">
        <f t="shared" si="15"/>
        <v/>
      </c>
      <c r="F583" s="354"/>
      <c r="G583" s="345" t="str">
        <f>IF(D583="","",VLOOKUP(A583,Materiais_Base!A:D,4,"FALSO"))</f>
        <v/>
      </c>
    </row>
    <row r="584" hidden="1" customHeight="1" spans="1:7">
      <c r="A584" s="352" t="s">
        <v>14868</v>
      </c>
      <c r="B584" s="352" t="str">
        <f>IF(A584="","",VLOOKUP(A584,Materiais_Base!A:D,2,"FALSO"))</f>
        <v>Coroa de botões cônicos - TCI tricone - D = 75 mm (2 15/16")</v>
      </c>
      <c r="C584" s="353" t="str">
        <f>IF(A584="","",VLOOKUP(A584,Materiais_Base!A:D,3,"FALSO"))</f>
        <v>un</v>
      </c>
      <c r="D584" s="354" t="s">
        <v>932</v>
      </c>
      <c r="E584" s="355" t="str">
        <f t="shared" si="15"/>
        <v/>
      </c>
      <c r="F584" s="354"/>
      <c r="G584" s="345" t="str">
        <f>IF(D584="","",VLOOKUP(A584,Materiais_Base!A:D,4,"FALSO"))</f>
        <v/>
      </c>
    </row>
    <row r="585" hidden="1" customHeight="1" spans="1:7">
      <c r="A585" s="352" t="s">
        <v>14869</v>
      </c>
      <c r="B585" s="352" t="str">
        <f>IF(A585="","",VLOOKUP(A585,Materiais_Base!A:D,2,"FALSO"))</f>
        <v>Porca em aço para ancoragem de tirantes - D = 60 mm e C = 65 mm</v>
      </c>
      <c r="C585" s="353" t="str">
        <f>IF(A585="","",VLOOKUP(A585,Materiais_Base!A:D,3,"FALSO"))</f>
        <v>un</v>
      </c>
      <c r="D585" s="354" t="s">
        <v>932</v>
      </c>
      <c r="E585" s="355" t="str">
        <f t="shared" si="15"/>
        <v/>
      </c>
      <c r="F585" s="354"/>
      <c r="G585" s="345" t="str">
        <f>IF(D585="","",VLOOKUP(A585,Materiais_Base!A:D,4,"FALSO"))</f>
        <v/>
      </c>
    </row>
    <row r="586" hidden="1" customHeight="1" spans="1:7">
      <c r="A586" s="352" t="s">
        <v>14870</v>
      </c>
      <c r="B586" s="352" t="str">
        <f>IF(A586="","",VLOOKUP(A586,Materiais_Base!A:D,2,"FALSO"))</f>
        <v>Porca em aço para ancoragem de tirantes - D = 73 mm e C = 80 mm</v>
      </c>
      <c r="C586" s="353" t="str">
        <f>IF(A586="","",VLOOKUP(A586,Materiais_Base!A:D,3,"FALSO"))</f>
        <v>un</v>
      </c>
      <c r="D586" s="354" t="s">
        <v>932</v>
      </c>
      <c r="E586" s="355" t="str">
        <f t="shared" si="15"/>
        <v/>
      </c>
      <c r="F586" s="354"/>
      <c r="G586" s="345" t="str">
        <f>IF(D586="","",VLOOKUP(A586,Materiais_Base!A:D,4,"FALSO"))</f>
        <v/>
      </c>
    </row>
    <row r="587" hidden="1" customHeight="1" spans="1:7">
      <c r="A587" s="352" t="s">
        <v>14871</v>
      </c>
      <c r="B587" s="352" t="str">
        <f>IF(A587="","",VLOOKUP(A587,Materiais_Base!A:D,2,"FALSO"))</f>
        <v>Porca em aço para ancoragem de tirantes - D = 73 mm e C = 100 mm</v>
      </c>
      <c r="C587" s="353" t="str">
        <f>IF(A587="","",VLOOKUP(A587,Materiais_Base!A:D,3,"FALSO"))</f>
        <v>un</v>
      </c>
      <c r="D587" s="354" t="s">
        <v>932</v>
      </c>
      <c r="E587" s="355" t="str">
        <f t="shared" si="15"/>
        <v/>
      </c>
      <c r="F587" s="354"/>
      <c r="G587" s="345" t="str">
        <f>IF(D587="","",VLOOKUP(A587,Materiais_Base!A:D,4,"FALSO"))</f>
        <v/>
      </c>
    </row>
    <row r="588" hidden="1" customHeight="1" spans="1:7">
      <c r="A588" s="352" t="s">
        <v>14872</v>
      </c>
      <c r="B588" s="352" t="str">
        <f>IF(A588="","",VLOOKUP(A588,Materiais_Base!A:D,2,"FALSO"))</f>
        <v>Porca em aço para ancoragem de tirantes - D = 82 mm e C = 100 mm</v>
      </c>
      <c r="C588" s="353" t="str">
        <f>IF(A588="","",VLOOKUP(A588,Materiais_Base!A:D,3,"FALSO"))</f>
        <v>un</v>
      </c>
      <c r="D588" s="354" t="s">
        <v>932</v>
      </c>
      <c r="E588" s="355" t="str">
        <f t="shared" si="15"/>
        <v/>
      </c>
      <c r="F588" s="354"/>
      <c r="G588" s="345" t="str">
        <f>IF(D588="","",VLOOKUP(A588,Materiais_Base!A:D,4,"FALSO"))</f>
        <v/>
      </c>
    </row>
    <row r="589" hidden="1" customHeight="1" spans="1:7">
      <c r="A589" s="352" t="s">
        <v>14873</v>
      </c>
      <c r="B589" s="352" t="str">
        <f>IF(A589="","",VLOOKUP(A589,Materiais_Base!A:D,2,"FALSO"))</f>
        <v>Porca em aço para ancoragem de tirantes - D = 89 mm e C = 100 mm</v>
      </c>
      <c r="C589" s="353" t="str">
        <f>IF(A589="","",VLOOKUP(A589,Materiais_Base!A:D,3,"FALSO"))</f>
        <v>un</v>
      </c>
      <c r="D589" s="354" t="s">
        <v>932</v>
      </c>
      <c r="E589" s="355" t="str">
        <f t="shared" si="15"/>
        <v/>
      </c>
      <c r="F589" s="354"/>
      <c r="G589" s="345" t="str">
        <f>IF(D589="","",VLOOKUP(A589,Materiais_Base!A:D,4,"FALSO"))</f>
        <v/>
      </c>
    </row>
    <row r="590" hidden="1" customHeight="1" spans="1:7">
      <c r="A590" s="352" t="s">
        <v>14874</v>
      </c>
      <c r="B590" s="352" t="str">
        <f>IF(A590="","",VLOOKUP(A590,Materiais_Base!A:D,2,"FALSO"))</f>
        <v>Solvente para tinta à base de resina acrílica</v>
      </c>
      <c r="C590" s="353" t="str">
        <f>IF(A590="","",VLOOKUP(A590,Materiais_Base!A:D,3,"FALSO"))</f>
        <v>l</v>
      </c>
      <c r="D590" s="354" t="s">
        <v>932</v>
      </c>
      <c r="E590" s="355" t="str">
        <f t="shared" si="15"/>
        <v/>
      </c>
      <c r="F590" s="354"/>
      <c r="G590" s="345" t="str">
        <f>IF(D590="","",VLOOKUP(A590,Materiais_Base!A:D,4,"FALSO"))</f>
        <v/>
      </c>
    </row>
    <row r="591" hidden="1" customHeight="1" spans="1:7">
      <c r="A591" s="352" t="s">
        <v>14875</v>
      </c>
      <c r="B591" s="352" t="str">
        <f>IF(A591="","",VLOOKUP(A591,Materiais_Base!A:D,2,"FALSO"))</f>
        <v>Porca em aço para ancoragem de tirantes - D = 97 mm e C = 110 mm</v>
      </c>
      <c r="C591" s="353" t="str">
        <f>IF(A591="","",VLOOKUP(A591,Materiais_Base!A:D,3,"FALSO"))</f>
        <v>un</v>
      </c>
      <c r="D591" s="354" t="s">
        <v>932</v>
      </c>
      <c r="E591" s="355" t="str">
        <f t="shared" si="15"/>
        <v/>
      </c>
      <c r="F591" s="354"/>
      <c r="G591" s="345" t="str">
        <f>IF(D591="","",VLOOKUP(A591,Materiais_Base!A:D,4,"FALSO"))</f>
        <v/>
      </c>
    </row>
    <row r="592" customHeight="1" spans="1:7">
      <c r="A592" s="352" t="s">
        <v>14273</v>
      </c>
      <c r="B592" s="352" t="str">
        <f>IF(A592="","",VLOOKUP(A592,Materiais_Base!A:D,2,"FALSO"))</f>
        <v>Tinta à base de resina acrílica emulsionada em água para demarcação viária</v>
      </c>
      <c r="C592" s="353" t="str">
        <f>IF(A592="","",VLOOKUP(A592,Materiais_Base!A:D,3,"FALSO"))</f>
        <v>l</v>
      </c>
      <c r="D592" s="354">
        <v>21.2858</v>
      </c>
      <c r="E592" s="355">
        <f t="shared" si="15"/>
        <v>21.2858</v>
      </c>
      <c r="F592" s="354"/>
      <c r="G592" s="345">
        <f>IF(D592="","",VLOOKUP(A592,Materiais_Base!A:D,4,"FALSO"))</f>
        <v>21.2858</v>
      </c>
    </row>
    <row r="593" customHeight="1" spans="1:7">
      <c r="A593" s="352" t="s">
        <v>14269</v>
      </c>
      <c r="B593" s="352" t="str">
        <f>IF(A593="","",VLOOKUP(A593,Materiais_Base!A:D,2,"FALSO"))</f>
        <v>Microesferas refletivas de vidro tipo I-B</v>
      </c>
      <c r="C593" s="353" t="str">
        <f>IF(A593="","",VLOOKUP(A593,Materiais_Base!A:D,3,"FALSO"))</f>
        <v>kg</v>
      </c>
      <c r="D593" s="354">
        <v>9.3275</v>
      </c>
      <c r="E593" s="355">
        <f t="shared" si="15"/>
        <v>9.3275</v>
      </c>
      <c r="F593" s="354"/>
      <c r="G593" s="345">
        <f>IF(D593="","",VLOOKUP(A593,Materiais_Base!A:D,4,"FALSO"))</f>
        <v>9.3275</v>
      </c>
    </row>
    <row r="594" customHeight="1" spans="1:7">
      <c r="A594" s="352" t="s">
        <v>14271</v>
      </c>
      <c r="B594" s="352" t="str">
        <f>IF(A594="","",VLOOKUP(A594,Materiais_Base!A:D,2,"FALSO"))</f>
        <v>Microesferas refletivas de vidro tipo II-A</v>
      </c>
      <c r="C594" s="353" t="str">
        <f>IF(A594="","",VLOOKUP(A594,Materiais_Base!A:D,3,"FALSO"))</f>
        <v>kg</v>
      </c>
      <c r="D594" s="354">
        <v>8.999</v>
      </c>
      <c r="E594" s="355">
        <f t="shared" si="15"/>
        <v>8.999</v>
      </c>
      <c r="F594" s="354"/>
      <c r="G594" s="345">
        <f>IF(D594="","",VLOOKUP(A594,Materiais_Base!A:D,4,"FALSO"))</f>
        <v>8.999</v>
      </c>
    </row>
    <row r="595" hidden="1" customHeight="1" spans="1:7">
      <c r="A595" s="352" t="s">
        <v>14876</v>
      </c>
      <c r="B595" s="352" t="str">
        <f>IF(A595="","",VLOOKUP(A595,Materiais_Base!A:D,2,"FALSO"))</f>
        <v>Massa termoplástica para aspersão</v>
      </c>
      <c r="C595" s="353" t="str">
        <f>IF(A595="","",VLOOKUP(A595,Materiais_Base!A:D,3,"FALSO"))</f>
        <v>kg</v>
      </c>
      <c r="D595" s="354" t="s">
        <v>932</v>
      </c>
      <c r="E595" s="355" t="str">
        <f t="shared" si="15"/>
        <v/>
      </c>
      <c r="F595" s="354"/>
      <c r="G595" s="345" t="str">
        <f>IF(D595="","",VLOOKUP(A595,Materiais_Base!A:D,4,"FALSO"))</f>
        <v/>
      </c>
    </row>
    <row r="596" hidden="1" customHeight="1" spans="1:7">
      <c r="A596" s="352" t="s">
        <v>14877</v>
      </c>
      <c r="B596" s="352" t="str">
        <f>IF(A596="","",VLOOKUP(A596,Materiais_Base!A:D,2,"FALSO"))</f>
        <v>Adesivo à base de resina poliéster</v>
      </c>
      <c r="C596" s="353" t="str">
        <f>IF(A596="","",VLOOKUP(A596,Materiais_Base!A:D,3,"FALSO"))</f>
        <v>kg</v>
      </c>
      <c r="D596" s="354" t="s">
        <v>932</v>
      </c>
      <c r="E596" s="355" t="str">
        <f t="shared" si="15"/>
        <v/>
      </c>
      <c r="F596" s="354"/>
      <c r="G596" s="345" t="str">
        <f>IF(D596="","",VLOOKUP(A596,Materiais_Base!A:D,4,"FALSO"))</f>
        <v/>
      </c>
    </row>
    <row r="597" customHeight="1" spans="1:7">
      <c r="A597" s="352" t="s">
        <v>14878</v>
      </c>
      <c r="B597" s="352" t="str">
        <f>IF(A597="","",VLOOKUP(A597,Materiais_Base!A:D,2,"FALSO"))</f>
        <v>Emulsão explosiva encartuchada</v>
      </c>
      <c r="C597" s="353" t="str">
        <f>IF(A597="","",VLOOKUP(A597,Materiais_Base!A:D,3,"FALSO"))</f>
        <v>kg</v>
      </c>
      <c r="D597" s="354">
        <v>15.778</v>
      </c>
      <c r="E597" s="355">
        <f t="shared" si="15"/>
        <v>15.778</v>
      </c>
      <c r="F597" s="354"/>
      <c r="G597" s="345">
        <f>IF(D597="","",VLOOKUP(A597,Materiais_Base!A:D,4,"FALSO"))</f>
        <v>15.778</v>
      </c>
    </row>
    <row r="598" customHeight="1" spans="1:7">
      <c r="A598" s="352" t="s">
        <v>14275</v>
      </c>
      <c r="B598" s="352" t="str">
        <f>IF(A598="","",VLOOKUP(A598,Materiais_Base!A:D,2,"FALSO"))</f>
        <v>Tinta à base de resina acrílica emulsionada em água para pré-marcação viária</v>
      </c>
      <c r="C598" s="353" t="str">
        <f>IF(A598="","",VLOOKUP(A598,Materiais_Base!A:D,3,"FALSO"))</f>
        <v>l</v>
      </c>
      <c r="D598" s="354">
        <v>21.2858</v>
      </c>
      <c r="E598" s="355">
        <f t="shared" si="15"/>
        <v>21.2858</v>
      </c>
      <c r="F598" s="354"/>
      <c r="G598" s="345">
        <f>IF(D598="","",VLOOKUP(A598,Materiais_Base!A:D,4,"FALSO"))</f>
        <v>21.2858</v>
      </c>
    </row>
    <row r="599" hidden="1" customHeight="1" spans="1:7">
      <c r="A599" s="352" t="s">
        <v>14879</v>
      </c>
      <c r="B599" s="352" t="str">
        <f>IF(A599="","",VLOOKUP(A599,Materiais_Base!A:D,2,"FALSO"))</f>
        <v>Microesferas refletivas de vidro tipo II-C</v>
      </c>
      <c r="C599" s="353" t="str">
        <f>IF(A599="","",VLOOKUP(A599,Materiais_Base!A:D,3,"FALSO"))</f>
        <v>kg</v>
      </c>
      <c r="D599" s="354" t="s">
        <v>932</v>
      </c>
      <c r="E599" s="355" t="str">
        <f t="shared" si="15"/>
        <v/>
      </c>
      <c r="F599" s="354"/>
      <c r="G599" s="345" t="str">
        <f>IF(D599="","",VLOOKUP(A599,Materiais_Base!A:D,4,"FALSO"))</f>
        <v/>
      </c>
    </row>
    <row r="600" hidden="1" customHeight="1" spans="1:7">
      <c r="A600" s="352" t="s">
        <v>14880</v>
      </c>
      <c r="B600" s="352" t="str">
        <f>IF(A600="","",VLOOKUP(A600,Materiais_Base!A:D,2,"FALSO"))</f>
        <v>Coroa de botões cônicos - TCI tricone - D = 121 mm (4 3/4")</v>
      </c>
      <c r="C600" s="353" t="str">
        <f>IF(A600="","",VLOOKUP(A600,Materiais_Base!A:D,3,"FALSO"))</f>
        <v>un</v>
      </c>
      <c r="D600" s="354" t="s">
        <v>932</v>
      </c>
      <c r="E600" s="355" t="str">
        <f t="shared" si="15"/>
        <v/>
      </c>
      <c r="F600" s="354"/>
      <c r="G600" s="345" t="str">
        <f>IF(D600="","",VLOOKUP(A600,Materiais_Base!A:D,4,"FALSO"))</f>
        <v/>
      </c>
    </row>
    <row r="601" hidden="1" customHeight="1" spans="1:7">
      <c r="A601" s="352" t="s">
        <v>14881</v>
      </c>
      <c r="B601" s="352" t="str">
        <f>IF(A601="","",VLOOKUP(A601,Materiais_Base!A:D,2,"FALSO"))</f>
        <v>Tirante autoinjetável de aço - tensão de escoamento = 440 MPa, tensão de ruptura = 580 MPa, seção de 684 mm² e D = 40 mm</v>
      </c>
      <c r="C601" s="353" t="str">
        <f>IF(A601="","",VLOOKUP(A601,Materiais_Base!A:D,3,"FALSO"))</f>
        <v>m</v>
      </c>
      <c r="D601" s="354" t="s">
        <v>932</v>
      </c>
      <c r="E601" s="355" t="str">
        <f t="shared" ref="E601:E664" si="16">IF(D601="","",MIN(D601,F601))</f>
        <v/>
      </c>
      <c r="F601" s="354"/>
      <c r="G601" s="345" t="str">
        <f>IF(D601="","",VLOOKUP(A601,Materiais_Base!A:D,4,"FALSO"))</f>
        <v/>
      </c>
    </row>
    <row r="602" hidden="1" customHeight="1" spans="1:7">
      <c r="A602" s="352" t="s">
        <v>14882</v>
      </c>
      <c r="B602" s="352" t="str">
        <f>IF(A602="","",VLOOKUP(A602,Materiais_Base!A:D,2,"FALSO"))</f>
        <v>Tirante autoinjetável de aço - tensão de escoamento = 470 MPa, tensão de ruptura = 600 MPa, seção de 822 mm² e D = 40 mm</v>
      </c>
      <c r="C602" s="353" t="str">
        <f>IF(A602="","",VLOOKUP(A602,Materiais_Base!A:D,3,"FALSO"))</f>
        <v>m</v>
      </c>
      <c r="D602" s="354" t="s">
        <v>932</v>
      </c>
      <c r="E602" s="355" t="str">
        <f t="shared" si="16"/>
        <v/>
      </c>
      <c r="F602" s="354"/>
      <c r="G602" s="345" t="str">
        <f>IF(D602="","",VLOOKUP(A602,Materiais_Base!A:D,4,"FALSO"))</f>
        <v/>
      </c>
    </row>
    <row r="603" hidden="1" customHeight="1" spans="1:7">
      <c r="A603" s="352" t="s">
        <v>14883</v>
      </c>
      <c r="B603" s="352" t="str">
        <f>IF(A603="","",VLOOKUP(A603,Materiais_Base!A:D,2,"FALSO"))</f>
        <v>Tirante autoinjetável de aço - tensão de escoamento = 700 MPa, tensão de ruptura = 830 MPa, seção de 936 mm² e D = 40 mm</v>
      </c>
      <c r="C603" s="353" t="str">
        <f>IF(A603="","",VLOOKUP(A603,Materiais_Base!A:D,3,"FALSO"))</f>
        <v>m</v>
      </c>
      <c r="D603" s="354" t="s">
        <v>932</v>
      </c>
      <c r="E603" s="355" t="str">
        <f t="shared" si="16"/>
        <v/>
      </c>
      <c r="F603" s="354"/>
      <c r="G603" s="345" t="str">
        <f>IF(D603="","",VLOOKUP(A603,Materiais_Base!A:D,4,"FALSO"))</f>
        <v/>
      </c>
    </row>
    <row r="604" hidden="1" customHeight="1" spans="1:7">
      <c r="A604" s="352" t="s">
        <v>14884</v>
      </c>
      <c r="B604" s="352" t="str">
        <f>IF(A604="","",VLOOKUP(A604,Materiais_Base!A:D,2,"FALSO"))</f>
        <v>Geotêxtil não-tecido agulhado em poliéster - resistência à tração longitudinal de 9 kN/m</v>
      </c>
      <c r="C604" s="353" t="str">
        <f>IF(A604="","",VLOOKUP(A604,Materiais_Base!A:D,3,"FALSO"))</f>
        <v>m²</v>
      </c>
      <c r="D604" s="354" t="s">
        <v>932</v>
      </c>
      <c r="E604" s="355" t="str">
        <f t="shared" si="16"/>
        <v/>
      </c>
      <c r="F604" s="354"/>
      <c r="G604" s="345" t="str">
        <f>IF(D604="","",VLOOKUP(A604,Materiais_Base!A:D,4,"FALSO"))</f>
        <v/>
      </c>
    </row>
    <row r="605" hidden="1" customHeight="1" spans="1:7">
      <c r="A605" s="352" t="s">
        <v>14885</v>
      </c>
      <c r="B605" s="352" t="str">
        <f>IF(A605="","",VLOOKUP(A605,Materiais_Base!A:D,2,"FALSO"))</f>
        <v>Geotêxtil não-tecido agulhado em poliéster - resistência à tração longitudinal de 14 kN/m</v>
      </c>
      <c r="C605" s="353" t="str">
        <f>IF(A605="","",VLOOKUP(A605,Materiais_Base!A:D,3,"FALSO"))</f>
        <v>m²</v>
      </c>
      <c r="D605" s="354" t="s">
        <v>932</v>
      </c>
      <c r="E605" s="355" t="str">
        <f t="shared" si="16"/>
        <v/>
      </c>
      <c r="F605" s="354"/>
      <c r="G605" s="345" t="str">
        <f>IF(D605="","",VLOOKUP(A605,Materiais_Base!A:D,4,"FALSO"))</f>
        <v/>
      </c>
    </row>
    <row r="606" hidden="1" customHeight="1" spans="1:7">
      <c r="A606" s="352" t="s">
        <v>14886</v>
      </c>
      <c r="B606" s="352" t="str">
        <f>IF(A606="","",VLOOKUP(A606,Materiais_Base!A:D,2,"FALSO"))</f>
        <v>Tirante autoinjetável de aço - tensão de escoamento = 630 MPa, tensão de ruptura = 740 MPa, seção de 1.330 mm² e D = 50 mm</v>
      </c>
      <c r="C606" s="353" t="str">
        <f>IF(A606="","",VLOOKUP(A606,Materiais_Base!A:D,3,"FALSO"))</f>
        <v>m</v>
      </c>
      <c r="D606" s="354" t="s">
        <v>932</v>
      </c>
      <c r="E606" s="355" t="str">
        <f t="shared" si="16"/>
        <v/>
      </c>
      <c r="F606" s="354"/>
      <c r="G606" s="345" t="str">
        <f>IF(D606="","",VLOOKUP(A606,Materiais_Base!A:D,4,"FALSO"))</f>
        <v/>
      </c>
    </row>
    <row r="607" hidden="1" customHeight="1" spans="1:7">
      <c r="A607" s="352" t="s">
        <v>14887</v>
      </c>
      <c r="B607" s="352" t="str">
        <f>IF(A607="","",VLOOKUP(A607,Materiais_Base!A:D,2,"FALSO"))</f>
        <v>Tirante autoinjetável de aço - tensão de escoamento = 630 MPa, tensão de ruptura = 740 MPa, seção de 1.569 mm² e D = 50 mm</v>
      </c>
      <c r="C607" s="353" t="str">
        <f>IF(A607="","",VLOOKUP(A607,Materiais_Base!A:D,3,"FALSO"))</f>
        <v>m</v>
      </c>
      <c r="D607" s="354" t="s">
        <v>932</v>
      </c>
      <c r="E607" s="355" t="str">
        <f t="shared" si="16"/>
        <v/>
      </c>
      <c r="F607" s="354"/>
      <c r="G607" s="345" t="str">
        <f>IF(D607="","",VLOOKUP(A607,Materiais_Base!A:D,4,"FALSO"))</f>
        <v/>
      </c>
    </row>
    <row r="608" hidden="1" customHeight="1" spans="1:7">
      <c r="A608" s="352" t="s">
        <v>14888</v>
      </c>
      <c r="B608" s="352" t="str">
        <f>IF(A608="","",VLOOKUP(A608,Materiais_Base!A:D,2,"FALSO"))</f>
        <v>Tirante de barra de aço - tensão de escoamento = 600 MPa, tensão de ruptura = 720 MPa e D = 30 mm</v>
      </c>
      <c r="C608" s="353" t="str">
        <f>IF(A608="","",VLOOKUP(A608,Materiais_Base!A:D,3,"FALSO"))</f>
        <v>m</v>
      </c>
      <c r="D608" s="354" t="s">
        <v>932</v>
      </c>
      <c r="E608" s="355" t="str">
        <f t="shared" si="16"/>
        <v/>
      </c>
      <c r="F608" s="354"/>
      <c r="G608" s="345" t="str">
        <f>IF(D608="","",VLOOKUP(A608,Materiais_Base!A:D,4,"FALSO"))</f>
        <v/>
      </c>
    </row>
    <row r="609" hidden="1" customHeight="1" spans="1:7">
      <c r="A609" s="352" t="s">
        <v>14889</v>
      </c>
      <c r="B609" s="352" t="str">
        <f>IF(A609="","",VLOOKUP(A609,Materiais_Base!A:D,2,"FALSO"))</f>
        <v>Tirante de barra de aço - tensão de escoamento = 600 MPa, tensão de ruptura = 720 MPa e D = 40 mm</v>
      </c>
      <c r="C609" s="353" t="str">
        <f>IF(A609="","",VLOOKUP(A609,Materiais_Base!A:D,3,"FALSO"))</f>
        <v>m</v>
      </c>
      <c r="D609" s="354" t="s">
        <v>932</v>
      </c>
      <c r="E609" s="355" t="str">
        <f t="shared" si="16"/>
        <v/>
      </c>
      <c r="F609" s="354"/>
      <c r="G609" s="345" t="str">
        <f>IF(D609="","",VLOOKUP(A609,Materiais_Base!A:D,4,"FALSO"))</f>
        <v/>
      </c>
    </row>
    <row r="610" hidden="1" customHeight="1" spans="1:7">
      <c r="A610" s="352" t="s">
        <v>14890</v>
      </c>
      <c r="B610" s="352" t="str">
        <f>IF(A610="","",VLOOKUP(A610,Materiais_Base!A:D,2,"FALSO"))</f>
        <v>Tirante de barra de aço - tensão de escoamento = 680 MPa, tensão de ruptura = 870 MPa e D = 44 mm</v>
      </c>
      <c r="C610" s="353" t="str">
        <f>IF(A610="","",VLOOKUP(A610,Materiais_Base!A:D,3,"FALSO"))</f>
        <v>m</v>
      </c>
      <c r="D610" s="354" t="s">
        <v>932</v>
      </c>
      <c r="E610" s="355" t="str">
        <f t="shared" si="16"/>
        <v/>
      </c>
      <c r="F610" s="354"/>
      <c r="G610" s="345" t="str">
        <f>IF(D610="","",VLOOKUP(A610,Materiais_Base!A:D,4,"FALSO"))</f>
        <v/>
      </c>
    </row>
    <row r="611" hidden="1" customHeight="1" spans="1:7">
      <c r="A611" s="352" t="s">
        <v>14891</v>
      </c>
      <c r="B611" s="352" t="str">
        <f>IF(A611="","",VLOOKUP(A611,Materiais_Base!A:D,2,"FALSO"))</f>
        <v>Tirante de barra de aço - tensão de escoamento = 600 MPa, tensão de ruptura = 720 MPa e D = 50 mm</v>
      </c>
      <c r="C611" s="353" t="str">
        <f>IF(A611="","",VLOOKUP(A611,Materiais_Base!A:D,3,"FALSO"))</f>
        <v>m</v>
      </c>
      <c r="D611" s="354" t="s">
        <v>932</v>
      </c>
      <c r="E611" s="355" t="str">
        <f t="shared" si="16"/>
        <v/>
      </c>
      <c r="F611" s="354"/>
      <c r="G611" s="345" t="str">
        <f>IF(D611="","",VLOOKUP(A611,Materiais_Base!A:D,4,"FALSO"))</f>
        <v/>
      </c>
    </row>
    <row r="612" hidden="1" customHeight="1" spans="1:7">
      <c r="A612" s="352" t="s">
        <v>14892</v>
      </c>
      <c r="B612" s="352" t="str">
        <f>IF(A612="","",VLOOKUP(A612,Materiais_Base!A:D,2,"FALSO"))</f>
        <v>Tirante de barra de aço - tensão de escoamento = 600 MPa, tensão de ruptura = 720 MPa e D = 53 mm</v>
      </c>
      <c r="C612" s="353" t="str">
        <f>IF(A612="","",VLOOKUP(A612,Materiais_Base!A:D,3,"FALSO"))</f>
        <v>m</v>
      </c>
      <c r="D612" s="354" t="s">
        <v>932</v>
      </c>
      <c r="E612" s="355" t="str">
        <f t="shared" si="16"/>
        <v/>
      </c>
      <c r="F612" s="354"/>
      <c r="G612" s="345" t="str">
        <f>IF(D612="","",VLOOKUP(A612,Materiais_Base!A:D,4,"FALSO"))</f>
        <v/>
      </c>
    </row>
    <row r="613" hidden="1" customHeight="1" spans="1:7">
      <c r="A613" s="352" t="s">
        <v>14893</v>
      </c>
      <c r="B613" s="352" t="str">
        <f>IF(A613="","",VLOOKUP(A613,Materiais_Base!A:D,2,"FALSO"))</f>
        <v>Tirante de barra de aço - tensão de escoamento = 600 MPa, tensão de ruptura = 720 MPa e D = 57 mm</v>
      </c>
      <c r="C613" s="353" t="str">
        <f>IF(A613="","",VLOOKUP(A613,Materiais_Base!A:D,3,"FALSO"))</f>
        <v>m</v>
      </c>
      <c r="D613" s="354" t="s">
        <v>932</v>
      </c>
      <c r="E613" s="355" t="str">
        <f t="shared" si="16"/>
        <v/>
      </c>
      <c r="F613" s="354"/>
      <c r="G613" s="345" t="str">
        <f>IF(D613="","",VLOOKUP(A613,Materiais_Base!A:D,4,"FALSO"))</f>
        <v/>
      </c>
    </row>
    <row r="614" hidden="1" customHeight="1" spans="1:7">
      <c r="A614" s="352" t="s">
        <v>14894</v>
      </c>
      <c r="B614" s="352" t="str">
        <f>IF(A614="","",VLOOKUP(A614,Materiais_Base!A:D,2,"FALSO"))</f>
        <v>Amortecedor retrátil tipo TAU II afunilado PCB ou similar para velocidade de projeto de 100 km/h e âncora traseira de 2.290 mm</v>
      </c>
      <c r="C614" s="353" t="str">
        <f>IF(A614="","",VLOOKUP(A614,Materiais_Base!A:D,3,"FALSO"))</f>
        <v>un</v>
      </c>
      <c r="D614" s="354" t="s">
        <v>932</v>
      </c>
      <c r="E614" s="355" t="str">
        <f t="shared" si="16"/>
        <v/>
      </c>
      <c r="F614" s="354"/>
      <c r="G614" s="345" t="str">
        <f>IF(D614="","",VLOOKUP(A614,Materiais_Base!A:D,4,"FALSO"))</f>
        <v/>
      </c>
    </row>
    <row r="615" hidden="1" customHeight="1" spans="1:7">
      <c r="A615" s="352" t="s">
        <v>14895</v>
      </c>
      <c r="B615" s="352" t="str">
        <f>IF(A615="","",VLOOKUP(A615,Materiais_Base!A:D,2,"FALSO"))</f>
        <v>Amortecedor retrátil tipo TAU II afunilado PCB ou similar para velocidade de projeto de 100 km/h e âncora traseira de 2.440 mm</v>
      </c>
      <c r="C615" s="353" t="str">
        <f>IF(A615="","",VLOOKUP(A615,Materiais_Base!A:D,3,"FALSO"))</f>
        <v>un</v>
      </c>
      <c r="D615" s="354" t="s">
        <v>932</v>
      </c>
      <c r="E615" s="355" t="str">
        <f t="shared" si="16"/>
        <v/>
      </c>
      <c r="F615" s="354"/>
      <c r="G615" s="345" t="str">
        <f>IF(D615="","",VLOOKUP(A615,Materiais_Base!A:D,4,"FALSO"))</f>
        <v/>
      </c>
    </row>
    <row r="616" customHeight="1" spans="1:7">
      <c r="A616" s="352" t="s">
        <v>14896</v>
      </c>
      <c r="B616" s="352" t="str">
        <f>IF(A616="","",VLOOKUP(A616,Materiais_Base!A:D,2,"FALSO"))</f>
        <v>Coroa de botões esféricos linha T38 - D = 64 mm (2 1/2")</v>
      </c>
      <c r="C616" s="353" t="str">
        <f>IF(A616="","",VLOOKUP(A616,Materiais_Base!A:D,3,"FALSO"))</f>
        <v>un</v>
      </c>
      <c r="D616" s="354">
        <v>703.1312</v>
      </c>
      <c r="E616" s="355">
        <f t="shared" si="16"/>
        <v>703.1312</v>
      </c>
      <c r="F616" s="354"/>
      <c r="G616" s="345">
        <f>IF(D616="","",VLOOKUP(A616,Materiais_Base!A:D,4,"FALSO"))</f>
        <v>703.1312</v>
      </c>
    </row>
    <row r="617" hidden="1" customHeight="1" spans="1:7">
      <c r="A617" s="352" t="s">
        <v>14897</v>
      </c>
      <c r="B617" s="352" t="str">
        <f>IF(A617="","",VLOOKUP(A617,Materiais_Base!A:D,2,"FALSO"))</f>
        <v>Tirante de barra de aço - tensão de escoamento = 600 MPa, tensão de ruptura = 720 MPa e D = 63 mm</v>
      </c>
      <c r="C617" s="353" t="str">
        <f>IF(A617="","",VLOOKUP(A617,Materiais_Base!A:D,3,"FALSO"))</f>
        <v>m</v>
      </c>
      <c r="D617" s="354" t="s">
        <v>932</v>
      </c>
      <c r="E617" s="355" t="str">
        <f t="shared" si="16"/>
        <v/>
      </c>
      <c r="F617" s="354"/>
      <c r="G617" s="345" t="str">
        <f>IF(D617="","",VLOOKUP(A617,Materiais_Base!A:D,4,"FALSO"))</f>
        <v/>
      </c>
    </row>
    <row r="618" hidden="1" customHeight="1" spans="1:7">
      <c r="A618" s="352" t="s">
        <v>14898</v>
      </c>
      <c r="B618" s="352" t="str">
        <f>IF(A618="","",VLOOKUP(A618,Materiais_Base!A:D,2,"FALSO"))</f>
        <v>Termoplástico pré-formado - E = 2,00 mm</v>
      </c>
      <c r="C618" s="353" t="str">
        <f>IF(A618="","",VLOOKUP(A618,Materiais_Base!A:D,3,"FALSO"))</f>
        <v>m²</v>
      </c>
      <c r="D618" s="354" t="s">
        <v>932</v>
      </c>
      <c r="E618" s="355" t="str">
        <f t="shared" si="16"/>
        <v/>
      </c>
      <c r="F618" s="354"/>
      <c r="G618" s="345" t="str">
        <f>IF(D618="","",VLOOKUP(A618,Materiais_Base!A:D,4,"FALSO"))</f>
        <v/>
      </c>
    </row>
    <row r="619" customHeight="1" spans="1:7">
      <c r="A619" s="352" t="s">
        <v>14899</v>
      </c>
      <c r="B619" s="352" t="str">
        <f>IF(A619="","",VLOOKUP(A619,Materiais_Base!A:D,2,"FALSO"))</f>
        <v>Haste linha T38 para perfuratriz sobre esteiras - D = 38,0 mm (1 1/2") e C = 3,05 m</v>
      </c>
      <c r="C619" s="353" t="str">
        <f>IF(A619="","",VLOOKUP(A619,Materiais_Base!A:D,3,"FALSO"))</f>
        <v>un</v>
      </c>
      <c r="D619" s="354">
        <v>2217.9947</v>
      </c>
      <c r="E619" s="355">
        <f t="shared" si="16"/>
        <v>2217.9947</v>
      </c>
      <c r="F619" s="354"/>
      <c r="G619" s="345">
        <f>IF(D619="","",VLOOKUP(A619,Materiais_Base!A:D,4,"FALSO"))</f>
        <v>2217.9947</v>
      </c>
    </row>
    <row r="620" customHeight="1" spans="1:7">
      <c r="A620" s="352" t="s">
        <v>14900</v>
      </c>
      <c r="B620" s="352" t="str">
        <f>IF(A620="","",VLOOKUP(A620,Materiais_Base!A:D,2,"FALSO"))</f>
        <v>Luva em aço linha T38 para perfuratriz sobre esteiras - D = 38,0 mm (1 1/2")</v>
      </c>
      <c r="C620" s="353" t="str">
        <f>IF(A620="","",VLOOKUP(A620,Materiais_Base!A:D,3,"FALSO"))</f>
        <v>un</v>
      </c>
      <c r="D620" s="354">
        <v>350.5176</v>
      </c>
      <c r="E620" s="355">
        <f t="shared" si="16"/>
        <v>350.5176</v>
      </c>
      <c r="F620" s="354"/>
      <c r="G620" s="345">
        <f>IF(D620="","",VLOOKUP(A620,Materiais_Base!A:D,4,"FALSO"))</f>
        <v>350.5176</v>
      </c>
    </row>
    <row r="621" customHeight="1" spans="1:7">
      <c r="A621" s="352" t="s">
        <v>14901</v>
      </c>
      <c r="B621" s="352" t="str">
        <f>IF(A621="","",VLOOKUP(A621,Materiais_Base!A:D,2,"FALSO"))</f>
        <v>Punho linha T38 para perfuratriz sobre esteiras - D = 38 mm (1 1/2")</v>
      </c>
      <c r="C621" s="353" t="str">
        <f>IF(A621="","",VLOOKUP(A621,Materiais_Base!A:D,3,"FALSO"))</f>
        <v>un</v>
      </c>
      <c r="D621" s="354">
        <v>1069.6883</v>
      </c>
      <c r="E621" s="355">
        <f t="shared" si="16"/>
        <v>1069.6883</v>
      </c>
      <c r="F621" s="354"/>
      <c r="G621" s="345">
        <f>IF(D621="","",VLOOKUP(A621,Materiais_Base!A:D,4,"FALSO"))</f>
        <v>1069.6883</v>
      </c>
    </row>
    <row r="622" hidden="1" customHeight="1" spans="1:7">
      <c r="A622" s="352" t="s">
        <v>14902</v>
      </c>
      <c r="B622" s="352" t="str">
        <f>IF(A622="","",VLOOKUP(A622,Materiais_Base!A:D,2,"FALSO"))</f>
        <v>Tirante de barra de aço - tensão de escoamento = 600 MPa, tensão de ruptura = 720 MPa e D = 69 mm</v>
      </c>
      <c r="C622" s="353" t="str">
        <f>IF(A622="","",VLOOKUP(A622,Materiais_Base!A:D,3,"FALSO"))</f>
        <v>m</v>
      </c>
      <c r="D622" s="354" t="s">
        <v>932</v>
      </c>
      <c r="E622" s="355" t="str">
        <f t="shared" si="16"/>
        <v/>
      </c>
      <c r="F622" s="354"/>
      <c r="G622" s="345" t="str">
        <f>IF(D622="","",VLOOKUP(A622,Materiais_Base!A:D,4,"FALSO"))</f>
        <v/>
      </c>
    </row>
    <row r="623" hidden="1" customHeight="1" spans="1:7">
      <c r="A623" s="352" t="s">
        <v>14903</v>
      </c>
      <c r="B623" s="352" t="str">
        <f>IF(A623="","",VLOOKUP(A623,Materiais_Base!A:D,2,"FALSO"))</f>
        <v>Haste linha R/T38 - R32 para jumbo hidráulico - D = 38 mm (1 1/2") e C = 4,50 m</v>
      </c>
      <c r="C623" s="353" t="str">
        <f>IF(A623="","",VLOOKUP(A623,Materiais_Base!A:D,3,"FALSO"))</f>
        <v>un</v>
      </c>
      <c r="D623" s="354" t="s">
        <v>932</v>
      </c>
      <c r="E623" s="355" t="str">
        <f t="shared" si="16"/>
        <v/>
      </c>
      <c r="F623" s="354"/>
      <c r="G623" s="345" t="str">
        <f>IF(D623="","",VLOOKUP(A623,Materiais_Base!A:D,4,"FALSO"))</f>
        <v/>
      </c>
    </row>
    <row r="624" hidden="1" customHeight="1" spans="1:7">
      <c r="A624" s="352" t="s">
        <v>14904</v>
      </c>
      <c r="B624" s="352" t="str">
        <f>IF(A624="","",VLOOKUP(A624,Materiais_Base!A:D,2,"FALSO"))</f>
        <v>Coroa de botões esféricos linha R32 - D = 51 mm (2")</v>
      </c>
      <c r="C624" s="353" t="str">
        <f>IF(A624="","",VLOOKUP(A624,Materiais_Base!A:D,3,"FALSO"))</f>
        <v>un</v>
      </c>
      <c r="D624" s="354" t="s">
        <v>932</v>
      </c>
      <c r="E624" s="355" t="str">
        <f t="shared" si="16"/>
        <v/>
      </c>
      <c r="F624" s="354"/>
      <c r="G624" s="345" t="str">
        <f>IF(D624="","",VLOOKUP(A624,Materiais_Base!A:D,4,"FALSO"))</f>
        <v/>
      </c>
    </row>
    <row r="625" hidden="1" customHeight="1" spans="1:7">
      <c r="A625" s="352" t="s">
        <v>14905</v>
      </c>
      <c r="B625" s="352" t="str">
        <f>IF(A625="","",VLOOKUP(A625,Materiais_Base!A:D,2,"FALSO"))</f>
        <v>Luva de acoplamento linha T38 para jumbo hidráulico - D = 38,0 mm (1 1/2")</v>
      </c>
      <c r="C625" s="353" t="str">
        <f>IF(A625="","",VLOOKUP(A625,Materiais_Base!A:D,3,"FALSO"))</f>
        <v>un</v>
      </c>
      <c r="D625" s="354" t="s">
        <v>932</v>
      </c>
      <c r="E625" s="355" t="str">
        <f t="shared" si="16"/>
        <v/>
      </c>
      <c r="F625" s="354"/>
      <c r="G625" s="345" t="str">
        <f>IF(D625="","",VLOOKUP(A625,Materiais_Base!A:D,4,"FALSO"))</f>
        <v/>
      </c>
    </row>
    <row r="626" hidden="1" customHeight="1" spans="1:7">
      <c r="A626" s="352" t="s">
        <v>14906</v>
      </c>
      <c r="B626" s="352" t="str">
        <f>IF(A626="","",VLOOKUP(A626,Materiais_Base!A:D,2,"FALSO"))</f>
        <v>Punho linha T38 para jumbo hidráulico - D = 38 mm (1 1/2")</v>
      </c>
      <c r="C626" s="353" t="str">
        <f>IF(A626="","",VLOOKUP(A626,Materiais_Base!A:D,3,"FALSO"))</f>
        <v>un</v>
      </c>
      <c r="D626" s="354" t="s">
        <v>932</v>
      </c>
      <c r="E626" s="355" t="str">
        <f t="shared" si="16"/>
        <v/>
      </c>
      <c r="F626" s="354"/>
      <c r="G626" s="345" t="str">
        <f>IF(D626="","",VLOOKUP(A626,Materiais_Base!A:D,4,"FALSO"))</f>
        <v/>
      </c>
    </row>
    <row r="627" hidden="1" customHeight="1" spans="1:7">
      <c r="A627" s="352" t="s">
        <v>14907</v>
      </c>
      <c r="B627" s="352" t="str">
        <f>IF(A627="","",VLOOKUP(A627,Materiais_Base!A:D,2,"FALSO"))</f>
        <v>Cartucho de absorção de energia para amortecedor retrátil - tipo A</v>
      </c>
      <c r="C627" s="353" t="str">
        <f>IF(A627="","",VLOOKUP(A627,Materiais_Base!A:D,3,"FALSO"))</f>
        <v>un</v>
      </c>
      <c r="D627" s="354" t="s">
        <v>932</v>
      </c>
      <c r="E627" s="355" t="str">
        <f t="shared" si="16"/>
        <v/>
      </c>
      <c r="F627" s="354"/>
      <c r="G627" s="345" t="str">
        <f>IF(D627="","",VLOOKUP(A627,Materiais_Base!A:D,4,"FALSO"))</f>
        <v/>
      </c>
    </row>
    <row r="628" hidden="1" customHeight="1" spans="1:7">
      <c r="A628" s="352" t="s">
        <v>14908</v>
      </c>
      <c r="B628" s="352" t="str">
        <f>IF(A628="","",VLOOKUP(A628,Materiais_Base!A:D,2,"FALSO"))</f>
        <v>Cartucho de absorção de energia para amortecedor retrátil - tipo B</v>
      </c>
      <c r="C628" s="353" t="str">
        <f>IF(A628="","",VLOOKUP(A628,Materiais_Base!A:D,3,"FALSO"))</f>
        <v>un</v>
      </c>
      <c r="D628" s="354" t="s">
        <v>932</v>
      </c>
      <c r="E628" s="355" t="str">
        <f t="shared" si="16"/>
        <v/>
      </c>
      <c r="F628" s="354"/>
      <c r="G628" s="345" t="str">
        <f>IF(D628="","",VLOOKUP(A628,Materiais_Base!A:D,4,"FALSO"))</f>
        <v/>
      </c>
    </row>
    <row r="629" hidden="1" customHeight="1" spans="1:7">
      <c r="A629" s="352" t="s">
        <v>14909</v>
      </c>
      <c r="B629" s="352" t="str">
        <f>IF(A629="","",VLOOKUP(A629,Materiais_Base!A:D,2,"FALSO"))</f>
        <v>Fio de poliamida Nº 40 - E = 0,40 mm</v>
      </c>
      <c r="C629" s="353" t="str">
        <f>IF(A629="","",VLOOKUP(A629,Materiais_Base!A:D,3,"FALSO"))</f>
        <v>m</v>
      </c>
      <c r="D629" s="354" t="s">
        <v>932</v>
      </c>
      <c r="E629" s="355" t="str">
        <f t="shared" si="16"/>
        <v/>
      </c>
      <c r="F629" s="354"/>
      <c r="G629" s="345" t="str">
        <f>IF(D629="","",VLOOKUP(A629,Materiais_Base!A:D,4,"FALSO"))</f>
        <v/>
      </c>
    </row>
    <row r="630" hidden="1" customHeight="1" spans="1:7">
      <c r="A630" s="352" t="s">
        <v>14910</v>
      </c>
      <c r="B630" s="352" t="str">
        <f>IF(A630="","",VLOOKUP(A630,Materiais_Base!A:D,2,"FALSO"))</f>
        <v>Emulsão asfáltica para imprimação</v>
      </c>
      <c r="C630" s="353" t="str">
        <f>IF(A630="","",VLOOKUP(A630,Materiais_Base!A:D,3,"FALSO"))</f>
        <v>t</v>
      </c>
      <c r="D630" s="359" t="s">
        <v>932</v>
      </c>
      <c r="E630" s="355" t="str">
        <f t="shared" si="16"/>
        <v/>
      </c>
      <c r="F630" s="359"/>
      <c r="G630" s="345" t="str">
        <f>IF(D630="","",VLOOKUP(A630,Materiais_Base!A:D,4,"FALSO"))</f>
        <v/>
      </c>
    </row>
    <row r="631" hidden="1" customHeight="1" spans="1:7">
      <c r="A631" s="352" t="s">
        <v>14911</v>
      </c>
      <c r="B631" s="352" t="str">
        <f>IF(A631="","",VLOOKUP(A631,Materiais_Base!A:D,2,"FALSO"))</f>
        <v>Material fresado</v>
      </c>
      <c r="C631" s="353" t="str">
        <f>IF(A631="","",VLOOKUP(A631,Materiais_Base!A:D,3,"FALSO"))</f>
        <v>m³</v>
      </c>
      <c r="D631" s="359" t="s">
        <v>932</v>
      </c>
      <c r="E631" s="355" t="str">
        <f t="shared" si="16"/>
        <v/>
      </c>
      <c r="F631" s="359"/>
      <c r="G631" s="345" t="str">
        <f>IF(D631="","",VLOOKUP(A631,Materiais_Base!A:D,4,"FALSO"))</f>
        <v/>
      </c>
    </row>
    <row r="632" hidden="1" customHeight="1" spans="1:7">
      <c r="A632" s="352" t="s">
        <v>14912</v>
      </c>
      <c r="B632" s="352" t="str">
        <f>IF(A632="","",VLOOKUP(A632,Materiais_Base!A:D,2,"FALSO"))</f>
        <v>Emulsão asfáltica - RR-2C</v>
      </c>
      <c r="C632" s="353" t="str">
        <f>IF(A632="","",VLOOKUP(A632,Materiais_Base!A:D,3,"FALSO"))</f>
        <v>t</v>
      </c>
      <c r="D632" s="359" t="s">
        <v>932</v>
      </c>
      <c r="E632" s="355" t="str">
        <f t="shared" si="16"/>
        <v/>
      </c>
      <c r="F632" s="359"/>
      <c r="G632" s="345" t="str">
        <f>IF(D632="","",VLOOKUP(A632,Materiais_Base!A:D,4,"FALSO"))</f>
        <v/>
      </c>
    </row>
    <row r="633" hidden="1" customHeight="1" spans="1:7">
      <c r="A633" s="352" t="s">
        <v>14913</v>
      </c>
      <c r="B633" s="352" t="str">
        <f>IF(A633="","",VLOOKUP(A633,Materiais_Base!A:D,2,"FALSO"))</f>
        <v>Adesivo à base de PVA</v>
      </c>
      <c r="C633" s="353" t="str">
        <f>IF(A633="","",VLOOKUP(A633,Materiais_Base!A:D,3,"FALSO"))</f>
        <v>kg</v>
      </c>
      <c r="D633" s="354" t="s">
        <v>932</v>
      </c>
      <c r="E633" s="355" t="str">
        <f t="shared" si="16"/>
        <v/>
      </c>
      <c r="F633" s="354"/>
      <c r="G633" s="345" t="str">
        <f>IF(D633="","",VLOOKUP(A633,Materiais_Base!A:D,4,"FALSO"))</f>
        <v/>
      </c>
    </row>
    <row r="634" hidden="1" customHeight="1" spans="1:7">
      <c r="A634" s="352" t="s">
        <v>14914</v>
      </c>
      <c r="B634" s="352" t="str">
        <f>IF(A634="","",VLOOKUP(A634,Materiais_Base!A:D,2,"FALSO"))</f>
        <v>Mandíbula móvel para britador - abertura de alimentação com L = 930 mm</v>
      </c>
      <c r="C634" s="353" t="str">
        <f>IF(A634="","",VLOOKUP(A634,Materiais_Base!A:D,3,"FALSO"))</f>
        <v>un</v>
      </c>
      <c r="D634" s="354" t="s">
        <v>932</v>
      </c>
      <c r="E634" s="355" t="str">
        <f t="shared" si="16"/>
        <v/>
      </c>
      <c r="F634" s="354"/>
      <c r="G634" s="345" t="str">
        <f>IF(D634="","",VLOOKUP(A634,Materiais_Base!A:D,4,"FALSO"))</f>
        <v/>
      </c>
    </row>
    <row r="635" hidden="1" customHeight="1" spans="1:7">
      <c r="A635" s="352" t="s">
        <v>14915</v>
      </c>
      <c r="B635" s="352" t="str">
        <f>IF(A635="","",VLOOKUP(A635,Materiais_Base!A:D,2,"FALSO"))</f>
        <v>Mandíbula fixa para britador - abertura de alimentação com L = 930 mm</v>
      </c>
      <c r="C635" s="353" t="str">
        <f>IF(A635="","",VLOOKUP(A635,Materiais_Base!A:D,3,"FALSO"))</f>
        <v>un</v>
      </c>
      <c r="D635" s="354" t="s">
        <v>932</v>
      </c>
      <c r="E635" s="355" t="str">
        <f t="shared" si="16"/>
        <v/>
      </c>
      <c r="F635" s="354"/>
      <c r="G635" s="345" t="str">
        <f>IF(D635="","",VLOOKUP(A635,Materiais_Base!A:D,4,"FALSO"))</f>
        <v/>
      </c>
    </row>
    <row r="636" hidden="1" customHeight="1" spans="1:7">
      <c r="A636" s="352" t="s">
        <v>14916</v>
      </c>
      <c r="B636" s="352" t="str">
        <f>IF(A636="","",VLOOKUP(A636,Materiais_Base!A:D,2,"FALSO"))</f>
        <v>Manta do britador cônico HP200 ou similar</v>
      </c>
      <c r="C636" s="353" t="str">
        <f>IF(A636="","",VLOOKUP(A636,Materiais_Base!A:D,3,"FALSO"))</f>
        <v>un</v>
      </c>
      <c r="D636" s="354" t="s">
        <v>932</v>
      </c>
      <c r="E636" s="355" t="str">
        <f t="shared" si="16"/>
        <v/>
      </c>
      <c r="F636" s="354"/>
      <c r="G636" s="345" t="str">
        <f>IF(D636="","",VLOOKUP(A636,Materiais_Base!A:D,4,"FALSO"))</f>
        <v/>
      </c>
    </row>
    <row r="637" hidden="1" customHeight="1" spans="1:7">
      <c r="A637" s="352" t="s">
        <v>14917</v>
      </c>
      <c r="B637" s="352" t="str">
        <f>IF(A637="","",VLOOKUP(A637,Materiais_Base!A:D,2,"FALSO"))</f>
        <v>Revestimento do bojo interno do britador cônico HP200 ou similar</v>
      </c>
      <c r="C637" s="353" t="str">
        <f>IF(A637="","",VLOOKUP(A637,Materiais_Base!A:D,3,"FALSO"))</f>
        <v>un</v>
      </c>
      <c r="D637" s="354" t="s">
        <v>932</v>
      </c>
      <c r="E637" s="355" t="str">
        <f t="shared" si="16"/>
        <v/>
      </c>
      <c r="F637" s="354"/>
      <c r="G637" s="345" t="str">
        <f>IF(D637="","",VLOOKUP(A637,Materiais_Base!A:D,4,"FALSO"))</f>
        <v/>
      </c>
    </row>
    <row r="638" hidden="1" customHeight="1" spans="1:7">
      <c r="A638" s="352" t="s">
        <v>14918</v>
      </c>
      <c r="B638" s="352" t="str">
        <f>IF(A638="","",VLOOKUP(A638,Materiais_Base!A:D,2,"FALSO"))</f>
        <v>Cunha lateral superior para britador</v>
      </c>
      <c r="C638" s="353" t="str">
        <f>IF(A638="","",VLOOKUP(A638,Materiais_Base!A:D,3,"FALSO"))</f>
        <v>un</v>
      </c>
      <c r="D638" s="354" t="s">
        <v>932</v>
      </c>
      <c r="E638" s="355" t="str">
        <f t="shared" si="16"/>
        <v/>
      </c>
      <c r="F638" s="354"/>
      <c r="G638" s="345" t="str">
        <f>IF(D638="","",VLOOKUP(A638,Materiais_Base!A:D,4,"FALSO"))</f>
        <v/>
      </c>
    </row>
    <row r="639" hidden="1" customHeight="1" spans="1:7">
      <c r="A639" s="352" t="s">
        <v>14919</v>
      </c>
      <c r="B639" s="352" t="str">
        <f>IF(A639="","",VLOOKUP(A639,Materiais_Base!A:D,2,"FALSO"))</f>
        <v>Cunha lateral inferior para britador</v>
      </c>
      <c r="C639" s="353" t="str">
        <f>IF(A639="","",VLOOKUP(A639,Materiais_Base!A:D,3,"FALSO"))</f>
        <v>un</v>
      </c>
      <c r="D639" s="354" t="s">
        <v>932</v>
      </c>
      <c r="E639" s="355" t="str">
        <f t="shared" si="16"/>
        <v/>
      </c>
      <c r="F639" s="354"/>
      <c r="G639" s="345" t="str">
        <f>IF(D639="","",VLOOKUP(A639,Materiais_Base!A:D,4,"FALSO"))</f>
        <v/>
      </c>
    </row>
    <row r="640" hidden="1" customHeight="1" spans="1:7">
      <c r="A640" s="352" t="s">
        <v>14920</v>
      </c>
      <c r="B640" s="352" t="str">
        <f>IF(A640="","",VLOOKUP(A640,Materiais_Base!A:D,2,"FALSO"))</f>
        <v>Meio tubo de concreto simples - D = 0,40 m</v>
      </c>
      <c r="C640" s="353" t="str">
        <f>IF(A640="","",VLOOKUP(A640,Materiais_Base!A:D,3,"FALSO"))</f>
        <v>m</v>
      </c>
      <c r="D640" s="354" t="s">
        <v>932</v>
      </c>
      <c r="E640" s="355" t="str">
        <f t="shared" si="16"/>
        <v/>
      </c>
      <c r="F640" s="354"/>
      <c r="G640" s="345" t="str">
        <f>IF(D640="","",VLOOKUP(A640,Materiais_Base!A:D,4,"FALSO"))</f>
        <v/>
      </c>
    </row>
    <row r="641" hidden="1" customHeight="1" spans="1:7">
      <c r="A641" s="352" t="s">
        <v>14921</v>
      </c>
      <c r="B641" s="352" t="str">
        <f>IF(A641="","",VLOOKUP(A641,Materiais_Base!A:D,2,"FALSO"))</f>
        <v>Calha metálica semicircular corrugada e galvanizada, incluindo fixações - D = 400 mm</v>
      </c>
      <c r="C641" s="353" t="str">
        <f>IF(A641="","",VLOOKUP(A641,Materiais_Base!A:D,3,"FALSO"))</f>
        <v>m</v>
      </c>
      <c r="D641" s="354" t="s">
        <v>932</v>
      </c>
      <c r="E641" s="355" t="str">
        <f t="shared" si="16"/>
        <v/>
      </c>
      <c r="F641" s="354"/>
      <c r="G641" s="345" t="str">
        <f>IF(D641="","",VLOOKUP(A641,Materiais_Base!A:D,4,"FALSO"))</f>
        <v/>
      </c>
    </row>
    <row r="642" hidden="1" customHeight="1" spans="1:7">
      <c r="A642" s="352" t="s">
        <v>14922</v>
      </c>
      <c r="B642" s="352" t="str">
        <f>IF(A642="","",VLOOKUP(A642,Materiais_Base!A:D,2,"FALSO"))</f>
        <v>Mourão de madeira - H = 2,80 m e D = 0,15 m</v>
      </c>
      <c r="C642" s="353" t="str">
        <f>IF(A642="","",VLOOKUP(A642,Materiais_Base!A:D,3,"FALSO"))</f>
        <v>un</v>
      </c>
      <c r="D642" s="354" t="s">
        <v>932</v>
      </c>
      <c r="E642" s="355" t="str">
        <f t="shared" si="16"/>
        <v/>
      </c>
      <c r="F642" s="354"/>
      <c r="G642" s="345" t="str">
        <f>IF(D642="","",VLOOKUP(A642,Materiais_Base!A:D,4,"FALSO"))</f>
        <v/>
      </c>
    </row>
    <row r="643" customHeight="1" spans="1:7">
      <c r="A643" s="352" t="s">
        <v>14281</v>
      </c>
      <c r="B643" s="352" t="str">
        <f>IF(A643="","",VLOOKUP(A643,Materiais_Base!A:D,2,"FALSO"))</f>
        <v>Tinta esmalte sintético acetinado</v>
      </c>
      <c r="C643" s="353" t="str">
        <f>IF(A643="","",VLOOKUP(A643,Materiais_Base!A:D,3,"FALSO"))</f>
        <v>l</v>
      </c>
      <c r="D643" s="354">
        <v>29.5962</v>
      </c>
      <c r="E643" s="355">
        <f t="shared" si="16"/>
        <v>29.5962</v>
      </c>
      <c r="F643" s="354"/>
      <c r="G643" s="345">
        <f>IF(D643="","",VLOOKUP(A643,Materiais_Base!A:D,4,"FALSO"))</f>
        <v>29.5962</v>
      </c>
    </row>
    <row r="644" customHeight="1" spans="1:7">
      <c r="A644" s="352" t="s">
        <v>14923</v>
      </c>
      <c r="B644" s="352" t="str">
        <f>IF(A644="","",VLOOKUP(A644,Materiais_Base!A:D,2,"FALSO"))</f>
        <v>Eletrodo revestido E70XX</v>
      </c>
      <c r="C644" s="353" t="str">
        <f>IF(A644="","",VLOOKUP(A644,Materiais_Base!A:D,3,"FALSO"))</f>
        <v>kg</v>
      </c>
      <c r="D644" s="354">
        <v>32.2085</v>
      </c>
      <c r="E644" s="355">
        <f t="shared" si="16"/>
        <v>32.2085</v>
      </c>
      <c r="F644" s="354"/>
      <c r="G644" s="345">
        <f>IF(D644="","",VLOOKUP(A644,Materiais_Base!A:D,4,"FALSO"))</f>
        <v>32.2085</v>
      </c>
    </row>
    <row r="645" hidden="1" customHeight="1" spans="1:7">
      <c r="A645" s="352" t="s">
        <v>14924</v>
      </c>
      <c r="B645" s="352" t="str">
        <f>IF(A645="","",VLOOKUP(A645,Materiais_Base!A:D,2,"FALSO"))</f>
        <v>Nonel de coluna (túnel) - C = 4,8 m</v>
      </c>
      <c r="C645" s="353" t="str">
        <f>IF(A645="","",VLOOKUP(A645,Materiais_Base!A:D,3,"FALSO"))</f>
        <v>un</v>
      </c>
      <c r="D645" s="354" t="s">
        <v>932</v>
      </c>
      <c r="E645" s="355" t="str">
        <f t="shared" si="16"/>
        <v/>
      </c>
      <c r="F645" s="354"/>
      <c r="G645" s="345" t="str">
        <f>IF(D645="","",VLOOKUP(A645,Materiais_Base!A:D,4,"FALSO"))</f>
        <v/>
      </c>
    </row>
    <row r="646" hidden="1" customHeight="1" spans="1:7">
      <c r="A646" s="352" t="s">
        <v>14925</v>
      </c>
      <c r="B646" s="352" t="str">
        <f>IF(A646="","",VLOOKUP(A646,Materiais_Base!A:D,2,"FALSO"))</f>
        <v>Tubo de PVC soldável para água fria - D = 50 mm (2")</v>
      </c>
      <c r="C646" s="353" t="str">
        <f>IF(A646="","",VLOOKUP(A646,Materiais_Base!A:D,3,"FALSO"))</f>
        <v>m</v>
      </c>
      <c r="D646" s="354" t="s">
        <v>932</v>
      </c>
      <c r="E646" s="355" t="str">
        <f t="shared" si="16"/>
        <v/>
      </c>
      <c r="F646" s="354"/>
      <c r="G646" s="345" t="str">
        <f>IF(D646="","",VLOOKUP(A646,Materiais_Base!A:D,4,"FALSO"))</f>
        <v/>
      </c>
    </row>
    <row r="647" hidden="1" customHeight="1" spans="1:7">
      <c r="A647" s="352" t="s">
        <v>14926</v>
      </c>
      <c r="B647" s="352" t="str">
        <f>IF(A647="","",VLOOKUP(A647,Materiais_Base!A:D,2,"FALSO"))</f>
        <v>Nonel de coluna - C = 12,0 m</v>
      </c>
      <c r="C647" s="353" t="str">
        <f>IF(A647="","",VLOOKUP(A647,Materiais_Base!A:D,3,"FALSO"))</f>
        <v>un</v>
      </c>
      <c r="D647" s="354" t="s">
        <v>932</v>
      </c>
      <c r="E647" s="355" t="str">
        <f t="shared" si="16"/>
        <v/>
      </c>
      <c r="F647" s="354"/>
      <c r="G647" s="345" t="str">
        <f>IF(D647="","",VLOOKUP(A647,Materiais_Base!A:D,4,"FALSO"))</f>
        <v/>
      </c>
    </row>
    <row r="648" hidden="1" customHeight="1" spans="1:7">
      <c r="A648" s="352" t="s">
        <v>14927</v>
      </c>
      <c r="B648" s="352" t="str">
        <f>IF(A648="","",VLOOKUP(A648,Materiais_Base!A:D,2,"FALSO"))</f>
        <v>Coroa de diamante linha AWG</v>
      </c>
      <c r="C648" s="353" t="str">
        <f>IF(A648="","",VLOOKUP(A648,Materiais_Base!A:D,3,"FALSO"))</f>
        <v>un</v>
      </c>
      <c r="D648" s="354" t="s">
        <v>932</v>
      </c>
      <c r="E648" s="355" t="str">
        <f t="shared" si="16"/>
        <v/>
      </c>
      <c r="F648" s="354"/>
      <c r="G648" s="345" t="str">
        <f>IF(D648="","",VLOOKUP(A648,Materiais_Base!A:D,4,"FALSO"))</f>
        <v/>
      </c>
    </row>
    <row r="649" customHeight="1" spans="1:7">
      <c r="A649" s="352" t="s">
        <v>14928</v>
      </c>
      <c r="B649" s="352" t="str">
        <f>IF(A649="","",VLOOKUP(A649,Materiais_Base!A:D,2,"FALSO"))</f>
        <v>Nonel de iniciação para fogacho - C = 6,0 m</v>
      </c>
      <c r="C649" s="353" t="str">
        <f>IF(A649="","",VLOOKUP(A649,Materiais_Base!A:D,3,"FALSO"))</f>
        <v>un</v>
      </c>
      <c r="D649" s="354">
        <v>16.11</v>
      </c>
      <c r="E649" s="355">
        <f t="shared" si="16"/>
        <v>16.11</v>
      </c>
      <c r="F649" s="354"/>
      <c r="G649" s="345">
        <f>IF(D649="","",VLOOKUP(A649,Materiais_Base!A:D,4,"FALSO"))</f>
        <v>16.11</v>
      </c>
    </row>
    <row r="650" hidden="1" customHeight="1" spans="1:7">
      <c r="A650" s="352" t="s">
        <v>14929</v>
      </c>
      <c r="B650" s="352" t="str">
        <f>IF(A650="","",VLOOKUP(A650,Materiais_Base!A:D,2,"FALSO"))</f>
        <v>Nonel de coluna - C = 4,8 m</v>
      </c>
      <c r="C650" s="353" t="str">
        <f>IF(A650="","",VLOOKUP(A650,Materiais_Base!A:D,3,"FALSO"))</f>
        <v>un</v>
      </c>
      <c r="D650" s="354" t="s">
        <v>932</v>
      </c>
      <c r="E650" s="355" t="str">
        <f t="shared" si="16"/>
        <v/>
      </c>
      <c r="F650" s="354"/>
      <c r="G650" s="345" t="str">
        <f>IF(D650="","",VLOOKUP(A650,Materiais_Base!A:D,4,"FALSO"))</f>
        <v/>
      </c>
    </row>
    <row r="651" customHeight="1" spans="1:7">
      <c r="A651" s="352" t="s">
        <v>14930</v>
      </c>
      <c r="B651" s="352" t="str">
        <f>IF(A651="","",VLOOKUP(A651,Materiais_Base!A:D,2,"FALSO"))</f>
        <v>Nonel de ligação - C = 6,0 m</v>
      </c>
      <c r="C651" s="353" t="str">
        <f>IF(A651="","",VLOOKUP(A651,Materiais_Base!A:D,3,"FALSO"))</f>
        <v>un</v>
      </c>
      <c r="D651" s="354">
        <v>19.0927</v>
      </c>
      <c r="E651" s="355">
        <f t="shared" si="16"/>
        <v>19.0927</v>
      </c>
      <c r="F651" s="354"/>
      <c r="G651" s="345">
        <f>IF(D651="","",VLOOKUP(A651,Materiais_Base!A:D,4,"FALSO"))</f>
        <v>19.0927</v>
      </c>
    </row>
    <row r="652" customHeight="1" spans="1:7">
      <c r="A652" s="352" t="s">
        <v>14931</v>
      </c>
      <c r="B652" s="352" t="str">
        <f>IF(A652="","",VLOOKUP(A652,Materiais_Base!A:D,2,"FALSO"))</f>
        <v>Nonel de coluna - C = 6,0 m</v>
      </c>
      <c r="C652" s="353" t="str">
        <f>IF(A652="","",VLOOKUP(A652,Materiais_Base!A:D,3,"FALSO"))</f>
        <v>un</v>
      </c>
      <c r="D652" s="354">
        <v>15.71</v>
      </c>
      <c r="E652" s="355">
        <f t="shared" si="16"/>
        <v>15.71</v>
      </c>
      <c r="F652" s="354"/>
      <c r="G652" s="345">
        <f>IF(D652="","",VLOOKUP(A652,Materiais_Base!A:D,4,"FALSO"))</f>
        <v>15.71</v>
      </c>
    </row>
    <row r="653" customHeight="1" spans="1:7">
      <c r="A653" s="352" t="s">
        <v>14932</v>
      </c>
      <c r="B653" s="352" t="str">
        <f>IF(A653="","",VLOOKUP(A653,Materiais_Base!A:D,2,"FALSO"))</f>
        <v>Série de brocas integrais S12</v>
      </c>
      <c r="C653" s="353" t="str">
        <f>IF(A653="","",VLOOKUP(A653,Materiais_Base!A:D,3,"FALSO"))</f>
        <v>un</v>
      </c>
      <c r="D653" s="354">
        <v>1160.4598</v>
      </c>
      <c r="E653" s="355">
        <f t="shared" si="16"/>
        <v>1160.4598</v>
      </c>
      <c r="F653" s="354"/>
      <c r="G653" s="345">
        <f>IF(D653="","",VLOOKUP(A653,Materiais_Base!A:D,4,"FALSO"))</f>
        <v>1160.4598</v>
      </c>
    </row>
    <row r="654" customHeight="1" spans="1:7">
      <c r="A654" s="352" t="s">
        <v>14933</v>
      </c>
      <c r="B654" s="352" t="str">
        <f>IF(A654="","",VLOOKUP(A654,Materiais_Base!A:D,2,"FALSO"))</f>
        <v>Nonel iniciador - C = 150,0 m</v>
      </c>
      <c r="C654" s="353" t="str">
        <f>IF(A654="","",VLOOKUP(A654,Materiais_Base!A:D,3,"FALSO"))</f>
        <v>un</v>
      </c>
      <c r="D654" s="354">
        <v>221.0167</v>
      </c>
      <c r="E654" s="355">
        <f t="shared" si="16"/>
        <v>221.0167</v>
      </c>
      <c r="F654" s="354"/>
      <c r="G654" s="345">
        <f>IF(D654="","",VLOOKUP(A654,Materiais_Base!A:D,4,"FALSO"))</f>
        <v>221.0167</v>
      </c>
    </row>
    <row r="655" hidden="1" customHeight="1" spans="1:7">
      <c r="A655" s="352" t="s">
        <v>14934</v>
      </c>
      <c r="B655" s="352" t="str">
        <f>IF(A655="","",VLOOKUP(A655,Materiais_Base!A:D,2,"FALSO"))</f>
        <v>Dente de corte para recicladora</v>
      </c>
      <c r="C655" s="353" t="str">
        <f>IF(A655="","",VLOOKUP(A655,Materiais_Base!A:D,3,"FALSO"))</f>
        <v>un</v>
      </c>
      <c r="D655" s="354" t="s">
        <v>932</v>
      </c>
      <c r="E655" s="355" t="str">
        <f t="shared" si="16"/>
        <v/>
      </c>
      <c r="F655" s="354"/>
      <c r="G655" s="345" t="str">
        <f>IF(D655="","",VLOOKUP(A655,Materiais_Base!A:D,4,"FALSO"))</f>
        <v/>
      </c>
    </row>
    <row r="656" hidden="1" customHeight="1" spans="1:7">
      <c r="A656" s="352" t="s">
        <v>14935</v>
      </c>
      <c r="B656" s="352" t="str">
        <f>IF(A656="","",VLOOKUP(A656,Materiais_Base!A:D,2,"FALSO"))</f>
        <v>Porta-dente de corte para fresadora e recicladora a frio</v>
      </c>
      <c r="C656" s="353" t="str">
        <f>IF(A656="","",VLOOKUP(A656,Materiais_Base!A:D,3,"FALSO"))</f>
        <v>un</v>
      </c>
      <c r="D656" s="354" t="s">
        <v>932</v>
      </c>
      <c r="E656" s="355" t="str">
        <f t="shared" si="16"/>
        <v/>
      </c>
      <c r="F656" s="354"/>
      <c r="G656" s="345" t="str">
        <f>IF(D656="","",VLOOKUP(A656,Materiais_Base!A:D,4,"FALSO"))</f>
        <v/>
      </c>
    </row>
    <row r="657" hidden="1" customHeight="1" spans="1:7">
      <c r="A657" s="352" t="s">
        <v>14936</v>
      </c>
      <c r="B657" s="352" t="str">
        <f>IF(A657="","",VLOOKUP(A657,Materiais_Base!A:D,2,"FALSO"))</f>
        <v>Selante elástico à base de poliuretano e asfalto</v>
      </c>
      <c r="C657" s="353" t="str">
        <f>IF(A657="","",VLOOKUP(A657,Materiais_Base!A:D,3,"FALSO"))</f>
        <v>kg</v>
      </c>
      <c r="D657" s="354" t="s">
        <v>932</v>
      </c>
      <c r="E657" s="355" t="str">
        <f t="shared" si="16"/>
        <v/>
      </c>
      <c r="F657" s="354"/>
      <c r="G657" s="345" t="str">
        <f>IF(D657="","",VLOOKUP(A657,Materiais_Base!A:D,4,"FALSO"))</f>
        <v/>
      </c>
    </row>
    <row r="658" hidden="1" customHeight="1" spans="1:7">
      <c r="A658" s="352" t="s">
        <v>14937</v>
      </c>
      <c r="B658" s="352" t="str">
        <f>IF(A658="","",VLOOKUP(A658,Materiais_Base!A:D,2,"FALSO"))</f>
        <v>Aditivo de cura para concreto</v>
      </c>
      <c r="C658" s="353" t="str">
        <f>IF(A658="","",VLOOKUP(A658,Materiais_Base!A:D,3,"FALSO"))</f>
        <v>kg</v>
      </c>
      <c r="D658" s="354" t="s">
        <v>932</v>
      </c>
      <c r="E658" s="355" t="str">
        <f t="shared" si="16"/>
        <v/>
      </c>
      <c r="F658" s="354"/>
      <c r="G658" s="345" t="str">
        <f>IF(D658="","",VLOOKUP(A658,Materiais_Base!A:D,4,"FALSO"))</f>
        <v/>
      </c>
    </row>
    <row r="659" hidden="1" customHeight="1" spans="1:7">
      <c r="A659" s="352" t="s">
        <v>14938</v>
      </c>
      <c r="B659" s="352" t="str">
        <f>IF(A659="","",VLOOKUP(A659,Materiais_Base!A:D,2,"FALSO"))</f>
        <v>Coroa de diamante linha HWG</v>
      </c>
      <c r="C659" s="353" t="str">
        <f>IF(A659="","",VLOOKUP(A659,Materiais_Base!A:D,3,"FALSO"))</f>
        <v>un</v>
      </c>
      <c r="D659" s="354" t="s">
        <v>932</v>
      </c>
      <c r="E659" s="355" t="str">
        <f t="shared" si="16"/>
        <v/>
      </c>
      <c r="F659" s="354"/>
      <c r="G659" s="345" t="str">
        <f>IF(D659="","",VLOOKUP(A659,Materiais_Base!A:D,4,"FALSO"))</f>
        <v/>
      </c>
    </row>
    <row r="660" hidden="1" customHeight="1" spans="1:7">
      <c r="A660" s="352" t="s">
        <v>14939</v>
      </c>
      <c r="B660" s="352" t="str">
        <f>IF(A660="","",VLOOKUP(A660,Materiais_Base!A:D,2,"FALSO"))</f>
        <v>Coroa de diamante linha NWG</v>
      </c>
      <c r="C660" s="353" t="str">
        <f>IF(A660="","",VLOOKUP(A660,Materiais_Base!A:D,3,"FALSO"))</f>
        <v>un</v>
      </c>
      <c r="D660" s="354" t="s">
        <v>932</v>
      </c>
      <c r="E660" s="355" t="str">
        <f t="shared" si="16"/>
        <v/>
      </c>
      <c r="F660" s="354"/>
      <c r="G660" s="345" t="str">
        <f>IF(D660="","",VLOOKUP(A660,Materiais_Base!A:D,4,"FALSO"))</f>
        <v/>
      </c>
    </row>
    <row r="661" hidden="1" customHeight="1" spans="1:7">
      <c r="A661" s="352" t="s">
        <v>14940</v>
      </c>
      <c r="B661" s="352" t="str">
        <f>IF(A661="","",VLOOKUP(A661,Materiais_Base!A:D,2,"FALSO"))</f>
        <v>Argamassa asfáltica</v>
      </c>
      <c r="C661" s="353" t="str">
        <f>IF(A661="","",VLOOKUP(A661,Materiais_Base!A:D,3,"FALSO"))</f>
        <v>kg</v>
      </c>
      <c r="D661" s="354" t="s">
        <v>932</v>
      </c>
      <c r="E661" s="355" t="str">
        <f t="shared" si="16"/>
        <v/>
      </c>
      <c r="F661" s="354"/>
      <c r="G661" s="345" t="str">
        <f>IF(D661="","",VLOOKUP(A661,Materiais_Base!A:D,4,"FALSO"))</f>
        <v/>
      </c>
    </row>
    <row r="662" hidden="1" customHeight="1" spans="1:7">
      <c r="A662" s="352" t="s">
        <v>14941</v>
      </c>
      <c r="B662" s="352" t="str">
        <f>IF(A662="","",VLOOKUP(A662,Materiais_Base!A:D,2,"FALSO"))</f>
        <v>Tubo PEAD corrugado perfurado para drenagem - D = 100 mm</v>
      </c>
      <c r="C662" s="353" t="str">
        <f>IF(A662="","",VLOOKUP(A662,Materiais_Base!A:D,3,"FALSO"))</f>
        <v>m</v>
      </c>
      <c r="D662" s="354" t="s">
        <v>932</v>
      </c>
      <c r="E662" s="355" t="str">
        <f t="shared" si="16"/>
        <v/>
      </c>
      <c r="F662" s="354"/>
      <c r="G662" s="345" t="str">
        <f>IF(D662="","",VLOOKUP(A662,Materiais_Base!A:D,4,"FALSO"))</f>
        <v/>
      </c>
    </row>
    <row r="663" hidden="1" customHeight="1" spans="1:7">
      <c r="A663" s="352" t="s">
        <v>14942</v>
      </c>
      <c r="B663" s="352" t="str">
        <f>IF(A663="","",VLOOKUP(A663,Materiais_Base!A:D,2,"FALSO"))</f>
        <v>Coroa de widia linha AWG</v>
      </c>
      <c r="C663" s="353" t="str">
        <f>IF(A663="","",VLOOKUP(A663,Materiais_Base!A:D,3,"FALSO"))</f>
        <v>un</v>
      </c>
      <c r="D663" s="354" t="s">
        <v>932</v>
      </c>
      <c r="E663" s="355" t="str">
        <f t="shared" si="16"/>
        <v/>
      </c>
      <c r="F663" s="354"/>
      <c r="G663" s="345" t="str">
        <f>IF(D663="","",VLOOKUP(A663,Materiais_Base!A:D,4,"FALSO"))</f>
        <v/>
      </c>
    </row>
    <row r="664" hidden="1" customHeight="1" spans="1:7">
      <c r="A664" s="352" t="s">
        <v>14943</v>
      </c>
      <c r="B664" s="352" t="str">
        <f>IF(A664="","",VLOOKUP(A664,Materiais_Base!A:D,2,"FALSO"))</f>
        <v>Tubo de concreto armado PA1 - D = 0,40 m</v>
      </c>
      <c r="C664" s="353" t="str">
        <f>IF(A664="","",VLOOKUP(A664,Materiais_Base!A:D,3,"FALSO"))</f>
        <v>m</v>
      </c>
      <c r="D664" s="354" t="s">
        <v>932</v>
      </c>
      <c r="E664" s="355" t="str">
        <f t="shared" si="16"/>
        <v/>
      </c>
      <c r="F664" s="354"/>
      <c r="G664" s="345" t="str">
        <f>IF(D664="","",VLOOKUP(A664,Materiais_Base!A:D,4,"FALSO"))</f>
        <v/>
      </c>
    </row>
    <row r="665" hidden="1" customHeight="1" spans="1:7">
      <c r="A665" s="352" t="s">
        <v>14944</v>
      </c>
      <c r="B665" s="352" t="str">
        <f>IF(A665="","",VLOOKUP(A665,Materiais_Base!A:D,2,"FALSO"))</f>
        <v>Tubo de concreto armado PA2 - D = 0,40 m</v>
      </c>
      <c r="C665" s="353" t="str">
        <f>IF(A665="","",VLOOKUP(A665,Materiais_Base!A:D,3,"FALSO"))</f>
        <v>m</v>
      </c>
      <c r="D665" s="354" t="s">
        <v>932</v>
      </c>
      <c r="E665" s="355" t="str">
        <f t="shared" ref="E665:E728" si="17">IF(D665="","",MIN(D665,F665))</f>
        <v/>
      </c>
      <c r="F665" s="354"/>
      <c r="G665" s="345" t="str">
        <f>IF(D665="","",VLOOKUP(A665,Materiais_Base!A:D,4,"FALSO"))</f>
        <v/>
      </c>
    </row>
    <row r="666" hidden="1" customHeight="1" spans="1:7">
      <c r="A666" s="352" t="s">
        <v>14945</v>
      </c>
      <c r="B666" s="352" t="str">
        <f>IF(A666="","",VLOOKUP(A666,Materiais_Base!A:D,2,"FALSO"))</f>
        <v>Tubo de concreto armado PA3 - D = 0,40 m</v>
      </c>
      <c r="C666" s="353" t="str">
        <f>IF(A666="","",VLOOKUP(A666,Materiais_Base!A:D,3,"FALSO"))</f>
        <v>m</v>
      </c>
      <c r="D666" s="354" t="s">
        <v>932</v>
      </c>
      <c r="E666" s="355" t="str">
        <f t="shared" si="17"/>
        <v/>
      </c>
      <c r="F666" s="354"/>
      <c r="G666" s="345" t="str">
        <f>IF(D666="","",VLOOKUP(A666,Materiais_Base!A:D,4,"FALSO"))</f>
        <v/>
      </c>
    </row>
    <row r="667" hidden="1" customHeight="1" spans="1:7">
      <c r="A667" s="352" t="s">
        <v>14946</v>
      </c>
      <c r="B667" s="352" t="str">
        <f>IF(A667="","",VLOOKUP(A667,Materiais_Base!A:D,2,"FALSO"))</f>
        <v>Tubo de concreto armado PA4 - D = 0,40 m</v>
      </c>
      <c r="C667" s="353" t="str">
        <f>IF(A667="","",VLOOKUP(A667,Materiais_Base!A:D,3,"FALSO"))</f>
        <v>m</v>
      </c>
      <c r="D667" s="354" t="s">
        <v>932</v>
      </c>
      <c r="E667" s="355" t="str">
        <f t="shared" si="17"/>
        <v/>
      </c>
      <c r="F667" s="354"/>
      <c r="G667" s="345" t="str">
        <f>IF(D667="","",VLOOKUP(A667,Materiais_Base!A:D,4,"FALSO"))</f>
        <v/>
      </c>
    </row>
    <row r="668" hidden="1" customHeight="1" spans="1:7">
      <c r="A668" s="352" t="s">
        <v>14947</v>
      </c>
      <c r="B668" s="352" t="str">
        <f>IF(A668="","",VLOOKUP(A668,Materiais_Base!A:D,2,"FALSO"))</f>
        <v>Tubo de concreto armado PA1 - D = 0,60 m</v>
      </c>
      <c r="C668" s="353" t="str">
        <f>IF(A668="","",VLOOKUP(A668,Materiais_Base!A:D,3,"FALSO"))</f>
        <v>m</v>
      </c>
      <c r="D668" s="354" t="s">
        <v>932</v>
      </c>
      <c r="E668" s="355" t="str">
        <f t="shared" si="17"/>
        <v/>
      </c>
      <c r="F668" s="354"/>
      <c r="G668" s="345" t="str">
        <f>IF(D668="","",VLOOKUP(A668,Materiais_Base!A:D,4,"FALSO"))</f>
        <v/>
      </c>
    </row>
    <row r="669" hidden="1" customHeight="1" spans="1:7">
      <c r="A669" s="352" t="s">
        <v>14948</v>
      </c>
      <c r="B669" s="352" t="str">
        <f>IF(A669="","",VLOOKUP(A669,Materiais_Base!A:D,2,"FALSO"))</f>
        <v>Tubo de concreto armado PA2 - D = 0,60 m</v>
      </c>
      <c r="C669" s="353" t="str">
        <f>IF(A669="","",VLOOKUP(A669,Materiais_Base!A:D,3,"FALSO"))</f>
        <v>m</v>
      </c>
      <c r="D669" s="354" t="s">
        <v>932</v>
      </c>
      <c r="E669" s="355" t="str">
        <f t="shared" si="17"/>
        <v/>
      </c>
      <c r="F669" s="354"/>
      <c r="G669" s="345" t="str">
        <f>IF(D669="","",VLOOKUP(A669,Materiais_Base!A:D,4,"FALSO"))</f>
        <v/>
      </c>
    </row>
    <row r="670" hidden="1" customHeight="1" spans="1:7">
      <c r="A670" s="352" t="s">
        <v>14949</v>
      </c>
      <c r="B670" s="352" t="str">
        <f>IF(A670="","",VLOOKUP(A670,Materiais_Base!A:D,2,"FALSO"))</f>
        <v>Tubo de concreto armado PA3 - D = 0,60 m</v>
      </c>
      <c r="C670" s="353" t="str">
        <f>IF(A670="","",VLOOKUP(A670,Materiais_Base!A:D,3,"FALSO"))</f>
        <v>m</v>
      </c>
      <c r="D670" s="354" t="s">
        <v>932</v>
      </c>
      <c r="E670" s="355" t="str">
        <f t="shared" si="17"/>
        <v/>
      </c>
      <c r="F670" s="354"/>
      <c r="G670" s="345" t="str">
        <f>IF(D670="","",VLOOKUP(A670,Materiais_Base!A:D,4,"FALSO"))</f>
        <v/>
      </c>
    </row>
    <row r="671" hidden="1" customHeight="1" spans="1:7">
      <c r="A671" s="352" t="s">
        <v>14950</v>
      </c>
      <c r="B671" s="352" t="str">
        <f>IF(A671="","",VLOOKUP(A671,Materiais_Base!A:D,2,"FALSO"))</f>
        <v>Tubo de concreto armado PA4 - D = 0,60 m</v>
      </c>
      <c r="C671" s="353" t="str">
        <f>IF(A671="","",VLOOKUP(A671,Materiais_Base!A:D,3,"FALSO"))</f>
        <v>m</v>
      </c>
      <c r="D671" s="354" t="s">
        <v>932</v>
      </c>
      <c r="E671" s="355" t="str">
        <f t="shared" si="17"/>
        <v/>
      </c>
      <c r="F671" s="354"/>
      <c r="G671" s="345" t="str">
        <f>IF(D671="","",VLOOKUP(A671,Materiais_Base!A:D,4,"FALSO"))</f>
        <v/>
      </c>
    </row>
    <row r="672" hidden="1" customHeight="1" spans="1:7">
      <c r="A672" s="352" t="s">
        <v>14951</v>
      </c>
      <c r="B672" s="352" t="str">
        <f>IF(A672="","",VLOOKUP(A672,Materiais_Base!A:D,2,"FALSO"))</f>
        <v>Tubo de concreto armado PA1 - D = 0,80 m</v>
      </c>
      <c r="C672" s="353" t="str">
        <f>IF(A672="","",VLOOKUP(A672,Materiais_Base!A:D,3,"FALSO"))</f>
        <v>m</v>
      </c>
      <c r="D672" s="354" t="s">
        <v>932</v>
      </c>
      <c r="E672" s="355" t="str">
        <f t="shared" si="17"/>
        <v/>
      </c>
      <c r="F672" s="354"/>
      <c r="G672" s="345" t="str">
        <f>IF(D672="","",VLOOKUP(A672,Materiais_Base!A:D,4,"FALSO"))</f>
        <v/>
      </c>
    </row>
    <row r="673" hidden="1" customHeight="1" spans="1:7">
      <c r="A673" s="352" t="s">
        <v>14952</v>
      </c>
      <c r="B673" s="352" t="str">
        <f>IF(A673="","",VLOOKUP(A673,Materiais_Base!A:D,2,"FALSO"))</f>
        <v>Tubo de concreto armado PA2 - D = 0,80 m</v>
      </c>
      <c r="C673" s="353" t="str">
        <f>IF(A673="","",VLOOKUP(A673,Materiais_Base!A:D,3,"FALSO"))</f>
        <v>m</v>
      </c>
      <c r="D673" s="354" t="s">
        <v>932</v>
      </c>
      <c r="E673" s="355" t="str">
        <f t="shared" si="17"/>
        <v/>
      </c>
      <c r="F673" s="354"/>
      <c r="G673" s="345" t="str">
        <f>IF(D673="","",VLOOKUP(A673,Materiais_Base!A:D,4,"FALSO"))</f>
        <v/>
      </c>
    </row>
    <row r="674" hidden="1" customHeight="1" spans="1:7">
      <c r="A674" s="352" t="s">
        <v>14953</v>
      </c>
      <c r="B674" s="352" t="str">
        <f>IF(A674="","",VLOOKUP(A674,Materiais_Base!A:D,2,"FALSO"))</f>
        <v>Tubo de concreto armado PA3 - D = 0,80 m</v>
      </c>
      <c r="C674" s="353" t="str">
        <f>IF(A674="","",VLOOKUP(A674,Materiais_Base!A:D,3,"FALSO"))</f>
        <v>m</v>
      </c>
      <c r="D674" s="354" t="s">
        <v>932</v>
      </c>
      <c r="E674" s="355" t="str">
        <f t="shared" si="17"/>
        <v/>
      </c>
      <c r="F674" s="354"/>
      <c r="G674" s="345" t="str">
        <f>IF(D674="","",VLOOKUP(A674,Materiais_Base!A:D,4,"FALSO"))</f>
        <v/>
      </c>
    </row>
    <row r="675" hidden="1" customHeight="1" spans="1:7">
      <c r="A675" s="352" t="s">
        <v>14954</v>
      </c>
      <c r="B675" s="352" t="str">
        <f>IF(A675="","",VLOOKUP(A675,Materiais_Base!A:D,2,"FALSO"))</f>
        <v>Tubo de concreto armado PA4 - D = 0,80 m</v>
      </c>
      <c r="C675" s="353" t="str">
        <f>IF(A675="","",VLOOKUP(A675,Materiais_Base!A:D,3,"FALSO"))</f>
        <v>m</v>
      </c>
      <c r="D675" s="354" t="s">
        <v>932</v>
      </c>
      <c r="E675" s="355" t="str">
        <f t="shared" si="17"/>
        <v/>
      </c>
      <c r="F675" s="354"/>
      <c r="G675" s="345" t="str">
        <f>IF(D675="","",VLOOKUP(A675,Materiais_Base!A:D,4,"FALSO"))</f>
        <v/>
      </c>
    </row>
    <row r="676" hidden="1" customHeight="1" spans="1:7">
      <c r="A676" s="352" t="s">
        <v>14955</v>
      </c>
      <c r="B676" s="352" t="str">
        <f>IF(A676="","",VLOOKUP(A676,Materiais_Base!A:D,2,"FALSO"))</f>
        <v>Tubo de concreto armado PA1 - D = 1,00 m</v>
      </c>
      <c r="C676" s="353" t="str">
        <f>IF(A676="","",VLOOKUP(A676,Materiais_Base!A:D,3,"FALSO"))</f>
        <v>m</v>
      </c>
      <c r="D676" s="354" t="s">
        <v>932</v>
      </c>
      <c r="E676" s="355" t="str">
        <f t="shared" si="17"/>
        <v/>
      </c>
      <c r="F676" s="354"/>
      <c r="G676" s="345" t="str">
        <f>IF(D676="","",VLOOKUP(A676,Materiais_Base!A:D,4,"FALSO"))</f>
        <v/>
      </c>
    </row>
    <row r="677" hidden="1" customHeight="1" spans="1:7">
      <c r="A677" s="352" t="s">
        <v>14956</v>
      </c>
      <c r="B677" s="352" t="str">
        <f>IF(A677="","",VLOOKUP(A677,Materiais_Base!A:D,2,"FALSO"))</f>
        <v>Tubo de concreto armado PA2 - D = 1,00 m</v>
      </c>
      <c r="C677" s="353" t="str">
        <f>IF(A677="","",VLOOKUP(A677,Materiais_Base!A:D,3,"FALSO"))</f>
        <v>m</v>
      </c>
      <c r="D677" s="354" t="s">
        <v>932</v>
      </c>
      <c r="E677" s="355" t="str">
        <f t="shared" si="17"/>
        <v/>
      </c>
      <c r="F677" s="354"/>
      <c r="G677" s="345" t="str">
        <f>IF(D677="","",VLOOKUP(A677,Materiais_Base!A:D,4,"FALSO"))</f>
        <v/>
      </c>
    </row>
    <row r="678" hidden="1" customHeight="1" spans="1:7">
      <c r="A678" s="352" t="s">
        <v>14957</v>
      </c>
      <c r="B678" s="352" t="str">
        <f>IF(A678="","",VLOOKUP(A678,Materiais_Base!A:D,2,"FALSO"))</f>
        <v>Tubo de concreto armado PA3 - D = 1,00 m</v>
      </c>
      <c r="C678" s="353" t="str">
        <f>IF(A678="","",VLOOKUP(A678,Materiais_Base!A:D,3,"FALSO"))</f>
        <v>m</v>
      </c>
      <c r="D678" s="354" t="s">
        <v>932</v>
      </c>
      <c r="E678" s="355" t="str">
        <f t="shared" si="17"/>
        <v/>
      </c>
      <c r="F678" s="354"/>
      <c r="G678" s="345" t="str">
        <f>IF(D678="","",VLOOKUP(A678,Materiais_Base!A:D,4,"FALSO"))</f>
        <v/>
      </c>
    </row>
    <row r="679" hidden="1" customHeight="1" spans="1:7">
      <c r="A679" s="352" t="s">
        <v>14958</v>
      </c>
      <c r="B679" s="352" t="str">
        <f>IF(A679="","",VLOOKUP(A679,Materiais_Base!A:D,2,"FALSO"))</f>
        <v>Tubo de concreto armado PA4 - D = 1,00 m</v>
      </c>
      <c r="C679" s="353" t="str">
        <f>IF(A679="","",VLOOKUP(A679,Materiais_Base!A:D,3,"FALSO"))</f>
        <v>m</v>
      </c>
      <c r="D679" s="354" t="s">
        <v>932</v>
      </c>
      <c r="E679" s="355" t="str">
        <f t="shared" si="17"/>
        <v/>
      </c>
      <c r="F679" s="354"/>
      <c r="G679" s="345" t="str">
        <f>IF(D679="","",VLOOKUP(A679,Materiais_Base!A:D,4,"FALSO"))</f>
        <v/>
      </c>
    </row>
    <row r="680" hidden="1" customHeight="1" spans="1:7">
      <c r="A680" s="352" t="s">
        <v>14959</v>
      </c>
      <c r="B680" s="352" t="str">
        <f>IF(A680="","",VLOOKUP(A680,Materiais_Base!A:D,2,"FALSO"))</f>
        <v>Tubo de concreto armado PA1 - D = 1,20 m</v>
      </c>
      <c r="C680" s="353" t="str">
        <f>IF(A680="","",VLOOKUP(A680,Materiais_Base!A:D,3,"FALSO"))</f>
        <v>m</v>
      </c>
      <c r="D680" s="354" t="s">
        <v>932</v>
      </c>
      <c r="E680" s="355" t="str">
        <f t="shared" si="17"/>
        <v/>
      </c>
      <c r="F680" s="354"/>
      <c r="G680" s="345" t="str">
        <f>IF(D680="","",VLOOKUP(A680,Materiais_Base!A:D,4,"FALSO"))</f>
        <v/>
      </c>
    </row>
    <row r="681" hidden="1" customHeight="1" spans="1:7">
      <c r="A681" s="352" t="s">
        <v>14960</v>
      </c>
      <c r="B681" s="352" t="str">
        <f>IF(A681="","",VLOOKUP(A681,Materiais_Base!A:D,2,"FALSO"))</f>
        <v>Tubo de concreto armado PA2 - D = 1,20 m</v>
      </c>
      <c r="C681" s="353" t="str">
        <f>IF(A681="","",VLOOKUP(A681,Materiais_Base!A:D,3,"FALSO"))</f>
        <v>m</v>
      </c>
      <c r="D681" s="354" t="s">
        <v>932</v>
      </c>
      <c r="E681" s="355" t="str">
        <f t="shared" si="17"/>
        <v/>
      </c>
      <c r="F681" s="354"/>
      <c r="G681" s="345" t="str">
        <f>IF(D681="","",VLOOKUP(A681,Materiais_Base!A:D,4,"FALSO"))</f>
        <v/>
      </c>
    </row>
    <row r="682" hidden="1" customHeight="1" spans="1:7">
      <c r="A682" s="352" t="s">
        <v>14961</v>
      </c>
      <c r="B682" s="352" t="str">
        <f>IF(A682="","",VLOOKUP(A682,Materiais_Base!A:D,2,"FALSO"))</f>
        <v>Tubo de concreto armado PA3 - D = 1,20 m</v>
      </c>
      <c r="C682" s="353" t="str">
        <f>IF(A682="","",VLOOKUP(A682,Materiais_Base!A:D,3,"FALSO"))</f>
        <v>m</v>
      </c>
      <c r="D682" s="354" t="s">
        <v>932</v>
      </c>
      <c r="E682" s="355" t="str">
        <f t="shared" si="17"/>
        <v/>
      </c>
      <c r="F682" s="354"/>
      <c r="G682" s="345" t="str">
        <f>IF(D682="","",VLOOKUP(A682,Materiais_Base!A:D,4,"FALSO"))</f>
        <v/>
      </c>
    </row>
    <row r="683" hidden="1" customHeight="1" spans="1:7">
      <c r="A683" s="352" t="s">
        <v>14962</v>
      </c>
      <c r="B683" s="352" t="str">
        <f>IF(A683="","",VLOOKUP(A683,Materiais_Base!A:D,2,"FALSO"))</f>
        <v>Tubo de concreto armado PA4 - D = 1,20 m</v>
      </c>
      <c r="C683" s="353" t="str">
        <f>IF(A683="","",VLOOKUP(A683,Materiais_Base!A:D,3,"FALSO"))</f>
        <v>m</v>
      </c>
      <c r="D683" s="354" t="s">
        <v>932</v>
      </c>
      <c r="E683" s="355" t="str">
        <f t="shared" si="17"/>
        <v/>
      </c>
      <c r="F683" s="354"/>
      <c r="G683" s="345" t="str">
        <f>IF(D683="","",VLOOKUP(A683,Materiais_Base!A:D,4,"FALSO"))</f>
        <v/>
      </c>
    </row>
    <row r="684" hidden="1" customHeight="1" spans="1:7">
      <c r="A684" s="352" t="s">
        <v>14963</v>
      </c>
      <c r="B684" s="352" t="str">
        <f>IF(A684="","",VLOOKUP(A684,Materiais_Base!A:D,2,"FALSO"))</f>
        <v>Tubo de concreto armado PA1 - D = 1,50 m</v>
      </c>
      <c r="C684" s="353" t="str">
        <f>IF(A684="","",VLOOKUP(A684,Materiais_Base!A:D,3,"FALSO"))</f>
        <v>m</v>
      </c>
      <c r="D684" s="354" t="s">
        <v>932</v>
      </c>
      <c r="E684" s="355" t="str">
        <f t="shared" si="17"/>
        <v/>
      </c>
      <c r="F684" s="354"/>
      <c r="G684" s="345" t="str">
        <f>IF(D684="","",VLOOKUP(A684,Materiais_Base!A:D,4,"FALSO"))</f>
        <v/>
      </c>
    </row>
    <row r="685" hidden="1" customHeight="1" spans="1:7">
      <c r="A685" s="352" t="s">
        <v>14964</v>
      </c>
      <c r="B685" s="352" t="str">
        <f>IF(A685="","",VLOOKUP(A685,Materiais_Base!A:D,2,"FALSO"))</f>
        <v>Tubo de concreto armado PA2 - D = 1,50 m</v>
      </c>
      <c r="C685" s="353" t="str">
        <f>IF(A685="","",VLOOKUP(A685,Materiais_Base!A:D,3,"FALSO"))</f>
        <v>m</v>
      </c>
      <c r="D685" s="354" t="s">
        <v>932</v>
      </c>
      <c r="E685" s="355" t="str">
        <f t="shared" si="17"/>
        <v/>
      </c>
      <c r="F685" s="354"/>
      <c r="G685" s="345" t="str">
        <f>IF(D685="","",VLOOKUP(A685,Materiais_Base!A:D,4,"FALSO"))</f>
        <v/>
      </c>
    </row>
    <row r="686" hidden="1" customHeight="1" spans="1:7">
      <c r="A686" s="352" t="s">
        <v>14965</v>
      </c>
      <c r="B686" s="352" t="str">
        <f>IF(A686="","",VLOOKUP(A686,Materiais_Base!A:D,2,"FALSO"))</f>
        <v>Tubo de concreto armado PA3 - D = 1,50 m</v>
      </c>
      <c r="C686" s="353" t="str">
        <f>IF(A686="","",VLOOKUP(A686,Materiais_Base!A:D,3,"FALSO"))</f>
        <v>m</v>
      </c>
      <c r="D686" s="354" t="s">
        <v>932</v>
      </c>
      <c r="E686" s="355" t="str">
        <f t="shared" si="17"/>
        <v/>
      </c>
      <c r="F686" s="354"/>
      <c r="G686" s="345" t="str">
        <f>IF(D686="","",VLOOKUP(A686,Materiais_Base!A:D,4,"FALSO"))</f>
        <v/>
      </c>
    </row>
    <row r="687" hidden="1" customHeight="1" spans="1:7">
      <c r="A687" s="352" t="s">
        <v>14966</v>
      </c>
      <c r="B687" s="352" t="str">
        <f>IF(A687="","",VLOOKUP(A687,Materiais_Base!A:D,2,"FALSO"))</f>
        <v>Tubo de concreto armado PA4 - D = 1,50 m</v>
      </c>
      <c r="C687" s="353" t="str">
        <f>IF(A687="","",VLOOKUP(A687,Materiais_Base!A:D,3,"FALSO"))</f>
        <v>m</v>
      </c>
      <c r="D687" s="354" t="s">
        <v>932</v>
      </c>
      <c r="E687" s="355" t="str">
        <f t="shared" si="17"/>
        <v/>
      </c>
      <c r="F687" s="354"/>
      <c r="G687" s="345" t="str">
        <f>IF(D687="","",VLOOKUP(A687,Materiais_Base!A:D,4,"FALSO"))</f>
        <v/>
      </c>
    </row>
    <row r="688" hidden="1" customHeight="1" spans="1:7">
      <c r="A688" s="352" t="s">
        <v>14967</v>
      </c>
      <c r="B688" s="352" t="str">
        <f>IF(A688="","",VLOOKUP(A688,Materiais_Base!A:D,2,"FALSO"))</f>
        <v>Tubo de concreto armado PA1 - D = 0,50 m</v>
      </c>
      <c r="C688" s="353" t="str">
        <f>IF(A688="","",VLOOKUP(A688,Materiais_Base!A:D,3,"FALSO"))</f>
        <v>m</v>
      </c>
      <c r="D688" s="354" t="s">
        <v>932</v>
      </c>
      <c r="E688" s="355" t="str">
        <f t="shared" si="17"/>
        <v/>
      </c>
      <c r="F688" s="354"/>
      <c r="G688" s="345" t="str">
        <f>IF(D688="","",VLOOKUP(A688,Materiais_Base!A:D,4,"FALSO"))</f>
        <v/>
      </c>
    </row>
    <row r="689" hidden="1" customHeight="1" spans="1:7">
      <c r="A689" s="352" t="s">
        <v>14968</v>
      </c>
      <c r="B689" s="352" t="str">
        <f>IF(A689="","",VLOOKUP(A689,Materiais_Base!A:D,2,"FALSO"))</f>
        <v>Tubo de concreto armado PA2 - D = 0,50 m</v>
      </c>
      <c r="C689" s="353" t="str">
        <f>IF(A689="","",VLOOKUP(A689,Materiais_Base!A:D,3,"FALSO"))</f>
        <v>m</v>
      </c>
      <c r="D689" s="354" t="s">
        <v>932</v>
      </c>
      <c r="E689" s="355" t="str">
        <f t="shared" si="17"/>
        <v/>
      </c>
      <c r="F689" s="354"/>
      <c r="G689" s="345" t="str">
        <f>IF(D689="","",VLOOKUP(A689,Materiais_Base!A:D,4,"FALSO"))</f>
        <v/>
      </c>
    </row>
    <row r="690" hidden="1" customHeight="1" spans="1:7">
      <c r="A690" s="352" t="s">
        <v>14969</v>
      </c>
      <c r="B690" s="352" t="str">
        <f>IF(A690="","",VLOOKUP(A690,Materiais_Base!A:D,2,"FALSO"))</f>
        <v>Tubo de concreto armado PA3 - D = 0,50 m</v>
      </c>
      <c r="C690" s="353" t="str">
        <f>IF(A690="","",VLOOKUP(A690,Materiais_Base!A:D,3,"FALSO"))</f>
        <v>m</v>
      </c>
      <c r="D690" s="354" t="s">
        <v>932</v>
      </c>
      <c r="E690" s="355" t="str">
        <f t="shared" si="17"/>
        <v/>
      </c>
      <c r="F690" s="354"/>
      <c r="G690" s="345" t="str">
        <f>IF(D690="","",VLOOKUP(A690,Materiais_Base!A:D,4,"FALSO"))</f>
        <v/>
      </c>
    </row>
    <row r="691" hidden="1" customHeight="1" spans="1:7">
      <c r="A691" s="352" t="s">
        <v>14970</v>
      </c>
      <c r="B691" s="352" t="str">
        <f>IF(A691="","",VLOOKUP(A691,Materiais_Base!A:D,2,"FALSO"))</f>
        <v>Tubo de concreto armado PA4 - D = 0,50 m</v>
      </c>
      <c r="C691" s="353" t="str">
        <f>IF(A691="","",VLOOKUP(A691,Materiais_Base!A:D,3,"FALSO"))</f>
        <v>m</v>
      </c>
      <c r="D691" s="354" t="s">
        <v>932</v>
      </c>
      <c r="E691" s="355" t="str">
        <f t="shared" si="17"/>
        <v/>
      </c>
      <c r="F691" s="354"/>
      <c r="G691" s="345" t="str">
        <f>IF(D691="","",VLOOKUP(A691,Materiais_Base!A:D,4,"FALSO"))</f>
        <v/>
      </c>
    </row>
    <row r="692" hidden="1" customHeight="1" spans="1:7">
      <c r="A692" s="352" t="s">
        <v>14971</v>
      </c>
      <c r="B692" s="352" t="str">
        <f>IF(A692="","",VLOOKUP(A692,Materiais_Base!A:D,2,"FALSO"))</f>
        <v>Coroa de widia linha HWG</v>
      </c>
      <c r="C692" s="353" t="str">
        <f>IF(A692="","",VLOOKUP(A692,Materiais_Base!A:D,3,"FALSO"))</f>
        <v>un</v>
      </c>
      <c r="D692" s="354" t="s">
        <v>932</v>
      </c>
      <c r="E692" s="355" t="str">
        <f t="shared" si="17"/>
        <v/>
      </c>
      <c r="F692" s="354"/>
      <c r="G692" s="345" t="str">
        <f>IF(D692="","",VLOOKUP(A692,Materiais_Base!A:D,4,"FALSO"))</f>
        <v/>
      </c>
    </row>
    <row r="693" hidden="1" customHeight="1" spans="1:7">
      <c r="A693" s="352" t="s">
        <v>14972</v>
      </c>
      <c r="B693" s="352" t="str">
        <f>IF(A693="","",VLOOKUP(A693,Materiais_Base!A:D,2,"FALSO"))</f>
        <v>Coroa de widia linha NWG</v>
      </c>
      <c r="C693" s="353" t="str">
        <f>IF(A693="","",VLOOKUP(A693,Materiais_Base!A:D,3,"FALSO"))</f>
        <v>un</v>
      </c>
      <c r="D693" s="354" t="s">
        <v>932</v>
      </c>
      <c r="E693" s="355" t="str">
        <f t="shared" si="17"/>
        <v/>
      </c>
      <c r="F693" s="354"/>
      <c r="G693" s="345" t="str">
        <f>IF(D693="","",VLOOKUP(A693,Materiais_Base!A:D,4,"FALSO"))</f>
        <v/>
      </c>
    </row>
    <row r="694" hidden="1" customHeight="1" spans="1:7">
      <c r="A694" s="352" t="s">
        <v>14973</v>
      </c>
      <c r="B694" s="352" t="str">
        <f>IF(A694="","",VLOOKUP(A694,Materiais_Base!A:D,2,"FALSO"))</f>
        <v>Haste de paredes paralelas com niple linha NW</v>
      </c>
      <c r="C694" s="353" t="str">
        <f>IF(A694="","",VLOOKUP(A694,Materiais_Base!A:D,3,"FALSO"))</f>
        <v>m</v>
      </c>
      <c r="D694" s="354" t="s">
        <v>932</v>
      </c>
      <c r="E694" s="355" t="str">
        <f t="shared" si="17"/>
        <v/>
      </c>
      <c r="F694" s="354"/>
      <c r="G694" s="345" t="str">
        <f>IF(D694="","",VLOOKUP(A694,Materiais_Base!A:D,4,"FALSO"))</f>
        <v/>
      </c>
    </row>
    <row r="695" hidden="1" customHeight="1" spans="1:7">
      <c r="A695" s="352" t="s">
        <v>14974</v>
      </c>
      <c r="B695" s="352" t="str">
        <f>IF(A695="","",VLOOKUP(A695,Materiais_Base!A:D,2,"FALSO"))</f>
        <v>Trilho UIC60 em aço-carbono - C = 12 m</v>
      </c>
      <c r="C695" s="353" t="str">
        <f>IF(A695="","",VLOOKUP(A695,Materiais_Base!A:D,3,"FALSO"))</f>
        <v>t</v>
      </c>
      <c r="D695" s="354" t="s">
        <v>932</v>
      </c>
      <c r="E695" s="355" t="str">
        <f t="shared" si="17"/>
        <v/>
      </c>
      <c r="F695" s="354"/>
      <c r="G695" s="345" t="str">
        <f>IF(D695="","",VLOOKUP(A695,Materiais_Base!A:D,4,"FALSO"))</f>
        <v/>
      </c>
    </row>
    <row r="696" hidden="1" customHeight="1" spans="1:7">
      <c r="A696" s="352" t="s">
        <v>14975</v>
      </c>
      <c r="B696" s="352" t="str">
        <f>IF(A696="","",VLOOKUP(A696,Materiais_Base!A:D,2,"FALSO"))</f>
        <v>Trilho TR45 em aço-carbono - C = 12 m</v>
      </c>
      <c r="C696" s="353" t="str">
        <f>IF(A696="","",VLOOKUP(A696,Materiais_Base!A:D,3,"FALSO"))</f>
        <v>t</v>
      </c>
      <c r="D696" s="354" t="s">
        <v>932</v>
      </c>
      <c r="E696" s="355" t="str">
        <f t="shared" si="17"/>
        <v/>
      </c>
      <c r="F696" s="354"/>
      <c r="G696" s="345" t="str">
        <f>IF(D696="","",VLOOKUP(A696,Materiais_Base!A:D,4,"FALSO"))</f>
        <v/>
      </c>
    </row>
    <row r="697" hidden="1" customHeight="1" spans="1:7">
      <c r="A697" s="352" t="s">
        <v>14976</v>
      </c>
      <c r="B697" s="352" t="str">
        <f>IF(A697="","",VLOOKUP(A697,Materiais_Base!A:D,2,"FALSO"))</f>
        <v>Trilho TR57 em aço-carbono - C = 12 m</v>
      </c>
      <c r="C697" s="353" t="str">
        <f>IF(A697="","",VLOOKUP(A697,Materiais_Base!A:D,3,"FALSO"))</f>
        <v>t</v>
      </c>
      <c r="D697" s="354" t="s">
        <v>932</v>
      </c>
      <c r="E697" s="355" t="str">
        <f t="shared" si="17"/>
        <v/>
      </c>
      <c r="F697" s="354"/>
      <c r="G697" s="345" t="str">
        <f>IF(D697="","",VLOOKUP(A697,Materiais_Base!A:D,4,"FALSO"))</f>
        <v/>
      </c>
    </row>
    <row r="698" hidden="1" customHeight="1" spans="1:7">
      <c r="A698" s="352" t="s">
        <v>14977</v>
      </c>
      <c r="B698" s="352" t="str">
        <f>IF(A698="","",VLOOKUP(A698,Materiais_Base!A:D,2,"FALSO"))</f>
        <v>Trilho TR68 em aço-carbono - C = 12 m</v>
      </c>
      <c r="C698" s="353" t="str">
        <f>IF(A698="","",VLOOKUP(A698,Materiais_Base!A:D,3,"FALSO"))</f>
        <v>t</v>
      </c>
      <c r="D698" s="354" t="s">
        <v>932</v>
      </c>
      <c r="E698" s="355" t="str">
        <f t="shared" si="17"/>
        <v/>
      </c>
      <c r="F698" s="354"/>
      <c r="G698" s="345" t="str">
        <f>IF(D698="","",VLOOKUP(A698,Materiais_Base!A:D,4,"FALSO"))</f>
        <v/>
      </c>
    </row>
    <row r="699" hidden="1" customHeight="1" spans="1:7">
      <c r="A699" s="352" t="s">
        <v>14978</v>
      </c>
      <c r="B699" s="352" t="str">
        <f>IF(A699="","",VLOOKUP(A699,Materiais_Base!A:D,2,"FALSO"))</f>
        <v>Lubrificador de trilhos e de flanges de rodas</v>
      </c>
      <c r="C699" s="353" t="str">
        <f>IF(A699="","",VLOOKUP(A699,Materiais_Base!A:D,3,"FALSO"))</f>
        <v>un</v>
      </c>
      <c r="D699" s="354" t="s">
        <v>932</v>
      </c>
      <c r="E699" s="355" t="str">
        <f t="shared" si="17"/>
        <v/>
      </c>
      <c r="F699" s="354"/>
      <c r="G699" s="345" t="str">
        <f>IF(D699="","",VLOOKUP(A699,Materiais_Base!A:D,4,"FALSO"))</f>
        <v/>
      </c>
    </row>
    <row r="700" hidden="1" customHeight="1" spans="1:7">
      <c r="A700" s="352" t="s">
        <v>14979</v>
      </c>
      <c r="B700" s="352" t="str">
        <f>IF(A700="","",VLOOKUP(A700,Materiais_Base!A:D,2,"FALSO"))</f>
        <v>Tirefão - D = 24 mm e C = 188 mm</v>
      </c>
      <c r="C700" s="353" t="str">
        <f>IF(A700="","",VLOOKUP(A700,Materiais_Base!A:D,3,"FALSO"))</f>
        <v>un</v>
      </c>
      <c r="D700" s="354" t="s">
        <v>932</v>
      </c>
      <c r="E700" s="355" t="str">
        <f t="shared" si="17"/>
        <v/>
      </c>
      <c r="F700" s="354"/>
      <c r="G700" s="345" t="str">
        <f>IF(D700="","",VLOOKUP(A700,Materiais_Base!A:D,4,"FALSO"))</f>
        <v/>
      </c>
    </row>
    <row r="701" hidden="1" customHeight="1" spans="1:7">
      <c r="A701" s="352" t="s">
        <v>14980</v>
      </c>
      <c r="B701" s="352" t="str">
        <f>IF(A701="","",VLOOKUP(A701,Materiais_Base!A:D,2,"FALSO"))</f>
        <v>Tirefão - D = 22 mm e C = 155 mm</v>
      </c>
      <c r="C701" s="353" t="str">
        <f>IF(A701="","",VLOOKUP(A701,Materiais_Base!A:D,3,"FALSO"))</f>
        <v>un</v>
      </c>
      <c r="D701" s="354" t="s">
        <v>932</v>
      </c>
      <c r="E701" s="355" t="str">
        <f t="shared" si="17"/>
        <v/>
      </c>
      <c r="F701" s="354"/>
      <c r="G701" s="345" t="str">
        <f>IF(D701="","",VLOOKUP(A701,Materiais_Base!A:D,4,"FALSO"))</f>
        <v/>
      </c>
    </row>
    <row r="702" hidden="1" customHeight="1" spans="1:7">
      <c r="A702" s="352" t="s">
        <v>14981</v>
      </c>
      <c r="B702" s="352" t="str">
        <f>IF(A702="","",VLOOKUP(A702,Materiais_Base!A:D,2,"FALSO"))</f>
        <v>Retensor para via férrea de TR45</v>
      </c>
      <c r="C702" s="353" t="str">
        <f>IF(A702="","",VLOOKUP(A702,Materiais_Base!A:D,3,"FALSO"))</f>
        <v>un</v>
      </c>
      <c r="D702" s="354" t="s">
        <v>932</v>
      </c>
      <c r="E702" s="355" t="str">
        <f t="shared" si="17"/>
        <v/>
      </c>
      <c r="F702" s="354"/>
      <c r="G702" s="345" t="str">
        <f>IF(D702="","",VLOOKUP(A702,Materiais_Base!A:D,4,"FALSO"))</f>
        <v/>
      </c>
    </row>
    <row r="703" hidden="1" customHeight="1" spans="1:7">
      <c r="A703" s="352" t="s">
        <v>14982</v>
      </c>
      <c r="B703" s="352" t="str">
        <f>IF(A703="","",VLOOKUP(A703,Materiais_Base!A:D,2,"FALSO"))</f>
        <v>Retensor para via férrea de TR57</v>
      </c>
      <c r="C703" s="353" t="str">
        <f>IF(A703="","",VLOOKUP(A703,Materiais_Base!A:D,3,"FALSO"))</f>
        <v>un</v>
      </c>
      <c r="D703" s="354" t="s">
        <v>932</v>
      </c>
      <c r="E703" s="355" t="str">
        <f t="shared" si="17"/>
        <v/>
      </c>
      <c r="F703" s="354"/>
      <c r="G703" s="345" t="str">
        <f>IF(D703="","",VLOOKUP(A703,Materiais_Base!A:D,4,"FALSO"))</f>
        <v/>
      </c>
    </row>
    <row r="704" hidden="1" customHeight="1" spans="1:7">
      <c r="A704" s="352" t="s">
        <v>14983</v>
      </c>
      <c r="B704" s="352" t="str">
        <f>IF(A704="","",VLOOKUP(A704,Materiais_Base!A:D,2,"FALSO"))</f>
        <v>Retensor para via férrea de TR68</v>
      </c>
      <c r="C704" s="353" t="str">
        <f>IF(A704="","",VLOOKUP(A704,Materiais_Base!A:D,3,"FALSO"))</f>
        <v>un</v>
      </c>
      <c r="D704" s="354" t="s">
        <v>932</v>
      </c>
      <c r="E704" s="355" t="str">
        <f t="shared" si="17"/>
        <v/>
      </c>
      <c r="F704" s="354"/>
      <c r="G704" s="345" t="str">
        <f>IF(D704="","",VLOOKUP(A704,Materiais_Base!A:D,4,"FALSO"))</f>
        <v/>
      </c>
    </row>
    <row r="705" hidden="1" customHeight="1" spans="1:7">
      <c r="A705" s="352" t="s">
        <v>14984</v>
      </c>
      <c r="B705" s="352" t="str">
        <f>IF(A705="","",VLOOKUP(A705,Materiais_Base!A:D,2,"FALSO"))</f>
        <v>Placa de apoio em aço laminado para UIC60 com fixação rígida</v>
      </c>
      <c r="C705" s="353" t="str">
        <f>IF(A705="","",VLOOKUP(A705,Materiais_Base!A:D,3,"FALSO"))</f>
        <v>un</v>
      </c>
      <c r="D705" s="354" t="s">
        <v>932</v>
      </c>
      <c r="E705" s="355" t="str">
        <f t="shared" si="17"/>
        <v/>
      </c>
      <c r="F705" s="354"/>
      <c r="G705" s="345" t="str">
        <f>IF(D705="","",VLOOKUP(A705,Materiais_Base!A:D,4,"FALSO"))</f>
        <v/>
      </c>
    </row>
    <row r="706" hidden="1" customHeight="1" spans="1:7">
      <c r="A706" s="352" t="s">
        <v>14985</v>
      </c>
      <c r="B706" s="352" t="str">
        <f>IF(A706="","",VLOOKUP(A706,Materiais_Base!A:D,2,"FALSO"))</f>
        <v>Grampo elástico Pandrol para fixação elástica</v>
      </c>
      <c r="C706" s="353" t="str">
        <f>IF(A706="","",VLOOKUP(A706,Materiais_Base!A:D,3,"FALSO"))</f>
        <v>un</v>
      </c>
      <c r="D706" s="354" t="s">
        <v>932</v>
      </c>
      <c r="E706" s="355" t="str">
        <f t="shared" si="17"/>
        <v/>
      </c>
      <c r="F706" s="354"/>
      <c r="G706" s="345" t="str">
        <f>IF(D706="","",VLOOKUP(A706,Materiais_Base!A:D,4,"FALSO"))</f>
        <v/>
      </c>
    </row>
    <row r="707" hidden="1" customHeight="1" spans="1:7">
      <c r="A707" s="352" t="s">
        <v>14986</v>
      </c>
      <c r="B707" s="352" t="str">
        <f>IF(A707="","",VLOOKUP(A707,Materiais_Base!A:D,2,"FALSO"))</f>
        <v>Placa de apoio em aço laminado para TR45 com fixação elástica</v>
      </c>
      <c r="C707" s="353" t="str">
        <f>IF(A707="","",VLOOKUP(A707,Materiais_Base!A:D,3,"FALSO"))</f>
        <v>un</v>
      </c>
      <c r="D707" s="354" t="s">
        <v>932</v>
      </c>
      <c r="E707" s="355" t="str">
        <f t="shared" si="17"/>
        <v/>
      </c>
      <c r="F707" s="354"/>
      <c r="G707" s="345" t="str">
        <f>IF(D707="","",VLOOKUP(A707,Materiais_Base!A:D,4,"FALSO"))</f>
        <v/>
      </c>
    </row>
    <row r="708" hidden="1" customHeight="1" spans="1:7">
      <c r="A708" s="352" t="s">
        <v>14987</v>
      </c>
      <c r="B708" s="352" t="str">
        <f>IF(A708="","",VLOOKUP(A708,Materiais_Base!A:D,2,"FALSO"))</f>
        <v>Placa de apoio em aço laminado para TR57 com fixação elástica</v>
      </c>
      <c r="C708" s="353" t="str">
        <f>IF(A708="","",VLOOKUP(A708,Materiais_Base!A:D,3,"FALSO"))</f>
        <v>un</v>
      </c>
      <c r="D708" s="354" t="s">
        <v>932</v>
      </c>
      <c r="E708" s="355" t="str">
        <f t="shared" si="17"/>
        <v/>
      </c>
      <c r="F708" s="354"/>
      <c r="G708" s="345" t="str">
        <f>IF(D708="","",VLOOKUP(A708,Materiais_Base!A:D,4,"FALSO"))</f>
        <v/>
      </c>
    </row>
    <row r="709" hidden="1" customHeight="1" spans="1:7">
      <c r="A709" s="352" t="s">
        <v>14988</v>
      </c>
      <c r="B709" s="352" t="str">
        <f>IF(A709="","",VLOOKUP(A709,Materiais_Base!A:D,2,"FALSO"))</f>
        <v>Placa de apoio em aço laminado para TR68 com fixação elástica</v>
      </c>
      <c r="C709" s="353" t="str">
        <f>IF(A709="","",VLOOKUP(A709,Materiais_Base!A:D,3,"FALSO"))</f>
        <v>un</v>
      </c>
      <c r="D709" s="354" t="s">
        <v>932</v>
      </c>
      <c r="E709" s="355" t="str">
        <f t="shared" si="17"/>
        <v/>
      </c>
      <c r="F709" s="354"/>
      <c r="G709" s="345" t="str">
        <f>IF(D709="","",VLOOKUP(A709,Materiais_Base!A:D,4,"FALSO"))</f>
        <v/>
      </c>
    </row>
    <row r="710" hidden="1" customHeight="1" spans="1:7">
      <c r="A710" s="352" t="s">
        <v>14989</v>
      </c>
      <c r="B710" s="352" t="str">
        <f>IF(A710="","",VLOOKUP(A710,Materiais_Base!A:D,2,"FALSO"))</f>
        <v>Placa de apoio em aço laminado para TR45 com fixação rígida</v>
      </c>
      <c r="C710" s="353" t="str">
        <f>IF(A710="","",VLOOKUP(A710,Materiais_Base!A:D,3,"FALSO"))</f>
        <v>un</v>
      </c>
      <c r="D710" s="354" t="s">
        <v>932</v>
      </c>
      <c r="E710" s="355" t="str">
        <f t="shared" si="17"/>
        <v/>
      </c>
      <c r="F710" s="354"/>
      <c r="G710" s="345" t="str">
        <f>IF(D710="","",VLOOKUP(A710,Materiais_Base!A:D,4,"FALSO"))</f>
        <v/>
      </c>
    </row>
    <row r="711" hidden="1" customHeight="1" spans="1:7">
      <c r="A711" s="352" t="s">
        <v>14990</v>
      </c>
      <c r="B711" s="352" t="str">
        <f>IF(A711="","",VLOOKUP(A711,Materiais_Base!A:D,2,"FALSO"))</f>
        <v>Placa de apoio em aço laminado para TR57 com fixação rígida</v>
      </c>
      <c r="C711" s="353" t="str">
        <f>IF(A711="","",VLOOKUP(A711,Materiais_Base!A:D,3,"FALSO"))</f>
        <v>un</v>
      </c>
      <c r="D711" s="354" t="s">
        <v>932</v>
      </c>
      <c r="E711" s="355" t="str">
        <f t="shared" si="17"/>
        <v/>
      </c>
      <c r="F711" s="354"/>
      <c r="G711" s="345" t="str">
        <f>IF(D711="","",VLOOKUP(A711,Materiais_Base!A:D,4,"FALSO"))</f>
        <v/>
      </c>
    </row>
    <row r="712" hidden="1" customHeight="1" spans="1:7">
      <c r="A712" s="352" t="s">
        <v>14991</v>
      </c>
      <c r="B712" s="352" t="str">
        <f>IF(A712="","",VLOOKUP(A712,Materiais_Base!A:D,2,"FALSO"))</f>
        <v>Placa de apoio em aço laminado para TR68 com fixação rígida</v>
      </c>
      <c r="C712" s="353" t="str">
        <f>IF(A712="","",VLOOKUP(A712,Materiais_Base!A:D,3,"FALSO"))</f>
        <v>un</v>
      </c>
      <c r="D712" s="354" t="s">
        <v>932</v>
      </c>
      <c r="E712" s="355" t="str">
        <f t="shared" si="17"/>
        <v/>
      </c>
      <c r="F712" s="354"/>
      <c r="G712" s="345" t="str">
        <f>IF(D712="","",VLOOKUP(A712,Materiais_Base!A:D,4,"FALSO"))</f>
        <v/>
      </c>
    </row>
    <row r="713" hidden="1" customHeight="1" spans="1:7">
      <c r="A713" s="352" t="s">
        <v>14992</v>
      </c>
      <c r="B713" s="352" t="str">
        <f>IF(A713="","",VLOOKUP(A713,Materiais_Base!A:D,2,"FALSO"))</f>
        <v>Retensor para via férrea de UIC60</v>
      </c>
      <c r="C713" s="353" t="str">
        <f>IF(A713="","",VLOOKUP(A713,Materiais_Base!A:D,3,"FALSO"))</f>
        <v>un</v>
      </c>
      <c r="D713" s="354" t="s">
        <v>932</v>
      </c>
      <c r="E713" s="355" t="str">
        <f t="shared" si="17"/>
        <v/>
      </c>
      <c r="F713" s="354"/>
      <c r="G713" s="345" t="str">
        <f>IF(D713="","",VLOOKUP(A713,Materiais_Base!A:D,4,"FALSO"))</f>
        <v/>
      </c>
    </row>
    <row r="714" hidden="1" customHeight="1" spans="1:7">
      <c r="A714" s="352" t="s">
        <v>14993</v>
      </c>
      <c r="B714" s="352" t="str">
        <f>IF(A714="","",VLOOKUP(A714,Materiais_Base!A:D,2,"FALSO"))</f>
        <v>Placa de apoio em aço laminado para UIC60 com fixação elástica</v>
      </c>
      <c r="C714" s="353" t="str">
        <f>IF(A714="","",VLOOKUP(A714,Materiais_Base!A:D,3,"FALSO"))</f>
        <v>un</v>
      </c>
      <c r="D714" s="354" t="s">
        <v>932</v>
      </c>
      <c r="E714" s="355" t="str">
        <f t="shared" si="17"/>
        <v/>
      </c>
      <c r="F714" s="354"/>
      <c r="G714" s="345" t="str">
        <f>IF(D714="","",VLOOKUP(A714,Materiais_Base!A:D,4,"FALSO"))</f>
        <v/>
      </c>
    </row>
    <row r="715" hidden="1" customHeight="1" spans="1:7">
      <c r="A715" s="352" t="s">
        <v>14994</v>
      </c>
      <c r="B715" s="352" t="str">
        <f>IF(A715="","",VLOOKUP(A715,Materiais_Base!A:D,2,"FALSO"))</f>
        <v>Tala de junção TJ 45 não isolada com 6 furos</v>
      </c>
      <c r="C715" s="353" t="str">
        <f>IF(A715="","",VLOOKUP(A715,Materiais_Base!A:D,3,"FALSO"))</f>
        <v>par</v>
      </c>
      <c r="D715" s="354" t="s">
        <v>932</v>
      </c>
      <c r="E715" s="355" t="str">
        <f t="shared" si="17"/>
        <v/>
      </c>
      <c r="F715" s="354"/>
      <c r="G715" s="345" t="str">
        <f>IF(D715="","",VLOOKUP(A715,Materiais_Base!A:D,4,"FALSO"))</f>
        <v/>
      </c>
    </row>
    <row r="716" hidden="1" customHeight="1" spans="1:7">
      <c r="A716" s="352" t="s">
        <v>14995</v>
      </c>
      <c r="B716" s="352" t="str">
        <f>IF(A716="","",VLOOKUP(A716,Materiais_Base!A:D,2,"FALSO"))</f>
        <v>Tala de junção TJ 57 não isolada com 6 furos</v>
      </c>
      <c r="C716" s="353" t="str">
        <f>IF(A716="","",VLOOKUP(A716,Materiais_Base!A:D,3,"FALSO"))</f>
        <v>par</v>
      </c>
      <c r="D716" s="354" t="s">
        <v>932</v>
      </c>
      <c r="E716" s="355" t="str">
        <f t="shared" si="17"/>
        <v/>
      </c>
      <c r="F716" s="354"/>
      <c r="G716" s="345" t="str">
        <f>IF(D716="","",VLOOKUP(A716,Materiais_Base!A:D,4,"FALSO"))</f>
        <v/>
      </c>
    </row>
    <row r="717" hidden="1" customHeight="1" spans="1:7">
      <c r="A717" s="352" t="s">
        <v>14996</v>
      </c>
      <c r="B717" s="352" t="str">
        <f>IF(A717="","",VLOOKUP(A717,Materiais_Base!A:D,2,"FALSO"))</f>
        <v>Tala de junção TJ 68 não isolada com 6 furos</v>
      </c>
      <c r="C717" s="353" t="str">
        <f>IF(A717="","",VLOOKUP(A717,Materiais_Base!A:D,3,"FALSO"))</f>
        <v>par</v>
      </c>
      <c r="D717" s="354" t="s">
        <v>932</v>
      </c>
      <c r="E717" s="355" t="str">
        <f t="shared" si="17"/>
        <v/>
      </c>
      <c r="F717" s="354"/>
      <c r="G717" s="345" t="str">
        <f>IF(D717="","",VLOOKUP(A717,Materiais_Base!A:D,4,"FALSO"))</f>
        <v/>
      </c>
    </row>
    <row r="718" hidden="1" customHeight="1" spans="1:7">
      <c r="A718" s="352" t="s">
        <v>14997</v>
      </c>
      <c r="B718" s="352" t="str">
        <f>IF(A718="","",VLOOKUP(A718,Materiais_Base!A:D,2,"FALSO"))</f>
        <v>Parafuso de cabeça abaulada em aço inox com porca e arruela de pressão para tala de junção - D = 25,4 mm</v>
      </c>
      <c r="C718" s="353" t="str">
        <f>IF(A718="","",VLOOKUP(A718,Materiais_Base!A:D,3,"FALSO"))</f>
        <v>un</v>
      </c>
      <c r="D718" s="354" t="s">
        <v>932</v>
      </c>
      <c r="E718" s="355" t="str">
        <f t="shared" si="17"/>
        <v/>
      </c>
      <c r="F718" s="354"/>
      <c r="G718" s="345" t="str">
        <f>IF(D718="","",VLOOKUP(A718,Materiais_Base!A:D,4,"FALSO"))</f>
        <v/>
      </c>
    </row>
    <row r="719" hidden="1" customHeight="1" spans="1:7">
      <c r="A719" s="352" t="s">
        <v>14998</v>
      </c>
      <c r="B719" s="352" t="str">
        <f>IF(A719="","",VLOOKUP(A719,Materiais_Base!A:D,2,"FALSO"))</f>
        <v>Tala de junção TJ 60 não isolada com 6 furos</v>
      </c>
      <c r="C719" s="353" t="str">
        <f>IF(A719="","",VLOOKUP(A719,Materiais_Base!A:D,3,"FALSO"))</f>
        <v>par</v>
      </c>
      <c r="D719" s="354" t="s">
        <v>932</v>
      </c>
      <c r="E719" s="355" t="str">
        <f t="shared" si="17"/>
        <v/>
      </c>
      <c r="F719" s="354"/>
      <c r="G719" s="345" t="str">
        <f>IF(D719="","",VLOOKUP(A719,Materiais_Base!A:D,4,"FALSO"))</f>
        <v/>
      </c>
    </row>
    <row r="720" hidden="1" customHeight="1" spans="1:7">
      <c r="A720" s="352" t="s">
        <v>14999</v>
      </c>
      <c r="B720" s="352" t="str">
        <f>IF(A720="","",VLOOKUP(A720,Materiais_Base!A:D,2,"FALSO"))</f>
        <v>AMV tipo TR45, abertura 1:8, bitola métrica</v>
      </c>
      <c r="C720" s="353" t="str">
        <f>IF(A720="","",VLOOKUP(A720,Materiais_Base!A:D,3,"FALSO"))</f>
        <v>un</v>
      </c>
      <c r="D720" s="354" t="s">
        <v>932</v>
      </c>
      <c r="E720" s="355" t="str">
        <f t="shared" si="17"/>
        <v/>
      </c>
      <c r="F720" s="354"/>
      <c r="G720" s="345" t="str">
        <f>IF(D720="","",VLOOKUP(A720,Materiais_Base!A:D,4,"FALSO"))</f>
        <v/>
      </c>
    </row>
    <row r="721" hidden="1" customHeight="1" spans="1:7">
      <c r="A721" s="352" t="s">
        <v>15000</v>
      </c>
      <c r="B721" s="352" t="str">
        <f>IF(A721="","",VLOOKUP(A721,Materiais_Base!A:D,2,"FALSO"))</f>
        <v>AMV tipo TR45, abertura 1:10, bitola métrica</v>
      </c>
      <c r="C721" s="353" t="str">
        <f>IF(A721="","",VLOOKUP(A721,Materiais_Base!A:D,3,"FALSO"))</f>
        <v>un</v>
      </c>
      <c r="D721" s="354" t="s">
        <v>932</v>
      </c>
      <c r="E721" s="355" t="str">
        <f t="shared" si="17"/>
        <v/>
      </c>
      <c r="F721" s="354"/>
      <c r="G721" s="345" t="str">
        <f>IF(D721="","",VLOOKUP(A721,Materiais_Base!A:D,4,"FALSO"))</f>
        <v/>
      </c>
    </row>
    <row r="722" hidden="1" customHeight="1" spans="1:7">
      <c r="A722" s="352" t="s">
        <v>15001</v>
      </c>
      <c r="B722" s="352" t="str">
        <f>IF(A722="","",VLOOKUP(A722,Materiais_Base!A:D,2,"FALSO"))</f>
        <v>AMV tipo TR45, abertura 1:12, bitola métrica</v>
      </c>
      <c r="C722" s="353" t="str">
        <f>IF(A722="","",VLOOKUP(A722,Materiais_Base!A:D,3,"FALSO"))</f>
        <v>un</v>
      </c>
      <c r="D722" s="354" t="s">
        <v>932</v>
      </c>
      <c r="E722" s="355" t="str">
        <f t="shared" si="17"/>
        <v/>
      </c>
      <c r="F722" s="354"/>
      <c r="G722" s="345" t="str">
        <f>IF(D722="","",VLOOKUP(A722,Materiais_Base!A:D,4,"FALSO"))</f>
        <v/>
      </c>
    </row>
    <row r="723" hidden="1" customHeight="1" spans="1:7">
      <c r="A723" s="352" t="s">
        <v>15002</v>
      </c>
      <c r="B723" s="352" t="str">
        <f>IF(A723="","",VLOOKUP(A723,Materiais_Base!A:D,2,"FALSO"))</f>
        <v>AMV tipo TR45, abertura 1:14, bitola métrica</v>
      </c>
      <c r="C723" s="353" t="str">
        <f>IF(A723="","",VLOOKUP(A723,Materiais_Base!A:D,3,"FALSO"))</f>
        <v>un</v>
      </c>
      <c r="D723" s="354" t="s">
        <v>932</v>
      </c>
      <c r="E723" s="355" t="str">
        <f t="shared" si="17"/>
        <v/>
      </c>
      <c r="F723" s="354"/>
      <c r="G723" s="345" t="str">
        <f>IF(D723="","",VLOOKUP(A723,Materiais_Base!A:D,4,"FALSO"))</f>
        <v/>
      </c>
    </row>
    <row r="724" hidden="1" customHeight="1" spans="1:7">
      <c r="A724" s="352" t="s">
        <v>15003</v>
      </c>
      <c r="B724" s="352" t="str">
        <f>IF(A724="","",VLOOKUP(A724,Materiais_Base!A:D,2,"FALSO"))</f>
        <v>AMV tipo TR57, abertura 1:8, bitola métrica</v>
      </c>
      <c r="C724" s="353" t="str">
        <f>IF(A724="","",VLOOKUP(A724,Materiais_Base!A:D,3,"FALSO"))</f>
        <v>un</v>
      </c>
      <c r="D724" s="354" t="s">
        <v>932</v>
      </c>
      <c r="E724" s="355" t="str">
        <f t="shared" si="17"/>
        <v/>
      </c>
      <c r="F724" s="354"/>
      <c r="G724" s="345" t="str">
        <f>IF(D724="","",VLOOKUP(A724,Materiais_Base!A:D,4,"FALSO"))</f>
        <v/>
      </c>
    </row>
    <row r="725" hidden="1" customHeight="1" spans="1:7">
      <c r="A725" s="352" t="s">
        <v>15004</v>
      </c>
      <c r="B725" s="352" t="str">
        <f>IF(A725="","",VLOOKUP(A725,Materiais_Base!A:D,2,"FALSO"))</f>
        <v>AMV tipo TR57, abertura 1:10, bitola métrica</v>
      </c>
      <c r="C725" s="353" t="str">
        <f>IF(A725="","",VLOOKUP(A725,Materiais_Base!A:D,3,"FALSO"))</f>
        <v>un</v>
      </c>
      <c r="D725" s="354" t="s">
        <v>932</v>
      </c>
      <c r="E725" s="355" t="str">
        <f t="shared" si="17"/>
        <v/>
      </c>
      <c r="F725" s="354"/>
      <c r="G725" s="345" t="str">
        <f>IF(D725="","",VLOOKUP(A725,Materiais_Base!A:D,4,"FALSO"))</f>
        <v/>
      </c>
    </row>
    <row r="726" hidden="1" customHeight="1" spans="1:7">
      <c r="A726" s="352" t="s">
        <v>15005</v>
      </c>
      <c r="B726" s="352" t="str">
        <f>IF(A726="","",VLOOKUP(A726,Materiais_Base!A:D,2,"FALSO"))</f>
        <v>AMV tipo TR57, abertura 1:12, bitola métrica</v>
      </c>
      <c r="C726" s="353" t="str">
        <f>IF(A726="","",VLOOKUP(A726,Materiais_Base!A:D,3,"FALSO"))</f>
        <v>un</v>
      </c>
      <c r="D726" s="354" t="s">
        <v>932</v>
      </c>
      <c r="E726" s="355" t="str">
        <f t="shared" si="17"/>
        <v/>
      </c>
      <c r="F726" s="354"/>
      <c r="G726" s="345" t="str">
        <f>IF(D726="","",VLOOKUP(A726,Materiais_Base!A:D,4,"FALSO"))</f>
        <v/>
      </c>
    </row>
    <row r="727" hidden="1" customHeight="1" spans="1:7">
      <c r="A727" s="352" t="s">
        <v>15006</v>
      </c>
      <c r="B727" s="352" t="str">
        <f>IF(A727="","",VLOOKUP(A727,Materiais_Base!A:D,2,"FALSO"))</f>
        <v>AMV tipo TR57, abertura 1:14, bitola métrica</v>
      </c>
      <c r="C727" s="353" t="str">
        <f>IF(A727="","",VLOOKUP(A727,Materiais_Base!A:D,3,"FALSO"))</f>
        <v>un</v>
      </c>
      <c r="D727" s="354" t="s">
        <v>932</v>
      </c>
      <c r="E727" s="355" t="str">
        <f t="shared" si="17"/>
        <v/>
      </c>
      <c r="F727" s="354"/>
      <c r="G727" s="345" t="str">
        <f>IF(D727="","",VLOOKUP(A727,Materiais_Base!A:D,4,"FALSO"))</f>
        <v/>
      </c>
    </row>
    <row r="728" hidden="1" customHeight="1" spans="1:7">
      <c r="A728" s="352" t="s">
        <v>15007</v>
      </c>
      <c r="B728" s="352" t="str">
        <f>IF(A728="","",VLOOKUP(A728,Materiais_Base!A:D,2,"FALSO"))</f>
        <v>AMV tipo TR57, abertura 1:20, bitola métrica</v>
      </c>
      <c r="C728" s="353" t="str">
        <f>IF(A728="","",VLOOKUP(A728,Materiais_Base!A:D,3,"FALSO"))</f>
        <v>un</v>
      </c>
      <c r="D728" s="354" t="s">
        <v>932</v>
      </c>
      <c r="E728" s="355" t="str">
        <f t="shared" si="17"/>
        <v/>
      </c>
      <c r="F728" s="354"/>
      <c r="G728" s="345" t="str">
        <f>IF(D728="","",VLOOKUP(A728,Materiais_Base!A:D,4,"FALSO"))</f>
        <v/>
      </c>
    </row>
    <row r="729" hidden="1" customHeight="1" spans="1:7">
      <c r="A729" s="352" t="s">
        <v>15008</v>
      </c>
      <c r="B729" s="352" t="str">
        <f>IF(A729="","",VLOOKUP(A729,Materiais_Base!A:D,2,"FALSO"))</f>
        <v>AMV tipo TR68, abertura 1:10, bitola métrica</v>
      </c>
      <c r="C729" s="353" t="str">
        <f>IF(A729="","",VLOOKUP(A729,Materiais_Base!A:D,3,"FALSO"))</f>
        <v>un</v>
      </c>
      <c r="D729" s="354" t="s">
        <v>932</v>
      </c>
      <c r="E729" s="355" t="str">
        <f t="shared" ref="E729:E792" si="18">IF(D729="","",MIN(D729,F729))</f>
        <v/>
      </c>
      <c r="F729" s="354"/>
      <c r="G729" s="345" t="str">
        <f>IF(D729="","",VLOOKUP(A729,Materiais_Base!A:D,4,"FALSO"))</f>
        <v/>
      </c>
    </row>
    <row r="730" hidden="1" customHeight="1" spans="1:7">
      <c r="A730" s="352" t="s">
        <v>15009</v>
      </c>
      <c r="B730" s="352" t="str">
        <f>IF(A730="","",VLOOKUP(A730,Materiais_Base!A:D,2,"FALSO"))</f>
        <v>AMV tipo TR68, abertura 1:12, bitola métrica</v>
      </c>
      <c r="C730" s="353" t="str">
        <f>IF(A730="","",VLOOKUP(A730,Materiais_Base!A:D,3,"FALSO"))</f>
        <v>un</v>
      </c>
      <c r="D730" s="354" t="s">
        <v>932</v>
      </c>
      <c r="E730" s="355" t="str">
        <f t="shared" si="18"/>
        <v/>
      </c>
      <c r="F730" s="354"/>
      <c r="G730" s="345" t="str">
        <f>IF(D730="","",VLOOKUP(A730,Materiais_Base!A:D,4,"FALSO"))</f>
        <v/>
      </c>
    </row>
    <row r="731" hidden="1" customHeight="1" spans="1:7">
      <c r="A731" s="352" t="s">
        <v>15010</v>
      </c>
      <c r="B731" s="352" t="str">
        <f>IF(A731="","",VLOOKUP(A731,Materiais_Base!A:D,2,"FALSO"))</f>
        <v>AMV tipo TR68, abertura 1:14, bitola métrica</v>
      </c>
      <c r="C731" s="353" t="str">
        <f>IF(A731="","",VLOOKUP(A731,Materiais_Base!A:D,3,"FALSO"))</f>
        <v>un</v>
      </c>
      <c r="D731" s="354" t="s">
        <v>932</v>
      </c>
      <c r="E731" s="355" t="str">
        <f t="shared" si="18"/>
        <v/>
      </c>
      <c r="F731" s="354"/>
      <c r="G731" s="345" t="str">
        <f>IF(D731="","",VLOOKUP(A731,Materiais_Base!A:D,4,"FALSO"))</f>
        <v/>
      </c>
    </row>
    <row r="732" hidden="1" customHeight="1" spans="1:7">
      <c r="A732" s="352" t="s">
        <v>15011</v>
      </c>
      <c r="B732" s="352" t="str">
        <f>IF(A732="","",VLOOKUP(A732,Materiais_Base!A:D,2,"FALSO"))</f>
        <v>AMV tipo UIC60, abertura 1:10, bitola métrica</v>
      </c>
      <c r="C732" s="353" t="str">
        <f>IF(A732="","",VLOOKUP(A732,Materiais_Base!A:D,3,"FALSO"))</f>
        <v>un</v>
      </c>
      <c r="D732" s="354" t="s">
        <v>932</v>
      </c>
      <c r="E732" s="355" t="str">
        <f t="shared" si="18"/>
        <v/>
      </c>
      <c r="F732" s="354"/>
      <c r="G732" s="345" t="str">
        <f>IF(D732="","",VLOOKUP(A732,Materiais_Base!A:D,4,"FALSO"))</f>
        <v/>
      </c>
    </row>
    <row r="733" hidden="1" customHeight="1" spans="1:7">
      <c r="A733" s="352" t="s">
        <v>15012</v>
      </c>
      <c r="B733" s="352" t="str">
        <f>IF(A733="","",VLOOKUP(A733,Materiais_Base!A:D,2,"FALSO"))</f>
        <v>AMV tipo TR68, abertura 1:20, bitola métrica</v>
      </c>
      <c r="C733" s="353" t="str">
        <f>IF(A733="","",VLOOKUP(A733,Materiais_Base!A:D,3,"FALSO"))</f>
        <v>un</v>
      </c>
      <c r="D733" s="354" t="s">
        <v>932</v>
      </c>
      <c r="E733" s="355" t="str">
        <f t="shared" si="18"/>
        <v/>
      </c>
      <c r="F733" s="354"/>
      <c r="G733" s="345" t="str">
        <f>IF(D733="","",VLOOKUP(A733,Materiais_Base!A:D,4,"FALSO"))</f>
        <v/>
      </c>
    </row>
    <row r="734" hidden="1" customHeight="1" spans="1:7">
      <c r="A734" s="352" t="s">
        <v>15013</v>
      </c>
      <c r="B734" s="352" t="str">
        <f>IF(A734="","",VLOOKUP(A734,Materiais_Base!A:D,2,"FALSO"))</f>
        <v>AMV tipo TR45, abertura 1:8, bitola larga</v>
      </c>
      <c r="C734" s="353" t="str">
        <f>IF(A734="","",VLOOKUP(A734,Materiais_Base!A:D,3,"FALSO"))</f>
        <v>un</v>
      </c>
      <c r="D734" s="354" t="s">
        <v>932</v>
      </c>
      <c r="E734" s="355" t="str">
        <f t="shared" si="18"/>
        <v/>
      </c>
      <c r="F734" s="354"/>
      <c r="G734" s="345" t="str">
        <f>IF(D734="","",VLOOKUP(A734,Materiais_Base!A:D,4,"FALSO"))</f>
        <v/>
      </c>
    </row>
    <row r="735" hidden="1" customHeight="1" spans="1:7">
      <c r="A735" s="352" t="s">
        <v>15014</v>
      </c>
      <c r="B735" s="352" t="str">
        <f>IF(A735="","",VLOOKUP(A735,Materiais_Base!A:D,2,"FALSO"))</f>
        <v>AMV tipo TR45, abertura 1:10, bitola larga</v>
      </c>
      <c r="C735" s="353" t="str">
        <f>IF(A735="","",VLOOKUP(A735,Materiais_Base!A:D,3,"FALSO"))</f>
        <v>un</v>
      </c>
      <c r="D735" s="354" t="s">
        <v>932</v>
      </c>
      <c r="E735" s="355" t="str">
        <f t="shared" si="18"/>
        <v/>
      </c>
      <c r="F735" s="354"/>
      <c r="G735" s="345" t="str">
        <f>IF(D735="","",VLOOKUP(A735,Materiais_Base!A:D,4,"FALSO"))</f>
        <v/>
      </c>
    </row>
    <row r="736" hidden="1" customHeight="1" spans="1:7">
      <c r="A736" s="352" t="s">
        <v>15015</v>
      </c>
      <c r="B736" s="352" t="str">
        <f>IF(A736="","",VLOOKUP(A736,Materiais_Base!A:D,2,"FALSO"))</f>
        <v>AMV tipo TR45, abertura 1:12, bitola larga</v>
      </c>
      <c r="C736" s="353" t="str">
        <f>IF(A736="","",VLOOKUP(A736,Materiais_Base!A:D,3,"FALSO"))</f>
        <v>un</v>
      </c>
      <c r="D736" s="354" t="s">
        <v>932</v>
      </c>
      <c r="E736" s="355" t="str">
        <f t="shared" si="18"/>
        <v/>
      </c>
      <c r="F736" s="354"/>
      <c r="G736" s="345" t="str">
        <f>IF(D736="","",VLOOKUP(A736,Materiais_Base!A:D,4,"FALSO"))</f>
        <v/>
      </c>
    </row>
    <row r="737" hidden="1" customHeight="1" spans="1:7">
      <c r="A737" s="352" t="s">
        <v>15016</v>
      </c>
      <c r="B737" s="352" t="str">
        <f>IF(A737="","",VLOOKUP(A737,Materiais_Base!A:D,2,"FALSO"))</f>
        <v>AMV tipo TR45, abertura 1:14, bitola larga</v>
      </c>
      <c r="C737" s="353" t="str">
        <f>IF(A737="","",VLOOKUP(A737,Materiais_Base!A:D,3,"FALSO"))</f>
        <v>un</v>
      </c>
      <c r="D737" s="354" t="s">
        <v>932</v>
      </c>
      <c r="E737" s="355" t="str">
        <f t="shared" si="18"/>
        <v/>
      </c>
      <c r="F737" s="354"/>
      <c r="G737" s="345" t="str">
        <f>IF(D737="","",VLOOKUP(A737,Materiais_Base!A:D,4,"FALSO"))</f>
        <v/>
      </c>
    </row>
    <row r="738" hidden="1" customHeight="1" spans="1:7">
      <c r="A738" s="352" t="s">
        <v>15017</v>
      </c>
      <c r="B738" s="352" t="str">
        <f>IF(A738="","",VLOOKUP(A738,Materiais_Base!A:D,2,"FALSO"))</f>
        <v>AMV tipo TR57, abertura 1:8, bitola larga</v>
      </c>
      <c r="C738" s="353" t="str">
        <f>IF(A738="","",VLOOKUP(A738,Materiais_Base!A:D,3,"FALSO"))</f>
        <v>un</v>
      </c>
      <c r="D738" s="354" t="s">
        <v>932</v>
      </c>
      <c r="E738" s="355" t="str">
        <f t="shared" si="18"/>
        <v/>
      </c>
      <c r="F738" s="354"/>
      <c r="G738" s="345" t="str">
        <f>IF(D738="","",VLOOKUP(A738,Materiais_Base!A:D,4,"FALSO"))</f>
        <v/>
      </c>
    </row>
    <row r="739" hidden="1" customHeight="1" spans="1:7">
      <c r="A739" s="352" t="s">
        <v>15018</v>
      </c>
      <c r="B739" s="352" t="str">
        <f>IF(A739="","",VLOOKUP(A739,Materiais_Base!A:D,2,"FALSO"))</f>
        <v>AMV tipo TR57, abertura 1:10, bitola larga</v>
      </c>
      <c r="C739" s="353" t="str">
        <f>IF(A739="","",VLOOKUP(A739,Materiais_Base!A:D,3,"FALSO"))</f>
        <v>un</v>
      </c>
      <c r="D739" s="354" t="s">
        <v>932</v>
      </c>
      <c r="E739" s="355" t="str">
        <f t="shared" si="18"/>
        <v/>
      </c>
      <c r="F739" s="354"/>
      <c r="G739" s="345" t="str">
        <f>IF(D739="","",VLOOKUP(A739,Materiais_Base!A:D,4,"FALSO"))</f>
        <v/>
      </c>
    </row>
    <row r="740" hidden="1" customHeight="1" spans="1:7">
      <c r="A740" s="352" t="s">
        <v>15019</v>
      </c>
      <c r="B740" s="352" t="str">
        <f>IF(A740="","",VLOOKUP(A740,Materiais_Base!A:D,2,"FALSO"))</f>
        <v>AMV tipo TR57, abertura 1:12, bitola larga</v>
      </c>
      <c r="C740" s="353" t="str">
        <f>IF(A740="","",VLOOKUP(A740,Materiais_Base!A:D,3,"FALSO"))</f>
        <v>un</v>
      </c>
      <c r="D740" s="354" t="s">
        <v>932</v>
      </c>
      <c r="E740" s="355" t="str">
        <f t="shared" si="18"/>
        <v/>
      </c>
      <c r="F740" s="354"/>
      <c r="G740" s="345" t="str">
        <f>IF(D740="","",VLOOKUP(A740,Materiais_Base!A:D,4,"FALSO"))</f>
        <v/>
      </c>
    </row>
    <row r="741" hidden="1" customHeight="1" spans="1:7">
      <c r="A741" s="352" t="s">
        <v>15020</v>
      </c>
      <c r="B741" s="352" t="str">
        <f>IF(A741="","",VLOOKUP(A741,Materiais_Base!A:D,2,"FALSO"))</f>
        <v>AMV tipo TR57, abertura 1:14, bitola larga</v>
      </c>
      <c r="C741" s="353" t="str">
        <f>IF(A741="","",VLOOKUP(A741,Materiais_Base!A:D,3,"FALSO"))</f>
        <v>un</v>
      </c>
      <c r="D741" s="354" t="s">
        <v>932</v>
      </c>
      <c r="E741" s="355" t="str">
        <f t="shared" si="18"/>
        <v/>
      </c>
      <c r="F741" s="354"/>
      <c r="G741" s="345" t="str">
        <f>IF(D741="","",VLOOKUP(A741,Materiais_Base!A:D,4,"FALSO"))</f>
        <v/>
      </c>
    </row>
    <row r="742" hidden="1" customHeight="1" spans="1:7">
      <c r="A742" s="352" t="s">
        <v>15021</v>
      </c>
      <c r="B742" s="352" t="str">
        <f>IF(A742="","",VLOOKUP(A742,Materiais_Base!A:D,2,"FALSO"))</f>
        <v>AMV tipo TR57, abertura 1:20, bitola larga</v>
      </c>
      <c r="C742" s="353" t="str">
        <f>IF(A742="","",VLOOKUP(A742,Materiais_Base!A:D,3,"FALSO"))</f>
        <v>un</v>
      </c>
      <c r="D742" s="354" t="s">
        <v>932</v>
      </c>
      <c r="E742" s="355" t="str">
        <f t="shared" si="18"/>
        <v/>
      </c>
      <c r="F742" s="354"/>
      <c r="G742" s="345" t="str">
        <f>IF(D742="","",VLOOKUP(A742,Materiais_Base!A:D,4,"FALSO"))</f>
        <v/>
      </c>
    </row>
    <row r="743" hidden="1" customHeight="1" spans="1:7">
      <c r="A743" s="352" t="s">
        <v>15022</v>
      </c>
      <c r="B743" s="352" t="str">
        <f>IF(A743="","",VLOOKUP(A743,Materiais_Base!A:D,2,"FALSO"))</f>
        <v>AMV tipo TR68, abertura 1:10, bitola larga</v>
      </c>
      <c r="C743" s="353" t="str">
        <f>IF(A743="","",VLOOKUP(A743,Materiais_Base!A:D,3,"FALSO"))</f>
        <v>un</v>
      </c>
      <c r="D743" s="354" t="s">
        <v>932</v>
      </c>
      <c r="E743" s="355" t="str">
        <f t="shared" si="18"/>
        <v/>
      </c>
      <c r="F743" s="354"/>
      <c r="G743" s="345" t="str">
        <f>IF(D743="","",VLOOKUP(A743,Materiais_Base!A:D,4,"FALSO"))</f>
        <v/>
      </c>
    </row>
    <row r="744" hidden="1" customHeight="1" spans="1:7">
      <c r="A744" s="352" t="s">
        <v>15023</v>
      </c>
      <c r="B744" s="352" t="str">
        <f>IF(A744="","",VLOOKUP(A744,Materiais_Base!A:D,2,"FALSO"))</f>
        <v>AMV tipo TR68, abertura 1:12, bitola larga</v>
      </c>
      <c r="C744" s="353" t="str">
        <f>IF(A744="","",VLOOKUP(A744,Materiais_Base!A:D,3,"FALSO"))</f>
        <v>un</v>
      </c>
      <c r="D744" s="354" t="s">
        <v>932</v>
      </c>
      <c r="E744" s="355" t="str">
        <f t="shared" si="18"/>
        <v/>
      </c>
      <c r="F744" s="354"/>
      <c r="G744" s="345" t="str">
        <f>IF(D744="","",VLOOKUP(A744,Materiais_Base!A:D,4,"FALSO"))</f>
        <v/>
      </c>
    </row>
    <row r="745" hidden="1" customHeight="1" spans="1:7">
      <c r="A745" s="352" t="s">
        <v>15024</v>
      </c>
      <c r="B745" s="352" t="str">
        <f>IF(A745="","",VLOOKUP(A745,Materiais_Base!A:D,2,"FALSO"))</f>
        <v>AMV tipo TR68, abertura 1:14, bitola larga</v>
      </c>
      <c r="C745" s="353" t="str">
        <f>IF(A745="","",VLOOKUP(A745,Materiais_Base!A:D,3,"FALSO"))</f>
        <v>un</v>
      </c>
      <c r="D745" s="354" t="s">
        <v>932</v>
      </c>
      <c r="E745" s="355" t="str">
        <f t="shared" si="18"/>
        <v/>
      </c>
      <c r="F745" s="354"/>
      <c r="G745" s="345" t="str">
        <f>IF(D745="","",VLOOKUP(A745,Materiais_Base!A:D,4,"FALSO"))</f>
        <v/>
      </c>
    </row>
    <row r="746" hidden="1" customHeight="1" spans="1:7">
      <c r="A746" s="352" t="s">
        <v>15025</v>
      </c>
      <c r="B746" s="352" t="str">
        <f>IF(A746="","",VLOOKUP(A746,Materiais_Base!A:D,2,"FALSO"))</f>
        <v>AMV tipo UIC60, abertura 1:10, bitola larga</v>
      </c>
      <c r="C746" s="353" t="str">
        <f>IF(A746="","",VLOOKUP(A746,Materiais_Base!A:D,3,"FALSO"))</f>
        <v>un</v>
      </c>
      <c r="D746" s="354" t="s">
        <v>932</v>
      </c>
      <c r="E746" s="355" t="str">
        <f t="shared" si="18"/>
        <v/>
      </c>
      <c r="F746" s="354"/>
      <c r="G746" s="345" t="str">
        <f>IF(D746="","",VLOOKUP(A746,Materiais_Base!A:D,4,"FALSO"))</f>
        <v/>
      </c>
    </row>
    <row r="747" hidden="1" customHeight="1" spans="1:7">
      <c r="A747" s="352" t="s">
        <v>15026</v>
      </c>
      <c r="B747" s="352" t="str">
        <f>IF(A747="","",VLOOKUP(A747,Materiais_Base!A:D,2,"FALSO"))</f>
        <v>AMV tipo TR68, abertura 1:20, bitola larga</v>
      </c>
      <c r="C747" s="353" t="str">
        <f>IF(A747="","",VLOOKUP(A747,Materiais_Base!A:D,3,"FALSO"))</f>
        <v>un</v>
      </c>
      <c r="D747" s="354" t="s">
        <v>932</v>
      </c>
      <c r="E747" s="355" t="str">
        <f t="shared" si="18"/>
        <v/>
      </c>
      <c r="F747" s="354"/>
      <c r="G747" s="345" t="str">
        <f>IF(D747="","",VLOOKUP(A747,Materiais_Base!A:D,4,"FALSO"))</f>
        <v/>
      </c>
    </row>
    <row r="748" hidden="1" customHeight="1" spans="1:7">
      <c r="A748" s="352" t="s">
        <v>15027</v>
      </c>
      <c r="B748" s="352" t="str">
        <f>IF(A748="","",VLOOKUP(A748,Materiais_Base!A:D,2,"FALSO"))</f>
        <v>AMV tipo TR45, abertura 1:8, bitola mista</v>
      </c>
      <c r="C748" s="353" t="str">
        <f>IF(A748="","",VLOOKUP(A748,Materiais_Base!A:D,3,"FALSO"))</f>
        <v>un</v>
      </c>
      <c r="D748" s="354" t="s">
        <v>932</v>
      </c>
      <c r="E748" s="355" t="str">
        <f t="shared" si="18"/>
        <v/>
      </c>
      <c r="F748" s="354"/>
      <c r="G748" s="345" t="str">
        <f>IF(D748="","",VLOOKUP(A748,Materiais_Base!A:D,4,"FALSO"))</f>
        <v/>
      </c>
    </row>
    <row r="749" hidden="1" customHeight="1" spans="1:7">
      <c r="A749" s="352" t="s">
        <v>15028</v>
      </c>
      <c r="B749" s="352" t="str">
        <f>IF(A749="","",VLOOKUP(A749,Materiais_Base!A:D,2,"FALSO"))</f>
        <v>AMV tipo TR45, abertura 1:10, bitola mista</v>
      </c>
      <c r="C749" s="353" t="str">
        <f>IF(A749="","",VLOOKUP(A749,Materiais_Base!A:D,3,"FALSO"))</f>
        <v>un</v>
      </c>
      <c r="D749" s="354" t="s">
        <v>932</v>
      </c>
      <c r="E749" s="355" t="str">
        <f t="shared" si="18"/>
        <v/>
      </c>
      <c r="F749" s="354"/>
      <c r="G749" s="345" t="str">
        <f>IF(D749="","",VLOOKUP(A749,Materiais_Base!A:D,4,"FALSO"))</f>
        <v/>
      </c>
    </row>
    <row r="750" hidden="1" customHeight="1" spans="1:7">
      <c r="A750" s="352" t="s">
        <v>15029</v>
      </c>
      <c r="B750" s="352" t="str">
        <f>IF(A750="","",VLOOKUP(A750,Materiais_Base!A:D,2,"FALSO"))</f>
        <v>AMV tipo TR45, abertura 1:12, bitola mista</v>
      </c>
      <c r="C750" s="353" t="str">
        <f>IF(A750="","",VLOOKUP(A750,Materiais_Base!A:D,3,"FALSO"))</f>
        <v>un</v>
      </c>
      <c r="D750" s="354" t="s">
        <v>932</v>
      </c>
      <c r="E750" s="355" t="str">
        <f t="shared" si="18"/>
        <v/>
      </c>
      <c r="F750" s="354"/>
      <c r="G750" s="345" t="str">
        <f>IF(D750="","",VLOOKUP(A750,Materiais_Base!A:D,4,"FALSO"))</f>
        <v/>
      </c>
    </row>
    <row r="751" hidden="1" customHeight="1" spans="1:7">
      <c r="A751" s="352" t="s">
        <v>15030</v>
      </c>
      <c r="B751" s="352" t="str">
        <f>IF(A751="","",VLOOKUP(A751,Materiais_Base!A:D,2,"FALSO"))</f>
        <v>AMV tipo TR45, abertura 1:14, bitola mista</v>
      </c>
      <c r="C751" s="353" t="str">
        <f>IF(A751="","",VLOOKUP(A751,Materiais_Base!A:D,3,"FALSO"))</f>
        <v>un</v>
      </c>
      <c r="D751" s="354" t="s">
        <v>932</v>
      </c>
      <c r="E751" s="355" t="str">
        <f t="shared" si="18"/>
        <v/>
      </c>
      <c r="F751" s="354"/>
      <c r="G751" s="345" t="str">
        <f>IF(D751="","",VLOOKUP(A751,Materiais_Base!A:D,4,"FALSO"))</f>
        <v/>
      </c>
    </row>
    <row r="752" hidden="1" customHeight="1" spans="1:7">
      <c r="A752" s="352" t="s">
        <v>15031</v>
      </c>
      <c r="B752" s="352" t="str">
        <f>IF(A752="","",VLOOKUP(A752,Materiais_Base!A:D,2,"FALSO"))</f>
        <v>AMV tipo TR57, abertura 1:8, bitola mista</v>
      </c>
      <c r="C752" s="353" t="str">
        <f>IF(A752="","",VLOOKUP(A752,Materiais_Base!A:D,3,"FALSO"))</f>
        <v>un</v>
      </c>
      <c r="D752" s="354" t="s">
        <v>932</v>
      </c>
      <c r="E752" s="355" t="str">
        <f t="shared" si="18"/>
        <v/>
      </c>
      <c r="F752" s="354"/>
      <c r="G752" s="345" t="str">
        <f>IF(D752="","",VLOOKUP(A752,Materiais_Base!A:D,4,"FALSO"))</f>
        <v/>
      </c>
    </row>
    <row r="753" hidden="1" customHeight="1" spans="1:7">
      <c r="A753" s="352" t="s">
        <v>15032</v>
      </c>
      <c r="B753" s="352" t="str">
        <f>IF(A753="","",VLOOKUP(A753,Materiais_Base!A:D,2,"FALSO"))</f>
        <v>AMV tipo TR57, abertura 1:10, bitola mista</v>
      </c>
      <c r="C753" s="353" t="str">
        <f>IF(A753="","",VLOOKUP(A753,Materiais_Base!A:D,3,"FALSO"))</f>
        <v>un</v>
      </c>
      <c r="D753" s="354" t="s">
        <v>932</v>
      </c>
      <c r="E753" s="355" t="str">
        <f t="shared" si="18"/>
        <v/>
      </c>
      <c r="F753" s="354"/>
      <c r="G753" s="345" t="str">
        <f>IF(D753="","",VLOOKUP(A753,Materiais_Base!A:D,4,"FALSO"))</f>
        <v/>
      </c>
    </row>
    <row r="754" hidden="1" customHeight="1" spans="1:7">
      <c r="A754" s="352" t="s">
        <v>15033</v>
      </c>
      <c r="B754" s="352" t="str">
        <f>IF(A754="","",VLOOKUP(A754,Materiais_Base!A:D,2,"FALSO"))</f>
        <v>AMV tipo TR57, abertura 1:12, bitola mista</v>
      </c>
      <c r="C754" s="353" t="str">
        <f>IF(A754="","",VLOOKUP(A754,Materiais_Base!A:D,3,"FALSO"))</f>
        <v>un</v>
      </c>
      <c r="D754" s="354" t="s">
        <v>932</v>
      </c>
      <c r="E754" s="355" t="str">
        <f t="shared" si="18"/>
        <v/>
      </c>
      <c r="F754" s="354"/>
      <c r="G754" s="345" t="str">
        <f>IF(D754="","",VLOOKUP(A754,Materiais_Base!A:D,4,"FALSO"))</f>
        <v/>
      </c>
    </row>
    <row r="755" hidden="1" customHeight="1" spans="1:7">
      <c r="A755" s="352" t="s">
        <v>15034</v>
      </c>
      <c r="B755" s="352" t="str">
        <f>IF(A755="","",VLOOKUP(A755,Materiais_Base!A:D,2,"FALSO"))</f>
        <v>AMV tipo TR57, abertura 1:14, bitola mista</v>
      </c>
      <c r="C755" s="353" t="str">
        <f>IF(A755="","",VLOOKUP(A755,Materiais_Base!A:D,3,"FALSO"))</f>
        <v>un</v>
      </c>
      <c r="D755" s="354" t="s">
        <v>932</v>
      </c>
      <c r="E755" s="355" t="str">
        <f t="shared" si="18"/>
        <v/>
      </c>
      <c r="F755" s="354"/>
      <c r="G755" s="345" t="str">
        <f>IF(D755="","",VLOOKUP(A755,Materiais_Base!A:D,4,"FALSO"))</f>
        <v/>
      </c>
    </row>
    <row r="756" hidden="1" customHeight="1" spans="1:7">
      <c r="A756" s="352" t="s">
        <v>15035</v>
      </c>
      <c r="B756" s="352" t="str">
        <f>IF(A756="","",VLOOKUP(A756,Materiais_Base!A:D,2,"FALSO"))</f>
        <v>AMV tipo TR57, abertura 1:20, bitola mista</v>
      </c>
      <c r="C756" s="353" t="str">
        <f>IF(A756="","",VLOOKUP(A756,Materiais_Base!A:D,3,"FALSO"))</f>
        <v>un</v>
      </c>
      <c r="D756" s="354" t="s">
        <v>932</v>
      </c>
      <c r="E756" s="355" t="str">
        <f t="shared" si="18"/>
        <v/>
      </c>
      <c r="F756" s="354"/>
      <c r="G756" s="345" t="str">
        <f>IF(D756="","",VLOOKUP(A756,Materiais_Base!A:D,4,"FALSO"))</f>
        <v/>
      </c>
    </row>
    <row r="757" hidden="1" customHeight="1" spans="1:7">
      <c r="A757" s="352" t="s">
        <v>15036</v>
      </c>
      <c r="B757" s="352" t="str">
        <f>IF(A757="","",VLOOKUP(A757,Materiais_Base!A:D,2,"FALSO"))</f>
        <v>AMV tipo TR68, abertura 1:10, bitola mista</v>
      </c>
      <c r="C757" s="353" t="str">
        <f>IF(A757="","",VLOOKUP(A757,Materiais_Base!A:D,3,"FALSO"))</f>
        <v>un</v>
      </c>
      <c r="D757" s="354" t="s">
        <v>932</v>
      </c>
      <c r="E757" s="355" t="str">
        <f t="shared" si="18"/>
        <v/>
      </c>
      <c r="F757" s="354"/>
      <c r="G757" s="345" t="str">
        <f>IF(D757="","",VLOOKUP(A757,Materiais_Base!A:D,4,"FALSO"))</f>
        <v/>
      </c>
    </row>
    <row r="758" hidden="1" customHeight="1" spans="1:7">
      <c r="A758" s="352" t="s">
        <v>15037</v>
      </c>
      <c r="B758" s="352" t="str">
        <f>IF(A758="","",VLOOKUP(A758,Materiais_Base!A:D,2,"FALSO"))</f>
        <v>AMV tipo TR68, abertura 1:12, bitola mista</v>
      </c>
      <c r="C758" s="353" t="str">
        <f>IF(A758="","",VLOOKUP(A758,Materiais_Base!A:D,3,"FALSO"))</f>
        <v>un</v>
      </c>
      <c r="D758" s="354" t="s">
        <v>932</v>
      </c>
      <c r="E758" s="355" t="str">
        <f t="shared" si="18"/>
        <v/>
      </c>
      <c r="F758" s="354"/>
      <c r="G758" s="345" t="str">
        <f>IF(D758="","",VLOOKUP(A758,Materiais_Base!A:D,4,"FALSO"))</f>
        <v/>
      </c>
    </row>
    <row r="759" hidden="1" customHeight="1" spans="1:7">
      <c r="A759" s="352" t="s">
        <v>15038</v>
      </c>
      <c r="B759" s="352" t="str">
        <f>IF(A759="","",VLOOKUP(A759,Materiais_Base!A:D,2,"FALSO"))</f>
        <v>AMV tipo TR68, abertura 1:14, bitola mista</v>
      </c>
      <c r="C759" s="353" t="str">
        <f>IF(A759="","",VLOOKUP(A759,Materiais_Base!A:D,3,"FALSO"))</f>
        <v>un</v>
      </c>
      <c r="D759" s="354" t="s">
        <v>932</v>
      </c>
      <c r="E759" s="355" t="str">
        <f t="shared" si="18"/>
        <v/>
      </c>
      <c r="F759" s="354"/>
      <c r="G759" s="345" t="str">
        <f>IF(D759="","",VLOOKUP(A759,Materiais_Base!A:D,4,"FALSO"))</f>
        <v/>
      </c>
    </row>
    <row r="760" hidden="1" customHeight="1" spans="1:7">
      <c r="A760" s="352" t="s">
        <v>15039</v>
      </c>
      <c r="B760" s="352" t="str">
        <f>IF(A760="","",VLOOKUP(A760,Materiais_Base!A:D,2,"FALSO"))</f>
        <v>Revestimento com conector linha AW</v>
      </c>
      <c r="C760" s="353" t="str">
        <f>IF(A760="","",VLOOKUP(A760,Materiais_Base!A:D,3,"FALSO"))</f>
        <v>m</v>
      </c>
      <c r="D760" s="354" t="s">
        <v>932</v>
      </c>
      <c r="E760" s="355" t="str">
        <f t="shared" si="18"/>
        <v/>
      </c>
      <c r="F760" s="354"/>
      <c r="G760" s="345" t="str">
        <f>IF(D760="","",VLOOKUP(A760,Materiais_Base!A:D,4,"FALSO"))</f>
        <v/>
      </c>
    </row>
    <row r="761" hidden="1" customHeight="1" spans="1:7">
      <c r="A761" s="352" t="s">
        <v>15040</v>
      </c>
      <c r="B761" s="352" t="str">
        <f>IF(A761="","",VLOOKUP(A761,Materiais_Base!A:D,2,"FALSO"))</f>
        <v>AMV tipo TR68, abertura 1:20, bitola mista</v>
      </c>
      <c r="C761" s="353" t="str">
        <f>IF(A761="","",VLOOKUP(A761,Materiais_Base!A:D,3,"FALSO"))</f>
        <v>un</v>
      </c>
      <c r="D761" s="354" t="s">
        <v>932</v>
      </c>
      <c r="E761" s="355" t="str">
        <f t="shared" si="18"/>
        <v/>
      </c>
      <c r="F761" s="354"/>
      <c r="G761" s="345" t="str">
        <f>IF(D761="","",VLOOKUP(A761,Materiais_Base!A:D,4,"FALSO"))</f>
        <v/>
      </c>
    </row>
    <row r="762" hidden="1" customHeight="1" spans="1:7">
      <c r="A762" s="352" t="s">
        <v>15041</v>
      </c>
      <c r="B762" s="352" t="str">
        <f>IF(A762="","",VLOOKUP(A762,Materiais_Base!A:D,2,"FALSO"))</f>
        <v>Dormente de madeira bitola larga - C = 280 cm, L = 24 cm e H = 17 cm</v>
      </c>
      <c r="C762" s="353" t="str">
        <f>IF(A762="","",VLOOKUP(A762,Materiais_Base!A:D,3,"FALSO"))</f>
        <v>un</v>
      </c>
      <c r="D762" s="354" t="s">
        <v>932</v>
      </c>
      <c r="E762" s="355" t="str">
        <f t="shared" si="18"/>
        <v/>
      </c>
      <c r="F762" s="354"/>
      <c r="G762" s="345" t="str">
        <f>IF(D762="","",VLOOKUP(A762,Materiais_Base!A:D,4,"FALSO"))</f>
        <v/>
      </c>
    </row>
    <row r="763" hidden="1" customHeight="1" spans="1:7">
      <c r="A763" s="352" t="s">
        <v>15042</v>
      </c>
      <c r="B763" s="352" t="str">
        <f>IF(A763="","",VLOOKUP(A763,Materiais_Base!A:D,2,"FALSO"))</f>
        <v>Dormente de madeira bitola métrica - C = 200 cm, L = 22 cm e H = 16 cm</v>
      </c>
      <c r="C763" s="353" t="str">
        <f>IF(A763="","",VLOOKUP(A763,Materiais_Base!A:D,3,"FALSO"))</f>
        <v>un</v>
      </c>
      <c r="D763" s="354" t="s">
        <v>932</v>
      </c>
      <c r="E763" s="355" t="str">
        <f t="shared" si="18"/>
        <v/>
      </c>
      <c r="F763" s="354"/>
      <c r="G763" s="345" t="str">
        <f>IF(D763="","",VLOOKUP(A763,Materiais_Base!A:D,4,"FALSO"))</f>
        <v/>
      </c>
    </row>
    <row r="764" hidden="1" customHeight="1" spans="1:7">
      <c r="A764" s="352" t="s">
        <v>15043</v>
      </c>
      <c r="B764" s="352" t="str">
        <f>IF(A764="","",VLOOKUP(A764,Materiais_Base!A:D,2,"FALSO"))</f>
        <v>Revestimento com conector linha HW</v>
      </c>
      <c r="C764" s="353" t="str">
        <f>IF(A764="","",VLOOKUP(A764,Materiais_Base!A:D,3,"FALSO"))</f>
        <v>m</v>
      </c>
      <c r="D764" s="354" t="s">
        <v>932</v>
      </c>
      <c r="E764" s="355" t="str">
        <f t="shared" si="18"/>
        <v/>
      </c>
      <c r="F764" s="354"/>
      <c r="G764" s="345" t="str">
        <f>IF(D764="","",VLOOKUP(A764,Materiais_Base!A:D,4,"FALSO"))</f>
        <v/>
      </c>
    </row>
    <row r="765" hidden="1" customHeight="1" spans="1:7">
      <c r="A765" s="352" t="s">
        <v>15044</v>
      </c>
      <c r="B765" s="352" t="str">
        <f>IF(A765="","",VLOOKUP(A765,Materiais_Base!A:D,2,"FALSO"))</f>
        <v>Revestimento com conector linha NW</v>
      </c>
      <c r="C765" s="353" t="str">
        <f>IF(A765="","",VLOOKUP(A765,Materiais_Base!A:D,3,"FALSO"))</f>
        <v>m</v>
      </c>
      <c r="D765" s="354" t="s">
        <v>932</v>
      </c>
      <c r="E765" s="355" t="str">
        <f t="shared" si="18"/>
        <v/>
      </c>
      <c r="F765" s="354"/>
      <c r="G765" s="345" t="str">
        <f>IF(D765="","",VLOOKUP(A765,Materiais_Base!A:D,4,"FALSO"))</f>
        <v/>
      </c>
    </row>
    <row r="766" hidden="1" customHeight="1" spans="1:7">
      <c r="A766" s="352" t="s">
        <v>15045</v>
      </c>
      <c r="B766" s="352" t="str">
        <f>IF(A766="","",VLOOKUP(A766,Materiais_Base!A:D,2,"FALSO"))</f>
        <v>AMV tipo UIC60, abertura 1:12, bitola métrica</v>
      </c>
      <c r="C766" s="353" t="str">
        <f>IF(A766="","",VLOOKUP(A766,Materiais_Base!A:D,3,"FALSO"))</f>
        <v>un</v>
      </c>
      <c r="D766" s="354" t="s">
        <v>932</v>
      </c>
      <c r="E766" s="355" t="str">
        <f t="shared" si="18"/>
        <v/>
      </c>
      <c r="F766" s="354"/>
      <c r="G766" s="345" t="str">
        <f>IF(D766="","",VLOOKUP(A766,Materiais_Base!A:D,4,"FALSO"))</f>
        <v/>
      </c>
    </row>
    <row r="767" hidden="1" customHeight="1" spans="1:7">
      <c r="A767" s="352" t="s">
        <v>15046</v>
      </c>
      <c r="B767" s="352" t="str">
        <f>IF(A767="","",VLOOKUP(A767,Materiais_Base!A:D,2,"FALSO"))</f>
        <v>AMV tipo UIC60, abertura 1:14, bitola métrica</v>
      </c>
      <c r="C767" s="353" t="str">
        <f>IF(A767="","",VLOOKUP(A767,Materiais_Base!A:D,3,"FALSO"))</f>
        <v>un</v>
      </c>
      <c r="D767" s="354" t="s">
        <v>932</v>
      </c>
      <c r="E767" s="355" t="str">
        <f t="shared" si="18"/>
        <v/>
      </c>
      <c r="F767" s="354"/>
      <c r="G767" s="345" t="str">
        <f>IF(D767="","",VLOOKUP(A767,Materiais_Base!A:D,4,"FALSO"))</f>
        <v/>
      </c>
    </row>
    <row r="768" hidden="1" customHeight="1" spans="1:7">
      <c r="A768" s="352" t="s">
        <v>15047</v>
      </c>
      <c r="B768" s="352" t="str">
        <f>IF(A768="","",VLOOKUP(A768,Materiais_Base!A:D,2,"FALSO"))</f>
        <v>AMV tipo UIC60, abertura 1:20, bitola métrica</v>
      </c>
      <c r="C768" s="353" t="str">
        <f>IF(A768="","",VLOOKUP(A768,Materiais_Base!A:D,3,"FALSO"))</f>
        <v>un</v>
      </c>
      <c r="D768" s="354" t="s">
        <v>932</v>
      </c>
      <c r="E768" s="355" t="str">
        <f t="shared" si="18"/>
        <v/>
      </c>
      <c r="F768" s="354"/>
      <c r="G768" s="345" t="str">
        <f>IF(D768="","",VLOOKUP(A768,Materiais_Base!A:D,4,"FALSO"))</f>
        <v/>
      </c>
    </row>
    <row r="769" hidden="1" customHeight="1" spans="1:7">
      <c r="A769" s="352" t="s">
        <v>15048</v>
      </c>
      <c r="B769" s="352" t="str">
        <f>IF(A769="","",VLOOKUP(A769,Materiais_Base!A:D,2,"FALSO"))</f>
        <v>AMV tipo UIC60, abertura 1:10, bitola mista</v>
      </c>
      <c r="C769" s="353" t="str">
        <f>IF(A769="","",VLOOKUP(A769,Materiais_Base!A:D,3,"FALSO"))</f>
        <v>un</v>
      </c>
      <c r="D769" s="354" t="s">
        <v>932</v>
      </c>
      <c r="E769" s="355" t="str">
        <f t="shared" si="18"/>
        <v/>
      </c>
      <c r="F769" s="354"/>
      <c r="G769" s="345" t="str">
        <f>IF(D769="","",VLOOKUP(A769,Materiais_Base!A:D,4,"FALSO"))</f>
        <v/>
      </c>
    </row>
    <row r="770" hidden="1" customHeight="1" spans="1:7">
      <c r="A770" s="352" t="s">
        <v>15049</v>
      </c>
      <c r="B770" s="352" t="str">
        <f>IF(A770="","",VLOOKUP(A770,Materiais_Base!A:D,2,"FALSO"))</f>
        <v>AMV tipo UIC60, abertura 1:12, bitola mista</v>
      </c>
      <c r="C770" s="353" t="str">
        <f>IF(A770="","",VLOOKUP(A770,Materiais_Base!A:D,3,"FALSO"))</f>
        <v>un</v>
      </c>
      <c r="D770" s="354" t="s">
        <v>932</v>
      </c>
      <c r="E770" s="355" t="str">
        <f t="shared" si="18"/>
        <v/>
      </c>
      <c r="F770" s="354"/>
      <c r="G770" s="345" t="str">
        <f>IF(D770="","",VLOOKUP(A770,Materiais_Base!A:D,4,"FALSO"))</f>
        <v/>
      </c>
    </row>
    <row r="771" hidden="1" customHeight="1" spans="1:7">
      <c r="A771" s="352" t="s">
        <v>15050</v>
      </c>
      <c r="B771" s="352" t="str">
        <f>IF(A771="","",VLOOKUP(A771,Materiais_Base!A:D,2,"FALSO"))</f>
        <v>AMV tipo UIC60, abertura 1:14, bitola mista</v>
      </c>
      <c r="C771" s="353" t="str">
        <f>IF(A771="","",VLOOKUP(A771,Materiais_Base!A:D,3,"FALSO"))</f>
        <v>un</v>
      </c>
      <c r="D771" s="354" t="s">
        <v>932</v>
      </c>
      <c r="E771" s="355" t="str">
        <f t="shared" si="18"/>
        <v/>
      </c>
      <c r="F771" s="354"/>
      <c r="G771" s="345" t="str">
        <f>IF(D771="","",VLOOKUP(A771,Materiais_Base!A:D,4,"FALSO"))</f>
        <v/>
      </c>
    </row>
    <row r="772" hidden="1" customHeight="1" spans="1:7">
      <c r="A772" s="352" t="s">
        <v>15051</v>
      </c>
      <c r="B772" s="352" t="str">
        <f>IF(A772="","",VLOOKUP(A772,Materiais_Base!A:D,2,"FALSO"))</f>
        <v>AMV tipo UIC60, abertura 1:20, bitola mista</v>
      </c>
      <c r="C772" s="353" t="str">
        <f>IF(A772="","",VLOOKUP(A772,Materiais_Base!A:D,3,"FALSO"))</f>
        <v>un</v>
      </c>
      <c r="D772" s="354" t="s">
        <v>932</v>
      </c>
      <c r="E772" s="355" t="str">
        <f t="shared" si="18"/>
        <v/>
      </c>
      <c r="F772" s="354"/>
      <c r="G772" s="345" t="str">
        <f>IF(D772="","",VLOOKUP(A772,Materiais_Base!A:D,4,"FALSO"))</f>
        <v/>
      </c>
    </row>
    <row r="773" hidden="1" customHeight="1" spans="1:7">
      <c r="A773" s="352" t="s">
        <v>15052</v>
      </c>
      <c r="B773" s="352" t="str">
        <f>IF(A773="","",VLOOKUP(A773,Materiais_Base!A:D,2,"FALSO"))</f>
        <v>Sapata de widia linha NW</v>
      </c>
      <c r="C773" s="353" t="str">
        <f>IF(A773="","",VLOOKUP(A773,Materiais_Base!A:D,3,"FALSO"))</f>
        <v>un</v>
      </c>
      <c r="D773" s="354" t="s">
        <v>932</v>
      </c>
      <c r="E773" s="355" t="str">
        <f t="shared" si="18"/>
        <v/>
      </c>
      <c r="F773" s="354"/>
      <c r="G773" s="345" t="str">
        <f>IF(D773="","",VLOOKUP(A773,Materiais_Base!A:D,4,"FALSO"))</f>
        <v/>
      </c>
    </row>
    <row r="774" hidden="1" customHeight="1" spans="1:7">
      <c r="A774" s="352" t="s">
        <v>15053</v>
      </c>
      <c r="B774" s="352" t="str">
        <f>IF(A774="","",VLOOKUP(A774,Materiais_Base!A:D,2,"FALSO"))</f>
        <v>Broca de arraste com três asas linha NW</v>
      </c>
      <c r="C774" s="353" t="str">
        <f>IF(A774="","",VLOOKUP(A774,Materiais_Base!A:D,3,"FALSO"))</f>
        <v>un</v>
      </c>
      <c r="D774" s="354" t="s">
        <v>932</v>
      </c>
      <c r="E774" s="355" t="str">
        <f t="shared" si="18"/>
        <v/>
      </c>
      <c r="F774" s="354"/>
      <c r="G774" s="345" t="str">
        <f>IF(D774="","",VLOOKUP(A774,Materiais_Base!A:D,4,"FALSO"))</f>
        <v/>
      </c>
    </row>
    <row r="775" hidden="1" customHeight="1" spans="1:7">
      <c r="A775" s="352" t="s">
        <v>15054</v>
      </c>
      <c r="B775" s="352" t="str">
        <f>IF(A775="","",VLOOKUP(A775,Materiais_Base!A:D,2,"FALSO"))</f>
        <v>Dormente de madeira para pontes - C = 300 cm, L = 25 cm e H = 20 cm</v>
      </c>
      <c r="C775" s="353" t="str">
        <f>IF(A775="","",VLOOKUP(A775,Materiais_Base!A:D,3,"FALSO"))</f>
        <v>un</v>
      </c>
      <c r="D775" s="354" t="s">
        <v>932</v>
      </c>
      <c r="E775" s="355" t="str">
        <f t="shared" si="18"/>
        <v/>
      </c>
      <c r="F775" s="354"/>
      <c r="G775" s="345" t="str">
        <f>IF(D775="","",VLOOKUP(A775,Materiais_Base!A:D,4,"FALSO"))</f>
        <v/>
      </c>
    </row>
    <row r="776" hidden="1" customHeight="1" spans="1:7">
      <c r="A776" s="352" t="s">
        <v>15055</v>
      </c>
      <c r="B776" s="352" t="str">
        <f>IF(A776="","",VLOOKUP(A776,Materiais_Base!A:D,2,"FALSO"))</f>
        <v>AMV tipo UIC60, abertura 1:12, bitola larga</v>
      </c>
      <c r="C776" s="353" t="str">
        <f>IF(A776="","",VLOOKUP(A776,Materiais_Base!A:D,3,"FALSO"))</f>
        <v>un</v>
      </c>
      <c r="D776" s="354" t="s">
        <v>932</v>
      </c>
      <c r="E776" s="355" t="str">
        <f t="shared" si="18"/>
        <v/>
      </c>
      <c r="F776" s="354"/>
      <c r="G776" s="345" t="str">
        <f>IF(D776="","",VLOOKUP(A776,Materiais_Base!A:D,4,"FALSO"))</f>
        <v/>
      </c>
    </row>
    <row r="777" hidden="1" customHeight="1" spans="1:7">
      <c r="A777" s="352" t="s">
        <v>15056</v>
      </c>
      <c r="B777" s="352" t="str">
        <f>IF(A777="","",VLOOKUP(A777,Materiais_Base!A:D,2,"FALSO"))</f>
        <v>AMV tipo UIC60, abertura 1:14, bitola larga</v>
      </c>
      <c r="C777" s="353" t="str">
        <f>IF(A777="","",VLOOKUP(A777,Materiais_Base!A:D,3,"FALSO"))</f>
        <v>un</v>
      </c>
      <c r="D777" s="354" t="s">
        <v>932</v>
      </c>
      <c r="E777" s="355" t="str">
        <f t="shared" si="18"/>
        <v/>
      </c>
      <c r="F777" s="354"/>
      <c r="G777" s="345" t="str">
        <f>IF(D777="","",VLOOKUP(A777,Materiais_Base!A:D,4,"FALSO"))</f>
        <v/>
      </c>
    </row>
    <row r="778" hidden="1" customHeight="1" spans="1:7">
      <c r="A778" s="352" t="s">
        <v>15057</v>
      </c>
      <c r="B778" s="352" t="str">
        <f>IF(A778="","",VLOOKUP(A778,Materiais_Base!A:D,2,"FALSO"))</f>
        <v>AMV tipo UIC60, abertura 1:20, bitola larga</v>
      </c>
      <c r="C778" s="353" t="str">
        <f>IF(A778="","",VLOOKUP(A778,Materiais_Base!A:D,3,"FALSO"))</f>
        <v>un</v>
      </c>
      <c r="D778" s="354" t="s">
        <v>932</v>
      </c>
      <c r="E778" s="355" t="str">
        <f t="shared" si="18"/>
        <v/>
      </c>
      <c r="F778" s="354"/>
      <c r="G778" s="345" t="str">
        <f>IF(D778="","",VLOOKUP(A778,Materiais_Base!A:D,4,"FALSO"))</f>
        <v/>
      </c>
    </row>
    <row r="779" hidden="1" customHeight="1" spans="1:7">
      <c r="A779" s="352" t="s">
        <v>15058</v>
      </c>
      <c r="B779" s="352" t="str">
        <f>IF(A779="","",VLOOKUP(A779,Materiais_Base!A:D,2,"FALSO"))</f>
        <v>Tubo de revestimento em aço-carbono schedule 40 para estaca raiz - ponteira schedule 80, D = 141,3 mm, peso 24 kg/m</v>
      </c>
      <c r="C779" s="353" t="str">
        <f>IF(A779="","",VLOOKUP(A779,Materiais_Base!A:D,3,"FALSO"))</f>
        <v>m</v>
      </c>
      <c r="D779" s="354" t="s">
        <v>932</v>
      </c>
      <c r="E779" s="355" t="str">
        <f t="shared" si="18"/>
        <v/>
      </c>
      <c r="F779" s="354"/>
      <c r="G779" s="345" t="str">
        <f>IF(D779="","",VLOOKUP(A779,Materiais_Base!A:D,4,"FALSO"))</f>
        <v/>
      </c>
    </row>
    <row r="780" hidden="1" customHeight="1" spans="1:7">
      <c r="A780" s="352" t="s">
        <v>15059</v>
      </c>
      <c r="B780" s="352" t="str">
        <f>IF(A780="","",VLOOKUP(A780,Materiais_Base!A:D,2,"FALSO"))</f>
        <v>Tubo de revestimento em aço-carbono schedule 40 para estaca raiz - ponteira schedule 80, D = 168,3 mm, peso 31 kg/m</v>
      </c>
      <c r="C780" s="353" t="str">
        <f>IF(A780="","",VLOOKUP(A780,Materiais_Base!A:D,3,"FALSO"))</f>
        <v>m</v>
      </c>
      <c r="D780" s="354" t="s">
        <v>932</v>
      </c>
      <c r="E780" s="355" t="str">
        <f t="shared" si="18"/>
        <v/>
      </c>
      <c r="F780" s="354"/>
      <c r="G780" s="345" t="str">
        <f>IF(D780="","",VLOOKUP(A780,Materiais_Base!A:D,4,"FALSO"))</f>
        <v/>
      </c>
    </row>
    <row r="781" hidden="1" customHeight="1" spans="1:7">
      <c r="A781" s="352" t="s">
        <v>15060</v>
      </c>
      <c r="B781" s="352" t="str">
        <f>IF(A781="","",VLOOKUP(A781,Materiais_Base!A:D,2,"FALSO"))</f>
        <v>Tubo de revestimento em aço-carbono schedule 40 para estaca raiz - ponteira schedule 80, D = 219,1 mm, peso 47 kg/m</v>
      </c>
      <c r="C781" s="353" t="str">
        <f>IF(A781="","",VLOOKUP(A781,Materiais_Base!A:D,3,"FALSO"))</f>
        <v>m</v>
      </c>
      <c r="D781" s="354" t="s">
        <v>932</v>
      </c>
      <c r="E781" s="355" t="str">
        <f t="shared" si="18"/>
        <v/>
      </c>
      <c r="F781" s="354"/>
      <c r="G781" s="345" t="str">
        <f>IF(D781="","",VLOOKUP(A781,Materiais_Base!A:D,4,"FALSO"))</f>
        <v/>
      </c>
    </row>
    <row r="782" hidden="1" customHeight="1" spans="1:7">
      <c r="A782" s="352" t="s">
        <v>15061</v>
      </c>
      <c r="B782" s="352" t="str">
        <f>IF(A782="","",VLOOKUP(A782,Materiais_Base!A:D,2,"FALSO"))</f>
        <v>Tubo de revestimento em aço-carbono schedule 40 para estaca raiz - ponteira schedule 80, D = 273,0 mm, peso 67 kg/m</v>
      </c>
      <c r="C782" s="353" t="str">
        <f>IF(A782="","",VLOOKUP(A782,Materiais_Base!A:D,3,"FALSO"))</f>
        <v>m</v>
      </c>
      <c r="D782" s="354" t="s">
        <v>932</v>
      </c>
      <c r="E782" s="355" t="str">
        <f t="shared" si="18"/>
        <v/>
      </c>
      <c r="F782" s="354"/>
      <c r="G782" s="345" t="str">
        <f>IF(D782="","",VLOOKUP(A782,Materiais_Base!A:D,4,"FALSO"))</f>
        <v/>
      </c>
    </row>
    <row r="783" hidden="1" customHeight="1" spans="1:7">
      <c r="A783" s="352" t="s">
        <v>15062</v>
      </c>
      <c r="B783" s="352" t="str">
        <f>IF(A783="","",VLOOKUP(A783,Materiais_Base!A:D,2,"FALSO"))</f>
        <v>Tubo de revestimento em aço-carbono schedule 40 para estaca raiz - ponteira schedule 80, D = 323,8 mm, peso 90 kg/m</v>
      </c>
      <c r="C783" s="353" t="str">
        <f>IF(A783="","",VLOOKUP(A783,Materiais_Base!A:D,3,"FALSO"))</f>
        <v>m</v>
      </c>
      <c r="D783" s="354" t="s">
        <v>932</v>
      </c>
      <c r="E783" s="355" t="str">
        <f t="shared" si="18"/>
        <v/>
      </c>
      <c r="F783" s="354"/>
      <c r="G783" s="345" t="str">
        <f>IF(D783="","",VLOOKUP(A783,Materiais_Base!A:D,4,"FALSO"))</f>
        <v/>
      </c>
    </row>
    <row r="784" hidden="1" customHeight="1" spans="1:7">
      <c r="A784" s="352" t="s">
        <v>15063</v>
      </c>
      <c r="B784" s="352" t="str">
        <f>IF(A784="","",VLOOKUP(A784,Materiais_Base!A:D,2,"FALSO"))</f>
        <v>Coroa de widia linha BWG</v>
      </c>
      <c r="C784" s="353" t="str">
        <f>IF(A784="","",VLOOKUP(A784,Materiais_Base!A:D,3,"FALSO"))</f>
        <v>un</v>
      </c>
      <c r="D784" s="354" t="s">
        <v>932</v>
      </c>
      <c r="E784" s="355" t="str">
        <f t="shared" si="18"/>
        <v/>
      </c>
      <c r="F784" s="354"/>
      <c r="G784" s="345" t="str">
        <f>IF(D784="","",VLOOKUP(A784,Materiais_Base!A:D,4,"FALSO"))</f>
        <v/>
      </c>
    </row>
    <row r="785" hidden="1" customHeight="1" spans="1:7">
      <c r="A785" s="352" t="s">
        <v>15064</v>
      </c>
      <c r="B785" s="352" t="str">
        <f>IF(A785="","",VLOOKUP(A785,Materiais_Base!A:D,2,"FALSO"))</f>
        <v>Brita padrão para lastro ferroviário</v>
      </c>
      <c r="C785" s="353" t="str">
        <f>IF(A785="","",VLOOKUP(A785,Materiais_Base!A:D,3,"FALSO"))</f>
        <v>m³</v>
      </c>
      <c r="D785" s="354" t="s">
        <v>932</v>
      </c>
      <c r="E785" s="355" t="str">
        <f t="shared" si="18"/>
        <v/>
      </c>
      <c r="F785" s="354"/>
      <c r="G785" s="345" t="str">
        <f>IF(D785="","",VLOOKUP(A785,Materiais_Base!A:D,4,"FALSO"))</f>
        <v/>
      </c>
    </row>
    <row r="786" hidden="1" customHeight="1" spans="1:7">
      <c r="A786" s="352" t="s">
        <v>15065</v>
      </c>
      <c r="B786" s="352" t="str">
        <f>IF(A786="","",VLOOKUP(A786,Materiais_Base!A:D,2,"FALSO"))</f>
        <v>Palmilha de borracha para dormente de concreto</v>
      </c>
      <c r="C786" s="353" t="str">
        <f>IF(A786="","",VLOOKUP(A786,Materiais_Base!A:D,3,"FALSO"))</f>
        <v>un</v>
      </c>
      <c r="D786" s="354" t="s">
        <v>932</v>
      </c>
      <c r="E786" s="355" t="str">
        <f t="shared" si="18"/>
        <v/>
      </c>
      <c r="F786" s="354"/>
      <c r="G786" s="345" t="str">
        <f>IF(D786="","",VLOOKUP(A786,Materiais_Base!A:D,4,"FALSO"))</f>
        <v/>
      </c>
    </row>
    <row r="787" hidden="1" customHeight="1" spans="1:7">
      <c r="A787" s="352" t="s">
        <v>15066</v>
      </c>
      <c r="B787" s="352" t="str">
        <f>IF(A787="","",VLOOKUP(A787,Materiais_Base!A:D,2,"FALSO"))</f>
        <v>Broca para furar trilho - D = 29 mm (1 1/8")</v>
      </c>
      <c r="C787" s="353" t="str">
        <f>IF(A787="","",VLOOKUP(A787,Materiais_Base!A:D,3,"FALSO"))</f>
        <v>un</v>
      </c>
      <c r="D787" s="354" t="s">
        <v>932</v>
      </c>
      <c r="E787" s="355" t="str">
        <f t="shared" si="18"/>
        <v/>
      </c>
      <c r="F787" s="354"/>
      <c r="G787" s="345" t="str">
        <f>IF(D787="","",VLOOKUP(A787,Materiais_Base!A:D,4,"FALSO"))</f>
        <v/>
      </c>
    </row>
    <row r="788" hidden="1" customHeight="1" spans="1:7">
      <c r="A788" s="352" t="s">
        <v>15067</v>
      </c>
      <c r="B788" s="352" t="str">
        <f>IF(A788="","",VLOOKUP(A788,Materiais_Base!A:D,2,"FALSO"))</f>
        <v>Disco de corte abrasivo para máquina para serrar trilho - D = 350 mm</v>
      </c>
      <c r="C788" s="353" t="str">
        <f>IF(A788="","",VLOOKUP(A788,Materiais_Base!A:D,3,"FALSO"))</f>
        <v>un</v>
      </c>
      <c r="D788" s="354" t="s">
        <v>932</v>
      </c>
      <c r="E788" s="355" t="str">
        <f t="shared" si="18"/>
        <v/>
      </c>
      <c r="F788" s="354"/>
      <c r="G788" s="345" t="str">
        <f>IF(D788="","",VLOOKUP(A788,Materiais_Base!A:D,4,"FALSO"))</f>
        <v/>
      </c>
    </row>
    <row r="789" hidden="1" customHeight="1" spans="1:7">
      <c r="A789" s="352" t="s">
        <v>15068</v>
      </c>
      <c r="B789" s="352" t="str">
        <f>IF(A789="","",VLOOKUP(A789,Materiais_Base!A:D,2,"FALSO"))</f>
        <v>Dormentes de madeira para AMV</v>
      </c>
      <c r="C789" s="353" t="str">
        <f>IF(A789="","",VLOOKUP(A789,Materiais_Base!A:D,3,"FALSO"))</f>
        <v>m³</v>
      </c>
      <c r="D789" s="354" t="s">
        <v>932</v>
      </c>
      <c r="E789" s="355" t="str">
        <f t="shared" si="18"/>
        <v/>
      </c>
      <c r="F789" s="354"/>
      <c r="G789" s="345" t="str">
        <f>IF(D789="","",VLOOKUP(A789,Materiais_Base!A:D,4,"FALSO"))</f>
        <v/>
      </c>
    </row>
    <row r="790" hidden="1" customHeight="1" spans="1:7">
      <c r="A790" s="352" t="s">
        <v>15069</v>
      </c>
      <c r="B790" s="352" t="str">
        <f>IF(A790="","",VLOOKUP(A790,Materiais_Base!A:D,2,"FALSO"))</f>
        <v>Coroa de diamante linha BWG</v>
      </c>
      <c r="C790" s="353" t="str">
        <f>IF(A790="","",VLOOKUP(A790,Materiais_Base!A:D,3,"FALSO"))</f>
        <v>un</v>
      </c>
      <c r="D790" s="354" t="s">
        <v>932</v>
      </c>
      <c r="E790" s="355" t="str">
        <f t="shared" si="18"/>
        <v/>
      </c>
      <c r="F790" s="354"/>
      <c r="G790" s="345" t="str">
        <f>IF(D790="","",VLOOKUP(A790,Materiais_Base!A:D,4,"FALSO"))</f>
        <v/>
      </c>
    </row>
    <row r="791" hidden="1" customHeight="1" spans="1:7">
      <c r="A791" s="352" t="s">
        <v>15070</v>
      </c>
      <c r="B791" s="352" t="str">
        <f>IF(A791="","",VLOOKUP(A791,Materiais_Base!A:D,2,"FALSO"))</f>
        <v>Revestimento com conector linha BW</v>
      </c>
      <c r="C791" s="353" t="str">
        <f>IF(A791="","",VLOOKUP(A791,Materiais_Base!A:D,3,"FALSO"))</f>
        <v>m</v>
      </c>
      <c r="D791" s="354" t="s">
        <v>932</v>
      </c>
      <c r="E791" s="355" t="str">
        <f t="shared" si="18"/>
        <v/>
      </c>
      <c r="F791" s="354"/>
      <c r="G791" s="345" t="str">
        <f>IF(D791="","",VLOOKUP(A791,Materiais_Base!A:D,4,"FALSO"))</f>
        <v/>
      </c>
    </row>
    <row r="792" hidden="1" customHeight="1" spans="1:7">
      <c r="A792" s="352" t="s">
        <v>15071</v>
      </c>
      <c r="B792" s="352" t="str">
        <f>IF(A792="","",VLOOKUP(A792,Materiais_Base!A:D,2,"FALSO"))</f>
        <v>Corda de poliamida - D = 12,0 mm e capacidade de carga de 2.200 kg</v>
      </c>
      <c r="C792" s="353" t="str">
        <f>IF(A792="","",VLOOKUP(A792,Materiais_Base!A:D,3,"FALSO"))</f>
        <v>m</v>
      </c>
      <c r="D792" s="354" t="s">
        <v>932</v>
      </c>
      <c r="E792" s="355" t="str">
        <f t="shared" si="18"/>
        <v/>
      </c>
      <c r="F792" s="354"/>
      <c r="G792" s="345" t="str">
        <f>IF(D792="","",VLOOKUP(A792,Materiais_Base!A:D,4,"FALSO"))</f>
        <v/>
      </c>
    </row>
    <row r="793" customHeight="1" spans="1:7">
      <c r="A793" s="352" t="s">
        <v>15072</v>
      </c>
      <c r="B793" s="352" t="str">
        <f>IF(A793="","",VLOOKUP(A793,Materiais_Base!A:D,2,"FALSO"))</f>
        <v>Broca de widia - D = 16 mm e C = 150 mm</v>
      </c>
      <c r="C793" s="353" t="str">
        <f>IF(A793="","",VLOOKUP(A793,Materiais_Base!A:D,3,"FALSO"))</f>
        <v>un</v>
      </c>
      <c r="D793" s="354">
        <v>38.3323</v>
      </c>
      <c r="E793" s="355">
        <f t="shared" ref="E793:E856" si="19">IF(D793="","",MIN(D793,F793))</f>
        <v>38.3323</v>
      </c>
      <c r="F793" s="354"/>
      <c r="G793" s="345">
        <f>IF(D793="","",VLOOKUP(A793,Materiais_Base!A:D,4,"FALSO"))</f>
        <v>38.3323</v>
      </c>
    </row>
    <row r="794" customHeight="1" spans="1:7">
      <c r="A794" s="352" t="s">
        <v>14287</v>
      </c>
      <c r="B794" s="352" t="str">
        <f>IF(A794="","",VLOOKUP(A794,Materiais_Base!A:D,2,"FALSO"))</f>
        <v>Broca de widia - D = 19 mm e C = 160 mm</v>
      </c>
      <c r="C794" s="353" t="str">
        <f>IF(A794="","",VLOOKUP(A794,Materiais_Base!A:D,3,"FALSO"))</f>
        <v>un</v>
      </c>
      <c r="D794" s="354">
        <v>78.8796</v>
      </c>
      <c r="E794" s="355">
        <f t="shared" si="19"/>
        <v>78.8796</v>
      </c>
      <c r="F794" s="354"/>
      <c r="G794" s="345">
        <f>IF(D794="","",VLOOKUP(A794,Materiais_Base!A:D,4,"FALSO"))</f>
        <v>78.8796</v>
      </c>
    </row>
    <row r="795" customHeight="1" spans="1:7">
      <c r="A795" s="352" t="s">
        <v>15073</v>
      </c>
      <c r="B795" s="352" t="str">
        <f>IF(A795="","",VLOOKUP(A795,Materiais_Base!A:D,2,"FALSO"))</f>
        <v>Parafuso de cabeça abaulada em aço inox com porca e arruela - D = 6 mm (M6) e C = 30 mm</v>
      </c>
      <c r="C795" s="353" t="str">
        <f>IF(A795="","",VLOOKUP(A795,Materiais_Base!A:D,3,"FALSO"))</f>
        <v>un</v>
      </c>
      <c r="D795" s="354">
        <v>1.083</v>
      </c>
      <c r="E795" s="355">
        <f t="shared" si="19"/>
        <v>1.083</v>
      </c>
      <c r="F795" s="354"/>
      <c r="G795" s="345">
        <f>IF(D795="","",VLOOKUP(A795,Materiais_Base!A:D,4,"FALSO"))</f>
        <v>1.083</v>
      </c>
    </row>
    <row r="796" hidden="1" customHeight="1" spans="1:7">
      <c r="A796" s="352" t="s">
        <v>15074</v>
      </c>
      <c r="B796" s="352" t="str">
        <f>IF(A796="","",VLOOKUP(A796,Materiais_Base!A:D,2,"FALSO"))</f>
        <v>Parafuso de cabeça abaulada em aço inox com porca e arruela - D = 8 mm (M8) e C = 50 mm</v>
      </c>
      <c r="C796" s="353" t="str">
        <f>IF(A796="","",VLOOKUP(A796,Materiais_Base!A:D,3,"FALSO"))</f>
        <v>un</v>
      </c>
      <c r="D796" s="354" t="s">
        <v>932</v>
      </c>
      <c r="E796" s="355" t="str">
        <f t="shared" si="19"/>
        <v/>
      </c>
      <c r="F796" s="354"/>
      <c r="G796" s="345" t="str">
        <f>IF(D796="","",VLOOKUP(A796,Materiais_Base!A:D,4,"FALSO"))</f>
        <v/>
      </c>
    </row>
    <row r="797" hidden="1" customHeight="1" spans="1:7">
      <c r="A797" s="352" t="s">
        <v>15075</v>
      </c>
      <c r="B797" s="352" t="str">
        <f>IF(A797="","",VLOOKUP(A797,Materiais_Base!A:D,2,"FALSO"))</f>
        <v>Mangueira cristal trançada de PVC com pressão de trabalho de 1,50 MPa (250 psi) - D = 9,5 mm (3/8")</v>
      </c>
      <c r="C797" s="353" t="str">
        <f>IF(A797="","",VLOOKUP(A797,Materiais_Base!A:D,3,"FALSO"))</f>
        <v>m</v>
      </c>
      <c r="D797" s="354" t="s">
        <v>932</v>
      </c>
      <c r="E797" s="355" t="str">
        <f t="shared" si="19"/>
        <v/>
      </c>
      <c r="F797" s="354"/>
      <c r="G797" s="345" t="str">
        <f>IF(D797="","",VLOOKUP(A797,Materiais_Base!A:D,4,"FALSO"))</f>
        <v/>
      </c>
    </row>
    <row r="798" hidden="1" customHeight="1" spans="1:7">
      <c r="A798" s="352" t="s">
        <v>15076</v>
      </c>
      <c r="B798" s="352" t="str">
        <f>IF(A798="","",VLOOKUP(A798,Materiais_Base!A:D,2,"FALSO"))</f>
        <v>Fôrma plástica para nicho de protensão de cordoalha - D = 15,2 mm</v>
      </c>
      <c r="C798" s="353" t="str">
        <f>IF(A798="","",VLOOKUP(A798,Materiais_Base!A:D,3,"FALSO"))</f>
        <v>un</v>
      </c>
      <c r="D798" s="354" t="s">
        <v>932</v>
      </c>
      <c r="E798" s="355" t="str">
        <f t="shared" si="19"/>
        <v/>
      </c>
      <c r="F798" s="354"/>
      <c r="G798" s="345" t="str">
        <f>IF(D798="","",VLOOKUP(A798,Materiais_Base!A:D,4,"FALSO"))</f>
        <v/>
      </c>
    </row>
    <row r="799" hidden="1" customHeight="1" spans="1:7">
      <c r="A799" s="352" t="s">
        <v>15077</v>
      </c>
      <c r="B799" s="352" t="str">
        <f>IF(A799="","",VLOOKUP(A799,Materiais_Base!A:D,2,"FALSO"))</f>
        <v>Fôrma plástica para nicho de protensão de cordoalha - D = 12,7 mm</v>
      </c>
      <c r="C799" s="353" t="str">
        <f>IF(A799="","",VLOOKUP(A799,Materiais_Base!A:D,3,"FALSO"))</f>
        <v>un</v>
      </c>
      <c r="D799" s="354" t="s">
        <v>932</v>
      </c>
      <c r="E799" s="355" t="str">
        <f t="shared" si="19"/>
        <v/>
      </c>
      <c r="F799" s="354"/>
      <c r="G799" s="345" t="str">
        <f>IF(D799="","",VLOOKUP(A799,Materiais_Base!A:D,4,"FALSO"))</f>
        <v/>
      </c>
    </row>
    <row r="800" hidden="1" customHeight="1" spans="1:7">
      <c r="A800" s="352" t="s">
        <v>15078</v>
      </c>
      <c r="B800" s="352" t="str">
        <f>IF(A800="","",VLOOKUP(A800,Materiais_Base!A:D,2,"FALSO"))</f>
        <v>Cordoalha engraxada tipo CP 190 RB - D = 15,2 mm</v>
      </c>
      <c r="C800" s="353" t="str">
        <f>IF(A800="","",VLOOKUP(A800,Materiais_Base!A:D,3,"FALSO"))</f>
        <v>kg</v>
      </c>
      <c r="D800" s="354" t="s">
        <v>932</v>
      </c>
      <c r="E800" s="355" t="str">
        <f t="shared" si="19"/>
        <v/>
      </c>
      <c r="F800" s="354"/>
      <c r="G800" s="345" t="str">
        <f>IF(D800="","",VLOOKUP(A800,Materiais_Base!A:D,4,"FALSO"))</f>
        <v/>
      </c>
    </row>
    <row r="801" hidden="1" customHeight="1" spans="1:7">
      <c r="A801" s="352" t="s">
        <v>15079</v>
      </c>
      <c r="B801" s="352" t="str">
        <f>IF(A801="","",VLOOKUP(A801,Materiais_Base!A:D,2,"FALSO"))</f>
        <v>Cordoalha engraxada tipo CP 190 RB - D = 12,7 mm</v>
      </c>
      <c r="C801" s="353" t="str">
        <f>IF(A801="","",VLOOKUP(A801,Materiais_Base!A:D,3,"FALSO"))</f>
        <v>kg</v>
      </c>
      <c r="D801" s="354" t="s">
        <v>932</v>
      </c>
      <c r="E801" s="355" t="str">
        <f t="shared" si="19"/>
        <v/>
      </c>
      <c r="F801" s="354"/>
      <c r="G801" s="345" t="str">
        <f>IF(D801="","",VLOOKUP(A801,Materiais_Base!A:D,4,"FALSO"))</f>
        <v/>
      </c>
    </row>
    <row r="802" hidden="1" customHeight="1" spans="1:7">
      <c r="A802" s="352" t="s">
        <v>15080</v>
      </c>
      <c r="B802" s="352" t="str">
        <f>IF(A802="","",VLOOKUP(A802,Materiais_Base!A:D,2,"FALSO"))</f>
        <v>Bainha metálica para protensão - D = 35 mm</v>
      </c>
      <c r="C802" s="353" t="str">
        <f>IF(A802="","",VLOOKUP(A802,Materiais_Base!A:D,3,"FALSO"))</f>
        <v>m</v>
      </c>
      <c r="D802" s="354" t="s">
        <v>932</v>
      </c>
      <c r="E802" s="355" t="str">
        <f t="shared" si="19"/>
        <v/>
      </c>
      <c r="F802" s="354"/>
      <c r="G802" s="345" t="str">
        <f>IF(D802="","",VLOOKUP(A802,Materiais_Base!A:D,4,"FALSO"))</f>
        <v/>
      </c>
    </row>
    <row r="803" hidden="1" customHeight="1" spans="1:7">
      <c r="A803" s="352" t="s">
        <v>15081</v>
      </c>
      <c r="B803" s="352" t="str">
        <f>IF(A803="","",VLOOKUP(A803,Materiais_Base!A:D,2,"FALSO"))</f>
        <v>Bainha metálica para protensão - D = 30 mm</v>
      </c>
      <c r="C803" s="353" t="str">
        <f>IF(A803="","",VLOOKUP(A803,Materiais_Base!A:D,3,"FALSO"))</f>
        <v>m</v>
      </c>
      <c r="D803" s="354" t="s">
        <v>932</v>
      </c>
      <c r="E803" s="355" t="str">
        <f t="shared" si="19"/>
        <v/>
      </c>
      <c r="F803" s="354"/>
      <c r="G803" s="345" t="str">
        <f>IF(D803="","",VLOOKUP(A803,Materiais_Base!A:D,4,"FALSO"))</f>
        <v/>
      </c>
    </row>
    <row r="804" hidden="1" customHeight="1" spans="1:7">
      <c r="A804" s="352" t="s">
        <v>15082</v>
      </c>
      <c r="B804" s="352" t="str">
        <f>IF(A804="","",VLOOKUP(A804,Materiais_Base!A:D,2,"FALSO"))</f>
        <v>Ancoragem passiva aderente para 8 cordoalhas - D = 15,2 mm</v>
      </c>
      <c r="C804" s="353" t="str">
        <f>IF(A804="","",VLOOKUP(A804,Materiais_Base!A:D,3,"FALSO"))</f>
        <v>un</v>
      </c>
      <c r="D804" s="354" t="s">
        <v>932</v>
      </c>
      <c r="E804" s="355" t="str">
        <f t="shared" si="19"/>
        <v/>
      </c>
      <c r="F804" s="354"/>
      <c r="G804" s="345" t="str">
        <f>IF(D804="","",VLOOKUP(A804,Materiais_Base!A:D,4,"FALSO"))</f>
        <v/>
      </c>
    </row>
    <row r="805" hidden="1" customHeight="1" spans="1:7">
      <c r="A805" s="352" t="s">
        <v>15083</v>
      </c>
      <c r="B805" s="352" t="str">
        <f>IF(A805="","",VLOOKUP(A805,Materiais_Base!A:D,2,"FALSO"))</f>
        <v>Ancoragem passiva aderente para 31 cordoalhas - D = 15,2 mm</v>
      </c>
      <c r="C805" s="353" t="str">
        <f>IF(A805="","",VLOOKUP(A805,Materiais_Base!A:D,3,"FALSO"))</f>
        <v>un</v>
      </c>
      <c r="D805" s="354" t="s">
        <v>932</v>
      </c>
      <c r="E805" s="355" t="str">
        <f t="shared" si="19"/>
        <v/>
      </c>
      <c r="F805" s="354"/>
      <c r="G805" s="345" t="str">
        <f>IF(D805="","",VLOOKUP(A805,Materiais_Base!A:D,4,"FALSO"))</f>
        <v/>
      </c>
    </row>
    <row r="806" hidden="1" customHeight="1" spans="1:7">
      <c r="A806" s="352" t="s">
        <v>15084</v>
      </c>
      <c r="B806" s="352" t="str">
        <f>IF(A806="","",VLOOKUP(A806,Materiais_Base!A:D,2,"FALSO"))</f>
        <v>Ancoragem ativa para cordoalha engraxada - D = 12,7 mm</v>
      </c>
      <c r="C806" s="353" t="str">
        <f>IF(A806="","",VLOOKUP(A806,Materiais_Base!A:D,3,"FALSO"))</f>
        <v>un</v>
      </c>
      <c r="D806" s="354" t="s">
        <v>932</v>
      </c>
      <c r="E806" s="355" t="str">
        <f t="shared" si="19"/>
        <v/>
      </c>
      <c r="F806" s="354"/>
      <c r="G806" s="345" t="str">
        <f>IF(D806="","",VLOOKUP(A806,Materiais_Base!A:D,4,"FALSO"))</f>
        <v/>
      </c>
    </row>
    <row r="807" hidden="1" customHeight="1" spans="1:7">
      <c r="A807" s="352" t="s">
        <v>15085</v>
      </c>
      <c r="B807" s="352" t="str">
        <f>IF(A807="","",VLOOKUP(A807,Materiais_Base!A:D,2,"FALSO"))</f>
        <v>Ancoragem ativa para cordoalha engraxada - D = 15,2 mm</v>
      </c>
      <c r="C807" s="353" t="str">
        <f>IF(A807="","",VLOOKUP(A807,Materiais_Base!A:D,3,"FALSO"))</f>
        <v>un</v>
      </c>
      <c r="D807" s="354" t="s">
        <v>932</v>
      </c>
      <c r="E807" s="355" t="str">
        <f t="shared" si="19"/>
        <v/>
      </c>
      <c r="F807" s="354"/>
      <c r="G807" s="345" t="str">
        <f>IF(D807="","",VLOOKUP(A807,Materiais_Base!A:D,4,"FALSO"))</f>
        <v/>
      </c>
    </row>
    <row r="808" hidden="1" customHeight="1" spans="1:7">
      <c r="A808" s="352" t="s">
        <v>15086</v>
      </c>
      <c r="B808" s="352" t="str">
        <f>IF(A808="","",VLOOKUP(A808,Materiais_Base!A:D,2,"FALSO"))</f>
        <v>Ancoragem passiva aderente para 10 cordoalhas - D = 12,7 mm</v>
      </c>
      <c r="C808" s="353" t="str">
        <f>IF(A808="","",VLOOKUP(A808,Materiais_Base!A:D,3,"FALSO"))</f>
        <v>un</v>
      </c>
      <c r="D808" s="354" t="s">
        <v>932</v>
      </c>
      <c r="E808" s="355" t="str">
        <f t="shared" si="19"/>
        <v/>
      </c>
      <c r="F808" s="354"/>
      <c r="G808" s="345" t="str">
        <f>IF(D808="","",VLOOKUP(A808,Materiais_Base!A:D,4,"FALSO"))</f>
        <v/>
      </c>
    </row>
    <row r="809" hidden="1" customHeight="1" spans="1:7">
      <c r="A809" s="352" t="s">
        <v>15087</v>
      </c>
      <c r="B809" s="352" t="str">
        <f>IF(A809="","",VLOOKUP(A809,Materiais_Base!A:D,2,"FALSO"))</f>
        <v>Ancoragem passiva aderente para 12 cordoalhas - D = 12,7 mm</v>
      </c>
      <c r="C809" s="353" t="str">
        <f>IF(A809="","",VLOOKUP(A809,Materiais_Base!A:D,3,"FALSO"))</f>
        <v>un</v>
      </c>
      <c r="D809" s="354" t="s">
        <v>932</v>
      </c>
      <c r="E809" s="355" t="str">
        <f t="shared" si="19"/>
        <v/>
      </c>
      <c r="F809" s="354"/>
      <c r="G809" s="345" t="str">
        <f>IF(D809="","",VLOOKUP(A809,Materiais_Base!A:D,4,"FALSO"))</f>
        <v/>
      </c>
    </row>
    <row r="810" hidden="1" customHeight="1" spans="1:7">
      <c r="A810" s="352" t="s">
        <v>15088</v>
      </c>
      <c r="B810" s="352" t="str">
        <f>IF(A810="","",VLOOKUP(A810,Materiais_Base!A:D,2,"FALSO"))</f>
        <v>Ancoragem passiva aderente para 12 cordoalhas - D = 15,2 mm</v>
      </c>
      <c r="C810" s="353" t="str">
        <f>IF(A810="","",VLOOKUP(A810,Materiais_Base!A:D,3,"FALSO"))</f>
        <v>un</v>
      </c>
      <c r="D810" s="354" t="s">
        <v>932</v>
      </c>
      <c r="E810" s="355" t="str">
        <f t="shared" si="19"/>
        <v/>
      </c>
      <c r="F810" s="354"/>
      <c r="G810" s="345" t="str">
        <f>IF(D810="","",VLOOKUP(A810,Materiais_Base!A:D,4,"FALSO"))</f>
        <v/>
      </c>
    </row>
    <row r="811" hidden="1" customHeight="1" spans="1:7">
      <c r="A811" s="352" t="s">
        <v>15089</v>
      </c>
      <c r="B811" s="352" t="str">
        <f>IF(A811="","",VLOOKUP(A811,Materiais_Base!A:D,2,"FALSO"))</f>
        <v>Ancoragem passiva aderente para 15 cordoalhas - D = 12,7 mm</v>
      </c>
      <c r="C811" s="353" t="str">
        <f>IF(A811="","",VLOOKUP(A811,Materiais_Base!A:D,3,"FALSO"))</f>
        <v>un</v>
      </c>
      <c r="D811" s="354" t="s">
        <v>932</v>
      </c>
      <c r="E811" s="355" t="str">
        <f t="shared" si="19"/>
        <v/>
      </c>
      <c r="F811" s="354"/>
      <c r="G811" s="345" t="str">
        <f>IF(D811="","",VLOOKUP(A811,Materiais_Base!A:D,4,"FALSO"))</f>
        <v/>
      </c>
    </row>
    <row r="812" hidden="1" customHeight="1" spans="1:7">
      <c r="A812" s="352" t="s">
        <v>15090</v>
      </c>
      <c r="B812" s="352" t="str">
        <f>IF(A812="","",VLOOKUP(A812,Materiais_Base!A:D,2,"FALSO"))</f>
        <v>Ancoragem passiva aderente para 15 cordoalhas - D = 15,2 mm</v>
      </c>
      <c r="C812" s="353" t="str">
        <f>IF(A812="","",VLOOKUP(A812,Materiais_Base!A:D,3,"FALSO"))</f>
        <v>un</v>
      </c>
      <c r="D812" s="354" t="s">
        <v>932</v>
      </c>
      <c r="E812" s="355" t="str">
        <f t="shared" si="19"/>
        <v/>
      </c>
      <c r="F812" s="354"/>
      <c r="G812" s="345" t="str">
        <f>IF(D812="","",VLOOKUP(A812,Materiais_Base!A:D,4,"FALSO"))</f>
        <v/>
      </c>
    </row>
    <row r="813" hidden="1" customHeight="1" spans="1:7">
      <c r="A813" s="352" t="s">
        <v>15091</v>
      </c>
      <c r="B813" s="352" t="str">
        <f>IF(A813="","",VLOOKUP(A813,Materiais_Base!A:D,2,"FALSO"))</f>
        <v>Ancoragem passiva aderente para 19 cordoalhas - D = 12,7 mm</v>
      </c>
      <c r="C813" s="353" t="str">
        <f>IF(A813="","",VLOOKUP(A813,Materiais_Base!A:D,3,"FALSO"))</f>
        <v>un</v>
      </c>
      <c r="D813" s="354" t="s">
        <v>932</v>
      </c>
      <c r="E813" s="355" t="str">
        <f t="shared" si="19"/>
        <v/>
      </c>
      <c r="F813" s="354"/>
      <c r="G813" s="345" t="str">
        <f>IF(D813="","",VLOOKUP(A813,Materiais_Base!A:D,4,"FALSO"))</f>
        <v/>
      </c>
    </row>
    <row r="814" hidden="1" customHeight="1" spans="1:7">
      <c r="A814" s="352" t="s">
        <v>15092</v>
      </c>
      <c r="B814" s="352" t="str">
        <f>IF(A814="","",VLOOKUP(A814,Materiais_Base!A:D,2,"FALSO"))</f>
        <v>Ancoragem passiva aderente para 19 cordoalhas - D = 15,2 mm</v>
      </c>
      <c r="C814" s="353" t="str">
        <f>IF(A814="","",VLOOKUP(A814,Materiais_Base!A:D,3,"FALSO"))</f>
        <v>un</v>
      </c>
      <c r="D814" s="354" t="s">
        <v>932</v>
      </c>
      <c r="E814" s="355" t="str">
        <f t="shared" si="19"/>
        <v/>
      </c>
      <c r="F814" s="354"/>
      <c r="G814" s="345" t="str">
        <f>IF(D814="","",VLOOKUP(A814,Materiais_Base!A:D,4,"FALSO"))</f>
        <v/>
      </c>
    </row>
    <row r="815" hidden="1" customHeight="1" spans="1:7">
      <c r="A815" s="352" t="s">
        <v>15093</v>
      </c>
      <c r="B815" s="352" t="str">
        <f>IF(A815="","",VLOOKUP(A815,Materiais_Base!A:D,2,"FALSO"))</f>
        <v>Ancoragem passiva aderente para 22 cordoalhas - D = 12,7 mm</v>
      </c>
      <c r="C815" s="353" t="str">
        <f>IF(A815="","",VLOOKUP(A815,Materiais_Base!A:D,3,"FALSO"))</f>
        <v>un</v>
      </c>
      <c r="D815" s="354" t="s">
        <v>932</v>
      </c>
      <c r="E815" s="355" t="str">
        <f t="shared" si="19"/>
        <v/>
      </c>
      <c r="F815" s="354"/>
      <c r="G815" s="345" t="str">
        <f>IF(D815="","",VLOOKUP(A815,Materiais_Base!A:D,4,"FALSO"))</f>
        <v/>
      </c>
    </row>
    <row r="816" hidden="1" customHeight="1" spans="1:7">
      <c r="A816" s="352" t="s">
        <v>15094</v>
      </c>
      <c r="B816" s="352" t="str">
        <f>IF(A816="","",VLOOKUP(A816,Materiais_Base!A:D,2,"FALSO"))</f>
        <v>Ancoragem passiva aderente para 22 cordoalhas - D = 15,2 mm</v>
      </c>
      <c r="C816" s="353" t="str">
        <f>IF(A816="","",VLOOKUP(A816,Materiais_Base!A:D,3,"FALSO"))</f>
        <v>un</v>
      </c>
      <c r="D816" s="354" t="s">
        <v>932</v>
      </c>
      <c r="E816" s="355" t="str">
        <f t="shared" si="19"/>
        <v/>
      </c>
      <c r="F816" s="354"/>
      <c r="G816" s="345" t="str">
        <f>IF(D816="","",VLOOKUP(A816,Materiais_Base!A:D,4,"FALSO"))</f>
        <v/>
      </c>
    </row>
    <row r="817" hidden="1" customHeight="1" spans="1:7">
      <c r="A817" s="352" t="s">
        <v>15095</v>
      </c>
      <c r="B817" s="352" t="str">
        <f>IF(A817="","",VLOOKUP(A817,Materiais_Base!A:D,2,"FALSO"))</f>
        <v>Ancoragem passiva aderente para 27 cordoalhas - D = 12,7 mm</v>
      </c>
      <c r="C817" s="353" t="str">
        <f>IF(A817="","",VLOOKUP(A817,Materiais_Base!A:D,3,"FALSO"))</f>
        <v>un</v>
      </c>
      <c r="D817" s="354" t="s">
        <v>932</v>
      </c>
      <c r="E817" s="355" t="str">
        <f t="shared" si="19"/>
        <v/>
      </c>
      <c r="F817" s="354"/>
      <c r="G817" s="345" t="str">
        <f>IF(D817="","",VLOOKUP(A817,Materiais_Base!A:D,4,"FALSO"))</f>
        <v/>
      </c>
    </row>
    <row r="818" hidden="1" customHeight="1" spans="1:7">
      <c r="A818" s="352" t="s">
        <v>15096</v>
      </c>
      <c r="B818" s="352" t="str">
        <f>IF(A818="","",VLOOKUP(A818,Materiais_Base!A:D,2,"FALSO"))</f>
        <v>Ancoragem passiva aderente para 27 cordoalhas - D = 15,2 mm</v>
      </c>
      <c r="C818" s="353" t="str">
        <f>IF(A818="","",VLOOKUP(A818,Materiais_Base!A:D,3,"FALSO"))</f>
        <v>un</v>
      </c>
      <c r="D818" s="354" t="s">
        <v>932</v>
      </c>
      <c r="E818" s="355" t="str">
        <f t="shared" si="19"/>
        <v/>
      </c>
      <c r="F818" s="354"/>
      <c r="G818" s="345" t="str">
        <f>IF(D818="","",VLOOKUP(A818,Materiais_Base!A:D,4,"FALSO"))</f>
        <v/>
      </c>
    </row>
    <row r="819" hidden="1" customHeight="1" spans="1:7">
      <c r="A819" s="352" t="s">
        <v>15097</v>
      </c>
      <c r="B819" s="352" t="str">
        <f>IF(A819="","",VLOOKUP(A819,Materiais_Base!A:D,2,"FALSO"))</f>
        <v>Ancoragem passiva aderente para 31 cordoalhas - D = 12,7 mm</v>
      </c>
      <c r="C819" s="353" t="str">
        <f>IF(A819="","",VLOOKUP(A819,Materiais_Base!A:D,3,"FALSO"))</f>
        <v>un</v>
      </c>
      <c r="D819" s="354" t="s">
        <v>932</v>
      </c>
      <c r="E819" s="355" t="str">
        <f t="shared" si="19"/>
        <v/>
      </c>
      <c r="F819" s="354"/>
      <c r="G819" s="345" t="str">
        <f>IF(D819="","",VLOOKUP(A819,Materiais_Base!A:D,4,"FALSO"))</f>
        <v/>
      </c>
    </row>
    <row r="820" hidden="1" customHeight="1" spans="1:7">
      <c r="A820" s="352" t="s">
        <v>15098</v>
      </c>
      <c r="B820" s="352" t="str">
        <f>IF(A820="","",VLOOKUP(A820,Materiais_Base!A:D,2,"FALSO"))</f>
        <v>Ancoragem passiva aderente para 4 cordoalhas - D = 12,7 mm</v>
      </c>
      <c r="C820" s="353" t="str">
        <f>IF(A820="","",VLOOKUP(A820,Materiais_Base!A:D,3,"FALSO"))</f>
        <v>un</v>
      </c>
      <c r="D820" s="354" t="s">
        <v>932</v>
      </c>
      <c r="E820" s="355" t="str">
        <f t="shared" si="19"/>
        <v/>
      </c>
      <c r="F820" s="354"/>
      <c r="G820" s="345" t="str">
        <f>IF(D820="","",VLOOKUP(A820,Materiais_Base!A:D,4,"FALSO"))</f>
        <v/>
      </c>
    </row>
    <row r="821" hidden="1" customHeight="1" spans="1:7">
      <c r="A821" s="352" t="s">
        <v>15099</v>
      </c>
      <c r="B821" s="352" t="str">
        <f>IF(A821="","",VLOOKUP(A821,Materiais_Base!A:D,2,"FALSO"))</f>
        <v>Ancoragem passiva aderente para 4 cordoalhas - D = 15,2 mm</v>
      </c>
      <c r="C821" s="353" t="str">
        <f>IF(A821="","",VLOOKUP(A821,Materiais_Base!A:D,3,"FALSO"))</f>
        <v>un</v>
      </c>
      <c r="D821" s="354" t="s">
        <v>932</v>
      </c>
      <c r="E821" s="355" t="str">
        <f t="shared" si="19"/>
        <v/>
      </c>
      <c r="F821" s="354"/>
      <c r="G821" s="345" t="str">
        <f>IF(D821="","",VLOOKUP(A821,Materiais_Base!A:D,4,"FALSO"))</f>
        <v/>
      </c>
    </row>
    <row r="822" hidden="1" customHeight="1" spans="1:7">
      <c r="A822" s="352" t="s">
        <v>15100</v>
      </c>
      <c r="B822" s="352" t="str">
        <f>IF(A822="","",VLOOKUP(A822,Materiais_Base!A:D,2,"FALSO"))</f>
        <v>Ancoragem passiva aderente para 6 cordoalhas - D = 12,7 mm</v>
      </c>
      <c r="C822" s="353" t="str">
        <f>IF(A822="","",VLOOKUP(A822,Materiais_Base!A:D,3,"FALSO"))</f>
        <v>un</v>
      </c>
      <c r="D822" s="354" t="s">
        <v>932</v>
      </c>
      <c r="E822" s="355" t="str">
        <f t="shared" si="19"/>
        <v/>
      </c>
      <c r="F822" s="354"/>
      <c r="G822" s="345" t="str">
        <f>IF(D822="","",VLOOKUP(A822,Materiais_Base!A:D,4,"FALSO"))</f>
        <v/>
      </c>
    </row>
    <row r="823" hidden="1" customHeight="1" spans="1:7">
      <c r="A823" s="352" t="s">
        <v>15101</v>
      </c>
      <c r="B823" s="352" t="str">
        <f>IF(A823="","",VLOOKUP(A823,Materiais_Base!A:D,2,"FALSO"))</f>
        <v>Ancoragem passiva aderente para 6 cordoalhas - D = 15,2 mm</v>
      </c>
      <c r="C823" s="353" t="str">
        <f>IF(A823="","",VLOOKUP(A823,Materiais_Base!A:D,3,"FALSO"))</f>
        <v>un</v>
      </c>
      <c r="D823" s="354" t="s">
        <v>932</v>
      </c>
      <c r="E823" s="355" t="str">
        <f t="shared" si="19"/>
        <v/>
      </c>
      <c r="F823" s="354"/>
      <c r="G823" s="345" t="str">
        <f>IF(D823="","",VLOOKUP(A823,Materiais_Base!A:D,4,"FALSO"))</f>
        <v/>
      </c>
    </row>
    <row r="824" hidden="1" customHeight="1" spans="1:7">
      <c r="A824" s="352" t="s">
        <v>15102</v>
      </c>
      <c r="B824" s="352" t="str">
        <f>IF(A824="","",VLOOKUP(A824,Materiais_Base!A:D,2,"FALSO"))</f>
        <v>Ancoragem passiva aderente para 7 cordoalhas - D = 12,7 mm</v>
      </c>
      <c r="C824" s="353" t="str">
        <f>IF(A824="","",VLOOKUP(A824,Materiais_Base!A:D,3,"FALSO"))</f>
        <v>un</v>
      </c>
      <c r="D824" s="354" t="s">
        <v>932</v>
      </c>
      <c r="E824" s="355" t="str">
        <f t="shared" si="19"/>
        <v/>
      </c>
      <c r="F824" s="354"/>
      <c r="G824" s="345" t="str">
        <f>IF(D824="","",VLOOKUP(A824,Materiais_Base!A:D,4,"FALSO"))</f>
        <v/>
      </c>
    </row>
    <row r="825" hidden="1" customHeight="1" spans="1:7">
      <c r="A825" s="352" t="s">
        <v>15103</v>
      </c>
      <c r="B825" s="352" t="str">
        <f>IF(A825="","",VLOOKUP(A825,Materiais_Base!A:D,2,"FALSO"))</f>
        <v>Ancoragem passiva aderente para 7 cordoalhas - D = 15,2 mm</v>
      </c>
      <c r="C825" s="353" t="str">
        <f>IF(A825="","",VLOOKUP(A825,Materiais_Base!A:D,3,"FALSO"))</f>
        <v>un</v>
      </c>
      <c r="D825" s="354" t="s">
        <v>932</v>
      </c>
      <c r="E825" s="355" t="str">
        <f t="shared" si="19"/>
        <v/>
      </c>
      <c r="F825" s="354"/>
      <c r="G825" s="345" t="str">
        <f>IF(D825="","",VLOOKUP(A825,Materiais_Base!A:D,4,"FALSO"))</f>
        <v/>
      </c>
    </row>
    <row r="826" hidden="1" customHeight="1" spans="1:7">
      <c r="A826" s="352" t="s">
        <v>15104</v>
      </c>
      <c r="B826" s="352" t="str">
        <f>IF(A826="","",VLOOKUP(A826,Materiais_Base!A:D,2,"FALSO"))</f>
        <v>Ancoragem passiva aderente para 8 cordoalhas - D = 12,7 mm</v>
      </c>
      <c r="C826" s="353" t="str">
        <f>IF(A826="","",VLOOKUP(A826,Materiais_Base!A:D,3,"FALSO"))</f>
        <v>un</v>
      </c>
      <c r="D826" s="354" t="s">
        <v>932</v>
      </c>
      <c r="E826" s="355" t="str">
        <f t="shared" si="19"/>
        <v/>
      </c>
      <c r="F826" s="354"/>
      <c r="G826" s="345" t="str">
        <f>IF(D826="","",VLOOKUP(A826,Materiais_Base!A:D,4,"FALSO"))</f>
        <v/>
      </c>
    </row>
    <row r="827" hidden="1" customHeight="1" spans="1:7">
      <c r="A827" s="352" t="s">
        <v>15105</v>
      </c>
      <c r="B827" s="352" t="str">
        <f>IF(A827="","",VLOOKUP(A827,Materiais_Base!A:D,2,"FALSO"))</f>
        <v>Ancoragem passiva aderente para 9 cordoalhas - D = 12,7 mm</v>
      </c>
      <c r="C827" s="353" t="str">
        <f>IF(A827="","",VLOOKUP(A827,Materiais_Base!A:D,3,"FALSO"))</f>
        <v>un</v>
      </c>
      <c r="D827" s="354" t="s">
        <v>932</v>
      </c>
      <c r="E827" s="355" t="str">
        <f t="shared" si="19"/>
        <v/>
      </c>
      <c r="F827" s="354"/>
      <c r="G827" s="345" t="str">
        <f>IF(D827="","",VLOOKUP(A827,Materiais_Base!A:D,4,"FALSO"))</f>
        <v/>
      </c>
    </row>
    <row r="828" hidden="1" customHeight="1" spans="1:7">
      <c r="A828" s="352" t="s">
        <v>15106</v>
      </c>
      <c r="B828" s="352" t="str">
        <f>IF(A828="","",VLOOKUP(A828,Materiais_Base!A:D,2,"FALSO"))</f>
        <v>Ancoragem passiva aderente para 9 cordoalhas - D = 15,2 mm</v>
      </c>
      <c r="C828" s="353" t="str">
        <f>IF(A828="","",VLOOKUP(A828,Materiais_Base!A:D,3,"FALSO"))</f>
        <v>un</v>
      </c>
      <c r="D828" s="354" t="s">
        <v>932</v>
      </c>
      <c r="E828" s="355" t="str">
        <f t="shared" si="19"/>
        <v/>
      </c>
      <c r="F828" s="354"/>
      <c r="G828" s="345" t="str">
        <f>IF(D828="","",VLOOKUP(A828,Materiais_Base!A:D,4,"FALSO"))</f>
        <v/>
      </c>
    </row>
    <row r="829" hidden="1" customHeight="1" spans="1:7">
      <c r="A829" s="352" t="s">
        <v>15107</v>
      </c>
      <c r="B829" s="352" t="str">
        <f>IF(A829="","",VLOOKUP(A829,Materiais_Base!A:D,2,"FALSO"))</f>
        <v>Ancoragem passiva aderente para lajes para 1 cordoalha - D = 12,7 mm</v>
      </c>
      <c r="C829" s="353" t="str">
        <f>IF(A829="","",VLOOKUP(A829,Materiais_Base!A:D,3,"FALSO"))</f>
        <v>un</v>
      </c>
      <c r="D829" s="354" t="s">
        <v>932</v>
      </c>
      <c r="E829" s="355" t="str">
        <f t="shared" si="19"/>
        <v/>
      </c>
      <c r="F829" s="354"/>
      <c r="G829" s="345" t="str">
        <f>IF(D829="","",VLOOKUP(A829,Materiais_Base!A:D,4,"FALSO"))</f>
        <v/>
      </c>
    </row>
    <row r="830" hidden="1" customHeight="1" spans="1:7">
      <c r="A830" s="352" t="s">
        <v>15108</v>
      </c>
      <c r="B830" s="352" t="str">
        <f>IF(A830="","",VLOOKUP(A830,Materiais_Base!A:D,2,"FALSO"))</f>
        <v>Ancoragem passiva aderente para lajes para 1 cordoalha - D = 15,2 mm</v>
      </c>
      <c r="C830" s="353" t="str">
        <f>IF(A830="","",VLOOKUP(A830,Materiais_Base!A:D,3,"FALSO"))</f>
        <v>un</v>
      </c>
      <c r="D830" s="354" t="s">
        <v>932</v>
      </c>
      <c r="E830" s="355" t="str">
        <f t="shared" si="19"/>
        <v/>
      </c>
      <c r="F830" s="354"/>
      <c r="G830" s="345" t="str">
        <f>IF(D830="","",VLOOKUP(A830,Materiais_Base!A:D,4,"FALSO"))</f>
        <v/>
      </c>
    </row>
    <row r="831" hidden="1" customHeight="1" spans="1:7">
      <c r="A831" s="352" t="s">
        <v>15109</v>
      </c>
      <c r="B831" s="352" t="str">
        <f>IF(A831="","",VLOOKUP(A831,Materiais_Base!A:D,2,"FALSO"))</f>
        <v>Ancoragem passiva aderente para lajes para 2 cordoalhas - D = 12,7 mm</v>
      </c>
      <c r="C831" s="353" t="str">
        <f>IF(A831="","",VLOOKUP(A831,Materiais_Base!A:D,3,"FALSO"))</f>
        <v>un</v>
      </c>
      <c r="D831" s="354" t="s">
        <v>932</v>
      </c>
      <c r="E831" s="355" t="str">
        <f t="shared" si="19"/>
        <v/>
      </c>
      <c r="F831" s="354"/>
      <c r="G831" s="345" t="str">
        <f>IF(D831="","",VLOOKUP(A831,Materiais_Base!A:D,4,"FALSO"))</f>
        <v/>
      </c>
    </row>
    <row r="832" hidden="1" customHeight="1" spans="1:7">
      <c r="A832" s="352" t="s">
        <v>15110</v>
      </c>
      <c r="B832" s="352" t="str">
        <f>IF(A832="","",VLOOKUP(A832,Materiais_Base!A:D,2,"FALSO"))</f>
        <v>Ancoragem passiva aderente para lajes para 2 cordoalhas - D = 15,2 mm</v>
      </c>
      <c r="C832" s="353" t="str">
        <f>IF(A832="","",VLOOKUP(A832,Materiais_Base!A:D,3,"FALSO"))</f>
        <v>un</v>
      </c>
      <c r="D832" s="354" t="s">
        <v>932</v>
      </c>
      <c r="E832" s="355" t="str">
        <f t="shared" si="19"/>
        <v/>
      </c>
      <c r="F832" s="354"/>
      <c r="G832" s="345" t="str">
        <f>IF(D832="","",VLOOKUP(A832,Materiais_Base!A:D,4,"FALSO"))</f>
        <v/>
      </c>
    </row>
    <row r="833" hidden="1" customHeight="1" spans="1:7">
      <c r="A833" s="352" t="s">
        <v>15111</v>
      </c>
      <c r="B833" s="352" t="str">
        <f>IF(A833="","",VLOOKUP(A833,Materiais_Base!A:D,2,"FALSO"))</f>
        <v>Ancoragem passiva aderente para lajes para 3 cordoalhas - D = 12,7 mm</v>
      </c>
      <c r="C833" s="353" t="str">
        <f>IF(A833="","",VLOOKUP(A833,Materiais_Base!A:D,3,"FALSO"))</f>
        <v>un</v>
      </c>
      <c r="D833" s="354" t="s">
        <v>932</v>
      </c>
      <c r="E833" s="355" t="str">
        <f t="shared" si="19"/>
        <v/>
      </c>
      <c r="F833" s="354"/>
      <c r="G833" s="345" t="str">
        <f>IF(D833="","",VLOOKUP(A833,Materiais_Base!A:D,4,"FALSO"))</f>
        <v/>
      </c>
    </row>
    <row r="834" hidden="1" customHeight="1" spans="1:7">
      <c r="A834" s="352" t="s">
        <v>15112</v>
      </c>
      <c r="B834" s="352" t="str">
        <f>IF(A834="","",VLOOKUP(A834,Materiais_Base!A:D,2,"FALSO"))</f>
        <v>Ancoragem passiva aderente para lajes para 3 cordoalhas - D = 15,2 mm</v>
      </c>
      <c r="C834" s="353" t="str">
        <f>IF(A834="","",VLOOKUP(A834,Materiais_Base!A:D,3,"FALSO"))</f>
        <v>un</v>
      </c>
      <c r="D834" s="354" t="s">
        <v>932</v>
      </c>
      <c r="E834" s="355" t="str">
        <f t="shared" si="19"/>
        <v/>
      </c>
      <c r="F834" s="354"/>
      <c r="G834" s="345" t="str">
        <f>IF(D834="","",VLOOKUP(A834,Materiais_Base!A:D,4,"FALSO"))</f>
        <v/>
      </c>
    </row>
    <row r="835" hidden="1" customHeight="1" spans="1:7">
      <c r="A835" s="352" t="s">
        <v>15113</v>
      </c>
      <c r="B835" s="352" t="str">
        <f>IF(A835="","",VLOOKUP(A835,Materiais_Base!A:D,2,"FALSO"))</f>
        <v>Ancoragem passiva aderente para lajes para 4 cordoalhas - D = 12,7 mm</v>
      </c>
      <c r="C835" s="353" t="str">
        <f>IF(A835="","",VLOOKUP(A835,Materiais_Base!A:D,3,"FALSO"))</f>
        <v>un</v>
      </c>
      <c r="D835" s="354" t="s">
        <v>932</v>
      </c>
      <c r="E835" s="355" t="str">
        <f t="shared" si="19"/>
        <v/>
      </c>
      <c r="F835" s="354"/>
      <c r="G835" s="345" t="str">
        <f>IF(D835="","",VLOOKUP(A835,Materiais_Base!A:D,4,"FALSO"))</f>
        <v/>
      </c>
    </row>
    <row r="836" hidden="1" customHeight="1" spans="1:7">
      <c r="A836" s="352" t="s">
        <v>15114</v>
      </c>
      <c r="B836" s="352" t="str">
        <f>IF(A836="","",VLOOKUP(A836,Materiais_Base!A:D,2,"FALSO"))</f>
        <v>Ancoragem passiva aderente para lajes para 4 cordoalhas - D = 15,2 mm</v>
      </c>
      <c r="C836" s="353" t="str">
        <f>IF(A836="","",VLOOKUP(A836,Materiais_Base!A:D,3,"FALSO"))</f>
        <v>un</v>
      </c>
      <c r="D836" s="354" t="s">
        <v>932</v>
      </c>
      <c r="E836" s="355" t="str">
        <f t="shared" si="19"/>
        <v/>
      </c>
      <c r="F836" s="354"/>
      <c r="G836" s="345" t="str">
        <f>IF(D836="","",VLOOKUP(A836,Materiais_Base!A:D,4,"FALSO"))</f>
        <v/>
      </c>
    </row>
    <row r="837" customHeight="1" spans="1:7">
      <c r="A837" s="352" t="s">
        <v>15115</v>
      </c>
      <c r="B837" s="352" t="str">
        <f>IF(A837="","",VLOOKUP(A837,Materiais_Base!A:D,2,"FALSO"))</f>
        <v>Mangueira cristal trançada de PVC com pressão de trabalho de 1,50 MPa (250 psi) - D = 19,0 mm (3/4")</v>
      </c>
      <c r="C837" s="353" t="str">
        <f>IF(A837="","",VLOOKUP(A837,Materiais_Base!A:D,3,"FALSO"))</f>
        <v>m</v>
      </c>
      <c r="D837" s="354">
        <v>8.5551</v>
      </c>
      <c r="E837" s="355">
        <f t="shared" si="19"/>
        <v>8.5551</v>
      </c>
      <c r="F837" s="354"/>
      <c r="G837" s="345">
        <f>IF(D837="","",VLOOKUP(A837,Materiais_Base!A:D,4,"FALSO"))</f>
        <v>8.5551</v>
      </c>
    </row>
    <row r="838" hidden="1" customHeight="1" spans="1:7">
      <c r="A838" s="352" t="s">
        <v>15116</v>
      </c>
      <c r="B838" s="352" t="str">
        <f>IF(A838="","",VLOOKUP(A838,Materiais_Base!A:D,2,"FALSO"))</f>
        <v>Bainha metálica para protensão - D = 40 mm</v>
      </c>
      <c r="C838" s="353" t="str">
        <f>IF(A838="","",VLOOKUP(A838,Materiais_Base!A:D,3,"FALSO"))</f>
        <v>m</v>
      </c>
      <c r="D838" s="354" t="s">
        <v>932</v>
      </c>
      <c r="E838" s="355" t="str">
        <f t="shared" si="19"/>
        <v/>
      </c>
      <c r="F838" s="354"/>
      <c r="G838" s="345" t="str">
        <f>IF(D838="","",VLOOKUP(A838,Materiais_Base!A:D,4,"FALSO"))</f>
        <v/>
      </c>
    </row>
    <row r="839" hidden="1" customHeight="1" spans="1:7">
      <c r="A839" s="352" t="s">
        <v>15117</v>
      </c>
      <c r="B839" s="352" t="str">
        <f>IF(A839="","",VLOOKUP(A839,Materiais_Base!A:D,2,"FALSO"))</f>
        <v>Bainha metálica para protensão - D = 45 mm</v>
      </c>
      <c r="C839" s="353" t="str">
        <f>IF(A839="","",VLOOKUP(A839,Materiais_Base!A:D,3,"FALSO"))</f>
        <v>m</v>
      </c>
      <c r="D839" s="354" t="s">
        <v>932</v>
      </c>
      <c r="E839" s="355" t="str">
        <f t="shared" si="19"/>
        <v/>
      </c>
      <c r="F839" s="354"/>
      <c r="G839" s="345" t="str">
        <f>IF(D839="","",VLOOKUP(A839,Materiais_Base!A:D,4,"FALSO"))</f>
        <v/>
      </c>
    </row>
    <row r="840" hidden="1" customHeight="1" spans="1:7">
      <c r="A840" s="352" t="s">
        <v>15118</v>
      </c>
      <c r="B840" s="352" t="str">
        <f>IF(A840="","",VLOOKUP(A840,Materiais_Base!A:D,2,"FALSO"))</f>
        <v>Bainha metálica para protensão - D = 50 mm</v>
      </c>
      <c r="C840" s="353" t="str">
        <f>IF(A840="","",VLOOKUP(A840,Materiais_Base!A:D,3,"FALSO"))</f>
        <v>m</v>
      </c>
      <c r="D840" s="354" t="s">
        <v>932</v>
      </c>
      <c r="E840" s="355" t="str">
        <f t="shared" si="19"/>
        <v/>
      </c>
      <c r="F840" s="354"/>
      <c r="G840" s="345" t="str">
        <f>IF(D840="","",VLOOKUP(A840,Materiais_Base!A:D,4,"FALSO"))</f>
        <v/>
      </c>
    </row>
    <row r="841" hidden="1" customHeight="1" spans="1:7">
      <c r="A841" s="352" t="s">
        <v>15119</v>
      </c>
      <c r="B841" s="352" t="str">
        <f>IF(A841="","",VLOOKUP(A841,Materiais_Base!A:D,2,"FALSO"))</f>
        <v>Bainha metálica para protensão - D = 55 mm</v>
      </c>
      <c r="C841" s="353" t="str">
        <f>IF(A841="","",VLOOKUP(A841,Materiais_Base!A:D,3,"FALSO"))</f>
        <v>m</v>
      </c>
      <c r="D841" s="354" t="s">
        <v>932</v>
      </c>
      <c r="E841" s="355" t="str">
        <f t="shared" si="19"/>
        <v/>
      </c>
      <c r="F841" s="354"/>
      <c r="G841" s="345" t="str">
        <f>IF(D841="","",VLOOKUP(A841,Materiais_Base!A:D,4,"FALSO"))</f>
        <v/>
      </c>
    </row>
    <row r="842" hidden="1" customHeight="1" spans="1:7">
      <c r="A842" s="352" t="s">
        <v>15120</v>
      </c>
      <c r="B842" s="352" t="str">
        <f>IF(A842="","",VLOOKUP(A842,Materiais_Base!A:D,2,"FALSO"))</f>
        <v>Bainha metálica para protensão - D = 60 mm</v>
      </c>
      <c r="C842" s="353" t="str">
        <f>IF(A842="","",VLOOKUP(A842,Materiais_Base!A:D,3,"FALSO"))</f>
        <v>m</v>
      </c>
      <c r="D842" s="354" t="s">
        <v>932</v>
      </c>
      <c r="E842" s="355" t="str">
        <f t="shared" si="19"/>
        <v/>
      </c>
      <c r="F842" s="354"/>
      <c r="G842" s="345" t="str">
        <f>IF(D842="","",VLOOKUP(A842,Materiais_Base!A:D,4,"FALSO"))</f>
        <v/>
      </c>
    </row>
    <row r="843" hidden="1" customHeight="1" spans="1:7">
      <c r="A843" s="352" t="s">
        <v>15121</v>
      </c>
      <c r="B843" s="352" t="str">
        <f>IF(A843="","",VLOOKUP(A843,Materiais_Base!A:D,2,"FALSO"))</f>
        <v>Bainha metálica para protensão - D = 65 mm</v>
      </c>
      <c r="C843" s="353" t="str">
        <f>IF(A843="","",VLOOKUP(A843,Materiais_Base!A:D,3,"FALSO"))</f>
        <v>m</v>
      </c>
      <c r="D843" s="354" t="s">
        <v>932</v>
      </c>
      <c r="E843" s="355" t="str">
        <f t="shared" si="19"/>
        <v/>
      </c>
      <c r="F843" s="354"/>
      <c r="G843" s="345" t="str">
        <f>IF(D843="","",VLOOKUP(A843,Materiais_Base!A:D,4,"FALSO"))</f>
        <v/>
      </c>
    </row>
    <row r="844" hidden="1" customHeight="1" spans="1:7">
      <c r="A844" s="352" t="s">
        <v>15122</v>
      </c>
      <c r="B844" s="352" t="str">
        <f>IF(A844="","",VLOOKUP(A844,Materiais_Base!A:D,2,"FALSO"))</f>
        <v>Bainha metálica para protensão - D = 70 mm</v>
      </c>
      <c r="C844" s="353" t="str">
        <f>IF(A844="","",VLOOKUP(A844,Materiais_Base!A:D,3,"FALSO"))</f>
        <v>m</v>
      </c>
      <c r="D844" s="354" t="s">
        <v>932</v>
      </c>
      <c r="E844" s="355" t="str">
        <f t="shared" si="19"/>
        <v/>
      </c>
      <c r="F844" s="354"/>
      <c r="G844" s="345" t="str">
        <f>IF(D844="","",VLOOKUP(A844,Materiais_Base!A:D,4,"FALSO"))</f>
        <v/>
      </c>
    </row>
    <row r="845" hidden="1" customHeight="1" spans="1:7">
      <c r="A845" s="352" t="s">
        <v>15123</v>
      </c>
      <c r="B845" s="352" t="str">
        <f>IF(A845="","",VLOOKUP(A845,Materiais_Base!A:D,2,"FALSO"))</f>
        <v>Bainha metálica para protensão - D = 75 mm</v>
      </c>
      <c r="C845" s="353" t="str">
        <f>IF(A845="","",VLOOKUP(A845,Materiais_Base!A:D,3,"FALSO"))</f>
        <v>m</v>
      </c>
      <c r="D845" s="354" t="s">
        <v>932</v>
      </c>
      <c r="E845" s="355" t="str">
        <f t="shared" si="19"/>
        <v/>
      </c>
      <c r="F845" s="354"/>
      <c r="G845" s="345" t="str">
        <f>IF(D845="","",VLOOKUP(A845,Materiais_Base!A:D,4,"FALSO"))</f>
        <v/>
      </c>
    </row>
    <row r="846" customHeight="1" spans="1:7">
      <c r="A846" s="352" t="s">
        <v>15124</v>
      </c>
      <c r="B846" s="352" t="str">
        <f>IF(A846="","",VLOOKUP(A846,Materiais_Base!A:D,2,"FALSO"))</f>
        <v>Bainha metálica para protensão - D = 80 mm</v>
      </c>
      <c r="C846" s="353" t="str">
        <f>IF(A846="","",VLOOKUP(A846,Materiais_Base!A:D,3,"FALSO"))</f>
        <v>m</v>
      </c>
      <c r="D846" s="354">
        <v>27.5465</v>
      </c>
      <c r="E846" s="355">
        <f t="shared" si="19"/>
        <v>27.5465</v>
      </c>
      <c r="F846" s="354"/>
      <c r="G846" s="345">
        <f>IF(D846="","",VLOOKUP(A846,Materiais_Base!A:D,4,"FALSO"))</f>
        <v>27.5465</v>
      </c>
    </row>
    <row r="847" hidden="1" customHeight="1" spans="1:7">
      <c r="A847" s="352" t="s">
        <v>15125</v>
      </c>
      <c r="B847" s="352" t="str">
        <f>IF(A847="","",VLOOKUP(A847,Materiais_Base!A:D,2,"FALSO"))</f>
        <v>Bainha metálica para protensão - D = 85 mm</v>
      </c>
      <c r="C847" s="353" t="str">
        <f>IF(A847="","",VLOOKUP(A847,Materiais_Base!A:D,3,"FALSO"))</f>
        <v>m</v>
      </c>
      <c r="D847" s="354" t="s">
        <v>932</v>
      </c>
      <c r="E847" s="355" t="str">
        <f t="shared" si="19"/>
        <v/>
      </c>
      <c r="F847" s="354"/>
      <c r="G847" s="345" t="str">
        <f>IF(D847="","",VLOOKUP(A847,Materiais_Base!A:D,4,"FALSO"))</f>
        <v/>
      </c>
    </row>
    <row r="848" hidden="1" customHeight="1" spans="1:7">
      <c r="A848" s="352" t="s">
        <v>15126</v>
      </c>
      <c r="B848" s="352" t="str">
        <f>IF(A848="","",VLOOKUP(A848,Materiais_Base!A:D,2,"FALSO"))</f>
        <v>Bainha metálica para protensão - D = 90 mm</v>
      </c>
      <c r="C848" s="353" t="str">
        <f>IF(A848="","",VLOOKUP(A848,Materiais_Base!A:D,3,"FALSO"))</f>
        <v>m</v>
      </c>
      <c r="D848" s="354" t="s">
        <v>932</v>
      </c>
      <c r="E848" s="355" t="str">
        <f t="shared" si="19"/>
        <v/>
      </c>
      <c r="F848" s="354"/>
      <c r="G848" s="345" t="str">
        <f>IF(D848="","",VLOOKUP(A848,Materiais_Base!A:D,4,"FALSO"))</f>
        <v/>
      </c>
    </row>
    <row r="849" hidden="1" customHeight="1" spans="1:7">
      <c r="A849" s="352" t="s">
        <v>15127</v>
      </c>
      <c r="B849" s="352" t="str">
        <f>IF(A849="","",VLOOKUP(A849,Materiais_Base!A:D,2,"FALSO"))</f>
        <v>Bainha metálica para protensão - D = 95 mm</v>
      </c>
      <c r="C849" s="353" t="str">
        <f>IF(A849="","",VLOOKUP(A849,Materiais_Base!A:D,3,"FALSO"))</f>
        <v>m</v>
      </c>
      <c r="D849" s="354" t="s">
        <v>932</v>
      </c>
      <c r="E849" s="355" t="str">
        <f t="shared" si="19"/>
        <v/>
      </c>
      <c r="F849" s="354"/>
      <c r="G849" s="345" t="str">
        <f>IF(D849="","",VLOOKUP(A849,Materiais_Base!A:D,4,"FALSO"))</f>
        <v/>
      </c>
    </row>
    <row r="850" hidden="1" customHeight="1" spans="1:7">
      <c r="A850" s="352" t="s">
        <v>15128</v>
      </c>
      <c r="B850" s="352" t="str">
        <f>IF(A850="","",VLOOKUP(A850,Materiais_Base!A:D,2,"FALSO"))</f>
        <v>Bainha metálica para protensão - D = 100 mm</v>
      </c>
      <c r="C850" s="353" t="str">
        <f>IF(A850="","",VLOOKUP(A850,Materiais_Base!A:D,3,"FALSO"))</f>
        <v>m</v>
      </c>
      <c r="D850" s="354" t="s">
        <v>932</v>
      </c>
      <c r="E850" s="355" t="str">
        <f t="shared" si="19"/>
        <v/>
      </c>
      <c r="F850" s="354"/>
      <c r="G850" s="345" t="str">
        <f>IF(D850="","",VLOOKUP(A850,Materiais_Base!A:D,4,"FALSO"))</f>
        <v/>
      </c>
    </row>
    <row r="851" hidden="1" customHeight="1" spans="1:7">
      <c r="A851" s="352" t="s">
        <v>15129</v>
      </c>
      <c r="B851" s="352" t="str">
        <f>IF(A851="","",VLOOKUP(A851,Materiais_Base!A:D,2,"FALSO"))</f>
        <v>Bainha metálica para protensão - D = 110 mm</v>
      </c>
      <c r="C851" s="353" t="str">
        <f>IF(A851="","",VLOOKUP(A851,Materiais_Base!A:D,3,"FALSO"))</f>
        <v>m</v>
      </c>
      <c r="D851" s="354" t="s">
        <v>932</v>
      </c>
      <c r="E851" s="355" t="str">
        <f t="shared" si="19"/>
        <v/>
      </c>
      <c r="F851" s="354"/>
      <c r="G851" s="345" t="str">
        <f>IF(D851="","",VLOOKUP(A851,Materiais_Base!A:D,4,"FALSO"))</f>
        <v/>
      </c>
    </row>
    <row r="852" hidden="1" customHeight="1" spans="1:7">
      <c r="A852" s="352" t="s">
        <v>15130</v>
      </c>
      <c r="B852" s="352" t="str">
        <f>IF(A852="","",VLOOKUP(A852,Materiais_Base!A:D,2,"FALSO"))</f>
        <v>Bainha metálica para protensão - D = 120 mm</v>
      </c>
      <c r="C852" s="353" t="str">
        <f>IF(A852="","",VLOOKUP(A852,Materiais_Base!A:D,3,"FALSO"))</f>
        <v>m</v>
      </c>
      <c r="D852" s="354" t="s">
        <v>932</v>
      </c>
      <c r="E852" s="355" t="str">
        <f t="shared" si="19"/>
        <v/>
      </c>
      <c r="F852" s="354"/>
      <c r="G852" s="345" t="str">
        <f>IF(D852="","",VLOOKUP(A852,Materiais_Base!A:D,4,"FALSO"))</f>
        <v/>
      </c>
    </row>
    <row r="853" hidden="1" customHeight="1" spans="1:7">
      <c r="A853" s="352" t="s">
        <v>15131</v>
      </c>
      <c r="B853" s="352" t="str">
        <f>IF(A853="","",VLOOKUP(A853,Materiais_Base!A:D,2,"FALSO"))</f>
        <v>Bainha metálica para protensão - D = 130 mm</v>
      </c>
      <c r="C853" s="353" t="str">
        <f>IF(A853="","",VLOOKUP(A853,Materiais_Base!A:D,3,"FALSO"))</f>
        <v>m</v>
      </c>
      <c r="D853" s="354" t="s">
        <v>932</v>
      </c>
      <c r="E853" s="355" t="str">
        <f t="shared" si="19"/>
        <v/>
      </c>
      <c r="F853" s="354"/>
      <c r="G853" s="345" t="str">
        <f>IF(D853="","",VLOOKUP(A853,Materiais_Base!A:D,4,"FALSO"))</f>
        <v/>
      </c>
    </row>
    <row r="854" hidden="1" customHeight="1" spans="1:7">
      <c r="A854" s="352" t="s">
        <v>15132</v>
      </c>
      <c r="B854" s="352" t="str">
        <f>IF(A854="","",VLOOKUP(A854,Materiais_Base!A:D,2,"FALSO"))</f>
        <v>Bainha metálica ovalizada para protensão - seção de 19 x 36 mm</v>
      </c>
      <c r="C854" s="353" t="str">
        <f>IF(A854="","",VLOOKUP(A854,Materiais_Base!A:D,3,"FALSO"))</f>
        <v>m</v>
      </c>
      <c r="D854" s="354" t="s">
        <v>932</v>
      </c>
      <c r="E854" s="355" t="str">
        <f t="shared" si="19"/>
        <v/>
      </c>
      <c r="F854" s="354"/>
      <c r="G854" s="345" t="str">
        <f>IF(D854="","",VLOOKUP(A854,Materiais_Base!A:D,4,"FALSO"))</f>
        <v/>
      </c>
    </row>
    <row r="855" hidden="1" customHeight="1" spans="1:7">
      <c r="A855" s="352" t="s">
        <v>15133</v>
      </c>
      <c r="B855" s="352" t="str">
        <f>IF(A855="","",VLOOKUP(A855,Materiais_Base!A:D,2,"FALSO"))</f>
        <v>Bainha metálica ovalizada para protensão - seção de 19 x 48 mm</v>
      </c>
      <c r="C855" s="353" t="str">
        <f>IF(A855="","",VLOOKUP(A855,Materiais_Base!A:D,3,"FALSO"))</f>
        <v>m</v>
      </c>
      <c r="D855" s="354" t="s">
        <v>932</v>
      </c>
      <c r="E855" s="355" t="str">
        <f t="shared" si="19"/>
        <v/>
      </c>
      <c r="F855" s="354"/>
      <c r="G855" s="345" t="str">
        <f>IF(D855="","",VLOOKUP(A855,Materiais_Base!A:D,4,"FALSO"))</f>
        <v/>
      </c>
    </row>
    <row r="856" hidden="1" customHeight="1" spans="1:7">
      <c r="A856" s="352" t="s">
        <v>15134</v>
      </c>
      <c r="B856" s="352" t="str">
        <f>IF(A856="","",VLOOKUP(A856,Materiais_Base!A:D,2,"FALSO"))</f>
        <v>Bainha metálica ovalizada para protensão - seção de 19 x 62 mm</v>
      </c>
      <c r="C856" s="353" t="str">
        <f>IF(A856="","",VLOOKUP(A856,Materiais_Base!A:D,3,"FALSO"))</f>
        <v>m</v>
      </c>
      <c r="D856" s="354" t="s">
        <v>932</v>
      </c>
      <c r="E856" s="355" t="str">
        <f t="shared" si="19"/>
        <v/>
      </c>
      <c r="F856" s="354"/>
      <c r="G856" s="345" t="str">
        <f>IF(D856="","",VLOOKUP(A856,Materiais_Base!A:D,4,"FALSO"))</f>
        <v/>
      </c>
    </row>
    <row r="857" hidden="1" customHeight="1" spans="1:7">
      <c r="A857" s="352" t="s">
        <v>15135</v>
      </c>
      <c r="B857" s="352" t="str">
        <f>IF(A857="","",VLOOKUP(A857,Materiais_Base!A:D,2,"FALSO"))</f>
        <v>Bainha metálica ovalizada para protensão - seção de 22 x 32 mm</v>
      </c>
      <c r="C857" s="353" t="str">
        <f>IF(A857="","",VLOOKUP(A857,Materiais_Base!A:D,3,"FALSO"))</f>
        <v>m</v>
      </c>
      <c r="D857" s="354" t="s">
        <v>932</v>
      </c>
      <c r="E857" s="355" t="str">
        <f t="shared" ref="E857:E920" si="20">IF(D857="","",MIN(D857,F857))</f>
        <v/>
      </c>
      <c r="F857" s="354"/>
      <c r="G857" s="345" t="str">
        <f>IF(D857="","",VLOOKUP(A857,Materiais_Base!A:D,4,"FALSO"))</f>
        <v/>
      </c>
    </row>
    <row r="858" hidden="1" customHeight="1" spans="1:7">
      <c r="A858" s="352" t="s">
        <v>15136</v>
      </c>
      <c r="B858" s="352" t="str">
        <f>IF(A858="","",VLOOKUP(A858,Materiais_Base!A:D,2,"FALSO"))</f>
        <v>Bainha metálica ovalizada para protensão - seção de 22 x 55 mm</v>
      </c>
      <c r="C858" s="353" t="str">
        <f>IF(A858="","",VLOOKUP(A858,Materiais_Base!A:D,3,"FALSO"))</f>
        <v>m</v>
      </c>
      <c r="D858" s="354" t="s">
        <v>932</v>
      </c>
      <c r="E858" s="355" t="str">
        <f t="shared" si="20"/>
        <v/>
      </c>
      <c r="F858" s="354"/>
      <c r="G858" s="345" t="str">
        <f>IF(D858="","",VLOOKUP(A858,Materiais_Base!A:D,4,"FALSO"))</f>
        <v/>
      </c>
    </row>
    <row r="859" hidden="1" customHeight="1" spans="1:7">
      <c r="A859" s="352" t="s">
        <v>15137</v>
      </c>
      <c r="B859" s="352" t="str">
        <f>IF(A859="","",VLOOKUP(A859,Materiais_Base!A:D,2,"FALSO"))</f>
        <v>Bainha metálica ovalizada para protensão - seção de 22 x 73 mm</v>
      </c>
      <c r="C859" s="353" t="str">
        <f>IF(A859="","",VLOOKUP(A859,Materiais_Base!A:D,3,"FALSO"))</f>
        <v>m</v>
      </c>
      <c r="D859" s="354" t="s">
        <v>932</v>
      </c>
      <c r="E859" s="355" t="str">
        <f t="shared" si="20"/>
        <v/>
      </c>
      <c r="F859" s="354"/>
      <c r="G859" s="345" t="str">
        <f>IF(D859="","",VLOOKUP(A859,Materiais_Base!A:D,4,"FALSO"))</f>
        <v/>
      </c>
    </row>
    <row r="860" hidden="1" customHeight="1" spans="1:7">
      <c r="A860" s="352" t="s">
        <v>15138</v>
      </c>
      <c r="B860" s="352" t="str">
        <f>IF(A860="","",VLOOKUP(A860,Materiais_Base!A:D,2,"FALSO"))</f>
        <v>Espaçador plástico tipo centralizador carambola para grampo de barra de aço - D ≤ 25,4 mm</v>
      </c>
      <c r="C860" s="353" t="str">
        <f>IF(A860="","",VLOOKUP(A860,Materiais_Base!A:D,3,"FALSO"))</f>
        <v>un</v>
      </c>
      <c r="D860" s="354" t="s">
        <v>932</v>
      </c>
      <c r="E860" s="355" t="str">
        <f t="shared" si="20"/>
        <v/>
      </c>
      <c r="F860" s="354"/>
      <c r="G860" s="345" t="str">
        <f>IF(D860="","",VLOOKUP(A860,Materiais_Base!A:D,4,"FALSO"))</f>
        <v/>
      </c>
    </row>
    <row r="861" hidden="1" customHeight="1" spans="1:7">
      <c r="A861" s="352" t="s">
        <v>15139</v>
      </c>
      <c r="B861" s="352" t="str">
        <f>IF(A861="","",VLOOKUP(A861,Materiais_Base!A:D,2,"FALSO"))</f>
        <v>Cinta para elevação de cargas tipo Grab com 1 ramal, anel de suspensão e gancho - C = 3 m a 5 m, capacidade de carga de 5.000 kg, F. S. = 4:1</v>
      </c>
      <c r="C861" s="353" t="str">
        <f>IF(A861="","",VLOOKUP(A861,Materiais_Base!A:D,3,"FALSO"))</f>
        <v>un</v>
      </c>
      <c r="D861" s="354" t="s">
        <v>932</v>
      </c>
      <c r="E861" s="355" t="str">
        <f t="shared" si="20"/>
        <v/>
      </c>
      <c r="F861" s="354"/>
      <c r="G861" s="345" t="str">
        <f>IF(D861="","",VLOOKUP(A861,Materiais_Base!A:D,4,"FALSO"))</f>
        <v/>
      </c>
    </row>
    <row r="862" hidden="1" customHeight="1" spans="1:7">
      <c r="A862" s="352" t="s">
        <v>15140</v>
      </c>
      <c r="B862" s="352" t="str">
        <f>IF(A862="","",VLOOKUP(A862,Materiais_Base!A:D,2,"FALSO"))</f>
        <v>Cinta para elevação de cargas tipo Grab com 2 ramais, anel de suspensão e ganchos - C = 3 m a 5 m, capacidade de carga de 5.000 kg, F. S. = 4:1</v>
      </c>
      <c r="C862" s="353" t="str">
        <f>IF(A862="","",VLOOKUP(A862,Materiais_Base!A:D,3,"FALSO"))</f>
        <v>un</v>
      </c>
      <c r="D862" s="354" t="s">
        <v>932</v>
      </c>
      <c r="E862" s="355" t="str">
        <f t="shared" si="20"/>
        <v/>
      </c>
      <c r="F862" s="354"/>
      <c r="G862" s="345" t="str">
        <f>IF(D862="","",VLOOKUP(A862,Materiais_Base!A:D,4,"FALSO"))</f>
        <v/>
      </c>
    </row>
    <row r="863" hidden="1" customHeight="1" spans="1:7">
      <c r="A863" s="352" t="s">
        <v>15141</v>
      </c>
      <c r="B863" s="352" t="str">
        <f>IF(A863="","",VLOOKUP(A863,Materiais_Base!A:D,2,"FALSO"))</f>
        <v>Chapa metálica corrugada galvanizada para tunnel liner - E = 2,2 mm e D = 1,2 m</v>
      </c>
      <c r="C863" s="353" t="str">
        <f>IF(A863="","",VLOOKUP(A863,Materiais_Base!A:D,3,"FALSO"))</f>
        <v>m</v>
      </c>
      <c r="D863" s="354" t="s">
        <v>932</v>
      </c>
      <c r="E863" s="355" t="str">
        <f t="shared" si="20"/>
        <v/>
      </c>
      <c r="F863" s="354"/>
      <c r="G863" s="345" t="str">
        <f>IF(D863="","",VLOOKUP(A863,Materiais_Base!A:D,4,"FALSO"))</f>
        <v/>
      </c>
    </row>
    <row r="864" hidden="1" customHeight="1" spans="1:7">
      <c r="A864" s="352" t="s">
        <v>15142</v>
      </c>
      <c r="B864" s="352" t="str">
        <f>IF(A864="","",VLOOKUP(A864,Materiais_Base!A:D,2,"FALSO"))</f>
        <v>Chapa metálica corrugada galvanizada para tunnel liner - E = 2,2 mm e D = 1,4 m</v>
      </c>
      <c r="C864" s="353" t="str">
        <f>IF(A864="","",VLOOKUP(A864,Materiais_Base!A:D,3,"FALSO"))</f>
        <v>m</v>
      </c>
      <c r="D864" s="354" t="s">
        <v>932</v>
      </c>
      <c r="E864" s="355" t="str">
        <f t="shared" si="20"/>
        <v/>
      </c>
      <c r="F864" s="354"/>
      <c r="G864" s="345" t="str">
        <f>IF(D864="","",VLOOKUP(A864,Materiais_Base!A:D,4,"FALSO"))</f>
        <v/>
      </c>
    </row>
    <row r="865" hidden="1" customHeight="1" spans="1:7">
      <c r="A865" s="352" t="s">
        <v>15143</v>
      </c>
      <c r="B865" s="352" t="str">
        <f>IF(A865="","",VLOOKUP(A865,Materiais_Base!A:D,2,"FALSO"))</f>
        <v>Chapa metálica corrugada galvanizada para tunnel liner - E = 2,2 mm e D = 1,6 m</v>
      </c>
      <c r="C865" s="353" t="str">
        <f>IF(A865="","",VLOOKUP(A865,Materiais_Base!A:D,3,"FALSO"))</f>
        <v>m</v>
      </c>
      <c r="D865" s="354" t="s">
        <v>932</v>
      </c>
      <c r="E865" s="355" t="str">
        <f t="shared" si="20"/>
        <v/>
      </c>
      <c r="F865" s="354"/>
      <c r="G865" s="345" t="str">
        <f>IF(D865="","",VLOOKUP(A865,Materiais_Base!A:D,4,"FALSO"))</f>
        <v/>
      </c>
    </row>
    <row r="866" hidden="1" customHeight="1" spans="1:7">
      <c r="A866" s="352" t="s">
        <v>15144</v>
      </c>
      <c r="B866" s="352" t="str">
        <f>IF(A866="","",VLOOKUP(A866,Materiais_Base!A:D,2,"FALSO"))</f>
        <v>Chapa metálica corrugada galvanizada para tunnel liner - E = 2,2 mm e D = 1,8 m</v>
      </c>
      <c r="C866" s="353" t="str">
        <f>IF(A866="","",VLOOKUP(A866,Materiais_Base!A:D,3,"FALSO"))</f>
        <v>m</v>
      </c>
      <c r="D866" s="354" t="s">
        <v>932</v>
      </c>
      <c r="E866" s="355" t="str">
        <f t="shared" si="20"/>
        <v/>
      </c>
      <c r="F866" s="354"/>
      <c r="G866" s="345" t="str">
        <f>IF(D866="","",VLOOKUP(A866,Materiais_Base!A:D,4,"FALSO"))</f>
        <v/>
      </c>
    </row>
    <row r="867" hidden="1" customHeight="1" spans="1:7">
      <c r="A867" s="352" t="s">
        <v>15145</v>
      </c>
      <c r="B867" s="352" t="str">
        <f>IF(A867="","",VLOOKUP(A867,Materiais_Base!A:D,2,"FALSO"))</f>
        <v>Chapa metálica corrugada galvanizada para tunnel liner - E = 2,2 mm e D = 2,0 m</v>
      </c>
      <c r="C867" s="353" t="str">
        <f>IF(A867="","",VLOOKUP(A867,Materiais_Base!A:D,3,"FALSO"))</f>
        <v>m</v>
      </c>
      <c r="D867" s="354" t="s">
        <v>932</v>
      </c>
      <c r="E867" s="355" t="str">
        <f t="shared" si="20"/>
        <v/>
      </c>
      <c r="F867" s="354"/>
      <c r="G867" s="345" t="str">
        <f>IF(D867="","",VLOOKUP(A867,Materiais_Base!A:D,4,"FALSO"))</f>
        <v/>
      </c>
    </row>
    <row r="868" hidden="1" customHeight="1" spans="1:7">
      <c r="A868" s="352" t="s">
        <v>15146</v>
      </c>
      <c r="B868" s="352" t="str">
        <f>IF(A868="","",VLOOKUP(A868,Materiais_Base!A:D,2,"FALSO"))</f>
        <v>Chapa metálica corrugada galvanizada para tunnel liner - E = 2,2 mm e D = 2,2 m</v>
      </c>
      <c r="C868" s="353" t="str">
        <f>IF(A868="","",VLOOKUP(A868,Materiais_Base!A:D,3,"FALSO"))</f>
        <v>m</v>
      </c>
      <c r="D868" s="354" t="s">
        <v>932</v>
      </c>
      <c r="E868" s="355" t="str">
        <f t="shared" si="20"/>
        <v/>
      </c>
      <c r="F868" s="354"/>
      <c r="G868" s="345" t="str">
        <f>IF(D868="","",VLOOKUP(A868,Materiais_Base!A:D,4,"FALSO"))</f>
        <v/>
      </c>
    </row>
    <row r="869" hidden="1" customHeight="1" spans="1:7">
      <c r="A869" s="352" t="s">
        <v>15147</v>
      </c>
      <c r="B869" s="352" t="str">
        <f>IF(A869="","",VLOOKUP(A869,Materiais_Base!A:D,2,"FALSO"))</f>
        <v>Chapa metálica corrugada galvanizada para tunnel liner - E = 2,2 mm e D = 2,4 m</v>
      </c>
      <c r="C869" s="353" t="str">
        <f>IF(A869="","",VLOOKUP(A869,Materiais_Base!A:D,3,"FALSO"))</f>
        <v>m</v>
      </c>
      <c r="D869" s="354" t="s">
        <v>932</v>
      </c>
      <c r="E869" s="355" t="str">
        <f t="shared" si="20"/>
        <v/>
      </c>
      <c r="F869" s="354"/>
      <c r="G869" s="345" t="str">
        <f>IF(D869="","",VLOOKUP(A869,Materiais_Base!A:D,4,"FALSO"))</f>
        <v/>
      </c>
    </row>
    <row r="870" hidden="1" customHeight="1" spans="1:7">
      <c r="A870" s="352" t="s">
        <v>15148</v>
      </c>
      <c r="B870" s="352" t="str">
        <f>IF(A870="","",VLOOKUP(A870,Materiais_Base!A:D,2,"FALSO"))</f>
        <v>Chapa metálica corrugada galvanizada para tunnel liner - E = 2,2 mm e D = 2,6 m</v>
      </c>
      <c r="C870" s="353" t="str">
        <f>IF(A870="","",VLOOKUP(A870,Materiais_Base!A:D,3,"FALSO"))</f>
        <v>m</v>
      </c>
      <c r="D870" s="354" t="s">
        <v>932</v>
      </c>
      <c r="E870" s="355" t="str">
        <f t="shared" si="20"/>
        <v/>
      </c>
      <c r="F870" s="354"/>
      <c r="G870" s="345" t="str">
        <f>IF(D870="","",VLOOKUP(A870,Materiais_Base!A:D,4,"FALSO"))</f>
        <v/>
      </c>
    </row>
    <row r="871" hidden="1" customHeight="1" spans="1:7">
      <c r="A871" s="352" t="s">
        <v>15149</v>
      </c>
      <c r="B871" s="352" t="str">
        <f>IF(A871="","",VLOOKUP(A871,Materiais_Base!A:D,2,"FALSO"))</f>
        <v>Chapa metálica corrugada galvanizada para tunnel liner - E = 2,2 mm e D = 2,8 m</v>
      </c>
      <c r="C871" s="353" t="str">
        <f>IF(A871="","",VLOOKUP(A871,Materiais_Base!A:D,3,"FALSO"))</f>
        <v>m</v>
      </c>
      <c r="D871" s="354" t="s">
        <v>932</v>
      </c>
      <c r="E871" s="355" t="str">
        <f t="shared" si="20"/>
        <v/>
      </c>
      <c r="F871" s="354"/>
      <c r="G871" s="345" t="str">
        <f>IF(D871="","",VLOOKUP(A871,Materiais_Base!A:D,4,"FALSO"))</f>
        <v/>
      </c>
    </row>
    <row r="872" hidden="1" customHeight="1" spans="1:7">
      <c r="A872" s="352" t="s">
        <v>15150</v>
      </c>
      <c r="B872" s="352" t="str">
        <f>IF(A872="","",VLOOKUP(A872,Materiais_Base!A:D,2,"FALSO"))</f>
        <v>Chapa metálica corrugada galvanizada para tunnel liner - E = 2,2 mm e D = 3,0 m</v>
      </c>
      <c r="C872" s="353" t="str">
        <f>IF(A872="","",VLOOKUP(A872,Materiais_Base!A:D,3,"FALSO"))</f>
        <v>m</v>
      </c>
      <c r="D872" s="354" t="s">
        <v>932</v>
      </c>
      <c r="E872" s="355" t="str">
        <f t="shared" si="20"/>
        <v/>
      </c>
      <c r="F872" s="354"/>
      <c r="G872" s="345" t="str">
        <f>IF(D872="","",VLOOKUP(A872,Materiais_Base!A:D,4,"FALSO"))</f>
        <v/>
      </c>
    </row>
    <row r="873" hidden="1" customHeight="1" spans="1:7">
      <c r="A873" s="352" t="s">
        <v>15151</v>
      </c>
      <c r="B873" s="352" t="str">
        <f>IF(A873="","",VLOOKUP(A873,Materiais_Base!A:D,2,"FALSO"))</f>
        <v>Chapa metálica corrugada galvanizada para tunnel liner - E = 2,7 mm e D = 3,2 m</v>
      </c>
      <c r="C873" s="353" t="str">
        <f>IF(A873="","",VLOOKUP(A873,Materiais_Base!A:D,3,"FALSO"))</f>
        <v>m</v>
      </c>
      <c r="D873" s="354" t="s">
        <v>932</v>
      </c>
      <c r="E873" s="355" t="str">
        <f t="shared" si="20"/>
        <v/>
      </c>
      <c r="F873" s="354"/>
      <c r="G873" s="345" t="str">
        <f>IF(D873="","",VLOOKUP(A873,Materiais_Base!A:D,4,"FALSO"))</f>
        <v/>
      </c>
    </row>
    <row r="874" hidden="1" customHeight="1" spans="1:7">
      <c r="A874" s="352" t="s">
        <v>15152</v>
      </c>
      <c r="B874" s="352" t="str">
        <f>IF(A874="","",VLOOKUP(A874,Materiais_Base!A:D,2,"FALSO"))</f>
        <v>Chapa metálica corrugada galvanizada para tunnel liner - E = 2,7 mm e D = 3,4 m</v>
      </c>
      <c r="C874" s="353" t="str">
        <f>IF(A874="","",VLOOKUP(A874,Materiais_Base!A:D,3,"FALSO"))</f>
        <v>m</v>
      </c>
      <c r="D874" s="354" t="s">
        <v>932</v>
      </c>
      <c r="E874" s="355" t="str">
        <f t="shared" si="20"/>
        <v/>
      </c>
      <c r="F874" s="354"/>
      <c r="G874" s="345" t="str">
        <f>IF(D874="","",VLOOKUP(A874,Materiais_Base!A:D,4,"FALSO"))</f>
        <v/>
      </c>
    </row>
    <row r="875" hidden="1" customHeight="1" spans="1:7">
      <c r="A875" s="352" t="s">
        <v>15153</v>
      </c>
      <c r="B875" s="352" t="str">
        <f>IF(A875="","",VLOOKUP(A875,Materiais_Base!A:D,2,"FALSO"))</f>
        <v>Chapa metálica corrugada galvanizada para tunnel liner - E = 2,7 mm e D = 3,6 m</v>
      </c>
      <c r="C875" s="353" t="str">
        <f>IF(A875="","",VLOOKUP(A875,Materiais_Base!A:D,3,"FALSO"))</f>
        <v>m</v>
      </c>
      <c r="D875" s="354" t="s">
        <v>932</v>
      </c>
      <c r="E875" s="355" t="str">
        <f t="shared" si="20"/>
        <v/>
      </c>
      <c r="F875" s="354"/>
      <c r="G875" s="345" t="str">
        <f>IF(D875="","",VLOOKUP(A875,Materiais_Base!A:D,4,"FALSO"))</f>
        <v/>
      </c>
    </row>
    <row r="876" hidden="1" customHeight="1" spans="1:7">
      <c r="A876" s="352" t="s">
        <v>15154</v>
      </c>
      <c r="B876" s="352" t="str">
        <f>IF(A876="","",VLOOKUP(A876,Materiais_Base!A:D,2,"FALSO"))</f>
        <v>Chapa metálica corrugada galvanizada para tunnel liner - E = 2,7 mm e D = 3,8 m</v>
      </c>
      <c r="C876" s="353" t="str">
        <f>IF(A876="","",VLOOKUP(A876,Materiais_Base!A:D,3,"FALSO"))</f>
        <v>m</v>
      </c>
      <c r="D876" s="354" t="s">
        <v>932</v>
      </c>
      <c r="E876" s="355" t="str">
        <f t="shared" si="20"/>
        <v/>
      </c>
      <c r="F876" s="354"/>
      <c r="G876" s="345" t="str">
        <f>IF(D876="","",VLOOKUP(A876,Materiais_Base!A:D,4,"FALSO"))</f>
        <v/>
      </c>
    </row>
    <row r="877" hidden="1" customHeight="1" spans="1:7">
      <c r="A877" s="352" t="s">
        <v>15155</v>
      </c>
      <c r="B877" s="352" t="str">
        <f>IF(A877="","",VLOOKUP(A877,Materiais_Base!A:D,2,"FALSO"))</f>
        <v>Chapa metálica corrugada galvanizada para tunnel liner - E = 2,7 mm e D = 4,0 m</v>
      </c>
      <c r="C877" s="353" t="str">
        <f>IF(A877="","",VLOOKUP(A877,Materiais_Base!A:D,3,"FALSO"))</f>
        <v>m</v>
      </c>
      <c r="D877" s="354" t="s">
        <v>932</v>
      </c>
      <c r="E877" s="355" t="str">
        <f t="shared" si="20"/>
        <v/>
      </c>
      <c r="F877" s="354"/>
      <c r="G877" s="345" t="str">
        <f>IF(D877="","",VLOOKUP(A877,Materiais_Base!A:D,4,"FALSO"))</f>
        <v/>
      </c>
    </row>
    <row r="878" hidden="1" customHeight="1" spans="1:7">
      <c r="A878" s="352" t="s">
        <v>15156</v>
      </c>
      <c r="B878" s="352" t="str">
        <f>IF(A878="","",VLOOKUP(A878,Materiais_Base!A:D,2,"FALSO"))</f>
        <v>Chapa metálica corrugada galvanizada para tunnel liner - E = 3,4 mm e D = 4,2 m</v>
      </c>
      <c r="C878" s="353" t="str">
        <f>IF(A878="","",VLOOKUP(A878,Materiais_Base!A:D,3,"FALSO"))</f>
        <v>m</v>
      </c>
      <c r="D878" s="354" t="s">
        <v>932</v>
      </c>
      <c r="E878" s="355" t="str">
        <f t="shared" si="20"/>
        <v/>
      </c>
      <c r="F878" s="354"/>
      <c r="G878" s="345" t="str">
        <f>IF(D878="","",VLOOKUP(A878,Materiais_Base!A:D,4,"FALSO"))</f>
        <v/>
      </c>
    </row>
    <row r="879" hidden="1" customHeight="1" spans="1:7">
      <c r="A879" s="352" t="s">
        <v>15157</v>
      </c>
      <c r="B879" s="352" t="str">
        <f>IF(A879="","",VLOOKUP(A879,Materiais_Base!A:D,2,"FALSO"))</f>
        <v>Chapa metálica corrugada galvanizada para tunnel liner - E = 3,4 mm e D = 4,4 m</v>
      </c>
      <c r="C879" s="353" t="str">
        <f>IF(A879="","",VLOOKUP(A879,Materiais_Base!A:D,3,"FALSO"))</f>
        <v>m</v>
      </c>
      <c r="D879" s="354" t="s">
        <v>932</v>
      </c>
      <c r="E879" s="355" t="str">
        <f t="shared" si="20"/>
        <v/>
      </c>
      <c r="F879" s="354"/>
      <c r="G879" s="345" t="str">
        <f>IF(D879="","",VLOOKUP(A879,Materiais_Base!A:D,4,"FALSO"))</f>
        <v/>
      </c>
    </row>
    <row r="880" hidden="1" customHeight="1" spans="1:7">
      <c r="A880" s="352" t="s">
        <v>15158</v>
      </c>
      <c r="B880" s="352" t="str">
        <f>IF(A880="","",VLOOKUP(A880,Materiais_Base!A:D,2,"FALSO"))</f>
        <v>Chapa metálica corrugada galvanizada para tunnel liner - E = 3,4 mm e D = 4,6 m</v>
      </c>
      <c r="C880" s="353" t="str">
        <f>IF(A880="","",VLOOKUP(A880,Materiais_Base!A:D,3,"FALSO"))</f>
        <v>m</v>
      </c>
      <c r="D880" s="354" t="s">
        <v>932</v>
      </c>
      <c r="E880" s="355" t="str">
        <f t="shared" si="20"/>
        <v/>
      </c>
      <c r="F880" s="354"/>
      <c r="G880" s="345" t="str">
        <f>IF(D880="","",VLOOKUP(A880,Materiais_Base!A:D,4,"FALSO"))</f>
        <v/>
      </c>
    </row>
    <row r="881" hidden="1" customHeight="1" spans="1:7">
      <c r="A881" s="352" t="s">
        <v>15159</v>
      </c>
      <c r="B881" s="352" t="str">
        <f>IF(A881="","",VLOOKUP(A881,Materiais_Base!A:D,2,"FALSO"))</f>
        <v>Chapa metálica corrugada galvanizada para tunnel liner - E = 3,9 mm e D = 4,8 m</v>
      </c>
      <c r="C881" s="353" t="str">
        <f>IF(A881="","",VLOOKUP(A881,Materiais_Base!A:D,3,"FALSO"))</f>
        <v>m</v>
      </c>
      <c r="D881" s="354" t="s">
        <v>932</v>
      </c>
      <c r="E881" s="355" t="str">
        <f t="shared" si="20"/>
        <v/>
      </c>
      <c r="F881" s="354"/>
      <c r="G881" s="345" t="str">
        <f>IF(D881="","",VLOOKUP(A881,Materiais_Base!A:D,4,"FALSO"))</f>
        <v/>
      </c>
    </row>
    <row r="882" hidden="1" customHeight="1" spans="1:7">
      <c r="A882" s="352" t="s">
        <v>15160</v>
      </c>
      <c r="B882" s="352" t="str">
        <f>IF(A882="","",VLOOKUP(A882,Materiais_Base!A:D,2,"FALSO"))</f>
        <v>Chapa metálica corrugada galvanizada para tunnel liner - E = 3,9 mm e D = 5,0 m</v>
      </c>
      <c r="C882" s="353" t="str">
        <f>IF(A882="","",VLOOKUP(A882,Materiais_Base!A:D,3,"FALSO"))</f>
        <v>m</v>
      </c>
      <c r="D882" s="354" t="s">
        <v>932</v>
      </c>
      <c r="E882" s="355" t="str">
        <f t="shared" si="20"/>
        <v/>
      </c>
      <c r="F882" s="354"/>
      <c r="G882" s="345" t="str">
        <f>IF(D882="","",VLOOKUP(A882,Materiais_Base!A:D,4,"FALSO"))</f>
        <v/>
      </c>
    </row>
    <row r="883" hidden="1" customHeight="1" spans="1:7">
      <c r="A883" s="352" t="s">
        <v>15161</v>
      </c>
      <c r="B883" s="352" t="str">
        <f>IF(A883="","",VLOOKUP(A883,Materiais_Base!A:D,2,"FALSO"))</f>
        <v>Chapa metálica corrugada galvanizada revestida com epóxi para tunnel liner - E = 2,2 mm e D = 1,2 m</v>
      </c>
      <c r="C883" s="353" t="str">
        <f>IF(A883="","",VLOOKUP(A883,Materiais_Base!A:D,3,"FALSO"))</f>
        <v>m</v>
      </c>
      <c r="D883" s="354" t="s">
        <v>932</v>
      </c>
      <c r="E883" s="355" t="str">
        <f t="shared" si="20"/>
        <v/>
      </c>
      <c r="F883" s="354"/>
      <c r="G883" s="345" t="str">
        <f>IF(D883="","",VLOOKUP(A883,Materiais_Base!A:D,4,"FALSO"))</f>
        <v/>
      </c>
    </row>
    <row r="884" hidden="1" customHeight="1" spans="1:7">
      <c r="A884" s="352" t="s">
        <v>15162</v>
      </c>
      <c r="B884" s="352" t="str">
        <f>IF(A884="","",VLOOKUP(A884,Materiais_Base!A:D,2,"FALSO"))</f>
        <v>Chapa metálica corrugada galvanizada revestida com epóxi para tunnel liner - E = 2,2 mm e D = 1,4 m</v>
      </c>
      <c r="C884" s="353" t="str">
        <f>IF(A884="","",VLOOKUP(A884,Materiais_Base!A:D,3,"FALSO"))</f>
        <v>m</v>
      </c>
      <c r="D884" s="354" t="s">
        <v>932</v>
      </c>
      <c r="E884" s="355" t="str">
        <f t="shared" si="20"/>
        <v/>
      </c>
      <c r="F884" s="354"/>
      <c r="G884" s="345" t="str">
        <f>IF(D884="","",VLOOKUP(A884,Materiais_Base!A:D,4,"FALSO"))</f>
        <v/>
      </c>
    </row>
    <row r="885" hidden="1" customHeight="1" spans="1:7">
      <c r="A885" s="352" t="s">
        <v>15163</v>
      </c>
      <c r="B885" s="352" t="str">
        <f>IF(A885="","",VLOOKUP(A885,Materiais_Base!A:D,2,"FALSO"))</f>
        <v>Chapa metálica corrugada galvanizada revestida com epóxi para tunnel liner - E = 2,2 mm e D = 1,6 m</v>
      </c>
      <c r="C885" s="353" t="str">
        <f>IF(A885="","",VLOOKUP(A885,Materiais_Base!A:D,3,"FALSO"))</f>
        <v>m</v>
      </c>
      <c r="D885" s="354" t="s">
        <v>932</v>
      </c>
      <c r="E885" s="355" t="str">
        <f t="shared" si="20"/>
        <v/>
      </c>
      <c r="F885" s="354"/>
      <c r="G885" s="345" t="str">
        <f>IF(D885="","",VLOOKUP(A885,Materiais_Base!A:D,4,"FALSO"))</f>
        <v/>
      </c>
    </row>
    <row r="886" hidden="1" customHeight="1" spans="1:7">
      <c r="A886" s="352" t="s">
        <v>15164</v>
      </c>
      <c r="B886" s="352" t="str">
        <f>IF(A886="","",VLOOKUP(A886,Materiais_Base!A:D,2,"FALSO"))</f>
        <v>Chapa metálica corrugada galvanizada revestida com epóxi para tunnel liner - E = 2,2 mm e D = 1,8 m</v>
      </c>
      <c r="C886" s="353" t="str">
        <f>IF(A886="","",VLOOKUP(A886,Materiais_Base!A:D,3,"FALSO"))</f>
        <v>m</v>
      </c>
      <c r="D886" s="354" t="s">
        <v>932</v>
      </c>
      <c r="E886" s="355" t="str">
        <f t="shared" si="20"/>
        <v/>
      </c>
      <c r="F886" s="354"/>
      <c r="G886" s="345" t="str">
        <f>IF(D886="","",VLOOKUP(A886,Materiais_Base!A:D,4,"FALSO"))</f>
        <v/>
      </c>
    </row>
    <row r="887" hidden="1" customHeight="1" spans="1:7">
      <c r="A887" s="352" t="s">
        <v>15165</v>
      </c>
      <c r="B887" s="352" t="str">
        <f>IF(A887="","",VLOOKUP(A887,Materiais_Base!A:D,2,"FALSO"))</f>
        <v>Chapa metálica corrugada galvanizada revestida com epóxi para tunnel liner - E = 2,2 mm e D = 2,0 m</v>
      </c>
      <c r="C887" s="353" t="str">
        <f>IF(A887="","",VLOOKUP(A887,Materiais_Base!A:D,3,"FALSO"))</f>
        <v>m</v>
      </c>
      <c r="D887" s="354" t="s">
        <v>932</v>
      </c>
      <c r="E887" s="355" t="str">
        <f t="shared" si="20"/>
        <v/>
      </c>
      <c r="F887" s="354"/>
      <c r="G887" s="345" t="str">
        <f>IF(D887="","",VLOOKUP(A887,Materiais_Base!A:D,4,"FALSO"))</f>
        <v/>
      </c>
    </row>
    <row r="888" hidden="1" customHeight="1" spans="1:7">
      <c r="A888" s="352" t="s">
        <v>15166</v>
      </c>
      <c r="B888" s="352" t="str">
        <f>IF(A888="","",VLOOKUP(A888,Materiais_Base!A:D,2,"FALSO"))</f>
        <v>Chapa metálica corrugada galvanizada revestida com epóxi para tunnel liner - E = 2,2 mm e D = 2,2 m</v>
      </c>
      <c r="C888" s="353" t="str">
        <f>IF(A888="","",VLOOKUP(A888,Materiais_Base!A:D,3,"FALSO"))</f>
        <v>m</v>
      </c>
      <c r="D888" s="354" t="s">
        <v>932</v>
      </c>
      <c r="E888" s="355" t="str">
        <f t="shared" si="20"/>
        <v/>
      </c>
      <c r="F888" s="354"/>
      <c r="G888" s="345" t="str">
        <f>IF(D888="","",VLOOKUP(A888,Materiais_Base!A:D,4,"FALSO"))</f>
        <v/>
      </c>
    </row>
    <row r="889" hidden="1" customHeight="1" spans="1:7">
      <c r="A889" s="352" t="s">
        <v>15167</v>
      </c>
      <c r="B889" s="352" t="str">
        <f>IF(A889="","",VLOOKUP(A889,Materiais_Base!A:D,2,"FALSO"))</f>
        <v>Chapa metálica corrugada galvanizada revestida com epóxi para tunnel liner - E = 2,2 mm e D = 2,4 m</v>
      </c>
      <c r="C889" s="353" t="str">
        <f>IF(A889="","",VLOOKUP(A889,Materiais_Base!A:D,3,"FALSO"))</f>
        <v>m</v>
      </c>
      <c r="D889" s="354" t="s">
        <v>932</v>
      </c>
      <c r="E889" s="355" t="str">
        <f t="shared" si="20"/>
        <v/>
      </c>
      <c r="F889" s="354"/>
      <c r="G889" s="345" t="str">
        <f>IF(D889="","",VLOOKUP(A889,Materiais_Base!A:D,4,"FALSO"))</f>
        <v/>
      </c>
    </row>
    <row r="890" hidden="1" customHeight="1" spans="1:7">
      <c r="A890" s="352" t="s">
        <v>15168</v>
      </c>
      <c r="B890" s="352" t="str">
        <f>IF(A890="","",VLOOKUP(A890,Materiais_Base!A:D,2,"FALSO"))</f>
        <v>Chapa metálica corrugada galvanizada revestida com epóxi para tunnel liner - E = 2,2 mm e D = 2,6 m</v>
      </c>
      <c r="C890" s="353" t="str">
        <f>IF(A890="","",VLOOKUP(A890,Materiais_Base!A:D,3,"FALSO"))</f>
        <v>m</v>
      </c>
      <c r="D890" s="354" t="s">
        <v>932</v>
      </c>
      <c r="E890" s="355" t="str">
        <f t="shared" si="20"/>
        <v/>
      </c>
      <c r="F890" s="354"/>
      <c r="G890" s="345" t="str">
        <f>IF(D890="","",VLOOKUP(A890,Materiais_Base!A:D,4,"FALSO"))</f>
        <v/>
      </c>
    </row>
    <row r="891" hidden="1" customHeight="1" spans="1:7">
      <c r="A891" s="352" t="s">
        <v>15169</v>
      </c>
      <c r="B891" s="352" t="str">
        <f>IF(A891="","",VLOOKUP(A891,Materiais_Base!A:D,2,"FALSO"))</f>
        <v>Chapa metálica corrugada galvanizada revestida com epóxi para tunnel liner - E = 2,2 mm e D = 2,8 m</v>
      </c>
      <c r="C891" s="353" t="str">
        <f>IF(A891="","",VLOOKUP(A891,Materiais_Base!A:D,3,"FALSO"))</f>
        <v>m</v>
      </c>
      <c r="D891" s="354" t="s">
        <v>932</v>
      </c>
      <c r="E891" s="355" t="str">
        <f t="shared" si="20"/>
        <v/>
      </c>
      <c r="F891" s="354"/>
      <c r="G891" s="345" t="str">
        <f>IF(D891="","",VLOOKUP(A891,Materiais_Base!A:D,4,"FALSO"))</f>
        <v/>
      </c>
    </row>
    <row r="892" hidden="1" customHeight="1" spans="1:7">
      <c r="A892" s="352" t="s">
        <v>15170</v>
      </c>
      <c r="B892" s="352" t="str">
        <f>IF(A892="","",VLOOKUP(A892,Materiais_Base!A:D,2,"FALSO"))</f>
        <v>Chapa metálica corrugada galvanizada revestida com epóxi para tunnel liner - E = 2,2 mm e D = 3,0 m</v>
      </c>
      <c r="C892" s="353" t="str">
        <f>IF(A892="","",VLOOKUP(A892,Materiais_Base!A:D,3,"FALSO"))</f>
        <v>m</v>
      </c>
      <c r="D892" s="354" t="s">
        <v>932</v>
      </c>
      <c r="E892" s="355" t="str">
        <f t="shared" si="20"/>
        <v/>
      </c>
      <c r="F892" s="354"/>
      <c r="G892" s="345" t="str">
        <f>IF(D892="","",VLOOKUP(A892,Materiais_Base!A:D,4,"FALSO"))</f>
        <v/>
      </c>
    </row>
    <row r="893" hidden="1" customHeight="1" spans="1:7">
      <c r="A893" s="352" t="s">
        <v>15171</v>
      </c>
      <c r="B893" s="352" t="str">
        <f>IF(A893="","",VLOOKUP(A893,Materiais_Base!A:D,2,"FALSO"))</f>
        <v>Chapa metálica corrugada galvanizada revestida com epóxi para tunnel liner - E = 2,7 mm e D = 3,2 m</v>
      </c>
      <c r="C893" s="353" t="str">
        <f>IF(A893="","",VLOOKUP(A893,Materiais_Base!A:D,3,"FALSO"))</f>
        <v>m</v>
      </c>
      <c r="D893" s="354" t="s">
        <v>932</v>
      </c>
      <c r="E893" s="355" t="str">
        <f t="shared" si="20"/>
        <v/>
      </c>
      <c r="F893" s="354"/>
      <c r="G893" s="345" t="str">
        <f>IF(D893="","",VLOOKUP(A893,Materiais_Base!A:D,4,"FALSO"))</f>
        <v/>
      </c>
    </row>
    <row r="894" hidden="1" customHeight="1" spans="1:7">
      <c r="A894" s="352" t="s">
        <v>15172</v>
      </c>
      <c r="B894" s="352" t="str">
        <f>IF(A894="","",VLOOKUP(A894,Materiais_Base!A:D,2,"FALSO"))</f>
        <v>Chapa múltipla metálica corrugada galvanizada tipo MP 100 ou similar - E = 1,60 mm e D = 0,60 m</v>
      </c>
      <c r="C894" s="353" t="str">
        <f>IF(A894="","",VLOOKUP(A894,Materiais_Base!A:D,3,"FALSO"))</f>
        <v>m</v>
      </c>
      <c r="D894" s="354" t="s">
        <v>932</v>
      </c>
      <c r="E894" s="355" t="str">
        <f t="shared" si="20"/>
        <v/>
      </c>
      <c r="F894" s="354"/>
      <c r="G894" s="345" t="str">
        <f>IF(D894="","",VLOOKUP(A894,Materiais_Base!A:D,4,"FALSO"))</f>
        <v/>
      </c>
    </row>
    <row r="895" hidden="1" customHeight="1" spans="1:7">
      <c r="A895" s="352" t="s">
        <v>15173</v>
      </c>
      <c r="B895" s="352" t="str">
        <f>IF(A895="","",VLOOKUP(A895,Materiais_Base!A:D,2,"FALSO"))</f>
        <v>Chapa múltipla metálica corrugada galvanizada tipo MP 100 ou similar - E = 1,60 mm e D = 0,70 m</v>
      </c>
      <c r="C895" s="353" t="str">
        <f>IF(A895="","",VLOOKUP(A895,Materiais_Base!A:D,3,"FALSO"))</f>
        <v>m</v>
      </c>
      <c r="D895" s="354" t="s">
        <v>932</v>
      </c>
      <c r="E895" s="355" t="str">
        <f t="shared" si="20"/>
        <v/>
      </c>
      <c r="F895" s="354"/>
      <c r="G895" s="345" t="str">
        <f>IF(D895="","",VLOOKUP(A895,Materiais_Base!A:D,4,"FALSO"))</f>
        <v/>
      </c>
    </row>
    <row r="896" hidden="1" customHeight="1" spans="1:7">
      <c r="A896" s="352" t="s">
        <v>15174</v>
      </c>
      <c r="B896" s="352" t="str">
        <f>IF(A896="","",VLOOKUP(A896,Materiais_Base!A:D,2,"FALSO"))</f>
        <v>Chapa múltipla metálica corrugada galvanizada tipo MP 100 ou similar - E = 1,60 mm e D = 0,80 m</v>
      </c>
      <c r="C896" s="353" t="str">
        <f>IF(A896="","",VLOOKUP(A896,Materiais_Base!A:D,3,"FALSO"))</f>
        <v>m</v>
      </c>
      <c r="D896" s="354" t="s">
        <v>932</v>
      </c>
      <c r="E896" s="355" t="str">
        <f t="shared" si="20"/>
        <v/>
      </c>
      <c r="F896" s="354"/>
      <c r="G896" s="345" t="str">
        <f>IF(D896="","",VLOOKUP(A896,Materiais_Base!A:D,4,"FALSO"))</f>
        <v/>
      </c>
    </row>
    <row r="897" hidden="1" customHeight="1" spans="1:7">
      <c r="A897" s="352" t="s">
        <v>15175</v>
      </c>
      <c r="B897" s="352" t="str">
        <f>IF(A897="","",VLOOKUP(A897,Materiais_Base!A:D,2,"FALSO"))</f>
        <v>Chapa múltipla metálica corrugada galvanizada tipo MP 100 ou similar - E = 1,60 mm e D = 0,90 m</v>
      </c>
      <c r="C897" s="353" t="str">
        <f>IF(A897="","",VLOOKUP(A897,Materiais_Base!A:D,3,"FALSO"))</f>
        <v>m</v>
      </c>
      <c r="D897" s="354" t="s">
        <v>932</v>
      </c>
      <c r="E897" s="355" t="str">
        <f t="shared" si="20"/>
        <v/>
      </c>
      <c r="F897" s="354"/>
      <c r="G897" s="345" t="str">
        <f>IF(D897="","",VLOOKUP(A897,Materiais_Base!A:D,4,"FALSO"))</f>
        <v/>
      </c>
    </row>
    <row r="898" hidden="1" customHeight="1" spans="1:7">
      <c r="A898" s="352" t="s">
        <v>15176</v>
      </c>
      <c r="B898" s="352" t="str">
        <f>IF(A898="","",VLOOKUP(A898,Materiais_Base!A:D,2,"FALSO"))</f>
        <v>Chapa múltipla metálica corrugada galvanizada tipo MP 100 ou similar - E = 1,60 mm e D = 1,00 m</v>
      </c>
      <c r="C898" s="353" t="str">
        <f>IF(A898="","",VLOOKUP(A898,Materiais_Base!A:D,3,"FALSO"))</f>
        <v>m</v>
      </c>
      <c r="D898" s="354" t="s">
        <v>932</v>
      </c>
      <c r="E898" s="355" t="str">
        <f t="shared" si="20"/>
        <v/>
      </c>
      <c r="F898" s="354"/>
      <c r="G898" s="345" t="str">
        <f>IF(D898="","",VLOOKUP(A898,Materiais_Base!A:D,4,"FALSO"))</f>
        <v/>
      </c>
    </row>
    <row r="899" hidden="1" customHeight="1" spans="1:7">
      <c r="A899" s="352" t="s">
        <v>15177</v>
      </c>
      <c r="B899" s="352" t="str">
        <f>IF(A899="","",VLOOKUP(A899,Materiais_Base!A:D,2,"FALSO"))</f>
        <v>Chapa múltipla metálica corrugada galvanizada tipo MP 100 ou similar - E = 1,60 mm e D = 1,10 m</v>
      </c>
      <c r="C899" s="353" t="str">
        <f>IF(A899="","",VLOOKUP(A899,Materiais_Base!A:D,3,"FALSO"))</f>
        <v>m</v>
      </c>
      <c r="D899" s="354" t="s">
        <v>932</v>
      </c>
      <c r="E899" s="355" t="str">
        <f t="shared" si="20"/>
        <v/>
      </c>
      <c r="F899" s="354"/>
      <c r="G899" s="345" t="str">
        <f>IF(D899="","",VLOOKUP(A899,Materiais_Base!A:D,4,"FALSO"))</f>
        <v/>
      </c>
    </row>
    <row r="900" hidden="1" customHeight="1" spans="1:7">
      <c r="A900" s="352" t="s">
        <v>15178</v>
      </c>
      <c r="B900" s="352" t="str">
        <f>IF(A900="","",VLOOKUP(A900,Materiais_Base!A:D,2,"FALSO"))</f>
        <v>Chapa múltipla metálica corrugada galvanizada tipo MP 100 ou similar - E = 1,60 mm e D = 1,20 m</v>
      </c>
      <c r="C900" s="353" t="str">
        <f>IF(A900="","",VLOOKUP(A900,Materiais_Base!A:D,3,"FALSO"))</f>
        <v>m</v>
      </c>
      <c r="D900" s="354" t="s">
        <v>932</v>
      </c>
      <c r="E900" s="355" t="str">
        <f t="shared" si="20"/>
        <v/>
      </c>
      <c r="F900" s="354"/>
      <c r="G900" s="345" t="str">
        <f>IF(D900="","",VLOOKUP(A900,Materiais_Base!A:D,4,"FALSO"))</f>
        <v/>
      </c>
    </row>
    <row r="901" hidden="1" customHeight="1" spans="1:7">
      <c r="A901" s="352" t="s">
        <v>15179</v>
      </c>
      <c r="B901" s="352" t="str">
        <f>IF(A901="","",VLOOKUP(A901,Materiais_Base!A:D,2,"FALSO"))</f>
        <v>Chapa múltipla metálica corrugada galvanizada tipo MP 100 ou similar - E = 1,60 mm e D = 1,30 m</v>
      </c>
      <c r="C901" s="353" t="str">
        <f>IF(A901="","",VLOOKUP(A901,Materiais_Base!A:D,3,"FALSO"))</f>
        <v>m</v>
      </c>
      <c r="D901" s="354" t="s">
        <v>932</v>
      </c>
      <c r="E901" s="355" t="str">
        <f t="shared" si="20"/>
        <v/>
      </c>
      <c r="F901" s="354"/>
      <c r="G901" s="345" t="str">
        <f>IF(D901="","",VLOOKUP(A901,Materiais_Base!A:D,4,"FALSO"))</f>
        <v/>
      </c>
    </row>
    <row r="902" hidden="1" customHeight="1" spans="1:7">
      <c r="A902" s="352" t="s">
        <v>15180</v>
      </c>
      <c r="B902" s="352" t="str">
        <f>IF(A902="","",VLOOKUP(A902,Materiais_Base!A:D,2,"FALSO"))</f>
        <v>Chapa múltipla metálica corrugada galvanizada tipo MP 100 ou similar - E = 1,60 mm e D = 1,40 m</v>
      </c>
      <c r="C902" s="353" t="str">
        <f>IF(A902="","",VLOOKUP(A902,Materiais_Base!A:D,3,"FALSO"))</f>
        <v>m</v>
      </c>
      <c r="D902" s="354" t="s">
        <v>932</v>
      </c>
      <c r="E902" s="355" t="str">
        <f t="shared" si="20"/>
        <v/>
      </c>
      <c r="F902" s="354"/>
      <c r="G902" s="345" t="str">
        <f>IF(D902="","",VLOOKUP(A902,Materiais_Base!A:D,4,"FALSO"))</f>
        <v/>
      </c>
    </row>
    <row r="903" hidden="1" customHeight="1" spans="1:7">
      <c r="A903" s="352" t="s">
        <v>15181</v>
      </c>
      <c r="B903" s="352" t="str">
        <f>IF(A903="","",VLOOKUP(A903,Materiais_Base!A:D,2,"FALSO"))</f>
        <v>Chapa múltipla metálica corrugada galvanizada tipo MP 100 ou similar - E = 1,60 mm e D = 1,50 m</v>
      </c>
      <c r="C903" s="353" t="str">
        <f>IF(A903="","",VLOOKUP(A903,Materiais_Base!A:D,3,"FALSO"))</f>
        <v>m</v>
      </c>
      <c r="D903" s="354" t="s">
        <v>932</v>
      </c>
      <c r="E903" s="355" t="str">
        <f t="shared" si="20"/>
        <v/>
      </c>
      <c r="F903" s="354"/>
      <c r="G903" s="345" t="str">
        <f>IF(D903="","",VLOOKUP(A903,Materiais_Base!A:D,4,"FALSO"))</f>
        <v/>
      </c>
    </row>
    <row r="904" hidden="1" customHeight="1" spans="1:7">
      <c r="A904" s="352" t="s">
        <v>15182</v>
      </c>
      <c r="B904" s="352" t="str">
        <f>IF(A904="","",VLOOKUP(A904,Materiais_Base!A:D,2,"FALSO"))</f>
        <v>Chapa múltipla metálica corrugada galvanizada tipo MP 100 ou similar - E = 1,60 mm e D = 1,60 m</v>
      </c>
      <c r="C904" s="353" t="str">
        <f>IF(A904="","",VLOOKUP(A904,Materiais_Base!A:D,3,"FALSO"))</f>
        <v>m</v>
      </c>
      <c r="D904" s="354" t="s">
        <v>932</v>
      </c>
      <c r="E904" s="355" t="str">
        <f t="shared" si="20"/>
        <v/>
      </c>
      <c r="F904" s="354"/>
      <c r="G904" s="345" t="str">
        <f>IF(D904="","",VLOOKUP(A904,Materiais_Base!A:D,4,"FALSO"))</f>
        <v/>
      </c>
    </row>
    <row r="905" hidden="1" customHeight="1" spans="1:7">
      <c r="A905" s="352" t="s">
        <v>15183</v>
      </c>
      <c r="B905" s="352" t="str">
        <f>IF(A905="","",VLOOKUP(A905,Materiais_Base!A:D,2,"FALSO"))</f>
        <v>Chapa múltipla metálica corrugada galvanizada tipo MP 100 ou similar - E = 1,60 mm e D = 1,70 m</v>
      </c>
      <c r="C905" s="353" t="str">
        <f>IF(A905="","",VLOOKUP(A905,Materiais_Base!A:D,3,"FALSO"))</f>
        <v>m</v>
      </c>
      <c r="D905" s="354" t="s">
        <v>932</v>
      </c>
      <c r="E905" s="355" t="str">
        <f t="shared" si="20"/>
        <v/>
      </c>
      <c r="F905" s="354"/>
      <c r="G905" s="345" t="str">
        <f>IF(D905="","",VLOOKUP(A905,Materiais_Base!A:D,4,"FALSO"))</f>
        <v/>
      </c>
    </row>
    <row r="906" hidden="1" customHeight="1" spans="1:7">
      <c r="A906" s="352" t="s">
        <v>15184</v>
      </c>
      <c r="B906" s="352" t="str">
        <f>IF(A906="","",VLOOKUP(A906,Materiais_Base!A:D,2,"FALSO"))</f>
        <v>Chapa múltipla metálica corrugada galvanizada tipo MP 100 ou similar - E = 1,60 mm e D = 1,80 m</v>
      </c>
      <c r="C906" s="353" t="str">
        <f>IF(A906="","",VLOOKUP(A906,Materiais_Base!A:D,3,"FALSO"))</f>
        <v>m</v>
      </c>
      <c r="D906" s="354" t="s">
        <v>932</v>
      </c>
      <c r="E906" s="355" t="str">
        <f t="shared" si="20"/>
        <v/>
      </c>
      <c r="F906" s="354"/>
      <c r="G906" s="345" t="str">
        <f>IF(D906="","",VLOOKUP(A906,Materiais_Base!A:D,4,"FALSO"))</f>
        <v/>
      </c>
    </row>
    <row r="907" hidden="1" customHeight="1" spans="1:7">
      <c r="A907" s="352" t="s">
        <v>15185</v>
      </c>
      <c r="B907" s="352" t="str">
        <f>IF(A907="","",VLOOKUP(A907,Materiais_Base!A:D,2,"FALSO"))</f>
        <v>Chapa múltipla metálica corrugada galvanizada tipo MP 100 ou similar - E = 2,00 mm e D = 1,90 m</v>
      </c>
      <c r="C907" s="353" t="str">
        <f>IF(A907="","",VLOOKUP(A907,Materiais_Base!A:D,3,"FALSO"))</f>
        <v>m</v>
      </c>
      <c r="D907" s="354" t="s">
        <v>932</v>
      </c>
      <c r="E907" s="355" t="str">
        <f t="shared" si="20"/>
        <v/>
      </c>
      <c r="F907" s="354"/>
      <c r="G907" s="345" t="str">
        <f>IF(D907="","",VLOOKUP(A907,Materiais_Base!A:D,4,"FALSO"))</f>
        <v/>
      </c>
    </row>
    <row r="908" hidden="1" customHeight="1" spans="1:7">
      <c r="A908" s="352" t="s">
        <v>15186</v>
      </c>
      <c r="B908" s="352" t="str">
        <f>IF(A908="","",VLOOKUP(A908,Materiais_Base!A:D,2,"FALSO"))</f>
        <v>Chapa múltipla metálica corrugada galvanizada tipo MP 100 ou similar - E = 2,00 mm e D = 2,00 m</v>
      </c>
      <c r="C908" s="353" t="str">
        <f>IF(A908="","",VLOOKUP(A908,Materiais_Base!A:D,3,"FALSO"))</f>
        <v>m</v>
      </c>
      <c r="D908" s="354" t="s">
        <v>932</v>
      </c>
      <c r="E908" s="355" t="str">
        <f t="shared" si="20"/>
        <v/>
      </c>
      <c r="F908" s="354"/>
      <c r="G908" s="345" t="str">
        <f>IF(D908="","",VLOOKUP(A908,Materiais_Base!A:D,4,"FALSO"))</f>
        <v/>
      </c>
    </row>
    <row r="909" hidden="1" customHeight="1" spans="1:7">
      <c r="A909" s="352" t="s">
        <v>15187</v>
      </c>
      <c r="B909" s="352" t="str">
        <f>IF(A909="","",VLOOKUP(A909,Materiais_Base!A:D,2,"FALSO"))</f>
        <v>Chapa múltipla metálica corrugada galvanizada tipo MP 100 ou similar - E = 2,00 mm e D = 2,10 m</v>
      </c>
      <c r="C909" s="353" t="str">
        <f>IF(A909="","",VLOOKUP(A909,Materiais_Base!A:D,3,"FALSO"))</f>
        <v>m</v>
      </c>
      <c r="D909" s="354" t="s">
        <v>932</v>
      </c>
      <c r="E909" s="355" t="str">
        <f t="shared" si="20"/>
        <v/>
      </c>
      <c r="F909" s="354"/>
      <c r="G909" s="345" t="str">
        <f>IF(D909="","",VLOOKUP(A909,Materiais_Base!A:D,4,"FALSO"))</f>
        <v/>
      </c>
    </row>
    <row r="910" hidden="1" customHeight="1" spans="1:7">
      <c r="A910" s="352" t="s">
        <v>15188</v>
      </c>
      <c r="B910" s="352" t="str">
        <f>IF(A910="","",VLOOKUP(A910,Materiais_Base!A:D,2,"FALSO"))</f>
        <v>Chapa múltipla metálica corrugada galvanizada tipo MP 100 ou similar - E = 2,00 mm e D = 2,20 m</v>
      </c>
      <c r="C910" s="353" t="str">
        <f>IF(A910="","",VLOOKUP(A910,Materiais_Base!A:D,3,"FALSO"))</f>
        <v>m</v>
      </c>
      <c r="D910" s="354" t="s">
        <v>932</v>
      </c>
      <c r="E910" s="355" t="str">
        <f t="shared" si="20"/>
        <v/>
      </c>
      <c r="F910" s="354"/>
      <c r="G910" s="345" t="str">
        <f>IF(D910="","",VLOOKUP(A910,Materiais_Base!A:D,4,"FALSO"))</f>
        <v/>
      </c>
    </row>
    <row r="911" hidden="1" customHeight="1" spans="1:7">
      <c r="A911" s="352" t="s">
        <v>15189</v>
      </c>
      <c r="B911" s="352" t="str">
        <f>IF(A911="","",VLOOKUP(A911,Materiais_Base!A:D,2,"FALSO"))</f>
        <v>Chapa múltipla metálica corrugada galvanizada tipo MP 100 ou similar - E = 2,00 mm e D = 2,30 m</v>
      </c>
      <c r="C911" s="353" t="str">
        <f>IF(A911="","",VLOOKUP(A911,Materiais_Base!A:D,3,"FALSO"))</f>
        <v>m</v>
      </c>
      <c r="D911" s="354" t="s">
        <v>932</v>
      </c>
      <c r="E911" s="355" t="str">
        <f t="shared" si="20"/>
        <v/>
      </c>
      <c r="F911" s="354"/>
      <c r="G911" s="345" t="str">
        <f>IF(D911="","",VLOOKUP(A911,Materiais_Base!A:D,4,"FALSO"))</f>
        <v/>
      </c>
    </row>
    <row r="912" hidden="1" customHeight="1" spans="1:7">
      <c r="A912" s="352" t="s">
        <v>15190</v>
      </c>
      <c r="B912" s="352" t="str">
        <f>IF(A912="","",VLOOKUP(A912,Materiais_Base!A:D,2,"FALSO"))</f>
        <v>Chapa múltipla metálica corrugada galvanizada tipo MP 100 ou similar - E = 2,70 mm e D = 2,40 m</v>
      </c>
      <c r="C912" s="353" t="str">
        <f>IF(A912="","",VLOOKUP(A912,Materiais_Base!A:D,3,"FALSO"))</f>
        <v>m</v>
      </c>
      <c r="D912" s="354" t="s">
        <v>932</v>
      </c>
      <c r="E912" s="355" t="str">
        <f t="shared" si="20"/>
        <v/>
      </c>
      <c r="F912" s="354"/>
      <c r="G912" s="345" t="str">
        <f>IF(D912="","",VLOOKUP(A912,Materiais_Base!A:D,4,"FALSO"))</f>
        <v/>
      </c>
    </row>
    <row r="913" hidden="1" customHeight="1" spans="1:7">
      <c r="A913" s="352" t="s">
        <v>15191</v>
      </c>
      <c r="B913" s="352" t="str">
        <f>IF(A913="","",VLOOKUP(A913,Materiais_Base!A:D,2,"FALSO"))</f>
        <v>Chapa múltipla metálica corrugada galvanizada tipo MP 100 ou similar - E = 3,40 mm e D = 2,50 m</v>
      </c>
      <c r="C913" s="353" t="str">
        <f>IF(A913="","",VLOOKUP(A913,Materiais_Base!A:D,3,"FALSO"))</f>
        <v>m</v>
      </c>
      <c r="D913" s="354" t="s">
        <v>932</v>
      </c>
      <c r="E913" s="355" t="str">
        <f t="shared" si="20"/>
        <v/>
      </c>
      <c r="F913" s="354"/>
      <c r="G913" s="345" t="str">
        <f>IF(D913="","",VLOOKUP(A913,Materiais_Base!A:D,4,"FALSO"))</f>
        <v/>
      </c>
    </row>
    <row r="914" hidden="1" customHeight="1" spans="1:7">
      <c r="A914" s="352" t="s">
        <v>15192</v>
      </c>
      <c r="B914" s="352" t="str">
        <f>IF(A914="","",VLOOKUP(A914,Materiais_Base!A:D,2,"FALSO"))</f>
        <v>Chapa múltipla metálica corrugada galvanizada tipo MP 100 ou similar - E = 3,40 mm e D = 2,60 m</v>
      </c>
      <c r="C914" s="353" t="str">
        <f>IF(A914="","",VLOOKUP(A914,Materiais_Base!A:D,3,"FALSO"))</f>
        <v>m</v>
      </c>
      <c r="D914" s="354" t="s">
        <v>932</v>
      </c>
      <c r="E914" s="355" t="str">
        <f t="shared" si="20"/>
        <v/>
      </c>
      <c r="F914" s="354"/>
      <c r="G914" s="345" t="str">
        <f>IF(D914="","",VLOOKUP(A914,Materiais_Base!A:D,4,"FALSO"))</f>
        <v/>
      </c>
    </row>
    <row r="915" hidden="1" customHeight="1" spans="1:7">
      <c r="A915" s="352" t="s">
        <v>15193</v>
      </c>
      <c r="B915" s="352" t="str">
        <f>IF(A915="","",VLOOKUP(A915,Materiais_Base!A:D,2,"FALSO"))</f>
        <v>Chapa múltipla metálica corrugada galvanizada tipo MP 100 ou similar - E = 3,40 mm e D = 2,70 m</v>
      </c>
      <c r="C915" s="353" t="str">
        <f>IF(A915="","",VLOOKUP(A915,Materiais_Base!A:D,3,"FALSO"))</f>
        <v>m</v>
      </c>
      <c r="D915" s="354" t="s">
        <v>932</v>
      </c>
      <c r="E915" s="355" t="str">
        <f t="shared" si="20"/>
        <v/>
      </c>
      <c r="F915" s="354"/>
      <c r="G915" s="345" t="str">
        <f>IF(D915="","",VLOOKUP(A915,Materiais_Base!A:D,4,"FALSO"))</f>
        <v/>
      </c>
    </row>
    <row r="916" hidden="1" customHeight="1" spans="1:7">
      <c r="A916" s="352" t="s">
        <v>15194</v>
      </c>
      <c r="B916" s="352" t="str">
        <f>IF(A916="","",VLOOKUP(A916,Materiais_Base!A:D,2,"FALSO"))</f>
        <v>Chapa múltipla metálica corrugada galvanizada tipo MP 100 ou similar - E = 3,40 mm e D = 2,80 m</v>
      </c>
      <c r="C916" s="353" t="str">
        <f>IF(A916="","",VLOOKUP(A916,Materiais_Base!A:D,3,"FALSO"))</f>
        <v>m</v>
      </c>
      <c r="D916" s="354" t="s">
        <v>932</v>
      </c>
      <c r="E916" s="355" t="str">
        <f t="shared" si="20"/>
        <v/>
      </c>
      <c r="F916" s="354"/>
      <c r="G916" s="345" t="str">
        <f>IF(D916="","",VLOOKUP(A916,Materiais_Base!A:D,4,"FALSO"))</f>
        <v/>
      </c>
    </row>
    <row r="917" hidden="1" customHeight="1" spans="1:7">
      <c r="A917" s="352" t="s">
        <v>15195</v>
      </c>
      <c r="B917" s="352" t="str">
        <f>IF(A917="","",VLOOKUP(A917,Materiais_Base!A:D,2,"FALSO"))</f>
        <v>Chapa múltipla metálica corrugada galvanizada tipo MP 152 ou similar - E = 2,70 mm e D = 1,50 m</v>
      </c>
      <c r="C917" s="353" t="str">
        <f>IF(A917="","",VLOOKUP(A917,Materiais_Base!A:D,3,"FALSO"))</f>
        <v>m</v>
      </c>
      <c r="D917" s="354" t="s">
        <v>932</v>
      </c>
      <c r="E917" s="355" t="str">
        <f t="shared" si="20"/>
        <v/>
      </c>
      <c r="F917" s="354"/>
      <c r="G917" s="345" t="str">
        <f>IF(D917="","",VLOOKUP(A917,Materiais_Base!A:D,4,"FALSO"))</f>
        <v/>
      </c>
    </row>
    <row r="918" hidden="1" customHeight="1" spans="1:7">
      <c r="A918" s="352" t="s">
        <v>15196</v>
      </c>
      <c r="B918" s="352" t="str">
        <f>IF(A918="","",VLOOKUP(A918,Materiais_Base!A:D,2,"FALSO"))</f>
        <v>Chapa múltipla metálica corrugada galvanizada tipo MP 152 ou similar - E = 2,70 mm e D = 1,80 m</v>
      </c>
      <c r="C918" s="353" t="str">
        <f>IF(A918="","",VLOOKUP(A918,Materiais_Base!A:D,3,"FALSO"))</f>
        <v>m</v>
      </c>
      <c r="D918" s="354" t="s">
        <v>932</v>
      </c>
      <c r="E918" s="355" t="str">
        <f t="shared" si="20"/>
        <v/>
      </c>
      <c r="F918" s="354"/>
      <c r="G918" s="345" t="str">
        <f>IF(D918="","",VLOOKUP(A918,Materiais_Base!A:D,4,"FALSO"))</f>
        <v/>
      </c>
    </row>
    <row r="919" hidden="1" customHeight="1" spans="1:7">
      <c r="A919" s="352" t="s">
        <v>15197</v>
      </c>
      <c r="B919" s="352" t="str">
        <f>IF(A919="","",VLOOKUP(A919,Materiais_Base!A:D,2,"FALSO"))</f>
        <v>Chapa múltipla metálica corrugada galvanizada tipo MP 152 ou similar - E = 2,70 mm e D = 1,90 m</v>
      </c>
      <c r="C919" s="353" t="str">
        <f>IF(A919="","",VLOOKUP(A919,Materiais_Base!A:D,3,"FALSO"))</f>
        <v>m</v>
      </c>
      <c r="D919" s="354" t="s">
        <v>932</v>
      </c>
      <c r="E919" s="355" t="str">
        <f t="shared" si="20"/>
        <v/>
      </c>
      <c r="F919" s="354"/>
      <c r="G919" s="345" t="str">
        <f>IF(D919="","",VLOOKUP(A919,Materiais_Base!A:D,4,"FALSO"))</f>
        <v/>
      </c>
    </row>
    <row r="920" hidden="1" customHeight="1" spans="1:7">
      <c r="A920" s="352" t="s">
        <v>15198</v>
      </c>
      <c r="B920" s="352" t="str">
        <f>IF(A920="","",VLOOKUP(A920,Materiais_Base!A:D,2,"FALSO"))</f>
        <v>Chapa múltipla metálica corrugada galvanizada tipo MP 152 ou similar - E = 2,70 mm e D = 2,15 m</v>
      </c>
      <c r="C920" s="353" t="str">
        <f>IF(A920="","",VLOOKUP(A920,Materiais_Base!A:D,3,"FALSO"))</f>
        <v>m</v>
      </c>
      <c r="D920" s="354" t="s">
        <v>932</v>
      </c>
      <c r="E920" s="355" t="str">
        <f t="shared" si="20"/>
        <v/>
      </c>
      <c r="F920" s="354"/>
      <c r="G920" s="345" t="str">
        <f>IF(D920="","",VLOOKUP(A920,Materiais_Base!A:D,4,"FALSO"))</f>
        <v/>
      </c>
    </row>
    <row r="921" hidden="1" customHeight="1" spans="1:7">
      <c r="A921" s="352" t="s">
        <v>15199</v>
      </c>
      <c r="B921" s="352" t="str">
        <f>IF(A921="","",VLOOKUP(A921,Materiais_Base!A:D,2,"FALSO"))</f>
        <v>Chapa múltipla metálica corrugada galvanizada tipo MP 152 ou similar - E = 2,70 mm e D = 2,30 m</v>
      </c>
      <c r="C921" s="353" t="str">
        <f>IF(A921="","",VLOOKUP(A921,Materiais_Base!A:D,3,"FALSO"))</f>
        <v>m</v>
      </c>
      <c r="D921" s="354" t="s">
        <v>932</v>
      </c>
      <c r="E921" s="355" t="str">
        <f t="shared" ref="E921:E984" si="21">IF(D921="","",MIN(D921,F921))</f>
        <v/>
      </c>
      <c r="F921" s="354"/>
      <c r="G921" s="345" t="str">
        <f>IF(D921="","",VLOOKUP(A921,Materiais_Base!A:D,4,"FALSO"))</f>
        <v/>
      </c>
    </row>
    <row r="922" hidden="1" customHeight="1" spans="1:7">
      <c r="A922" s="352" t="s">
        <v>15200</v>
      </c>
      <c r="B922" s="352" t="str">
        <f>IF(A922="","",VLOOKUP(A922,Materiais_Base!A:D,2,"FALSO"))</f>
        <v>Chapa múltipla metálica corrugada galvanizada tipo MP 152 ou similar - E = 2,70 mm e D = 2,65 m</v>
      </c>
      <c r="C922" s="353" t="str">
        <f>IF(A922="","",VLOOKUP(A922,Materiais_Base!A:D,3,"FALSO"))</f>
        <v>m</v>
      </c>
      <c r="D922" s="354" t="s">
        <v>932</v>
      </c>
      <c r="E922" s="355" t="str">
        <f t="shared" si="21"/>
        <v/>
      </c>
      <c r="F922" s="354"/>
      <c r="G922" s="345" t="str">
        <f>IF(D922="","",VLOOKUP(A922,Materiais_Base!A:D,4,"FALSO"))</f>
        <v/>
      </c>
    </row>
    <row r="923" hidden="1" customHeight="1" spans="1:7">
      <c r="A923" s="352" t="s">
        <v>15201</v>
      </c>
      <c r="B923" s="352" t="str">
        <f>IF(A923="","",VLOOKUP(A923,Materiais_Base!A:D,2,"FALSO"))</f>
        <v>Chapa múltipla metálica corrugada galvanizada tipo MP 152 ou similar - E = 2,70 mm e D = 3,05 m</v>
      </c>
      <c r="C923" s="353" t="str">
        <f>IF(A923="","",VLOOKUP(A923,Materiais_Base!A:D,3,"FALSO"))</f>
        <v>m</v>
      </c>
      <c r="D923" s="354" t="s">
        <v>932</v>
      </c>
      <c r="E923" s="355" t="str">
        <f t="shared" si="21"/>
        <v/>
      </c>
      <c r="F923" s="354"/>
      <c r="G923" s="345" t="str">
        <f>IF(D923="","",VLOOKUP(A923,Materiais_Base!A:D,4,"FALSO"))</f>
        <v/>
      </c>
    </row>
    <row r="924" hidden="1" customHeight="1" spans="1:7">
      <c r="A924" s="352" t="s">
        <v>15202</v>
      </c>
      <c r="B924" s="352" t="str">
        <f>IF(A924="","",VLOOKUP(A924,Materiais_Base!A:D,2,"FALSO"))</f>
        <v>Chapa múltipla metálica corrugada galvanizada tipo MP 152 ou similar - E = 2,70 mm e D = 3,20 m</v>
      </c>
      <c r="C924" s="353" t="str">
        <f>IF(A924="","",VLOOKUP(A924,Materiais_Base!A:D,3,"FALSO"))</f>
        <v>m</v>
      </c>
      <c r="D924" s="354" t="s">
        <v>932</v>
      </c>
      <c r="E924" s="355" t="str">
        <f t="shared" si="21"/>
        <v/>
      </c>
      <c r="F924" s="354"/>
      <c r="G924" s="345" t="str">
        <f>IF(D924="","",VLOOKUP(A924,Materiais_Base!A:D,4,"FALSO"))</f>
        <v/>
      </c>
    </row>
    <row r="925" hidden="1" customHeight="1" spans="1:7">
      <c r="A925" s="352" t="s">
        <v>15203</v>
      </c>
      <c r="B925" s="352" t="str">
        <f>IF(A925="","",VLOOKUP(A925,Materiais_Base!A:D,2,"FALSO"))</f>
        <v>Chapa múltipla metálica corrugada galvanizada tipo MP 152 ou similar - E = 2,70 mm e D = 3,40 m</v>
      </c>
      <c r="C925" s="353" t="str">
        <f>IF(A925="","",VLOOKUP(A925,Materiais_Base!A:D,3,"FALSO"))</f>
        <v>m</v>
      </c>
      <c r="D925" s="354" t="s">
        <v>932</v>
      </c>
      <c r="E925" s="355" t="str">
        <f t="shared" si="21"/>
        <v/>
      </c>
      <c r="F925" s="354"/>
      <c r="G925" s="345" t="str">
        <f>IF(D925="","",VLOOKUP(A925,Materiais_Base!A:D,4,"FALSO"))</f>
        <v/>
      </c>
    </row>
    <row r="926" hidden="1" customHeight="1" spans="1:7">
      <c r="A926" s="352" t="s">
        <v>15204</v>
      </c>
      <c r="B926" s="352" t="str">
        <f>IF(A926="","",VLOOKUP(A926,Materiais_Base!A:D,2,"FALSO"))</f>
        <v>Chapa múltipla metálica corrugada galvanizada tipo MP 152 ou similar - E = 2,70 mm e D = 3,65 m</v>
      </c>
      <c r="C926" s="353" t="str">
        <f>IF(A926="","",VLOOKUP(A926,Materiais_Base!A:D,3,"FALSO"))</f>
        <v>m</v>
      </c>
      <c r="D926" s="354" t="s">
        <v>932</v>
      </c>
      <c r="E926" s="355" t="str">
        <f t="shared" si="21"/>
        <v/>
      </c>
      <c r="F926" s="354"/>
      <c r="G926" s="345" t="str">
        <f>IF(D926="","",VLOOKUP(A926,Materiais_Base!A:D,4,"FALSO"))</f>
        <v/>
      </c>
    </row>
    <row r="927" hidden="1" customHeight="1" spans="1:7">
      <c r="A927" s="352" t="s">
        <v>15205</v>
      </c>
      <c r="B927" s="352" t="str">
        <f>IF(A927="","",VLOOKUP(A927,Materiais_Base!A:D,2,"FALSO"))</f>
        <v>Chapa múltipla metálica corrugada galvanizada tipo MP 152 ou similar - E = 2,70 mm e D = 3,80 m</v>
      </c>
      <c r="C927" s="353" t="str">
        <f>IF(A927="","",VLOOKUP(A927,Materiais_Base!A:D,3,"FALSO"))</f>
        <v>m</v>
      </c>
      <c r="D927" s="354" t="s">
        <v>932</v>
      </c>
      <c r="E927" s="355" t="str">
        <f t="shared" si="21"/>
        <v/>
      </c>
      <c r="F927" s="354"/>
      <c r="G927" s="345" t="str">
        <f>IF(D927="","",VLOOKUP(A927,Materiais_Base!A:D,4,"FALSO"))</f>
        <v/>
      </c>
    </row>
    <row r="928" hidden="1" customHeight="1" spans="1:7">
      <c r="A928" s="352" t="s">
        <v>15206</v>
      </c>
      <c r="B928" s="352" t="str">
        <f>IF(A928="","",VLOOKUP(A928,Materiais_Base!A:D,2,"FALSO"))</f>
        <v>Chapa múltipla metálica corrugada galvanizada tipo MP 152 ou similar - E = 2,70 mm e D = 4,20 m</v>
      </c>
      <c r="C928" s="353" t="str">
        <f>IF(A928="","",VLOOKUP(A928,Materiais_Base!A:D,3,"FALSO"))</f>
        <v>m</v>
      </c>
      <c r="D928" s="354" t="s">
        <v>932</v>
      </c>
      <c r="E928" s="355" t="str">
        <f t="shared" si="21"/>
        <v/>
      </c>
      <c r="F928" s="354"/>
      <c r="G928" s="345" t="str">
        <f>IF(D928="","",VLOOKUP(A928,Materiais_Base!A:D,4,"FALSO"))</f>
        <v/>
      </c>
    </row>
    <row r="929" hidden="1" customHeight="1" spans="1:7">
      <c r="A929" s="352" t="s">
        <v>15207</v>
      </c>
      <c r="B929" s="352" t="str">
        <f>IF(A929="","",VLOOKUP(A929,Materiais_Base!A:D,2,"FALSO"))</f>
        <v>Chapa múltipla metálica corrugada galvanizada tipo MP 152 ou similar - E = 2,70 mm e D = 4,60 m</v>
      </c>
      <c r="C929" s="353" t="str">
        <f>IF(A929="","",VLOOKUP(A929,Materiais_Base!A:D,3,"FALSO"))</f>
        <v>m</v>
      </c>
      <c r="D929" s="354" t="s">
        <v>932</v>
      </c>
      <c r="E929" s="355" t="str">
        <f t="shared" si="21"/>
        <v/>
      </c>
      <c r="F929" s="354"/>
      <c r="G929" s="345" t="str">
        <f>IF(D929="","",VLOOKUP(A929,Materiais_Base!A:D,4,"FALSO"))</f>
        <v/>
      </c>
    </row>
    <row r="930" hidden="1" customHeight="1" spans="1:7">
      <c r="A930" s="352" t="s">
        <v>15208</v>
      </c>
      <c r="B930" s="352" t="str">
        <f>IF(A930="","",VLOOKUP(A930,Materiais_Base!A:D,2,"FALSO"))</f>
        <v>Chapa múltipla metálica corrugada galvanizada tipo MP 152 ou similar - E = 3,40 mm e D = 4,80 m</v>
      </c>
      <c r="C930" s="353" t="str">
        <f>IF(A930="","",VLOOKUP(A930,Materiais_Base!A:D,3,"FALSO"))</f>
        <v>m</v>
      </c>
      <c r="D930" s="354" t="s">
        <v>932</v>
      </c>
      <c r="E930" s="355" t="str">
        <f t="shared" si="21"/>
        <v/>
      </c>
      <c r="F930" s="354"/>
      <c r="G930" s="345" t="str">
        <f>IF(D930="","",VLOOKUP(A930,Materiais_Base!A:D,4,"FALSO"))</f>
        <v/>
      </c>
    </row>
    <row r="931" hidden="1" customHeight="1" spans="1:7">
      <c r="A931" s="352" t="s">
        <v>15209</v>
      </c>
      <c r="B931" s="352" t="str">
        <f>IF(A931="","",VLOOKUP(A931,Materiais_Base!A:D,2,"FALSO"))</f>
        <v>Chapa múltipla metálica corrugada galvanizada tipo MP 152 ou similar - E = 3,40 mm e D = 5,00 m</v>
      </c>
      <c r="C931" s="353" t="str">
        <f>IF(A931="","",VLOOKUP(A931,Materiais_Base!A:D,3,"FALSO"))</f>
        <v>m</v>
      </c>
      <c r="D931" s="354" t="s">
        <v>932</v>
      </c>
      <c r="E931" s="355" t="str">
        <f t="shared" si="21"/>
        <v/>
      </c>
      <c r="F931" s="354"/>
      <c r="G931" s="345" t="str">
        <f>IF(D931="","",VLOOKUP(A931,Materiais_Base!A:D,4,"FALSO"))</f>
        <v/>
      </c>
    </row>
    <row r="932" hidden="1" customHeight="1" spans="1:7">
      <c r="A932" s="352" t="s">
        <v>15210</v>
      </c>
      <c r="B932" s="352" t="str">
        <f>IF(A932="","",VLOOKUP(A932,Materiais_Base!A:D,2,"FALSO"))</f>
        <v>Chapa múltipla metálica corrugada galvanizada tipo MP 152 ou similar - E = 3,90 mm e D = 5,35 m</v>
      </c>
      <c r="C932" s="353" t="str">
        <f>IF(A932="","",VLOOKUP(A932,Materiais_Base!A:D,3,"FALSO"))</f>
        <v>m</v>
      </c>
      <c r="D932" s="354" t="s">
        <v>932</v>
      </c>
      <c r="E932" s="355" t="str">
        <f t="shared" si="21"/>
        <v/>
      </c>
      <c r="F932" s="354"/>
      <c r="G932" s="345" t="str">
        <f>IF(D932="","",VLOOKUP(A932,Materiais_Base!A:D,4,"FALSO"))</f>
        <v/>
      </c>
    </row>
    <row r="933" hidden="1" customHeight="1" spans="1:7">
      <c r="A933" s="352" t="s">
        <v>15211</v>
      </c>
      <c r="B933" s="352" t="str">
        <f>IF(A933="","",VLOOKUP(A933,Materiais_Base!A:D,2,"FALSO"))</f>
        <v>Chapa múltipla metálica corrugada galvanizada tipo MP 152 ou similar - E = 3,90 mm e D = 5,70 m</v>
      </c>
      <c r="C933" s="353" t="str">
        <f>IF(A933="","",VLOOKUP(A933,Materiais_Base!A:D,3,"FALSO"))</f>
        <v>m</v>
      </c>
      <c r="D933" s="354" t="s">
        <v>932</v>
      </c>
      <c r="E933" s="355" t="str">
        <f t="shared" si="21"/>
        <v/>
      </c>
      <c r="F933" s="354"/>
      <c r="G933" s="345" t="str">
        <f>IF(D933="","",VLOOKUP(A933,Materiais_Base!A:D,4,"FALSO"))</f>
        <v/>
      </c>
    </row>
    <row r="934" hidden="1" customHeight="1" spans="1:7">
      <c r="A934" s="352" t="s">
        <v>15212</v>
      </c>
      <c r="B934" s="352" t="str">
        <f>IF(A934="","",VLOOKUP(A934,Materiais_Base!A:D,2,"FALSO"))</f>
        <v>Chapa múltipla metálica corrugada galvanizada tipo MP 152 ou similar - E = 4,70 mm e D = 6,10 m</v>
      </c>
      <c r="C934" s="353" t="str">
        <f>IF(A934="","",VLOOKUP(A934,Materiais_Base!A:D,3,"FALSO"))</f>
        <v>m</v>
      </c>
      <c r="D934" s="354" t="s">
        <v>932</v>
      </c>
      <c r="E934" s="355" t="str">
        <f t="shared" si="21"/>
        <v/>
      </c>
      <c r="F934" s="354"/>
      <c r="G934" s="345" t="str">
        <f>IF(D934="","",VLOOKUP(A934,Materiais_Base!A:D,4,"FALSO"))</f>
        <v/>
      </c>
    </row>
    <row r="935" hidden="1" customHeight="1" spans="1:7">
      <c r="A935" s="352" t="s">
        <v>15213</v>
      </c>
      <c r="B935" s="352" t="str">
        <f>IF(A935="","",VLOOKUP(A935,Materiais_Base!A:D,2,"FALSO"))</f>
        <v>Chapa múltipla metálica corrugada galvanizada tipo MP 152 ou similar - E = 6,40 mm e D = 6,50 m</v>
      </c>
      <c r="C935" s="353" t="str">
        <f>IF(A935="","",VLOOKUP(A935,Materiais_Base!A:D,3,"FALSO"))</f>
        <v>m</v>
      </c>
      <c r="D935" s="354" t="s">
        <v>932</v>
      </c>
      <c r="E935" s="355" t="str">
        <f t="shared" si="21"/>
        <v/>
      </c>
      <c r="F935" s="354"/>
      <c r="G935" s="345" t="str">
        <f>IF(D935="","",VLOOKUP(A935,Materiais_Base!A:D,4,"FALSO"))</f>
        <v/>
      </c>
    </row>
    <row r="936" hidden="1" customHeight="1" spans="1:7">
      <c r="A936" s="352" t="s">
        <v>15214</v>
      </c>
      <c r="B936" s="352" t="str">
        <f>IF(A936="","",VLOOKUP(A936,Materiais_Base!A:D,2,"FALSO"))</f>
        <v>Chapa múltipla metálica corrugada galvanizada tipo MP 152 ou similar - E = 6,40 mm e D = 6,85 m</v>
      </c>
      <c r="C936" s="353" t="str">
        <f>IF(A936="","",VLOOKUP(A936,Materiais_Base!A:D,3,"FALSO"))</f>
        <v>m</v>
      </c>
      <c r="D936" s="354" t="s">
        <v>932</v>
      </c>
      <c r="E936" s="355" t="str">
        <f t="shared" si="21"/>
        <v/>
      </c>
      <c r="F936" s="354"/>
      <c r="G936" s="345" t="str">
        <f>IF(D936="","",VLOOKUP(A936,Materiais_Base!A:D,4,"FALSO"))</f>
        <v/>
      </c>
    </row>
    <row r="937" hidden="1" customHeight="1" spans="1:7">
      <c r="A937" s="352" t="s">
        <v>15215</v>
      </c>
      <c r="B937" s="352" t="str">
        <f>IF(A937="","",VLOOKUP(A937,Materiais_Base!A:D,2,"FALSO"))</f>
        <v>Chapa múltipla metálica corrugada galvanizada tipo MP 152 ou similar - E = 6,40 mm e D = 7,25 m</v>
      </c>
      <c r="C937" s="353" t="str">
        <f>IF(A937="","",VLOOKUP(A937,Materiais_Base!A:D,3,"FALSO"))</f>
        <v>m</v>
      </c>
      <c r="D937" s="354" t="s">
        <v>932</v>
      </c>
      <c r="E937" s="355" t="str">
        <f t="shared" si="21"/>
        <v/>
      </c>
      <c r="F937" s="354"/>
      <c r="G937" s="345" t="str">
        <f>IF(D937="","",VLOOKUP(A937,Materiais_Base!A:D,4,"FALSO"))</f>
        <v/>
      </c>
    </row>
    <row r="938" hidden="1" customHeight="1" spans="1:7">
      <c r="A938" s="352" t="s">
        <v>15216</v>
      </c>
      <c r="B938" s="352" t="str">
        <f>IF(A938="","",VLOOKUP(A938,Materiais_Base!A:D,2,"FALSO"))</f>
        <v>Parafuso de cabeça sextavada em aço galvanizado com porca e arruela de pressão - D = 7,938 mm (5/16")</v>
      </c>
      <c r="C938" s="353" t="str">
        <f>IF(A938="","",VLOOKUP(A938,Materiais_Base!A:D,3,"FALSO"))</f>
        <v>cj</v>
      </c>
      <c r="D938" s="354" t="s">
        <v>932</v>
      </c>
      <c r="E938" s="355" t="str">
        <f t="shared" si="21"/>
        <v/>
      </c>
      <c r="F938" s="354"/>
      <c r="G938" s="345" t="str">
        <f>IF(D938="","",VLOOKUP(A938,Materiais_Base!A:D,4,"FALSO"))</f>
        <v/>
      </c>
    </row>
    <row r="939" hidden="1" customHeight="1" spans="1:7">
      <c r="A939" s="352" t="s">
        <v>15217</v>
      </c>
      <c r="B939" s="352" t="str">
        <f>IF(A939="","",VLOOKUP(A939,Materiais_Base!A:D,2,"FALSO"))</f>
        <v>Concreto usinado - fck = 40 MPa (comercial)</v>
      </c>
      <c r="C939" s="353" t="str">
        <f>IF(A939="","",VLOOKUP(A939,Materiais_Base!A:D,3,"FALSO"))</f>
        <v>m³</v>
      </c>
      <c r="D939" s="359" t="s">
        <v>932</v>
      </c>
      <c r="E939" s="355" t="str">
        <f t="shared" si="21"/>
        <v/>
      </c>
      <c r="F939" s="359"/>
      <c r="G939" s="345" t="str">
        <f>IF(D939="","",VLOOKUP(A939,Materiais_Base!A:D,4,"FALSO"))</f>
        <v/>
      </c>
    </row>
    <row r="940" hidden="1" customHeight="1" spans="1:7">
      <c r="A940" s="352" t="s">
        <v>15218</v>
      </c>
      <c r="B940" s="352" t="str">
        <f>IF(A940="","",VLOOKUP(A940,Materiais_Base!A:D,2,"FALSO"))</f>
        <v>Concreto usinado - fck = 45 MPa (comercial)</v>
      </c>
      <c r="C940" s="353" t="str">
        <f>IF(A940="","",VLOOKUP(A940,Materiais_Base!A:D,3,"FALSO"))</f>
        <v>m³</v>
      </c>
      <c r="D940" s="359" t="s">
        <v>932</v>
      </c>
      <c r="E940" s="355" t="str">
        <f t="shared" si="21"/>
        <v/>
      </c>
      <c r="F940" s="359"/>
      <c r="G940" s="345" t="str">
        <f>IF(D940="","",VLOOKUP(A940,Materiais_Base!A:D,4,"FALSO"))</f>
        <v/>
      </c>
    </row>
    <row r="941" hidden="1" customHeight="1" spans="1:7">
      <c r="A941" s="352" t="s">
        <v>15219</v>
      </c>
      <c r="B941" s="352" t="str">
        <f>IF(A941="","",VLOOKUP(A941,Materiais_Base!A:D,2,"FALSO"))</f>
        <v>Concreto usinado - fck = 50 MPa (comercial)</v>
      </c>
      <c r="C941" s="353" t="str">
        <f>IF(A941="","",VLOOKUP(A941,Materiais_Base!A:D,3,"FALSO"))</f>
        <v>m³</v>
      </c>
      <c r="D941" s="359" t="s">
        <v>932</v>
      </c>
      <c r="E941" s="355" t="str">
        <f t="shared" si="21"/>
        <v/>
      </c>
      <c r="F941" s="359"/>
      <c r="G941" s="345" t="str">
        <f>IF(D941="","",VLOOKUP(A941,Materiais_Base!A:D,4,"FALSO"))</f>
        <v/>
      </c>
    </row>
    <row r="942" hidden="1" customHeight="1" spans="1:7">
      <c r="A942" s="352" t="s">
        <v>15220</v>
      </c>
      <c r="B942" s="352" t="str">
        <f>IF(A942="","",VLOOKUP(A942,Materiais_Base!A:D,2,"FALSO"))</f>
        <v>Aparelho de apoio metálico esférico fixo com 4 chumbadores e capacidade de 1.000 kN</v>
      </c>
      <c r="C942" s="353" t="str">
        <f>IF(A942="","",VLOOKUP(A942,Materiais_Base!A:D,3,"FALSO"))</f>
        <v>un</v>
      </c>
      <c r="D942" s="354" t="s">
        <v>932</v>
      </c>
      <c r="E942" s="355" t="str">
        <f t="shared" si="21"/>
        <v/>
      </c>
      <c r="F942" s="354"/>
      <c r="G942" s="345" t="str">
        <f>IF(D942="","",VLOOKUP(A942,Materiais_Base!A:D,4,"FALSO"))</f>
        <v/>
      </c>
    </row>
    <row r="943" hidden="1" customHeight="1" spans="1:7">
      <c r="A943" s="352" t="s">
        <v>15221</v>
      </c>
      <c r="B943" s="352" t="str">
        <f>IF(A943="","",VLOOKUP(A943,Materiais_Base!A:D,2,"FALSO"))</f>
        <v>Aparelho de apoio metálico esférico unidirecional com 4 chumbadores e capacidade de 1.500 kN</v>
      </c>
      <c r="C943" s="353" t="str">
        <f>IF(A943="","",VLOOKUP(A943,Materiais_Base!A:D,3,"FALSO"))</f>
        <v>un</v>
      </c>
      <c r="D943" s="354" t="s">
        <v>932</v>
      </c>
      <c r="E943" s="355" t="str">
        <f t="shared" si="21"/>
        <v/>
      </c>
      <c r="F943" s="354"/>
      <c r="G943" s="345" t="str">
        <f>IF(D943="","",VLOOKUP(A943,Materiais_Base!A:D,4,"FALSO"))</f>
        <v/>
      </c>
    </row>
    <row r="944" hidden="1" customHeight="1" spans="1:7">
      <c r="A944" s="352" t="s">
        <v>15222</v>
      </c>
      <c r="B944" s="352" t="str">
        <f>IF(A944="","",VLOOKUP(A944,Materiais_Base!A:D,2,"FALSO"))</f>
        <v>Aparelho de apoio metálico esférico fixo com 4 chumbadores e capacidade de 1.500 kN</v>
      </c>
      <c r="C944" s="353" t="str">
        <f>IF(A944="","",VLOOKUP(A944,Materiais_Base!A:D,3,"FALSO"))</f>
        <v>un</v>
      </c>
      <c r="D944" s="354" t="s">
        <v>932</v>
      </c>
      <c r="E944" s="355" t="str">
        <f t="shared" si="21"/>
        <v/>
      </c>
      <c r="F944" s="354"/>
      <c r="G944" s="345" t="str">
        <f>IF(D944="","",VLOOKUP(A944,Materiais_Base!A:D,4,"FALSO"))</f>
        <v/>
      </c>
    </row>
    <row r="945" hidden="1" customHeight="1" spans="1:7">
      <c r="A945" s="352" t="s">
        <v>15223</v>
      </c>
      <c r="B945" s="352" t="str">
        <f>IF(A945="","",VLOOKUP(A945,Materiais_Base!A:D,2,"FALSO"))</f>
        <v>Aparelho de apoio metálico esférico fixo com 4 chumbadores e capacidade de 2.000 kN</v>
      </c>
      <c r="C945" s="353" t="str">
        <f>IF(A945="","",VLOOKUP(A945,Materiais_Base!A:D,3,"FALSO"))</f>
        <v>un</v>
      </c>
      <c r="D945" s="354" t="s">
        <v>932</v>
      </c>
      <c r="E945" s="355" t="str">
        <f t="shared" si="21"/>
        <v/>
      </c>
      <c r="F945" s="354"/>
      <c r="G945" s="345" t="str">
        <f>IF(D945="","",VLOOKUP(A945,Materiais_Base!A:D,4,"FALSO"))</f>
        <v/>
      </c>
    </row>
    <row r="946" hidden="1" customHeight="1" spans="1:7">
      <c r="A946" s="352" t="s">
        <v>15224</v>
      </c>
      <c r="B946" s="352" t="str">
        <f>IF(A946="","",VLOOKUP(A946,Materiais_Base!A:D,2,"FALSO"))</f>
        <v>Aparelho de apoio metálico esférico fixo com 4 chumbadores e capacidade de 2.500 kN</v>
      </c>
      <c r="C946" s="353" t="str">
        <f>IF(A946="","",VLOOKUP(A946,Materiais_Base!A:D,3,"FALSO"))</f>
        <v>un</v>
      </c>
      <c r="D946" s="354" t="s">
        <v>932</v>
      </c>
      <c r="E946" s="355" t="str">
        <f t="shared" si="21"/>
        <v/>
      </c>
      <c r="F946" s="354"/>
      <c r="G946" s="345" t="str">
        <f>IF(D946="","",VLOOKUP(A946,Materiais_Base!A:D,4,"FALSO"))</f>
        <v/>
      </c>
    </row>
    <row r="947" hidden="1" customHeight="1" spans="1:7">
      <c r="A947" s="352" t="s">
        <v>15225</v>
      </c>
      <c r="B947" s="352" t="str">
        <f>IF(A947="","",VLOOKUP(A947,Materiais_Base!A:D,2,"FALSO"))</f>
        <v>Aparelho de apoio metálico esférico fixo com 4 chumbadores e capacidade de 3.000 kN</v>
      </c>
      <c r="C947" s="353" t="str">
        <f>IF(A947="","",VLOOKUP(A947,Materiais_Base!A:D,3,"FALSO"))</f>
        <v>un</v>
      </c>
      <c r="D947" s="354" t="s">
        <v>932</v>
      </c>
      <c r="E947" s="355" t="str">
        <f t="shared" si="21"/>
        <v/>
      </c>
      <c r="F947" s="354"/>
      <c r="G947" s="345" t="str">
        <f>IF(D947="","",VLOOKUP(A947,Materiais_Base!A:D,4,"FALSO"))</f>
        <v/>
      </c>
    </row>
    <row r="948" hidden="1" customHeight="1" spans="1:7">
      <c r="A948" s="352" t="s">
        <v>15226</v>
      </c>
      <c r="B948" s="352" t="str">
        <f>IF(A948="","",VLOOKUP(A948,Materiais_Base!A:D,2,"FALSO"))</f>
        <v>Aparelho de apoio metálico esférico fixo com 4 chumbadores e capacidade de 3.500 kN</v>
      </c>
      <c r="C948" s="353" t="str">
        <f>IF(A948="","",VLOOKUP(A948,Materiais_Base!A:D,3,"FALSO"))</f>
        <v>un</v>
      </c>
      <c r="D948" s="354" t="s">
        <v>932</v>
      </c>
      <c r="E948" s="355" t="str">
        <f t="shared" si="21"/>
        <v/>
      </c>
      <c r="F948" s="354"/>
      <c r="G948" s="345" t="str">
        <f>IF(D948="","",VLOOKUP(A948,Materiais_Base!A:D,4,"FALSO"))</f>
        <v/>
      </c>
    </row>
    <row r="949" hidden="1" customHeight="1" spans="1:7">
      <c r="A949" s="352" t="s">
        <v>15227</v>
      </c>
      <c r="B949" s="352" t="str">
        <f>IF(A949="","",VLOOKUP(A949,Materiais_Base!A:D,2,"FALSO"))</f>
        <v>Aparelho de apoio metálico esférico fixo com 4 chumbadores e capacidade de 4.000 kN</v>
      </c>
      <c r="C949" s="353" t="str">
        <f>IF(A949="","",VLOOKUP(A949,Materiais_Base!A:D,3,"FALSO"))</f>
        <v>un</v>
      </c>
      <c r="D949" s="354" t="s">
        <v>932</v>
      </c>
      <c r="E949" s="355" t="str">
        <f t="shared" si="21"/>
        <v/>
      </c>
      <c r="F949" s="354"/>
      <c r="G949" s="345" t="str">
        <f>IF(D949="","",VLOOKUP(A949,Materiais_Base!A:D,4,"FALSO"))</f>
        <v/>
      </c>
    </row>
    <row r="950" hidden="1" customHeight="1" spans="1:7">
      <c r="A950" s="352" t="s">
        <v>15228</v>
      </c>
      <c r="B950" s="352" t="str">
        <f>IF(A950="","",VLOOKUP(A950,Materiais_Base!A:D,2,"FALSO"))</f>
        <v>Aparelho de apoio metálico esférico unidirecional com 4 chumbadores e capacidade de 1.000 kN</v>
      </c>
      <c r="C950" s="353" t="str">
        <f>IF(A950="","",VLOOKUP(A950,Materiais_Base!A:D,3,"FALSO"))</f>
        <v>un</v>
      </c>
      <c r="D950" s="354" t="s">
        <v>932</v>
      </c>
      <c r="E950" s="355" t="str">
        <f t="shared" si="21"/>
        <v/>
      </c>
      <c r="F950" s="354"/>
      <c r="G950" s="345" t="str">
        <f>IF(D950="","",VLOOKUP(A950,Materiais_Base!A:D,4,"FALSO"))</f>
        <v/>
      </c>
    </row>
    <row r="951" hidden="1" customHeight="1" spans="1:7">
      <c r="A951" s="352" t="s">
        <v>15229</v>
      </c>
      <c r="B951" s="352" t="str">
        <f>IF(A951="","",VLOOKUP(A951,Materiais_Base!A:D,2,"FALSO"))</f>
        <v>Aparelho de apoio metálico esférico unidirecional com 4 chumbadores e capacidade de 2.000 kN</v>
      </c>
      <c r="C951" s="353" t="str">
        <f>IF(A951="","",VLOOKUP(A951,Materiais_Base!A:D,3,"FALSO"))</f>
        <v>un</v>
      </c>
      <c r="D951" s="354" t="s">
        <v>932</v>
      </c>
      <c r="E951" s="355" t="str">
        <f t="shared" si="21"/>
        <v/>
      </c>
      <c r="F951" s="354"/>
      <c r="G951" s="345" t="str">
        <f>IF(D951="","",VLOOKUP(A951,Materiais_Base!A:D,4,"FALSO"))</f>
        <v/>
      </c>
    </row>
    <row r="952" hidden="1" customHeight="1" spans="1:7">
      <c r="A952" s="352" t="s">
        <v>15230</v>
      </c>
      <c r="B952" s="352" t="str">
        <f>IF(A952="","",VLOOKUP(A952,Materiais_Base!A:D,2,"FALSO"))</f>
        <v>Aparelho de apoio metálico esférico unidirecional com 4 chumbadores e capacidade de 2.500 kN</v>
      </c>
      <c r="C952" s="353" t="str">
        <f>IF(A952="","",VLOOKUP(A952,Materiais_Base!A:D,3,"FALSO"))</f>
        <v>un</v>
      </c>
      <c r="D952" s="354" t="s">
        <v>932</v>
      </c>
      <c r="E952" s="355" t="str">
        <f t="shared" si="21"/>
        <v/>
      </c>
      <c r="F952" s="354"/>
      <c r="G952" s="345" t="str">
        <f>IF(D952="","",VLOOKUP(A952,Materiais_Base!A:D,4,"FALSO"))</f>
        <v/>
      </c>
    </row>
    <row r="953" hidden="1" customHeight="1" spans="1:7">
      <c r="A953" s="352" t="s">
        <v>15231</v>
      </c>
      <c r="B953" s="352" t="str">
        <f>IF(A953="","",VLOOKUP(A953,Materiais_Base!A:D,2,"FALSO"))</f>
        <v>Aparelho de apoio metálico esférico unidirecional com 4 chumbadores e capacidade de 3.000 kN</v>
      </c>
      <c r="C953" s="353" t="str">
        <f>IF(A953="","",VLOOKUP(A953,Materiais_Base!A:D,3,"FALSO"))</f>
        <v>un</v>
      </c>
      <c r="D953" s="354" t="s">
        <v>932</v>
      </c>
      <c r="E953" s="355" t="str">
        <f t="shared" si="21"/>
        <v/>
      </c>
      <c r="F953" s="354"/>
      <c r="G953" s="345" t="str">
        <f>IF(D953="","",VLOOKUP(A953,Materiais_Base!A:D,4,"FALSO"))</f>
        <v/>
      </c>
    </row>
    <row r="954" hidden="1" customHeight="1" spans="1:7">
      <c r="A954" s="352" t="s">
        <v>15232</v>
      </c>
      <c r="B954" s="352" t="str">
        <f>IF(A954="","",VLOOKUP(A954,Materiais_Base!A:D,2,"FALSO"))</f>
        <v>Aparelho de apoio metálico esférico unidirecional com 4 chumbadores e capacidade de 3.500 kN</v>
      </c>
      <c r="C954" s="353" t="str">
        <f>IF(A954="","",VLOOKUP(A954,Materiais_Base!A:D,3,"FALSO"))</f>
        <v>un</v>
      </c>
      <c r="D954" s="354" t="s">
        <v>932</v>
      </c>
      <c r="E954" s="355" t="str">
        <f t="shared" si="21"/>
        <v/>
      </c>
      <c r="F954" s="354"/>
      <c r="G954" s="345" t="str">
        <f>IF(D954="","",VLOOKUP(A954,Materiais_Base!A:D,4,"FALSO"))</f>
        <v/>
      </c>
    </row>
    <row r="955" hidden="1" customHeight="1" spans="1:7">
      <c r="A955" s="352" t="s">
        <v>15233</v>
      </c>
      <c r="B955" s="352" t="str">
        <f>IF(A955="","",VLOOKUP(A955,Materiais_Base!A:D,2,"FALSO"))</f>
        <v>Aparelho de apoio metálico esférico unidirecional com 4 chumbadores e capacidade de 4.000 kN</v>
      </c>
      <c r="C955" s="353" t="str">
        <f>IF(A955="","",VLOOKUP(A955,Materiais_Base!A:D,3,"FALSO"))</f>
        <v>un</v>
      </c>
      <c r="D955" s="354" t="s">
        <v>932</v>
      </c>
      <c r="E955" s="355" t="str">
        <f t="shared" si="21"/>
        <v/>
      </c>
      <c r="F955" s="354"/>
      <c r="G955" s="345" t="str">
        <f>IF(D955="","",VLOOKUP(A955,Materiais_Base!A:D,4,"FALSO"))</f>
        <v/>
      </c>
    </row>
    <row r="956" hidden="1" customHeight="1" spans="1:7">
      <c r="A956" s="352" t="s">
        <v>15234</v>
      </c>
      <c r="B956" s="352" t="str">
        <f>IF(A956="","",VLOOKUP(A956,Materiais_Base!A:D,2,"FALSO"))</f>
        <v>Aparelho de apoio metálico esférico fixo com 4 chumbadores e capacidade de 4.500 kN</v>
      </c>
      <c r="C956" s="353" t="str">
        <f>IF(A956="","",VLOOKUP(A956,Materiais_Base!A:D,3,"FALSO"))</f>
        <v>un</v>
      </c>
      <c r="D956" s="354" t="s">
        <v>932</v>
      </c>
      <c r="E956" s="355" t="str">
        <f t="shared" si="21"/>
        <v/>
      </c>
      <c r="F956" s="354"/>
      <c r="G956" s="345" t="str">
        <f>IF(D956="","",VLOOKUP(A956,Materiais_Base!A:D,4,"FALSO"))</f>
        <v/>
      </c>
    </row>
    <row r="957" hidden="1" customHeight="1" spans="1:7">
      <c r="A957" s="352" t="s">
        <v>15235</v>
      </c>
      <c r="B957" s="352" t="str">
        <f>IF(A957="","",VLOOKUP(A957,Materiais_Base!A:D,2,"FALSO"))</f>
        <v>Aparelho de apoio metálico esférico fixo com 4 chumbadores e capacidade de 5.000 kN</v>
      </c>
      <c r="C957" s="353" t="str">
        <f>IF(A957="","",VLOOKUP(A957,Materiais_Base!A:D,3,"FALSO"))</f>
        <v>un</v>
      </c>
      <c r="D957" s="354" t="s">
        <v>932</v>
      </c>
      <c r="E957" s="355" t="str">
        <f t="shared" si="21"/>
        <v/>
      </c>
      <c r="F957" s="354"/>
      <c r="G957" s="345" t="str">
        <f>IF(D957="","",VLOOKUP(A957,Materiais_Base!A:D,4,"FALSO"))</f>
        <v/>
      </c>
    </row>
    <row r="958" hidden="1" customHeight="1" spans="1:7">
      <c r="A958" s="352" t="s">
        <v>15236</v>
      </c>
      <c r="B958" s="352" t="str">
        <f>IF(A958="","",VLOOKUP(A958,Materiais_Base!A:D,2,"FALSO"))</f>
        <v>Aparelho de apoio metálico esférico fixo com 4 chumbadores e capacidade de 5.500 kN</v>
      </c>
      <c r="C958" s="353" t="str">
        <f>IF(A958="","",VLOOKUP(A958,Materiais_Base!A:D,3,"FALSO"))</f>
        <v>un</v>
      </c>
      <c r="D958" s="354" t="s">
        <v>932</v>
      </c>
      <c r="E958" s="355" t="str">
        <f t="shared" si="21"/>
        <v/>
      </c>
      <c r="F958" s="354"/>
      <c r="G958" s="345" t="str">
        <f>IF(D958="","",VLOOKUP(A958,Materiais_Base!A:D,4,"FALSO"))</f>
        <v/>
      </c>
    </row>
    <row r="959" hidden="1" customHeight="1" spans="1:7">
      <c r="A959" s="352" t="s">
        <v>15237</v>
      </c>
      <c r="B959" s="352" t="str">
        <f>IF(A959="","",VLOOKUP(A959,Materiais_Base!A:D,2,"FALSO"))</f>
        <v>Aparelho de apoio metálico esférico fixo com 4 chumbadores e capacidade de 6.000 kN</v>
      </c>
      <c r="C959" s="353" t="str">
        <f>IF(A959="","",VLOOKUP(A959,Materiais_Base!A:D,3,"FALSO"))</f>
        <v>un</v>
      </c>
      <c r="D959" s="354" t="s">
        <v>932</v>
      </c>
      <c r="E959" s="355" t="str">
        <f t="shared" si="21"/>
        <v/>
      </c>
      <c r="F959" s="354"/>
      <c r="G959" s="345" t="str">
        <f>IF(D959="","",VLOOKUP(A959,Materiais_Base!A:D,4,"FALSO"))</f>
        <v/>
      </c>
    </row>
    <row r="960" hidden="1" customHeight="1" spans="1:7">
      <c r="A960" s="352" t="s">
        <v>15238</v>
      </c>
      <c r="B960" s="352" t="str">
        <f>IF(A960="","",VLOOKUP(A960,Materiais_Base!A:D,2,"FALSO"))</f>
        <v>Aparelho de apoio metálico esférico fixo com 4 chumbadores e capacidade de 6.500 kN</v>
      </c>
      <c r="C960" s="353" t="str">
        <f>IF(A960="","",VLOOKUP(A960,Materiais_Base!A:D,3,"FALSO"))</f>
        <v>un</v>
      </c>
      <c r="D960" s="354" t="s">
        <v>932</v>
      </c>
      <c r="E960" s="355" t="str">
        <f t="shared" si="21"/>
        <v/>
      </c>
      <c r="F960" s="354"/>
      <c r="G960" s="345" t="str">
        <f>IF(D960="","",VLOOKUP(A960,Materiais_Base!A:D,4,"FALSO"))</f>
        <v/>
      </c>
    </row>
    <row r="961" hidden="1" customHeight="1" spans="1:7">
      <c r="A961" s="352" t="s">
        <v>15239</v>
      </c>
      <c r="B961" s="352" t="str">
        <f>IF(A961="","",VLOOKUP(A961,Materiais_Base!A:D,2,"FALSO"))</f>
        <v>Aparelho de apoio metálico esférico fixo com 4 chumbadores e capacidade de 7.000 kN</v>
      </c>
      <c r="C961" s="353" t="str">
        <f>IF(A961="","",VLOOKUP(A961,Materiais_Base!A:D,3,"FALSO"))</f>
        <v>un</v>
      </c>
      <c r="D961" s="354" t="s">
        <v>932</v>
      </c>
      <c r="E961" s="355" t="str">
        <f t="shared" si="21"/>
        <v/>
      </c>
      <c r="F961" s="354"/>
      <c r="G961" s="345" t="str">
        <f>IF(D961="","",VLOOKUP(A961,Materiais_Base!A:D,4,"FALSO"))</f>
        <v/>
      </c>
    </row>
    <row r="962" hidden="1" customHeight="1" spans="1:7">
      <c r="A962" s="352" t="s">
        <v>15240</v>
      </c>
      <c r="B962" s="352" t="str">
        <f>IF(A962="","",VLOOKUP(A962,Materiais_Base!A:D,2,"FALSO"))</f>
        <v>Aparelho de apoio metálico esférico fixo com 4 chumbadores e capacidade de 7.500 kN</v>
      </c>
      <c r="C962" s="353" t="str">
        <f>IF(A962="","",VLOOKUP(A962,Materiais_Base!A:D,3,"FALSO"))</f>
        <v>un</v>
      </c>
      <c r="D962" s="354" t="s">
        <v>932</v>
      </c>
      <c r="E962" s="355" t="str">
        <f t="shared" si="21"/>
        <v/>
      </c>
      <c r="F962" s="354"/>
      <c r="G962" s="345" t="str">
        <f>IF(D962="","",VLOOKUP(A962,Materiais_Base!A:D,4,"FALSO"))</f>
        <v/>
      </c>
    </row>
    <row r="963" hidden="1" customHeight="1" spans="1:7">
      <c r="A963" s="352" t="s">
        <v>15241</v>
      </c>
      <c r="B963" s="352" t="str">
        <f>IF(A963="","",VLOOKUP(A963,Materiais_Base!A:D,2,"FALSO"))</f>
        <v>Aparelho de apoio metálico esférico fixo com 4 chumbadores e capacidade de 8.000 kN</v>
      </c>
      <c r="C963" s="353" t="str">
        <f>IF(A963="","",VLOOKUP(A963,Materiais_Base!A:D,3,"FALSO"))</f>
        <v>un</v>
      </c>
      <c r="D963" s="354" t="s">
        <v>932</v>
      </c>
      <c r="E963" s="355" t="str">
        <f t="shared" si="21"/>
        <v/>
      </c>
      <c r="F963" s="354"/>
      <c r="G963" s="345" t="str">
        <f>IF(D963="","",VLOOKUP(A963,Materiais_Base!A:D,4,"FALSO"))</f>
        <v/>
      </c>
    </row>
    <row r="964" hidden="1" customHeight="1" spans="1:7">
      <c r="A964" s="352" t="s">
        <v>15242</v>
      </c>
      <c r="B964" s="352" t="str">
        <f>IF(A964="","",VLOOKUP(A964,Materiais_Base!A:D,2,"FALSO"))</f>
        <v>Grelha metálica para boca de lobo com capacidade de até 300 kN - C = 0,90 m e L = 0,30 m</v>
      </c>
      <c r="C964" s="353" t="str">
        <f>IF(A964="","",VLOOKUP(A964,Materiais_Base!A:D,3,"FALSO"))</f>
        <v>un</v>
      </c>
      <c r="D964" s="354" t="s">
        <v>932</v>
      </c>
      <c r="E964" s="355" t="str">
        <f t="shared" si="21"/>
        <v/>
      </c>
      <c r="F964" s="354"/>
      <c r="G964" s="345" t="str">
        <f>IF(D964="","",VLOOKUP(A964,Materiais_Base!A:D,4,"FALSO"))</f>
        <v/>
      </c>
    </row>
    <row r="965" hidden="1" customHeight="1" spans="1:7">
      <c r="A965" s="352" t="s">
        <v>15243</v>
      </c>
      <c r="B965" s="352" t="str">
        <f>IF(A965="","",VLOOKUP(A965,Materiais_Base!A:D,2,"FALSO"))</f>
        <v>Grelha de piso em PVC para passagem de pedestres - C = 50 cm e L = 13 cm</v>
      </c>
      <c r="C965" s="353" t="str">
        <f>IF(A965="","",VLOOKUP(A965,Materiais_Base!A:D,3,"FALSO"))</f>
        <v>un</v>
      </c>
      <c r="D965" s="354" t="s">
        <v>932</v>
      </c>
      <c r="E965" s="355" t="str">
        <f t="shared" si="21"/>
        <v/>
      </c>
      <c r="F965" s="354"/>
      <c r="G965" s="345" t="str">
        <f>IF(D965="","",VLOOKUP(A965,Materiais_Base!A:D,4,"FALSO"))</f>
        <v/>
      </c>
    </row>
    <row r="966" hidden="1" customHeight="1" spans="1:7">
      <c r="A966" s="352" t="s">
        <v>15244</v>
      </c>
      <c r="B966" s="352" t="str">
        <f>IF(A966="","",VLOOKUP(A966,Materiais_Base!A:D,2,"FALSO"))</f>
        <v>Marco em PVC para grelha de piso - L = 2,50 m</v>
      </c>
      <c r="C966" s="353" t="str">
        <f>IF(A966="","",VLOOKUP(A966,Materiais_Base!A:D,3,"FALSO"))</f>
        <v>un</v>
      </c>
      <c r="D966" s="354" t="s">
        <v>932</v>
      </c>
      <c r="E966" s="355" t="str">
        <f t="shared" si="21"/>
        <v/>
      </c>
      <c r="F966" s="354"/>
      <c r="G966" s="345" t="str">
        <f>IF(D966="","",VLOOKUP(A966,Materiais_Base!A:D,4,"FALSO"))</f>
        <v/>
      </c>
    </row>
    <row r="967" hidden="1" customHeight="1" spans="1:7">
      <c r="A967" s="352" t="s">
        <v>15245</v>
      </c>
      <c r="B967" s="352" t="str">
        <f>IF(A967="","",VLOOKUP(A967,Materiais_Base!A:D,2,"FALSO"))</f>
        <v>Grelha de piso em PVC para passagem de veículos de até 3 t - C = 50 cm e L = 13 cm</v>
      </c>
      <c r="C967" s="353" t="str">
        <f>IF(A967="","",VLOOKUP(A967,Materiais_Base!A:D,3,"FALSO"))</f>
        <v>un</v>
      </c>
      <c r="D967" s="354" t="s">
        <v>932</v>
      </c>
      <c r="E967" s="355" t="str">
        <f t="shared" si="21"/>
        <v/>
      </c>
      <c r="F967" s="354"/>
      <c r="G967" s="345" t="str">
        <f>IF(D967="","",VLOOKUP(A967,Materiais_Base!A:D,4,"FALSO"))</f>
        <v/>
      </c>
    </row>
    <row r="968" hidden="1" customHeight="1" spans="1:7">
      <c r="A968" s="352" t="s">
        <v>15246</v>
      </c>
      <c r="B968" s="352" t="str">
        <f>IF(A968="","",VLOOKUP(A968,Materiais_Base!A:D,2,"FALSO"))</f>
        <v>Grelha de piso em PVC para passagem de veículos de até 10 t - C = 50 cm e L = 13 cm</v>
      </c>
      <c r="C968" s="353" t="str">
        <f>IF(A968="","",VLOOKUP(A968,Materiais_Base!A:D,3,"FALSO"))</f>
        <v>un</v>
      </c>
      <c r="D968" s="354" t="s">
        <v>932</v>
      </c>
      <c r="E968" s="355" t="str">
        <f t="shared" si="21"/>
        <v/>
      </c>
      <c r="F968" s="354"/>
      <c r="G968" s="345" t="str">
        <f>IF(D968="","",VLOOKUP(A968,Materiais_Base!A:D,4,"FALSO"))</f>
        <v/>
      </c>
    </row>
    <row r="969" hidden="1" customHeight="1" spans="1:7">
      <c r="A969" s="352" t="s">
        <v>15247</v>
      </c>
      <c r="B969" s="352" t="str">
        <f>IF(A969="","",VLOOKUP(A969,Materiais_Base!A:D,2,"FALSO"))</f>
        <v>Grelha de piso em PVC para passagem de pedestres - C = 50 cm e L = 20 cm</v>
      </c>
      <c r="C969" s="353" t="str">
        <f>IF(A969="","",VLOOKUP(A969,Materiais_Base!A:D,3,"FALSO"))</f>
        <v>un</v>
      </c>
      <c r="D969" s="354" t="s">
        <v>932</v>
      </c>
      <c r="E969" s="355" t="str">
        <f t="shared" si="21"/>
        <v/>
      </c>
      <c r="F969" s="354"/>
      <c r="G969" s="345" t="str">
        <f>IF(D969="","",VLOOKUP(A969,Materiais_Base!A:D,4,"FALSO"))</f>
        <v/>
      </c>
    </row>
    <row r="970" hidden="1" customHeight="1" spans="1:7">
      <c r="A970" s="352" t="s">
        <v>15248</v>
      </c>
      <c r="B970" s="352" t="str">
        <f>IF(A970="","",VLOOKUP(A970,Materiais_Base!A:D,2,"FALSO"))</f>
        <v>Grelha de piso em PVC para passagem de veículos de até 3 t - C = 50 cm e L = 20 cm</v>
      </c>
      <c r="C970" s="353" t="str">
        <f>IF(A970="","",VLOOKUP(A970,Materiais_Base!A:D,3,"FALSO"))</f>
        <v>un</v>
      </c>
      <c r="D970" s="354" t="s">
        <v>932</v>
      </c>
      <c r="E970" s="355" t="str">
        <f t="shared" si="21"/>
        <v/>
      </c>
      <c r="F970" s="354"/>
      <c r="G970" s="345" t="str">
        <f>IF(D970="","",VLOOKUP(A970,Materiais_Base!A:D,4,"FALSO"))</f>
        <v/>
      </c>
    </row>
    <row r="971" hidden="1" customHeight="1" spans="1:7">
      <c r="A971" s="352" t="s">
        <v>15249</v>
      </c>
      <c r="B971" s="352" t="str">
        <f>IF(A971="","",VLOOKUP(A971,Materiais_Base!A:D,2,"FALSO"))</f>
        <v>Grelha metálica para canaletas - C = 1,00 m e L = 0,10 m</v>
      </c>
      <c r="C971" s="353" t="str">
        <f>IF(A971="","",VLOOKUP(A971,Materiais_Base!A:D,3,"FALSO"))</f>
        <v>un</v>
      </c>
      <c r="D971" s="354" t="s">
        <v>932</v>
      </c>
      <c r="E971" s="355" t="str">
        <f t="shared" si="21"/>
        <v/>
      </c>
      <c r="F971" s="354"/>
      <c r="G971" s="345" t="str">
        <f>IF(D971="","",VLOOKUP(A971,Materiais_Base!A:D,4,"FALSO"))</f>
        <v/>
      </c>
    </row>
    <row r="972" hidden="1" customHeight="1" spans="1:7">
      <c r="A972" s="352" t="s">
        <v>15250</v>
      </c>
      <c r="B972" s="352" t="str">
        <f>IF(A972="","",VLOOKUP(A972,Materiais_Base!A:D,2,"FALSO"))</f>
        <v>Grelha metálica para canaletas - C = 1,00 m e L = 0,15 m</v>
      </c>
      <c r="C972" s="353" t="str">
        <f>IF(A972="","",VLOOKUP(A972,Materiais_Base!A:D,3,"FALSO"))</f>
        <v>un</v>
      </c>
      <c r="D972" s="354" t="s">
        <v>932</v>
      </c>
      <c r="E972" s="355" t="str">
        <f t="shared" si="21"/>
        <v/>
      </c>
      <c r="F972" s="354"/>
      <c r="G972" s="345" t="str">
        <f>IF(D972="","",VLOOKUP(A972,Materiais_Base!A:D,4,"FALSO"))</f>
        <v/>
      </c>
    </row>
    <row r="973" hidden="1" customHeight="1" spans="1:7">
      <c r="A973" s="352" t="s">
        <v>15251</v>
      </c>
      <c r="B973" s="352" t="str">
        <f>IF(A973="","",VLOOKUP(A973,Materiais_Base!A:D,2,"FALSO"))</f>
        <v>Porta-grelha metálica - C = 1,00 m e L = 0,15 m</v>
      </c>
      <c r="C973" s="353" t="str">
        <f>IF(A973="","",VLOOKUP(A973,Materiais_Base!A:D,3,"FALSO"))</f>
        <v>m</v>
      </c>
      <c r="D973" s="354" t="s">
        <v>932</v>
      </c>
      <c r="E973" s="355" t="str">
        <f t="shared" si="21"/>
        <v/>
      </c>
      <c r="F973" s="354"/>
      <c r="G973" s="345" t="str">
        <f>IF(D973="","",VLOOKUP(A973,Materiais_Base!A:D,4,"FALSO"))</f>
        <v/>
      </c>
    </row>
    <row r="974" hidden="1" customHeight="1" spans="1:7">
      <c r="A974" s="352" t="s">
        <v>15252</v>
      </c>
      <c r="B974" s="352" t="str">
        <f>IF(A974="","",VLOOKUP(A974,Materiais_Base!A:D,2,"FALSO"))</f>
        <v>Grelha metálica para canaletas - C = 1,00 m e L = 0,20 m</v>
      </c>
      <c r="C974" s="353" t="str">
        <f>IF(A974="","",VLOOKUP(A974,Materiais_Base!A:D,3,"FALSO"))</f>
        <v>un</v>
      </c>
      <c r="D974" s="354" t="s">
        <v>932</v>
      </c>
      <c r="E974" s="355" t="str">
        <f t="shared" si="21"/>
        <v/>
      </c>
      <c r="F974" s="354"/>
      <c r="G974" s="345" t="str">
        <f>IF(D974="","",VLOOKUP(A974,Materiais_Base!A:D,4,"FALSO"))</f>
        <v/>
      </c>
    </row>
    <row r="975" hidden="1" customHeight="1" spans="1:7">
      <c r="A975" s="352" t="s">
        <v>15253</v>
      </c>
      <c r="B975" s="352" t="str">
        <f>IF(A975="","",VLOOKUP(A975,Materiais_Base!A:D,2,"FALSO"))</f>
        <v>Porta-grelha metálica - C = 1,00 m e L = 0,20 m</v>
      </c>
      <c r="C975" s="353" t="str">
        <f>IF(A975="","",VLOOKUP(A975,Materiais_Base!A:D,3,"FALSO"))</f>
        <v>m</v>
      </c>
      <c r="D975" s="354" t="s">
        <v>932</v>
      </c>
      <c r="E975" s="355" t="str">
        <f t="shared" si="21"/>
        <v/>
      </c>
      <c r="F975" s="354"/>
      <c r="G975" s="345" t="str">
        <f>IF(D975="","",VLOOKUP(A975,Materiais_Base!A:D,4,"FALSO"))</f>
        <v/>
      </c>
    </row>
    <row r="976" hidden="1" customHeight="1" spans="1:7">
      <c r="A976" s="352" t="s">
        <v>15254</v>
      </c>
      <c r="B976" s="352" t="str">
        <f>IF(A976="","",VLOOKUP(A976,Materiais_Base!A:D,2,"FALSO"))</f>
        <v>Porta-grelha metálica - C = 1,00 m e L = 0,10 m</v>
      </c>
      <c r="C976" s="353" t="str">
        <f>IF(A976="","",VLOOKUP(A976,Materiais_Base!A:D,3,"FALSO"))</f>
        <v>m</v>
      </c>
      <c r="D976" s="354" t="s">
        <v>932</v>
      </c>
      <c r="E976" s="355" t="str">
        <f t="shared" si="21"/>
        <v/>
      </c>
      <c r="F976" s="354"/>
      <c r="G976" s="345" t="str">
        <f>IF(D976="","",VLOOKUP(A976,Materiais_Base!A:D,4,"FALSO"))</f>
        <v/>
      </c>
    </row>
    <row r="977" hidden="1" customHeight="1" spans="1:7">
      <c r="A977" s="352" t="s">
        <v>15255</v>
      </c>
      <c r="B977" s="352" t="str">
        <f>IF(A977="","",VLOOKUP(A977,Materiais_Base!A:D,2,"FALSO"))</f>
        <v>Aparelho de apoio metálico esférico fixo com 4 chumbadores e capacidade de 8.500 kN</v>
      </c>
      <c r="C977" s="353" t="str">
        <f>IF(A977="","",VLOOKUP(A977,Materiais_Base!A:D,3,"FALSO"))</f>
        <v>un</v>
      </c>
      <c r="D977" s="354" t="s">
        <v>932</v>
      </c>
      <c r="E977" s="355" t="str">
        <f t="shared" si="21"/>
        <v/>
      </c>
      <c r="F977" s="354"/>
      <c r="G977" s="345" t="str">
        <f>IF(D977="","",VLOOKUP(A977,Materiais_Base!A:D,4,"FALSO"))</f>
        <v/>
      </c>
    </row>
    <row r="978" hidden="1" customHeight="1" spans="1:7">
      <c r="A978" s="352" t="s">
        <v>15256</v>
      </c>
      <c r="B978" s="352" t="str">
        <f>IF(A978="","",VLOOKUP(A978,Materiais_Base!A:D,2,"FALSO"))</f>
        <v>Aparelho de apoio metálico esférico fixo com 4 chumbadores e capacidade de 9.000 kN</v>
      </c>
      <c r="C978" s="353" t="str">
        <f>IF(A978="","",VLOOKUP(A978,Materiais_Base!A:D,3,"FALSO"))</f>
        <v>un</v>
      </c>
      <c r="D978" s="354" t="s">
        <v>932</v>
      </c>
      <c r="E978" s="355" t="str">
        <f t="shared" si="21"/>
        <v/>
      </c>
      <c r="F978" s="354"/>
      <c r="G978" s="345" t="str">
        <f>IF(D978="","",VLOOKUP(A978,Materiais_Base!A:D,4,"FALSO"))</f>
        <v/>
      </c>
    </row>
    <row r="979" hidden="1" customHeight="1" spans="1:7">
      <c r="A979" s="352" t="s">
        <v>15257</v>
      </c>
      <c r="B979" s="352" t="str">
        <f>IF(A979="","",VLOOKUP(A979,Materiais_Base!A:D,2,"FALSO"))</f>
        <v>Aparelho de apoio metálico esférico fixo com 4 chumbadores e capacidade de 9.500 kN</v>
      </c>
      <c r="C979" s="353" t="str">
        <f>IF(A979="","",VLOOKUP(A979,Materiais_Base!A:D,3,"FALSO"))</f>
        <v>un</v>
      </c>
      <c r="D979" s="354" t="s">
        <v>932</v>
      </c>
      <c r="E979" s="355" t="str">
        <f t="shared" si="21"/>
        <v/>
      </c>
      <c r="F979" s="354"/>
      <c r="G979" s="345" t="str">
        <f>IF(D979="","",VLOOKUP(A979,Materiais_Base!A:D,4,"FALSO"))</f>
        <v/>
      </c>
    </row>
    <row r="980" hidden="1" customHeight="1" spans="1:7">
      <c r="A980" s="352" t="s">
        <v>15258</v>
      </c>
      <c r="B980" s="352" t="str">
        <f>IF(A980="","",VLOOKUP(A980,Materiais_Base!A:D,2,"FALSO"))</f>
        <v>Aparelho de apoio metálico esférico fixo com 4 chumbadores e capacidade de 10.000 kN</v>
      </c>
      <c r="C980" s="353" t="str">
        <f>IF(A980="","",VLOOKUP(A980,Materiais_Base!A:D,3,"FALSO"))</f>
        <v>un</v>
      </c>
      <c r="D980" s="354" t="s">
        <v>932</v>
      </c>
      <c r="E980" s="355" t="str">
        <f t="shared" si="21"/>
        <v/>
      </c>
      <c r="F980" s="354"/>
      <c r="G980" s="345" t="str">
        <f>IF(D980="","",VLOOKUP(A980,Materiais_Base!A:D,4,"FALSO"))</f>
        <v/>
      </c>
    </row>
    <row r="981" hidden="1" customHeight="1" spans="1:7">
      <c r="A981" s="352" t="s">
        <v>15259</v>
      </c>
      <c r="B981" s="352" t="str">
        <f>IF(A981="","",VLOOKUP(A981,Materiais_Base!A:D,2,"FALSO"))</f>
        <v>Aparelho de apoio metálico esférico unidirecional com 4 chumbadores e capacidade de 4.500 kN</v>
      </c>
      <c r="C981" s="353" t="str">
        <f>IF(A981="","",VLOOKUP(A981,Materiais_Base!A:D,3,"FALSO"))</f>
        <v>un</v>
      </c>
      <c r="D981" s="354" t="s">
        <v>932</v>
      </c>
      <c r="E981" s="355" t="str">
        <f t="shared" si="21"/>
        <v/>
      </c>
      <c r="F981" s="354"/>
      <c r="G981" s="345" t="str">
        <f>IF(D981="","",VLOOKUP(A981,Materiais_Base!A:D,4,"FALSO"))</f>
        <v/>
      </c>
    </row>
    <row r="982" hidden="1" customHeight="1" spans="1:7">
      <c r="A982" s="352" t="s">
        <v>15260</v>
      </c>
      <c r="B982" s="352" t="str">
        <f>IF(A982="","",VLOOKUP(A982,Materiais_Base!A:D,2,"FALSO"))</f>
        <v>Aparelho de apoio metálico esférico unidirecional com 4 chumbadores e capacidade de 5.000 kN</v>
      </c>
      <c r="C982" s="353" t="str">
        <f>IF(A982="","",VLOOKUP(A982,Materiais_Base!A:D,3,"FALSO"))</f>
        <v>un</v>
      </c>
      <c r="D982" s="354" t="s">
        <v>932</v>
      </c>
      <c r="E982" s="355" t="str">
        <f t="shared" si="21"/>
        <v/>
      </c>
      <c r="F982" s="354"/>
      <c r="G982" s="345" t="str">
        <f>IF(D982="","",VLOOKUP(A982,Materiais_Base!A:D,4,"FALSO"))</f>
        <v/>
      </c>
    </row>
    <row r="983" hidden="1" customHeight="1" spans="1:7">
      <c r="A983" s="352" t="s">
        <v>15261</v>
      </c>
      <c r="B983" s="352" t="str">
        <f>IF(A983="","",VLOOKUP(A983,Materiais_Base!A:D,2,"FALSO"))</f>
        <v>Aparelho de apoio metálico esférico unidirecional com 4 chumbadores e capacidade de 5.500 kN</v>
      </c>
      <c r="C983" s="353" t="str">
        <f>IF(A983="","",VLOOKUP(A983,Materiais_Base!A:D,3,"FALSO"))</f>
        <v>un</v>
      </c>
      <c r="D983" s="354" t="s">
        <v>932</v>
      </c>
      <c r="E983" s="355" t="str">
        <f t="shared" si="21"/>
        <v/>
      </c>
      <c r="F983" s="354"/>
      <c r="G983" s="345" t="str">
        <f>IF(D983="","",VLOOKUP(A983,Materiais_Base!A:D,4,"FALSO"))</f>
        <v/>
      </c>
    </row>
    <row r="984" hidden="1" customHeight="1" spans="1:7">
      <c r="A984" s="352" t="s">
        <v>15262</v>
      </c>
      <c r="B984" s="352" t="str">
        <f>IF(A984="","",VLOOKUP(A984,Materiais_Base!A:D,2,"FALSO"))</f>
        <v>Aparelho de apoio metálico esférico unidirecional com 4 chumbadores e capacidade de 6.000 kN</v>
      </c>
      <c r="C984" s="353" t="str">
        <f>IF(A984="","",VLOOKUP(A984,Materiais_Base!A:D,3,"FALSO"))</f>
        <v>un</v>
      </c>
      <c r="D984" s="354" t="s">
        <v>932</v>
      </c>
      <c r="E984" s="355" t="str">
        <f t="shared" si="21"/>
        <v/>
      </c>
      <c r="F984" s="354"/>
      <c r="G984" s="345" t="str">
        <f>IF(D984="","",VLOOKUP(A984,Materiais_Base!A:D,4,"FALSO"))</f>
        <v/>
      </c>
    </row>
    <row r="985" hidden="1" customHeight="1" spans="1:7">
      <c r="A985" s="352" t="s">
        <v>15263</v>
      </c>
      <c r="B985" s="352" t="str">
        <f>IF(A985="","",VLOOKUP(A985,Materiais_Base!A:D,2,"FALSO"))</f>
        <v>Aparelho de apoio metálico esférico unidirecional com 4 chumbadores e capacidade de 6.500 kN</v>
      </c>
      <c r="C985" s="353" t="str">
        <f>IF(A985="","",VLOOKUP(A985,Materiais_Base!A:D,3,"FALSO"))</f>
        <v>un</v>
      </c>
      <c r="D985" s="354" t="s">
        <v>932</v>
      </c>
      <c r="E985" s="355" t="str">
        <f t="shared" ref="E985:E1048" si="22">IF(D985="","",MIN(D985,F985))</f>
        <v/>
      </c>
      <c r="F985" s="354"/>
      <c r="G985" s="345" t="str">
        <f>IF(D985="","",VLOOKUP(A985,Materiais_Base!A:D,4,"FALSO"))</f>
        <v/>
      </c>
    </row>
    <row r="986" hidden="1" customHeight="1" spans="1:7">
      <c r="A986" s="352" t="s">
        <v>15264</v>
      </c>
      <c r="B986" s="352" t="str">
        <f>IF(A986="","",VLOOKUP(A986,Materiais_Base!A:D,2,"FALSO"))</f>
        <v>Aparelho de apoio metálico esférico unidirecional com 4 chumbadores e capacidade de 7.000 kN</v>
      </c>
      <c r="C986" s="353" t="str">
        <f>IF(A986="","",VLOOKUP(A986,Materiais_Base!A:D,3,"FALSO"))</f>
        <v>un</v>
      </c>
      <c r="D986" s="354" t="s">
        <v>932</v>
      </c>
      <c r="E986" s="355" t="str">
        <f t="shared" si="22"/>
        <v/>
      </c>
      <c r="F986" s="354"/>
      <c r="G986" s="345" t="str">
        <f>IF(D986="","",VLOOKUP(A986,Materiais_Base!A:D,4,"FALSO"))</f>
        <v/>
      </c>
    </row>
    <row r="987" hidden="1" customHeight="1" spans="1:7">
      <c r="A987" s="352" t="s">
        <v>15265</v>
      </c>
      <c r="B987" s="352" t="str">
        <f>IF(A987="","",VLOOKUP(A987,Materiais_Base!A:D,2,"FALSO"))</f>
        <v>Aparelho de apoio metálico esférico unidirecional com 4 chumbadores e capacidade de 7.500 kN</v>
      </c>
      <c r="C987" s="353" t="str">
        <f>IF(A987="","",VLOOKUP(A987,Materiais_Base!A:D,3,"FALSO"))</f>
        <v>un</v>
      </c>
      <c r="D987" s="354" t="s">
        <v>932</v>
      </c>
      <c r="E987" s="355" t="str">
        <f t="shared" si="22"/>
        <v/>
      </c>
      <c r="F987" s="354"/>
      <c r="G987" s="345" t="str">
        <f>IF(D987="","",VLOOKUP(A987,Materiais_Base!A:D,4,"FALSO"))</f>
        <v/>
      </c>
    </row>
    <row r="988" hidden="1" customHeight="1" spans="1:7">
      <c r="A988" s="352" t="s">
        <v>15266</v>
      </c>
      <c r="B988" s="352" t="str">
        <f>IF(A988="","",VLOOKUP(A988,Materiais_Base!A:D,2,"FALSO"))</f>
        <v>Fincapino de ação direta e pino com furo - D = 6,35 mm (1/4")</v>
      </c>
      <c r="C988" s="353" t="str">
        <f>IF(A988="","",VLOOKUP(A988,Materiais_Base!A:D,3,"FALSO"))</f>
        <v>un</v>
      </c>
      <c r="D988" s="354" t="s">
        <v>932</v>
      </c>
      <c r="E988" s="355" t="str">
        <f t="shared" si="22"/>
        <v/>
      </c>
      <c r="F988" s="354"/>
      <c r="G988" s="345" t="str">
        <f>IF(D988="","",VLOOKUP(A988,Materiais_Base!A:D,4,"FALSO"))</f>
        <v/>
      </c>
    </row>
    <row r="989" hidden="1" customHeight="1" spans="1:7">
      <c r="A989" s="352" t="s">
        <v>15267</v>
      </c>
      <c r="B989" s="352" t="str">
        <f>IF(A989="","",VLOOKUP(A989,Materiais_Base!A:D,2,"FALSO"))</f>
        <v>Aparelho de apoio metálico esférico unidirecional com 4 chumbadores e capacidade de 8.000 kN</v>
      </c>
      <c r="C989" s="353" t="str">
        <f>IF(A989="","",VLOOKUP(A989,Materiais_Base!A:D,3,"FALSO"))</f>
        <v>un</v>
      </c>
      <c r="D989" s="354" t="s">
        <v>932</v>
      </c>
      <c r="E989" s="355" t="str">
        <f t="shared" si="22"/>
        <v/>
      </c>
      <c r="F989" s="354"/>
      <c r="G989" s="345" t="str">
        <f>IF(D989="","",VLOOKUP(A989,Materiais_Base!A:D,4,"FALSO"))</f>
        <v/>
      </c>
    </row>
    <row r="990" hidden="1" customHeight="1" spans="1:7">
      <c r="A990" s="352" t="s">
        <v>15268</v>
      </c>
      <c r="B990" s="352" t="str">
        <f>IF(A990="","",VLOOKUP(A990,Materiais_Base!A:D,2,"FALSO"))</f>
        <v>Aparelho de apoio metálico esférico unidirecional com 4 chumbadores e capacidade de 8.500 kN</v>
      </c>
      <c r="C990" s="353" t="str">
        <f>IF(A990="","",VLOOKUP(A990,Materiais_Base!A:D,3,"FALSO"))</f>
        <v>un</v>
      </c>
      <c r="D990" s="354" t="s">
        <v>932</v>
      </c>
      <c r="E990" s="355" t="str">
        <f t="shared" si="22"/>
        <v/>
      </c>
      <c r="F990" s="354"/>
      <c r="G990" s="345" t="str">
        <f>IF(D990="","",VLOOKUP(A990,Materiais_Base!A:D,4,"FALSO"))</f>
        <v/>
      </c>
    </row>
    <row r="991" hidden="1" customHeight="1" spans="1:7">
      <c r="A991" s="352" t="s">
        <v>15269</v>
      </c>
      <c r="B991" s="352" t="str">
        <f>IF(A991="","",VLOOKUP(A991,Materiais_Base!A:D,2,"FALSO"))</f>
        <v>Chapa múltipla metálica corrugada revestida em epóxi tipo MP 100 ou similar - E = 1,60 mm e D = 0,60 m</v>
      </c>
      <c r="C991" s="353" t="str">
        <f>IF(A991="","",VLOOKUP(A991,Materiais_Base!A:D,3,"FALSO"))</f>
        <v>m</v>
      </c>
      <c r="D991" s="354" t="s">
        <v>932</v>
      </c>
      <c r="E991" s="355" t="str">
        <f t="shared" si="22"/>
        <v/>
      </c>
      <c r="F991" s="354"/>
      <c r="G991" s="345" t="str">
        <f>IF(D991="","",VLOOKUP(A991,Materiais_Base!A:D,4,"FALSO"))</f>
        <v/>
      </c>
    </row>
    <row r="992" hidden="1" customHeight="1" spans="1:7">
      <c r="A992" s="352" t="s">
        <v>15270</v>
      </c>
      <c r="B992" s="352" t="str">
        <f>IF(A992="","",VLOOKUP(A992,Materiais_Base!A:D,2,"FALSO"))</f>
        <v>Chapa múltipla metálica corrugada revestida em epóxi tipo MP 100 ou similar - E = 1,60 mm e D = 0,70 m</v>
      </c>
      <c r="C992" s="353" t="str">
        <f>IF(A992="","",VLOOKUP(A992,Materiais_Base!A:D,3,"FALSO"))</f>
        <v>m</v>
      </c>
      <c r="D992" s="354" t="s">
        <v>932</v>
      </c>
      <c r="E992" s="355" t="str">
        <f t="shared" si="22"/>
        <v/>
      </c>
      <c r="F992" s="354"/>
      <c r="G992" s="345" t="str">
        <f>IF(D992="","",VLOOKUP(A992,Materiais_Base!A:D,4,"FALSO"))</f>
        <v/>
      </c>
    </row>
    <row r="993" hidden="1" customHeight="1" spans="1:7">
      <c r="A993" s="352" t="s">
        <v>15271</v>
      </c>
      <c r="B993" s="352" t="str">
        <f>IF(A993="","",VLOOKUP(A993,Materiais_Base!A:D,2,"FALSO"))</f>
        <v>Chapa múltipla metálica corrugada revestida em epóxi tipo MP 100 ou similar - E = 1,60 mm e D = 0,80 m</v>
      </c>
      <c r="C993" s="353" t="str">
        <f>IF(A993="","",VLOOKUP(A993,Materiais_Base!A:D,3,"FALSO"))</f>
        <v>m</v>
      </c>
      <c r="D993" s="354" t="s">
        <v>932</v>
      </c>
      <c r="E993" s="355" t="str">
        <f t="shared" si="22"/>
        <v/>
      </c>
      <c r="F993" s="354"/>
      <c r="G993" s="345" t="str">
        <f>IF(D993="","",VLOOKUP(A993,Materiais_Base!A:D,4,"FALSO"))</f>
        <v/>
      </c>
    </row>
    <row r="994" hidden="1" customHeight="1" spans="1:7">
      <c r="A994" s="352" t="s">
        <v>15272</v>
      </c>
      <c r="B994" s="352" t="str">
        <f>IF(A994="","",VLOOKUP(A994,Materiais_Base!A:D,2,"FALSO"))</f>
        <v>Chapa múltipla metálica corrugada revestida em epóxi tipo MP 100 ou similar - E = 1,60 mm e D = 0,90 m</v>
      </c>
      <c r="C994" s="353" t="str">
        <f>IF(A994="","",VLOOKUP(A994,Materiais_Base!A:D,3,"FALSO"))</f>
        <v>m</v>
      </c>
      <c r="D994" s="354" t="s">
        <v>932</v>
      </c>
      <c r="E994" s="355" t="str">
        <f t="shared" si="22"/>
        <v/>
      </c>
      <c r="F994" s="354"/>
      <c r="G994" s="345" t="str">
        <f>IF(D994="","",VLOOKUP(A994,Materiais_Base!A:D,4,"FALSO"))</f>
        <v/>
      </c>
    </row>
    <row r="995" hidden="1" customHeight="1" spans="1:7">
      <c r="A995" s="352" t="s">
        <v>15273</v>
      </c>
      <c r="B995" s="352" t="str">
        <f>IF(A995="","",VLOOKUP(A995,Materiais_Base!A:D,2,"FALSO"))</f>
        <v>Chapa múltipla metálica corrugada revestida em epóxi tipo MP 100 ou similar - E = 1,60 mm e D = 1,00 m</v>
      </c>
      <c r="C995" s="353" t="str">
        <f>IF(A995="","",VLOOKUP(A995,Materiais_Base!A:D,3,"FALSO"))</f>
        <v>m</v>
      </c>
      <c r="D995" s="354" t="s">
        <v>932</v>
      </c>
      <c r="E995" s="355" t="str">
        <f t="shared" si="22"/>
        <v/>
      </c>
      <c r="F995" s="354"/>
      <c r="G995" s="345" t="str">
        <f>IF(D995="","",VLOOKUP(A995,Materiais_Base!A:D,4,"FALSO"))</f>
        <v/>
      </c>
    </row>
    <row r="996" hidden="1" customHeight="1" spans="1:7">
      <c r="A996" s="352" t="s">
        <v>15274</v>
      </c>
      <c r="B996" s="352" t="str">
        <f>IF(A996="","",VLOOKUP(A996,Materiais_Base!A:D,2,"FALSO"))</f>
        <v>Chapa múltipla metálica corrugada revestida em epóxi tipo MP 100 ou similar - E = 1,60 mm e D = 1,10 m</v>
      </c>
      <c r="C996" s="353" t="str">
        <f>IF(A996="","",VLOOKUP(A996,Materiais_Base!A:D,3,"FALSO"))</f>
        <v>m</v>
      </c>
      <c r="D996" s="354" t="s">
        <v>932</v>
      </c>
      <c r="E996" s="355" t="str">
        <f t="shared" si="22"/>
        <v/>
      </c>
      <c r="F996" s="354"/>
      <c r="G996" s="345" t="str">
        <f>IF(D996="","",VLOOKUP(A996,Materiais_Base!A:D,4,"FALSO"))</f>
        <v/>
      </c>
    </row>
    <row r="997" hidden="1" customHeight="1" spans="1:7">
      <c r="A997" s="352" t="s">
        <v>15275</v>
      </c>
      <c r="B997" s="352" t="str">
        <f>IF(A997="","",VLOOKUP(A997,Materiais_Base!A:D,2,"FALSO"))</f>
        <v>Chapa múltipla metálica corrugada revestida em epóxi tipo MP 100 ou similar - E = 1,60 mm e D = 1,20 m</v>
      </c>
      <c r="C997" s="353" t="str">
        <f>IF(A997="","",VLOOKUP(A997,Materiais_Base!A:D,3,"FALSO"))</f>
        <v>m</v>
      </c>
      <c r="D997" s="354" t="s">
        <v>932</v>
      </c>
      <c r="E997" s="355" t="str">
        <f t="shared" si="22"/>
        <v/>
      </c>
      <c r="F997" s="354"/>
      <c r="G997" s="345" t="str">
        <f>IF(D997="","",VLOOKUP(A997,Materiais_Base!A:D,4,"FALSO"))</f>
        <v/>
      </c>
    </row>
    <row r="998" hidden="1" customHeight="1" spans="1:7">
      <c r="A998" s="352" t="s">
        <v>15276</v>
      </c>
      <c r="B998" s="352" t="str">
        <f>IF(A998="","",VLOOKUP(A998,Materiais_Base!A:D,2,"FALSO"))</f>
        <v>Chapa múltipla metálica corrugada revestida em epóxi tipo MP 100 ou similar - E = 1,60 mm e D = 1,30 m</v>
      </c>
      <c r="C998" s="353" t="str">
        <f>IF(A998="","",VLOOKUP(A998,Materiais_Base!A:D,3,"FALSO"))</f>
        <v>m</v>
      </c>
      <c r="D998" s="354" t="s">
        <v>932</v>
      </c>
      <c r="E998" s="355" t="str">
        <f t="shared" si="22"/>
        <v/>
      </c>
      <c r="F998" s="354"/>
      <c r="G998" s="345" t="str">
        <f>IF(D998="","",VLOOKUP(A998,Materiais_Base!A:D,4,"FALSO"))</f>
        <v/>
      </c>
    </row>
    <row r="999" hidden="1" customHeight="1" spans="1:7">
      <c r="A999" s="352" t="s">
        <v>15277</v>
      </c>
      <c r="B999" s="352" t="str">
        <f>IF(A999="","",VLOOKUP(A999,Materiais_Base!A:D,2,"FALSO"))</f>
        <v>Chapa múltipla metálica corrugada revestida em epóxi tipo MP 100 ou similar - E = 1,60 mm e D = 1,40 m</v>
      </c>
      <c r="C999" s="353" t="str">
        <f>IF(A999="","",VLOOKUP(A999,Materiais_Base!A:D,3,"FALSO"))</f>
        <v>m</v>
      </c>
      <c r="D999" s="354" t="s">
        <v>932</v>
      </c>
      <c r="E999" s="355" t="str">
        <f t="shared" si="22"/>
        <v/>
      </c>
      <c r="F999" s="354"/>
      <c r="G999" s="345" t="str">
        <f>IF(D999="","",VLOOKUP(A999,Materiais_Base!A:D,4,"FALSO"))</f>
        <v/>
      </c>
    </row>
    <row r="1000" hidden="1" customHeight="1" spans="1:7">
      <c r="A1000" s="352" t="s">
        <v>15278</v>
      </c>
      <c r="B1000" s="352" t="str">
        <f>IF(A1000="","",VLOOKUP(A1000,Materiais_Base!A:D,2,"FALSO"))</f>
        <v>Chapa múltipla metálica corrugada revestida em epóxi tipo MP 100 ou similar - E = 1,60 mm e D = 1,50 m</v>
      </c>
      <c r="C1000" s="353" t="str">
        <f>IF(A1000="","",VLOOKUP(A1000,Materiais_Base!A:D,3,"FALSO"))</f>
        <v>m</v>
      </c>
      <c r="D1000" s="354" t="s">
        <v>932</v>
      </c>
      <c r="E1000" s="355" t="str">
        <f t="shared" si="22"/>
        <v/>
      </c>
      <c r="F1000" s="354"/>
      <c r="G1000" s="345" t="str">
        <f>IF(D1000="","",VLOOKUP(A1000,Materiais_Base!A:D,4,"FALSO"))</f>
        <v/>
      </c>
    </row>
    <row r="1001" hidden="1" customHeight="1" spans="1:7">
      <c r="A1001" s="352" t="s">
        <v>15279</v>
      </c>
      <c r="B1001" s="352" t="str">
        <f>IF(A1001="","",VLOOKUP(A1001,Materiais_Base!A:D,2,"FALSO"))</f>
        <v>Chapa múltipla metálica corrugada revestida em epóxi tipo MP 100 ou similar - E = 1,60 mm e D = 1,60 m</v>
      </c>
      <c r="C1001" s="353" t="str">
        <f>IF(A1001="","",VLOOKUP(A1001,Materiais_Base!A:D,3,"FALSO"))</f>
        <v>m</v>
      </c>
      <c r="D1001" s="354" t="s">
        <v>932</v>
      </c>
      <c r="E1001" s="355" t="str">
        <f t="shared" si="22"/>
        <v/>
      </c>
      <c r="F1001" s="354"/>
      <c r="G1001" s="345" t="str">
        <f>IF(D1001="","",VLOOKUP(A1001,Materiais_Base!A:D,4,"FALSO"))</f>
        <v/>
      </c>
    </row>
    <row r="1002" hidden="1" customHeight="1" spans="1:7">
      <c r="A1002" s="352" t="s">
        <v>15280</v>
      </c>
      <c r="B1002" s="352" t="str">
        <f>IF(A1002="","",VLOOKUP(A1002,Materiais_Base!A:D,2,"FALSO"))</f>
        <v>Chapa múltipla metálica corrugada revestida em epóxi tipo MP 100 ou similar - E = 1,60 mm e D = 1,70 m</v>
      </c>
      <c r="C1002" s="353" t="str">
        <f>IF(A1002="","",VLOOKUP(A1002,Materiais_Base!A:D,3,"FALSO"))</f>
        <v>m</v>
      </c>
      <c r="D1002" s="354" t="s">
        <v>932</v>
      </c>
      <c r="E1002" s="355" t="str">
        <f t="shared" si="22"/>
        <v/>
      </c>
      <c r="F1002" s="354"/>
      <c r="G1002" s="345" t="str">
        <f>IF(D1002="","",VLOOKUP(A1002,Materiais_Base!A:D,4,"FALSO"))</f>
        <v/>
      </c>
    </row>
    <row r="1003" hidden="1" customHeight="1" spans="1:7">
      <c r="A1003" s="352" t="s">
        <v>15281</v>
      </c>
      <c r="B1003" s="352" t="str">
        <f>IF(A1003="","",VLOOKUP(A1003,Materiais_Base!A:D,2,"FALSO"))</f>
        <v>Chapa múltipla metálica corrugada revestida em epóxi tipo MP 100 ou similar - E = 1,60 mm e D = 1,80 m</v>
      </c>
      <c r="C1003" s="353" t="str">
        <f>IF(A1003="","",VLOOKUP(A1003,Materiais_Base!A:D,3,"FALSO"))</f>
        <v>m</v>
      </c>
      <c r="D1003" s="354" t="s">
        <v>932</v>
      </c>
      <c r="E1003" s="355" t="str">
        <f t="shared" si="22"/>
        <v/>
      </c>
      <c r="F1003" s="354"/>
      <c r="G1003" s="345" t="str">
        <f>IF(D1003="","",VLOOKUP(A1003,Materiais_Base!A:D,4,"FALSO"))</f>
        <v/>
      </c>
    </row>
    <row r="1004" hidden="1" customHeight="1" spans="1:7">
      <c r="A1004" s="352" t="s">
        <v>15282</v>
      </c>
      <c r="B1004" s="352" t="str">
        <f>IF(A1004="","",VLOOKUP(A1004,Materiais_Base!A:D,2,"FALSO"))</f>
        <v>Chapa múltipla metálica corrugada revestida em epóxi tipo MP 100 ou similar - E = 2,00 mm e D = 1,90 m</v>
      </c>
      <c r="C1004" s="353" t="str">
        <f>IF(A1004="","",VLOOKUP(A1004,Materiais_Base!A:D,3,"FALSO"))</f>
        <v>m</v>
      </c>
      <c r="D1004" s="354" t="s">
        <v>932</v>
      </c>
      <c r="E1004" s="355" t="str">
        <f t="shared" si="22"/>
        <v/>
      </c>
      <c r="F1004" s="354"/>
      <c r="G1004" s="345" t="str">
        <f>IF(D1004="","",VLOOKUP(A1004,Materiais_Base!A:D,4,"FALSO"))</f>
        <v/>
      </c>
    </row>
    <row r="1005" hidden="1" customHeight="1" spans="1:7">
      <c r="A1005" s="352" t="s">
        <v>15283</v>
      </c>
      <c r="B1005" s="352" t="str">
        <f>IF(A1005="","",VLOOKUP(A1005,Materiais_Base!A:D,2,"FALSO"))</f>
        <v>Chapa múltipla metálica corrugada revestida em epóxi tipo MP 100 ou similar - E = 2,00 mm e D = 2,00 m</v>
      </c>
      <c r="C1005" s="353" t="str">
        <f>IF(A1005="","",VLOOKUP(A1005,Materiais_Base!A:D,3,"FALSO"))</f>
        <v>m</v>
      </c>
      <c r="D1005" s="354" t="s">
        <v>932</v>
      </c>
      <c r="E1005" s="355" t="str">
        <f t="shared" si="22"/>
        <v/>
      </c>
      <c r="F1005" s="354"/>
      <c r="G1005" s="345" t="str">
        <f>IF(D1005="","",VLOOKUP(A1005,Materiais_Base!A:D,4,"FALSO"))</f>
        <v/>
      </c>
    </row>
    <row r="1006" hidden="1" customHeight="1" spans="1:7">
      <c r="A1006" s="352" t="s">
        <v>15284</v>
      </c>
      <c r="B1006" s="352" t="str">
        <f>IF(A1006="","",VLOOKUP(A1006,Materiais_Base!A:D,2,"FALSO"))</f>
        <v>Chapa múltipla metálica corrugada revestida em epóxi tipo MP 100 ou similar - E = 2,00 mm e D = 2,10 m</v>
      </c>
      <c r="C1006" s="353" t="str">
        <f>IF(A1006="","",VLOOKUP(A1006,Materiais_Base!A:D,3,"FALSO"))</f>
        <v>m</v>
      </c>
      <c r="D1006" s="354" t="s">
        <v>932</v>
      </c>
      <c r="E1006" s="355" t="str">
        <f t="shared" si="22"/>
        <v/>
      </c>
      <c r="F1006" s="354"/>
      <c r="G1006" s="345" t="str">
        <f>IF(D1006="","",VLOOKUP(A1006,Materiais_Base!A:D,4,"FALSO"))</f>
        <v/>
      </c>
    </row>
    <row r="1007" hidden="1" customHeight="1" spans="1:7">
      <c r="A1007" s="352" t="s">
        <v>15285</v>
      </c>
      <c r="B1007" s="352" t="str">
        <f>IF(A1007="","",VLOOKUP(A1007,Materiais_Base!A:D,2,"FALSO"))</f>
        <v>Chapa múltipla metálica corrugada revestida em epóxi tipo MP 100 ou similar - E = 2,00 mm e D = 2,20 m</v>
      </c>
      <c r="C1007" s="353" t="str">
        <f>IF(A1007="","",VLOOKUP(A1007,Materiais_Base!A:D,3,"FALSO"))</f>
        <v>m</v>
      </c>
      <c r="D1007" s="354" t="s">
        <v>932</v>
      </c>
      <c r="E1007" s="355" t="str">
        <f t="shared" si="22"/>
        <v/>
      </c>
      <c r="F1007" s="354"/>
      <c r="G1007" s="345" t="str">
        <f>IF(D1007="","",VLOOKUP(A1007,Materiais_Base!A:D,4,"FALSO"))</f>
        <v/>
      </c>
    </row>
    <row r="1008" hidden="1" customHeight="1" spans="1:7">
      <c r="A1008" s="352" t="s">
        <v>15286</v>
      </c>
      <c r="B1008" s="352" t="str">
        <f>IF(A1008="","",VLOOKUP(A1008,Materiais_Base!A:D,2,"FALSO"))</f>
        <v>Chapa múltipla metálica corrugada revestida em epóxi tipo MP 100 ou similar - E = 2,00 mm e D = 2,30 m</v>
      </c>
      <c r="C1008" s="353" t="str">
        <f>IF(A1008="","",VLOOKUP(A1008,Materiais_Base!A:D,3,"FALSO"))</f>
        <v>m</v>
      </c>
      <c r="D1008" s="354" t="s">
        <v>932</v>
      </c>
      <c r="E1008" s="355" t="str">
        <f t="shared" si="22"/>
        <v/>
      </c>
      <c r="F1008" s="354"/>
      <c r="G1008" s="345" t="str">
        <f>IF(D1008="","",VLOOKUP(A1008,Materiais_Base!A:D,4,"FALSO"))</f>
        <v/>
      </c>
    </row>
    <row r="1009" hidden="1" customHeight="1" spans="1:7">
      <c r="A1009" s="352" t="s">
        <v>15287</v>
      </c>
      <c r="B1009" s="352" t="str">
        <f>IF(A1009="","",VLOOKUP(A1009,Materiais_Base!A:D,2,"FALSO"))</f>
        <v>Chapa múltipla metálica corrugada revestida em epóxi tipo MP 100 ou similar - E = 2,70 mm e D = 2,40 m</v>
      </c>
      <c r="C1009" s="353" t="str">
        <f>IF(A1009="","",VLOOKUP(A1009,Materiais_Base!A:D,3,"FALSO"))</f>
        <v>m</v>
      </c>
      <c r="D1009" s="354" t="s">
        <v>932</v>
      </c>
      <c r="E1009" s="355" t="str">
        <f t="shared" si="22"/>
        <v/>
      </c>
      <c r="F1009" s="354"/>
      <c r="G1009" s="345" t="str">
        <f>IF(D1009="","",VLOOKUP(A1009,Materiais_Base!A:D,4,"FALSO"))</f>
        <v/>
      </c>
    </row>
    <row r="1010" hidden="1" customHeight="1" spans="1:7">
      <c r="A1010" s="352" t="s">
        <v>15288</v>
      </c>
      <c r="B1010" s="352" t="str">
        <f>IF(A1010="","",VLOOKUP(A1010,Materiais_Base!A:D,2,"FALSO"))</f>
        <v>Chapa múltipla metálica corrugada revestida em epóxi tipo MP 100 ou similar - E = 3,40 mm e D = 2,50 m</v>
      </c>
      <c r="C1010" s="353" t="str">
        <f>IF(A1010="","",VLOOKUP(A1010,Materiais_Base!A:D,3,"FALSO"))</f>
        <v>m</v>
      </c>
      <c r="D1010" s="354" t="s">
        <v>932</v>
      </c>
      <c r="E1010" s="355" t="str">
        <f t="shared" si="22"/>
        <v/>
      </c>
      <c r="F1010" s="354"/>
      <c r="G1010" s="345" t="str">
        <f>IF(D1010="","",VLOOKUP(A1010,Materiais_Base!A:D,4,"FALSO"))</f>
        <v/>
      </c>
    </row>
    <row r="1011" hidden="1" customHeight="1" spans="1:7">
      <c r="A1011" s="352" t="s">
        <v>15289</v>
      </c>
      <c r="B1011" s="352" t="str">
        <f>IF(A1011="","",VLOOKUP(A1011,Materiais_Base!A:D,2,"FALSO"))</f>
        <v>Chapa múltipla metálica corrugada revestida em epóxi tipo MP 100 ou similar - E = 3,40 mm e D = 2,60 m</v>
      </c>
      <c r="C1011" s="353" t="str">
        <f>IF(A1011="","",VLOOKUP(A1011,Materiais_Base!A:D,3,"FALSO"))</f>
        <v>m</v>
      </c>
      <c r="D1011" s="354" t="s">
        <v>932</v>
      </c>
      <c r="E1011" s="355" t="str">
        <f t="shared" si="22"/>
        <v/>
      </c>
      <c r="F1011" s="354"/>
      <c r="G1011" s="345" t="str">
        <f>IF(D1011="","",VLOOKUP(A1011,Materiais_Base!A:D,4,"FALSO"))</f>
        <v/>
      </c>
    </row>
    <row r="1012" hidden="1" customHeight="1" spans="1:7">
      <c r="A1012" s="352" t="s">
        <v>15290</v>
      </c>
      <c r="B1012" s="352" t="str">
        <f>IF(A1012="","",VLOOKUP(A1012,Materiais_Base!A:D,2,"FALSO"))</f>
        <v>Chapa múltipla metálica corrugada revestida em epóxi tipo MP 100 ou similar - E = 3,40 mm e D = 2,70 m</v>
      </c>
      <c r="C1012" s="353" t="str">
        <f>IF(A1012="","",VLOOKUP(A1012,Materiais_Base!A:D,3,"FALSO"))</f>
        <v>m</v>
      </c>
      <c r="D1012" s="354" t="s">
        <v>932</v>
      </c>
      <c r="E1012" s="355" t="str">
        <f t="shared" si="22"/>
        <v/>
      </c>
      <c r="F1012" s="354"/>
      <c r="G1012" s="345" t="str">
        <f>IF(D1012="","",VLOOKUP(A1012,Materiais_Base!A:D,4,"FALSO"))</f>
        <v/>
      </c>
    </row>
    <row r="1013" hidden="1" customHeight="1" spans="1:7">
      <c r="A1013" s="352" t="s">
        <v>15291</v>
      </c>
      <c r="B1013" s="352" t="str">
        <f>IF(A1013="","",VLOOKUP(A1013,Materiais_Base!A:D,2,"FALSO"))</f>
        <v>Chapa múltipla metálica corrugada revestida em epóxi tipo MP 100 ou similar - E = 3,40 mm e D = 2,80 m</v>
      </c>
      <c r="C1013" s="353" t="str">
        <f>IF(A1013="","",VLOOKUP(A1013,Materiais_Base!A:D,3,"FALSO"))</f>
        <v>m</v>
      </c>
      <c r="D1013" s="354" t="s">
        <v>932</v>
      </c>
      <c r="E1013" s="355" t="str">
        <f t="shared" si="22"/>
        <v/>
      </c>
      <c r="F1013" s="354"/>
      <c r="G1013" s="345" t="str">
        <f>IF(D1013="","",VLOOKUP(A1013,Materiais_Base!A:D,4,"FALSO"))</f>
        <v/>
      </c>
    </row>
    <row r="1014" hidden="1" customHeight="1" spans="1:7">
      <c r="A1014" s="352" t="s">
        <v>15292</v>
      </c>
      <c r="B1014" s="352" t="str">
        <f>IF(A1014="","",VLOOKUP(A1014,Materiais_Base!A:D,2,"FALSO"))</f>
        <v>Chapa múltipla metálica corrugada revestida em epóxi tipo MP 152 ou similar - E = 2,70 mm e D = 1,50 m</v>
      </c>
      <c r="C1014" s="353" t="str">
        <f>IF(A1014="","",VLOOKUP(A1014,Materiais_Base!A:D,3,"FALSO"))</f>
        <v>m</v>
      </c>
      <c r="D1014" s="354" t="s">
        <v>932</v>
      </c>
      <c r="E1014" s="355" t="str">
        <f t="shared" si="22"/>
        <v/>
      </c>
      <c r="F1014" s="354"/>
      <c r="G1014" s="345" t="str">
        <f>IF(D1014="","",VLOOKUP(A1014,Materiais_Base!A:D,4,"FALSO"))</f>
        <v/>
      </c>
    </row>
    <row r="1015" hidden="1" customHeight="1" spans="1:7">
      <c r="A1015" s="352" t="s">
        <v>15293</v>
      </c>
      <c r="B1015" s="352" t="str">
        <f>IF(A1015="","",VLOOKUP(A1015,Materiais_Base!A:D,2,"FALSO"))</f>
        <v>Chapa múltipla metálica corrugada revestida em epóxi tipo MP 152 ou similar - E = 2,70 mm e D = 1,80 m</v>
      </c>
      <c r="C1015" s="353" t="str">
        <f>IF(A1015="","",VLOOKUP(A1015,Materiais_Base!A:D,3,"FALSO"))</f>
        <v>m</v>
      </c>
      <c r="D1015" s="354" t="s">
        <v>932</v>
      </c>
      <c r="E1015" s="355" t="str">
        <f t="shared" si="22"/>
        <v/>
      </c>
      <c r="F1015" s="354"/>
      <c r="G1015" s="345" t="str">
        <f>IF(D1015="","",VLOOKUP(A1015,Materiais_Base!A:D,4,"FALSO"))</f>
        <v/>
      </c>
    </row>
    <row r="1016" hidden="1" customHeight="1" spans="1:7">
      <c r="A1016" s="352" t="s">
        <v>15294</v>
      </c>
      <c r="B1016" s="352" t="str">
        <f>IF(A1016="","",VLOOKUP(A1016,Materiais_Base!A:D,2,"FALSO"))</f>
        <v>Chapa múltipla metálica corrugada revestida em epóxi tipo MP 152 ou similar - E = 2,70 mm e D = 1,90 m</v>
      </c>
      <c r="C1016" s="353" t="str">
        <f>IF(A1016="","",VLOOKUP(A1016,Materiais_Base!A:D,3,"FALSO"))</f>
        <v>m</v>
      </c>
      <c r="D1016" s="354" t="s">
        <v>932</v>
      </c>
      <c r="E1016" s="355" t="str">
        <f t="shared" si="22"/>
        <v/>
      </c>
      <c r="F1016" s="354"/>
      <c r="G1016" s="345" t="str">
        <f>IF(D1016="","",VLOOKUP(A1016,Materiais_Base!A:D,4,"FALSO"))</f>
        <v/>
      </c>
    </row>
    <row r="1017" hidden="1" customHeight="1" spans="1:7">
      <c r="A1017" s="352" t="s">
        <v>15295</v>
      </c>
      <c r="B1017" s="352" t="str">
        <f>IF(A1017="","",VLOOKUP(A1017,Materiais_Base!A:D,2,"FALSO"))</f>
        <v>Chapa múltipla metálica corrugada revestida em epóxi tipo MP 152 ou similar - E = 2,70 mm e D = 2,15 m</v>
      </c>
      <c r="C1017" s="353" t="str">
        <f>IF(A1017="","",VLOOKUP(A1017,Materiais_Base!A:D,3,"FALSO"))</f>
        <v>m</v>
      </c>
      <c r="D1017" s="354" t="s">
        <v>932</v>
      </c>
      <c r="E1017" s="355" t="str">
        <f t="shared" si="22"/>
        <v/>
      </c>
      <c r="F1017" s="354"/>
      <c r="G1017" s="345" t="str">
        <f>IF(D1017="","",VLOOKUP(A1017,Materiais_Base!A:D,4,"FALSO"))</f>
        <v/>
      </c>
    </row>
    <row r="1018" hidden="1" customHeight="1" spans="1:7">
      <c r="A1018" s="352" t="s">
        <v>15296</v>
      </c>
      <c r="B1018" s="352" t="str">
        <f>IF(A1018="","",VLOOKUP(A1018,Materiais_Base!A:D,2,"FALSO"))</f>
        <v>Chapa múltipla metálica corrugada revestida em epóxi tipo MP 152 ou similar - E = 2,70 mm e D = 2,30 m</v>
      </c>
      <c r="C1018" s="353" t="str">
        <f>IF(A1018="","",VLOOKUP(A1018,Materiais_Base!A:D,3,"FALSO"))</f>
        <v>m</v>
      </c>
      <c r="D1018" s="354" t="s">
        <v>932</v>
      </c>
      <c r="E1018" s="355" t="str">
        <f t="shared" si="22"/>
        <v/>
      </c>
      <c r="F1018" s="354"/>
      <c r="G1018" s="345" t="str">
        <f>IF(D1018="","",VLOOKUP(A1018,Materiais_Base!A:D,4,"FALSO"))</f>
        <v/>
      </c>
    </row>
    <row r="1019" hidden="1" customHeight="1" spans="1:7">
      <c r="A1019" s="352" t="s">
        <v>15297</v>
      </c>
      <c r="B1019" s="352" t="str">
        <f>IF(A1019="","",VLOOKUP(A1019,Materiais_Base!A:D,2,"FALSO"))</f>
        <v>Chapa múltipla metálica corrugada revestida em epóxi tipo MP 152 ou similar - E = 2,70 mm e D = 2,65 m</v>
      </c>
      <c r="C1019" s="353" t="str">
        <f>IF(A1019="","",VLOOKUP(A1019,Materiais_Base!A:D,3,"FALSO"))</f>
        <v>m</v>
      </c>
      <c r="D1019" s="354" t="s">
        <v>932</v>
      </c>
      <c r="E1019" s="355" t="str">
        <f t="shared" si="22"/>
        <v/>
      </c>
      <c r="F1019" s="354"/>
      <c r="G1019" s="345" t="str">
        <f>IF(D1019="","",VLOOKUP(A1019,Materiais_Base!A:D,4,"FALSO"))</f>
        <v/>
      </c>
    </row>
    <row r="1020" hidden="1" customHeight="1" spans="1:7">
      <c r="A1020" s="352" t="s">
        <v>15298</v>
      </c>
      <c r="B1020" s="352" t="str">
        <f>IF(A1020="","",VLOOKUP(A1020,Materiais_Base!A:D,2,"FALSO"))</f>
        <v>Chapa múltipla metálica corrugada revestida em epóxi tipo MP 152 ou similar - E = 2,70 mm e D = 3,05 m</v>
      </c>
      <c r="C1020" s="353" t="str">
        <f>IF(A1020="","",VLOOKUP(A1020,Materiais_Base!A:D,3,"FALSO"))</f>
        <v>m</v>
      </c>
      <c r="D1020" s="354" t="s">
        <v>932</v>
      </c>
      <c r="E1020" s="355" t="str">
        <f t="shared" si="22"/>
        <v/>
      </c>
      <c r="F1020" s="354"/>
      <c r="G1020" s="345" t="str">
        <f>IF(D1020="","",VLOOKUP(A1020,Materiais_Base!A:D,4,"FALSO"))</f>
        <v/>
      </c>
    </row>
    <row r="1021" hidden="1" customHeight="1" spans="1:7">
      <c r="A1021" s="352" t="s">
        <v>15299</v>
      </c>
      <c r="B1021" s="352" t="str">
        <f>IF(A1021="","",VLOOKUP(A1021,Materiais_Base!A:D,2,"FALSO"))</f>
        <v>Chapa múltipla metálica corrugada revestida em epóxi tipo MP 152 ou similar - E = 2,70 mm e D = 3,20 m</v>
      </c>
      <c r="C1021" s="353" t="str">
        <f>IF(A1021="","",VLOOKUP(A1021,Materiais_Base!A:D,3,"FALSO"))</f>
        <v>m</v>
      </c>
      <c r="D1021" s="354" t="s">
        <v>932</v>
      </c>
      <c r="E1021" s="355" t="str">
        <f t="shared" si="22"/>
        <v/>
      </c>
      <c r="F1021" s="354"/>
      <c r="G1021" s="345" t="str">
        <f>IF(D1021="","",VLOOKUP(A1021,Materiais_Base!A:D,4,"FALSO"))</f>
        <v/>
      </c>
    </row>
    <row r="1022" hidden="1" customHeight="1" spans="1:7">
      <c r="A1022" s="352" t="s">
        <v>15300</v>
      </c>
      <c r="B1022" s="352" t="str">
        <f>IF(A1022="","",VLOOKUP(A1022,Materiais_Base!A:D,2,"FALSO"))</f>
        <v>Chapa múltipla metálica corrugada revestida em epóxi tipo MP 152 ou similar - E = 2,70 mm e D = 3,40 m</v>
      </c>
      <c r="C1022" s="353" t="str">
        <f>IF(A1022="","",VLOOKUP(A1022,Materiais_Base!A:D,3,"FALSO"))</f>
        <v>m</v>
      </c>
      <c r="D1022" s="354" t="s">
        <v>932</v>
      </c>
      <c r="E1022" s="355" t="str">
        <f t="shared" si="22"/>
        <v/>
      </c>
      <c r="F1022" s="354"/>
      <c r="G1022" s="345" t="str">
        <f>IF(D1022="","",VLOOKUP(A1022,Materiais_Base!A:D,4,"FALSO"))</f>
        <v/>
      </c>
    </row>
    <row r="1023" hidden="1" customHeight="1" spans="1:7">
      <c r="A1023" s="352" t="s">
        <v>15301</v>
      </c>
      <c r="B1023" s="352" t="str">
        <f>IF(A1023="","",VLOOKUP(A1023,Materiais_Base!A:D,2,"FALSO"))</f>
        <v>Chapa múltipla metálica corrugada revestida em epóxi tipo MP 152 ou similar - E = 2,70 mm e D = 3,65 m</v>
      </c>
      <c r="C1023" s="353" t="str">
        <f>IF(A1023="","",VLOOKUP(A1023,Materiais_Base!A:D,3,"FALSO"))</f>
        <v>m</v>
      </c>
      <c r="D1023" s="354" t="s">
        <v>932</v>
      </c>
      <c r="E1023" s="355" t="str">
        <f t="shared" si="22"/>
        <v/>
      </c>
      <c r="F1023" s="354"/>
      <c r="G1023" s="345" t="str">
        <f>IF(D1023="","",VLOOKUP(A1023,Materiais_Base!A:D,4,"FALSO"))</f>
        <v/>
      </c>
    </row>
    <row r="1024" hidden="1" customHeight="1" spans="1:7">
      <c r="A1024" s="352" t="s">
        <v>15302</v>
      </c>
      <c r="B1024" s="352" t="str">
        <f>IF(A1024="","",VLOOKUP(A1024,Materiais_Base!A:D,2,"FALSO"))</f>
        <v>Chapa múltipla metálica corrugada revestida em epóxi tipo MP 152 ou similar - E = 2,70 mm e D = 3,80 m</v>
      </c>
      <c r="C1024" s="353" t="str">
        <f>IF(A1024="","",VLOOKUP(A1024,Materiais_Base!A:D,3,"FALSO"))</f>
        <v>m</v>
      </c>
      <c r="D1024" s="354" t="s">
        <v>932</v>
      </c>
      <c r="E1024" s="355" t="str">
        <f t="shared" si="22"/>
        <v/>
      </c>
      <c r="F1024" s="354"/>
      <c r="G1024" s="345" t="str">
        <f>IF(D1024="","",VLOOKUP(A1024,Materiais_Base!A:D,4,"FALSO"))</f>
        <v/>
      </c>
    </row>
    <row r="1025" hidden="1" customHeight="1" spans="1:7">
      <c r="A1025" s="352" t="s">
        <v>15303</v>
      </c>
      <c r="B1025" s="352" t="str">
        <f>IF(A1025="","",VLOOKUP(A1025,Materiais_Base!A:D,2,"FALSO"))</f>
        <v>Chapa múltipla metálica corrugada revestida em epóxi tipo MP 152 ou similar - E = 2,70 mm e D = 4,20 m</v>
      </c>
      <c r="C1025" s="353" t="str">
        <f>IF(A1025="","",VLOOKUP(A1025,Materiais_Base!A:D,3,"FALSO"))</f>
        <v>m</v>
      </c>
      <c r="D1025" s="354" t="s">
        <v>932</v>
      </c>
      <c r="E1025" s="355" t="str">
        <f t="shared" si="22"/>
        <v/>
      </c>
      <c r="F1025" s="354"/>
      <c r="G1025" s="345" t="str">
        <f>IF(D1025="","",VLOOKUP(A1025,Materiais_Base!A:D,4,"FALSO"))</f>
        <v/>
      </c>
    </row>
    <row r="1026" hidden="1" customHeight="1" spans="1:7">
      <c r="A1026" s="352" t="s">
        <v>15304</v>
      </c>
      <c r="B1026" s="352" t="str">
        <f>IF(A1026="","",VLOOKUP(A1026,Materiais_Base!A:D,2,"FALSO"))</f>
        <v>Chapa múltipla metálica corrugada revestida em epóxi tipo MP 152 ou similar - E = 2,70 mm e D = 4,60 m</v>
      </c>
      <c r="C1026" s="353" t="str">
        <f>IF(A1026="","",VLOOKUP(A1026,Materiais_Base!A:D,3,"FALSO"))</f>
        <v>m</v>
      </c>
      <c r="D1026" s="354" t="s">
        <v>932</v>
      </c>
      <c r="E1026" s="355" t="str">
        <f t="shared" si="22"/>
        <v/>
      </c>
      <c r="F1026" s="354"/>
      <c r="G1026" s="345" t="str">
        <f>IF(D1026="","",VLOOKUP(A1026,Materiais_Base!A:D,4,"FALSO"))</f>
        <v/>
      </c>
    </row>
    <row r="1027" hidden="1" customHeight="1" spans="1:7">
      <c r="A1027" s="352" t="s">
        <v>15305</v>
      </c>
      <c r="B1027" s="352" t="str">
        <f>IF(A1027="","",VLOOKUP(A1027,Materiais_Base!A:D,2,"FALSO"))</f>
        <v>Chapa múltipla metálica corrugada revestida em epóxi tipo MP 152 ou similar - E = 3,40 mm e D = 4,80 m</v>
      </c>
      <c r="C1027" s="353" t="str">
        <f>IF(A1027="","",VLOOKUP(A1027,Materiais_Base!A:D,3,"FALSO"))</f>
        <v>m</v>
      </c>
      <c r="D1027" s="354" t="s">
        <v>932</v>
      </c>
      <c r="E1027" s="355" t="str">
        <f t="shared" si="22"/>
        <v/>
      </c>
      <c r="F1027" s="354"/>
      <c r="G1027" s="345" t="str">
        <f>IF(D1027="","",VLOOKUP(A1027,Materiais_Base!A:D,4,"FALSO"))</f>
        <v/>
      </c>
    </row>
    <row r="1028" hidden="1" customHeight="1" spans="1:7">
      <c r="A1028" s="352" t="s">
        <v>15306</v>
      </c>
      <c r="B1028" s="352" t="str">
        <f>IF(A1028="","",VLOOKUP(A1028,Materiais_Base!A:D,2,"FALSO"))</f>
        <v>Chapa múltipla metálica corrugada revestida em epóxi tipo MP 152 ou similar - E = 3,40 mm e D = 5,00 m</v>
      </c>
      <c r="C1028" s="353" t="str">
        <f>IF(A1028="","",VLOOKUP(A1028,Materiais_Base!A:D,3,"FALSO"))</f>
        <v>m</v>
      </c>
      <c r="D1028" s="354" t="s">
        <v>932</v>
      </c>
      <c r="E1028" s="355" t="str">
        <f t="shared" si="22"/>
        <v/>
      </c>
      <c r="F1028" s="354"/>
      <c r="G1028" s="345" t="str">
        <f>IF(D1028="","",VLOOKUP(A1028,Materiais_Base!A:D,4,"FALSO"))</f>
        <v/>
      </c>
    </row>
    <row r="1029" hidden="1" customHeight="1" spans="1:7">
      <c r="A1029" s="352" t="s">
        <v>15307</v>
      </c>
      <c r="B1029" s="352" t="str">
        <f>IF(A1029="","",VLOOKUP(A1029,Materiais_Base!A:D,2,"FALSO"))</f>
        <v>Chapa múltipla metálica corrugada revestida em epóxi tipo MP 152 ou similar - E = 3,90 mm e D = 5,35 m</v>
      </c>
      <c r="C1029" s="353" t="str">
        <f>IF(A1029="","",VLOOKUP(A1029,Materiais_Base!A:D,3,"FALSO"))</f>
        <v>m</v>
      </c>
      <c r="D1029" s="354" t="s">
        <v>932</v>
      </c>
      <c r="E1029" s="355" t="str">
        <f t="shared" si="22"/>
        <v/>
      </c>
      <c r="F1029" s="354"/>
      <c r="G1029" s="345" t="str">
        <f>IF(D1029="","",VLOOKUP(A1029,Materiais_Base!A:D,4,"FALSO"))</f>
        <v/>
      </c>
    </row>
    <row r="1030" hidden="1" customHeight="1" spans="1:7">
      <c r="A1030" s="352" t="s">
        <v>15308</v>
      </c>
      <c r="B1030" s="352" t="str">
        <f>IF(A1030="","",VLOOKUP(A1030,Materiais_Base!A:D,2,"FALSO"))</f>
        <v>Chapa múltipla metálica corrugada revestida em epóxi tipo MP 152 ou similar - E = 3,90 mm e D = 5,70 m</v>
      </c>
      <c r="C1030" s="353" t="str">
        <f>IF(A1030="","",VLOOKUP(A1030,Materiais_Base!A:D,3,"FALSO"))</f>
        <v>m</v>
      </c>
      <c r="D1030" s="354" t="s">
        <v>932</v>
      </c>
      <c r="E1030" s="355" t="str">
        <f t="shared" si="22"/>
        <v/>
      </c>
      <c r="F1030" s="354"/>
      <c r="G1030" s="345" t="str">
        <f>IF(D1030="","",VLOOKUP(A1030,Materiais_Base!A:D,4,"FALSO"))</f>
        <v/>
      </c>
    </row>
    <row r="1031" hidden="1" customHeight="1" spans="1:7">
      <c r="A1031" s="352" t="s">
        <v>15309</v>
      </c>
      <c r="B1031" s="352" t="str">
        <f>IF(A1031="","",VLOOKUP(A1031,Materiais_Base!A:D,2,"FALSO"))</f>
        <v>Chapa múltipla metálica corrugada revestida em epóxi tipo MP 152 ou similar - E = 4,70 mm e D = 6,10 m</v>
      </c>
      <c r="C1031" s="353" t="str">
        <f>IF(A1031="","",VLOOKUP(A1031,Materiais_Base!A:D,3,"FALSO"))</f>
        <v>m</v>
      </c>
      <c r="D1031" s="354" t="s">
        <v>932</v>
      </c>
      <c r="E1031" s="355" t="str">
        <f t="shared" si="22"/>
        <v/>
      </c>
      <c r="F1031" s="354"/>
      <c r="G1031" s="345" t="str">
        <f>IF(D1031="","",VLOOKUP(A1031,Materiais_Base!A:D,4,"FALSO"))</f>
        <v/>
      </c>
    </row>
    <row r="1032" hidden="1" customHeight="1" spans="1:7">
      <c r="A1032" s="352" t="s">
        <v>15310</v>
      </c>
      <c r="B1032" s="352" t="str">
        <f>IF(A1032="","",VLOOKUP(A1032,Materiais_Base!A:D,2,"FALSO"))</f>
        <v>Chapa múltipla metálica corrugada revestida em epóxi tipo MP 152 ou similar - E = 6,40 mm e D = 6,50 m</v>
      </c>
      <c r="C1032" s="353" t="str">
        <f>IF(A1032="","",VLOOKUP(A1032,Materiais_Base!A:D,3,"FALSO"))</f>
        <v>m</v>
      </c>
      <c r="D1032" s="354" t="s">
        <v>932</v>
      </c>
      <c r="E1032" s="355" t="str">
        <f t="shared" si="22"/>
        <v/>
      </c>
      <c r="F1032" s="354"/>
      <c r="G1032" s="345" t="str">
        <f>IF(D1032="","",VLOOKUP(A1032,Materiais_Base!A:D,4,"FALSO"))</f>
        <v/>
      </c>
    </row>
    <row r="1033" hidden="1" customHeight="1" spans="1:7">
      <c r="A1033" s="352" t="s">
        <v>15311</v>
      </c>
      <c r="B1033" s="352" t="str">
        <f>IF(A1033="","",VLOOKUP(A1033,Materiais_Base!A:D,2,"FALSO"))</f>
        <v>Chapa múltipla metálica corrugada revestida em epóxi tipo MP 152 ou similar - E = 6,40 mm e D = 6,85 m</v>
      </c>
      <c r="C1033" s="353" t="str">
        <f>IF(A1033="","",VLOOKUP(A1033,Materiais_Base!A:D,3,"FALSO"))</f>
        <v>m</v>
      </c>
      <c r="D1033" s="354" t="s">
        <v>932</v>
      </c>
      <c r="E1033" s="355" t="str">
        <f t="shared" si="22"/>
        <v/>
      </c>
      <c r="F1033" s="354"/>
      <c r="G1033" s="345" t="str">
        <f>IF(D1033="","",VLOOKUP(A1033,Materiais_Base!A:D,4,"FALSO"))</f>
        <v/>
      </c>
    </row>
    <row r="1034" hidden="1" customHeight="1" spans="1:7">
      <c r="A1034" s="352" t="s">
        <v>15312</v>
      </c>
      <c r="B1034" s="352" t="str">
        <f>IF(A1034="","",VLOOKUP(A1034,Materiais_Base!A:D,2,"FALSO"))</f>
        <v>Chapa múltipla metálica corrugada revestida em epóxi tipo MP 152 ou similar - E = 6,40 mm e D = 7,25 m</v>
      </c>
      <c r="C1034" s="353" t="str">
        <f>IF(A1034="","",VLOOKUP(A1034,Materiais_Base!A:D,3,"FALSO"))</f>
        <v>m</v>
      </c>
      <c r="D1034" s="354" t="s">
        <v>932</v>
      </c>
      <c r="E1034" s="355" t="str">
        <f t="shared" si="22"/>
        <v/>
      </c>
      <c r="F1034" s="354"/>
      <c r="G1034" s="345" t="str">
        <f>IF(D1034="","",VLOOKUP(A1034,Materiais_Base!A:D,4,"FALSO"))</f>
        <v/>
      </c>
    </row>
    <row r="1035" hidden="1" customHeight="1" spans="1:7">
      <c r="A1035" s="352" t="s">
        <v>15313</v>
      </c>
      <c r="B1035" s="352" t="str">
        <f>IF(A1035="","",VLOOKUP(A1035,Materiais_Base!A:D,2,"FALSO"))</f>
        <v>Aparelho de apoio metálico esférico unidirecional com 4 chumbadores e capacidade de 9.000 kN</v>
      </c>
      <c r="C1035" s="353" t="str">
        <f>IF(A1035="","",VLOOKUP(A1035,Materiais_Base!A:D,3,"FALSO"))</f>
        <v>un</v>
      </c>
      <c r="D1035" s="354" t="s">
        <v>932</v>
      </c>
      <c r="E1035" s="355" t="str">
        <f t="shared" si="22"/>
        <v/>
      </c>
      <c r="F1035" s="354"/>
      <c r="G1035" s="345" t="str">
        <f>IF(D1035="","",VLOOKUP(A1035,Materiais_Base!A:D,4,"FALSO"))</f>
        <v/>
      </c>
    </row>
    <row r="1036" hidden="1" customHeight="1" spans="1:7">
      <c r="A1036" s="352" t="s">
        <v>15314</v>
      </c>
      <c r="B1036" s="352" t="str">
        <f>IF(A1036="","",VLOOKUP(A1036,Materiais_Base!A:D,2,"FALSO"))</f>
        <v>Aparelho de apoio metálico esférico unidirecional com 4 chumbadores e capacidade de 9.500 kN</v>
      </c>
      <c r="C1036" s="353" t="str">
        <f>IF(A1036="","",VLOOKUP(A1036,Materiais_Base!A:D,3,"FALSO"))</f>
        <v>un</v>
      </c>
      <c r="D1036" s="354" t="s">
        <v>932</v>
      </c>
      <c r="E1036" s="355" t="str">
        <f t="shared" si="22"/>
        <v/>
      </c>
      <c r="F1036" s="354"/>
      <c r="G1036" s="345" t="str">
        <f>IF(D1036="","",VLOOKUP(A1036,Materiais_Base!A:D,4,"FALSO"))</f>
        <v/>
      </c>
    </row>
    <row r="1037" hidden="1" customHeight="1" spans="1:7">
      <c r="A1037" s="352" t="s">
        <v>15315</v>
      </c>
      <c r="B1037" s="352" t="str">
        <f>IF(A1037="","",VLOOKUP(A1037,Materiais_Base!A:D,2,"FALSO"))</f>
        <v>Aparelho de apoio metálico esférico unidirecional com 4 chumbadores e capacidade de 10.000 kN</v>
      </c>
      <c r="C1037" s="353" t="str">
        <f>IF(A1037="","",VLOOKUP(A1037,Materiais_Base!A:D,3,"FALSO"))</f>
        <v>un</v>
      </c>
      <c r="D1037" s="354" t="s">
        <v>932</v>
      </c>
      <c r="E1037" s="355" t="str">
        <f t="shared" si="22"/>
        <v/>
      </c>
      <c r="F1037" s="354"/>
      <c r="G1037" s="345" t="str">
        <f>IF(D1037="","",VLOOKUP(A1037,Materiais_Base!A:D,4,"FALSO"))</f>
        <v/>
      </c>
    </row>
    <row r="1038" hidden="1" customHeight="1" spans="1:7">
      <c r="A1038" s="352" t="s">
        <v>15316</v>
      </c>
      <c r="B1038" s="352" t="str">
        <f>IF(A1038="","",VLOOKUP(A1038,Materiais_Base!A:D,2,"FALSO"))</f>
        <v>Corpo de BSCC pré-moldado comercial - seção de 1,5 m x 1,5 m - tipo I</v>
      </c>
      <c r="C1038" s="353" t="str">
        <f>IF(A1038="","",VLOOKUP(A1038,Materiais_Base!A:D,3,"FALSO"))</f>
        <v>m</v>
      </c>
      <c r="D1038" s="354" t="s">
        <v>932</v>
      </c>
      <c r="E1038" s="355" t="str">
        <f t="shared" si="22"/>
        <v/>
      </c>
      <c r="F1038" s="354"/>
      <c r="G1038" s="345" t="str">
        <f>IF(D1038="","",VLOOKUP(A1038,Materiais_Base!A:D,4,"FALSO"))</f>
        <v/>
      </c>
    </row>
    <row r="1039" hidden="1" customHeight="1" spans="1:7">
      <c r="A1039" s="352" t="s">
        <v>15317</v>
      </c>
      <c r="B1039" s="352" t="str">
        <f>IF(A1039="","",VLOOKUP(A1039,Materiais_Base!A:D,2,"FALSO"))</f>
        <v>Corpo de BSCC pré-moldado comercial - seção de 1,5 m x 1,5 m - tipo II</v>
      </c>
      <c r="C1039" s="353" t="str">
        <f>IF(A1039="","",VLOOKUP(A1039,Materiais_Base!A:D,3,"FALSO"))</f>
        <v>m</v>
      </c>
      <c r="D1039" s="354" t="s">
        <v>932</v>
      </c>
      <c r="E1039" s="355" t="str">
        <f t="shared" si="22"/>
        <v/>
      </c>
      <c r="F1039" s="354"/>
      <c r="G1039" s="345" t="str">
        <f>IF(D1039="","",VLOOKUP(A1039,Materiais_Base!A:D,4,"FALSO"))</f>
        <v/>
      </c>
    </row>
    <row r="1040" hidden="1" customHeight="1" spans="1:7">
      <c r="A1040" s="352" t="s">
        <v>15318</v>
      </c>
      <c r="B1040" s="352" t="str">
        <f>IF(A1040="","",VLOOKUP(A1040,Materiais_Base!A:D,2,"FALSO"))</f>
        <v>Corpo de BSCC pré-moldado comercial - seção de 1,5 m x 1,5 m - tipo III</v>
      </c>
      <c r="C1040" s="353" t="str">
        <f>IF(A1040="","",VLOOKUP(A1040,Materiais_Base!A:D,3,"FALSO"))</f>
        <v>m</v>
      </c>
      <c r="D1040" s="354" t="s">
        <v>932</v>
      </c>
      <c r="E1040" s="355" t="str">
        <f t="shared" si="22"/>
        <v/>
      </c>
      <c r="F1040" s="354"/>
      <c r="G1040" s="345" t="str">
        <f>IF(D1040="","",VLOOKUP(A1040,Materiais_Base!A:D,4,"FALSO"))</f>
        <v/>
      </c>
    </row>
    <row r="1041" hidden="1" customHeight="1" spans="1:7">
      <c r="A1041" s="352" t="s">
        <v>15319</v>
      </c>
      <c r="B1041" s="352" t="str">
        <f>IF(A1041="","",VLOOKUP(A1041,Materiais_Base!A:D,2,"FALSO"))</f>
        <v>Corpo de BSCC pré-moldado comercial - seção de 1,5 m x 1,5 m - tipo IV</v>
      </c>
      <c r="C1041" s="353" t="str">
        <f>IF(A1041="","",VLOOKUP(A1041,Materiais_Base!A:D,3,"FALSO"))</f>
        <v>m</v>
      </c>
      <c r="D1041" s="354" t="s">
        <v>932</v>
      </c>
      <c r="E1041" s="355" t="str">
        <f t="shared" si="22"/>
        <v/>
      </c>
      <c r="F1041" s="354"/>
      <c r="G1041" s="345" t="str">
        <f>IF(D1041="","",VLOOKUP(A1041,Materiais_Base!A:D,4,"FALSO"))</f>
        <v/>
      </c>
    </row>
    <row r="1042" hidden="1" customHeight="1" spans="1:7">
      <c r="A1042" s="352" t="s">
        <v>15320</v>
      </c>
      <c r="B1042" s="352" t="str">
        <f>IF(A1042="","",VLOOKUP(A1042,Materiais_Base!A:D,2,"FALSO"))</f>
        <v>Corpo de BSCC pré-moldado comercial - seção de 1,5 m x 1,5 m - tipo V</v>
      </c>
      <c r="C1042" s="353" t="str">
        <f>IF(A1042="","",VLOOKUP(A1042,Materiais_Base!A:D,3,"FALSO"))</f>
        <v>m</v>
      </c>
      <c r="D1042" s="354" t="s">
        <v>932</v>
      </c>
      <c r="E1042" s="355" t="str">
        <f t="shared" si="22"/>
        <v/>
      </c>
      <c r="F1042" s="354"/>
      <c r="G1042" s="345" t="str">
        <f>IF(D1042="","",VLOOKUP(A1042,Materiais_Base!A:D,4,"FALSO"))</f>
        <v/>
      </c>
    </row>
    <row r="1043" hidden="1" customHeight="1" spans="1:7">
      <c r="A1043" s="352" t="s">
        <v>15321</v>
      </c>
      <c r="B1043" s="352" t="str">
        <f>IF(A1043="","",VLOOKUP(A1043,Materiais_Base!A:D,2,"FALSO"))</f>
        <v>Corpo de BSCC pré-moldado comercial - seção de 1,5 m x 1,5 m - tipo VI</v>
      </c>
      <c r="C1043" s="353" t="str">
        <f>IF(A1043="","",VLOOKUP(A1043,Materiais_Base!A:D,3,"FALSO"))</f>
        <v>m</v>
      </c>
      <c r="D1043" s="354" t="s">
        <v>932</v>
      </c>
      <c r="E1043" s="355" t="str">
        <f t="shared" si="22"/>
        <v/>
      </c>
      <c r="F1043" s="354"/>
      <c r="G1043" s="345" t="str">
        <f>IF(D1043="","",VLOOKUP(A1043,Materiais_Base!A:D,4,"FALSO"))</f>
        <v/>
      </c>
    </row>
    <row r="1044" hidden="1" customHeight="1" spans="1:7">
      <c r="A1044" s="352" t="s">
        <v>15322</v>
      </c>
      <c r="B1044" s="352" t="str">
        <f>IF(A1044="","",VLOOKUP(A1044,Materiais_Base!A:D,2,"FALSO"))</f>
        <v>Corpo de BSCC pré-moldado comercial - seção de 1,5 m x 1,5 m - tipo VII</v>
      </c>
      <c r="C1044" s="353" t="str">
        <f>IF(A1044="","",VLOOKUP(A1044,Materiais_Base!A:D,3,"FALSO"))</f>
        <v>m</v>
      </c>
      <c r="D1044" s="354" t="s">
        <v>932</v>
      </c>
      <c r="E1044" s="355" t="str">
        <f t="shared" si="22"/>
        <v/>
      </c>
      <c r="F1044" s="354"/>
      <c r="G1044" s="345" t="str">
        <f>IF(D1044="","",VLOOKUP(A1044,Materiais_Base!A:D,4,"FALSO"))</f>
        <v/>
      </c>
    </row>
    <row r="1045" hidden="1" customHeight="1" spans="1:7">
      <c r="A1045" s="352" t="s">
        <v>15323</v>
      </c>
      <c r="B1045" s="352" t="str">
        <f>IF(A1045="","",VLOOKUP(A1045,Materiais_Base!A:D,2,"FALSO"))</f>
        <v>Corpo de BSCC pré-moldado comercial - seção de 2,0 m x 2,0 m - tipo I</v>
      </c>
      <c r="C1045" s="353" t="str">
        <f>IF(A1045="","",VLOOKUP(A1045,Materiais_Base!A:D,3,"FALSO"))</f>
        <v>m</v>
      </c>
      <c r="D1045" s="354" t="s">
        <v>932</v>
      </c>
      <c r="E1045" s="355" t="str">
        <f t="shared" si="22"/>
        <v/>
      </c>
      <c r="F1045" s="354"/>
      <c r="G1045" s="345" t="str">
        <f>IF(D1045="","",VLOOKUP(A1045,Materiais_Base!A:D,4,"FALSO"))</f>
        <v/>
      </c>
    </row>
    <row r="1046" hidden="1" customHeight="1" spans="1:7">
      <c r="A1046" s="352" t="s">
        <v>15324</v>
      </c>
      <c r="B1046" s="352" t="str">
        <f>IF(A1046="","",VLOOKUP(A1046,Materiais_Base!A:D,2,"FALSO"))</f>
        <v>Corpo de BSCC pré-moldado comercial - seção de 2,0 m x 2,0 m - tipo II</v>
      </c>
      <c r="C1046" s="353" t="str">
        <f>IF(A1046="","",VLOOKUP(A1046,Materiais_Base!A:D,3,"FALSO"))</f>
        <v>m</v>
      </c>
      <c r="D1046" s="354" t="s">
        <v>932</v>
      </c>
      <c r="E1046" s="355" t="str">
        <f t="shared" si="22"/>
        <v/>
      </c>
      <c r="F1046" s="354"/>
      <c r="G1046" s="345" t="str">
        <f>IF(D1046="","",VLOOKUP(A1046,Materiais_Base!A:D,4,"FALSO"))</f>
        <v/>
      </c>
    </row>
    <row r="1047" hidden="1" customHeight="1" spans="1:7">
      <c r="A1047" s="352" t="s">
        <v>15325</v>
      </c>
      <c r="B1047" s="352" t="str">
        <f>IF(A1047="","",VLOOKUP(A1047,Materiais_Base!A:D,2,"FALSO"))</f>
        <v>Corpo de BSCC pré-moldado comercial - seção de 2,0 m x 2,0 m - tipo III</v>
      </c>
      <c r="C1047" s="353" t="str">
        <f>IF(A1047="","",VLOOKUP(A1047,Materiais_Base!A:D,3,"FALSO"))</f>
        <v>m</v>
      </c>
      <c r="D1047" s="354" t="s">
        <v>932</v>
      </c>
      <c r="E1047" s="355" t="str">
        <f t="shared" si="22"/>
        <v/>
      </c>
      <c r="F1047" s="354"/>
      <c r="G1047" s="345" t="str">
        <f>IF(D1047="","",VLOOKUP(A1047,Materiais_Base!A:D,4,"FALSO"))</f>
        <v/>
      </c>
    </row>
    <row r="1048" hidden="1" customHeight="1" spans="1:7">
      <c r="A1048" s="352" t="s">
        <v>15326</v>
      </c>
      <c r="B1048" s="352" t="str">
        <f>IF(A1048="","",VLOOKUP(A1048,Materiais_Base!A:D,2,"FALSO"))</f>
        <v>Corpo de BSCC pré-moldado comercial - seção de 2,0 m x 2,0 m - tipo IV</v>
      </c>
      <c r="C1048" s="353" t="str">
        <f>IF(A1048="","",VLOOKUP(A1048,Materiais_Base!A:D,3,"FALSO"))</f>
        <v>m</v>
      </c>
      <c r="D1048" s="354" t="s">
        <v>932</v>
      </c>
      <c r="E1048" s="355" t="str">
        <f t="shared" si="22"/>
        <v/>
      </c>
      <c r="F1048" s="354"/>
      <c r="G1048" s="345" t="str">
        <f>IF(D1048="","",VLOOKUP(A1048,Materiais_Base!A:D,4,"FALSO"))</f>
        <v/>
      </c>
    </row>
    <row r="1049" hidden="1" customHeight="1" spans="1:7">
      <c r="A1049" s="352" t="s">
        <v>15327</v>
      </c>
      <c r="B1049" s="352" t="str">
        <f>IF(A1049="","",VLOOKUP(A1049,Materiais_Base!A:D,2,"FALSO"))</f>
        <v>Corpo de BSCC pré-moldado comercial - seção de 2,0 m x 2,0 m - tipo V</v>
      </c>
      <c r="C1049" s="353" t="str">
        <f>IF(A1049="","",VLOOKUP(A1049,Materiais_Base!A:D,3,"FALSO"))</f>
        <v>m</v>
      </c>
      <c r="D1049" s="354" t="s">
        <v>932</v>
      </c>
      <c r="E1049" s="355" t="str">
        <f t="shared" ref="E1049:E1112" si="23">IF(D1049="","",MIN(D1049,F1049))</f>
        <v/>
      </c>
      <c r="F1049" s="354"/>
      <c r="G1049" s="345" t="str">
        <f>IF(D1049="","",VLOOKUP(A1049,Materiais_Base!A:D,4,"FALSO"))</f>
        <v/>
      </c>
    </row>
    <row r="1050" hidden="1" customHeight="1" spans="1:7">
      <c r="A1050" s="352" t="s">
        <v>15328</v>
      </c>
      <c r="B1050" s="352" t="str">
        <f>IF(A1050="","",VLOOKUP(A1050,Materiais_Base!A:D,2,"FALSO"))</f>
        <v>Corpo de BSCC pré-moldado comercial - seção de 2,0 m x 2,0 m - tipo VI</v>
      </c>
      <c r="C1050" s="353" t="str">
        <f>IF(A1050="","",VLOOKUP(A1050,Materiais_Base!A:D,3,"FALSO"))</f>
        <v>m</v>
      </c>
      <c r="D1050" s="354" t="s">
        <v>932</v>
      </c>
      <c r="E1050" s="355" t="str">
        <f t="shared" si="23"/>
        <v/>
      </c>
      <c r="F1050" s="354"/>
      <c r="G1050" s="345" t="str">
        <f>IF(D1050="","",VLOOKUP(A1050,Materiais_Base!A:D,4,"FALSO"))</f>
        <v/>
      </c>
    </row>
    <row r="1051" hidden="1" customHeight="1" spans="1:7">
      <c r="A1051" s="352" t="s">
        <v>15329</v>
      </c>
      <c r="B1051" s="352" t="str">
        <f>IF(A1051="","",VLOOKUP(A1051,Materiais_Base!A:D,2,"FALSO"))</f>
        <v>Corpo de BSCC pré-moldado comercial - seção de 2,0 m x 2,0 m - tipo VII</v>
      </c>
      <c r="C1051" s="353" t="str">
        <f>IF(A1051="","",VLOOKUP(A1051,Materiais_Base!A:D,3,"FALSO"))</f>
        <v>m</v>
      </c>
      <c r="D1051" s="354" t="s">
        <v>932</v>
      </c>
      <c r="E1051" s="355" t="str">
        <f t="shared" si="23"/>
        <v/>
      </c>
      <c r="F1051" s="354"/>
      <c r="G1051" s="345" t="str">
        <f>IF(D1051="","",VLOOKUP(A1051,Materiais_Base!A:D,4,"FALSO"))</f>
        <v/>
      </c>
    </row>
    <row r="1052" hidden="1" customHeight="1" spans="1:7">
      <c r="A1052" s="352" t="s">
        <v>15330</v>
      </c>
      <c r="B1052" s="352" t="str">
        <f>IF(A1052="","",VLOOKUP(A1052,Materiais_Base!A:D,2,"FALSO"))</f>
        <v>Corpo de BSCC pré-moldado comercial - seção de 2,5 m x 2,5 m - tipo I</v>
      </c>
      <c r="C1052" s="353" t="str">
        <f>IF(A1052="","",VLOOKUP(A1052,Materiais_Base!A:D,3,"FALSO"))</f>
        <v>m</v>
      </c>
      <c r="D1052" s="354" t="s">
        <v>932</v>
      </c>
      <c r="E1052" s="355" t="str">
        <f t="shared" si="23"/>
        <v/>
      </c>
      <c r="F1052" s="354"/>
      <c r="G1052" s="345" t="str">
        <f>IF(D1052="","",VLOOKUP(A1052,Materiais_Base!A:D,4,"FALSO"))</f>
        <v/>
      </c>
    </row>
    <row r="1053" hidden="1" customHeight="1" spans="1:7">
      <c r="A1053" s="352" t="s">
        <v>15331</v>
      </c>
      <c r="B1053" s="352" t="str">
        <f>IF(A1053="","",VLOOKUP(A1053,Materiais_Base!A:D,2,"FALSO"))</f>
        <v>Corpo de BSCC pré-moldado comercial - seção de 2,5 m x 2,5 m - tipo II</v>
      </c>
      <c r="C1053" s="353" t="str">
        <f>IF(A1053="","",VLOOKUP(A1053,Materiais_Base!A:D,3,"FALSO"))</f>
        <v>m</v>
      </c>
      <c r="D1053" s="354" t="s">
        <v>932</v>
      </c>
      <c r="E1053" s="355" t="str">
        <f t="shared" si="23"/>
        <v/>
      </c>
      <c r="F1053" s="354"/>
      <c r="G1053" s="345" t="str">
        <f>IF(D1053="","",VLOOKUP(A1053,Materiais_Base!A:D,4,"FALSO"))</f>
        <v/>
      </c>
    </row>
    <row r="1054" hidden="1" customHeight="1" spans="1:7">
      <c r="A1054" s="352" t="s">
        <v>15332</v>
      </c>
      <c r="B1054" s="352" t="str">
        <f>IF(A1054="","",VLOOKUP(A1054,Materiais_Base!A:D,2,"FALSO"))</f>
        <v>Corpo de BSCC pré-moldado comercial - seção de 2,5 m x 2,5 m - tipo III</v>
      </c>
      <c r="C1054" s="353" t="str">
        <f>IF(A1054="","",VLOOKUP(A1054,Materiais_Base!A:D,3,"FALSO"))</f>
        <v>m</v>
      </c>
      <c r="D1054" s="354" t="s">
        <v>932</v>
      </c>
      <c r="E1054" s="355" t="str">
        <f t="shared" si="23"/>
        <v/>
      </c>
      <c r="F1054" s="354"/>
      <c r="G1054" s="345" t="str">
        <f>IF(D1054="","",VLOOKUP(A1054,Materiais_Base!A:D,4,"FALSO"))</f>
        <v/>
      </c>
    </row>
    <row r="1055" hidden="1" customHeight="1" spans="1:7">
      <c r="A1055" s="352" t="s">
        <v>15333</v>
      </c>
      <c r="B1055" s="352" t="str">
        <f>IF(A1055="","",VLOOKUP(A1055,Materiais_Base!A:D,2,"FALSO"))</f>
        <v>Corpo de BSCC pré-moldado comercial - seção de 2,5 m x 2,5 m - tipo IV</v>
      </c>
      <c r="C1055" s="353" t="str">
        <f>IF(A1055="","",VLOOKUP(A1055,Materiais_Base!A:D,3,"FALSO"))</f>
        <v>m</v>
      </c>
      <c r="D1055" s="354" t="s">
        <v>932</v>
      </c>
      <c r="E1055" s="355" t="str">
        <f t="shared" si="23"/>
        <v/>
      </c>
      <c r="F1055" s="354"/>
      <c r="G1055" s="345" t="str">
        <f>IF(D1055="","",VLOOKUP(A1055,Materiais_Base!A:D,4,"FALSO"))</f>
        <v/>
      </c>
    </row>
    <row r="1056" hidden="1" customHeight="1" spans="1:7">
      <c r="A1056" s="352" t="s">
        <v>15334</v>
      </c>
      <c r="B1056" s="352" t="str">
        <f>IF(A1056="","",VLOOKUP(A1056,Materiais_Base!A:D,2,"FALSO"))</f>
        <v>Corpo de BSCC pré-moldado comercial - seção de 2,5 m x 2,5 m - tipo V</v>
      </c>
      <c r="C1056" s="353" t="str">
        <f>IF(A1056="","",VLOOKUP(A1056,Materiais_Base!A:D,3,"FALSO"))</f>
        <v>m</v>
      </c>
      <c r="D1056" s="354" t="s">
        <v>932</v>
      </c>
      <c r="E1056" s="355" t="str">
        <f t="shared" si="23"/>
        <v/>
      </c>
      <c r="F1056" s="354"/>
      <c r="G1056" s="345" t="str">
        <f>IF(D1056="","",VLOOKUP(A1056,Materiais_Base!A:D,4,"FALSO"))</f>
        <v/>
      </c>
    </row>
    <row r="1057" hidden="1" customHeight="1" spans="1:7">
      <c r="A1057" s="352" t="s">
        <v>15335</v>
      </c>
      <c r="B1057" s="352" t="str">
        <f>IF(A1057="","",VLOOKUP(A1057,Materiais_Base!A:D,2,"FALSO"))</f>
        <v>Corpo de BSCC pré-moldado comercial - seção de 2,5 m x 2,5 m - tipo VI</v>
      </c>
      <c r="C1057" s="353" t="str">
        <f>IF(A1057="","",VLOOKUP(A1057,Materiais_Base!A:D,3,"FALSO"))</f>
        <v>m</v>
      </c>
      <c r="D1057" s="354" t="s">
        <v>932</v>
      </c>
      <c r="E1057" s="355" t="str">
        <f t="shared" si="23"/>
        <v/>
      </c>
      <c r="F1057" s="354"/>
      <c r="G1057" s="345" t="str">
        <f>IF(D1057="","",VLOOKUP(A1057,Materiais_Base!A:D,4,"FALSO"))</f>
        <v/>
      </c>
    </row>
    <row r="1058" hidden="1" customHeight="1" spans="1:7">
      <c r="A1058" s="352" t="s">
        <v>15336</v>
      </c>
      <c r="B1058" s="352" t="str">
        <f>IF(A1058="","",VLOOKUP(A1058,Materiais_Base!A:D,2,"FALSO"))</f>
        <v>Corpo de BSCC pré-moldado comercial - seção de 2,5 m x 2,5 m - tipo VII</v>
      </c>
      <c r="C1058" s="353" t="str">
        <f>IF(A1058="","",VLOOKUP(A1058,Materiais_Base!A:D,3,"FALSO"))</f>
        <v>m</v>
      </c>
      <c r="D1058" s="354" t="s">
        <v>932</v>
      </c>
      <c r="E1058" s="355" t="str">
        <f t="shared" si="23"/>
        <v/>
      </c>
      <c r="F1058" s="354"/>
      <c r="G1058" s="345" t="str">
        <f>IF(D1058="","",VLOOKUP(A1058,Materiais_Base!A:D,4,"FALSO"))</f>
        <v/>
      </c>
    </row>
    <row r="1059" hidden="1" customHeight="1" spans="1:7">
      <c r="A1059" s="352" t="s">
        <v>15337</v>
      </c>
      <c r="B1059" s="352" t="str">
        <f>IF(A1059="","",VLOOKUP(A1059,Materiais_Base!A:D,2,"FALSO"))</f>
        <v>Corpo de BSCC pré-moldado comercial - seção de 3,0 m x 3,0 m - tipo I</v>
      </c>
      <c r="C1059" s="353" t="str">
        <f>IF(A1059="","",VLOOKUP(A1059,Materiais_Base!A:D,3,"FALSO"))</f>
        <v>m</v>
      </c>
      <c r="D1059" s="354" t="s">
        <v>932</v>
      </c>
      <c r="E1059" s="355" t="str">
        <f t="shared" si="23"/>
        <v/>
      </c>
      <c r="F1059" s="354"/>
      <c r="G1059" s="345" t="str">
        <f>IF(D1059="","",VLOOKUP(A1059,Materiais_Base!A:D,4,"FALSO"))</f>
        <v/>
      </c>
    </row>
    <row r="1060" hidden="1" customHeight="1" spans="1:7">
      <c r="A1060" s="352" t="s">
        <v>15338</v>
      </c>
      <c r="B1060" s="352" t="str">
        <f>IF(A1060="","",VLOOKUP(A1060,Materiais_Base!A:D,2,"FALSO"))</f>
        <v>Corpo de BSCC pré-moldado comercial - seção de 3,0 m x 3,0 m - tipo II</v>
      </c>
      <c r="C1060" s="353" t="str">
        <f>IF(A1060="","",VLOOKUP(A1060,Materiais_Base!A:D,3,"FALSO"))</f>
        <v>m</v>
      </c>
      <c r="D1060" s="354" t="s">
        <v>932</v>
      </c>
      <c r="E1060" s="355" t="str">
        <f t="shared" si="23"/>
        <v/>
      </c>
      <c r="F1060" s="354"/>
      <c r="G1060" s="345" t="str">
        <f>IF(D1060="","",VLOOKUP(A1060,Materiais_Base!A:D,4,"FALSO"))</f>
        <v/>
      </c>
    </row>
    <row r="1061" hidden="1" customHeight="1" spans="1:7">
      <c r="A1061" s="352" t="s">
        <v>15339</v>
      </c>
      <c r="B1061" s="352" t="str">
        <f>IF(A1061="","",VLOOKUP(A1061,Materiais_Base!A:D,2,"FALSO"))</f>
        <v>Corpo de BSCC pré-moldado comercial - seção de 3,0 m x 3,0 m - tipo III</v>
      </c>
      <c r="C1061" s="353" t="str">
        <f>IF(A1061="","",VLOOKUP(A1061,Materiais_Base!A:D,3,"FALSO"))</f>
        <v>m</v>
      </c>
      <c r="D1061" s="354" t="s">
        <v>932</v>
      </c>
      <c r="E1061" s="355" t="str">
        <f t="shared" si="23"/>
        <v/>
      </c>
      <c r="F1061" s="354"/>
      <c r="G1061" s="345" t="str">
        <f>IF(D1061="","",VLOOKUP(A1061,Materiais_Base!A:D,4,"FALSO"))</f>
        <v/>
      </c>
    </row>
    <row r="1062" hidden="1" customHeight="1" spans="1:7">
      <c r="A1062" s="352" t="s">
        <v>15340</v>
      </c>
      <c r="B1062" s="352" t="str">
        <f>IF(A1062="","",VLOOKUP(A1062,Materiais_Base!A:D,2,"FALSO"))</f>
        <v>Corpo de BSCC pré-moldado comercial - seção de 3,0 m x 3,0 m - tipo IV</v>
      </c>
      <c r="C1062" s="353" t="str">
        <f>IF(A1062="","",VLOOKUP(A1062,Materiais_Base!A:D,3,"FALSO"))</f>
        <v>m</v>
      </c>
      <c r="D1062" s="354" t="s">
        <v>932</v>
      </c>
      <c r="E1062" s="355" t="str">
        <f t="shared" si="23"/>
        <v/>
      </c>
      <c r="F1062" s="354"/>
      <c r="G1062" s="345" t="str">
        <f>IF(D1062="","",VLOOKUP(A1062,Materiais_Base!A:D,4,"FALSO"))</f>
        <v/>
      </c>
    </row>
    <row r="1063" hidden="1" customHeight="1" spans="1:7">
      <c r="A1063" s="352" t="s">
        <v>15341</v>
      </c>
      <c r="B1063" s="352" t="str">
        <f>IF(A1063="","",VLOOKUP(A1063,Materiais_Base!A:D,2,"FALSO"))</f>
        <v>Corpo de BSCC pré-moldado comercial - seção de 3,0 m x 3,0 m - tipo V</v>
      </c>
      <c r="C1063" s="353" t="str">
        <f>IF(A1063="","",VLOOKUP(A1063,Materiais_Base!A:D,3,"FALSO"))</f>
        <v>m</v>
      </c>
      <c r="D1063" s="354" t="s">
        <v>932</v>
      </c>
      <c r="E1063" s="355" t="str">
        <f t="shared" si="23"/>
        <v/>
      </c>
      <c r="F1063" s="354"/>
      <c r="G1063" s="345" t="str">
        <f>IF(D1063="","",VLOOKUP(A1063,Materiais_Base!A:D,4,"FALSO"))</f>
        <v/>
      </c>
    </row>
    <row r="1064" hidden="1" customHeight="1" spans="1:7">
      <c r="A1064" s="352" t="s">
        <v>15342</v>
      </c>
      <c r="B1064" s="352" t="str">
        <f>IF(A1064="","",VLOOKUP(A1064,Materiais_Base!A:D,2,"FALSO"))</f>
        <v>Corpo de BSCC pré-moldado comercial - seção de 3,0 m x 3,0 m - tipo VI</v>
      </c>
      <c r="C1064" s="353" t="str">
        <f>IF(A1064="","",VLOOKUP(A1064,Materiais_Base!A:D,3,"FALSO"))</f>
        <v>m</v>
      </c>
      <c r="D1064" s="354" t="s">
        <v>932</v>
      </c>
      <c r="E1064" s="355" t="str">
        <f t="shared" si="23"/>
        <v/>
      </c>
      <c r="F1064" s="354"/>
      <c r="G1064" s="345" t="str">
        <f>IF(D1064="","",VLOOKUP(A1064,Materiais_Base!A:D,4,"FALSO"))</f>
        <v/>
      </c>
    </row>
    <row r="1065" hidden="1" customHeight="1" spans="1:7">
      <c r="A1065" s="352" t="s">
        <v>15343</v>
      </c>
      <c r="B1065" s="352" t="str">
        <f>IF(A1065="","",VLOOKUP(A1065,Materiais_Base!A:D,2,"FALSO"))</f>
        <v>Corpo de BSCC pré-moldado comercial - seção de 3,0 m x 3,0 m - tipo VII</v>
      </c>
      <c r="C1065" s="353" t="str">
        <f>IF(A1065="","",VLOOKUP(A1065,Materiais_Base!A:D,3,"FALSO"))</f>
        <v>m</v>
      </c>
      <c r="D1065" s="354" t="s">
        <v>932</v>
      </c>
      <c r="E1065" s="355" t="str">
        <f t="shared" si="23"/>
        <v/>
      </c>
      <c r="F1065" s="354"/>
      <c r="G1065" s="345" t="str">
        <f>IF(D1065="","",VLOOKUP(A1065,Materiais_Base!A:D,4,"FALSO"))</f>
        <v/>
      </c>
    </row>
    <row r="1066" hidden="1" customHeight="1" spans="1:7">
      <c r="A1066" s="352" t="s">
        <v>15344</v>
      </c>
      <c r="B1066" s="352" t="str">
        <f>IF(A1066="","",VLOOKUP(A1066,Materiais_Base!A:D,2,"FALSO"))</f>
        <v>Corpo de BSCC pré-moldado comercial - seção canal de 1,5 m x 1,5 m</v>
      </c>
      <c r="C1066" s="353" t="str">
        <f>IF(A1066="","",VLOOKUP(A1066,Materiais_Base!A:D,3,"FALSO"))</f>
        <v>m</v>
      </c>
      <c r="D1066" s="354" t="s">
        <v>932</v>
      </c>
      <c r="E1066" s="355" t="str">
        <f t="shared" si="23"/>
        <v/>
      </c>
      <c r="F1066" s="354"/>
      <c r="G1066" s="345" t="str">
        <f>IF(D1066="","",VLOOKUP(A1066,Materiais_Base!A:D,4,"FALSO"))</f>
        <v/>
      </c>
    </row>
    <row r="1067" hidden="1" customHeight="1" spans="1:7">
      <c r="A1067" s="352" t="s">
        <v>15345</v>
      </c>
      <c r="B1067" s="352" t="str">
        <f>IF(A1067="","",VLOOKUP(A1067,Materiais_Base!A:D,2,"FALSO"))</f>
        <v>Corpo de BSCC pré-moldado comercial - seção canal de 2,0 m x 1,5 m</v>
      </c>
      <c r="C1067" s="353" t="str">
        <f>IF(A1067="","",VLOOKUP(A1067,Materiais_Base!A:D,3,"FALSO"))</f>
        <v>m</v>
      </c>
      <c r="D1067" s="354" t="s">
        <v>932</v>
      </c>
      <c r="E1067" s="355" t="str">
        <f t="shared" si="23"/>
        <v/>
      </c>
      <c r="F1067" s="354"/>
      <c r="G1067" s="345" t="str">
        <f>IF(D1067="","",VLOOKUP(A1067,Materiais_Base!A:D,4,"FALSO"))</f>
        <v/>
      </c>
    </row>
    <row r="1068" hidden="1" customHeight="1" spans="1:7">
      <c r="A1068" s="352" t="s">
        <v>15346</v>
      </c>
      <c r="B1068" s="352" t="str">
        <f>IF(A1068="","",VLOOKUP(A1068,Materiais_Base!A:D,2,"FALSO"))</f>
        <v>Corpo de BSCC pré-moldado comercial - seção canal de 2,0 m x 2,0 m - tipo I</v>
      </c>
      <c r="C1068" s="353" t="str">
        <f>IF(A1068="","",VLOOKUP(A1068,Materiais_Base!A:D,3,"FALSO"))</f>
        <v>m</v>
      </c>
      <c r="D1068" s="354" t="s">
        <v>932</v>
      </c>
      <c r="E1068" s="355" t="str">
        <f t="shared" si="23"/>
        <v/>
      </c>
      <c r="F1068" s="354"/>
      <c r="G1068" s="345" t="str">
        <f>IF(D1068="","",VLOOKUP(A1068,Materiais_Base!A:D,4,"FALSO"))</f>
        <v/>
      </c>
    </row>
    <row r="1069" hidden="1" customHeight="1" spans="1:7">
      <c r="A1069" s="352" t="s">
        <v>15347</v>
      </c>
      <c r="B1069" s="352" t="str">
        <f>IF(A1069="","",VLOOKUP(A1069,Materiais_Base!A:D,2,"FALSO"))</f>
        <v>Corpo de BSCC pré-moldado comercial - seção canal de 2,0 m x 2,0 m - tipo II</v>
      </c>
      <c r="C1069" s="353" t="str">
        <f>IF(A1069="","",VLOOKUP(A1069,Materiais_Base!A:D,3,"FALSO"))</f>
        <v>m</v>
      </c>
      <c r="D1069" s="354" t="s">
        <v>932</v>
      </c>
      <c r="E1069" s="355" t="str">
        <f t="shared" si="23"/>
        <v/>
      </c>
      <c r="F1069" s="354"/>
      <c r="G1069" s="345" t="str">
        <f>IF(D1069="","",VLOOKUP(A1069,Materiais_Base!A:D,4,"FALSO"))</f>
        <v/>
      </c>
    </row>
    <row r="1070" hidden="1" customHeight="1" spans="1:7">
      <c r="A1070" s="352" t="s">
        <v>15348</v>
      </c>
      <c r="B1070" s="352" t="str">
        <f>IF(A1070="","",VLOOKUP(A1070,Materiais_Base!A:D,2,"FALSO"))</f>
        <v>Corpo de BSCC pré-moldado comercial - seção canal de 2,5 m x 1,5 m</v>
      </c>
      <c r="C1070" s="353" t="str">
        <f>IF(A1070="","",VLOOKUP(A1070,Materiais_Base!A:D,3,"FALSO"))</f>
        <v>m</v>
      </c>
      <c r="D1070" s="354" t="s">
        <v>932</v>
      </c>
      <c r="E1070" s="355" t="str">
        <f t="shared" si="23"/>
        <v/>
      </c>
      <c r="F1070" s="354"/>
      <c r="G1070" s="345" t="str">
        <f>IF(D1070="","",VLOOKUP(A1070,Materiais_Base!A:D,4,"FALSO"))</f>
        <v/>
      </c>
    </row>
    <row r="1071" hidden="1" customHeight="1" spans="1:7">
      <c r="A1071" s="352" t="s">
        <v>15349</v>
      </c>
      <c r="B1071" s="352" t="str">
        <f>IF(A1071="","",VLOOKUP(A1071,Materiais_Base!A:D,2,"FALSO"))</f>
        <v>Corpo de BSCC pré-moldado comercial - seção canal de 2,5 m x 2,0 m - tipo I</v>
      </c>
      <c r="C1071" s="353" t="str">
        <f>IF(A1071="","",VLOOKUP(A1071,Materiais_Base!A:D,3,"FALSO"))</f>
        <v>m</v>
      </c>
      <c r="D1071" s="354" t="s">
        <v>932</v>
      </c>
      <c r="E1071" s="355" t="str">
        <f t="shared" si="23"/>
        <v/>
      </c>
      <c r="F1071" s="354"/>
      <c r="G1071" s="345" t="str">
        <f>IF(D1071="","",VLOOKUP(A1071,Materiais_Base!A:D,4,"FALSO"))</f>
        <v/>
      </c>
    </row>
    <row r="1072" hidden="1" customHeight="1" spans="1:7">
      <c r="A1072" s="352" t="s">
        <v>15350</v>
      </c>
      <c r="B1072" s="352" t="str">
        <f>IF(A1072="","",VLOOKUP(A1072,Materiais_Base!A:D,2,"FALSO"))</f>
        <v>Corpo de BSCC pré-moldado comercial - seção canal de 2,5 m x 2,0 m - tipo II</v>
      </c>
      <c r="C1072" s="353" t="str">
        <f>IF(A1072="","",VLOOKUP(A1072,Materiais_Base!A:D,3,"FALSO"))</f>
        <v>m</v>
      </c>
      <c r="D1072" s="354" t="s">
        <v>932</v>
      </c>
      <c r="E1072" s="355" t="str">
        <f t="shared" si="23"/>
        <v/>
      </c>
      <c r="F1072" s="354"/>
      <c r="G1072" s="345" t="str">
        <f>IF(D1072="","",VLOOKUP(A1072,Materiais_Base!A:D,4,"FALSO"))</f>
        <v/>
      </c>
    </row>
    <row r="1073" hidden="1" customHeight="1" spans="1:7">
      <c r="A1073" s="352" t="s">
        <v>15351</v>
      </c>
      <c r="B1073" s="352" t="str">
        <f>IF(A1073="","",VLOOKUP(A1073,Materiais_Base!A:D,2,"FALSO"))</f>
        <v>Corpo de BSCC pré-moldado comercial - seção canal de 3,0 m x 1,5 m</v>
      </c>
      <c r="C1073" s="353" t="str">
        <f>IF(A1073="","",VLOOKUP(A1073,Materiais_Base!A:D,3,"FALSO"))</f>
        <v>m</v>
      </c>
      <c r="D1073" s="354" t="s">
        <v>932</v>
      </c>
      <c r="E1073" s="355" t="str">
        <f t="shared" si="23"/>
        <v/>
      </c>
      <c r="F1073" s="354"/>
      <c r="G1073" s="345" t="str">
        <f>IF(D1073="","",VLOOKUP(A1073,Materiais_Base!A:D,4,"FALSO"))</f>
        <v/>
      </c>
    </row>
    <row r="1074" hidden="1" customHeight="1" spans="1:7">
      <c r="A1074" s="352" t="s">
        <v>15352</v>
      </c>
      <c r="B1074" s="352" t="str">
        <f>IF(A1074="","",VLOOKUP(A1074,Materiais_Base!A:D,2,"FALSO"))</f>
        <v>Corpo de BSCC pré-moldado comercial - seção canal de 3,0 m x 2,0 m - tipo I</v>
      </c>
      <c r="C1074" s="353" t="str">
        <f>IF(A1074="","",VLOOKUP(A1074,Materiais_Base!A:D,3,"FALSO"))</f>
        <v>m</v>
      </c>
      <c r="D1074" s="354" t="s">
        <v>932</v>
      </c>
      <c r="E1074" s="355" t="str">
        <f t="shared" si="23"/>
        <v/>
      </c>
      <c r="F1074" s="354"/>
      <c r="G1074" s="345" t="str">
        <f>IF(D1074="","",VLOOKUP(A1074,Materiais_Base!A:D,4,"FALSO"))</f>
        <v/>
      </c>
    </row>
    <row r="1075" hidden="1" customHeight="1" spans="1:7">
      <c r="A1075" s="352" t="s">
        <v>15353</v>
      </c>
      <c r="B1075" s="352" t="str">
        <f>IF(A1075="","",VLOOKUP(A1075,Materiais_Base!A:D,2,"FALSO"))</f>
        <v>Corpo de BSCC pré-moldado comercial - seção canal de 3,0 m x 2,0 m - tipo II</v>
      </c>
      <c r="C1075" s="353" t="str">
        <f>IF(A1075="","",VLOOKUP(A1075,Materiais_Base!A:D,3,"FALSO"))</f>
        <v>m</v>
      </c>
      <c r="D1075" s="354" t="s">
        <v>932</v>
      </c>
      <c r="E1075" s="355" t="str">
        <f t="shared" si="23"/>
        <v/>
      </c>
      <c r="F1075" s="354"/>
      <c r="G1075" s="345" t="str">
        <f>IF(D1075="","",VLOOKUP(A1075,Materiais_Base!A:D,4,"FALSO"))</f>
        <v/>
      </c>
    </row>
    <row r="1076" hidden="1" customHeight="1" spans="1:7">
      <c r="A1076" s="352" t="s">
        <v>15354</v>
      </c>
      <c r="B1076" s="352" t="str">
        <f>IF(A1076="","",VLOOKUP(A1076,Materiais_Base!A:D,2,"FALSO"))</f>
        <v>Aparelho de apoio metálico esférico multidirecional com 4 chumbadores e capacidade de 1.000 kN</v>
      </c>
      <c r="C1076" s="353" t="str">
        <f>IF(A1076="","",VLOOKUP(A1076,Materiais_Base!A:D,3,"FALSO"))</f>
        <v>un</v>
      </c>
      <c r="D1076" s="354" t="s">
        <v>932</v>
      </c>
      <c r="E1076" s="355" t="str">
        <f t="shared" si="23"/>
        <v/>
      </c>
      <c r="F1076" s="354"/>
      <c r="G1076" s="345" t="str">
        <f>IF(D1076="","",VLOOKUP(A1076,Materiais_Base!A:D,4,"FALSO"))</f>
        <v/>
      </c>
    </row>
    <row r="1077" hidden="1" customHeight="1" spans="1:7">
      <c r="A1077" s="352" t="s">
        <v>15355</v>
      </c>
      <c r="B1077" s="352" t="str">
        <f>IF(A1077="","",VLOOKUP(A1077,Materiais_Base!A:D,2,"FALSO"))</f>
        <v>Aparelho de apoio metálico esférico multidirecional com 4 chumbadores e capacidade de 1.500 kN</v>
      </c>
      <c r="C1077" s="353" t="str">
        <f>IF(A1077="","",VLOOKUP(A1077,Materiais_Base!A:D,3,"FALSO"))</f>
        <v>un</v>
      </c>
      <c r="D1077" s="354" t="s">
        <v>932</v>
      </c>
      <c r="E1077" s="355" t="str">
        <f t="shared" si="23"/>
        <v/>
      </c>
      <c r="F1077" s="354"/>
      <c r="G1077" s="345" t="str">
        <f>IF(D1077="","",VLOOKUP(A1077,Materiais_Base!A:D,4,"FALSO"))</f>
        <v/>
      </c>
    </row>
    <row r="1078" hidden="1" customHeight="1" spans="1:7">
      <c r="A1078" s="352" t="s">
        <v>15356</v>
      </c>
      <c r="B1078" s="352" t="str">
        <f>IF(A1078="","",VLOOKUP(A1078,Materiais_Base!A:D,2,"FALSO"))</f>
        <v>Aparelho de apoio metálico esférico multidirecional com 4 chumbadores e capacidade de 2.000 kN</v>
      </c>
      <c r="C1078" s="353" t="str">
        <f>IF(A1078="","",VLOOKUP(A1078,Materiais_Base!A:D,3,"FALSO"))</f>
        <v>un</v>
      </c>
      <c r="D1078" s="354" t="s">
        <v>932</v>
      </c>
      <c r="E1078" s="355" t="str">
        <f t="shared" si="23"/>
        <v/>
      </c>
      <c r="F1078" s="354"/>
      <c r="G1078" s="345" t="str">
        <f>IF(D1078="","",VLOOKUP(A1078,Materiais_Base!A:D,4,"FALSO"))</f>
        <v/>
      </c>
    </row>
    <row r="1079" hidden="1" customHeight="1" spans="1:7">
      <c r="A1079" s="352" t="s">
        <v>15357</v>
      </c>
      <c r="B1079" s="352" t="str">
        <f>IF(A1079="","",VLOOKUP(A1079,Materiais_Base!A:D,2,"FALSO"))</f>
        <v>Aparelho de apoio metálico esférico multidirecional com 4 chumbadores e capacidade de 2.500 kN</v>
      </c>
      <c r="C1079" s="353" t="str">
        <f>IF(A1079="","",VLOOKUP(A1079,Materiais_Base!A:D,3,"FALSO"))</f>
        <v>un</v>
      </c>
      <c r="D1079" s="354" t="s">
        <v>932</v>
      </c>
      <c r="E1079" s="355" t="str">
        <f t="shared" si="23"/>
        <v/>
      </c>
      <c r="F1079" s="354"/>
      <c r="G1079" s="345" t="str">
        <f>IF(D1079="","",VLOOKUP(A1079,Materiais_Base!A:D,4,"FALSO"))</f>
        <v/>
      </c>
    </row>
    <row r="1080" hidden="1" customHeight="1" spans="1:7">
      <c r="A1080" s="352" t="s">
        <v>15358</v>
      </c>
      <c r="B1080" s="352" t="str">
        <f>IF(A1080="","",VLOOKUP(A1080,Materiais_Base!A:D,2,"FALSO"))</f>
        <v>Aparelho de apoio metálico esférico multidirecional com 4 chumbadores e capacidade de 3.000 kN</v>
      </c>
      <c r="C1080" s="353" t="str">
        <f>IF(A1080="","",VLOOKUP(A1080,Materiais_Base!A:D,3,"FALSO"))</f>
        <v>un</v>
      </c>
      <c r="D1080" s="354" t="s">
        <v>932</v>
      </c>
      <c r="E1080" s="355" t="str">
        <f t="shared" si="23"/>
        <v/>
      </c>
      <c r="F1080" s="354"/>
      <c r="G1080" s="345" t="str">
        <f>IF(D1080="","",VLOOKUP(A1080,Materiais_Base!A:D,4,"FALSO"))</f>
        <v/>
      </c>
    </row>
    <row r="1081" hidden="1" customHeight="1" spans="1:7">
      <c r="A1081" s="352" t="s">
        <v>15359</v>
      </c>
      <c r="B1081" s="352" t="str">
        <f>IF(A1081="","",VLOOKUP(A1081,Materiais_Base!A:D,2,"FALSO"))</f>
        <v>Aparelho de apoio metálico esférico multidirecional com 4 chumbadores e capacidade de 3.500 kN</v>
      </c>
      <c r="C1081" s="353" t="str">
        <f>IF(A1081="","",VLOOKUP(A1081,Materiais_Base!A:D,3,"FALSO"))</f>
        <v>un</v>
      </c>
      <c r="D1081" s="354" t="s">
        <v>932</v>
      </c>
      <c r="E1081" s="355" t="str">
        <f t="shared" si="23"/>
        <v/>
      </c>
      <c r="F1081" s="354"/>
      <c r="G1081" s="345" t="str">
        <f>IF(D1081="","",VLOOKUP(A1081,Materiais_Base!A:D,4,"FALSO"))</f>
        <v/>
      </c>
    </row>
    <row r="1082" hidden="1" customHeight="1" spans="1:7">
      <c r="A1082" s="352" t="s">
        <v>15360</v>
      </c>
      <c r="B1082" s="352" t="str">
        <f>IF(A1082="","",VLOOKUP(A1082,Materiais_Base!A:D,2,"FALSO"))</f>
        <v>Aparelho de apoio metálico esférico multidirecional com 4 chumbadores e capacidade de 4.000 kN</v>
      </c>
      <c r="C1082" s="353" t="str">
        <f>IF(A1082="","",VLOOKUP(A1082,Materiais_Base!A:D,3,"FALSO"))</f>
        <v>un</v>
      </c>
      <c r="D1082" s="354" t="s">
        <v>932</v>
      </c>
      <c r="E1082" s="355" t="str">
        <f t="shared" si="23"/>
        <v/>
      </c>
      <c r="F1082" s="354"/>
      <c r="G1082" s="345" t="str">
        <f>IF(D1082="","",VLOOKUP(A1082,Materiais_Base!A:D,4,"FALSO"))</f>
        <v/>
      </c>
    </row>
    <row r="1083" hidden="1" customHeight="1" spans="1:7">
      <c r="A1083" s="352" t="s">
        <v>15361</v>
      </c>
      <c r="B1083" s="352" t="str">
        <f>IF(A1083="","",VLOOKUP(A1083,Materiais_Base!A:D,2,"FALSO"))</f>
        <v>Aparelho de apoio metálico esférico multidirecional com 4 chumbadores e capacidade de 4.500 kN</v>
      </c>
      <c r="C1083" s="353" t="str">
        <f>IF(A1083="","",VLOOKUP(A1083,Materiais_Base!A:D,3,"FALSO"))</f>
        <v>un</v>
      </c>
      <c r="D1083" s="354" t="s">
        <v>932</v>
      </c>
      <c r="E1083" s="355" t="str">
        <f t="shared" si="23"/>
        <v/>
      </c>
      <c r="F1083" s="354"/>
      <c r="G1083" s="345" t="str">
        <f>IF(D1083="","",VLOOKUP(A1083,Materiais_Base!A:D,4,"FALSO"))</f>
        <v/>
      </c>
    </row>
    <row r="1084" hidden="1" customHeight="1" spans="1:7">
      <c r="A1084" s="352" t="s">
        <v>15362</v>
      </c>
      <c r="B1084" s="352" t="str">
        <f>IF(A1084="","",VLOOKUP(A1084,Materiais_Base!A:D,2,"FALSO"))</f>
        <v>Aparelho de apoio metálico esférico multidirecional com 4 chumbadores e capacidade de 5.000 kN</v>
      </c>
      <c r="C1084" s="353" t="str">
        <f>IF(A1084="","",VLOOKUP(A1084,Materiais_Base!A:D,3,"FALSO"))</f>
        <v>un</v>
      </c>
      <c r="D1084" s="354" t="s">
        <v>932</v>
      </c>
      <c r="E1084" s="355" t="str">
        <f t="shared" si="23"/>
        <v/>
      </c>
      <c r="F1084" s="354"/>
      <c r="G1084" s="345" t="str">
        <f>IF(D1084="","",VLOOKUP(A1084,Materiais_Base!A:D,4,"FALSO"))</f>
        <v/>
      </c>
    </row>
    <row r="1085" hidden="1" customHeight="1" spans="1:7">
      <c r="A1085" s="352" t="s">
        <v>15363</v>
      </c>
      <c r="B1085" s="352" t="str">
        <f>IF(A1085="","",VLOOKUP(A1085,Materiais_Base!A:D,2,"FALSO"))</f>
        <v>Aparelho de apoio metálico esférico multidirecional com 4 chumbadores e capacidade de 5.500 kN</v>
      </c>
      <c r="C1085" s="353" t="str">
        <f>IF(A1085="","",VLOOKUP(A1085,Materiais_Base!A:D,3,"FALSO"))</f>
        <v>un</v>
      </c>
      <c r="D1085" s="354" t="s">
        <v>932</v>
      </c>
      <c r="E1085" s="355" t="str">
        <f t="shared" si="23"/>
        <v/>
      </c>
      <c r="F1085" s="354"/>
      <c r="G1085" s="345" t="str">
        <f>IF(D1085="","",VLOOKUP(A1085,Materiais_Base!A:D,4,"FALSO"))</f>
        <v/>
      </c>
    </row>
    <row r="1086" hidden="1" customHeight="1" spans="1:7">
      <c r="A1086" s="352" t="s">
        <v>15364</v>
      </c>
      <c r="B1086" s="352" t="str">
        <f>IF(A1086="","",VLOOKUP(A1086,Materiais_Base!A:D,2,"FALSO"))</f>
        <v>Aparelho de apoio metálico esférico multidirecional com 4 chumbadores e capacidade de 6.000 kN</v>
      </c>
      <c r="C1086" s="353" t="str">
        <f>IF(A1086="","",VLOOKUP(A1086,Materiais_Base!A:D,3,"FALSO"))</f>
        <v>un</v>
      </c>
      <c r="D1086" s="354" t="s">
        <v>932</v>
      </c>
      <c r="E1086" s="355" t="str">
        <f t="shared" si="23"/>
        <v/>
      </c>
      <c r="F1086" s="354"/>
      <c r="G1086" s="345" t="str">
        <f>IF(D1086="","",VLOOKUP(A1086,Materiais_Base!A:D,4,"FALSO"))</f>
        <v/>
      </c>
    </row>
    <row r="1087" hidden="1" customHeight="1" spans="1:7">
      <c r="A1087" s="352" t="s">
        <v>15365</v>
      </c>
      <c r="B1087" s="352" t="str">
        <f>IF(A1087="","",VLOOKUP(A1087,Materiais_Base!A:D,2,"FALSO"))</f>
        <v>Aparelho de apoio metálico esférico multidirecional com 4 chumbadores e capacidade de 6.500 kN</v>
      </c>
      <c r="C1087" s="353" t="str">
        <f>IF(A1087="","",VLOOKUP(A1087,Materiais_Base!A:D,3,"FALSO"))</f>
        <v>un</v>
      </c>
      <c r="D1087" s="354" t="s">
        <v>932</v>
      </c>
      <c r="E1087" s="355" t="str">
        <f t="shared" si="23"/>
        <v/>
      </c>
      <c r="F1087" s="354"/>
      <c r="G1087" s="345" t="str">
        <f>IF(D1087="","",VLOOKUP(A1087,Materiais_Base!A:D,4,"FALSO"))</f>
        <v/>
      </c>
    </row>
    <row r="1088" hidden="1" customHeight="1" spans="1:7">
      <c r="A1088" s="352" t="s">
        <v>15366</v>
      </c>
      <c r="B1088" s="352" t="str">
        <f>IF(A1088="","",VLOOKUP(A1088,Materiais_Base!A:D,2,"FALSO"))</f>
        <v>Aparelho de apoio metálico esférico multidirecional com 4 chumbadores e capacidade de 7.000 kN</v>
      </c>
      <c r="C1088" s="353" t="str">
        <f>IF(A1088="","",VLOOKUP(A1088,Materiais_Base!A:D,3,"FALSO"))</f>
        <v>un</v>
      </c>
      <c r="D1088" s="354" t="s">
        <v>932</v>
      </c>
      <c r="E1088" s="355" t="str">
        <f t="shared" si="23"/>
        <v/>
      </c>
      <c r="F1088" s="354"/>
      <c r="G1088" s="345" t="str">
        <f>IF(D1088="","",VLOOKUP(A1088,Materiais_Base!A:D,4,"FALSO"))</f>
        <v/>
      </c>
    </row>
    <row r="1089" hidden="1" customHeight="1" spans="1:7">
      <c r="A1089" s="352" t="s">
        <v>15367</v>
      </c>
      <c r="B1089" s="352" t="str">
        <f>IF(A1089="","",VLOOKUP(A1089,Materiais_Base!A:D,2,"FALSO"))</f>
        <v>Aparelho de apoio metálico esférico multidirecional com 4 chumbadores e capacidade de 7.500 kN</v>
      </c>
      <c r="C1089" s="353" t="str">
        <f>IF(A1089="","",VLOOKUP(A1089,Materiais_Base!A:D,3,"FALSO"))</f>
        <v>un</v>
      </c>
      <c r="D1089" s="354" t="s">
        <v>932</v>
      </c>
      <c r="E1089" s="355" t="str">
        <f t="shared" si="23"/>
        <v/>
      </c>
      <c r="F1089" s="354"/>
      <c r="G1089" s="345" t="str">
        <f>IF(D1089="","",VLOOKUP(A1089,Materiais_Base!A:D,4,"FALSO"))</f>
        <v/>
      </c>
    </row>
    <row r="1090" hidden="1" customHeight="1" spans="1:7">
      <c r="A1090" s="352" t="s">
        <v>15368</v>
      </c>
      <c r="B1090" s="352" t="str">
        <f>IF(A1090="","",VLOOKUP(A1090,Materiais_Base!A:D,2,"FALSO"))</f>
        <v>Aparelho de apoio metálico esférico multidirecional com 4 chumbadores e capacidade de 8.000 kN</v>
      </c>
      <c r="C1090" s="353" t="str">
        <f>IF(A1090="","",VLOOKUP(A1090,Materiais_Base!A:D,3,"FALSO"))</f>
        <v>un</v>
      </c>
      <c r="D1090" s="354" t="s">
        <v>932</v>
      </c>
      <c r="E1090" s="355" t="str">
        <f t="shared" si="23"/>
        <v/>
      </c>
      <c r="F1090" s="354"/>
      <c r="G1090" s="345" t="str">
        <f>IF(D1090="","",VLOOKUP(A1090,Materiais_Base!A:D,4,"FALSO"))</f>
        <v/>
      </c>
    </row>
    <row r="1091" hidden="1" customHeight="1" spans="1:7">
      <c r="A1091" s="352" t="s">
        <v>15369</v>
      </c>
      <c r="B1091" s="352" t="str">
        <f>IF(A1091="","",VLOOKUP(A1091,Materiais_Base!A:D,2,"FALSO"))</f>
        <v>Aparelho de apoio metálico esférico multidirecional com 4 chumbadores e capacidade de 8.500 kN</v>
      </c>
      <c r="C1091" s="353" t="str">
        <f>IF(A1091="","",VLOOKUP(A1091,Materiais_Base!A:D,3,"FALSO"))</f>
        <v>un</v>
      </c>
      <c r="D1091" s="354" t="s">
        <v>932</v>
      </c>
      <c r="E1091" s="355" t="str">
        <f t="shared" si="23"/>
        <v/>
      </c>
      <c r="F1091" s="354"/>
      <c r="G1091" s="345" t="str">
        <f>IF(D1091="","",VLOOKUP(A1091,Materiais_Base!A:D,4,"FALSO"))</f>
        <v/>
      </c>
    </row>
    <row r="1092" hidden="1" customHeight="1" spans="1:7">
      <c r="A1092" s="352" t="s">
        <v>15370</v>
      </c>
      <c r="B1092" s="352" t="str">
        <f>IF(A1092="","",VLOOKUP(A1092,Materiais_Base!A:D,2,"FALSO"))</f>
        <v>Aparelho de apoio metálico esférico multidirecional com 4 chumbadores e capacidade de 9.000 kN</v>
      </c>
      <c r="C1092" s="353" t="str">
        <f>IF(A1092="","",VLOOKUP(A1092,Materiais_Base!A:D,3,"FALSO"))</f>
        <v>un</v>
      </c>
      <c r="D1092" s="354" t="s">
        <v>932</v>
      </c>
      <c r="E1092" s="355" t="str">
        <f t="shared" si="23"/>
        <v/>
      </c>
      <c r="F1092" s="354"/>
      <c r="G1092" s="345" t="str">
        <f>IF(D1092="","",VLOOKUP(A1092,Materiais_Base!A:D,4,"FALSO"))</f>
        <v/>
      </c>
    </row>
    <row r="1093" hidden="1" customHeight="1" spans="1:7">
      <c r="A1093" s="352" t="s">
        <v>15371</v>
      </c>
      <c r="B1093" s="352" t="str">
        <f>IF(A1093="","",VLOOKUP(A1093,Materiais_Base!A:D,2,"FALSO"))</f>
        <v>Aparelho de apoio metálico esférico multidirecional com 4 chumbadores e capacidade de 9.500 kN</v>
      </c>
      <c r="C1093" s="353" t="str">
        <f>IF(A1093="","",VLOOKUP(A1093,Materiais_Base!A:D,3,"FALSO"))</f>
        <v>un</v>
      </c>
      <c r="D1093" s="354" t="s">
        <v>932</v>
      </c>
      <c r="E1093" s="355" t="str">
        <f t="shared" si="23"/>
        <v/>
      </c>
      <c r="F1093" s="354"/>
      <c r="G1093" s="345" t="str">
        <f>IF(D1093="","",VLOOKUP(A1093,Materiais_Base!A:D,4,"FALSO"))</f>
        <v/>
      </c>
    </row>
    <row r="1094" hidden="1" customHeight="1" spans="1:7">
      <c r="A1094" s="352" t="s">
        <v>15372</v>
      </c>
      <c r="B1094" s="352" t="str">
        <f>IF(A1094="","",VLOOKUP(A1094,Materiais_Base!A:D,2,"FALSO"))</f>
        <v>Aparelho de apoio metálico esférico multidirecional com 4 chumbadores e capacidade de 10.000 kN</v>
      </c>
      <c r="C1094" s="353" t="str">
        <f>IF(A1094="","",VLOOKUP(A1094,Materiais_Base!A:D,3,"FALSO"))</f>
        <v>un</v>
      </c>
      <c r="D1094" s="354" t="s">
        <v>932</v>
      </c>
      <c r="E1094" s="355" t="str">
        <f t="shared" si="23"/>
        <v/>
      </c>
      <c r="F1094" s="354"/>
      <c r="G1094" s="345" t="str">
        <f>IF(D1094="","",VLOOKUP(A1094,Materiais_Base!A:D,4,"FALSO"))</f>
        <v/>
      </c>
    </row>
    <row r="1095" hidden="1" customHeight="1" spans="1:7">
      <c r="A1095" s="352" t="s">
        <v>15373</v>
      </c>
      <c r="B1095" s="352" t="str">
        <f>IF(A1095="","",VLOOKUP(A1095,Materiais_Base!A:D,2,"FALSO"))</f>
        <v>Aparelho de apoio metálico elastomérico fixo com 4 chumbadores e capacidade de 700 kN</v>
      </c>
      <c r="C1095" s="353" t="str">
        <f>IF(A1095="","",VLOOKUP(A1095,Materiais_Base!A:D,3,"FALSO"))</f>
        <v>un</v>
      </c>
      <c r="D1095" s="354" t="s">
        <v>932</v>
      </c>
      <c r="E1095" s="355" t="str">
        <f t="shared" si="23"/>
        <v/>
      </c>
      <c r="F1095" s="354"/>
      <c r="G1095" s="345" t="str">
        <f>IF(D1095="","",VLOOKUP(A1095,Materiais_Base!A:D,4,"FALSO"))</f>
        <v/>
      </c>
    </row>
    <row r="1096" hidden="1" customHeight="1" spans="1:7">
      <c r="A1096" s="352" t="s">
        <v>15374</v>
      </c>
      <c r="B1096" s="352" t="str">
        <f>IF(A1096="","",VLOOKUP(A1096,Materiais_Base!A:D,2,"FALSO"))</f>
        <v>Aparelho de apoio metálico elastomérico fixo com 4 chumbadores e capacidade de 1.500 kN</v>
      </c>
      <c r="C1096" s="353" t="str">
        <f>IF(A1096="","",VLOOKUP(A1096,Materiais_Base!A:D,3,"FALSO"))</f>
        <v>un</v>
      </c>
      <c r="D1096" s="354" t="s">
        <v>932</v>
      </c>
      <c r="E1096" s="355" t="str">
        <f t="shared" si="23"/>
        <v/>
      </c>
      <c r="F1096" s="354"/>
      <c r="G1096" s="345" t="str">
        <f>IF(D1096="","",VLOOKUP(A1096,Materiais_Base!A:D,4,"FALSO"))</f>
        <v/>
      </c>
    </row>
    <row r="1097" hidden="1" customHeight="1" spans="1:7">
      <c r="A1097" s="352" t="s">
        <v>15375</v>
      </c>
      <c r="B1097" s="352" t="str">
        <f>IF(A1097="","",VLOOKUP(A1097,Materiais_Base!A:D,2,"FALSO"))</f>
        <v>Aparelho de apoio metálico elastomérico fixo com 4 chumbadores e capacidade de 2.500 kN</v>
      </c>
      <c r="C1097" s="353" t="str">
        <f>IF(A1097="","",VLOOKUP(A1097,Materiais_Base!A:D,3,"FALSO"))</f>
        <v>un</v>
      </c>
      <c r="D1097" s="354" t="s">
        <v>932</v>
      </c>
      <c r="E1097" s="355" t="str">
        <f t="shared" si="23"/>
        <v/>
      </c>
      <c r="F1097" s="354"/>
      <c r="G1097" s="345" t="str">
        <f>IF(D1097="","",VLOOKUP(A1097,Materiais_Base!A:D,4,"FALSO"))</f>
        <v/>
      </c>
    </row>
    <row r="1098" hidden="1" customHeight="1" spans="1:7">
      <c r="A1098" s="352" t="s">
        <v>15376</v>
      </c>
      <c r="B1098" s="352" t="str">
        <f>IF(A1098="","",VLOOKUP(A1098,Materiais_Base!A:D,2,"FALSO"))</f>
        <v>Aparelho de apoio metálico elastomérico fixo com 4 chumbadores e capacidade de 4.000 kN</v>
      </c>
      <c r="C1098" s="353" t="str">
        <f>IF(A1098="","",VLOOKUP(A1098,Materiais_Base!A:D,3,"FALSO"))</f>
        <v>un</v>
      </c>
      <c r="D1098" s="354" t="s">
        <v>932</v>
      </c>
      <c r="E1098" s="355" t="str">
        <f t="shared" si="23"/>
        <v/>
      </c>
      <c r="F1098" s="354"/>
      <c r="G1098" s="345" t="str">
        <f>IF(D1098="","",VLOOKUP(A1098,Materiais_Base!A:D,4,"FALSO"))</f>
        <v/>
      </c>
    </row>
    <row r="1099" hidden="1" customHeight="1" spans="1:7">
      <c r="A1099" s="352" t="s">
        <v>15377</v>
      </c>
      <c r="B1099" s="352" t="str">
        <f>IF(A1099="","",VLOOKUP(A1099,Materiais_Base!A:D,2,"FALSO"))</f>
        <v>Aparelho de apoio metálico elastomérico fixo com 4 chumbadores e capacidade de 5.500 kN</v>
      </c>
      <c r="C1099" s="353" t="str">
        <f>IF(A1099="","",VLOOKUP(A1099,Materiais_Base!A:D,3,"FALSO"))</f>
        <v>un</v>
      </c>
      <c r="D1099" s="354" t="s">
        <v>932</v>
      </c>
      <c r="E1099" s="355" t="str">
        <f t="shared" si="23"/>
        <v/>
      </c>
      <c r="F1099" s="354"/>
      <c r="G1099" s="345" t="str">
        <f>IF(D1099="","",VLOOKUP(A1099,Materiais_Base!A:D,4,"FALSO"))</f>
        <v/>
      </c>
    </row>
    <row r="1100" hidden="1" customHeight="1" spans="1:7">
      <c r="A1100" s="352" t="s">
        <v>15378</v>
      </c>
      <c r="B1100" s="352" t="str">
        <f>IF(A1100="","",VLOOKUP(A1100,Materiais_Base!A:D,2,"FALSO"))</f>
        <v>Aparelho de apoio metálico elastomérico fixo com 4 chumbadores e capacidade de 7.500 kN</v>
      </c>
      <c r="C1100" s="353" t="str">
        <f>IF(A1100="","",VLOOKUP(A1100,Materiais_Base!A:D,3,"FALSO"))</f>
        <v>un</v>
      </c>
      <c r="D1100" s="354" t="s">
        <v>932</v>
      </c>
      <c r="E1100" s="355" t="str">
        <f t="shared" si="23"/>
        <v/>
      </c>
      <c r="F1100" s="354"/>
      <c r="G1100" s="345" t="str">
        <f>IF(D1100="","",VLOOKUP(A1100,Materiais_Base!A:D,4,"FALSO"))</f>
        <v/>
      </c>
    </row>
    <row r="1101" hidden="1" customHeight="1" spans="1:7">
      <c r="A1101" s="352" t="s">
        <v>15379</v>
      </c>
      <c r="B1101" s="352" t="str">
        <f>IF(A1101="","",VLOOKUP(A1101,Materiais_Base!A:D,2,"FALSO"))</f>
        <v>Aparelho de apoio metálico elastomérico fixo com 4 chumbadores e capacidade de 10.000 kN</v>
      </c>
      <c r="C1101" s="353" t="str">
        <f>IF(A1101="","",VLOOKUP(A1101,Materiais_Base!A:D,3,"FALSO"))</f>
        <v>un</v>
      </c>
      <c r="D1101" s="354" t="s">
        <v>932</v>
      </c>
      <c r="E1101" s="355" t="str">
        <f t="shared" si="23"/>
        <v/>
      </c>
      <c r="F1101" s="354"/>
      <c r="G1101" s="345" t="str">
        <f>IF(D1101="","",VLOOKUP(A1101,Materiais_Base!A:D,4,"FALSO"))</f>
        <v/>
      </c>
    </row>
    <row r="1102" hidden="1" customHeight="1" spans="1:7">
      <c r="A1102" s="352" t="s">
        <v>15380</v>
      </c>
      <c r="B1102" s="352" t="str">
        <f>IF(A1102="","",VLOOKUP(A1102,Materiais_Base!A:D,2,"FALSO"))</f>
        <v>Aparelho de apoio metálico elastomérico unidirecional com 4 chumbadores e capacidade de 700 kN</v>
      </c>
      <c r="C1102" s="353" t="str">
        <f>IF(A1102="","",VLOOKUP(A1102,Materiais_Base!A:D,3,"FALSO"))</f>
        <v>un</v>
      </c>
      <c r="D1102" s="354" t="s">
        <v>932</v>
      </c>
      <c r="E1102" s="355" t="str">
        <f t="shared" si="23"/>
        <v/>
      </c>
      <c r="F1102" s="354"/>
      <c r="G1102" s="345" t="str">
        <f>IF(D1102="","",VLOOKUP(A1102,Materiais_Base!A:D,4,"FALSO"))</f>
        <v/>
      </c>
    </row>
    <row r="1103" hidden="1" customHeight="1" spans="1:7">
      <c r="A1103" s="352" t="s">
        <v>15381</v>
      </c>
      <c r="B1103" s="352" t="str">
        <f>IF(A1103="","",VLOOKUP(A1103,Materiais_Base!A:D,2,"FALSO"))</f>
        <v>Aparelho de apoio metálico elastomérico unidirecional com 4 chumbadores e capacidade de 1.500 kN</v>
      </c>
      <c r="C1103" s="353" t="str">
        <f>IF(A1103="","",VLOOKUP(A1103,Materiais_Base!A:D,3,"FALSO"))</f>
        <v>un</v>
      </c>
      <c r="D1103" s="354" t="s">
        <v>932</v>
      </c>
      <c r="E1103" s="355" t="str">
        <f t="shared" si="23"/>
        <v/>
      </c>
      <c r="F1103" s="354"/>
      <c r="G1103" s="345" t="str">
        <f>IF(D1103="","",VLOOKUP(A1103,Materiais_Base!A:D,4,"FALSO"))</f>
        <v/>
      </c>
    </row>
    <row r="1104" hidden="1" customHeight="1" spans="1:7">
      <c r="A1104" s="352" t="s">
        <v>15382</v>
      </c>
      <c r="B1104" s="352" t="str">
        <f>IF(A1104="","",VLOOKUP(A1104,Materiais_Base!A:D,2,"FALSO"))</f>
        <v>Aparelho de apoio metálico elastomérico unidirecional com 4 chumbadores e capacidade de 2.500 kN</v>
      </c>
      <c r="C1104" s="353" t="str">
        <f>IF(A1104="","",VLOOKUP(A1104,Materiais_Base!A:D,3,"FALSO"))</f>
        <v>un</v>
      </c>
      <c r="D1104" s="354" t="s">
        <v>932</v>
      </c>
      <c r="E1104" s="355" t="str">
        <f t="shared" si="23"/>
        <v/>
      </c>
      <c r="F1104" s="354"/>
      <c r="G1104" s="345" t="str">
        <f>IF(D1104="","",VLOOKUP(A1104,Materiais_Base!A:D,4,"FALSO"))</f>
        <v/>
      </c>
    </row>
    <row r="1105" hidden="1" customHeight="1" spans="1:7">
      <c r="A1105" s="352" t="s">
        <v>15383</v>
      </c>
      <c r="B1105" s="352" t="str">
        <f>IF(A1105="","",VLOOKUP(A1105,Materiais_Base!A:D,2,"FALSO"))</f>
        <v>Aparelho de apoio metálico elastomérico unidirecional com 4 chumbadores e capacidade de 4.000 kN</v>
      </c>
      <c r="C1105" s="353" t="str">
        <f>IF(A1105="","",VLOOKUP(A1105,Materiais_Base!A:D,3,"FALSO"))</f>
        <v>un</v>
      </c>
      <c r="D1105" s="354" t="s">
        <v>932</v>
      </c>
      <c r="E1105" s="355" t="str">
        <f t="shared" si="23"/>
        <v/>
      </c>
      <c r="F1105" s="354"/>
      <c r="G1105" s="345" t="str">
        <f>IF(D1105="","",VLOOKUP(A1105,Materiais_Base!A:D,4,"FALSO"))</f>
        <v/>
      </c>
    </row>
    <row r="1106" hidden="1" customHeight="1" spans="1:7">
      <c r="A1106" s="352" t="s">
        <v>15384</v>
      </c>
      <c r="B1106" s="352" t="str">
        <f>IF(A1106="","",VLOOKUP(A1106,Materiais_Base!A:D,2,"FALSO"))</f>
        <v>Aparelho de apoio metálico elastomérico unidirecional com 4 chumbadores e capacidade de 5.500 kN</v>
      </c>
      <c r="C1106" s="353" t="str">
        <f>IF(A1106="","",VLOOKUP(A1106,Materiais_Base!A:D,3,"FALSO"))</f>
        <v>un</v>
      </c>
      <c r="D1106" s="354" t="s">
        <v>932</v>
      </c>
      <c r="E1106" s="355" t="str">
        <f t="shared" si="23"/>
        <v/>
      </c>
      <c r="F1106" s="354"/>
      <c r="G1106" s="345" t="str">
        <f>IF(D1106="","",VLOOKUP(A1106,Materiais_Base!A:D,4,"FALSO"))</f>
        <v/>
      </c>
    </row>
    <row r="1107" hidden="1" customHeight="1" spans="1:7">
      <c r="A1107" s="352" t="s">
        <v>15385</v>
      </c>
      <c r="B1107" s="352" t="str">
        <f>IF(A1107="","",VLOOKUP(A1107,Materiais_Base!A:D,2,"FALSO"))</f>
        <v>Aparelho de apoio metálico elastomérico unidirecional com 4 chumbadores e capacidade de 7.500 kN</v>
      </c>
      <c r="C1107" s="353" t="str">
        <f>IF(A1107="","",VLOOKUP(A1107,Materiais_Base!A:D,3,"FALSO"))</f>
        <v>un</v>
      </c>
      <c r="D1107" s="354" t="s">
        <v>932</v>
      </c>
      <c r="E1107" s="355" t="str">
        <f t="shared" si="23"/>
        <v/>
      </c>
      <c r="F1107" s="354"/>
      <c r="G1107" s="345" t="str">
        <f>IF(D1107="","",VLOOKUP(A1107,Materiais_Base!A:D,4,"FALSO"))</f>
        <v/>
      </c>
    </row>
    <row r="1108" hidden="1" customHeight="1" spans="1:7">
      <c r="A1108" s="352" t="s">
        <v>15386</v>
      </c>
      <c r="B1108" s="352" t="str">
        <f>IF(A1108="","",VLOOKUP(A1108,Materiais_Base!A:D,2,"FALSO"))</f>
        <v>Aparelho de apoio metálico elastomérico unidirecional com 4 chumbadores e capacidade de 10.000 kN</v>
      </c>
      <c r="C1108" s="353" t="str">
        <f>IF(A1108="","",VLOOKUP(A1108,Materiais_Base!A:D,3,"FALSO"))</f>
        <v>un</v>
      </c>
      <c r="D1108" s="354" t="s">
        <v>932</v>
      </c>
      <c r="E1108" s="355" t="str">
        <f t="shared" si="23"/>
        <v/>
      </c>
      <c r="F1108" s="354"/>
      <c r="G1108" s="345" t="str">
        <f>IF(D1108="","",VLOOKUP(A1108,Materiais_Base!A:D,4,"FALSO"))</f>
        <v/>
      </c>
    </row>
    <row r="1109" hidden="1" customHeight="1" spans="1:7">
      <c r="A1109" s="352" t="s">
        <v>15387</v>
      </c>
      <c r="B1109" s="352" t="str">
        <f>IF(A1109="","",VLOOKUP(A1109,Materiais_Base!A:D,2,"FALSO"))</f>
        <v>Aparelho de apoio metálico elastomérico multidirecional com 4 chumbadores e capacidade de 700 kN</v>
      </c>
      <c r="C1109" s="353" t="str">
        <f>IF(A1109="","",VLOOKUP(A1109,Materiais_Base!A:D,3,"FALSO"))</f>
        <v>un</v>
      </c>
      <c r="D1109" s="354" t="s">
        <v>932</v>
      </c>
      <c r="E1109" s="355" t="str">
        <f t="shared" si="23"/>
        <v/>
      </c>
      <c r="F1109" s="354"/>
      <c r="G1109" s="345" t="str">
        <f>IF(D1109="","",VLOOKUP(A1109,Materiais_Base!A:D,4,"FALSO"))</f>
        <v/>
      </c>
    </row>
    <row r="1110" hidden="1" customHeight="1" spans="1:7">
      <c r="A1110" s="352" t="s">
        <v>15388</v>
      </c>
      <c r="B1110" s="352" t="str">
        <f>IF(A1110="","",VLOOKUP(A1110,Materiais_Base!A:D,2,"FALSO"))</f>
        <v>Aparelho de apoio metálico elastomérico multidirecional com 4 chumbadores e capacidade de 1.500 kN</v>
      </c>
      <c r="C1110" s="353" t="str">
        <f>IF(A1110="","",VLOOKUP(A1110,Materiais_Base!A:D,3,"FALSO"))</f>
        <v>un</v>
      </c>
      <c r="D1110" s="354" t="s">
        <v>932</v>
      </c>
      <c r="E1110" s="355" t="str">
        <f t="shared" si="23"/>
        <v/>
      </c>
      <c r="F1110" s="354"/>
      <c r="G1110" s="345" t="str">
        <f>IF(D1110="","",VLOOKUP(A1110,Materiais_Base!A:D,4,"FALSO"))</f>
        <v/>
      </c>
    </row>
    <row r="1111" hidden="1" customHeight="1" spans="1:7">
      <c r="A1111" s="352" t="s">
        <v>15389</v>
      </c>
      <c r="B1111" s="352" t="str">
        <f>IF(A1111="","",VLOOKUP(A1111,Materiais_Base!A:D,2,"FALSO"))</f>
        <v>Aparelho de apoio metálico elastomérico multidirecional com 4 chumbadores e capacidade de 2.500 kN</v>
      </c>
      <c r="C1111" s="353" t="str">
        <f>IF(A1111="","",VLOOKUP(A1111,Materiais_Base!A:D,3,"FALSO"))</f>
        <v>un</v>
      </c>
      <c r="D1111" s="354" t="s">
        <v>932</v>
      </c>
      <c r="E1111" s="355" t="str">
        <f t="shared" si="23"/>
        <v/>
      </c>
      <c r="F1111" s="354"/>
      <c r="G1111" s="345" t="str">
        <f>IF(D1111="","",VLOOKUP(A1111,Materiais_Base!A:D,4,"FALSO"))</f>
        <v/>
      </c>
    </row>
    <row r="1112" hidden="1" customHeight="1" spans="1:7">
      <c r="A1112" s="352" t="s">
        <v>15390</v>
      </c>
      <c r="B1112" s="352" t="str">
        <f>IF(A1112="","",VLOOKUP(A1112,Materiais_Base!A:D,2,"FALSO"))</f>
        <v>Aparelho de apoio metálico elastomérico multidirecional com 4 chumbadores e capacidade de 4.000 kN</v>
      </c>
      <c r="C1112" s="353" t="str">
        <f>IF(A1112="","",VLOOKUP(A1112,Materiais_Base!A:D,3,"FALSO"))</f>
        <v>un</v>
      </c>
      <c r="D1112" s="354" t="s">
        <v>932</v>
      </c>
      <c r="E1112" s="355" t="str">
        <f t="shared" si="23"/>
        <v/>
      </c>
      <c r="F1112" s="354"/>
      <c r="G1112" s="345" t="str">
        <f>IF(D1112="","",VLOOKUP(A1112,Materiais_Base!A:D,4,"FALSO"))</f>
        <v/>
      </c>
    </row>
    <row r="1113" hidden="1" customHeight="1" spans="1:7">
      <c r="A1113" s="352" t="s">
        <v>15391</v>
      </c>
      <c r="B1113" s="352" t="str">
        <f>IF(A1113="","",VLOOKUP(A1113,Materiais_Base!A:D,2,"FALSO"))</f>
        <v>Aparelho de apoio metálico elastomérico multidirecional com 4 chumbadores e capacidade de 5.500 kN</v>
      </c>
      <c r="C1113" s="353" t="str">
        <f>IF(A1113="","",VLOOKUP(A1113,Materiais_Base!A:D,3,"FALSO"))</f>
        <v>un</v>
      </c>
      <c r="D1113" s="354" t="s">
        <v>932</v>
      </c>
      <c r="E1113" s="355" t="str">
        <f t="shared" ref="E1113:E1176" si="24">IF(D1113="","",MIN(D1113,F1113))</f>
        <v/>
      </c>
      <c r="F1113" s="354"/>
      <c r="G1113" s="345" t="str">
        <f>IF(D1113="","",VLOOKUP(A1113,Materiais_Base!A:D,4,"FALSO"))</f>
        <v/>
      </c>
    </row>
    <row r="1114" hidden="1" customHeight="1" spans="1:7">
      <c r="A1114" s="352" t="s">
        <v>15392</v>
      </c>
      <c r="B1114" s="352" t="str">
        <f>IF(A1114="","",VLOOKUP(A1114,Materiais_Base!A:D,2,"FALSO"))</f>
        <v>Aparelho de apoio metálico elastomérico multidirecional com 4 chumbadores e capacidade de 7.500 kN</v>
      </c>
      <c r="C1114" s="353" t="str">
        <f>IF(A1114="","",VLOOKUP(A1114,Materiais_Base!A:D,3,"FALSO"))</f>
        <v>un</v>
      </c>
      <c r="D1114" s="354" t="s">
        <v>932</v>
      </c>
      <c r="E1114" s="355" t="str">
        <f t="shared" si="24"/>
        <v/>
      </c>
      <c r="F1114" s="354"/>
      <c r="G1114" s="345" t="str">
        <f>IF(D1114="","",VLOOKUP(A1114,Materiais_Base!A:D,4,"FALSO"))</f>
        <v/>
      </c>
    </row>
    <row r="1115" hidden="1" customHeight="1" spans="1:7">
      <c r="A1115" s="352" t="s">
        <v>15393</v>
      </c>
      <c r="B1115" s="352" t="str">
        <f>IF(A1115="","",VLOOKUP(A1115,Materiais_Base!A:D,2,"FALSO"))</f>
        <v>Aparelho de apoio metálico elastomérico multidirecional com 4 chumbadores e capacidade de 10.000 kN</v>
      </c>
      <c r="C1115" s="353" t="str">
        <f>IF(A1115="","",VLOOKUP(A1115,Materiais_Base!A:D,3,"FALSO"))</f>
        <v>un</v>
      </c>
      <c r="D1115" s="354" t="s">
        <v>932</v>
      </c>
      <c r="E1115" s="355" t="str">
        <f t="shared" si="24"/>
        <v/>
      </c>
      <c r="F1115" s="354"/>
      <c r="G1115" s="345" t="str">
        <f>IF(D1115="","",VLOOKUP(A1115,Materiais_Base!A:D,4,"FALSO"))</f>
        <v/>
      </c>
    </row>
    <row r="1116" hidden="1" customHeight="1" spans="1:7">
      <c r="A1116" s="352" t="s">
        <v>15394</v>
      </c>
      <c r="B1116" s="352" t="str">
        <f>IF(A1116="","",VLOOKUP(A1116,Materiais_Base!A:D,2,"FALSO"))</f>
        <v>Chapa metálica corrugada galvanizada para tunnel liner - E = 2,7 mm e D = 1,2 m</v>
      </c>
      <c r="C1116" s="353" t="str">
        <f>IF(A1116="","",VLOOKUP(A1116,Materiais_Base!A:D,3,"FALSO"))</f>
        <v>m</v>
      </c>
      <c r="D1116" s="354" t="s">
        <v>932</v>
      </c>
      <c r="E1116" s="355" t="str">
        <f t="shared" si="24"/>
        <v/>
      </c>
      <c r="F1116" s="354"/>
      <c r="G1116" s="345" t="str">
        <f>IF(D1116="","",VLOOKUP(A1116,Materiais_Base!A:D,4,"FALSO"))</f>
        <v/>
      </c>
    </row>
    <row r="1117" hidden="1" customHeight="1" spans="1:7">
      <c r="A1117" s="352" t="s">
        <v>15395</v>
      </c>
      <c r="B1117" s="352" t="str">
        <f>IF(A1117="","",VLOOKUP(A1117,Materiais_Base!A:D,2,"FALSO"))</f>
        <v>Chapa metálica corrugada galvanizada para tunnel liner - E = 2,7 mm e D = 1,4 m</v>
      </c>
      <c r="C1117" s="353" t="str">
        <f>IF(A1117="","",VLOOKUP(A1117,Materiais_Base!A:D,3,"FALSO"))</f>
        <v>m</v>
      </c>
      <c r="D1117" s="354" t="s">
        <v>932</v>
      </c>
      <c r="E1117" s="355" t="str">
        <f t="shared" si="24"/>
        <v/>
      </c>
      <c r="F1117" s="354"/>
      <c r="G1117" s="345" t="str">
        <f>IF(D1117="","",VLOOKUP(A1117,Materiais_Base!A:D,4,"FALSO"))</f>
        <v/>
      </c>
    </row>
    <row r="1118" hidden="1" customHeight="1" spans="1:7">
      <c r="A1118" s="352" t="s">
        <v>15396</v>
      </c>
      <c r="B1118" s="352" t="str">
        <f>IF(A1118="","",VLOOKUP(A1118,Materiais_Base!A:D,2,"FALSO"))</f>
        <v>Chapa metálica corrugada galvanizada para tunnel liner - E = 2,7 mm e D = 1,6 m</v>
      </c>
      <c r="C1118" s="353" t="str">
        <f>IF(A1118="","",VLOOKUP(A1118,Materiais_Base!A:D,3,"FALSO"))</f>
        <v>m</v>
      </c>
      <c r="D1118" s="354" t="s">
        <v>932</v>
      </c>
      <c r="E1118" s="355" t="str">
        <f t="shared" si="24"/>
        <v/>
      </c>
      <c r="F1118" s="354"/>
      <c r="G1118" s="345" t="str">
        <f>IF(D1118="","",VLOOKUP(A1118,Materiais_Base!A:D,4,"FALSO"))</f>
        <v/>
      </c>
    </row>
    <row r="1119" hidden="1" customHeight="1" spans="1:7">
      <c r="A1119" s="352" t="s">
        <v>15397</v>
      </c>
      <c r="B1119" s="352" t="str">
        <f>IF(A1119="","",VLOOKUP(A1119,Materiais_Base!A:D,2,"FALSO"))</f>
        <v>Chapa metálica corrugada galvanizada para tunnel liner - E = 2,7 mm e D = 1,8 m</v>
      </c>
      <c r="C1119" s="353" t="str">
        <f>IF(A1119="","",VLOOKUP(A1119,Materiais_Base!A:D,3,"FALSO"))</f>
        <v>m</v>
      </c>
      <c r="D1119" s="354" t="s">
        <v>932</v>
      </c>
      <c r="E1119" s="355" t="str">
        <f t="shared" si="24"/>
        <v/>
      </c>
      <c r="F1119" s="354"/>
      <c r="G1119" s="345" t="str">
        <f>IF(D1119="","",VLOOKUP(A1119,Materiais_Base!A:D,4,"FALSO"))</f>
        <v/>
      </c>
    </row>
    <row r="1120" hidden="1" customHeight="1" spans="1:7">
      <c r="A1120" s="352" t="s">
        <v>15398</v>
      </c>
      <c r="B1120" s="352" t="str">
        <f>IF(A1120="","",VLOOKUP(A1120,Materiais_Base!A:D,2,"FALSO"))</f>
        <v>Chapa metálica corrugada galvanizada para tunnel liner - E = 2,7 mm e D = 2,0 m</v>
      </c>
      <c r="C1120" s="353" t="str">
        <f>IF(A1120="","",VLOOKUP(A1120,Materiais_Base!A:D,3,"FALSO"))</f>
        <v>m</v>
      </c>
      <c r="D1120" s="354" t="s">
        <v>932</v>
      </c>
      <c r="E1120" s="355" t="str">
        <f t="shared" si="24"/>
        <v/>
      </c>
      <c r="F1120" s="354"/>
      <c r="G1120" s="345" t="str">
        <f>IF(D1120="","",VLOOKUP(A1120,Materiais_Base!A:D,4,"FALSO"))</f>
        <v/>
      </c>
    </row>
    <row r="1121" hidden="1" customHeight="1" spans="1:7">
      <c r="A1121" s="352" t="s">
        <v>15399</v>
      </c>
      <c r="B1121" s="352" t="str">
        <f>IF(A1121="","",VLOOKUP(A1121,Materiais_Base!A:D,2,"FALSO"))</f>
        <v>Chapa metálica corrugada galvanizada para tunnel liner - E = 3,4 mm e D = 2,2 m</v>
      </c>
      <c r="C1121" s="353" t="str">
        <f>IF(A1121="","",VLOOKUP(A1121,Materiais_Base!A:D,3,"FALSO"))</f>
        <v>m</v>
      </c>
      <c r="D1121" s="354" t="s">
        <v>932</v>
      </c>
      <c r="E1121" s="355" t="str">
        <f t="shared" si="24"/>
        <v/>
      </c>
      <c r="F1121" s="354"/>
      <c r="G1121" s="345" t="str">
        <f>IF(D1121="","",VLOOKUP(A1121,Materiais_Base!A:D,4,"FALSO"))</f>
        <v/>
      </c>
    </row>
    <row r="1122" hidden="1" customHeight="1" spans="1:7">
      <c r="A1122" s="352" t="s">
        <v>15400</v>
      </c>
      <c r="B1122" s="352" t="str">
        <f>IF(A1122="","",VLOOKUP(A1122,Materiais_Base!A:D,2,"FALSO"))</f>
        <v>Chapa metálica corrugada galvanizada para tunnel liner - E = 3,4 mm e D = 2,4 m</v>
      </c>
      <c r="C1122" s="353" t="str">
        <f>IF(A1122="","",VLOOKUP(A1122,Materiais_Base!A:D,3,"FALSO"))</f>
        <v>m</v>
      </c>
      <c r="D1122" s="354" t="s">
        <v>932</v>
      </c>
      <c r="E1122" s="355" t="str">
        <f t="shared" si="24"/>
        <v/>
      </c>
      <c r="F1122" s="354"/>
      <c r="G1122" s="345" t="str">
        <f>IF(D1122="","",VLOOKUP(A1122,Materiais_Base!A:D,4,"FALSO"))</f>
        <v/>
      </c>
    </row>
    <row r="1123" hidden="1" customHeight="1" spans="1:7">
      <c r="A1123" s="352" t="s">
        <v>15401</v>
      </c>
      <c r="B1123" s="352" t="str">
        <f>IF(A1123="","",VLOOKUP(A1123,Materiais_Base!A:D,2,"FALSO"))</f>
        <v>Chapa metálica corrugada galvanizada para tunnel liner - E = 3,4 mm e D = 2,6 m</v>
      </c>
      <c r="C1123" s="353" t="str">
        <f>IF(A1123="","",VLOOKUP(A1123,Materiais_Base!A:D,3,"FALSO"))</f>
        <v>m</v>
      </c>
      <c r="D1123" s="354" t="s">
        <v>932</v>
      </c>
      <c r="E1123" s="355" t="str">
        <f t="shared" si="24"/>
        <v/>
      </c>
      <c r="F1123" s="354"/>
      <c r="G1123" s="345" t="str">
        <f>IF(D1123="","",VLOOKUP(A1123,Materiais_Base!A:D,4,"FALSO"))</f>
        <v/>
      </c>
    </row>
    <row r="1124" hidden="1" customHeight="1" spans="1:7">
      <c r="A1124" s="352" t="s">
        <v>15402</v>
      </c>
      <c r="B1124" s="352" t="str">
        <f>IF(A1124="","",VLOOKUP(A1124,Materiais_Base!A:D,2,"FALSO"))</f>
        <v>Chapa metálica corrugada galvanizada para tunnel liner - E = 3,4 mm e D = 2,8 m</v>
      </c>
      <c r="C1124" s="353" t="str">
        <f>IF(A1124="","",VLOOKUP(A1124,Materiais_Base!A:D,3,"FALSO"))</f>
        <v>m</v>
      </c>
      <c r="D1124" s="354" t="s">
        <v>932</v>
      </c>
      <c r="E1124" s="355" t="str">
        <f t="shared" si="24"/>
        <v/>
      </c>
      <c r="F1124" s="354"/>
      <c r="G1124" s="345" t="str">
        <f>IF(D1124="","",VLOOKUP(A1124,Materiais_Base!A:D,4,"FALSO"))</f>
        <v/>
      </c>
    </row>
    <row r="1125" hidden="1" customHeight="1" spans="1:7">
      <c r="A1125" s="352" t="s">
        <v>15403</v>
      </c>
      <c r="B1125" s="352" t="str">
        <f>IF(A1125="","",VLOOKUP(A1125,Materiais_Base!A:D,2,"FALSO"))</f>
        <v>Chapa metálica corrugada galvanizada para tunnel liner - E = 3,4 mm e D = 3,0 m</v>
      </c>
      <c r="C1125" s="353" t="str">
        <f>IF(A1125="","",VLOOKUP(A1125,Materiais_Base!A:D,3,"FALSO"))</f>
        <v>m</v>
      </c>
      <c r="D1125" s="354" t="s">
        <v>932</v>
      </c>
      <c r="E1125" s="355" t="str">
        <f t="shared" si="24"/>
        <v/>
      </c>
      <c r="F1125" s="354"/>
      <c r="G1125" s="345" t="str">
        <f>IF(D1125="","",VLOOKUP(A1125,Materiais_Base!A:D,4,"FALSO"))</f>
        <v/>
      </c>
    </row>
    <row r="1126" hidden="1" customHeight="1" spans="1:7">
      <c r="A1126" s="352" t="s">
        <v>15404</v>
      </c>
      <c r="B1126" s="352" t="str">
        <f>IF(A1126="","",VLOOKUP(A1126,Materiais_Base!A:D,2,"FALSO"))</f>
        <v>Chapa metálica corrugada galvanizada para tunnel liner - E = 3,4 mm e D = 3,2 m</v>
      </c>
      <c r="C1126" s="353" t="str">
        <f>IF(A1126="","",VLOOKUP(A1126,Materiais_Base!A:D,3,"FALSO"))</f>
        <v>m</v>
      </c>
      <c r="D1126" s="354" t="s">
        <v>932</v>
      </c>
      <c r="E1126" s="355" t="str">
        <f t="shared" si="24"/>
        <v/>
      </c>
      <c r="F1126" s="354"/>
      <c r="G1126" s="345" t="str">
        <f>IF(D1126="","",VLOOKUP(A1126,Materiais_Base!A:D,4,"FALSO"))</f>
        <v/>
      </c>
    </row>
    <row r="1127" hidden="1" customHeight="1" spans="1:7">
      <c r="A1127" s="352" t="s">
        <v>15405</v>
      </c>
      <c r="B1127" s="352" t="str">
        <f>IF(A1127="","",VLOOKUP(A1127,Materiais_Base!A:D,2,"FALSO"))</f>
        <v>Chapa metálica corrugada galvanizada para tunnel liner - E = 3,9 mm e D = 3,4 m</v>
      </c>
      <c r="C1127" s="353" t="str">
        <f>IF(A1127="","",VLOOKUP(A1127,Materiais_Base!A:D,3,"FALSO"))</f>
        <v>m</v>
      </c>
      <c r="D1127" s="354" t="s">
        <v>932</v>
      </c>
      <c r="E1127" s="355" t="str">
        <f t="shared" si="24"/>
        <v/>
      </c>
      <c r="F1127" s="354"/>
      <c r="G1127" s="345" t="str">
        <f>IF(D1127="","",VLOOKUP(A1127,Materiais_Base!A:D,4,"FALSO"))</f>
        <v/>
      </c>
    </row>
    <row r="1128" hidden="1" customHeight="1" spans="1:7">
      <c r="A1128" s="352" t="s">
        <v>15406</v>
      </c>
      <c r="B1128" s="352" t="str">
        <f>IF(A1128="","",VLOOKUP(A1128,Materiais_Base!A:D,2,"FALSO"))</f>
        <v>Chapa metálica corrugada galvanizada para tunnel liner - E = 3,9 mm e D = 3,6 m</v>
      </c>
      <c r="C1128" s="353" t="str">
        <f>IF(A1128="","",VLOOKUP(A1128,Materiais_Base!A:D,3,"FALSO"))</f>
        <v>m</v>
      </c>
      <c r="D1128" s="354" t="s">
        <v>932</v>
      </c>
      <c r="E1128" s="355" t="str">
        <f t="shared" si="24"/>
        <v/>
      </c>
      <c r="F1128" s="354"/>
      <c r="G1128" s="345" t="str">
        <f>IF(D1128="","",VLOOKUP(A1128,Materiais_Base!A:D,4,"FALSO"))</f>
        <v/>
      </c>
    </row>
    <row r="1129" hidden="1" customHeight="1" spans="1:7">
      <c r="A1129" s="352" t="s">
        <v>15407</v>
      </c>
      <c r="B1129" s="352" t="str">
        <f>IF(A1129="","",VLOOKUP(A1129,Materiais_Base!A:D,2,"FALSO"))</f>
        <v>Chapa metálica corrugada galvanizada para tunnel liner - E = 3,9 mm e D = 3,8 m</v>
      </c>
      <c r="C1129" s="353" t="str">
        <f>IF(A1129="","",VLOOKUP(A1129,Materiais_Base!A:D,3,"FALSO"))</f>
        <v>m</v>
      </c>
      <c r="D1129" s="354" t="s">
        <v>932</v>
      </c>
      <c r="E1129" s="355" t="str">
        <f t="shared" si="24"/>
        <v/>
      </c>
      <c r="F1129" s="354"/>
      <c r="G1129" s="345" t="str">
        <f>IF(D1129="","",VLOOKUP(A1129,Materiais_Base!A:D,4,"FALSO"))</f>
        <v/>
      </c>
    </row>
    <row r="1130" hidden="1" customHeight="1" spans="1:7">
      <c r="A1130" s="352" t="s">
        <v>15408</v>
      </c>
      <c r="B1130" s="352" t="str">
        <f>IF(A1130="","",VLOOKUP(A1130,Materiais_Base!A:D,2,"FALSO"))</f>
        <v>Chapa metálica corrugada galvanizada para tunnel liner - E = 3,9 mm e D = 4,0 m</v>
      </c>
      <c r="C1130" s="353" t="str">
        <f>IF(A1130="","",VLOOKUP(A1130,Materiais_Base!A:D,3,"FALSO"))</f>
        <v>m</v>
      </c>
      <c r="D1130" s="354" t="s">
        <v>932</v>
      </c>
      <c r="E1130" s="355" t="str">
        <f t="shared" si="24"/>
        <v/>
      </c>
      <c r="F1130" s="354"/>
      <c r="G1130" s="345" t="str">
        <f>IF(D1130="","",VLOOKUP(A1130,Materiais_Base!A:D,4,"FALSO"))</f>
        <v/>
      </c>
    </row>
    <row r="1131" hidden="1" customHeight="1" spans="1:7">
      <c r="A1131" s="352" t="s">
        <v>15409</v>
      </c>
      <c r="B1131" s="352" t="str">
        <f>IF(A1131="","",VLOOKUP(A1131,Materiais_Base!A:D,2,"FALSO"))</f>
        <v>Chapa metálica corrugada galvanizada para tunnel liner - E = 3,9 mm e D = 4,2 m</v>
      </c>
      <c r="C1131" s="353" t="str">
        <f>IF(A1131="","",VLOOKUP(A1131,Materiais_Base!A:D,3,"FALSO"))</f>
        <v>m</v>
      </c>
      <c r="D1131" s="354" t="s">
        <v>932</v>
      </c>
      <c r="E1131" s="355" t="str">
        <f t="shared" si="24"/>
        <v/>
      </c>
      <c r="F1131" s="354"/>
      <c r="G1131" s="345" t="str">
        <f>IF(D1131="","",VLOOKUP(A1131,Materiais_Base!A:D,4,"FALSO"))</f>
        <v/>
      </c>
    </row>
    <row r="1132" hidden="1" customHeight="1" spans="1:7">
      <c r="A1132" s="352" t="s">
        <v>15410</v>
      </c>
      <c r="B1132" s="352" t="str">
        <f>IF(A1132="","",VLOOKUP(A1132,Materiais_Base!A:D,2,"FALSO"))</f>
        <v>Chapa metálica corrugada galvanizada para tunnel liner - E = 3,9 mm e D = 4,4 m</v>
      </c>
      <c r="C1132" s="353" t="str">
        <f>IF(A1132="","",VLOOKUP(A1132,Materiais_Base!A:D,3,"FALSO"))</f>
        <v>m</v>
      </c>
      <c r="D1132" s="354" t="s">
        <v>932</v>
      </c>
      <c r="E1132" s="355" t="str">
        <f t="shared" si="24"/>
        <v/>
      </c>
      <c r="F1132" s="354"/>
      <c r="G1132" s="345" t="str">
        <f>IF(D1132="","",VLOOKUP(A1132,Materiais_Base!A:D,4,"FALSO"))</f>
        <v/>
      </c>
    </row>
    <row r="1133" hidden="1" customHeight="1" spans="1:7">
      <c r="A1133" s="352" t="s">
        <v>15411</v>
      </c>
      <c r="B1133" s="352" t="str">
        <f>IF(A1133="","",VLOOKUP(A1133,Materiais_Base!A:D,2,"FALSO"))</f>
        <v>Chapa metálica corrugada galvanizada para tunnel liner - E = 3,9 mm e D = 4,6 m</v>
      </c>
      <c r="C1133" s="353" t="str">
        <f>IF(A1133="","",VLOOKUP(A1133,Materiais_Base!A:D,3,"FALSO"))</f>
        <v>m</v>
      </c>
      <c r="D1133" s="354" t="s">
        <v>932</v>
      </c>
      <c r="E1133" s="355" t="str">
        <f t="shared" si="24"/>
        <v/>
      </c>
      <c r="F1133" s="354"/>
      <c r="G1133" s="345" t="str">
        <f>IF(D1133="","",VLOOKUP(A1133,Materiais_Base!A:D,4,"FALSO"))</f>
        <v/>
      </c>
    </row>
    <row r="1134" hidden="1" customHeight="1" spans="1:7">
      <c r="A1134" s="352" t="s">
        <v>15412</v>
      </c>
      <c r="B1134" s="352" t="str">
        <f>IF(A1134="","",VLOOKUP(A1134,Materiais_Base!A:D,2,"FALSO"))</f>
        <v>Chapa metálica corrugada galvanizada para tunnel liner - E = 4,7 mm e D = 4,8 m</v>
      </c>
      <c r="C1134" s="353" t="str">
        <f>IF(A1134="","",VLOOKUP(A1134,Materiais_Base!A:D,3,"FALSO"))</f>
        <v>m</v>
      </c>
      <c r="D1134" s="354" t="s">
        <v>932</v>
      </c>
      <c r="E1134" s="355" t="str">
        <f t="shared" si="24"/>
        <v/>
      </c>
      <c r="F1134" s="354"/>
      <c r="G1134" s="345" t="str">
        <f>IF(D1134="","",VLOOKUP(A1134,Materiais_Base!A:D,4,"FALSO"))</f>
        <v/>
      </c>
    </row>
    <row r="1135" hidden="1" customHeight="1" spans="1:7">
      <c r="A1135" s="352" t="s">
        <v>15413</v>
      </c>
      <c r="B1135" s="352" t="str">
        <f>IF(A1135="","",VLOOKUP(A1135,Materiais_Base!A:D,2,"FALSO"))</f>
        <v>Chapa metálica corrugada galvanizada para tunnel liner - E = 4,7 mm e D = 5,0 m</v>
      </c>
      <c r="C1135" s="353" t="str">
        <f>IF(A1135="","",VLOOKUP(A1135,Materiais_Base!A:D,3,"FALSO"))</f>
        <v>m</v>
      </c>
      <c r="D1135" s="354" t="s">
        <v>932</v>
      </c>
      <c r="E1135" s="355" t="str">
        <f t="shared" si="24"/>
        <v/>
      </c>
      <c r="F1135" s="354"/>
      <c r="G1135" s="345" t="str">
        <f>IF(D1135="","",VLOOKUP(A1135,Materiais_Base!A:D,4,"FALSO"))</f>
        <v/>
      </c>
    </row>
    <row r="1136" hidden="1" customHeight="1" spans="1:7">
      <c r="A1136" s="352" t="s">
        <v>15414</v>
      </c>
      <c r="B1136" s="352" t="str">
        <f>IF(A1136="","",VLOOKUP(A1136,Materiais_Base!A:D,2,"FALSO"))</f>
        <v>Chapa metálica corrugada galvanizada revestida com epóxi para tunnel liner - E = 2,7 mm e D = 1,2 m</v>
      </c>
      <c r="C1136" s="353" t="str">
        <f>IF(A1136="","",VLOOKUP(A1136,Materiais_Base!A:D,3,"FALSO"))</f>
        <v>m</v>
      </c>
      <c r="D1136" s="354" t="s">
        <v>932</v>
      </c>
      <c r="E1136" s="355" t="str">
        <f t="shared" si="24"/>
        <v/>
      </c>
      <c r="F1136" s="354"/>
      <c r="G1136" s="345" t="str">
        <f>IF(D1136="","",VLOOKUP(A1136,Materiais_Base!A:D,4,"FALSO"))</f>
        <v/>
      </c>
    </row>
    <row r="1137" hidden="1" customHeight="1" spans="1:7">
      <c r="A1137" s="352" t="s">
        <v>15415</v>
      </c>
      <c r="B1137" s="352" t="str">
        <f>IF(A1137="","",VLOOKUP(A1137,Materiais_Base!A:D,2,"FALSO"))</f>
        <v>Chapa metálica corrugada galvanizada revestida com epóxi para tunnel liner - E = 2,7 mm e D = 1,4 m</v>
      </c>
      <c r="C1137" s="353" t="str">
        <f>IF(A1137="","",VLOOKUP(A1137,Materiais_Base!A:D,3,"FALSO"))</f>
        <v>m</v>
      </c>
      <c r="D1137" s="354" t="s">
        <v>932</v>
      </c>
      <c r="E1137" s="355" t="str">
        <f t="shared" si="24"/>
        <v/>
      </c>
      <c r="F1137" s="354"/>
      <c r="G1137" s="345" t="str">
        <f>IF(D1137="","",VLOOKUP(A1137,Materiais_Base!A:D,4,"FALSO"))</f>
        <v/>
      </c>
    </row>
    <row r="1138" hidden="1" customHeight="1" spans="1:7">
      <c r="A1138" s="352" t="s">
        <v>15416</v>
      </c>
      <c r="B1138" s="352" t="str">
        <f>IF(A1138="","",VLOOKUP(A1138,Materiais_Base!A:D,2,"FALSO"))</f>
        <v>Chapa metálica corrugada galvanizada revestida com epóxi para tunnel liner - E = 2,7 mm e D = 1,6 m</v>
      </c>
      <c r="C1138" s="353" t="str">
        <f>IF(A1138="","",VLOOKUP(A1138,Materiais_Base!A:D,3,"FALSO"))</f>
        <v>m</v>
      </c>
      <c r="D1138" s="354" t="s">
        <v>932</v>
      </c>
      <c r="E1138" s="355" t="str">
        <f t="shared" si="24"/>
        <v/>
      </c>
      <c r="F1138" s="354"/>
      <c r="G1138" s="345" t="str">
        <f>IF(D1138="","",VLOOKUP(A1138,Materiais_Base!A:D,4,"FALSO"))</f>
        <v/>
      </c>
    </row>
    <row r="1139" hidden="1" customHeight="1" spans="1:7">
      <c r="A1139" s="352" t="s">
        <v>15417</v>
      </c>
      <c r="B1139" s="352" t="str">
        <f>IF(A1139="","",VLOOKUP(A1139,Materiais_Base!A:D,2,"FALSO"))</f>
        <v>Chapa metálica corrugada galvanizada revestida com epóxi para tunnel liner - E = 2,7 mm e D = 1,8 m</v>
      </c>
      <c r="C1139" s="353" t="str">
        <f>IF(A1139="","",VLOOKUP(A1139,Materiais_Base!A:D,3,"FALSO"))</f>
        <v>m</v>
      </c>
      <c r="D1139" s="354" t="s">
        <v>932</v>
      </c>
      <c r="E1139" s="355" t="str">
        <f t="shared" si="24"/>
        <v/>
      </c>
      <c r="F1139" s="354"/>
      <c r="G1139" s="345" t="str">
        <f>IF(D1139="","",VLOOKUP(A1139,Materiais_Base!A:D,4,"FALSO"))</f>
        <v/>
      </c>
    </row>
    <row r="1140" hidden="1" customHeight="1" spans="1:7">
      <c r="A1140" s="352" t="s">
        <v>15418</v>
      </c>
      <c r="B1140" s="352" t="str">
        <f>IF(A1140="","",VLOOKUP(A1140,Materiais_Base!A:D,2,"FALSO"))</f>
        <v>Chapa metálica corrugada galvanizada revestida com epóxi para tunnel liner - E = 2,7 mm e D = 2,0 m</v>
      </c>
      <c r="C1140" s="353" t="str">
        <f>IF(A1140="","",VLOOKUP(A1140,Materiais_Base!A:D,3,"FALSO"))</f>
        <v>m</v>
      </c>
      <c r="D1140" s="354" t="s">
        <v>932</v>
      </c>
      <c r="E1140" s="355" t="str">
        <f t="shared" si="24"/>
        <v/>
      </c>
      <c r="F1140" s="354"/>
      <c r="G1140" s="345" t="str">
        <f>IF(D1140="","",VLOOKUP(A1140,Materiais_Base!A:D,4,"FALSO"))</f>
        <v/>
      </c>
    </row>
    <row r="1141" hidden="1" customHeight="1" spans="1:7">
      <c r="A1141" s="352" t="s">
        <v>15419</v>
      </c>
      <c r="B1141" s="352" t="str">
        <f>IF(A1141="","",VLOOKUP(A1141,Materiais_Base!A:D,2,"FALSO"))</f>
        <v>Chapa metálica corrugada galvanizada revestida com epóxi para tunnel liner - E = 3,4 mm e D = 2,2 m</v>
      </c>
      <c r="C1141" s="353" t="str">
        <f>IF(A1141="","",VLOOKUP(A1141,Materiais_Base!A:D,3,"FALSO"))</f>
        <v>m</v>
      </c>
      <c r="D1141" s="354" t="s">
        <v>932</v>
      </c>
      <c r="E1141" s="355" t="str">
        <f t="shared" si="24"/>
        <v/>
      </c>
      <c r="F1141" s="354"/>
      <c r="G1141" s="345" t="str">
        <f>IF(D1141="","",VLOOKUP(A1141,Materiais_Base!A:D,4,"FALSO"))</f>
        <v/>
      </c>
    </row>
    <row r="1142" hidden="1" customHeight="1" spans="1:7">
      <c r="A1142" s="352" t="s">
        <v>15420</v>
      </c>
      <c r="B1142" s="352" t="str">
        <f>IF(A1142="","",VLOOKUP(A1142,Materiais_Base!A:D,2,"FALSO"))</f>
        <v>Chapa metálica corrugada galvanizada revestida com epóxi para tunnel liner - E = 3,4 mm e D = 2,4 m</v>
      </c>
      <c r="C1142" s="353" t="str">
        <f>IF(A1142="","",VLOOKUP(A1142,Materiais_Base!A:D,3,"FALSO"))</f>
        <v>m</v>
      </c>
      <c r="D1142" s="354" t="s">
        <v>932</v>
      </c>
      <c r="E1142" s="355" t="str">
        <f t="shared" si="24"/>
        <v/>
      </c>
      <c r="F1142" s="354"/>
      <c r="G1142" s="345" t="str">
        <f>IF(D1142="","",VLOOKUP(A1142,Materiais_Base!A:D,4,"FALSO"))</f>
        <v/>
      </c>
    </row>
    <row r="1143" hidden="1" customHeight="1" spans="1:7">
      <c r="A1143" s="352" t="s">
        <v>15421</v>
      </c>
      <c r="B1143" s="352" t="str">
        <f>IF(A1143="","",VLOOKUP(A1143,Materiais_Base!A:D,2,"FALSO"))</f>
        <v>Chapa metálica corrugada galvanizada revestida com epóxi para tunnel liner - E = 3,4 mm e D = 2,6 m</v>
      </c>
      <c r="C1143" s="353" t="str">
        <f>IF(A1143="","",VLOOKUP(A1143,Materiais_Base!A:D,3,"FALSO"))</f>
        <v>m</v>
      </c>
      <c r="D1143" s="354" t="s">
        <v>932</v>
      </c>
      <c r="E1143" s="355" t="str">
        <f t="shared" si="24"/>
        <v/>
      </c>
      <c r="F1143" s="354"/>
      <c r="G1143" s="345" t="str">
        <f>IF(D1143="","",VLOOKUP(A1143,Materiais_Base!A:D,4,"FALSO"))</f>
        <v/>
      </c>
    </row>
    <row r="1144" hidden="1" customHeight="1" spans="1:7">
      <c r="A1144" s="352" t="s">
        <v>15422</v>
      </c>
      <c r="B1144" s="352" t="str">
        <f>IF(A1144="","",VLOOKUP(A1144,Materiais_Base!A:D,2,"FALSO"))</f>
        <v>Chapa metálica corrugada galvanizada revestida com epóxi para tunnel liner - E = 3,4 mm e D = 2,8 m</v>
      </c>
      <c r="C1144" s="353" t="str">
        <f>IF(A1144="","",VLOOKUP(A1144,Materiais_Base!A:D,3,"FALSO"))</f>
        <v>m</v>
      </c>
      <c r="D1144" s="354" t="s">
        <v>932</v>
      </c>
      <c r="E1144" s="355" t="str">
        <f t="shared" si="24"/>
        <v/>
      </c>
      <c r="F1144" s="354"/>
      <c r="G1144" s="345" t="str">
        <f>IF(D1144="","",VLOOKUP(A1144,Materiais_Base!A:D,4,"FALSO"))</f>
        <v/>
      </c>
    </row>
    <row r="1145" hidden="1" customHeight="1" spans="1:7">
      <c r="A1145" s="352" t="s">
        <v>15423</v>
      </c>
      <c r="B1145" s="352" t="str">
        <f>IF(A1145="","",VLOOKUP(A1145,Materiais_Base!A:D,2,"FALSO"))</f>
        <v>Chapa metálica corrugada galvanizada revestida com epóxi para tunnel liner - E = 3,4 mm e D = 3,0 m</v>
      </c>
      <c r="C1145" s="353" t="str">
        <f>IF(A1145="","",VLOOKUP(A1145,Materiais_Base!A:D,3,"FALSO"))</f>
        <v>m</v>
      </c>
      <c r="D1145" s="354" t="s">
        <v>932</v>
      </c>
      <c r="E1145" s="355" t="str">
        <f t="shared" si="24"/>
        <v/>
      </c>
      <c r="F1145" s="354"/>
      <c r="G1145" s="345" t="str">
        <f>IF(D1145="","",VLOOKUP(A1145,Materiais_Base!A:D,4,"FALSO"))</f>
        <v/>
      </c>
    </row>
    <row r="1146" hidden="1" customHeight="1" spans="1:7">
      <c r="A1146" s="352" t="s">
        <v>15424</v>
      </c>
      <c r="B1146" s="352" t="str">
        <f>IF(A1146="","",VLOOKUP(A1146,Materiais_Base!A:D,2,"FALSO"))</f>
        <v>Chapa metálica corrugada galvanizada revestida com epóxi para tunnel liner - E = 3,4 mm e D = 3,2 m</v>
      </c>
      <c r="C1146" s="353" t="str">
        <f>IF(A1146="","",VLOOKUP(A1146,Materiais_Base!A:D,3,"FALSO"))</f>
        <v>m</v>
      </c>
      <c r="D1146" s="354" t="s">
        <v>932</v>
      </c>
      <c r="E1146" s="355" t="str">
        <f t="shared" si="24"/>
        <v/>
      </c>
      <c r="F1146" s="354"/>
      <c r="G1146" s="345" t="str">
        <f>IF(D1146="","",VLOOKUP(A1146,Materiais_Base!A:D,4,"FALSO"))</f>
        <v/>
      </c>
    </row>
    <row r="1147" hidden="1" customHeight="1" spans="1:7">
      <c r="A1147" s="352" t="s">
        <v>15425</v>
      </c>
      <c r="B1147" s="352" t="str">
        <f>IF(A1147="","",VLOOKUP(A1147,Materiais_Base!A:D,2,"FALSO"))</f>
        <v>Chapa múltipla metálica corrugada galvanizada tipo MP 152 lenticular ou similar - E = 2,70 mm, H = 1,40 m e vão = 1,95 m</v>
      </c>
      <c r="C1147" s="353" t="str">
        <f>IF(A1147="","",VLOOKUP(A1147,Materiais_Base!A:D,3,"FALSO"))</f>
        <v>m</v>
      </c>
      <c r="D1147" s="354" t="s">
        <v>932</v>
      </c>
      <c r="E1147" s="355" t="str">
        <f t="shared" si="24"/>
        <v/>
      </c>
      <c r="F1147" s="354"/>
      <c r="G1147" s="345" t="str">
        <f>IF(D1147="","",VLOOKUP(A1147,Materiais_Base!A:D,4,"FALSO"))</f>
        <v/>
      </c>
    </row>
    <row r="1148" hidden="1" customHeight="1" spans="1:7">
      <c r="A1148" s="352" t="s">
        <v>15426</v>
      </c>
      <c r="B1148" s="352" t="str">
        <f>IF(A1148="","",VLOOKUP(A1148,Materiais_Base!A:D,2,"FALSO"))</f>
        <v>Chapa múltipla metálica corrugada galvanizada tipo MP 152 lenticular ou similar - E = 2,70 mm, H = 1,50 m e vão = 2,15 m</v>
      </c>
      <c r="C1148" s="353" t="str">
        <f>IF(A1148="","",VLOOKUP(A1148,Materiais_Base!A:D,3,"FALSO"))</f>
        <v>m</v>
      </c>
      <c r="D1148" s="354" t="s">
        <v>932</v>
      </c>
      <c r="E1148" s="355" t="str">
        <f t="shared" si="24"/>
        <v/>
      </c>
      <c r="F1148" s="354"/>
      <c r="G1148" s="345" t="str">
        <f>IF(D1148="","",VLOOKUP(A1148,Materiais_Base!A:D,4,"FALSO"))</f>
        <v/>
      </c>
    </row>
    <row r="1149" hidden="1" customHeight="1" spans="1:7">
      <c r="A1149" s="352" t="s">
        <v>15427</v>
      </c>
      <c r="B1149" s="352" t="str">
        <f>IF(A1149="","",VLOOKUP(A1149,Materiais_Base!A:D,2,"FALSO"))</f>
        <v>Chapa múltipla metálica corrugada galvanizada tipo MP 152 lenticular ou similar - E = 2,70 mm, H = 1,60 m e vão = 2,30 m</v>
      </c>
      <c r="C1149" s="353" t="str">
        <f>IF(A1149="","",VLOOKUP(A1149,Materiais_Base!A:D,3,"FALSO"))</f>
        <v>m</v>
      </c>
      <c r="D1149" s="354" t="s">
        <v>932</v>
      </c>
      <c r="E1149" s="355" t="str">
        <f t="shared" si="24"/>
        <v/>
      </c>
      <c r="F1149" s="354"/>
      <c r="G1149" s="345" t="str">
        <f>IF(D1149="","",VLOOKUP(A1149,Materiais_Base!A:D,4,"FALSO"))</f>
        <v/>
      </c>
    </row>
    <row r="1150" hidden="1" customHeight="1" spans="1:7">
      <c r="A1150" s="352" t="s">
        <v>15428</v>
      </c>
      <c r="B1150" s="352" t="str">
        <f>IF(A1150="","",VLOOKUP(A1150,Materiais_Base!A:D,2,"FALSO"))</f>
        <v>Chapa múltipla metálica corrugada galvanizada tipo MP 152 lenticular ou similar - E = 2,70 mm, H = 1,65 m e vão = 2,55 m</v>
      </c>
      <c r="C1150" s="353" t="str">
        <f>IF(A1150="","",VLOOKUP(A1150,Materiais_Base!A:D,3,"FALSO"))</f>
        <v>m</v>
      </c>
      <c r="D1150" s="354" t="s">
        <v>932</v>
      </c>
      <c r="E1150" s="355" t="str">
        <f t="shared" si="24"/>
        <v/>
      </c>
      <c r="F1150" s="354"/>
      <c r="G1150" s="345" t="str">
        <f>IF(D1150="","",VLOOKUP(A1150,Materiais_Base!A:D,4,"FALSO"))</f>
        <v/>
      </c>
    </row>
    <row r="1151" hidden="1" customHeight="1" spans="1:7">
      <c r="A1151" s="352" t="s">
        <v>15429</v>
      </c>
      <c r="B1151" s="352" t="str">
        <f>IF(A1151="","",VLOOKUP(A1151,Materiais_Base!A:D,2,"FALSO"))</f>
        <v>Chapa múltipla metálica corrugada galvanizada tipo MP 152 lenticular ou similar - E = 2,70 mm, H = 1,85 m e vão = 2,70 m</v>
      </c>
      <c r="C1151" s="353" t="str">
        <f>IF(A1151="","",VLOOKUP(A1151,Materiais_Base!A:D,3,"FALSO"))</f>
        <v>m</v>
      </c>
      <c r="D1151" s="354" t="s">
        <v>932</v>
      </c>
      <c r="E1151" s="355" t="str">
        <f t="shared" si="24"/>
        <v/>
      </c>
      <c r="F1151" s="354"/>
      <c r="G1151" s="345" t="str">
        <f>IF(D1151="","",VLOOKUP(A1151,Materiais_Base!A:D,4,"FALSO"))</f>
        <v/>
      </c>
    </row>
    <row r="1152" hidden="1" customHeight="1" spans="1:7">
      <c r="A1152" s="352" t="s">
        <v>15430</v>
      </c>
      <c r="B1152" s="352" t="str">
        <f>IF(A1152="","",VLOOKUP(A1152,Materiais_Base!A:D,2,"FALSO"))</f>
        <v>Chapa múltipla metálica corrugada galvanizada tipo MP 152 lenticular ou similar - E = 2,70 mm, H = 1,90 m e vão = 2,75 m</v>
      </c>
      <c r="C1152" s="353" t="str">
        <f>IF(A1152="","",VLOOKUP(A1152,Materiais_Base!A:D,3,"FALSO"))</f>
        <v>m</v>
      </c>
      <c r="D1152" s="354" t="s">
        <v>932</v>
      </c>
      <c r="E1152" s="355" t="str">
        <f t="shared" si="24"/>
        <v/>
      </c>
      <c r="F1152" s="354"/>
      <c r="G1152" s="345" t="str">
        <f>IF(D1152="","",VLOOKUP(A1152,Materiais_Base!A:D,4,"FALSO"))</f>
        <v/>
      </c>
    </row>
    <row r="1153" hidden="1" customHeight="1" spans="1:7">
      <c r="A1153" s="352" t="s">
        <v>15431</v>
      </c>
      <c r="B1153" s="352" t="str">
        <f>IF(A1153="","",VLOOKUP(A1153,Materiais_Base!A:D,2,"FALSO"))</f>
        <v>Chapa múltipla metálica corrugada galvanizada tipo MP 152 lenticular ou similar - E = 2,70 mm, H = 2,00 m e vão = 3,00 m</v>
      </c>
      <c r="C1153" s="353" t="str">
        <f>IF(A1153="","",VLOOKUP(A1153,Materiais_Base!A:D,3,"FALSO"))</f>
        <v>m</v>
      </c>
      <c r="D1153" s="354" t="s">
        <v>932</v>
      </c>
      <c r="E1153" s="355" t="str">
        <f t="shared" si="24"/>
        <v/>
      </c>
      <c r="F1153" s="354"/>
      <c r="G1153" s="345" t="str">
        <f>IF(D1153="","",VLOOKUP(A1153,Materiais_Base!A:D,4,"FALSO"))</f>
        <v/>
      </c>
    </row>
    <row r="1154" hidden="1" customHeight="1" spans="1:7">
      <c r="A1154" s="352" t="s">
        <v>15432</v>
      </c>
      <c r="B1154" s="352" t="str">
        <f>IF(A1154="","",VLOOKUP(A1154,Materiais_Base!A:D,2,"FALSO"))</f>
        <v>Chapa múltipla metálica corrugada galvanizada tipo MP 152 lenticular ou similar - E = 2,70 mm, H = 2,10 m e vão = 3,20 m</v>
      </c>
      <c r="C1154" s="353" t="str">
        <f>IF(A1154="","",VLOOKUP(A1154,Materiais_Base!A:D,3,"FALSO"))</f>
        <v>m</v>
      </c>
      <c r="D1154" s="354" t="s">
        <v>932</v>
      </c>
      <c r="E1154" s="355" t="str">
        <f t="shared" si="24"/>
        <v/>
      </c>
      <c r="F1154" s="354"/>
      <c r="G1154" s="345" t="str">
        <f>IF(D1154="","",VLOOKUP(A1154,Materiais_Base!A:D,4,"FALSO"))</f>
        <v/>
      </c>
    </row>
    <row r="1155" hidden="1" customHeight="1" spans="1:7">
      <c r="A1155" s="352" t="s">
        <v>15433</v>
      </c>
      <c r="B1155" s="352" t="str">
        <f>IF(A1155="","",VLOOKUP(A1155,Materiais_Base!A:D,2,"FALSO"))</f>
        <v>Chapa múltipla metálica corrugada galvanizada tipo MP 152 lenticular ou similar - E = 2,70 mm, H = 2,15 m e vão = 3,35 m</v>
      </c>
      <c r="C1155" s="353" t="str">
        <f>IF(A1155="","",VLOOKUP(A1155,Materiais_Base!A:D,3,"FALSO"))</f>
        <v>m</v>
      </c>
      <c r="D1155" s="354" t="s">
        <v>932</v>
      </c>
      <c r="E1155" s="355" t="str">
        <f t="shared" si="24"/>
        <v/>
      </c>
      <c r="F1155" s="354"/>
      <c r="G1155" s="345" t="str">
        <f>IF(D1155="","",VLOOKUP(A1155,Materiais_Base!A:D,4,"FALSO"))</f>
        <v/>
      </c>
    </row>
    <row r="1156" hidden="1" customHeight="1" spans="1:7">
      <c r="A1156" s="352" t="s">
        <v>15434</v>
      </c>
      <c r="B1156" s="352" t="str">
        <f>IF(A1156="","",VLOOKUP(A1156,Materiais_Base!A:D,2,"FALSO"))</f>
        <v>Chapa múltipla metálica corrugada galvanizada tipo MP 152 lenticular ou similar - E = 2,70 mm, H = 2,25 m e vão = 3,55 m</v>
      </c>
      <c r="C1156" s="353" t="str">
        <f>IF(A1156="","",VLOOKUP(A1156,Materiais_Base!A:D,3,"FALSO"))</f>
        <v>m</v>
      </c>
      <c r="D1156" s="354" t="s">
        <v>932</v>
      </c>
      <c r="E1156" s="355" t="str">
        <f t="shared" si="24"/>
        <v/>
      </c>
      <c r="F1156" s="354"/>
      <c r="G1156" s="345" t="str">
        <f>IF(D1156="","",VLOOKUP(A1156,Materiais_Base!A:D,4,"FALSO"))</f>
        <v/>
      </c>
    </row>
    <row r="1157" hidden="1" customHeight="1" spans="1:7">
      <c r="A1157" s="352" t="s">
        <v>15435</v>
      </c>
      <c r="B1157" s="352" t="str">
        <f>IF(A1157="","",VLOOKUP(A1157,Materiais_Base!A:D,2,"FALSO"))</f>
        <v>Chapa múltipla metálica corrugada galvanizada tipo MP 152 lenticular ou similar - E = 2,70 mm, H = 2,35 m e vão = 3,70 m</v>
      </c>
      <c r="C1157" s="353" t="str">
        <f>IF(A1157="","",VLOOKUP(A1157,Materiais_Base!A:D,3,"FALSO"))</f>
        <v>m</v>
      </c>
      <c r="D1157" s="354" t="s">
        <v>932</v>
      </c>
      <c r="E1157" s="355" t="str">
        <f t="shared" si="24"/>
        <v/>
      </c>
      <c r="F1157" s="354"/>
      <c r="G1157" s="345" t="str">
        <f>IF(D1157="","",VLOOKUP(A1157,Materiais_Base!A:D,4,"FALSO"))</f>
        <v/>
      </c>
    </row>
    <row r="1158" hidden="1" customHeight="1" spans="1:7">
      <c r="A1158" s="352" t="s">
        <v>15436</v>
      </c>
      <c r="B1158" s="352" t="str">
        <f>IF(A1158="","",VLOOKUP(A1158,Materiais_Base!A:D,2,"FALSO"))</f>
        <v>Chapa múltipla metálica corrugada galvanizada tipo MP 152 lenticular ou similar - E = 2,70 mm, H = 2,45 m e vão = 3,90 m</v>
      </c>
      <c r="C1158" s="353" t="str">
        <f>IF(A1158="","",VLOOKUP(A1158,Materiais_Base!A:D,3,"FALSO"))</f>
        <v>m</v>
      </c>
      <c r="D1158" s="354" t="s">
        <v>932</v>
      </c>
      <c r="E1158" s="355" t="str">
        <f t="shared" si="24"/>
        <v/>
      </c>
      <c r="F1158" s="354"/>
      <c r="G1158" s="345" t="str">
        <f>IF(D1158="","",VLOOKUP(A1158,Materiais_Base!A:D,4,"FALSO"))</f>
        <v/>
      </c>
    </row>
    <row r="1159" hidden="1" customHeight="1" spans="1:7">
      <c r="A1159" s="352" t="s">
        <v>15437</v>
      </c>
      <c r="B1159" s="352" t="str">
        <f>IF(A1159="","",VLOOKUP(A1159,Materiais_Base!A:D,2,"FALSO"))</f>
        <v>Chapa múltipla metálica corrugada galvanizada tipo MP 152 lenticular ou similar - E = 2,70 mm, H = 2,55 m e vão = 4,00 m</v>
      </c>
      <c r="C1159" s="353" t="str">
        <f>IF(A1159="","",VLOOKUP(A1159,Materiais_Base!A:D,3,"FALSO"))</f>
        <v>m</v>
      </c>
      <c r="D1159" s="354" t="s">
        <v>932</v>
      </c>
      <c r="E1159" s="355" t="str">
        <f t="shared" si="24"/>
        <v/>
      </c>
      <c r="F1159" s="354"/>
      <c r="G1159" s="345" t="str">
        <f>IF(D1159="","",VLOOKUP(A1159,Materiais_Base!A:D,4,"FALSO"))</f>
        <v/>
      </c>
    </row>
    <row r="1160" hidden="1" customHeight="1" spans="1:7">
      <c r="A1160" s="352" t="s">
        <v>15438</v>
      </c>
      <c r="B1160" s="352" t="str">
        <f>IF(A1160="","",VLOOKUP(A1160,Materiais_Base!A:D,2,"FALSO"))</f>
        <v>Chapa múltipla metálica corrugada galvanizada tipo MP 152 lenticular ou similar - E = 2,70 mm, H = 2,80 m e vão = 4,15 m</v>
      </c>
      <c r="C1160" s="353" t="str">
        <f>IF(A1160="","",VLOOKUP(A1160,Materiais_Base!A:D,3,"FALSO"))</f>
        <v>m</v>
      </c>
      <c r="D1160" s="354" t="s">
        <v>932</v>
      </c>
      <c r="E1160" s="355" t="str">
        <f t="shared" si="24"/>
        <v/>
      </c>
      <c r="F1160" s="354"/>
      <c r="G1160" s="345" t="str">
        <f>IF(D1160="","",VLOOKUP(A1160,Materiais_Base!A:D,4,"FALSO"))</f>
        <v/>
      </c>
    </row>
    <row r="1161" hidden="1" customHeight="1" spans="1:7">
      <c r="A1161" s="352" t="s">
        <v>15439</v>
      </c>
      <c r="B1161" s="352" t="str">
        <f>IF(A1161="","",VLOOKUP(A1161,Materiais_Base!A:D,2,"FALSO"))</f>
        <v>Chapa múltipla metálica corrugada galvanizada tipo MP 152 lenticular ou similar - E = 2,70 mm, H = 2,90 m e vão = 4,40 m</v>
      </c>
      <c r="C1161" s="353" t="str">
        <f>IF(A1161="","",VLOOKUP(A1161,Materiais_Base!A:D,3,"FALSO"))</f>
        <v>m</v>
      </c>
      <c r="D1161" s="354" t="s">
        <v>932</v>
      </c>
      <c r="E1161" s="355" t="str">
        <f t="shared" si="24"/>
        <v/>
      </c>
      <c r="F1161" s="354"/>
      <c r="G1161" s="345" t="str">
        <f>IF(D1161="","",VLOOKUP(A1161,Materiais_Base!A:D,4,"FALSO"))</f>
        <v/>
      </c>
    </row>
    <row r="1162" hidden="1" customHeight="1" spans="1:7">
      <c r="A1162" s="352" t="s">
        <v>15440</v>
      </c>
      <c r="B1162" s="352" t="str">
        <f>IF(A1162="","",VLOOKUP(A1162,Materiais_Base!A:D,2,"FALSO"))</f>
        <v>Chapa múltipla metálica corrugada galvanizada tipo MP 152 lenticular ou similar - E = 2,70 mm, H = 3,00 m e vão = 4,60 m</v>
      </c>
      <c r="C1162" s="353" t="str">
        <f>IF(A1162="","",VLOOKUP(A1162,Materiais_Base!A:D,3,"FALSO"))</f>
        <v>m</v>
      </c>
      <c r="D1162" s="354" t="s">
        <v>932</v>
      </c>
      <c r="E1162" s="355" t="str">
        <f t="shared" si="24"/>
        <v/>
      </c>
      <c r="F1162" s="354"/>
      <c r="G1162" s="345" t="str">
        <f>IF(D1162="","",VLOOKUP(A1162,Materiais_Base!A:D,4,"FALSO"))</f>
        <v/>
      </c>
    </row>
    <row r="1163" hidden="1" customHeight="1" spans="1:7">
      <c r="A1163" s="352" t="s">
        <v>15441</v>
      </c>
      <c r="B1163" s="352" t="str">
        <f>IF(A1163="","",VLOOKUP(A1163,Materiais_Base!A:D,2,"FALSO"))</f>
        <v>Chapa múltipla metálica corrugada galvanizada tipo MP 152 lenticular ou similar - E = 3,40 mm, H = 3,05 m e vão = 4,80 m</v>
      </c>
      <c r="C1163" s="353" t="str">
        <f>IF(A1163="","",VLOOKUP(A1163,Materiais_Base!A:D,3,"FALSO"))</f>
        <v>m</v>
      </c>
      <c r="D1163" s="354" t="s">
        <v>932</v>
      </c>
      <c r="E1163" s="355" t="str">
        <f t="shared" si="24"/>
        <v/>
      </c>
      <c r="F1163" s="354"/>
      <c r="G1163" s="345" t="str">
        <f>IF(D1163="","",VLOOKUP(A1163,Materiais_Base!A:D,4,"FALSO"))</f>
        <v/>
      </c>
    </row>
    <row r="1164" hidden="1" customHeight="1" spans="1:7">
      <c r="A1164" s="352" t="s">
        <v>15442</v>
      </c>
      <c r="B1164" s="352" t="str">
        <f>IF(A1164="","",VLOOKUP(A1164,Materiais_Base!A:D,2,"FALSO"))</f>
        <v>Chapa múltipla metálica corrugada galvanizada tipo MP 152 lenticular ou similar - E = 3,40 mm, H = 3,15 m e vão = 5,05 m</v>
      </c>
      <c r="C1164" s="353" t="str">
        <f>IF(A1164="","",VLOOKUP(A1164,Materiais_Base!A:D,3,"FALSO"))</f>
        <v>m</v>
      </c>
      <c r="D1164" s="354" t="s">
        <v>932</v>
      </c>
      <c r="E1164" s="355" t="str">
        <f t="shared" si="24"/>
        <v/>
      </c>
      <c r="F1164" s="354"/>
      <c r="G1164" s="345" t="str">
        <f>IF(D1164="","",VLOOKUP(A1164,Materiais_Base!A:D,4,"FALSO"))</f>
        <v/>
      </c>
    </row>
    <row r="1165" hidden="1" customHeight="1" spans="1:7">
      <c r="A1165" s="352" t="s">
        <v>15443</v>
      </c>
      <c r="B1165" s="352" t="str">
        <f>IF(A1165="","",VLOOKUP(A1165,Materiais_Base!A:D,2,"FALSO"))</f>
        <v>Chapa múltipla metálica corrugada galvanizada tipo MP 152 lenticular ou similar - E = 3,40 mm, H = 3,25 m e vão = 5,25 m</v>
      </c>
      <c r="C1165" s="353" t="str">
        <f>IF(A1165="","",VLOOKUP(A1165,Materiais_Base!A:D,3,"FALSO"))</f>
        <v>m</v>
      </c>
      <c r="D1165" s="354" t="s">
        <v>932</v>
      </c>
      <c r="E1165" s="355" t="str">
        <f t="shared" si="24"/>
        <v/>
      </c>
      <c r="F1165" s="354"/>
      <c r="G1165" s="345" t="str">
        <f>IF(D1165="","",VLOOKUP(A1165,Materiais_Base!A:D,4,"FALSO"))</f>
        <v/>
      </c>
    </row>
    <row r="1166" hidden="1" customHeight="1" spans="1:7">
      <c r="A1166" s="352" t="s">
        <v>15444</v>
      </c>
      <c r="B1166" s="352" t="str">
        <f>IF(A1166="","",VLOOKUP(A1166,Materiais_Base!A:D,2,"FALSO"))</f>
        <v>Chapa múltipla metálica corrugada galvanizada tipo MP 152 lenticular ou similar - E = 3,90 mm, H = 3,35 m e vão = 5,45 m</v>
      </c>
      <c r="C1166" s="353" t="str">
        <f>IF(A1166="","",VLOOKUP(A1166,Materiais_Base!A:D,3,"FALSO"))</f>
        <v>m</v>
      </c>
      <c r="D1166" s="354" t="s">
        <v>932</v>
      </c>
      <c r="E1166" s="355" t="str">
        <f t="shared" si="24"/>
        <v/>
      </c>
      <c r="F1166" s="354"/>
      <c r="G1166" s="345" t="str">
        <f>IF(D1166="","",VLOOKUP(A1166,Materiais_Base!A:D,4,"FALSO"))</f>
        <v/>
      </c>
    </row>
    <row r="1167" hidden="1" customHeight="1" spans="1:7">
      <c r="A1167" s="352" t="s">
        <v>15445</v>
      </c>
      <c r="B1167" s="352" t="str">
        <f>IF(A1167="","",VLOOKUP(A1167,Materiais_Base!A:D,2,"FALSO"))</f>
        <v>Chapa múltipla metálica corrugada galvanizada tipo MP 152 lenticular ou similar - E = 3,90 mm, H = 3,40 m e vão = 5,60 m</v>
      </c>
      <c r="C1167" s="353" t="str">
        <f>IF(A1167="","",VLOOKUP(A1167,Materiais_Base!A:D,3,"FALSO"))</f>
        <v>m</v>
      </c>
      <c r="D1167" s="354" t="s">
        <v>932</v>
      </c>
      <c r="E1167" s="355" t="str">
        <f t="shared" si="24"/>
        <v/>
      </c>
      <c r="F1167" s="354"/>
      <c r="G1167" s="345" t="str">
        <f>IF(D1167="","",VLOOKUP(A1167,Materiais_Base!A:D,4,"FALSO"))</f>
        <v/>
      </c>
    </row>
    <row r="1168" hidden="1" customHeight="1" spans="1:7">
      <c r="A1168" s="352" t="s">
        <v>15446</v>
      </c>
      <c r="B1168" s="352" t="str">
        <f>IF(A1168="","",VLOOKUP(A1168,Materiais_Base!A:D,2,"FALSO"))</f>
        <v>Chapa múltipla metálica corrugada galvanizada tipo MP 152 lenticular ou similar - E = 4,70 mm, H = 3,50 m e vão = 5,80 m</v>
      </c>
      <c r="C1168" s="353" t="str">
        <f>IF(A1168="","",VLOOKUP(A1168,Materiais_Base!A:D,3,"FALSO"))</f>
        <v>m</v>
      </c>
      <c r="D1168" s="354" t="s">
        <v>932</v>
      </c>
      <c r="E1168" s="355" t="str">
        <f t="shared" si="24"/>
        <v/>
      </c>
      <c r="F1168" s="354"/>
      <c r="G1168" s="345" t="str">
        <f>IF(D1168="","",VLOOKUP(A1168,Materiais_Base!A:D,4,"FALSO"))</f>
        <v/>
      </c>
    </row>
    <row r="1169" hidden="1" customHeight="1" spans="1:7">
      <c r="A1169" s="352" t="s">
        <v>15447</v>
      </c>
      <c r="B1169" s="352" t="str">
        <f>IF(A1169="","",VLOOKUP(A1169,Materiais_Base!A:D,2,"FALSO"))</f>
        <v>Chapa múltipla metálica corrugada galvanizada tipo MP 152 lenticular ou similar - E = 4,70 mm, H = 3,55 m e vão = 5,90 m</v>
      </c>
      <c r="C1169" s="353" t="str">
        <f>IF(A1169="","",VLOOKUP(A1169,Materiais_Base!A:D,3,"FALSO"))</f>
        <v>m</v>
      </c>
      <c r="D1169" s="354" t="s">
        <v>932</v>
      </c>
      <c r="E1169" s="355" t="str">
        <f t="shared" si="24"/>
        <v/>
      </c>
      <c r="F1169" s="354"/>
      <c r="G1169" s="345" t="str">
        <f>IF(D1169="","",VLOOKUP(A1169,Materiais_Base!A:D,4,"FALSO"))</f>
        <v/>
      </c>
    </row>
    <row r="1170" hidden="1" customHeight="1" spans="1:7">
      <c r="A1170" s="352" t="s">
        <v>15448</v>
      </c>
      <c r="B1170" s="352" t="str">
        <f>IF(A1170="","",VLOOKUP(A1170,Materiais_Base!A:D,2,"FALSO"))</f>
        <v>Chapa múltipla metálica corrugada galvanizada tipo MP 152 lenticular ou similar - E = 4,70 mm, H = 3,65 m e vão = 6,10 m</v>
      </c>
      <c r="C1170" s="353" t="str">
        <f>IF(A1170="","",VLOOKUP(A1170,Materiais_Base!A:D,3,"FALSO"))</f>
        <v>m</v>
      </c>
      <c r="D1170" s="354" t="s">
        <v>932</v>
      </c>
      <c r="E1170" s="355" t="str">
        <f t="shared" si="24"/>
        <v/>
      </c>
      <c r="F1170" s="354"/>
      <c r="G1170" s="345" t="str">
        <f>IF(D1170="","",VLOOKUP(A1170,Materiais_Base!A:D,4,"FALSO"))</f>
        <v/>
      </c>
    </row>
    <row r="1171" hidden="1" customHeight="1" spans="1:7">
      <c r="A1171" s="352" t="s">
        <v>15449</v>
      </c>
      <c r="B1171" s="352" t="str">
        <f>IF(A1171="","",VLOOKUP(A1171,Materiais_Base!A:D,2,"FALSO"))</f>
        <v>Chapa múltipla metálica corrugada galvanizada tipo MP 152 lenticular ou similar - E = 4,70 mm, H = 3,65 m e vão = 6,25 m</v>
      </c>
      <c r="C1171" s="353" t="str">
        <f>IF(A1171="","",VLOOKUP(A1171,Materiais_Base!A:D,3,"FALSO"))</f>
        <v>m</v>
      </c>
      <c r="D1171" s="354" t="s">
        <v>932</v>
      </c>
      <c r="E1171" s="355" t="str">
        <f t="shared" si="24"/>
        <v/>
      </c>
      <c r="F1171" s="354"/>
      <c r="G1171" s="345" t="str">
        <f>IF(D1171="","",VLOOKUP(A1171,Materiais_Base!A:D,4,"FALSO"))</f>
        <v/>
      </c>
    </row>
    <row r="1172" hidden="1" customHeight="1" spans="1:7">
      <c r="A1172" s="352" t="s">
        <v>15450</v>
      </c>
      <c r="B1172" s="352" t="str">
        <f>IF(A1172="","",VLOOKUP(A1172,Materiais_Base!A:D,2,"FALSO"))</f>
        <v>Chapa múltipla metálica corrugada galvanizada tipo MP 152 lenticular ou similar - E = 6,40 mm, H = 3,75 m e vão = 6,40 m</v>
      </c>
      <c r="C1172" s="353" t="str">
        <f>IF(A1172="","",VLOOKUP(A1172,Materiais_Base!A:D,3,"FALSO"))</f>
        <v>m</v>
      </c>
      <c r="D1172" s="354" t="s">
        <v>932</v>
      </c>
      <c r="E1172" s="355" t="str">
        <f t="shared" si="24"/>
        <v/>
      </c>
      <c r="F1172" s="354"/>
      <c r="G1172" s="345" t="str">
        <f>IF(D1172="","",VLOOKUP(A1172,Materiais_Base!A:D,4,"FALSO"))</f>
        <v/>
      </c>
    </row>
    <row r="1173" hidden="1" customHeight="1" spans="1:7">
      <c r="A1173" s="352" t="s">
        <v>15451</v>
      </c>
      <c r="B1173" s="352" t="str">
        <f>IF(A1173="","",VLOOKUP(A1173,Materiais_Base!A:D,2,"FALSO"))</f>
        <v>Chapa múltipla metálica corrugada galvanizada tipo MP 152 lenticular ou similar - E = 6,40 mm, H = 3,85 m e vão = 6,60 m</v>
      </c>
      <c r="C1173" s="353" t="str">
        <f>IF(A1173="","",VLOOKUP(A1173,Materiais_Base!A:D,3,"FALSO"))</f>
        <v>m</v>
      </c>
      <c r="D1173" s="354" t="s">
        <v>932</v>
      </c>
      <c r="E1173" s="355" t="str">
        <f t="shared" si="24"/>
        <v/>
      </c>
      <c r="F1173" s="354"/>
      <c r="G1173" s="345" t="str">
        <f>IF(D1173="","",VLOOKUP(A1173,Materiais_Base!A:D,4,"FALSO"))</f>
        <v/>
      </c>
    </row>
    <row r="1174" hidden="1" customHeight="1" spans="1:7">
      <c r="A1174" s="352" t="s">
        <v>15452</v>
      </c>
      <c r="B1174" s="352" t="str">
        <f>IF(A1174="","",VLOOKUP(A1174,Materiais_Base!A:D,2,"FALSO"))</f>
        <v>Chapa múltipla metálica corrugada galvanizada tipo MP 152 ou similar para passagem de gado - E = 2,70 mm, H = 2,25 m e vão = 2,20 m</v>
      </c>
      <c r="C1174" s="353" t="str">
        <f>IF(A1174="","",VLOOKUP(A1174,Materiais_Base!A:D,3,"FALSO"))</f>
        <v>m</v>
      </c>
      <c r="D1174" s="354" t="s">
        <v>932</v>
      </c>
      <c r="E1174" s="355" t="str">
        <f t="shared" si="24"/>
        <v/>
      </c>
      <c r="F1174" s="354"/>
      <c r="G1174" s="345" t="str">
        <f>IF(D1174="","",VLOOKUP(A1174,Materiais_Base!A:D,4,"FALSO"))</f>
        <v/>
      </c>
    </row>
    <row r="1175" hidden="1" customHeight="1" spans="1:7">
      <c r="A1175" s="352" t="s">
        <v>15453</v>
      </c>
      <c r="B1175" s="352" t="str">
        <f>IF(A1175="","",VLOOKUP(A1175,Materiais_Base!A:D,2,"FALSO"))</f>
        <v>Chapa múltipla metálica corrugada galvanizada tipo MP 152 ou similar para passagem de gado - E = 2,70 mm, H = 3,10 m e vão = 2,90 m</v>
      </c>
      <c r="C1175" s="353" t="str">
        <f>IF(A1175="","",VLOOKUP(A1175,Materiais_Base!A:D,3,"FALSO"))</f>
        <v>m</v>
      </c>
      <c r="D1175" s="354" t="s">
        <v>932</v>
      </c>
      <c r="E1175" s="355" t="str">
        <f t="shared" si="24"/>
        <v/>
      </c>
      <c r="F1175" s="354"/>
      <c r="G1175" s="345" t="str">
        <f>IF(D1175="","",VLOOKUP(A1175,Materiais_Base!A:D,4,"FALSO"))</f>
        <v/>
      </c>
    </row>
    <row r="1176" hidden="1" customHeight="1" spans="1:7">
      <c r="A1176" s="352" t="s">
        <v>15454</v>
      </c>
      <c r="B1176" s="352" t="str">
        <f>IF(A1176="","",VLOOKUP(A1176,Materiais_Base!A:D,2,"FALSO"))</f>
        <v>Chapa múltipla metálica corrugada galvanizada tipo MP 152 ou similar para passagem inferior - E = 2,70 mm, H = 3,50 m e vão = 3,70 m</v>
      </c>
      <c r="C1176" s="353" t="str">
        <f>IF(A1176="","",VLOOKUP(A1176,Materiais_Base!A:D,3,"FALSO"))</f>
        <v>m</v>
      </c>
      <c r="D1176" s="354" t="s">
        <v>932</v>
      </c>
      <c r="E1176" s="355" t="str">
        <f t="shared" si="24"/>
        <v/>
      </c>
      <c r="F1176" s="354"/>
      <c r="G1176" s="345" t="str">
        <f>IF(D1176="","",VLOOKUP(A1176,Materiais_Base!A:D,4,"FALSO"))</f>
        <v/>
      </c>
    </row>
    <row r="1177" hidden="1" customHeight="1" spans="1:7">
      <c r="A1177" s="352" t="s">
        <v>15455</v>
      </c>
      <c r="B1177" s="352" t="str">
        <f>IF(A1177="","",VLOOKUP(A1177,Materiais_Base!A:D,2,"FALSO"))</f>
        <v>Chapa múltipla metálica corrugada galvanizada tipo MP 152 ou similar para passagem inferior - E = 2,70 mm, H = 3,60 m e vão = 3,90 m</v>
      </c>
      <c r="C1177" s="353" t="str">
        <f>IF(A1177="","",VLOOKUP(A1177,Materiais_Base!A:D,3,"FALSO"))</f>
        <v>m</v>
      </c>
      <c r="D1177" s="354" t="s">
        <v>932</v>
      </c>
      <c r="E1177" s="355" t="str">
        <f t="shared" ref="E1177:E1240" si="25">IF(D1177="","",MIN(D1177,F1177))</f>
        <v/>
      </c>
      <c r="F1177" s="354"/>
      <c r="G1177" s="345" t="str">
        <f>IF(D1177="","",VLOOKUP(A1177,Materiais_Base!A:D,4,"FALSO"))</f>
        <v/>
      </c>
    </row>
    <row r="1178" hidden="1" customHeight="1" spans="1:7">
      <c r="A1178" s="352" t="s">
        <v>15456</v>
      </c>
      <c r="B1178" s="352" t="str">
        <f>IF(A1178="","",VLOOKUP(A1178,Materiais_Base!A:D,2,"FALSO"))</f>
        <v>Chapa múltipla metálica corrugada galvanizada tipo MP 152 ou similar para passagem inferior - E = 2,70 mm, H = 3,75 m e vão = 4,00 m</v>
      </c>
      <c r="C1178" s="353" t="str">
        <f>IF(A1178="","",VLOOKUP(A1178,Materiais_Base!A:D,3,"FALSO"))</f>
        <v>m</v>
      </c>
      <c r="D1178" s="354" t="s">
        <v>932</v>
      </c>
      <c r="E1178" s="355" t="str">
        <f t="shared" si="25"/>
        <v/>
      </c>
      <c r="F1178" s="354"/>
      <c r="G1178" s="345" t="str">
        <f>IF(D1178="","",VLOOKUP(A1178,Materiais_Base!A:D,4,"FALSO"))</f>
        <v/>
      </c>
    </row>
    <row r="1179" hidden="1" customHeight="1" spans="1:7">
      <c r="A1179" s="352" t="s">
        <v>15457</v>
      </c>
      <c r="B1179" s="352" t="str">
        <f>IF(A1179="","",VLOOKUP(A1179,Materiais_Base!A:D,2,"FALSO"))</f>
        <v>Chapa múltipla metálica corrugada galvanizada tipo MP 152 ou similar para passagem inferior - E = 2,70 mm, H = 3,90 m e vão = 4,20 m</v>
      </c>
      <c r="C1179" s="353" t="str">
        <f>IF(A1179="","",VLOOKUP(A1179,Materiais_Base!A:D,3,"FALSO"))</f>
        <v>m</v>
      </c>
      <c r="D1179" s="354" t="s">
        <v>932</v>
      </c>
      <c r="E1179" s="355" t="str">
        <f t="shared" si="25"/>
        <v/>
      </c>
      <c r="F1179" s="354"/>
      <c r="G1179" s="345" t="str">
        <f>IF(D1179="","",VLOOKUP(A1179,Materiais_Base!A:D,4,"FALSO"))</f>
        <v/>
      </c>
    </row>
    <row r="1180" hidden="1" customHeight="1" spans="1:7">
      <c r="A1180" s="352" t="s">
        <v>15458</v>
      </c>
      <c r="B1180" s="352" t="str">
        <f>IF(A1180="","",VLOOKUP(A1180,Materiais_Base!A:D,2,"FALSO"))</f>
        <v>Chapa múltipla metálica corrugada galvanizada tipo MP 152 ou similar para passagem inferior - E = 2,70 mm, H = 4,10 m e vão = 4,25 m</v>
      </c>
      <c r="C1180" s="353" t="str">
        <f>IF(A1180="","",VLOOKUP(A1180,Materiais_Base!A:D,3,"FALSO"))</f>
        <v>m</v>
      </c>
      <c r="D1180" s="354" t="s">
        <v>932</v>
      </c>
      <c r="E1180" s="355" t="str">
        <f t="shared" si="25"/>
        <v/>
      </c>
      <c r="F1180" s="354"/>
      <c r="G1180" s="345" t="str">
        <f>IF(D1180="","",VLOOKUP(A1180,Materiais_Base!A:D,4,"FALSO"))</f>
        <v/>
      </c>
    </row>
    <row r="1181" hidden="1" customHeight="1" spans="1:7">
      <c r="A1181" s="352" t="s">
        <v>15459</v>
      </c>
      <c r="B1181" s="352" t="str">
        <f>IF(A1181="","",VLOOKUP(A1181,Materiais_Base!A:D,2,"FALSO"))</f>
        <v>Chapa múltipla metálica corrugada galvanizada tipo MP 152 ou similar para passagem inferior - E = 2,70 mm, H = 4,25 m e vão = 4,40 m</v>
      </c>
      <c r="C1181" s="353" t="str">
        <f>IF(A1181="","",VLOOKUP(A1181,Materiais_Base!A:D,3,"FALSO"))</f>
        <v>m</v>
      </c>
      <c r="D1181" s="354" t="s">
        <v>932</v>
      </c>
      <c r="E1181" s="355" t="str">
        <f t="shared" si="25"/>
        <v/>
      </c>
      <c r="F1181" s="354"/>
      <c r="G1181" s="345" t="str">
        <f>IF(D1181="","",VLOOKUP(A1181,Materiais_Base!A:D,4,"FALSO"))</f>
        <v/>
      </c>
    </row>
    <row r="1182" hidden="1" customHeight="1" spans="1:7">
      <c r="A1182" s="352" t="s">
        <v>15460</v>
      </c>
      <c r="B1182" s="352" t="str">
        <f>IF(A1182="","",VLOOKUP(A1182,Materiais_Base!A:D,2,"FALSO"))</f>
        <v>Chapa múltipla metálica corrugada galvanizada tipo MP 152 ou similar para passagem inferior - E = 2,70 mm, H = 4,40 m e vão = 4,50 m</v>
      </c>
      <c r="C1182" s="353" t="str">
        <f>IF(A1182="","",VLOOKUP(A1182,Materiais_Base!A:D,3,"FALSO"))</f>
        <v>m</v>
      </c>
      <c r="D1182" s="354" t="s">
        <v>932</v>
      </c>
      <c r="E1182" s="355" t="str">
        <f t="shared" si="25"/>
        <v/>
      </c>
      <c r="F1182" s="354"/>
      <c r="G1182" s="345" t="str">
        <f>IF(D1182="","",VLOOKUP(A1182,Materiais_Base!A:D,4,"FALSO"))</f>
        <v/>
      </c>
    </row>
    <row r="1183" hidden="1" customHeight="1" spans="1:7">
      <c r="A1183" s="352" t="s">
        <v>15461</v>
      </c>
      <c r="B1183" s="352" t="str">
        <f>IF(A1183="","",VLOOKUP(A1183,Materiais_Base!A:D,2,"FALSO"))</f>
        <v>Chapa múltipla metálica corrugada galvanizada tipo MP 152 ou similar para passagem inferior - E = 3,40 mm, H = 4,50 m e vão = 4,70 m</v>
      </c>
      <c r="C1183" s="353" t="str">
        <f>IF(A1183="","",VLOOKUP(A1183,Materiais_Base!A:D,3,"FALSO"))</f>
        <v>m</v>
      </c>
      <c r="D1183" s="354" t="s">
        <v>932</v>
      </c>
      <c r="E1183" s="355" t="str">
        <f t="shared" si="25"/>
        <v/>
      </c>
      <c r="F1183" s="354"/>
      <c r="G1183" s="345" t="str">
        <f>IF(D1183="","",VLOOKUP(A1183,Materiais_Base!A:D,4,"FALSO"))</f>
        <v/>
      </c>
    </row>
    <row r="1184" hidden="1" customHeight="1" spans="1:7">
      <c r="A1184" s="352" t="s">
        <v>15462</v>
      </c>
      <c r="B1184" s="352" t="str">
        <f>IF(A1184="","",VLOOKUP(A1184,Materiais_Base!A:D,2,"FALSO"))</f>
        <v>Chapa múltipla metálica corrugada galvanizada tipo MP 152 ou similar para passagem inferior - E = 3,40 mm, H = 4,75 m e vão = 4,80 m</v>
      </c>
      <c r="C1184" s="353" t="str">
        <f>IF(A1184="","",VLOOKUP(A1184,Materiais_Base!A:D,3,"FALSO"))</f>
        <v>m</v>
      </c>
      <c r="D1184" s="354" t="s">
        <v>932</v>
      </c>
      <c r="E1184" s="355" t="str">
        <f t="shared" si="25"/>
        <v/>
      </c>
      <c r="F1184" s="354"/>
      <c r="G1184" s="345" t="str">
        <f>IF(D1184="","",VLOOKUP(A1184,Materiais_Base!A:D,4,"FALSO"))</f>
        <v/>
      </c>
    </row>
    <row r="1185" hidden="1" customHeight="1" spans="1:7">
      <c r="A1185" s="352" t="s">
        <v>15463</v>
      </c>
      <c r="B1185" s="352" t="str">
        <f>IF(A1185="","",VLOOKUP(A1185,Materiais_Base!A:D,2,"FALSO"))</f>
        <v>Chapa múltipla metálica corrugada galvanizada tipo MP 152 ou similar para passagem inferior - E = 3,40 mm, H = 4,85 m e vão = 5,00 m</v>
      </c>
      <c r="C1185" s="353" t="str">
        <f>IF(A1185="","",VLOOKUP(A1185,Materiais_Base!A:D,3,"FALSO"))</f>
        <v>m</v>
      </c>
      <c r="D1185" s="354" t="s">
        <v>932</v>
      </c>
      <c r="E1185" s="355" t="str">
        <f t="shared" si="25"/>
        <v/>
      </c>
      <c r="F1185" s="354"/>
      <c r="G1185" s="345" t="str">
        <f>IF(D1185="","",VLOOKUP(A1185,Materiais_Base!A:D,4,"FALSO"))</f>
        <v/>
      </c>
    </row>
    <row r="1186" hidden="1" customHeight="1" spans="1:7">
      <c r="A1186" s="352" t="s">
        <v>15464</v>
      </c>
      <c r="B1186" s="352" t="str">
        <f>IF(A1186="","",VLOOKUP(A1186,Materiais_Base!A:D,2,"FALSO"))</f>
        <v>Chapa múltipla metálica corrugada galvanizada tipo MP 152 ou similar para passagem inferior - E = 3,40 mm, H = 4,90 m e vão = 5,15 m</v>
      </c>
      <c r="C1186" s="353" t="str">
        <f>IF(A1186="","",VLOOKUP(A1186,Materiais_Base!A:D,3,"FALSO"))</f>
        <v>m</v>
      </c>
      <c r="D1186" s="354" t="s">
        <v>932</v>
      </c>
      <c r="E1186" s="355" t="str">
        <f t="shared" si="25"/>
        <v/>
      </c>
      <c r="F1186" s="354"/>
      <c r="G1186" s="345" t="str">
        <f>IF(D1186="","",VLOOKUP(A1186,Materiais_Base!A:D,4,"FALSO"))</f>
        <v/>
      </c>
    </row>
    <row r="1187" hidden="1" customHeight="1" spans="1:7">
      <c r="A1187" s="352" t="s">
        <v>15465</v>
      </c>
      <c r="B1187" s="352" t="str">
        <f>IF(A1187="","",VLOOKUP(A1187,Materiais_Base!A:D,2,"FALSO"))</f>
        <v>Chapa múltipla metálica corrugada galvanizada tipo MP 152 ou similar para passagem inferior - E = 3,40 mm, H = 5,00 m e vão = 5,25 m</v>
      </c>
      <c r="C1187" s="353" t="str">
        <f>IF(A1187="","",VLOOKUP(A1187,Materiais_Base!A:D,3,"FALSO"))</f>
        <v>m</v>
      </c>
      <c r="D1187" s="354" t="s">
        <v>932</v>
      </c>
      <c r="E1187" s="355" t="str">
        <f t="shared" si="25"/>
        <v/>
      </c>
      <c r="F1187" s="354"/>
      <c r="G1187" s="345" t="str">
        <f>IF(D1187="","",VLOOKUP(A1187,Materiais_Base!A:D,4,"FALSO"))</f>
        <v/>
      </c>
    </row>
    <row r="1188" hidden="1" customHeight="1" spans="1:7">
      <c r="A1188" s="352" t="s">
        <v>15466</v>
      </c>
      <c r="B1188" s="352" t="str">
        <f>IF(A1188="","",VLOOKUP(A1188,Materiais_Base!A:D,2,"FALSO"))</f>
        <v>Chapa múltipla metálica corrugada galvanizada tipo MP 152 ou similar para passagem inferior - E = 3,40 mm, H = 5,30 m e vão = 5,30 m</v>
      </c>
      <c r="C1188" s="353" t="str">
        <f>IF(A1188="","",VLOOKUP(A1188,Materiais_Base!A:D,3,"FALSO"))</f>
        <v>m</v>
      </c>
      <c r="D1188" s="354" t="s">
        <v>932</v>
      </c>
      <c r="E1188" s="355" t="str">
        <f t="shared" si="25"/>
        <v/>
      </c>
      <c r="F1188" s="354"/>
      <c r="G1188" s="345" t="str">
        <f>IF(D1188="","",VLOOKUP(A1188,Materiais_Base!A:D,4,"FALSO"))</f>
        <v/>
      </c>
    </row>
    <row r="1189" hidden="1" customHeight="1" spans="1:7">
      <c r="A1189" s="352" t="s">
        <v>15467</v>
      </c>
      <c r="B1189" s="352" t="str">
        <f>IF(A1189="","",VLOOKUP(A1189,Materiais_Base!A:D,2,"FALSO"))</f>
        <v>Chapa múltipla metálica corrugada galvanizada tipo MP 152 ou similar para passagem inferior - E = 3,90 mm, H = 5,25 m e vão = 5,65 m</v>
      </c>
      <c r="C1189" s="353" t="str">
        <f>IF(A1189="","",VLOOKUP(A1189,Materiais_Base!A:D,3,"FALSO"))</f>
        <v>m</v>
      </c>
      <c r="D1189" s="354" t="s">
        <v>932</v>
      </c>
      <c r="E1189" s="355" t="str">
        <f t="shared" si="25"/>
        <v/>
      </c>
      <c r="F1189" s="354"/>
      <c r="G1189" s="345" t="str">
        <f>IF(D1189="","",VLOOKUP(A1189,Materiais_Base!A:D,4,"FALSO"))</f>
        <v/>
      </c>
    </row>
    <row r="1190" hidden="1" customHeight="1" spans="1:7">
      <c r="A1190" s="352" t="s">
        <v>15468</v>
      </c>
      <c r="B1190" s="352" t="str">
        <f>IF(A1190="","",VLOOKUP(A1190,Materiais_Base!A:D,2,"FALSO"))</f>
        <v>Chapa múltipla metálica corrugada galvanizada tipo MP 152 ou similar para passagem inferior - E = 4,70 mm, H = 5,30 m e vão = 5,85 m</v>
      </c>
      <c r="C1190" s="353" t="str">
        <f>IF(A1190="","",VLOOKUP(A1190,Materiais_Base!A:D,3,"FALSO"))</f>
        <v>m</v>
      </c>
      <c r="D1190" s="354" t="s">
        <v>932</v>
      </c>
      <c r="E1190" s="355" t="str">
        <f t="shared" si="25"/>
        <v/>
      </c>
      <c r="F1190" s="354"/>
      <c r="G1190" s="345" t="str">
        <f>IF(D1190="","",VLOOKUP(A1190,Materiais_Base!A:D,4,"FALSO"))</f>
        <v/>
      </c>
    </row>
    <row r="1191" hidden="1" customHeight="1" spans="1:7">
      <c r="A1191" s="352" t="s">
        <v>15469</v>
      </c>
      <c r="B1191" s="352" t="str">
        <f>IF(A1191="","",VLOOKUP(A1191,Materiais_Base!A:D,2,"FALSO"))</f>
        <v>Chapa múltipla metálica corrugada galvanizada tipo MP 152 ou similar para passagem inferior - E = 4,70 mm, H = 5,45 m e vão = 6,00 m</v>
      </c>
      <c r="C1191" s="353" t="str">
        <f>IF(A1191="","",VLOOKUP(A1191,Materiais_Base!A:D,3,"FALSO"))</f>
        <v>m</v>
      </c>
      <c r="D1191" s="354" t="s">
        <v>932</v>
      </c>
      <c r="E1191" s="355" t="str">
        <f t="shared" si="25"/>
        <v/>
      </c>
      <c r="F1191" s="354"/>
      <c r="G1191" s="345" t="str">
        <f>IF(D1191="","",VLOOKUP(A1191,Materiais_Base!A:D,4,"FALSO"))</f>
        <v/>
      </c>
    </row>
    <row r="1192" hidden="1" customHeight="1" spans="1:7">
      <c r="A1192" s="352" t="s">
        <v>15470</v>
      </c>
      <c r="B1192" s="352" t="str">
        <f>IF(A1192="","",VLOOKUP(A1192,Materiais_Base!A:D,2,"FALSO"))</f>
        <v>Chapa múltipla metálica corrugada galvanizada tipo MP 152 ou similar para passagem inferior - E = 4,70 mm, H = 5,50 m e vão = 6,25 m</v>
      </c>
      <c r="C1192" s="353" t="str">
        <f>IF(A1192="","",VLOOKUP(A1192,Materiais_Base!A:D,3,"FALSO"))</f>
        <v>m</v>
      </c>
      <c r="D1192" s="354" t="s">
        <v>932</v>
      </c>
      <c r="E1192" s="355" t="str">
        <f t="shared" si="25"/>
        <v/>
      </c>
      <c r="F1192" s="354"/>
      <c r="G1192" s="345" t="str">
        <f>IF(D1192="","",VLOOKUP(A1192,Materiais_Base!A:D,4,"FALSO"))</f>
        <v/>
      </c>
    </row>
    <row r="1193" hidden="1" customHeight="1" spans="1:7">
      <c r="A1193" s="352" t="s">
        <v>15471</v>
      </c>
      <c r="B1193" s="352" t="str">
        <f>IF(A1193="","",VLOOKUP(A1193,Materiais_Base!A:D,2,"FALSO"))</f>
        <v>Chapa múltipla metálica corrugada galvanizada de arco alto tipo MP 152S ou similar - E = 4,70 mm, H = 2,77 m e vão = 6,12 m</v>
      </c>
      <c r="C1193" s="353" t="str">
        <f>IF(A1193="","",VLOOKUP(A1193,Materiais_Base!A:D,3,"FALSO"))</f>
        <v>m</v>
      </c>
      <c r="D1193" s="354" t="s">
        <v>932</v>
      </c>
      <c r="E1193" s="355" t="str">
        <f t="shared" si="25"/>
        <v/>
      </c>
      <c r="F1193" s="354"/>
      <c r="G1193" s="345" t="str">
        <f>IF(D1193="","",VLOOKUP(A1193,Materiais_Base!A:D,4,"FALSO"))</f>
        <v/>
      </c>
    </row>
    <row r="1194" hidden="1" customHeight="1" spans="1:7">
      <c r="A1194" s="352" t="s">
        <v>15472</v>
      </c>
      <c r="B1194" s="352" t="str">
        <f>IF(A1194="","",VLOOKUP(A1194,Materiais_Base!A:D,2,"FALSO"))</f>
        <v>Chapa múltipla metálica corrugada galvanizada de arco alto tipo MP 152S ou similar - E = 4,70 mm, H = 3,68 m e vão = 6,30 m</v>
      </c>
      <c r="C1194" s="353" t="str">
        <f>IF(A1194="","",VLOOKUP(A1194,Materiais_Base!A:D,3,"FALSO"))</f>
        <v>m</v>
      </c>
      <c r="D1194" s="354" t="s">
        <v>932</v>
      </c>
      <c r="E1194" s="355" t="str">
        <f t="shared" si="25"/>
        <v/>
      </c>
      <c r="F1194" s="354"/>
      <c r="G1194" s="345" t="str">
        <f>IF(D1194="","",VLOOKUP(A1194,Materiais_Base!A:D,4,"FALSO"))</f>
        <v/>
      </c>
    </row>
    <row r="1195" hidden="1" customHeight="1" spans="1:7">
      <c r="A1195" s="352" t="s">
        <v>15473</v>
      </c>
      <c r="B1195" s="352" t="str">
        <f>IF(A1195="","",VLOOKUP(A1195,Materiais_Base!A:D,2,"FALSO"))</f>
        <v>Chapa múltipla metálica corrugada galvanizada de arco alto tipo MP 152S ou similar - E = 4,70 mm, H = 3,56 m e vão = 6,55 m</v>
      </c>
      <c r="C1195" s="353" t="str">
        <f>IF(A1195="","",VLOOKUP(A1195,Materiais_Base!A:D,3,"FALSO"))</f>
        <v>m</v>
      </c>
      <c r="D1195" s="354" t="s">
        <v>932</v>
      </c>
      <c r="E1195" s="355" t="str">
        <f t="shared" si="25"/>
        <v/>
      </c>
      <c r="F1195" s="354"/>
      <c r="G1195" s="345" t="str">
        <f>IF(D1195="","",VLOOKUP(A1195,Materiais_Base!A:D,4,"FALSO"))</f>
        <v/>
      </c>
    </row>
    <row r="1196" hidden="1" customHeight="1" spans="1:7">
      <c r="A1196" s="352" t="s">
        <v>15474</v>
      </c>
      <c r="B1196" s="352" t="str">
        <f>IF(A1196="","",VLOOKUP(A1196,Materiais_Base!A:D,2,"FALSO"))</f>
        <v>Chapa múltipla metálica corrugada galvanizada de arco alto tipo MP 152S ou similar - E = 4,70 mm, H = 4,42 m e vão = 6,96 m</v>
      </c>
      <c r="C1196" s="353" t="str">
        <f>IF(A1196="","",VLOOKUP(A1196,Materiais_Base!A:D,3,"FALSO"))</f>
        <v>m</v>
      </c>
      <c r="D1196" s="354" t="s">
        <v>932</v>
      </c>
      <c r="E1196" s="355" t="str">
        <f t="shared" si="25"/>
        <v/>
      </c>
      <c r="F1196" s="354"/>
      <c r="G1196" s="345" t="str">
        <f>IF(D1196="","",VLOOKUP(A1196,Materiais_Base!A:D,4,"FALSO"))</f>
        <v/>
      </c>
    </row>
    <row r="1197" hidden="1" customHeight="1" spans="1:7">
      <c r="A1197" s="352" t="s">
        <v>15475</v>
      </c>
      <c r="B1197" s="352" t="str">
        <f>IF(A1197="","",VLOOKUP(A1197,Materiais_Base!A:D,2,"FALSO"))</f>
        <v>Chapa múltipla metálica corrugada galvanizada de arco alto tipo MP 152S ou similar - E = 4,70 mm, H = 3,61 m e vão = 6,78 m</v>
      </c>
      <c r="C1197" s="353" t="str">
        <f>IF(A1197="","",VLOOKUP(A1197,Materiais_Base!A:D,3,"FALSO"))</f>
        <v>m</v>
      </c>
      <c r="D1197" s="354" t="s">
        <v>932</v>
      </c>
      <c r="E1197" s="355" t="str">
        <f t="shared" si="25"/>
        <v/>
      </c>
      <c r="F1197" s="354"/>
      <c r="G1197" s="345" t="str">
        <f>IF(D1197="","",VLOOKUP(A1197,Materiais_Base!A:D,4,"FALSO"))</f>
        <v/>
      </c>
    </row>
    <row r="1198" hidden="1" customHeight="1" spans="1:7">
      <c r="A1198" s="352" t="s">
        <v>15476</v>
      </c>
      <c r="B1198" s="352" t="str">
        <f>IF(A1198="","",VLOOKUP(A1198,Materiais_Base!A:D,2,"FALSO"))</f>
        <v>Chapa múltipla metálica corrugada galvanizada de arco alto tipo MP 152S ou similar - E = 4,70 mm, H = 4,27 m e vão = 6,99 m</v>
      </c>
      <c r="C1198" s="353" t="str">
        <f>IF(A1198="","",VLOOKUP(A1198,Materiais_Base!A:D,3,"FALSO"))</f>
        <v>m</v>
      </c>
      <c r="D1198" s="354" t="s">
        <v>932</v>
      </c>
      <c r="E1198" s="355" t="str">
        <f t="shared" si="25"/>
        <v/>
      </c>
      <c r="F1198" s="354"/>
      <c r="G1198" s="345" t="str">
        <f>IF(D1198="","",VLOOKUP(A1198,Materiais_Base!A:D,4,"FALSO"))</f>
        <v/>
      </c>
    </row>
    <row r="1199" hidden="1" customHeight="1" spans="1:7">
      <c r="A1199" s="352" t="s">
        <v>15477</v>
      </c>
      <c r="B1199" s="352" t="str">
        <f>IF(A1199="","",VLOOKUP(A1199,Materiais_Base!A:D,2,"FALSO"))</f>
        <v>Chapa múltipla metálica corrugada galvanizada de arco alto tipo MP 152S ou similar - E = 4,70 mm, H = 3,63 m e vão = 7,01 m</v>
      </c>
      <c r="C1199" s="353" t="str">
        <f>IF(A1199="","",VLOOKUP(A1199,Materiais_Base!A:D,3,"FALSO"))</f>
        <v>m</v>
      </c>
      <c r="D1199" s="354" t="s">
        <v>932</v>
      </c>
      <c r="E1199" s="355" t="str">
        <f t="shared" si="25"/>
        <v/>
      </c>
      <c r="F1199" s="354"/>
      <c r="G1199" s="345" t="str">
        <f>IF(D1199="","",VLOOKUP(A1199,Materiais_Base!A:D,4,"FALSO"))</f>
        <v/>
      </c>
    </row>
    <row r="1200" hidden="1" customHeight="1" spans="1:7">
      <c r="A1200" s="352" t="s">
        <v>15478</v>
      </c>
      <c r="B1200" s="352" t="str">
        <f>IF(A1200="","",VLOOKUP(A1200,Materiais_Base!A:D,2,"FALSO"))</f>
        <v>Chapa múltipla metálica corrugada galvanizada de arco alto tipo MP 152S ou similar - E = 4,70 mm, H = 4,52 m e vão = 7,42 m</v>
      </c>
      <c r="C1200" s="353" t="str">
        <f>IF(A1200="","",VLOOKUP(A1200,Materiais_Base!A:D,3,"FALSO"))</f>
        <v>m</v>
      </c>
      <c r="D1200" s="354" t="s">
        <v>932</v>
      </c>
      <c r="E1200" s="355" t="str">
        <f t="shared" si="25"/>
        <v/>
      </c>
      <c r="F1200" s="354"/>
      <c r="G1200" s="345" t="str">
        <f>IF(D1200="","",VLOOKUP(A1200,Materiais_Base!A:D,4,"FALSO"))</f>
        <v/>
      </c>
    </row>
    <row r="1201" hidden="1" customHeight="1" spans="1:7">
      <c r="A1201" s="352" t="s">
        <v>15479</v>
      </c>
      <c r="B1201" s="352" t="str">
        <f>IF(A1201="","",VLOOKUP(A1201,Materiais_Base!A:D,2,"FALSO"))</f>
        <v>Chapa múltipla metálica corrugada galvanizada de arco alto tipo MP 152S ou similar - E = 4,70 mm, H = 3,68 m e vão = 7,24 m</v>
      </c>
      <c r="C1201" s="353" t="str">
        <f>IF(A1201="","",VLOOKUP(A1201,Materiais_Base!A:D,3,"FALSO"))</f>
        <v>m</v>
      </c>
      <c r="D1201" s="354" t="s">
        <v>932</v>
      </c>
      <c r="E1201" s="355" t="str">
        <f t="shared" si="25"/>
        <v/>
      </c>
      <c r="F1201" s="354"/>
      <c r="G1201" s="345" t="str">
        <f>IF(D1201="","",VLOOKUP(A1201,Materiais_Base!A:D,4,"FALSO"))</f>
        <v/>
      </c>
    </row>
    <row r="1202" hidden="1" customHeight="1" spans="1:7">
      <c r="A1202" s="352" t="s">
        <v>15480</v>
      </c>
      <c r="B1202" s="352" t="str">
        <f>IF(A1202="","",VLOOKUP(A1202,Materiais_Base!A:D,2,"FALSO"))</f>
        <v>Chapa múltipla metálica corrugada galvanizada de arco alto tipo MP 152S ou similar - E = 4,70 mm, H = 4,19 m e vão = 7,47 m</v>
      </c>
      <c r="C1202" s="353" t="str">
        <f>IF(A1202="","",VLOOKUP(A1202,Materiais_Base!A:D,3,"FALSO"))</f>
        <v>m</v>
      </c>
      <c r="D1202" s="354" t="s">
        <v>932</v>
      </c>
      <c r="E1202" s="355" t="str">
        <f t="shared" si="25"/>
        <v/>
      </c>
      <c r="F1202" s="354"/>
      <c r="G1202" s="345" t="str">
        <f>IF(D1202="","",VLOOKUP(A1202,Materiais_Base!A:D,4,"FALSO"))</f>
        <v/>
      </c>
    </row>
    <row r="1203" hidden="1" customHeight="1" spans="1:7">
      <c r="A1203" s="352" t="s">
        <v>15481</v>
      </c>
      <c r="B1203" s="352" t="str">
        <f>IF(A1203="","",VLOOKUP(A1203,Materiais_Base!A:D,2,"FALSO"))</f>
        <v>Chapa múltipla metálica corrugada galvanizada de arco alto tipo MP 152S ou similar - E = 4,70 mm, H = 4,60 m e vão = 7,85 m</v>
      </c>
      <c r="C1203" s="353" t="str">
        <f>IF(A1203="","",VLOOKUP(A1203,Materiais_Base!A:D,3,"FALSO"))</f>
        <v>m</v>
      </c>
      <c r="D1203" s="354" t="s">
        <v>932</v>
      </c>
      <c r="E1203" s="355" t="str">
        <f t="shared" si="25"/>
        <v/>
      </c>
      <c r="F1203" s="354"/>
      <c r="G1203" s="345" t="str">
        <f>IF(D1203="","",VLOOKUP(A1203,Materiais_Base!A:D,4,"FALSO"))</f>
        <v/>
      </c>
    </row>
    <row r="1204" hidden="1" customHeight="1" spans="1:7">
      <c r="A1204" s="352" t="s">
        <v>15482</v>
      </c>
      <c r="B1204" s="352" t="str">
        <f>IF(A1204="","",VLOOKUP(A1204,Materiais_Base!A:D,2,"FALSO"))</f>
        <v>Chapa múltipla metálica corrugada galvanizada de arco alto tipo MP 152S ou similar - E = 4,70 mm, H = 3,99 m e vão = 7,67 m</v>
      </c>
      <c r="C1204" s="353" t="str">
        <f>IF(A1204="","",VLOOKUP(A1204,Materiais_Base!A:D,3,"FALSO"))</f>
        <v>m</v>
      </c>
      <c r="D1204" s="354" t="s">
        <v>932</v>
      </c>
      <c r="E1204" s="355" t="str">
        <f t="shared" si="25"/>
        <v/>
      </c>
      <c r="F1204" s="354"/>
      <c r="G1204" s="345" t="str">
        <f>IF(D1204="","",VLOOKUP(A1204,Materiais_Base!A:D,4,"FALSO"))</f>
        <v/>
      </c>
    </row>
    <row r="1205" hidden="1" customHeight="1" spans="1:7">
      <c r="A1205" s="352" t="s">
        <v>15483</v>
      </c>
      <c r="B1205" s="352" t="str">
        <f>IF(A1205="","",VLOOKUP(A1205,Materiais_Base!A:D,2,"FALSO"))</f>
        <v>Chapa múltipla metálica corrugada galvanizada de arco alto tipo MP 152S ou similar - E = 4,70 mm, H = 4,65 m e vão = 8,08 m</v>
      </c>
      <c r="C1205" s="353" t="str">
        <f>IF(A1205="","",VLOOKUP(A1205,Materiais_Base!A:D,3,"FALSO"))</f>
        <v>m</v>
      </c>
      <c r="D1205" s="354" t="s">
        <v>932</v>
      </c>
      <c r="E1205" s="355" t="str">
        <f t="shared" si="25"/>
        <v/>
      </c>
      <c r="F1205" s="354"/>
      <c r="G1205" s="345" t="str">
        <f>IF(D1205="","",VLOOKUP(A1205,Materiais_Base!A:D,4,"FALSO"))</f>
        <v/>
      </c>
    </row>
    <row r="1206" hidden="1" customHeight="1" spans="1:7">
      <c r="A1206" s="352" t="s">
        <v>15484</v>
      </c>
      <c r="B1206" s="352" t="str">
        <f>IF(A1206="","",VLOOKUP(A1206,Materiais_Base!A:D,2,"FALSO"))</f>
        <v>Chapa múltipla metálica corrugada galvanizada de arco alto tipo MP 152S ou similar - E = 4,70 mm, H = 4,04 m e vão = 7,90 m</v>
      </c>
      <c r="C1206" s="353" t="str">
        <f>IF(A1206="","",VLOOKUP(A1206,Materiais_Base!A:D,3,"FALSO"))</f>
        <v>m</v>
      </c>
      <c r="D1206" s="354" t="s">
        <v>932</v>
      </c>
      <c r="E1206" s="355" t="str">
        <f t="shared" si="25"/>
        <v/>
      </c>
      <c r="F1206" s="354"/>
      <c r="G1206" s="345" t="str">
        <f>IF(D1206="","",VLOOKUP(A1206,Materiais_Base!A:D,4,"FALSO"))</f>
        <v/>
      </c>
    </row>
    <row r="1207" hidden="1" customHeight="1" spans="1:7">
      <c r="A1207" s="352" t="s">
        <v>15485</v>
      </c>
      <c r="B1207" s="352" t="str">
        <f>IF(A1207="","",VLOOKUP(A1207,Materiais_Base!A:D,2,"FALSO"))</f>
        <v>Chapa múltipla metálica corrugada galvanizada de arco alto tipo MP 152S ou similar - E = 4,70 mm, H = 4,70 m e vão = 8,31 m</v>
      </c>
      <c r="C1207" s="353" t="str">
        <f>IF(A1207="","",VLOOKUP(A1207,Materiais_Base!A:D,3,"FALSO"))</f>
        <v>m</v>
      </c>
      <c r="D1207" s="354" t="s">
        <v>932</v>
      </c>
      <c r="E1207" s="355" t="str">
        <f t="shared" si="25"/>
        <v/>
      </c>
      <c r="F1207" s="354"/>
      <c r="G1207" s="345" t="str">
        <f>IF(D1207="","",VLOOKUP(A1207,Materiais_Base!A:D,4,"FALSO"))</f>
        <v/>
      </c>
    </row>
    <row r="1208" hidden="1" customHeight="1" spans="1:7">
      <c r="A1208" s="352" t="s">
        <v>15486</v>
      </c>
      <c r="B1208" s="352" t="str">
        <f>IF(A1208="","",VLOOKUP(A1208,Materiais_Base!A:D,2,"FALSO"))</f>
        <v>Chapa múltipla metálica corrugada galvanizada de arco alto tipo MP 152S ou similar - E = 4,70 mm, H = 4,11 m e vão = 8,36 m</v>
      </c>
      <c r="C1208" s="353" t="str">
        <f>IF(A1208="","",VLOOKUP(A1208,Materiais_Base!A:D,3,"FALSO"))</f>
        <v>m</v>
      </c>
      <c r="D1208" s="354" t="s">
        <v>932</v>
      </c>
      <c r="E1208" s="355" t="str">
        <f t="shared" si="25"/>
        <v/>
      </c>
      <c r="F1208" s="354"/>
      <c r="G1208" s="345" t="str">
        <f>IF(D1208="","",VLOOKUP(A1208,Materiais_Base!A:D,4,"FALSO"))</f>
        <v/>
      </c>
    </row>
    <row r="1209" hidden="1" customHeight="1" spans="1:7">
      <c r="A1209" s="352" t="s">
        <v>15487</v>
      </c>
      <c r="B1209" s="352" t="str">
        <f>IF(A1209="","",VLOOKUP(A1209,Materiais_Base!A:D,2,"FALSO"))</f>
        <v>Chapa múltipla metálica corrugada galvanizada de arco alto tipo MP 152S ou similar - E = 4,70 mm, H = 5,00 m e vão = 8,97 m</v>
      </c>
      <c r="C1209" s="353" t="str">
        <f>IF(A1209="","",VLOOKUP(A1209,Materiais_Base!A:D,3,"FALSO"))</f>
        <v>m</v>
      </c>
      <c r="D1209" s="354" t="s">
        <v>932</v>
      </c>
      <c r="E1209" s="355" t="str">
        <f t="shared" si="25"/>
        <v/>
      </c>
      <c r="F1209" s="354"/>
      <c r="G1209" s="345" t="str">
        <f>IF(D1209="","",VLOOKUP(A1209,Materiais_Base!A:D,4,"FALSO"))</f>
        <v/>
      </c>
    </row>
    <row r="1210" hidden="1" customHeight="1" spans="1:7">
      <c r="A1210" s="352" t="s">
        <v>15488</v>
      </c>
      <c r="B1210" s="352" t="str">
        <f>IF(A1210="","",VLOOKUP(A1210,Materiais_Base!A:D,2,"FALSO"))</f>
        <v>Chapa múltipla metálica corrugada galvanizada de arco alto tipo MP 152S ou similar - E = 4,70 mm, H = 4,39 m e vão = 8,59 m</v>
      </c>
      <c r="C1210" s="353" t="str">
        <f>IF(A1210="","",VLOOKUP(A1210,Materiais_Base!A:D,3,"FALSO"))</f>
        <v>m</v>
      </c>
      <c r="D1210" s="354" t="s">
        <v>932</v>
      </c>
      <c r="E1210" s="355" t="str">
        <f t="shared" si="25"/>
        <v/>
      </c>
      <c r="F1210" s="354"/>
      <c r="G1210" s="345" t="str">
        <f>IF(D1210="","",VLOOKUP(A1210,Materiais_Base!A:D,4,"FALSO"))</f>
        <v/>
      </c>
    </row>
    <row r="1211" hidden="1" customHeight="1" spans="1:7">
      <c r="A1211" s="352" t="s">
        <v>15489</v>
      </c>
      <c r="B1211" s="352" t="str">
        <f>IF(A1211="","",VLOOKUP(A1211,Materiais_Base!A:D,2,"FALSO"))</f>
        <v>Chapa múltipla metálica corrugada galvanizada de arco alto tipo MP 152S ou similar - E = 4,70 mm, H = 5,49 m e vão = 9,17 m</v>
      </c>
      <c r="C1211" s="353" t="str">
        <f>IF(A1211="","",VLOOKUP(A1211,Materiais_Base!A:D,3,"FALSO"))</f>
        <v>m</v>
      </c>
      <c r="D1211" s="354" t="s">
        <v>932</v>
      </c>
      <c r="E1211" s="355" t="str">
        <f t="shared" si="25"/>
        <v/>
      </c>
      <c r="F1211" s="354"/>
      <c r="G1211" s="345" t="str">
        <f>IF(D1211="","",VLOOKUP(A1211,Materiais_Base!A:D,4,"FALSO"))</f>
        <v/>
      </c>
    </row>
    <row r="1212" hidden="1" customHeight="1" spans="1:7">
      <c r="A1212" s="352" t="s">
        <v>15490</v>
      </c>
      <c r="B1212" s="352" t="str">
        <f>IF(A1212="","",VLOOKUP(A1212,Materiais_Base!A:D,2,"FALSO"))</f>
        <v>Chapa múltipla metálica corrugada galvanizada de arco alto tipo MP 152S ou similar - E = 4,70 mm, H = 4,70 m e vão = 9,22 m</v>
      </c>
      <c r="C1212" s="353" t="str">
        <f>IF(A1212="","",VLOOKUP(A1212,Materiais_Base!A:D,3,"FALSO"))</f>
        <v>m</v>
      </c>
      <c r="D1212" s="354" t="s">
        <v>932</v>
      </c>
      <c r="E1212" s="355" t="str">
        <f t="shared" si="25"/>
        <v/>
      </c>
      <c r="F1212" s="354"/>
      <c r="G1212" s="345" t="str">
        <f>IF(D1212="","",VLOOKUP(A1212,Materiais_Base!A:D,4,"FALSO"))</f>
        <v/>
      </c>
    </row>
    <row r="1213" hidden="1" customHeight="1" spans="1:7">
      <c r="A1213" s="352" t="s">
        <v>15491</v>
      </c>
      <c r="B1213" s="352" t="str">
        <f>IF(A1213="","",VLOOKUP(A1213,Materiais_Base!A:D,2,"FALSO"))</f>
        <v>Chapa múltipla metálica corrugada galvanizada de arco alto tipo MP 152S ou similar - E = 4,70 mm, H = 5,59 m e vão = 9,63 m</v>
      </c>
      <c r="C1213" s="353" t="str">
        <f>IF(A1213="","",VLOOKUP(A1213,Materiais_Base!A:D,3,"FALSO"))</f>
        <v>m</v>
      </c>
      <c r="D1213" s="354" t="s">
        <v>932</v>
      </c>
      <c r="E1213" s="355" t="str">
        <f t="shared" si="25"/>
        <v/>
      </c>
      <c r="F1213" s="354"/>
      <c r="G1213" s="345" t="str">
        <f>IF(D1213="","",VLOOKUP(A1213,Materiais_Base!A:D,4,"FALSO"))</f>
        <v/>
      </c>
    </row>
    <row r="1214" hidden="1" customHeight="1" spans="1:7">
      <c r="A1214" s="352" t="s">
        <v>15492</v>
      </c>
      <c r="B1214" s="352" t="str">
        <f>IF(A1214="","",VLOOKUP(A1214,Materiais_Base!A:D,2,"FALSO"))</f>
        <v>Chapa múltipla metálica corrugada galvanizada de arco alto tipo MP 152S ou similar - E = 4,70 mm, H = 4,75 m e vão = 9,45 m</v>
      </c>
      <c r="C1214" s="353" t="str">
        <f>IF(A1214="","",VLOOKUP(A1214,Materiais_Base!A:D,3,"FALSO"))</f>
        <v>m</v>
      </c>
      <c r="D1214" s="354" t="s">
        <v>932</v>
      </c>
      <c r="E1214" s="355" t="str">
        <f t="shared" si="25"/>
        <v/>
      </c>
      <c r="F1214" s="354"/>
      <c r="G1214" s="345" t="str">
        <f>IF(D1214="","",VLOOKUP(A1214,Materiais_Base!A:D,4,"FALSO"))</f>
        <v/>
      </c>
    </row>
    <row r="1215" hidden="1" customHeight="1" spans="1:7">
      <c r="A1215" s="352" t="s">
        <v>15493</v>
      </c>
      <c r="B1215" s="352" t="str">
        <f>IF(A1215="","",VLOOKUP(A1215,Materiais_Base!A:D,2,"FALSO"))</f>
        <v>Chapa múltipla metálica corrugada galvanizada de arco alto tipo MP 152S ou similar - E = 4,70 mm, H = 5,41 m e vão = 9,65 m</v>
      </c>
      <c r="C1215" s="353" t="str">
        <f>IF(A1215="","",VLOOKUP(A1215,Materiais_Base!A:D,3,"FALSO"))</f>
        <v>m</v>
      </c>
      <c r="D1215" s="354" t="s">
        <v>932</v>
      </c>
      <c r="E1215" s="355" t="str">
        <f t="shared" si="25"/>
        <v/>
      </c>
      <c r="F1215" s="354"/>
      <c r="G1215" s="345" t="str">
        <f>IF(D1215="","",VLOOKUP(A1215,Materiais_Base!A:D,4,"FALSO"))</f>
        <v/>
      </c>
    </row>
    <row r="1216" hidden="1" customHeight="1" spans="1:7">
      <c r="A1216" s="352" t="s">
        <v>15494</v>
      </c>
      <c r="B1216" s="352" t="str">
        <f>IF(A1216="","",VLOOKUP(A1216,Materiais_Base!A:D,2,"FALSO"))</f>
        <v>Chapa múltipla metálica corrugada galvanizada de arco alto tipo MP 152S ou similar - E = 4,70 mm, H = 6,07 m e vão = 9,86 m</v>
      </c>
      <c r="C1216" s="353" t="str">
        <f>IF(A1216="","",VLOOKUP(A1216,Materiais_Base!A:D,3,"FALSO"))</f>
        <v>m</v>
      </c>
      <c r="D1216" s="354" t="s">
        <v>932</v>
      </c>
      <c r="E1216" s="355" t="str">
        <f t="shared" si="25"/>
        <v/>
      </c>
      <c r="F1216" s="354"/>
      <c r="G1216" s="345" t="str">
        <f>IF(D1216="","",VLOOKUP(A1216,Materiais_Base!A:D,4,"FALSO"))</f>
        <v/>
      </c>
    </row>
    <row r="1217" hidden="1" customHeight="1" spans="1:7">
      <c r="A1217" s="352" t="s">
        <v>15495</v>
      </c>
      <c r="B1217" s="352" t="str">
        <f>IF(A1217="","",VLOOKUP(A1217,Materiais_Base!A:D,2,"FALSO"))</f>
        <v>Chapa múltipla metálica corrugada galvanizada de arco alto tipo MP 152S ou similar - E = 4,70 mm, H = 5,23 m e vão = 9,68 m</v>
      </c>
      <c r="C1217" s="353" t="str">
        <f>IF(A1217="","",VLOOKUP(A1217,Materiais_Base!A:D,3,"FALSO"))</f>
        <v>m</v>
      </c>
      <c r="D1217" s="354" t="s">
        <v>932</v>
      </c>
      <c r="E1217" s="355" t="str">
        <f t="shared" si="25"/>
        <v/>
      </c>
      <c r="F1217" s="354"/>
      <c r="G1217" s="345" t="str">
        <f>IF(D1217="","",VLOOKUP(A1217,Materiais_Base!A:D,4,"FALSO"))</f>
        <v/>
      </c>
    </row>
    <row r="1218" hidden="1" customHeight="1" spans="1:7">
      <c r="A1218" s="352" t="s">
        <v>15496</v>
      </c>
      <c r="B1218" s="352" t="str">
        <f>IF(A1218="","",VLOOKUP(A1218,Materiais_Base!A:D,2,"FALSO"))</f>
        <v>Chapa múltipla metálica corrugada galvanizada de arco alto tipo MP 152S ou similar - E = 4,70 mm, H = 6,12 m e vão = 10,08 m</v>
      </c>
      <c r="C1218" s="353" t="str">
        <f>IF(A1218="","",VLOOKUP(A1218,Materiais_Base!A:D,3,"FALSO"))</f>
        <v>m</v>
      </c>
      <c r="D1218" s="354" t="s">
        <v>932</v>
      </c>
      <c r="E1218" s="355" t="str">
        <f t="shared" si="25"/>
        <v/>
      </c>
      <c r="F1218" s="354"/>
      <c r="G1218" s="345" t="str">
        <f>IF(D1218="","",VLOOKUP(A1218,Materiais_Base!A:D,4,"FALSO"))</f>
        <v/>
      </c>
    </row>
    <row r="1219" hidden="1" customHeight="1" spans="1:7">
      <c r="A1219" s="352" t="s">
        <v>15497</v>
      </c>
      <c r="B1219" s="352" t="str">
        <f>IF(A1219="","",VLOOKUP(A1219,Materiais_Base!A:D,2,"FALSO"))</f>
        <v>Chapa múltipla metálica corrugada galvanizada de arco alto tipo MP 152S ou similar - E = 4,70 mm, H = 5,28 m e vão = 9,91 m</v>
      </c>
      <c r="C1219" s="353" t="str">
        <f>IF(A1219="","",VLOOKUP(A1219,Materiais_Base!A:D,3,"FALSO"))</f>
        <v>m</v>
      </c>
      <c r="D1219" s="354" t="s">
        <v>932</v>
      </c>
      <c r="E1219" s="355" t="str">
        <f t="shared" si="25"/>
        <v/>
      </c>
      <c r="F1219" s="354"/>
      <c r="G1219" s="345" t="str">
        <f>IF(D1219="","",VLOOKUP(A1219,Materiais_Base!A:D,4,"FALSO"))</f>
        <v/>
      </c>
    </row>
    <row r="1220" hidden="1" customHeight="1" spans="1:7">
      <c r="A1220" s="352" t="s">
        <v>15498</v>
      </c>
      <c r="B1220" s="352" t="str">
        <f>IF(A1220="","",VLOOKUP(A1220,Materiais_Base!A:D,2,"FALSO"))</f>
        <v>Chapa múltipla metálica corrugada galvanizada de arco alto tipo MP 152S ou similar - E = 4,70 mm, H = 6,17 m e vão = 10,31 m</v>
      </c>
      <c r="C1220" s="353" t="str">
        <f>IF(A1220="","",VLOOKUP(A1220,Materiais_Base!A:D,3,"FALSO"))</f>
        <v>m</v>
      </c>
      <c r="D1220" s="354" t="s">
        <v>932</v>
      </c>
      <c r="E1220" s="355" t="str">
        <f t="shared" si="25"/>
        <v/>
      </c>
      <c r="F1220" s="354"/>
      <c r="G1220" s="345" t="str">
        <f>IF(D1220="","",VLOOKUP(A1220,Materiais_Base!A:D,4,"FALSO"))</f>
        <v/>
      </c>
    </row>
    <row r="1221" hidden="1" customHeight="1" spans="1:7">
      <c r="A1221" s="352" t="s">
        <v>15499</v>
      </c>
      <c r="B1221" s="352" t="str">
        <f>IF(A1221="","",VLOOKUP(A1221,Materiais_Base!A:D,2,"FALSO"))</f>
        <v>Chapa múltipla metálica corrugada galvanizada de arco alto tipo MP 152S ou similar - E = 4,70 mm, H = 5,38 m e vão = 10,36 m</v>
      </c>
      <c r="C1221" s="353" t="str">
        <f>IF(A1221="","",VLOOKUP(A1221,Materiais_Base!A:D,3,"FALSO"))</f>
        <v>m</v>
      </c>
      <c r="D1221" s="354" t="s">
        <v>932</v>
      </c>
      <c r="E1221" s="355" t="str">
        <f t="shared" si="25"/>
        <v/>
      </c>
      <c r="F1221" s="354"/>
      <c r="G1221" s="345" t="str">
        <f>IF(D1221="","",VLOOKUP(A1221,Materiais_Base!A:D,4,"FALSO"))</f>
        <v/>
      </c>
    </row>
    <row r="1222" hidden="1" customHeight="1" spans="1:7">
      <c r="A1222" s="352" t="s">
        <v>15500</v>
      </c>
      <c r="B1222" s="352" t="str">
        <f>IF(A1222="","",VLOOKUP(A1222,Materiais_Base!A:D,2,"FALSO"))</f>
        <v>Chapa múltipla metálica corrugada galvanizada de arco alto tipo MP 152S ou similar - E = 4,70 mm, H = 6,05 m e vão = 10,54 m</v>
      </c>
      <c r="C1222" s="353" t="str">
        <f>IF(A1222="","",VLOOKUP(A1222,Materiais_Base!A:D,3,"FALSO"))</f>
        <v>m</v>
      </c>
      <c r="D1222" s="354" t="s">
        <v>932</v>
      </c>
      <c r="E1222" s="355" t="str">
        <f t="shared" si="25"/>
        <v/>
      </c>
      <c r="F1222" s="354"/>
      <c r="G1222" s="345" t="str">
        <f>IF(D1222="","",VLOOKUP(A1222,Materiais_Base!A:D,4,"FALSO"))</f>
        <v/>
      </c>
    </row>
    <row r="1223" hidden="1" customHeight="1" spans="1:7">
      <c r="A1223" s="352" t="s">
        <v>15501</v>
      </c>
      <c r="B1223" s="352" t="str">
        <f>IF(A1223="","",VLOOKUP(A1223,Materiais_Base!A:D,2,"FALSO"))</f>
        <v>Chapa múltipla metálica corrugada galvanizada de arco alto tipo MP 152S ou similar - E = 4,70 mm, H = 6,48 m e vão = 10,74 m</v>
      </c>
      <c r="C1223" s="353" t="str">
        <f>IF(A1223="","",VLOOKUP(A1223,Materiais_Base!A:D,3,"FALSO"))</f>
        <v>m</v>
      </c>
      <c r="D1223" s="354" t="s">
        <v>932</v>
      </c>
      <c r="E1223" s="355" t="str">
        <f t="shared" si="25"/>
        <v/>
      </c>
      <c r="F1223" s="354"/>
      <c r="G1223" s="345" t="str">
        <f>IF(D1223="","",VLOOKUP(A1223,Materiais_Base!A:D,4,"FALSO"))</f>
        <v/>
      </c>
    </row>
    <row r="1224" hidden="1" customHeight="1" spans="1:7">
      <c r="A1224" s="352" t="s">
        <v>15502</v>
      </c>
      <c r="B1224" s="352" t="str">
        <f>IF(A1224="","",VLOOKUP(A1224,Materiais_Base!A:D,2,"FALSO"))</f>
        <v>Chapa múltipla metálica corrugada galvanizada de arco alto tipo MP 152S ou similar - E = 4,70 mm, H = 7,12 m e vão = 11,35 m</v>
      </c>
      <c r="C1224" s="353" t="str">
        <f>IF(A1224="","",VLOOKUP(A1224,Materiais_Base!A:D,3,"FALSO"))</f>
        <v>m</v>
      </c>
      <c r="D1224" s="354" t="s">
        <v>932</v>
      </c>
      <c r="E1224" s="355" t="str">
        <f t="shared" si="25"/>
        <v/>
      </c>
      <c r="F1224" s="354"/>
      <c r="G1224" s="345" t="str">
        <f>IF(D1224="","",VLOOKUP(A1224,Materiais_Base!A:D,4,"FALSO"))</f>
        <v/>
      </c>
    </row>
    <row r="1225" hidden="1" customHeight="1" spans="1:7">
      <c r="A1225" s="352" t="s">
        <v>15503</v>
      </c>
      <c r="B1225" s="352" t="str">
        <f>IF(A1225="","",VLOOKUP(A1225,Materiais_Base!A:D,2,"FALSO"))</f>
        <v>Chapa múltipla metálica corrugada galvanizada de arco alto tipo MP 152S ou similar - E = 6,40 mm, H = 5,41 m e vão = 10,57 m</v>
      </c>
      <c r="C1225" s="353" t="str">
        <f>IF(A1225="","",VLOOKUP(A1225,Materiais_Base!A:D,3,"FALSO"))</f>
        <v>m</v>
      </c>
      <c r="D1225" s="354" t="s">
        <v>932</v>
      </c>
      <c r="E1225" s="355" t="str">
        <f t="shared" si="25"/>
        <v/>
      </c>
      <c r="F1225" s="354"/>
      <c r="G1225" s="345" t="str">
        <f>IF(D1225="","",VLOOKUP(A1225,Materiais_Base!A:D,4,"FALSO"))</f>
        <v/>
      </c>
    </row>
    <row r="1226" hidden="1" customHeight="1" spans="1:7">
      <c r="A1226" s="352" t="s">
        <v>15504</v>
      </c>
      <c r="B1226" s="352" t="str">
        <f>IF(A1226="","",VLOOKUP(A1226,Materiais_Base!A:D,2,"FALSO"))</f>
        <v>Chapa múltipla metálica corrugada galvanizada de arco alto tipo MP 152S ou similar - E = 6,40 mm, H = 6,10 m e vão = 10,77 m</v>
      </c>
      <c r="C1226" s="353" t="str">
        <f>IF(A1226="","",VLOOKUP(A1226,Materiais_Base!A:D,3,"FALSO"))</f>
        <v>m</v>
      </c>
      <c r="D1226" s="354" t="s">
        <v>932</v>
      </c>
      <c r="E1226" s="355" t="str">
        <f t="shared" si="25"/>
        <v/>
      </c>
      <c r="F1226" s="354"/>
      <c r="G1226" s="345" t="str">
        <f>IF(D1226="","",VLOOKUP(A1226,Materiais_Base!A:D,4,"FALSO"))</f>
        <v/>
      </c>
    </row>
    <row r="1227" hidden="1" customHeight="1" spans="1:7">
      <c r="A1227" s="352" t="s">
        <v>15505</v>
      </c>
      <c r="B1227" s="352" t="str">
        <f>IF(A1227="","",VLOOKUP(A1227,Materiais_Base!A:D,2,"FALSO"))</f>
        <v>Chapa múltipla metálica corrugada galvanizada de arco alto tipo MP 152S ou similar - E = 6,40 mm, H = 6,53 m e vão = 10,97 m</v>
      </c>
      <c r="C1227" s="353" t="str">
        <f>IF(A1227="","",VLOOKUP(A1227,Materiais_Base!A:D,3,"FALSO"))</f>
        <v>m</v>
      </c>
      <c r="D1227" s="354" t="s">
        <v>932</v>
      </c>
      <c r="E1227" s="355" t="str">
        <f t="shared" si="25"/>
        <v/>
      </c>
      <c r="F1227" s="354"/>
      <c r="G1227" s="345" t="str">
        <f>IF(D1227="","",VLOOKUP(A1227,Materiais_Base!A:D,4,"FALSO"))</f>
        <v/>
      </c>
    </row>
    <row r="1228" hidden="1" customHeight="1" spans="1:7">
      <c r="A1228" s="352" t="s">
        <v>15506</v>
      </c>
      <c r="B1228" s="352" t="str">
        <f>IF(A1228="","",VLOOKUP(A1228,Materiais_Base!A:D,2,"FALSO"))</f>
        <v>Chapa múltipla metálica corrugada galvanizada de arco alto tipo MP 152S ou similar - E = 6,40 mm, H = 7,16 m e vão = 11,58 m</v>
      </c>
      <c r="C1228" s="353" t="str">
        <f>IF(A1228="","",VLOOKUP(A1228,Materiais_Base!A:D,3,"FALSO"))</f>
        <v>m</v>
      </c>
      <c r="D1228" s="354" t="s">
        <v>932</v>
      </c>
      <c r="E1228" s="355" t="str">
        <f t="shared" si="25"/>
        <v/>
      </c>
      <c r="F1228" s="354"/>
      <c r="G1228" s="345" t="str">
        <f>IF(D1228="","",VLOOKUP(A1228,Materiais_Base!A:D,4,"FALSO"))</f>
        <v/>
      </c>
    </row>
    <row r="1229" hidden="1" customHeight="1" spans="1:7">
      <c r="A1229" s="352" t="s">
        <v>15507</v>
      </c>
      <c r="B1229" s="352" t="str">
        <f>IF(A1229="","",VLOOKUP(A1229,Materiais_Base!A:D,2,"FALSO"))</f>
        <v>Chapa múltipla metálica corrugada galvanizada tipo MP 152S ovoide ou similar - E = 4,70 mm, H = 7,82 m e vão = 7,21 m</v>
      </c>
      <c r="C1229" s="353" t="str">
        <f>IF(A1229="","",VLOOKUP(A1229,Materiais_Base!A:D,3,"FALSO"))</f>
        <v>m</v>
      </c>
      <c r="D1229" s="354" t="s">
        <v>932</v>
      </c>
      <c r="E1229" s="355" t="str">
        <f t="shared" si="25"/>
        <v/>
      </c>
      <c r="F1229" s="354"/>
      <c r="G1229" s="345" t="str">
        <f>IF(D1229="","",VLOOKUP(A1229,Materiais_Base!A:D,4,"FALSO"))</f>
        <v/>
      </c>
    </row>
    <row r="1230" hidden="1" customHeight="1" spans="1:7">
      <c r="A1230" s="352" t="s">
        <v>15508</v>
      </c>
      <c r="B1230" s="352" t="str">
        <f>IF(A1230="","",VLOOKUP(A1230,Materiais_Base!A:D,2,"FALSO"))</f>
        <v>Chapa múltipla metálica corrugada galvanizada tipo MP 152S ovoide ou similar - E = 4,70 mm, H = 7,87 m e vão = 7,31 m</v>
      </c>
      <c r="C1230" s="353" t="str">
        <f>IF(A1230="","",VLOOKUP(A1230,Materiais_Base!A:D,3,"FALSO"))</f>
        <v>m</v>
      </c>
      <c r="D1230" s="354" t="s">
        <v>932</v>
      </c>
      <c r="E1230" s="355" t="str">
        <f t="shared" si="25"/>
        <v/>
      </c>
      <c r="F1230" s="354"/>
      <c r="G1230" s="345" t="str">
        <f>IF(D1230="","",VLOOKUP(A1230,Materiais_Base!A:D,4,"FALSO"))</f>
        <v/>
      </c>
    </row>
    <row r="1231" hidden="1" customHeight="1" spans="1:7">
      <c r="A1231" s="352" t="s">
        <v>15509</v>
      </c>
      <c r="B1231" s="352" t="str">
        <f>IF(A1231="","",VLOOKUP(A1231,Materiais_Base!A:D,2,"FALSO"))</f>
        <v>Chapa múltipla metálica corrugada galvanizada tipo MP 152S ovoide ou similar - E = 4,70 mm, H = 7,90 m e vão = 7,77 m</v>
      </c>
      <c r="C1231" s="353" t="str">
        <f>IF(A1231="","",VLOOKUP(A1231,Materiais_Base!A:D,3,"FALSO"))</f>
        <v>m</v>
      </c>
      <c r="D1231" s="354" t="s">
        <v>932</v>
      </c>
      <c r="E1231" s="355" t="str">
        <f t="shared" si="25"/>
        <v/>
      </c>
      <c r="F1231" s="354"/>
      <c r="G1231" s="345" t="str">
        <f>IF(D1231="","",VLOOKUP(A1231,Materiais_Base!A:D,4,"FALSO"))</f>
        <v/>
      </c>
    </row>
    <row r="1232" hidden="1" customHeight="1" spans="1:7">
      <c r="A1232" s="352" t="s">
        <v>15510</v>
      </c>
      <c r="B1232" s="352" t="str">
        <f>IF(A1232="","",VLOOKUP(A1232,Materiais_Base!A:D,2,"FALSO"))</f>
        <v>Chapa múltipla metálica corrugada galvanizada tipo MP 152S ovoide ou similar - E = 4,70 mm, H = 8,44 m e vão = 7,57 m</v>
      </c>
      <c r="C1232" s="353" t="str">
        <f>IF(A1232="","",VLOOKUP(A1232,Materiais_Base!A:D,3,"FALSO"))</f>
        <v>m</v>
      </c>
      <c r="D1232" s="354" t="s">
        <v>932</v>
      </c>
      <c r="E1232" s="355" t="str">
        <f t="shared" si="25"/>
        <v/>
      </c>
      <c r="F1232" s="354"/>
      <c r="G1232" s="345" t="str">
        <f>IF(D1232="","",VLOOKUP(A1232,Materiais_Base!A:D,4,"FALSO"))</f>
        <v/>
      </c>
    </row>
    <row r="1233" hidden="1" customHeight="1" spans="1:7">
      <c r="A1233" s="352" t="s">
        <v>15511</v>
      </c>
      <c r="B1233" s="352" t="str">
        <f>IF(A1233="","",VLOOKUP(A1233,Materiais_Base!A:D,2,"FALSO"))</f>
        <v>Chapa múltipla metálica corrugada galvanizada tipo MP 152S ovoide ou similar - E = 4,70 mm, H = 8,23 m e vão = 8,36 m</v>
      </c>
      <c r="C1233" s="353" t="str">
        <f>IF(A1233="","",VLOOKUP(A1233,Materiais_Base!A:D,3,"FALSO"))</f>
        <v>m</v>
      </c>
      <c r="D1233" s="354" t="s">
        <v>932</v>
      </c>
      <c r="E1233" s="355" t="str">
        <f t="shared" si="25"/>
        <v/>
      </c>
      <c r="F1233" s="354"/>
      <c r="G1233" s="345" t="str">
        <f>IF(D1233="","",VLOOKUP(A1233,Materiais_Base!A:D,4,"FALSO"))</f>
        <v/>
      </c>
    </row>
    <row r="1234" hidden="1" customHeight="1" spans="1:7">
      <c r="A1234" s="352" t="s">
        <v>15512</v>
      </c>
      <c r="B1234" s="352" t="str">
        <f>IF(A1234="","",VLOOKUP(A1234,Materiais_Base!A:D,2,"FALSO"))</f>
        <v>Chapa múltipla metálica corrugada galvanizada tipo MP 152S ovoide ou similar - E = 4,70 mm, H = 8,01 m e vão = 8,13 m</v>
      </c>
      <c r="C1234" s="353" t="str">
        <f>IF(A1234="","",VLOOKUP(A1234,Materiais_Base!A:D,3,"FALSO"))</f>
        <v>m</v>
      </c>
      <c r="D1234" s="354" t="s">
        <v>932</v>
      </c>
      <c r="E1234" s="355" t="str">
        <f t="shared" si="25"/>
        <v/>
      </c>
      <c r="F1234" s="354"/>
      <c r="G1234" s="345" t="str">
        <f>IF(D1234="","",VLOOKUP(A1234,Materiais_Base!A:D,4,"FALSO"))</f>
        <v/>
      </c>
    </row>
    <row r="1235" hidden="1" customHeight="1" spans="1:7">
      <c r="A1235" s="352" t="s">
        <v>15513</v>
      </c>
      <c r="B1235" s="352" t="str">
        <f>IF(A1235="","",VLOOKUP(A1235,Materiais_Base!A:D,2,"FALSO"))</f>
        <v>Chapa múltipla metálica corrugada galvanizada tipo MP 152S ovoide ou similar - E = 4,70 mm, H = 8,48 m e vão = 8,56 m</v>
      </c>
      <c r="C1235" s="353" t="str">
        <f>IF(A1235="","",VLOOKUP(A1235,Materiais_Base!A:D,3,"FALSO"))</f>
        <v>m</v>
      </c>
      <c r="D1235" s="354" t="s">
        <v>932</v>
      </c>
      <c r="E1235" s="355" t="str">
        <f t="shared" si="25"/>
        <v/>
      </c>
      <c r="F1235" s="354"/>
      <c r="G1235" s="345" t="str">
        <f>IF(D1235="","",VLOOKUP(A1235,Materiais_Base!A:D,4,"FALSO"))</f>
        <v/>
      </c>
    </row>
    <row r="1236" hidden="1" customHeight="1" spans="1:7">
      <c r="A1236" s="352" t="s">
        <v>15514</v>
      </c>
      <c r="B1236" s="352" t="str">
        <f>IF(A1236="","",VLOOKUP(A1236,Materiais_Base!A:D,2,"FALSO"))</f>
        <v>Chapa múltipla metálica corrugada galvanizada tipo MP 152S ovoide ou similar - E = 4,70 mm, H = 9,32 m e vão = 8,71 m</v>
      </c>
      <c r="C1236" s="353" t="str">
        <f>IF(A1236="","",VLOOKUP(A1236,Materiais_Base!A:D,3,"FALSO"))</f>
        <v>m</v>
      </c>
      <c r="D1236" s="354" t="s">
        <v>932</v>
      </c>
      <c r="E1236" s="355" t="str">
        <f t="shared" si="25"/>
        <v/>
      </c>
      <c r="F1236" s="354"/>
      <c r="G1236" s="345" t="str">
        <f>IF(D1236="","",VLOOKUP(A1236,Materiais_Base!A:D,4,"FALSO"))</f>
        <v/>
      </c>
    </row>
    <row r="1237" hidden="1" customHeight="1" spans="1:7">
      <c r="A1237" s="352" t="s">
        <v>15515</v>
      </c>
      <c r="B1237" s="352" t="str">
        <f>IF(A1237="","",VLOOKUP(A1237,Materiais_Base!A:D,2,"FALSO"))</f>
        <v>Chapa múltipla metálica corrugada galvanizada tipo MP 152S ovoide ou similar - E = 4,70 mm, H = 9,04 m e vão = 9,15 m</v>
      </c>
      <c r="C1237" s="353" t="str">
        <f>IF(A1237="","",VLOOKUP(A1237,Materiais_Base!A:D,3,"FALSO"))</f>
        <v>m</v>
      </c>
      <c r="D1237" s="354" t="s">
        <v>932</v>
      </c>
      <c r="E1237" s="355" t="str">
        <f t="shared" si="25"/>
        <v/>
      </c>
      <c r="F1237" s="354"/>
      <c r="G1237" s="345" t="str">
        <f>IF(D1237="","",VLOOKUP(A1237,Materiais_Base!A:D,4,"FALSO"))</f>
        <v/>
      </c>
    </row>
    <row r="1238" hidden="1" customHeight="1" spans="1:7">
      <c r="A1238" s="352" t="s">
        <v>15516</v>
      </c>
      <c r="B1238" s="352" t="str">
        <f>IF(A1238="","",VLOOKUP(A1238,Materiais_Base!A:D,2,"FALSO"))</f>
        <v>Chapa múltipla metálica corrugada galvanizada tipo MP 152S ovoide ou similar - E = 4,70 mm, H = 9,50 m e vão = 9,15 m</v>
      </c>
      <c r="C1238" s="353" t="str">
        <f>IF(A1238="","",VLOOKUP(A1238,Materiais_Base!A:D,3,"FALSO"))</f>
        <v>m</v>
      </c>
      <c r="D1238" s="354" t="s">
        <v>932</v>
      </c>
      <c r="E1238" s="355" t="str">
        <f t="shared" si="25"/>
        <v/>
      </c>
      <c r="F1238" s="354"/>
      <c r="G1238" s="345" t="str">
        <f>IF(D1238="","",VLOOKUP(A1238,Materiais_Base!A:D,4,"FALSO"))</f>
        <v/>
      </c>
    </row>
    <row r="1239" customHeight="1" spans="1:7">
      <c r="A1239" s="352" t="s">
        <v>15517</v>
      </c>
      <c r="B1239" s="352" t="str">
        <f>IF(A1239="","",VLOOKUP(A1239,Materiais_Base!A:D,2,"FALSO"))</f>
        <v>Chumbador em aço CA 25</v>
      </c>
      <c r="C1239" s="353" t="str">
        <f>IF(A1239="","",VLOOKUP(A1239,Materiais_Base!A:D,3,"FALSO"))</f>
        <v>kg</v>
      </c>
      <c r="D1239" s="354">
        <v>7.5784</v>
      </c>
      <c r="E1239" s="355">
        <f t="shared" si="25"/>
        <v>7.5784</v>
      </c>
      <c r="F1239" s="354"/>
      <c r="G1239" s="345">
        <f>IF(D1239="","",VLOOKUP(A1239,Materiais_Base!A:D,4,"FALSO"))</f>
        <v>7.5784</v>
      </c>
    </row>
    <row r="1240" hidden="1" customHeight="1" spans="1:7">
      <c r="A1240" s="352" t="s">
        <v>15518</v>
      </c>
      <c r="B1240" s="352" t="str">
        <f>IF(A1240="","",VLOOKUP(A1240,Materiais_Base!A:D,2,"FALSO"))</f>
        <v>Arame liso em aço galvanizado - D = 1,24 mm (18 BWG)</v>
      </c>
      <c r="C1240" s="353" t="str">
        <f>IF(A1240="","",VLOOKUP(A1240,Materiais_Base!A:D,3,"FALSO"))</f>
        <v>kg</v>
      </c>
      <c r="D1240" s="354" t="s">
        <v>932</v>
      </c>
      <c r="E1240" s="355" t="str">
        <f t="shared" si="25"/>
        <v/>
      </c>
      <c r="F1240" s="354"/>
      <c r="G1240" s="345" t="str">
        <f>IF(D1240="","",VLOOKUP(A1240,Materiais_Base!A:D,4,"FALSO"))</f>
        <v/>
      </c>
    </row>
    <row r="1241" hidden="1" customHeight="1" spans="1:7">
      <c r="A1241" s="352" t="s">
        <v>15519</v>
      </c>
      <c r="B1241" s="352" t="str">
        <f>IF(A1241="","",VLOOKUP(A1241,Materiais_Base!A:D,2,"FALSO"))</f>
        <v>Porca sextavada em aço para ancoragem de tirantes - D = 38 mm e C = 55 mm</v>
      </c>
      <c r="C1241" s="353" t="str">
        <f>IF(A1241="","",VLOOKUP(A1241,Materiais_Base!A:D,3,"FALSO"))</f>
        <v>un</v>
      </c>
      <c r="D1241" s="354" t="s">
        <v>932</v>
      </c>
      <c r="E1241" s="355" t="str">
        <f t="shared" ref="E1241:E1304" si="26">IF(D1241="","",MIN(D1241,F1241))</f>
        <v/>
      </c>
      <c r="F1241" s="354"/>
      <c r="G1241" s="345" t="str">
        <f>IF(D1241="","",VLOOKUP(A1241,Materiais_Base!A:D,4,"FALSO"))</f>
        <v/>
      </c>
    </row>
    <row r="1242" hidden="1" customHeight="1" spans="1:7">
      <c r="A1242" s="352" t="s">
        <v>15520</v>
      </c>
      <c r="B1242" s="352" t="str">
        <f>IF(A1242="","",VLOOKUP(A1242,Materiais_Base!A:D,2,"FALSO"))</f>
        <v>Tela de poliamida - malha de 60 fios/cm</v>
      </c>
      <c r="C1242" s="353" t="str">
        <f>IF(A1242="","",VLOOKUP(A1242,Materiais_Base!A:D,3,"FALSO"))</f>
        <v>m²</v>
      </c>
      <c r="D1242" s="354" t="s">
        <v>932</v>
      </c>
      <c r="E1242" s="355" t="str">
        <f t="shared" si="26"/>
        <v/>
      </c>
      <c r="F1242" s="354"/>
      <c r="G1242" s="345" t="str">
        <f>IF(D1242="","",VLOOKUP(A1242,Materiais_Base!A:D,4,"FALSO"))</f>
        <v/>
      </c>
    </row>
    <row r="1243" hidden="1" customHeight="1" spans="1:7">
      <c r="A1243" s="352" t="s">
        <v>15521</v>
      </c>
      <c r="B1243" s="352" t="str">
        <f>IF(A1243="","",VLOOKUP(A1243,Materiais_Base!A:D,2,"FALSO"))</f>
        <v>Tirante de barra de aço - tensão de escoamento = 520 MPa, tensão de ruptura = 690 MPa e D = 32 mm</v>
      </c>
      <c r="C1243" s="353" t="str">
        <f>IF(A1243="","",VLOOKUP(A1243,Materiais_Base!A:D,3,"FALSO"))</f>
        <v>m</v>
      </c>
      <c r="D1243" s="354" t="s">
        <v>932</v>
      </c>
      <c r="E1243" s="355" t="str">
        <f t="shared" si="26"/>
        <v/>
      </c>
      <c r="F1243" s="354"/>
      <c r="G1243" s="345" t="str">
        <f>IF(D1243="","",VLOOKUP(A1243,Materiais_Base!A:D,4,"FALSO"))</f>
        <v/>
      </c>
    </row>
    <row r="1244" hidden="1" customHeight="1" spans="1:7">
      <c r="A1244" s="352" t="s">
        <v>15522</v>
      </c>
      <c r="B1244" s="352" t="str">
        <f>IF(A1244="","",VLOOKUP(A1244,Materiais_Base!A:D,2,"FALSO"))</f>
        <v>Válvula manchete - D = 20 mm</v>
      </c>
      <c r="C1244" s="353" t="str">
        <f>IF(A1244="","",VLOOKUP(A1244,Materiais_Base!A:D,3,"FALSO"))</f>
        <v>un</v>
      </c>
      <c r="D1244" s="354" t="s">
        <v>932</v>
      </c>
      <c r="E1244" s="355" t="str">
        <f t="shared" si="26"/>
        <v/>
      </c>
      <c r="F1244" s="354"/>
      <c r="G1244" s="345" t="str">
        <f>IF(D1244="","",VLOOKUP(A1244,Materiais_Base!A:D,4,"FALSO"))</f>
        <v/>
      </c>
    </row>
    <row r="1245" hidden="1" customHeight="1" spans="1:7">
      <c r="A1245" s="352" t="s">
        <v>15523</v>
      </c>
      <c r="B1245" s="352" t="str">
        <f>IF(A1245="","",VLOOKUP(A1245,Materiais_Base!A:D,2,"FALSO"))</f>
        <v>Barra chata em aço galvanizado</v>
      </c>
      <c r="C1245" s="353" t="str">
        <f>IF(A1245="","",VLOOKUP(A1245,Materiais_Base!A:D,3,"FALSO"))</f>
        <v>kg</v>
      </c>
      <c r="D1245" s="354" t="s">
        <v>932</v>
      </c>
      <c r="E1245" s="355" t="str">
        <f t="shared" si="26"/>
        <v/>
      </c>
      <c r="F1245" s="354"/>
      <c r="G1245" s="345" t="str">
        <f>IF(D1245="","",VLOOKUP(A1245,Materiais_Base!A:D,4,"FALSO"))</f>
        <v/>
      </c>
    </row>
    <row r="1246" customHeight="1" spans="1:7">
      <c r="A1246" s="352" t="s">
        <v>15524</v>
      </c>
      <c r="B1246" s="352" t="str">
        <f>IF(A1246="","",VLOOKUP(A1246,Materiais_Base!A:D,2,"FALSO"))</f>
        <v>Luva para bainha metálica - D = 80 mm</v>
      </c>
      <c r="C1246" s="353" t="str">
        <f>IF(A1246="","",VLOOKUP(A1246,Materiais_Base!A:D,3,"FALSO"))</f>
        <v>un</v>
      </c>
      <c r="D1246" s="354">
        <v>6.9913</v>
      </c>
      <c r="E1246" s="355">
        <f t="shared" si="26"/>
        <v>6.9913</v>
      </c>
      <c r="F1246" s="354"/>
      <c r="G1246" s="345">
        <f>IF(D1246="","",VLOOKUP(A1246,Materiais_Base!A:D,4,"FALSO"))</f>
        <v>6.9913</v>
      </c>
    </row>
    <row r="1247" customHeight="1" spans="1:7">
      <c r="A1247" s="352" t="s">
        <v>14297</v>
      </c>
      <c r="B1247" s="352" t="str">
        <f>IF(A1247="","",VLOOKUP(A1247,Materiais_Base!A:D,2,"FALSO"))</f>
        <v>Tinta em pó à base de resina poliéster</v>
      </c>
      <c r="C1247" s="353" t="str">
        <f>IF(A1247="","",VLOOKUP(A1247,Materiais_Base!A:D,3,"FALSO"))</f>
        <v>kg</v>
      </c>
      <c r="D1247" s="354">
        <v>67.6312</v>
      </c>
      <c r="E1247" s="355">
        <f t="shared" si="26"/>
        <v>67.6312</v>
      </c>
      <c r="F1247" s="354"/>
      <c r="G1247" s="345">
        <f>IF(D1247="","",VLOOKUP(A1247,Materiais_Base!A:D,4,"FALSO"))</f>
        <v>67.6312</v>
      </c>
    </row>
    <row r="1248" hidden="1" customHeight="1" spans="1:7">
      <c r="A1248" s="352" t="s">
        <v>15525</v>
      </c>
      <c r="B1248" s="352" t="str">
        <f>IF(A1248="","",VLOOKUP(A1248,Materiais_Base!A:D,2,"FALSO"))</f>
        <v>Apoio de neoprene não fretado - C = 100 mm, L = 100 mm e E = 20 mm</v>
      </c>
      <c r="C1248" s="353" t="str">
        <f>IF(A1248="","",VLOOKUP(A1248,Materiais_Base!A:D,3,"FALSO"))</f>
        <v>un</v>
      </c>
      <c r="D1248" s="354" t="s">
        <v>932</v>
      </c>
      <c r="E1248" s="355" t="str">
        <f t="shared" si="26"/>
        <v/>
      </c>
      <c r="F1248" s="354"/>
      <c r="G1248" s="345" t="str">
        <f>IF(D1248="","",VLOOKUP(A1248,Materiais_Base!A:D,4,"FALSO"))</f>
        <v/>
      </c>
    </row>
    <row r="1249" hidden="1" customHeight="1" spans="1:7">
      <c r="A1249" s="352" t="s">
        <v>15526</v>
      </c>
      <c r="B1249" s="352" t="str">
        <f>IF(A1249="","",VLOOKUP(A1249,Materiais_Base!A:D,2,"FALSO"))</f>
        <v>Porca sextavada em aço galvanizado para parafuso - D = 9,525 mm (3/8")</v>
      </c>
      <c r="C1249" s="353" t="str">
        <f>IF(A1249="","",VLOOKUP(A1249,Materiais_Base!A:D,3,"FALSO"))</f>
        <v>un</v>
      </c>
      <c r="D1249" s="354" t="s">
        <v>932</v>
      </c>
      <c r="E1249" s="355" t="str">
        <f t="shared" si="26"/>
        <v/>
      </c>
      <c r="F1249" s="354"/>
      <c r="G1249" s="345" t="str">
        <f>IF(D1249="","",VLOOKUP(A1249,Materiais_Base!A:D,4,"FALSO"))</f>
        <v/>
      </c>
    </row>
    <row r="1250" hidden="1" customHeight="1" spans="1:7">
      <c r="A1250" s="352" t="s">
        <v>15527</v>
      </c>
      <c r="B1250" s="352" t="str">
        <f>IF(A1250="","",VLOOKUP(A1250,Materiais_Base!A:D,2,"FALSO"))</f>
        <v>Porca sextavada em aço galvanizado para parafuso - D = 12 mm (M12)</v>
      </c>
      <c r="C1250" s="353" t="str">
        <f>IF(A1250="","",VLOOKUP(A1250,Materiais_Base!A:D,3,"FALSO"))</f>
        <v>un</v>
      </c>
      <c r="D1250" s="354" t="s">
        <v>932</v>
      </c>
      <c r="E1250" s="355" t="str">
        <f t="shared" si="26"/>
        <v/>
      </c>
      <c r="F1250" s="354"/>
      <c r="G1250" s="345" t="str">
        <f>IF(D1250="","",VLOOKUP(A1250,Materiais_Base!A:D,4,"FALSO"))</f>
        <v/>
      </c>
    </row>
    <row r="1251" hidden="1" customHeight="1" spans="1:7">
      <c r="A1251" s="352" t="s">
        <v>15528</v>
      </c>
      <c r="B1251" s="352" t="str">
        <f>IF(A1251="","",VLOOKUP(A1251,Materiais_Base!A:D,2,"FALSO"))</f>
        <v>Parafuso de cabeça sextavada em aço galvanizado, classe 8.8 - D = 12 mm (M12) e C = 30 mm</v>
      </c>
      <c r="C1251" s="353" t="str">
        <f>IF(A1251="","",VLOOKUP(A1251,Materiais_Base!A:D,3,"FALSO"))</f>
        <v>un</v>
      </c>
      <c r="D1251" s="354" t="s">
        <v>932</v>
      </c>
      <c r="E1251" s="355" t="str">
        <f t="shared" si="26"/>
        <v/>
      </c>
      <c r="F1251" s="354"/>
      <c r="G1251" s="345" t="str">
        <f>IF(D1251="","",VLOOKUP(A1251,Materiais_Base!A:D,4,"FALSO"))</f>
        <v/>
      </c>
    </row>
    <row r="1252" hidden="1" customHeight="1" spans="1:7">
      <c r="A1252" s="352" t="s">
        <v>15529</v>
      </c>
      <c r="B1252" s="352" t="str">
        <f>IF(A1252="","",VLOOKUP(A1252,Materiais_Base!A:D,2,"FALSO"))</f>
        <v>Ligação tipo barra chata em aço galvanizado para contenção - L = 45 mm e E = 4 mm</v>
      </c>
      <c r="C1252" s="353" t="str">
        <f>IF(A1252="","",VLOOKUP(A1252,Materiais_Base!A:D,3,"FALSO"))</f>
        <v>kg</v>
      </c>
      <c r="D1252" s="354" t="s">
        <v>932</v>
      </c>
      <c r="E1252" s="355" t="str">
        <f t="shared" si="26"/>
        <v/>
      </c>
      <c r="F1252" s="354"/>
      <c r="G1252" s="345" t="str">
        <f>IF(D1252="","",VLOOKUP(A1252,Materiais_Base!A:D,4,"FALSO"))</f>
        <v/>
      </c>
    </row>
    <row r="1253" hidden="1" customHeight="1" spans="1:7">
      <c r="A1253" s="352" t="s">
        <v>15530</v>
      </c>
      <c r="B1253" s="352" t="str">
        <f>IF(A1253="","",VLOOKUP(A1253,Materiais_Base!A:D,2,"FALSO"))</f>
        <v>Fita metálica SAE 1010/1020 para solo reforçado - L = 50 mm e E = 4 mm</v>
      </c>
      <c r="C1253" s="353" t="str">
        <f>IF(A1253="","",VLOOKUP(A1253,Materiais_Base!A:D,3,"FALSO"))</f>
        <v>kg</v>
      </c>
      <c r="D1253" s="354" t="s">
        <v>932</v>
      </c>
      <c r="E1253" s="355" t="str">
        <f t="shared" si="26"/>
        <v/>
      </c>
      <c r="F1253" s="354"/>
      <c r="G1253" s="345" t="str">
        <f>IF(D1253="","",VLOOKUP(A1253,Materiais_Base!A:D,4,"FALSO"))</f>
        <v/>
      </c>
    </row>
    <row r="1254" hidden="1" customHeight="1" spans="1:7">
      <c r="A1254" s="352" t="s">
        <v>15531</v>
      </c>
      <c r="B1254" s="352" t="str">
        <f>IF(A1254="","",VLOOKUP(A1254,Materiais_Base!A:D,2,"FALSO"))</f>
        <v>Material para aterro reforçado com fitas metálicas</v>
      </c>
      <c r="C1254" s="353" t="str">
        <f>IF(A1254="","",VLOOKUP(A1254,Materiais_Base!A:D,3,"FALSO"))</f>
        <v>m³</v>
      </c>
      <c r="D1254" s="359" t="s">
        <v>932</v>
      </c>
      <c r="E1254" s="355" t="str">
        <f t="shared" si="26"/>
        <v/>
      </c>
      <c r="F1254" s="359"/>
      <c r="G1254" s="345" t="str">
        <f>IF(D1254="","",VLOOKUP(A1254,Materiais_Base!A:D,4,"FALSO"))</f>
        <v/>
      </c>
    </row>
    <row r="1255" hidden="1" customHeight="1" spans="1:7">
      <c r="A1255" s="352" t="s">
        <v>15532</v>
      </c>
      <c r="B1255" s="352" t="str">
        <f>IF(A1255="","",VLOOKUP(A1255,Materiais_Base!A:D,2,"FALSO"))</f>
        <v>Tubo PEAD PE 100 PN 5 para estais - D = 140 mm</v>
      </c>
      <c r="C1255" s="353" t="str">
        <f>IF(A1255="","",VLOOKUP(A1255,Materiais_Base!A:D,3,"FALSO"))</f>
        <v>m</v>
      </c>
      <c r="D1255" s="354" t="s">
        <v>932</v>
      </c>
      <c r="E1255" s="355" t="str">
        <f t="shared" si="26"/>
        <v/>
      </c>
      <c r="F1255" s="354"/>
      <c r="G1255" s="345" t="str">
        <f>IF(D1255="","",VLOOKUP(A1255,Materiais_Base!A:D,4,"FALSO"))</f>
        <v/>
      </c>
    </row>
    <row r="1256" hidden="1" customHeight="1" spans="1:7">
      <c r="A1256" s="352" t="s">
        <v>15533</v>
      </c>
      <c r="B1256" s="352" t="str">
        <f>IF(A1256="","",VLOOKUP(A1256,Materiais_Base!A:D,2,"FALSO"))</f>
        <v>Tubo PEAD PE 100 PN 5 para estais - D = 160 mm</v>
      </c>
      <c r="C1256" s="353" t="str">
        <f>IF(A1256="","",VLOOKUP(A1256,Materiais_Base!A:D,3,"FALSO"))</f>
        <v>m</v>
      </c>
      <c r="D1256" s="354" t="s">
        <v>932</v>
      </c>
      <c r="E1256" s="355" t="str">
        <f t="shared" si="26"/>
        <v/>
      </c>
      <c r="F1256" s="354"/>
      <c r="G1256" s="345" t="str">
        <f>IF(D1256="","",VLOOKUP(A1256,Materiais_Base!A:D,4,"FALSO"))</f>
        <v/>
      </c>
    </row>
    <row r="1257" hidden="1" customHeight="1" spans="1:7">
      <c r="A1257" s="352" t="s">
        <v>15534</v>
      </c>
      <c r="B1257" s="352" t="str">
        <f>IF(A1257="","",VLOOKUP(A1257,Materiais_Base!A:D,2,"FALSO"))</f>
        <v>Tubo PEAD PE 100 PN 5 para estais - D = 180 mm</v>
      </c>
      <c r="C1257" s="353" t="str">
        <f>IF(A1257="","",VLOOKUP(A1257,Materiais_Base!A:D,3,"FALSO"))</f>
        <v>m</v>
      </c>
      <c r="D1257" s="354" t="s">
        <v>932</v>
      </c>
      <c r="E1257" s="355" t="str">
        <f t="shared" si="26"/>
        <v/>
      </c>
      <c r="F1257" s="354"/>
      <c r="G1257" s="345" t="str">
        <f>IF(D1257="","",VLOOKUP(A1257,Materiais_Base!A:D,4,"FALSO"))</f>
        <v/>
      </c>
    </row>
    <row r="1258" hidden="1" customHeight="1" spans="1:7">
      <c r="A1258" s="352" t="s">
        <v>15535</v>
      </c>
      <c r="B1258" s="352" t="str">
        <f>IF(A1258="","",VLOOKUP(A1258,Materiais_Base!A:D,2,"FALSO"))</f>
        <v>Tubo PEAD PE 100 PN 5 para estais - D = 200 mm</v>
      </c>
      <c r="C1258" s="353" t="str">
        <f>IF(A1258="","",VLOOKUP(A1258,Materiais_Base!A:D,3,"FALSO"))</f>
        <v>m</v>
      </c>
      <c r="D1258" s="354" t="s">
        <v>932</v>
      </c>
      <c r="E1258" s="355" t="str">
        <f t="shared" si="26"/>
        <v/>
      </c>
      <c r="F1258" s="354"/>
      <c r="G1258" s="345" t="str">
        <f>IF(D1258="","",VLOOKUP(A1258,Materiais_Base!A:D,4,"FALSO"))</f>
        <v/>
      </c>
    </row>
    <row r="1259" hidden="1" customHeight="1" spans="1:7">
      <c r="A1259" s="352" t="s">
        <v>15536</v>
      </c>
      <c r="B1259" s="352" t="str">
        <f>IF(A1259="","",VLOOKUP(A1259,Materiais_Base!A:D,2,"FALSO"))</f>
        <v>Tubo PEAD PE 100 PN 5 para estais - D = 225 mm</v>
      </c>
      <c r="C1259" s="353" t="str">
        <f>IF(A1259="","",VLOOKUP(A1259,Materiais_Base!A:D,3,"FALSO"))</f>
        <v>m</v>
      </c>
      <c r="D1259" s="354" t="s">
        <v>932</v>
      </c>
      <c r="E1259" s="355" t="str">
        <f t="shared" si="26"/>
        <v/>
      </c>
      <c r="F1259" s="354"/>
      <c r="G1259" s="345" t="str">
        <f>IF(D1259="","",VLOOKUP(A1259,Materiais_Base!A:D,4,"FALSO"))</f>
        <v/>
      </c>
    </row>
    <row r="1260" hidden="1" customHeight="1" spans="1:7">
      <c r="A1260" s="352" t="s">
        <v>15537</v>
      </c>
      <c r="B1260" s="352" t="str">
        <f>IF(A1260="","",VLOOKUP(A1260,Materiais_Base!A:D,2,"FALSO"))</f>
        <v>Tubo PEAD PE 100 PN 5 para estais - D = 250 mm</v>
      </c>
      <c r="C1260" s="353" t="str">
        <f>IF(A1260="","",VLOOKUP(A1260,Materiais_Base!A:D,3,"FALSO"))</f>
        <v>m</v>
      </c>
      <c r="D1260" s="354" t="s">
        <v>932</v>
      </c>
      <c r="E1260" s="355" t="str">
        <f t="shared" si="26"/>
        <v/>
      </c>
      <c r="F1260" s="354"/>
      <c r="G1260" s="345" t="str">
        <f>IF(D1260="","",VLOOKUP(A1260,Materiais_Base!A:D,4,"FALSO"))</f>
        <v/>
      </c>
    </row>
    <row r="1261" hidden="1" customHeight="1" spans="1:7">
      <c r="A1261" s="352" t="s">
        <v>15538</v>
      </c>
      <c r="B1261" s="352" t="str">
        <f>IF(A1261="","",VLOOKUP(A1261,Materiais_Base!A:D,2,"FALSO"))</f>
        <v>Tubo PEAD PE 100 PN 5 para estais - D = 280 mm</v>
      </c>
      <c r="C1261" s="353" t="str">
        <f>IF(A1261="","",VLOOKUP(A1261,Materiais_Base!A:D,3,"FALSO"))</f>
        <v>m</v>
      </c>
      <c r="D1261" s="354" t="s">
        <v>932</v>
      </c>
      <c r="E1261" s="355" t="str">
        <f t="shared" si="26"/>
        <v/>
      </c>
      <c r="F1261" s="354"/>
      <c r="G1261" s="345" t="str">
        <f>IF(D1261="","",VLOOKUP(A1261,Materiais_Base!A:D,4,"FALSO"))</f>
        <v/>
      </c>
    </row>
    <row r="1262" hidden="1" customHeight="1" spans="1:7">
      <c r="A1262" s="352" t="s">
        <v>15539</v>
      </c>
      <c r="B1262" s="352" t="str">
        <f>IF(A1262="","",VLOOKUP(A1262,Materiais_Base!A:D,2,"FALSO"))</f>
        <v>Tubo PEAD PE 100 PN 5 para estais - D = 315 mm</v>
      </c>
      <c r="C1262" s="353" t="str">
        <f>IF(A1262="","",VLOOKUP(A1262,Materiais_Base!A:D,3,"FALSO"))</f>
        <v>m</v>
      </c>
      <c r="D1262" s="354" t="s">
        <v>932</v>
      </c>
      <c r="E1262" s="355" t="str">
        <f t="shared" si="26"/>
        <v/>
      </c>
      <c r="F1262" s="354"/>
      <c r="G1262" s="345" t="str">
        <f>IF(D1262="","",VLOOKUP(A1262,Materiais_Base!A:D,4,"FALSO"))</f>
        <v/>
      </c>
    </row>
    <row r="1263" hidden="1" customHeight="1" spans="1:7">
      <c r="A1263" s="352" t="s">
        <v>15540</v>
      </c>
      <c r="B1263" s="352" t="str">
        <f>IF(A1263="","",VLOOKUP(A1263,Materiais_Base!A:D,2,"FALSO"))</f>
        <v>Tubo antivandalismo em aço galvanizado para estais de 12 cordoalhas - D = 15,7 mm</v>
      </c>
      <c r="C1263" s="353" t="str">
        <f>IF(A1263="","",VLOOKUP(A1263,Materiais_Base!A:D,3,"FALSO"))</f>
        <v>m</v>
      </c>
      <c r="D1263" s="354" t="s">
        <v>932</v>
      </c>
      <c r="E1263" s="355" t="str">
        <f t="shared" si="26"/>
        <v/>
      </c>
      <c r="F1263" s="354"/>
      <c r="G1263" s="345" t="str">
        <f>IF(D1263="","",VLOOKUP(A1263,Materiais_Base!A:D,4,"FALSO"))</f>
        <v/>
      </c>
    </row>
    <row r="1264" hidden="1" customHeight="1" spans="1:7">
      <c r="A1264" s="352" t="s">
        <v>15541</v>
      </c>
      <c r="B1264" s="352" t="str">
        <f>IF(A1264="","",VLOOKUP(A1264,Materiais_Base!A:D,2,"FALSO"))</f>
        <v>Tubo antivandalismo em aço galvanizado para estais de 19 cordoalhas - D = 15,7 mm</v>
      </c>
      <c r="C1264" s="353" t="str">
        <f>IF(A1264="","",VLOOKUP(A1264,Materiais_Base!A:D,3,"FALSO"))</f>
        <v>m</v>
      </c>
      <c r="D1264" s="354" t="s">
        <v>932</v>
      </c>
      <c r="E1264" s="355" t="str">
        <f t="shared" si="26"/>
        <v/>
      </c>
      <c r="F1264" s="354"/>
      <c r="G1264" s="345" t="str">
        <f>IF(D1264="","",VLOOKUP(A1264,Materiais_Base!A:D,4,"FALSO"))</f>
        <v/>
      </c>
    </row>
    <row r="1265" hidden="1" customHeight="1" spans="1:9">
      <c r="A1265" s="352" t="s">
        <v>15542</v>
      </c>
      <c r="B1265" s="352" t="str">
        <f>IF(A1265="","",VLOOKUP(A1265,Materiais_Base!A:D,2,"FALSO"))</f>
        <v>Tubo antivandalismo em aço galvanizado para estais de 22 cordoalhas - D = 15,7 mm</v>
      </c>
      <c r="C1265" s="353" t="str">
        <f>IF(A1265="","",VLOOKUP(A1265,Materiais_Base!A:D,3,"FALSO"))</f>
        <v>m</v>
      </c>
      <c r="D1265" s="354" t="s">
        <v>932</v>
      </c>
      <c r="E1265" s="355" t="str">
        <f t="shared" si="26"/>
        <v/>
      </c>
      <c r="F1265" s="354"/>
      <c r="G1265" s="345" t="str">
        <f>IF(D1265="","",VLOOKUP(A1265,Materiais_Base!A:D,4,"FALSO"))</f>
        <v/>
      </c>
    </row>
    <row r="1266" hidden="1" customHeight="1" spans="1:9">
      <c r="A1266" s="352" t="s">
        <v>15543</v>
      </c>
      <c r="B1266" s="352" t="str">
        <f>IF(A1266="","",VLOOKUP(A1266,Materiais_Base!A:D,2,"FALSO"))</f>
        <v>Tubo antivandalismo em aço galvanizado para estais de 31 cordoalhas - D = 15,7 mm</v>
      </c>
      <c r="C1266" s="353" t="str">
        <f>IF(A1266="","",VLOOKUP(A1266,Materiais_Base!A:D,3,"FALSO"))</f>
        <v>m</v>
      </c>
      <c r="D1266" s="354" t="s">
        <v>932</v>
      </c>
      <c r="E1266" s="355" t="str">
        <f t="shared" si="26"/>
        <v/>
      </c>
      <c r="F1266" s="354"/>
      <c r="G1266" s="345" t="str">
        <f>IF(D1266="","",VLOOKUP(A1266,Materiais_Base!A:D,4,"FALSO"))</f>
        <v/>
      </c>
    </row>
    <row r="1267" hidden="1" customHeight="1" spans="1:9">
      <c r="A1267" s="352" t="s">
        <v>15544</v>
      </c>
      <c r="B1267" s="352" t="str">
        <f>IF(A1267="","",VLOOKUP(A1267,Materiais_Base!A:D,2,"FALSO"))</f>
        <v>Tubo antivandalismo em aço galvanizado para estais de 37 cordoalhas - D = 15,7 mm</v>
      </c>
      <c r="C1267" s="353" t="str">
        <f>IF(A1267="","",VLOOKUP(A1267,Materiais_Base!A:D,3,"FALSO"))</f>
        <v>m</v>
      </c>
      <c r="D1267" s="354" t="s">
        <v>932</v>
      </c>
      <c r="E1267" s="355" t="str">
        <f t="shared" si="26"/>
        <v/>
      </c>
      <c r="F1267" s="354"/>
      <c r="G1267" s="345" t="str">
        <f>IF(D1267="","",VLOOKUP(A1267,Materiais_Base!A:D,4,"FALSO"))</f>
        <v/>
      </c>
    </row>
    <row r="1268" hidden="1" customHeight="1" spans="1:9">
      <c r="A1268" s="352" t="s">
        <v>15545</v>
      </c>
      <c r="B1268" s="352" t="str">
        <f>IF(A1268="","",VLOOKUP(A1268,Materiais_Base!A:D,2,"FALSO"))</f>
        <v>Tubo antivandalismo em aço galvanizado para estais de 43 cordoalhas - D = 15,7 mm</v>
      </c>
      <c r="C1268" s="353" t="str">
        <f>IF(A1268="","",VLOOKUP(A1268,Materiais_Base!A:D,3,"FALSO"))</f>
        <v>m</v>
      </c>
      <c r="D1268" s="354" t="s">
        <v>932</v>
      </c>
      <c r="E1268" s="355" t="str">
        <f t="shared" si="26"/>
        <v/>
      </c>
      <c r="F1268" s="354"/>
      <c r="G1268" s="345" t="str">
        <f>IF(D1268="","",VLOOKUP(A1268,Materiais_Base!A:D,4,"FALSO"))</f>
        <v/>
      </c>
    </row>
    <row r="1269" hidden="1" customHeight="1" spans="1:9">
      <c r="A1269" s="352" t="s">
        <v>15546</v>
      </c>
      <c r="B1269" s="352" t="str">
        <f>IF(A1269="","",VLOOKUP(A1269,Materiais_Base!A:D,2,"FALSO"))</f>
        <v>Tubo antivandalismo em aço galvanizado para estais de 55 cordoalhas - D = 15,7 mm</v>
      </c>
      <c r="C1269" s="353" t="str">
        <f>IF(A1269="","",VLOOKUP(A1269,Materiais_Base!A:D,3,"FALSO"))</f>
        <v>m</v>
      </c>
      <c r="D1269" s="354" t="s">
        <v>932</v>
      </c>
      <c r="E1269" s="355" t="str">
        <f t="shared" si="26"/>
        <v/>
      </c>
      <c r="F1269" s="354"/>
      <c r="G1269" s="345" t="str">
        <f>IF(D1269="","",VLOOKUP(A1269,Materiais_Base!A:D,4,"FALSO"))</f>
        <v/>
      </c>
    </row>
    <row r="1270" hidden="1" customHeight="1" spans="1:9">
      <c r="A1270" s="352" t="s">
        <v>15547</v>
      </c>
      <c r="B1270" s="352" t="str">
        <f>IF(A1270="","",VLOOKUP(A1270,Materiais_Base!A:D,2,"FALSO"))</f>
        <v>Tubo antivandalismo em aço galvanizado para estais de 61 cordoalhas - D = 15,7 mm</v>
      </c>
      <c r="C1270" s="353" t="str">
        <f>IF(A1270="","",VLOOKUP(A1270,Materiais_Base!A:D,3,"FALSO"))</f>
        <v>m</v>
      </c>
      <c r="D1270" s="354" t="s">
        <v>932</v>
      </c>
      <c r="E1270" s="355" t="str">
        <f t="shared" si="26"/>
        <v/>
      </c>
      <c r="F1270" s="354"/>
      <c r="G1270" s="345" t="str">
        <f>IF(D1270="","",VLOOKUP(A1270,Materiais_Base!A:D,4,"FALSO"))</f>
        <v/>
      </c>
    </row>
    <row r="1271" hidden="1" customHeight="1" spans="1:9">
      <c r="A1271" s="352" t="s">
        <v>15548</v>
      </c>
      <c r="B1271" s="352" t="str">
        <f>IF(A1271="","",VLOOKUP(A1271,Materiais_Base!A:D,2,"FALSO"))</f>
        <v>Tubo antivandalismo em aço galvanizado para estais de 73 cordoalhas - D = 15,7 mm</v>
      </c>
      <c r="C1271" s="353" t="str">
        <f>IF(A1271="","",VLOOKUP(A1271,Materiais_Base!A:D,3,"FALSO"))</f>
        <v>m</v>
      </c>
      <c r="D1271" s="354" t="s">
        <v>932</v>
      </c>
      <c r="E1271" s="355" t="str">
        <f t="shared" si="26"/>
        <v/>
      </c>
      <c r="F1271" s="354"/>
      <c r="G1271" s="345" t="str">
        <f>IF(D1271="","",VLOOKUP(A1271,Materiais_Base!A:D,4,"FALSO"))</f>
        <v/>
      </c>
    </row>
    <row r="1272" hidden="1" customHeight="1" spans="1:9">
      <c r="A1272" s="352" t="s">
        <v>15549</v>
      </c>
      <c r="B1272" s="352" t="str">
        <f>IF(A1272="","",VLOOKUP(A1272,Materiais_Base!A:D,2,"FALSO"))</f>
        <v>Tubo antivandalismo em aço galvanizado para estais de 85 cordoalhas - D = 15,7 mm</v>
      </c>
      <c r="C1272" s="353" t="str">
        <f>IF(A1272="","",VLOOKUP(A1272,Materiais_Base!A:D,3,"FALSO"))</f>
        <v>m</v>
      </c>
      <c r="D1272" s="354" t="s">
        <v>932</v>
      </c>
      <c r="E1272" s="355" t="str">
        <f t="shared" si="26"/>
        <v/>
      </c>
      <c r="F1272" s="354"/>
      <c r="G1272" s="345" t="str">
        <f>IF(D1272="","",VLOOKUP(A1272,Materiais_Base!A:D,4,"FALSO"))</f>
        <v/>
      </c>
    </row>
    <row r="1273" hidden="1" customHeight="1" spans="1:9">
      <c r="A1273" s="352" t="s">
        <v>15550</v>
      </c>
      <c r="B1273" s="352" t="str">
        <f>IF(A1273="","",VLOOKUP(A1273,Materiais_Base!A:D,2,"FALSO"))</f>
        <v>Tubo antivandalismo em aço galvanizado para estais de 91 cordoalhas - D = 15,7 mm</v>
      </c>
      <c r="C1273" s="353" t="str">
        <f>IF(A1273="","",VLOOKUP(A1273,Materiais_Base!A:D,3,"FALSO"))</f>
        <v>m</v>
      </c>
      <c r="D1273" s="354" t="s">
        <v>932</v>
      </c>
      <c r="E1273" s="355" t="str">
        <f t="shared" si="26"/>
        <v/>
      </c>
      <c r="F1273" s="354"/>
      <c r="G1273" s="345" t="str">
        <f>IF(D1273="","",VLOOKUP(A1273,Materiais_Base!A:D,4,"FALSO"))</f>
        <v/>
      </c>
    </row>
    <row r="1274" hidden="1" customHeight="1" spans="1:9">
      <c r="A1274" s="352" t="s">
        <v>15551</v>
      </c>
      <c r="B1274" s="352" t="str">
        <f>IF(A1274="","",VLOOKUP(A1274,Materiais_Base!A:D,2,"FALSO"))</f>
        <v>Tubo fôrma lado fixo em aço galvanizado para estais de 12 cordoalhas - D = 15,7 mm</v>
      </c>
      <c r="C1274" s="353" t="str">
        <f>IF(A1274="","",VLOOKUP(A1274,Materiais_Base!A:D,3,"FALSO"))</f>
        <v>m</v>
      </c>
      <c r="D1274" s="354" t="s">
        <v>932</v>
      </c>
      <c r="E1274" s="355" t="str">
        <f t="shared" si="26"/>
        <v/>
      </c>
      <c r="F1274" s="354"/>
      <c r="G1274" s="345" t="str">
        <f>IF(D1274="","",VLOOKUP(A1274,Materiais_Base!A:D,4,"FALSO"))</f>
        <v/>
      </c>
    </row>
    <row r="1275" hidden="1" customHeight="1" spans="1:9">
      <c r="A1275" s="352" t="s">
        <v>15552</v>
      </c>
      <c r="B1275" s="352" t="str">
        <f>IF(A1275="","",VLOOKUP(A1275,Materiais_Base!A:D,2,"FALSO"))</f>
        <v>Tubo fôrma lado fixo em aço galvanizado para estais de 19 cordoalhas - D = 15,7 mm</v>
      </c>
      <c r="C1275" s="353" t="str">
        <f>IF(A1275="","",VLOOKUP(A1275,Materiais_Base!A:D,3,"FALSO"))</f>
        <v>m</v>
      </c>
      <c r="D1275" s="354" t="s">
        <v>932</v>
      </c>
      <c r="E1275" s="355" t="str">
        <f t="shared" si="26"/>
        <v/>
      </c>
      <c r="F1275" s="354"/>
      <c r="G1275" s="345" t="str">
        <f>IF(D1275="","",VLOOKUP(A1275,Materiais_Base!A:D,4,"FALSO"))</f>
        <v/>
      </c>
      <c r="I1275" s="360"/>
    </row>
    <row r="1276" hidden="1" customHeight="1" spans="1:9">
      <c r="A1276" s="352" t="s">
        <v>15553</v>
      </c>
      <c r="B1276" s="352" t="str">
        <f>IF(A1276="","",VLOOKUP(A1276,Materiais_Base!A:D,2,"FALSO"))</f>
        <v>Tubo fôrma lado fixo em aço galvanizado para estais de 22 cordoalhas - D = 15,7 mm</v>
      </c>
      <c r="C1276" s="353" t="str">
        <f>IF(A1276="","",VLOOKUP(A1276,Materiais_Base!A:D,3,"FALSO"))</f>
        <v>m</v>
      </c>
      <c r="D1276" s="354" t="s">
        <v>932</v>
      </c>
      <c r="E1276" s="355" t="str">
        <f t="shared" si="26"/>
        <v/>
      </c>
      <c r="F1276" s="354"/>
      <c r="G1276" s="345" t="str">
        <f>IF(D1276="","",VLOOKUP(A1276,Materiais_Base!A:D,4,"FALSO"))</f>
        <v/>
      </c>
    </row>
    <row r="1277" hidden="1" customHeight="1" spans="1:9">
      <c r="A1277" s="352" t="s">
        <v>15554</v>
      </c>
      <c r="B1277" s="352" t="str">
        <f>IF(A1277="","",VLOOKUP(A1277,Materiais_Base!A:D,2,"FALSO"))</f>
        <v>Tubo fôrma lado fixo em aço galvanizado para estais de 31 cordoalhas - D = 15,7 mm</v>
      </c>
      <c r="C1277" s="353" t="str">
        <f>IF(A1277="","",VLOOKUP(A1277,Materiais_Base!A:D,3,"FALSO"))</f>
        <v>m</v>
      </c>
      <c r="D1277" s="354" t="s">
        <v>932</v>
      </c>
      <c r="E1277" s="355" t="str">
        <f t="shared" si="26"/>
        <v/>
      </c>
      <c r="F1277" s="354"/>
      <c r="G1277" s="345" t="str">
        <f>IF(D1277="","",VLOOKUP(A1277,Materiais_Base!A:D,4,"FALSO"))</f>
        <v/>
      </c>
    </row>
    <row r="1278" hidden="1" customHeight="1" spans="1:9">
      <c r="A1278" s="352" t="s">
        <v>15555</v>
      </c>
      <c r="B1278" s="352" t="str">
        <f>IF(A1278="","",VLOOKUP(A1278,Materiais_Base!A:D,2,"FALSO"))</f>
        <v>Tubo fôrma lado fixo em aço galvanizado para estais de 37 cordoalhas - D = 15,7 mm</v>
      </c>
      <c r="C1278" s="353" t="str">
        <f>IF(A1278="","",VLOOKUP(A1278,Materiais_Base!A:D,3,"FALSO"))</f>
        <v>m</v>
      </c>
      <c r="D1278" s="354" t="s">
        <v>932</v>
      </c>
      <c r="E1278" s="355" t="str">
        <f t="shared" si="26"/>
        <v/>
      </c>
      <c r="F1278" s="354"/>
      <c r="G1278" s="345" t="str">
        <f>IF(D1278="","",VLOOKUP(A1278,Materiais_Base!A:D,4,"FALSO"))</f>
        <v/>
      </c>
    </row>
    <row r="1279" hidden="1" customHeight="1" spans="1:9">
      <c r="A1279" s="352" t="s">
        <v>15556</v>
      </c>
      <c r="B1279" s="352" t="str">
        <f>IF(A1279="","",VLOOKUP(A1279,Materiais_Base!A:D,2,"FALSO"))</f>
        <v>Tubo fôrma lado fixo em aço galvanizado para estais de 43 cordoalhas - D = 15,7 mm</v>
      </c>
      <c r="C1279" s="353" t="str">
        <f>IF(A1279="","",VLOOKUP(A1279,Materiais_Base!A:D,3,"FALSO"))</f>
        <v>m</v>
      </c>
      <c r="D1279" s="354" t="s">
        <v>932</v>
      </c>
      <c r="E1279" s="355" t="str">
        <f t="shared" si="26"/>
        <v/>
      </c>
      <c r="F1279" s="354"/>
      <c r="G1279" s="345" t="str">
        <f>IF(D1279="","",VLOOKUP(A1279,Materiais_Base!A:D,4,"FALSO"))</f>
        <v/>
      </c>
    </row>
    <row r="1280" hidden="1" customHeight="1" spans="1:9">
      <c r="A1280" s="352" t="s">
        <v>15557</v>
      </c>
      <c r="B1280" s="352" t="str">
        <f>IF(A1280="","",VLOOKUP(A1280,Materiais_Base!A:D,2,"FALSO"))</f>
        <v>Tubo fôrma lado fixo em aço galvanizado para estais de 55 cordoalhas - D = 15,7 mm</v>
      </c>
      <c r="C1280" s="353" t="str">
        <f>IF(A1280="","",VLOOKUP(A1280,Materiais_Base!A:D,3,"FALSO"))</f>
        <v>m</v>
      </c>
      <c r="D1280" s="354" t="s">
        <v>932</v>
      </c>
      <c r="E1280" s="355" t="str">
        <f t="shared" si="26"/>
        <v/>
      </c>
      <c r="F1280" s="354"/>
      <c r="G1280" s="345" t="str">
        <f>IF(D1280="","",VLOOKUP(A1280,Materiais_Base!A:D,4,"FALSO"))</f>
        <v/>
      </c>
    </row>
    <row r="1281" hidden="1" customHeight="1" spans="1:7">
      <c r="A1281" s="352" t="s">
        <v>15558</v>
      </c>
      <c r="B1281" s="352" t="str">
        <f>IF(A1281="","",VLOOKUP(A1281,Materiais_Base!A:D,2,"FALSO"))</f>
        <v>Tubo fôrma lado fixo em aço galvanizado para estais de 61 cordoalhas - D = 15,7 mm</v>
      </c>
      <c r="C1281" s="353" t="str">
        <f>IF(A1281="","",VLOOKUP(A1281,Materiais_Base!A:D,3,"FALSO"))</f>
        <v>m</v>
      </c>
      <c r="D1281" s="354" t="s">
        <v>932</v>
      </c>
      <c r="E1281" s="355" t="str">
        <f t="shared" si="26"/>
        <v/>
      </c>
      <c r="F1281" s="354"/>
      <c r="G1281" s="345" t="str">
        <f>IF(D1281="","",VLOOKUP(A1281,Materiais_Base!A:D,4,"FALSO"))</f>
        <v/>
      </c>
    </row>
    <row r="1282" hidden="1" customHeight="1" spans="1:7">
      <c r="A1282" s="352" t="s">
        <v>15559</v>
      </c>
      <c r="B1282" s="352" t="str">
        <f>IF(A1282="","",VLOOKUP(A1282,Materiais_Base!A:D,2,"FALSO"))</f>
        <v>Tubo fôrma lado fixo em aço galvanizado para estais de 73 cordoalhas - D = 15,7 mm</v>
      </c>
      <c r="C1282" s="353" t="str">
        <f>IF(A1282="","",VLOOKUP(A1282,Materiais_Base!A:D,3,"FALSO"))</f>
        <v>m</v>
      </c>
      <c r="D1282" s="354" t="s">
        <v>932</v>
      </c>
      <c r="E1282" s="355" t="str">
        <f t="shared" si="26"/>
        <v/>
      </c>
      <c r="F1282" s="354"/>
      <c r="G1282" s="345" t="str">
        <f>IF(D1282="","",VLOOKUP(A1282,Materiais_Base!A:D,4,"FALSO"))</f>
        <v/>
      </c>
    </row>
    <row r="1283" hidden="1" customHeight="1" spans="1:7">
      <c r="A1283" s="352" t="s">
        <v>15560</v>
      </c>
      <c r="B1283" s="352" t="str">
        <f>IF(A1283="","",VLOOKUP(A1283,Materiais_Base!A:D,2,"FALSO"))</f>
        <v>Tubo fôrma lado fixo em aço galvanizado para estais de 85 cordoalhas - D = 15,7 mm</v>
      </c>
      <c r="C1283" s="353" t="str">
        <f>IF(A1283="","",VLOOKUP(A1283,Materiais_Base!A:D,3,"FALSO"))</f>
        <v>m</v>
      </c>
      <c r="D1283" s="354" t="s">
        <v>932</v>
      </c>
      <c r="E1283" s="355" t="str">
        <f t="shared" si="26"/>
        <v/>
      </c>
      <c r="F1283" s="354"/>
      <c r="G1283" s="345" t="str">
        <f>IF(D1283="","",VLOOKUP(A1283,Materiais_Base!A:D,4,"FALSO"))</f>
        <v/>
      </c>
    </row>
    <row r="1284" hidden="1" customHeight="1" spans="1:7">
      <c r="A1284" s="352" t="s">
        <v>15561</v>
      </c>
      <c r="B1284" s="352" t="str">
        <f>IF(A1284="","",VLOOKUP(A1284,Materiais_Base!A:D,2,"FALSO"))</f>
        <v>Tubo fôrma lado fixo em aço galvanizado para estais de 91 cordoalhas - D = 15,7 mm</v>
      </c>
      <c r="C1284" s="353" t="str">
        <f>IF(A1284="","",VLOOKUP(A1284,Materiais_Base!A:D,3,"FALSO"))</f>
        <v>m</v>
      </c>
      <c r="D1284" s="354" t="s">
        <v>932</v>
      </c>
      <c r="E1284" s="355" t="str">
        <f t="shared" si="26"/>
        <v/>
      </c>
      <c r="F1284" s="354"/>
      <c r="G1284" s="345" t="str">
        <f>IF(D1284="","",VLOOKUP(A1284,Materiais_Base!A:D,4,"FALSO"))</f>
        <v/>
      </c>
    </row>
    <row r="1285" hidden="1" customHeight="1" spans="1:7">
      <c r="A1285" s="352" t="s">
        <v>15562</v>
      </c>
      <c r="B1285" s="352" t="str">
        <f>IF(A1285="","",VLOOKUP(A1285,Materiais_Base!A:D,2,"FALSO"))</f>
        <v>Tubo fôrma lado regulável em aço galvanizado para estais de 12 cordoalhas - D = 15,7 mm</v>
      </c>
      <c r="C1285" s="353" t="str">
        <f>IF(A1285="","",VLOOKUP(A1285,Materiais_Base!A:D,3,"FALSO"))</f>
        <v>m</v>
      </c>
      <c r="D1285" s="354" t="s">
        <v>932</v>
      </c>
      <c r="E1285" s="355" t="str">
        <f t="shared" si="26"/>
        <v/>
      </c>
      <c r="F1285" s="354"/>
      <c r="G1285" s="345" t="str">
        <f>IF(D1285="","",VLOOKUP(A1285,Materiais_Base!A:D,4,"FALSO"))</f>
        <v/>
      </c>
    </row>
    <row r="1286" hidden="1" customHeight="1" spans="1:7">
      <c r="A1286" s="352" t="s">
        <v>15563</v>
      </c>
      <c r="B1286" s="352" t="str">
        <f>IF(A1286="","",VLOOKUP(A1286,Materiais_Base!A:D,2,"FALSO"))</f>
        <v>Tubo fôrma lado regulável em aço galvanizado para estais de 19 cordoalhas - D = 15,7 mm</v>
      </c>
      <c r="C1286" s="353" t="str">
        <f>IF(A1286="","",VLOOKUP(A1286,Materiais_Base!A:D,3,"FALSO"))</f>
        <v>m</v>
      </c>
      <c r="D1286" s="354" t="s">
        <v>932</v>
      </c>
      <c r="E1286" s="355" t="str">
        <f t="shared" si="26"/>
        <v/>
      </c>
      <c r="F1286" s="354"/>
      <c r="G1286" s="345" t="str">
        <f>IF(D1286="","",VLOOKUP(A1286,Materiais_Base!A:D,4,"FALSO"))</f>
        <v/>
      </c>
    </row>
    <row r="1287" hidden="1" customHeight="1" spans="1:7">
      <c r="A1287" s="352" t="s">
        <v>15564</v>
      </c>
      <c r="B1287" s="352" t="str">
        <f>IF(A1287="","",VLOOKUP(A1287,Materiais_Base!A:D,2,"FALSO"))</f>
        <v>Tubo fôrma lado regulável em aço galvanizado para estais de 22 cordoalhas - D = 15,7 mm</v>
      </c>
      <c r="C1287" s="353" t="str">
        <f>IF(A1287="","",VLOOKUP(A1287,Materiais_Base!A:D,3,"FALSO"))</f>
        <v>m</v>
      </c>
      <c r="D1287" s="354" t="s">
        <v>932</v>
      </c>
      <c r="E1287" s="355" t="str">
        <f t="shared" si="26"/>
        <v/>
      </c>
      <c r="F1287" s="354"/>
      <c r="G1287" s="345" t="str">
        <f>IF(D1287="","",VLOOKUP(A1287,Materiais_Base!A:D,4,"FALSO"))</f>
        <v/>
      </c>
    </row>
    <row r="1288" hidden="1" customHeight="1" spans="1:7">
      <c r="A1288" s="352" t="s">
        <v>15565</v>
      </c>
      <c r="B1288" s="352" t="str">
        <f>IF(A1288="","",VLOOKUP(A1288,Materiais_Base!A:D,2,"FALSO"))</f>
        <v>Tubo fôrma lado regulável em aço galvanizado para estais de 31 cordoalhas - D = 15,7 mm</v>
      </c>
      <c r="C1288" s="353" t="str">
        <f>IF(A1288="","",VLOOKUP(A1288,Materiais_Base!A:D,3,"FALSO"))</f>
        <v>m</v>
      </c>
      <c r="D1288" s="354" t="s">
        <v>932</v>
      </c>
      <c r="E1288" s="355" t="str">
        <f t="shared" si="26"/>
        <v/>
      </c>
      <c r="F1288" s="354"/>
      <c r="G1288" s="345" t="str">
        <f>IF(D1288="","",VLOOKUP(A1288,Materiais_Base!A:D,4,"FALSO"))</f>
        <v/>
      </c>
    </row>
    <row r="1289" hidden="1" customHeight="1" spans="1:7">
      <c r="A1289" s="352" t="s">
        <v>15566</v>
      </c>
      <c r="B1289" s="352" t="str">
        <f>IF(A1289="","",VLOOKUP(A1289,Materiais_Base!A:D,2,"FALSO"))</f>
        <v>Tubo fôrma lado regulável em aço galvanizado para estais de 37 cordoalhas - D = 15,7 mm</v>
      </c>
      <c r="C1289" s="353" t="str">
        <f>IF(A1289="","",VLOOKUP(A1289,Materiais_Base!A:D,3,"FALSO"))</f>
        <v>m</v>
      </c>
      <c r="D1289" s="354" t="s">
        <v>932</v>
      </c>
      <c r="E1289" s="355" t="str">
        <f t="shared" si="26"/>
        <v/>
      </c>
      <c r="F1289" s="354"/>
      <c r="G1289" s="345" t="str">
        <f>IF(D1289="","",VLOOKUP(A1289,Materiais_Base!A:D,4,"FALSO"))</f>
        <v/>
      </c>
    </row>
    <row r="1290" hidden="1" customHeight="1" spans="1:7">
      <c r="A1290" s="352" t="s">
        <v>15567</v>
      </c>
      <c r="B1290" s="352" t="str">
        <f>IF(A1290="","",VLOOKUP(A1290,Materiais_Base!A:D,2,"FALSO"))</f>
        <v>Tubo fôrma lado regulável em aço galvanizado para estais de 43 cordoalhas - D = 15,7 mm</v>
      </c>
      <c r="C1290" s="353" t="str">
        <f>IF(A1290="","",VLOOKUP(A1290,Materiais_Base!A:D,3,"FALSO"))</f>
        <v>m</v>
      </c>
      <c r="D1290" s="354" t="s">
        <v>932</v>
      </c>
      <c r="E1290" s="355" t="str">
        <f t="shared" si="26"/>
        <v/>
      </c>
      <c r="F1290" s="354"/>
      <c r="G1290" s="345" t="str">
        <f>IF(D1290="","",VLOOKUP(A1290,Materiais_Base!A:D,4,"FALSO"))</f>
        <v/>
      </c>
    </row>
    <row r="1291" hidden="1" customHeight="1" spans="1:7">
      <c r="A1291" s="352" t="s">
        <v>15568</v>
      </c>
      <c r="B1291" s="352" t="str">
        <f>IF(A1291="","",VLOOKUP(A1291,Materiais_Base!A:D,2,"FALSO"))</f>
        <v>Tubo fôrma lado regulável em aço galvanizado para estais de 55 cordoalhas - D = 15,7 mm</v>
      </c>
      <c r="C1291" s="353" t="str">
        <f>IF(A1291="","",VLOOKUP(A1291,Materiais_Base!A:D,3,"FALSO"))</f>
        <v>m</v>
      </c>
      <c r="D1291" s="354" t="s">
        <v>932</v>
      </c>
      <c r="E1291" s="355" t="str">
        <f t="shared" si="26"/>
        <v/>
      </c>
      <c r="F1291" s="354"/>
      <c r="G1291" s="345" t="str">
        <f>IF(D1291="","",VLOOKUP(A1291,Materiais_Base!A:D,4,"FALSO"))</f>
        <v/>
      </c>
    </row>
    <row r="1292" hidden="1" customHeight="1" spans="1:7">
      <c r="A1292" s="352" t="s">
        <v>15569</v>
      </c>
      <c r="B1292" s="352" t="str">
        <f>IF(A1292="","",VLOOKUP(A1292,Materiais_Base!A:D,2,"FALSO"))</f>
        <v>Tubo fôrma lado regulável em aço galvanizado para estais de 61 cordoalhas - D = 15,7 mm</v>
      </c>
      <c r="C1292" s="353" t="str">
        <f>IF(A1292="","",VLOOKUP(A1292,Materiais_Base!A:D,3,"FALSO"))</f>
        <v>m</v>
      </c>
      <c r="D1292" s="354" t="s">
        <v>932</v>
      </c>
      <c r="E1292" s="355" t="str">
        <f t="shared" si="26"/>
        <v/>
      </c>
      <c r="F1292" s="354"/>
      <c r="G1292" s="345" t="str">
        <f>IF(D1292="","",VLOOKUP(A1292,Materiais_Base!A:D,4,"FALSO"))</f>
        <v/>
      </c>
    </row>
    <row r="1293" hidden="1" customHeight="1" spans="1:7">
      <c r="A1293" s="352" t="s">
        <v>15570</v>
      </c>
      <c r="B1293" s="352" t="str">
        <f>IF(A1293="","",VLOOKUP(A1293,Materiais_Base!A:D,2,"FALSO"))</f>
        <v>Tubo fôrma lado regulável em aço galvanizado para estais de 73 cordoalhas - D = 15,7 mm</v>
      </c>
      <c r="C1293" s="353" t="str">
        <f>IF(A1293="","",VLOOKUP(A1293,Materiais_Base!A:D,3,"FALSO"))</f>
        <v>m</v>
      </c>
      <c r="D1293" s="354" t="s">
        <v>932</v>
      </c>
      <c r="E1293" s="355" t="str">
        <f t="shared" si="26"/>
        <v/>
      </c>
      <c r="F1293" s="354"/>
      <c r="G1293" s="345" t="str">
        <f>IF(D1293="","",VLOOKUP(A1293,Materiais_Base!A:D,4,"FALSO"))</f>
        <v/>
      </c>
    </row>
    <row r="1294" hidden="1" customHeight="1" spans="1:7">
      <c r="A1294" s="352" t="s">
        <v>15571</v>
      </c>
      <c r="B1294" s="352" t="str">
        <f>IF(A1294="","",VLOOKUP(A1294,Materiais_Base!A:D,2,"FALSO"))</f>
        <v>Tubo fôrma lado regulável em aço galvanizado para estais de 85 cordoalhas - D = 15,7 mm</v>
      </c>
      <c r="C1294" s="353" t="str">
        <f>IF(A1294="","",VLOOKUP(A1294,Materiais_Base!A:D,3,"FALSO"))</f>
        <v>m</v>
      </c>
      <c r="D1294" s="354" t="s">
        <v>932</v>
      </c>
      <c r="E1294" s="355" t="str">
        <f t="shared" si="26"/>
        <v/>
      </c>
      <c r="F1294" s="354"/>
      <c r="G1294" s="345" t="str">
        <f>IF(D1294="","",VLOOKUP(A1294,Materiais_Base!A:D,4,"FALSO"))</f>
        <v/>
      </c>
    </row>
    <row r="1295" hidden="1" customHeight="1" spans="1:7">
      <c r="A1295" s="352" t="s">
        <v>15572</v>
      </c>
      <c r="B1295" s="352" t="str">
        <f>IF(A1295="","",VLOOKUP(A1295,Materiais_Base!A:D,2,"FALSO"))</f>
        <v>Tubo fôrma lado regulável em aço galvanizado para estais de 91 cordoalhas - D = 15,7 mm</v>
      </c>
      <c r="C1295" s="353" t="str">
        <f>IF(A1295="","",VLOOKUP(A1295,Materiais_Base!A:D,3,"FALSO"))</f>
        <v>m</v>
      </c>
      <c r="D1295" s="354" t="s">
        <v>932</v>
      </c>
      <c r="E1295" s="355" t="str">
        <f t="shared" si="26"/>
        <v/>
      </c>
      <c r="F1295" s="354"/>
      <c r="G1295" s="345" t="str">
        <f>IF(D1295="","",VLOOKUP(A1295,Materiais_Base!A:D,4,"FALSO"))</f>
        <v/>
      </c>
    </row>
    <row r="1296" hidden="1" customHeight="1" spans="1:7">
      <c r="A1296" s="352" t="s">
        <v>15573</v>
      </c>
      <c r="B1296" s="352" t="str">
        <f>IF(A1296="","",VLOOKUP(A1296,Materiais_Base!A:D,2,"FALSO"))</f>
        <v>Coroa de botões esféricos - Ring bit - D = 104 mm (4 3/32")</v>
      </c>
      <c r="C1296" s="353" t="str">
        <f>IF(A1296="","",VLOOKUP(A1296,Materiais_Base!A:D,3,"FALSO"))</f>
        <v>un</v>
      </c>
      <c r="D1296" s="354" t="s">
        <v>932</v>
      </c>
      <c r="E1296" s="355" t="str">
        <f t="shared" si="26"/>
        <v/>
      </c>
      <c r="F1296" s="354"/>
      <c r="G1296" s="345" t="str">
        <f>IF(D1296="","",VLOOKUP(A1296,Materiais_Base!A:D,4,"FALSO"))</f>
        <v/>
      </c>
    </row>
    <row r="1297" hidden="1" customHeight="1" spans="1:7">
      <c r="A1297" s="352" t="s">
        <v>15574</v>
      </c>
      <c r="B1297" s="352" t="str">
        <f>IF(A1297="","",VLOOKUP(A1297,Materiais_Base!A:D,2,"FALSO"))</f>
        <v>Tubo de revestimento em aço-carbono schedule 40 - DN = 101,6 mm (4")</v>
      </c>
      <c r="C1297" s="353" t="str">
        <f>IF(A1297="","",VLOOKUP(A1297,Materiais_Base!A:D,3,"FALSO"))</f>
        <v>m</v>
      </c>
      <c r="D1297" s="354" t="s">
        <v>932</v>
      </c>
      <c r="E1297" s="355" t="str">
        <f t="shared" si="26"/>
        <v/>
      </c>
      <c r="F1297" s="354"/>
      <c r="G1297" s="345" t="str">
        <f>IF(D1297="","",VLOOKUP(A1297,Materiais_Base!A:D,4,"FALSO"))</f>
        <v/>
      </c>
    </row>
    <row r="1298" hidden="1" customHeight="1" spans="1:7">
      <c r="A1298" s="352" t="s">
        <v>15575</v>
      </c>
      <c r="B1298" s="352" t="str">
        <f>IF(A1298="","",VLOOKUP(A1298,Materiais_Base!A:D,2,"FALSO"))</f>
        <v>Cimento asfáltico de petróleo com borracha - CAP 50/70 com 15% de borracha de pneu</v>
      </c>
      <c r="C1298" s="353" t="str">
        <f>IF(A1298="","",VLOOKUP(A1298,Materiais_Base!A:D,3,"FALSO"))</f>
        <v>t</v>
      </c>
      <c r="D1298" s="359" t="s">
        <v>932</v>
      </c>
      <c r="E1298" s="355" t="str">
        <f t="shared" si="26"/>
        <v/>
      </c>
      <c r="F1298" s="359"/>
      <c r="G1298" s="345" t="str">
        <f>IF(D1298="","",VLOOKUP(A1298,Materiais_Base!A:D,4,"FALSO"))</f>
        <v/>
      </c>
    </row>
    <row r="1299" hidden="1" customHeight="1" spans="1:7">
      <c r="A1299" s="352" t="s">
        <v>15576</v>
      </c>
      <c r="B1299" s="352" t="str">
        <f>IF(A1299="","",VLOOKUP(A1299,Materiais_Base!A:D,2,"FALSO"))</f>
        <v>Película retrorrefletiva tipo I + SI (sinal impresso com película de sobreposição tipo V)</v>
      </c>
      <c r="C1299" s="353" t="str">
        <f>IF(A1299="","",VLOOKUP(A1299,Materiais_Base!A:D,3,"FALSO"))</f>
        <v>m²</v>
      </c>
      <c r="D1299" s="354" t="s">
        <v>932</v>
      </c>
      <c r="E1299" s="355" t="str">
        <f t="shared" si="26"/>
        <v/>
      </c>
      <c r="F1299" s="354"/>
      <c r="G1299" s="345" t="str">
        <f>IF(D1299="","",VLOOKUP(A1299,Materiais_Base!A:D,4,"FALSO"))</f>
        <v/>
      </c>
    </row>
    <row r="1300" hidden="1" customHeight="1" spans="1:7">
      <c r="A1300" s="352" t="s">
        <v>15577</v>
      </c>
      <c r="B1300" s="352" t="str">
        <f>IF(A1300="","",VLOOKUP(A1300,Materiais_Base!A:D,2,"FALSO"))</f>
        <v>Chapa de poliéster reforçada com fibra de vidro - E = 2,0 mm</v>
      </c>
      <c r="C1300" s="353" t="str">
        <f>IF(A1300="","",VLOOKUP(A1300,Materiais_Base!A:D,3,"FALSO"))</f>
        <v>m²</v>
      </c>
      <c r="D1300" s="354" t="s">
        <v>932</v>
      </c>
      <c r="E1300" s="355" t="str">
        <f t="shared" si="26"/>
        <v/>
      </c>
      <c r="F1300" s="354"/>
      <c r="G1300" s="345" t="str">
        <f>IF(D1300="","",VLOOKUP(A1300,Materiais_Base!A:D,4,"FALSO"))</f>
        <v/>
      </c>
    </row>
    <row r="1301" hidden="1" customHeight="1" spans="1:7">
      <c r="A1301" s="352" t="s">
        <v>15578</v>
      </c>
      <c r="B1301" s="352" t="str">
        <f>IF(A1301="","",VLOOKUP(A1301,Materiais_Base!A:D,2,"FALSO"))</f>
        <v>Chapa de alumínio composto (ACM) - E = 3,0 mm</v>
      </c>
      <c r="C1301" s="353" t="str">
        <f>IF(A1301="","",VLOOKUP(A1301,Materiais_Base!A:D,3,"FALSO"))</f>
        <v>m²</v>
      </c>
      <c r="D1301" s="354" t="s">
        <v>932</v>
      </c>
      <c r="E1301" s="355" t="str">
        <f t="shared" si="26"/>
        <v/>
      </c>
      <c r="F1301" s="354"/>
      <c r="G1301" s="345" t="str">
        <f>IF(D1301="","",VLOOKUP(A1301,Materiais_Base!A:D,4,"FALSO"))</f>
        <v/>
      </c>
    </row>
    <row r="1302" hidden="1" customHeight="1" spans="1:7">
      <c r="A1302" s="352" t="s">
        <v>15579</v>
      </c>
      <c r="B1302" s="352" t="str">
        <f>IF(A1302="","",VLOOKUP(A1302,Materiais_Base!A:D,2,"FALSO"))</f>
        <v>Fita adesiva estrutural dupla-face - E = 2 mm e L = 25 mm</v>
      </c>
      <c r="C1302" s="353" t="str">
        <f>IF(A1302="","",VLOOKUP(A1302,Materiais_Base!A:D,3,"FALSO"))</f>
        <v>m</v>
      </c>
      <c r="D1302" s="354" t="s">
        <v>932</v>
      </c>
      <c r="E1302" s="355" t="str">
        <f t="shared" si="26"/>
        <v/>
      </c>
      <c r="F1302" s="354"/>
      <c r="G1302" s="345" t="str">
        <f>IF(D1302="","",VLOOKUP(A1302,Materiais_Base!A:D,4,"FALSO"))</f>
        <v/>
      </c>
    </row>
    <row r="1303" customHeight="1" spans="1:7">
      <c r="A1303" s="352" t="s">
        <v>14311</v>
      </c>
      <c r="B1303" s="352" t="str">
        <f>IF(A1303="","",VLOOKUP(A1303,Materiais_Base!A:D,2,"FALSO"))</f>
        <v>Película retrorrefletiva tipo I</v>
      </c>
      <c r="C1303" s="353" t="str">
        <f>IF(A1303="","",VLOOKUP(A1303,Materiais_Base!A:D,3,"FALSO"))</f>
        <v>m²</v>
      </c>
      <c r="D1303" s="354">
        <v>149.1333</v>
      </c>
      <c r="E1303" s="355">
        <f t="shared" si="26"/>
        <v>149.1333</v>
      </c>
      <c r="F1303" s="354"/>
      <c r="G1303" s="345">
        <f>IF(D1303="","",VLOOKUP(A1303,Materiais_Base!A:D,4,"FALSO"))</f>
        <v>149.1333</v>
      </c>
    </row>
    <row r="1304" hidden="1" customHeight="1" spans="1:7">
      <c r="A1304" s="352" t="s">
        <v>15580</v>
      </c>
      <c r="B1304" s="352" t="str">
        <f>IF(A1304="","",VLOOKUP(A1304,Materiais_Base!A:D,2,"FALSO"))</f>
        <v>Película retrorrefletiva tipo III + SI</v>
      </c>
      <c r="C1304" s="353" t="str">
        <f>IF(A1304="","",VLOOKUP(A1304,Materiais_Base!A:D,3,"FALSO"))</f>
        <v>m²</v>
      </c>
      <c r="D1304" s="354" t="s">
        <v>932</v>
      </c>
      <c r="E1304" s="355" t="str">
        <f t="shared" si="26"/>
        <v/>
      </c>
      <c r="F1304" s="354"/>
      <c r="G1304" s="345" t="str">
        <f>IF(D1304="","",VLOOKUP(A1304,Materiais_Base!A:D,4,"FALSO"))</f>
        <v/>
      </c>
    </row>
    <row r="1305" customHeight="1" spans="1:7">
      <c r="A1305" s="352" t="s">
        <v>14313</v>
      </c>
      <c r="B1305" s="352" t="str">
        <f>IF(A1305="","",VLOOKUP(A1305,Materiais_Base!A:D,2,"FALSO"))</f>
        <v>Película retrorrefletiva tipo III</v>
      </c>
      <c r="C1305" s="353" t="str">
        <f>IF(A1305="","",VLOOKUP(A1305,Materiais_Base!A:D,3,"FALSO"))</f>
        <v>m²</v>
      </c>
      <c r="D1305" s="354">
        <v>222.5407</v>
      </c>
      <c r="E1305" s="355">
        <f t="shared" ref="E1305:E1368" si="27">IF(D1305="","",MIN(D1305,F1305))</f>
        <v>222.5407</v>
      </c>
      <c r="F1305" s="354"/>
      <c r="G1305" s="345">
        <f>IF(D1305="","",VLOOKUP(A1305,Materiais_Base!A:D,4,"FALSO"))</f>
        <v>222.5407</v>
      </c>
    </row>
    <row r="1306" hidden="1" customHeight="1" spans="1:7">
      <c r="A1306" s="352" t="s">
        <v>15581</v>
      </c>
      <c r="B1306" s="352" t="str">
        <f>IF(A1306="","",VLOOKUP(A1306,Materiais_Base!A:D,2,"FALSO"))</f>
        <v>Película não retrorrefletiva tipo IV</v>
      </c>
      <c r="C1306" s="353" t="str">
        <f>IF(A1306="","",VLOOKUP(A1306,Materiais_Base!A:D,3,"FALSO"))</f>
        <v>m²</v>
      </c>
      <c r="D1306" s="354" t="s">
        <v>932</v>
      </c>
      <c r="E1306" s="355" t="str">
        <f t="shared" si="27"/>
        <v/>
      </c>
      <c r="F1306" s="354"/>
      <c r="G1306" s="345" t="str">
        <f>IF(D1306="","",VLOOKUP(A1306,Materiais_Base!A:D,4,"FALSO"))</f>
        <v/>
      </c>
    </row>
    <row r="1307" hidden="1" customHeight="1" spans="1:7">
      <c r="A1307" s="352" t="s">
        <v>15582</v>
      </c>
      <c r="B1307" s="352" t="str">
        <f>IF(A1307="","",VLOOKUP(A1307,Materiais_Base!A:D,2,"FALSO"))</f>
        <v>Película retrorrefletiva tipo X</v>
      </c>
      <c r="C1307" s="353" t="str">
        <f>IF(A1307="","",VLOOKUP(A1307,Materiais_Base!A:D,3,"FALSO"))</f>
        <v>m²</v>
      </c>
      <c r="D1307" s="354" t="s">
        <v>932</v>
      </c>
      <c r="E1307" s="355" t="str">
        <f t="shared" si="27"/>
        <v/>
      </c>
      <c r="F1307" s="354"/>
      <c r="G1307" s="345" t="str">
        <f>IF(D1307="","",VLOOKUP(A1307,Materiais_Base!A:D,4,"FALSO"))</f>
        <v/>
      </c>
    </row>
    <row r="1308" hidden="1" customHeight="1" spans="1:7">
      <c r="A1308" s="352" t="s">
        <v>15583</v>
      </c>
      <c r="B1308" s="352" t="str">
        <f>IF(A1308="","",VLOOKUP(A1308,Materiais_Base!A:D,2,"FALSO"))</f>
        <v>Duto flexível de ventilação de poliéster aluminizado sem isolamento - D = 200 mm</v>
      </c>
      <c r="C1308" s="353" t="str">
        <f>IF(A1308="","",VLOOKUP(A1308,Materiais_Base!A:D,3,"FALSO"))</f>
        <v>m</v>
      </c>
      <c r="D1308" s="354" t="s">
        <v>932</v>
      </c>
      <c r="E1308" s="355" t="str">
        <f t="shared" si="27"/>
        <v/>
      </c>
      <c r="F1308" s="354"/>
      <c r="G1308" s="345" t="str">
        <f>IF(D1308="","",VLOOKUP(A1308,Materiais_Base!A:D,4,"FALSO"))</f>
        <v/>
      </c>
    </row>
    <row r="1309" hidden="1" customHeight="1" spans="1:7">
      <c r="A1309" s="352" t="s">
        <v>15584</v>
      </c>
      <c r="B1309" s="352" t="str">
        <f>IF(A1309="","",VLOOKUP(A1309,Materiais_Base!A:D,2,"FALSO"))</f>
        <v>Cabo de cobre flexível antichama isolado em HEPR - tensão de 0,6/1,0 kV e seção de 2 x 6 mm²</v>
      </c>
      <c r="C1309" s="353" t="str">
        <f>IF(A1309="","",VLOOKUP(A1309,Materiais_Base!A:D,3,"FALSO"))</f>
        <v>m</v>
      </c>
      <c r="D1309" s="354" t="s">
        <v>932</v>
      </c>
      <c r="E1309" s="355" t="str">
        <f t="shared" si="27"/>
        <v/>
      </c>
      <c r="F1309" s="354"/>
      <c r="G1309" s="345" t="str">
        <f>IF(D1309="","",VLOOKUP(A1309,Materiais_Base!A:D,4,"FALSO"))</f>
        <v/>
      </c>
    </row>
    <row r="1310" hidden="1" customHeight="1" spans="1:7">
      <c r="A1310" s="352" t="s">
        <v>15585</v>
      </c>
      <c r="B1310" s="352" t="str">
        <f>IF(A1310="","",VLOOKUP(A1310,Materiais_Base!A:D,2,"FALSO"))</f>
        <v>Cabo de cobre flexível antichama isolado em HEPR - tensão de 0,6/1,0 kV e seção de 4 x 6 mm²</v>
      </c>
      <c r="C1310" s="353" t="str">
        <f>IF(A1310="","",VLOOKUP(A1310,Materiais_Base!A:D,3,"FALSO"))</f>
        <v>m</v>
      </c>
      <c r="D1310" s="354" t="s">
        <v>932</v>
      </c>
      <c r="E1310" s="355" t="str">
        <f t="shared" si="27"/>
        <v/>
      </c>
      <c r="F1310" s="354"/>
      <c r="G1310" s="345" t="str">
        <f>IF(D1310="","",VLOOKUP(A1310,Materiais_Base!A:D,4,"FALSO"))</f>
        <v/>
      </c>
    </row>
    <row r="1311" hidden="1" customHeight="1" spans="1:7">
      <c r="A1311" s="352" t="s">
        <v>15586</v>
      </c>
      <c r="B1311" s="352" t="str">
        <f>IF(A1311="","",VLOOKUP(A1311,Materiais_Base!A:D,2,"FALSO"))</f>
        <v>Tinta plástica à base de resina metacrílica aplicada a frio por aspersão (spray)</v>
      </c>
      <c r="C1311" s="353" t="str">
        <f>IF(A1311="","",VLOOKUP(A1311,Materiais_Base!A:D,3,"FALSO"))</f>
        <v>kg</v>
      </c>
      <c r="D1311" s="354" t="s">
        <v>932</v>
      </c>
      <c r="E1311" s="355" t="str">
        <f t="shared" si="27"/>
        <v/>
      </c>
      <c r="F1311" s="354"/>
      <c r="G1311" s="345" t="str">
        <f>IF(D1311="","",VLOOKUP(A1311,Materiais_Base!A:D,4,"FALSO"))</f>
        <v/>
      </c>
    </row>
    <row r="1312" hidden="1" customHeight="1" spans="1:7">
      <c r="A1312" s="352" t="s">
        <v>15587</v>
      </c>
      <c r="B1312" s="352" t="str">
        <f>IF(A1312="","",VLOOKUP(A1312,Materiais_Base!A:D,2,"FALSO"))</f>
        <v>Ancoragem fixa para estais de 12 cordoalhas - D = 15,7 mm</v>
      </c>
      <c r="C1312" s="353" t="str">
        <f>IF(A1312="","",VLOOKUP(A1312,Materiais_Base!A:D,3,"FALSO"))</f>
        <v>un</v>
      </c>
      <c r="D1312" s="354" t="s">
        <v>932</v>
      </c>
      <c r="E1312" s="355" t="str">
        <f t="shared" si="27"/>
        <v/>
      </c>
      <c r="F1312" s="354"/>
      <c r="G1312" s="345" t="str">
        <f>IF(D1312="","",VLOOKUP(A1312,Materiais_Base!A:D,4,"FALSO"))</f>
        <v/>
      </c>
    </row>
    <row r="1313" hidden="1" customHeight="1" spans="1:7">
      <c r="A1313" s="352" t="s">
        <v>15588</v>
      </c>
      <c r="B1313" s="352" t="str">
        <f>IF(A1313="","",VLOOKUP(A1313,Materiais_Base!A:D,2,"FALSO"))</f>
        <v>Ancoragem fixa para estais de 22 cordoalhas - D = 15,7 mm</v>
      </c>
      <c r="C1313" s="353" t="str">
        <f>IF(A1313="","",VLOOKUP(A1313,Materiais_Base!A:D,3,"FALSO"))</f>
        <v>un</v>
      </c>
      <c r="D1313" s="354" t="s">
        <v>932</v>
      </c>
      <c r="E1313" s="355" t="str">
        <f t="shared" si="27"/>
        <v/>
      </c>
      <c r="F1313" s="354"/>
      <c r="G1313" s="345" t="str">
        <f>IF(D1313="","",VLOOKUP(A1313,Materiais_Base!A:D,4,"FALSO"))</f>
        <v/>
      </c>
    </row>
    <row r="1314" hidden="1" customHeight="1" spans="1:7">
      <c r="A1314" s="352" t="s">
        <v>15589</v>
      </c>
      <c r="B1314" s="352" t="str">
        <f>IF(A1314="","",VLOOKUP(A1314,Materiais_Base!A:D,2,"FALSO"))</f>
        <v>Ancoragem fixa para estais de 43 cordoalhas - D = 15,7 mm</v>
      </c>
      <c r="C1314" s="353" t="str">
        <f>IF(A1314="","",VLOOKUP(A1314,Materiais_Base!A:D,3,"FALSO"))</f>
        <v>un</v>
      </c>
      <c r="D1314" s="354" t="s">
        <v>932</v>
      </c>
      <c r="E1314" s="355" t="str">
        <f t="shared" si="27"/>
        <v/>
      </c>
      <c r="F1314" s="354"/>
      <c r="G1314" s="345" t="str">
        <f>IF(D1314="","",VLOOKUP(A1314,Materiais_Base!A:D,4,"FALSO"))</f>
        <v/>
      </c>
    </row>
    <row r="1315" hidden="1" customHeight="1" spans="1:7">
      <c r="A1315" s="352" t="s">
        <v>15590</v>
      </c>
      <c r="B1315" s="352" t="str">
        <f>IF(A1315="","",VLOOKUP(A1315,Materiais_Base!A:D,2,"FALSO"))</f>
        <v>Ancoragem fixa para estais de 85 cordoalhas - D = 15,7 mm</v>
      </c>
      <c r="C1315" s="353" t="str">
        <f>IF(A1315="","",VLOOKUP(A1315,Materiais_Base!A:D,3,"FALSO"))</f>
        <v>un</v>
      </c>
      <c r="D1315" s="354" t="s">
        <v>932</v>
      </c>
      <c r="E1315" s="355" t="str">
        <f t="shared" si="27"/>
        <v/>
      </c>
      <c r="F1315" s="354"/>
      <c r="G1315" s="345" t="str">
        <f>IF(D1315="","",VLOOKUP(A1315,Materiais_Base!A:D,4,"FALSO"))</f>
        <v/>
      </c>
    </row>
    <row r="1316" hidden="1" customHeight="1" spans="1:7">
      <c r="A1316" s="352" t="s">
        <v>15591</v>
      </c>
      <c r="B1316" s="352" t="str">
        <f>IF(A1316="","",VLOOKUP(A1316,Materiais_Base!A:D,2,"FALSO"))</f>
        <v>Ancoragem regulável para estais de 12 cordoalhas - D = 15,7 mm</v>
      </c>
      <c r="C1316" s="353" t="str">
        <f>IF(A1316="","",VLOOKUP(A1316,Materiais_Base!A:D,3,"FALSO"))</f>
        <v>un</v>
      </c>
      <c r="D1316" s="354" t="s">
        <v>932</v>
      </c>
      <c r="E1316" s="355" t="str">
        <f t="shared" si="27"/>
        <v/>
      </c>
      <c r="F1316" s="354"/>
      <c r="G1316" s="345" t="str">
        <f>IF(D1316="","",VLOOKUP(A1316,Materiais_Base!A:D,4,"FALSO"))</f>
        <v/>
      </c>
    </row>
    <row r="1317" hidden="1" customHeight="1" spans="1:7">
      <c r="A1317" s="352" t="s">
        <v>15592</v>
      </c>
      <c r="B1317" s="352" t="str">
        <f>IF(A1317="","",VLOOKUP(A1317,Materiais_Base!A:D,2,"FALSO"))</f>
        <v>Ancoragem regulável para estais de 22 cordoalhas - D = 15,7 mm</v>
      </c>
      <c r="C1317" s="353" t="str">
        <f>IF(A1317="","",VLOOKUP(A1317,Materiais_Base!A:D,3,"FALSO"))</f>
        <v>un</v>
      </c>
      <c r="D1317" s="354" t="s">
        <v>932</v>
      </c>
      <c r="E1317" s="355" t="str">
        <f t="shared" si="27"/>
        <v/>
      </c>
      <c r="F1317" s="354"/>
      <c r="G1317" s="345" t="str">
        <f>IF(D1317="","",VLOOKUP(A1317,Materiais_Base!A:D,4,"FALSO"))</f>
        <v/>
      </c>
    </row>
    <row r="1318" hidden="1" customHeight="1" spans="1:7">
      <c r="A1318" s="352" t="s">
        <v>15593</v>
      </c>
      <c r="B1318" s="352" t="str">
        <f>IF(A1318="","",VLOOKUP(A1318,Materiais_Base!A:D,2,"FALSO"))</f>
        <v>Ancoragem regulável para estais de 43 cordoalhas - D = 15,7 mm</v>
      </c>
      <c r="C1318" s="353" t="str">
        <f>IF(A1318="","",VLOOKUP(A1318,Materiais_Base!A:D,3,"FALSO"))</f>
        <v>un</v>
      </c>
      <c r="D1318" s="354" t="s">
        <v>932</v>
      </c>
      <c r="E1318" s="355" t="str">
        <f t="shared" si="27"/>
        <v/>
      </c>
      <c r="F1318" s="354"/>
      <c r="G1318" s="345" t="str">
        <f>IF(D1318="","",VLOOKUP(A1318,Materiais_Base!A:D,4,"FALSO"))</f>
        <v/>
      </c>
    </row>
    <row r="1319" hidden="1" customHeight="1" spans="1:7">
      <c r="A1319" s="352" t="s">
        <v>15594</v>
      </c>
      <c r="B1319" s="352" t="str">
        <f>IF(A1319="","",VLOOKUP(A1319,Materiais_Base!A:D,2,"FALSO"))</f>
        <v>Ancoragem regulável para estais de 85 cordoalhas - D = 15,7 mm</v>
      </c>
      <c r="C1319" s="353" t="str">
        <f>IF(A1319="","",VLOOKUP(A1319,Materiais_Base!A:D,3,"FALSO"))</f>
        <v>un</v>
      </c>
      <c r="D1319" s="354" t="s">
        <v>932</v>
      </c>
      <c r="E1319" s="355" t="str">
        <f t="shared" si="27"/>
        <v/>
      </c>
      <c r="F1319" s="354"/>
      <c r="G1319" s="345" t="str">
        <f>IF(D1319="","",VLOOKUP(A1319,Materiais_Base!A:D,4,"FALSO"))</f>
        <v/>
      </c>
    </row>
    <row r="1320" hidden="1" customHeight="1" spans="1:7">
      <c r="A1320" s="352" t="s">
        <v>15595</v>
      </c>
      <c r="B1320" s="352" t="str">
        <f>IF(A1320="","",VLOOKUP(A1320,Materiais_Base!A:D,2,"FALSO"))</f>
        <v>Tubo PEAD PE 100 PN 5 para estais - D = 110 mm</v>
      </c>
      <c r="C1320" s="353" t="str">
        <f>IF(A1320="","",VLOOKUP(A1320,Materiais_Base!A:D,3,"FALSO"))</f>
        <v>m</v>
      </c>
      <c r="D1320" s="354" t="s">
        <v>932</v>
      </c>
      <c r="E1320" s="355" t="str">
        <f t="shared" si="27"/>
        <v/>
      </c>
      <c r="F1320" s="354"/>
      <c r="G1320" s="345" t="str">
        <f>IF(D1320="","",VLOOKUP(A1320,Materiais_Base!A:D,4,"FALSO"))</f>
        <v/>
      </c>
    </row>
    <row r="1321" hidden="1" customHeight="1" spans="1:7">
      <c r="A1321" s="352" t="s">
        <v>15596</v>
      </c>
      <c r="B1321" s="352" t="str">
        <f>IF(A1321="","",VLOOKUP(A1321,Materiais_Base!A:D,2,"FALSO"))</f>
        <v>Arruela lisa em aço zincado branco para parafuso - D = 9,525 mm (3/8")</v>
      </c>
      <c r="C1321" s="353" t="str">
        <f>IF(A1321="","",VLOOKUP(A1321,Materiais_Base!A:D,3,"FALSO"))</f>
        <v>un</v>
      </c>
      <c r="D1321" s="354" t="s">
        <v>932</v>
      </c>
      <c r="E1321" s="355" t="str">
        <f t="shared" si="27"/>
        <v/>
      </c>
      <c r="F1321" s="354"/>
      <c r="G1321" s="345" t="str">
        <f>IF(D1321="","",VLOOKUP(A1321,Materiais_Base!A:D,4,"FALSO"))</f>
        <v/>
      </c>
    </row>
    <row r="1322" hidden="1" customHeight="1" spans="1:7">
      <c r="A1322" s="352" t="s">
        <v>15597</v>
      </c>
      <c r="B1322" s="352" t="str">
        <f>IF(A1322="","",VLOOKUP(A1322,Materiais_Base!A:D,2,"FALSO"))</f>
        <v>Viga de madeira - E = 5 cm e L = 11 cm</v>
      </c>
      <c r="C1322" s="353" t="str">
        <f>IF(A1322="","",VLOOKUP(A1322,Materiais_Base!A:D,3,"FALSO"))</f>
        <v>m</v>
      </c>
      <c r="D1322" s="354" t="s">
        <v>932</v>
      </c>
      <c r="E1322" s="355" t="str">
        <f t="shared" si="27"/>
        <v/>
      </c>
      <c r="F1322" s="354"/>
      <c r="G1322" s="345" t="str">
        <f>IF(D1322="","",VLOOKUP(A1322,Materiais_Base!A:D,4,"FALSO"))</f>
        <v/>
      </c>
    </row>
    <row r="1323" customHeight="1" spans="1:7">
      <c r="A1323" s="352" t="s">
        <v>15598</v>
      </c>
      <c r="B1323" s="352" t="str">
        <f>IF(A1323="","",VLOOKUP(A1323,Materiais_Base!A:D,2,"FALSO"))</f>
        <v>Purgador plástico</v>
      </c>
      <c r="C1323" s="353" t="str">
        <f>IF(A1323="","",VLOOKUP(A1323,Materiais_Base!A:D,3,"FALSO"))</f>
        <v>un</v>
      </c>
      <c r="D1323" s="354">
        <v>1.3373</v>
      </c>
      <c r="E1323" s="355">
        <f t="shared" si="27"/>
        <v>1.3373</v>
      </c>
      <c r="F1323" s="354"/>
      <c r="G1323" s="345">
        <f>IF(D1323="","",VLOOKUP(A1323,Materiais_Base!A:D,4,"FALSO"))</f>
        <v>1.3373</v>
      </c>
    </row>
    <row r="1324" hidden="1" customHeight="1" spans="1:7">
      <c r="A1324" s="352" t="s">
        <v>15599</v>
      </c>
      <c r="B1324" s="352" t="str">
        <f>IF(A1324="","",VLOOKUP(A1324,Materiais_Base!A:D,2,"FALSO"))</f>
        <v>Chumbador de expansão controlada por torque em aço zincado para concreto - D = 8,0 mm</v>
      </c>
      <c r="C1324" s="353" t="str">
        <f>IF(A1324="","",VLOOKUP(A1324,Materiais_Base!A:D,3,"FALSO"))</f>
        <v>un</v>
      </c>
      <c r="D1324" s="354" t="s">
        <v>932</v>
      </c>
      <c r="E1324" s="355" t="str">
        <f t="shared" si="27"/>
        <v/>
      </c>
      <c r="F1324" s="354"/>
      <c r="G1324" s="345" t="str">
        <f>IF(D1324="","",VLOOKUP(A1324,Materiais_Base!A:D,4,"FALSO"))</f>
        <v/>
      </c>
    </row>
    <row r="1325" hidden="1" customHeight="1" spans="1:7">
      <c r="A1325" s="352" t="s">
        <v>15600</v>
      </c>
      <c r="B1325" s="352" t="str">
        <f>IF(A1325="","",VLOOKUP(A1325,Materiais_Base!A:D,2,"FALSO"))</f>
        <v>Corrente de elo soldado em aço SAE 1010/1020 com acabamento polido - E = 25,00 mm (1")</v>
      </c>
      <c r="C1325" s="353" t="str">
        <f>IF(A1325="","",VLOOKUP(A1325,Materiais_Base!A:D,3,"FALSO"))</f>
        <v>m</v>
      </c>
      <c r="D1325" s="354" t="s">
        <v>932</v>
      </c>
      <c r="E1325" s="355" t="str">
        <f t="shared" si="27"/>
        <v/>
      </c>
      <c r="F1325" s="354"/>
      <c r="G1325" s="345" t="str">
        <f>IF(D1325="","",VLOOKUP(A1325,Materiais_Base!A:D,4,"FALSO"))</f>
        <v/>
      </c>
    </row>
    <row r="1326" hidden="1" customHeight="1" spans="1:7">
      <c r="A1326" s="352" t="s">
        <v>15601</v>
      </c>
      <c r="B1326" s="352" t="str">
        <f>IF(A1326="","",VLOOKUP(A1326,Materiais_Base!A:D,2,"FALSO"))</f>
        <v>Corrente de elo soldado em aço SAE 1010/1020 com acabamento polido - E = 12,50 mm (1/2")</v>
      </c>
      <c r="C1326" s="353" t="str">
        <f>IF(A1326="","",VLOOKUP(A1326,Materiais_Base!A:D,3,"FALSO"))</f>
        <v>m</v>
      </c>
      <c r="D1326" s="354" t="s">
        <v>932</v>
      </c>
      <c r="E1326" s="355" t="str">
        <f t="shared" si="27"/>
        <v/>
      </c>
      <c r="F1326" s="354"/>
      <c r="G1326" s="345" t="str">
        <f>IF(D1326="","",VLOOKUP(A1326,Materiais_Base!A:D,4,"FALSO"))</f>
        <v/>
      </c>
    </row>
    <row r="1327" hidden="1" customHeight="1" spans="1:7">
      <c r="A1327" s="352" t="s">
        <v>15602</v>
      </c>
      <c r="B1327" s="352" t="str">
        <f>IF(A1327="","",VLOOKUP(A1327,Materiais_Base!A:D,2,"FALSO"))</f>
        <v>Corrente de elo soldado em aço SAE 1010/1020 com acabamento polido - E = 19,00 mm (3/4")</v>
      </c>
      <c r="C1327" s="353" t="str">
        <f>IF(A1327="","",VLOOKUP(A1327,Materiais_Base!A:D,3,"FALSO"))</f>
        <v>m</v>
      </c>
      <c r="D1327" s="354" t="s">
        <v>932</v>
      </c>
      <c r="E1327" s="355" t="str">
        <f t="shared" si="27"/>
        <v/>
      </c>
      <c r="F1327" s="354"/>
      <c r="G1327" s="345" t="str">
        <f>IF(D1327="","",VLOOKUP(A1327,Materiais_Base!A:D,4,"FALSO"))</f>
        <v/>
      </c>
    </row>
    <row r="1328" hidden="1" customHeight="1" spans="1:7">
      <c r="A1328" s="352" t="s">
        <v>15603</v>
      </c>
      <c r="B1328" s="352" t="str">
        <f>IF(A1328="","",VLOOKUP(A1328,Materiais_Base!A:D,2,"FALSO"))</f>
        <v>Lanterna de sinalização náutica com acessórios de fixação - alcance 2 mn</v>
      </c>
      <c r="C1328" s="353" t="str">
        <f>IF(A1328="","",VLOOKUP(A1328,Materiais_Base!A:D,3,"FALSO"))</f>
        <v>un</v>
      </c>
      <c r="D1328" s="354" t="s">
        <v>932</v>
      </c>
      <c r="E1328" s="355" t="str">
        <f t="shared" si="27"/>
        <v/>
      </c>
      <c r="F1328" s="354"/>
      <c r="G1328" s="345" t="str">
        <f>IF(D1328="","",VLOOKUP(A1328,Materiais_Base!A:D,4,"FALSO"))</f>
        <v/>
      </c>
    </row>
    <row r="1329" hidden="1" customHeight="1" spans="1:7">
      <c r="A1329" s="352" t="s">
        <v>15604</v>
      </c>
      <c r="B1329" s="352" t="str">
        <f>IF(A1329="","",VLOOKUP(A1329,Materiais_Base!A:D,2,"FALSO"))</f>
        <v>Lanterna de sinalização náutica com acessórios de fixação - alcance 3 mn</v>
      </c>
      <c r="C1329" s="353" t="str">
        <f>IF(A1329="","",VLOOKUP(A1329,Materiais_Base!A:D,3,"FALSO"))</f>
        <v>un</v>
      </c>
      <c r="D1329" s="354" t="s">
        <v>932</v>
      </c>
      <c r="E1329" s="355" t="str">
        <f t="shared" si="27"/>
        <v/>
      </c>
      <c r="F1329" s="354"/>
      <c r="G1329" s="345" t="str">
        <f>IF(D1329="","",VLOOKUP(A1329,Materiais_Base!A:D,4,"FALSO"))</f>
        <v/>
      </c>
    </row>
    <row r="1330" hidden="1" customHeight="1" spans="1:7">
      <c r="A1330" s="352" t="s">
        <v>15605</v>
      </c>
      <c r="B1330" s="352" t="str">
        <f>IF(A1330="","",VLOOKUP(A1330,Materiais_Base!A:D,2,"FALSO"))</f>
        <v>Lanterna de sinalização náutica com acessórios de fixação - alcance 4 mn</v>
      </c>
      <c r="C1330" s="353" t="str">
        <f>IF(A1330="","",VLOOKUP(A1330,Materiais_Base!A:D,3,"FALSO"))</f>
        <v>un</v>
      </c>
      <c r="D1330" s="354" t="s">
        <v>932</v>
      </c>
      <c r="E1330" s="355" t="str">
        <f t="shared" si="27"/>
        <v/>
      </c>
      <c r="F1330" s="354"/>
      <c r="G1330" s="345" t="str">
        <f>IF(D1330="","",VLOOKUP(A1330,Materiais_Base!A:D,4,"FALSO"))</f>
        <v/>
      </c>
    </row>
    <row r="1331" hidden="1" customHeight="1" spans="1:7">
      <c r="A1331" s="352" t="s">
        <v>15606</v>
      </c>
      <c r="B1331" s="352" t="str">
        <f>IF(A1331="","",VLOOKUP(A1331,Materiais_Base!A:D,2,"FALSO"))</f>
        <v>Lanterna de sinalização náutica com acessórios de fixação - alcance 6 mn</v>
      </c>
      <c r="C1331" s="353" t="str">
        <f>IF(A1331="","",VLOOKUP(A1331,Materiais_Base!A:D,3,"FALSO"))</f>
        <v>un</v>
      </c>
      <c r="D1331" s="354" t="s">
        <v>932</v>
      </c>
      <c r="E1331" s="355" t="str">
        <f t="shared" si="27"/>
        <v/>
      </c>
      <c r="F1331" s="354"/>
      <c r="G1331" s="345" t="str">
        <f>IF(D1331="","",VLOOKUP(A1331,Materiais_Base!A:D,4,"FALSO"))</f>
        <v/>
      </c>
    </row>
    <row r="1332" hidden="1" customHeight="1" spans="1:7">
      <c r="A1332" s="352" t="s">
        <v>15607</v>
      </c>
      <c r="B1332" s="352" t="str">
        <f>IF(A1332="","",VLOOKUP(A1332,Materiais_Base!A:D,2,"FALSO"))</f>
        <v>Lanterna de sinalização náutica com acessórios de fixação - alcance 8 mn</v>
      </c>
      <c r="C1332" s="353" t="str">
        <f>IF(A1332="","",VLOOKUP(A1332,Materiais_Base!A:D,3,"FALSO"))</f>
        <v>un</v>
      </c>
      <c r="D1332" s="354" t="s">
        <v>932</v>
      </c>
      <c r="E1332" s="355" t="str">
        <f t="shared" si="27"/>
        <v/>
      </c>
      <c r="F1332" s="354"/>
      <c r="G1332" s="345" t="str">
        <f>IF(D1332="","",VLOOKUP(A1332,Materiais_Base!A:D,4,"FALSO"))</f>
        <v/>
      </c>
    </row>
    <row r="1333" hidden="1" customHeight="1" spans="1:7">
      <c r="A1333" s="352" t="s">
        <v>15608</v>
      </c>
      <c r="B1333" s="352" t="str">
        <f>IF(A1333="","",VLOOKUP(A1333,Materiais_Base!A:D,2,"FALSO"))</f>
        <v>Manilha âncora em aço forjado com porca e cupilha - DN = 16,0 mm (5/8")</v>
      </c>
      <c r="C1333" s="353" t="str">
        <f>IF(A1333="","",VLOOKUP(A1333,Materiais_Base!A:D,3,"FALSO"))</f>
        <v>un</v>
      </c>
      <c r="D1333" s="354" t="s">
        <v>932</v>
      </c>
      <c r="E1333" s="355" t="str">
        <f t="shared" si="27"/>
        <v/>
      </c>
      <c r="F1333" s="354"/>
      <c r="G1333" s="345" t="str">
        <f>IF(D1333="","",VLOOKUP(A1333,Materiais_Base!A:D,4,"FALSO"))</f>
        <v/>
      </c>
    </row>
    <row r="1334" hidden="1" customHeight="1" spans="1:7">
      <c r="A1334" s="352" t="s">
        <v>15609</v>
      </c>
      <c r="B1334" s="352" t="str">
        <f>IF(A1334="","",VLOOKUP(A1334,Materiais_Base!A:D,2,"FALSO"))</f>
        <v>Manilha reta em aço forjado com porca e cupilha - DN = 38,1 mm (1 1/2")</v>
      </c>
      <c r="C1334" s="353" t="str">
        <f>IF(A1334="","",VLOOKUP(A1334,Materiais_Base!A:D,3,"FALSO"))</f>
        <v>un</v>
      </c>
      <c r="D1334" s="354" t="s">
        <v>932</v>
      </c>
      <c r="E1334" s="355" t="str">
        <f t="shared" si="27"/>
        <v/>
      </c>
      <c r="F1334" s="354"/>
      <c r="G1334" s="345" t="str">
        <f>IF(D1334="","",VLOOKUP(A1334,Materiais_Base!A:D,4,"FALSO"))</f>
        <v/>
      </c>
    </row>
    <row r="1335" hidden="1" customHeight="1" spans="1:7">
      <c r="A1335" s="352" t="s">
        <v>15610</v>
      </c>
      <c r="B1335" s="352" t="str">
        <f>IF(A1335="","",VLOOKUP(A1335,Materiais_Base!A:D,2,"FALSO"))</f>
        <v>Manilha reta em aço forjado com porca e cupilha - DN = 25,4 mm (1")</v>
      </c>
      <c r="C1335" s="353" t="str">
        <f>IF(A1335="","",VLOOKUP(A1335,Materiais_Base!A:D,3,"FALSO"))</f>
        <v>un</v>
      </c>
      <c r="D1335" s="354" t="s">
        <v>932</v>
      </c>
      <c r="E1335" s="355" t="str">
        <f t="shared" si="27"/>
        <v/>
      </c>
      <c r="F1335" s="354"/>
      <c r="G1335" s="345" t="str">
        <f>IF(D1335="","",VLOOKUP(A1335,Materiais_Base!A:D,4,"FALSO"))</f>
        <v/>
      </c>
    </row>
    <row r="1336" hidden="1" customHeight="1" spans="1:7">
      <c r="A1336" s="352" t="s">
        <v>15611</v>
      </c>
      <c r="B1336" s="352" t="str">
        <f>IF(A1336="","",VLOOKUP(A1336,Materiais_Base!A:D,2,"FALSO"))</f>
        <v>Suporte polimérico ecológico maciço colapsível para placa de sinalização - seção de 10 x 10 cm</v>
      </c>
      <c r="C1336" s="353" t="str">
        <f>IF(A1336="","",VLOOKUP(A1336,Materiais_Base!A:D,3,"FALSO"))</f>
        <v>m</v>
      </c>
      <c r="D1336" s="354" t="s">
        <v>932</v>
      </c>
      <c r="E1336" s="355" t="str">
        <f t="shared" si="27"/>
        <v/>
      </c>
      <c r="F1336" s="354"/>
      <c r="G1336" s="345" t="str">
        <f>IF(D1336="","",VLOOKUP(A1336,Materiais_Base!A:D,4,"FALSO"))</f>
        <v/>
      </c>
    </row>
    <row r="1337" hidden="1" customHeight="1" spans="1:7">
      <c r="A1337" s="352" t="s">
        <v>15612</v>
      </c>
      <c r="B1337" s="352" t="str">
        <f>IF(A1337="","",VLOOKUP(A1337,Materiais_Base!A:D,2,"FALSO"))</f>
        <v>Placa de ancoragem para tirante de barra de aço - E = 12,7 mm e seção de 160 x 160 mm</v>
      </c>
      <c r="C1337" s="353" t="str">
        <f>IF(A1337="","",VLOOKUP(A1337,Materiais_Base!A:D,3,"FALSO"))</f>
        <v>un</v>
      </c>
      <c r="D1337" s="354" t="s">
        <v>932</v>
      </c>
      <c r="E1337" s="355" t="str">
        <f t="shared" si="27"/>
        <v/>
      </c>
      <c r="F1337" s="354"/>
      <c r="G1337" s="345" t="str">
        <f>IF(D1337="","",VLOOKUP(A1337,Materiais_Base!A:D,4,"FALSO"))</f>
        <v/>
      </c>
    </row>
    <row r="1338" hidden="1" customHeight="1" spans="1:7">
      <c r="A1338" s="352" t="s">
        <v>15613</v>
      </c>
      <c r="B1338" s="352" t="str">
        <f>IF(A1338="","",VLOOKUP(A1338,Materiais_Base!A:D,2,"FALSO"))</f>
        <v>Mistura betuminosa</v>
      </c>
      <c r="C1338" s="353" t="str">
        <f>IF(A1338="","",VLOOKUP(A1338,Materiais_Base!A:D,3,"FALSO"))</f>
        <v>m³</v>
      </c>
      <c r="D1338" s="359" t="s">
        <v>932</v>
      </c>
      <c r="E1338" s="355" t="str">
        <f t="shared" si="27"/>
        <v/>
      </c>
      <c r="F1338" s="359"/>
      <c r="G1338" s="345" t="str">
        <f>IF(D1338="","",VLOOKUP(A1338,Materiais_Base!A:D,4,"FALSO"))</f>
        <v/>
      </c>
    </row>
    <row r="1339" hidden="1" customHeight="1" spans="1:7">
      <c r="A1339" s="352" t="s">
        <v>15614</v>
      </c>
      <c r="B1339" s="352" t="str">
        <f>IF(A1339="","",VLOOKUP(A1339,Materiais_Base!A:D,2,"FALSO"))</f>
        <v>Material de base</v>
      </c>
      <c r="C1339" s="353" t="str">
        <f>IF(A1339="","",VLOOKUP(A1339,Materiais_Base!A:D,3,"FALSO"))</f>
        <v>m³</v>
      </c>
      <c r="D1339" s="359" t="s">
        <v>932</v>
      </c>
      <c r="E1339" s="355" t="str">
        <f t="shared" si="27"/>
        <v/>
      </c>
      <c r="F1339" s="359"/>
      <c r="G1339" s="345" t="str">
        <f>IF(D1339="","",VLOOKUP(A1339,Materiais_Base!A:D,4,"FALSO"))</f>
        <v/>
      </c>
    </row>
    <row r="1340" hidden="1" customHeight="1" spans="1:7">
      <c r="A1340" s="352" t="s">
        <v>15615</v>
      </c>
      <c r="B1340" s="352" t="str">
        <f>IF(A1340="","",VLOOKUP(A1340,Materiais_Base!A:D,2,"FALSO"))</f>
        <v>Concreto</v>
      </c>
      <c r="C1340" s="353" t="str">
        <f>IF(A1340="","",VLOOKUP(A1340,Materiais_Base!A:D,3,"FALSO"))</f>
        <v>m³</v>
      </c>
      <c r="D1340" s="359" t="s">
        <v>932</v>
      </c>
      <c r="E1340" s="355" t="str">
        <f t="shared" si="27"/>
        <v/>
      </c>
      <c r="F1340" s="359"/>
      <c r="G1340" s="345" t="str">
        <f>IF(D1340="","",VLOOKUP(A1340,Materiais_Base!A:D,4,"FALSO"))</f>
        <v/>
      </c>
    </row>
    <row r="1341" hidden="1" customHeight="1" spans="1:7">
      <c r="A1341" s="352" t="s">
        <v>15616</v>
      </c>
      <c r="B1341" s="352" t="str">
        <f>IF(A1341="","",VLOOKUP(A1341,Materiais_Base!A:D,2,"FALSO"))</f>
        <v>Material demolido - concreto simples</v>
      </c>
      <c r="C1341" s="353" t="str">
        <f>IF(A1341="","",VLOOKUP(A1341,Materiais_Base!A:D,3,"FALSO"))</f>
        <v>m³</v>
      </c>
      <c r="D1341" s="359" t="s">
        <v>932</v>
      </c>
      <c r="E1341" s="355" t="str">
        <f t="shared" si="27"/>
        <v/>
      </c>
      <c r="F1341" s="359"/>
      <c r="G1341" s="345" t="str">
        <f>IF(D1341="","",VLOOKUP(A1341,Materiais_Base!A:D,4,"FALSO"))</f>
        <v/>
      </c>
    </row>
    <row r="1342" hidden="1" customHeight="1" spans="1:7">
      <c r="A1342" s="352" t="s">
        <v>15617</v>
      </c>
      <c r="B1342" s="352" t="str">
        <f>IF(A1342="","",VLOOKUP(A1342,Materiais_Base!A:D,2,"FALSO"))</f>
        <v>Material demolido - madeira</v>
      </c>
      <c r="C1342" s="353" t="str">
        <f>IF(A1342="","",VLOOKUP(A1342,Materiais_Base!A:D,3,"FALSO"))</f>
        <v>m³</v>
      </c>
      <c r="D1342" s="359" t="s">
        <v>932</v>
      </c>
      <c r="E1342" s="355" t="str">
        <f t="shared" si="27"/>
        <v/>
      </c>
      <c r="F1342" s="359"/>
      <c r="G1342" s="345" t="str">
        <f>IF(D1342="","",VLOOKUP(A1342,Materiais_Base!A:D,4,"FALSO"))</f>
        <v/>
      </c>
    </row>
    <row r="1343" hidden="1" customHeight="1" spans="1:7">
      <c r="A1343" s="352" t="s">
        <v>15618</v>
      </c>
      <c r="B1343" s="352" t="str">
        <f>IF(A1343="","",VLOOKUP(A1343,Materiais_Base!A:D,2,"FALSO"))</f>
        <v>Revestimento asfáltico</v>
      </c>
      <c r="C1343" s="353" t="str">
        <f>IF(A1343="","",VLOOKUP(A1343,Materiais_Base!A:D,3,"FALSO"))</f>
        <v>m³</v>
      </c>
      <c r="D1343" s="359" t="s">
        <v>932</v>
      </c>
      <c r="E1343" s="355" t="str">
        <f t="shared" si="27"/>
        <v/>
      </c>
      <c r="F1343" s="359"/>
      <c r="G1343" s="345" t="str">
        <f>IF(D1343="","",VLOOKUP(A1343,Materiais_Base!A:D,4,"FALSO"))</f>
        <v/>
      </c>
    </row>
    <row r="1344" hidden="1" customHeight="1" spans="1:7">
      <c r="A1344" s="352" t="s">
        <v>15619</v>
      </c>
      <c r="B1344" s="352" t="str">
        <f>IF(A1344="","",VLOOKUP(A1344,Materiais_Base!A:D,2,"FALSO"))</f>
        <v>Camada granular (base ou sub-base)</v>
      </c>
      <c r="C1344" s="353" t="str">
        <f>IF(A1344="","",VLOOKUP(A1344,Materiais_Base!A:D,3,"FALSO"))</f>
        <v>m³</v>
      </c>
      <c r="D1344" s="359" t="s">
        <v>932</v>
      </c>
      <c r="E1344" s="355" t="str">
        <f t="shared" si="27"/>
        <v/>
      </c>
      <c r="F1344" s="359"/>
      <c r="G1344" s="345" t="str">
        <f>IF(D1344="","",VLOOKUP(A1344,Materiais_Base!A:D,4,"FALSO"))</f>
        <v/>
      </c>
    </row>
    <row r="1345" hidden="1" customHeight="1" spans="1:7">
      <c r="A1345" s="352" t="s">
        <v>15620</v>
      </c>
      <c r="B1345" s="352" t="str">
        <f>IF(A1345="","",VLOOKUP(A1345,Materiais_Base!A:D,2,"FALSO"))</f>
        <v>Material demolido - remendo profundo</v>
      </c>
      <c r="C1345" s="353" t="str">
        <f>IF(A1345="","",VLOOKUP(A1345,Materiais_Base!A:D,3,"FALSO"))</f>
        <v>m³</v>
      </c>
      <c r="D1345" s="359" t="s">
        <v>932</v>
      </c>
      <c r="E1345" s="355" t="str">
        <f t="shared" si="27"/>
        <v/>
      </c>
      <c r="F1345" s="359"/>
      <c r="G1345" s="345" t="str">
        <f>IF(D1345="","",VLOOKUP(A1345,Materiais_Base!A:D,4,"FALSO"))</f>
        <v/>
      </c>
    </row>
    <row r="1346" hidden="1" customHeight="1" spans="1:7">
      <c r="A1346" s="352" t="s">
        <v>15621</v>
      </c>
      <c r="B1346" s="352" t="str">
        <f>IF(A1346="","",VLOOKUP(A1346,Materiais_Base!A:D,2,"FALSO"))</f>
        <v>Material demolido - alvenaria</v>
      </c>
      <c r="C1346" s="353" t="str">
        <f>IF(A1346="","",VLOOKUP(A1346,Materiais_Base!A:D,3,"FALSO"))</f>
        <v>m³</v>
      </c>
      <c r="D1346" s="359" t="s">
        <v>14799</v>
      </c>
      <c r="E1346" s="355">
        <f t="shared" si="27"/>
        <v>0</v>
      </c>
      <c r="F1346" s="359"/>
      <c r="G1346" s="345" t="str">
        <f>IF(D1346="","",VLOOKUP(A1346,Materiais_Base!A:D,4,"FALSO"))</f>
        <v>-</v>
      </c>
    </row>
    <row r="1347" hidden="1" customHeight="1" spans="1:7">
      <c r="A1347" s="352" t="s">
        <v>15622</v>
      </c>
      <c r="B1347" s="352" t="str">
        <f>IF(A1347="","",VLOOKUP(A1347,Materiais_Base!A:D,2,"FALSO"))</f>
        <v>Acessórios e materiais metálicos</v>
      </c>
      <c r="C1347" s="353" t="str">
        <f>IF(A1347="","",VLOOKUP(A1347,Materiais_Base!A:D,3,"FALSO"))</f>
        <v>t</v>
      </c>
      <c r="D1347" s="359" t="s">
        <v>932</v>
      </c>
      <c r="E1347" s="355" t="str">
        <f t="shared" si="27"/>
        <v/>
      </c>
      <c r="F1347" s="359"/>
      <c r="G1347" s="345" t="str">
        <f>IF(D1347="","",VLOOKUP(A1347,Materiais_Base!A:D,4,"FALSO"))</f>
        <v/>
      </c>
    </row>
    <row r="1348" hidden="1" customHeight="1" spans="1:7">
      <c r="A1348" s="352" t="s">
        <v>15623</v>
      </c>
      <c r="B1348" s="352" t="str">
        <f>IF(A1348="","",VLOOKUP(A1348,Materiais_Base!A:D,2,"FALSO"))</f>
        <v>Material demolido - concreto armado</v>
      </c>
      <c r="C1348" s="353" t="str">
        <f>IF(A1348="","",VLOOKUP(A1348,Materiais_Base!A:D,3,"FALSO"))</f>
        <v>m³</v>
      </c>
      <c r="D1348" s="359" t="s">
        <v>14799</v>
      </c>
      <c r="E1348" s="355">
        <f t="shared" si="27"/>
        <v>0</v>
      </c>
      <c r="F1348" s="359"/>
      <c r="G1348" s="345" t="str">
        <f>IF(D1348="","",VLOOKUP(A1348,Materiais_Base!A:D,4,"FALSO"))</f>
        <v>-</v>
      </c>
    </row>
    <row r="1349" hidden="1" customHeight="1" spans="1:7">
      <c r="A1349" s="352" t="s">
        <v>15624</v>
      </c>
      <c r="B1349" s="352" t="str">
        <f>IF(A1349="","",VLOOKUP(A1349,Materiais_Base!A:D,2,"FALSO"))</f>
        <v>Material de 3ª categoria</v>
      </c>
      <c r="C1349" s="353" t="str">
        <f>IF(A1349="","",VLOOKUP(A1349,Materiais_Base!A:D,3,"FALSO"))</f>
        <v>m³</v>
      </c>
      <c r="D1349" s="359" t="s">
        <v>932</v>
      </c>
      <c r="E1349" s="355" t="str">
        <f t="shared" si="27"/>
        <v/>
      </c>
      <c r="F1349" s="359"/>
      <c r="G1349" s="345" t="str">
        <f>IF(D1349="","",VLOOKUP(A1349,Materiais_Base!A:D,4,"FALSO"))</f>
        <v/>
      </c>
    </row>
    <row r="1350" hidden="1" customHeight="1" spans="1:7">
      <c r="A1350" s="352" t="s">
        <v>15625</v>
      </c>
      <c r="B1350" s="352" t="str">
        <f>IF(A1350="","",VLOOKUP(A1350,Materiais_Base!A:D,2,"FALSO"))</f>
        <v>Solo</v>
      </c>
      <c r="C1350" s="353" t="str">
        <f>IF(A1350="","",VLOOKUP(A1350,Materiais_Base!A:D,3,"FALSO"))</f>
        <v>m³</v>
      </c>
      <c r="D1350" s="359" t="s">
        <v>932</v>
      </c>
      <c r="E1350" s="355" t="str">
        <f t="shared" si="27"/>
        <v/>
      </c>
      <c r="F1350" s="359"/>
      <c r="G1350" s="345" t="str">
        <f>IF(D1350="","",VLOOKUP(A1350,Materiais_Base!A:D,4,"FALSO"))</f>
        <v/>
      </c>
    </row>
    <row r="1351" hidden="1" customHeight="1" spans="1:7">
      <c r="A1351" s="361" t="s">
        <v>15626</v>
      </c>
      <c r="B1351" s="352" t="str">
        <f>IF(A1351="","",VLOOKUP(A1351,Materiais_Base!A:D,2,"FALSO"))</f>
        <v>Grãos, agregados e solos derramados na pista</v>
      </c>
      <c r="C1351" s="353" t="str">
        <f>IF(A1351="","",VLOOKUP(A1351,Materiais_Base!A:D,3,"FALSO"))</f>
        <v>t</v>
      </c>
      <c r="D1351" s="344" t="s">
        <v>932</v>
      </c>
      <c r="E1351" s="355" t="str">
        <f t="shared" si="27"/>
        <v/>
      </c>
      <c r="G1351" s="345" t="str">
        <f>IF(D1351="","",VLOOKUP(A1351,Materiais_Base!A:D,4,"FALSO"))</f>
        <v/>
      </c>
    </row>
    <row r="1352" hidden="1" customHeight="1" spans="1:7">
      <c r="A1352" s="361" t="s">
        <v>15627</v>
      </c>
      <c r="B1352" s="352" t="str">
        <f>IF(A1352="","",VLOOKUP(A1352,Materiais_Base!A:D,2,"FALSO"))</f>
        <v>Veículos de pequeno porte incendiados em rodovia</v>
      </c>
      <c r="C1352" s="353" t="str">
        <f>IF(A1352="","",VLOOKUP(A1352,Materiais_Base!A:D,3,"FALSO"))</f>
        <v>un</v>
      </c>
      <c r="D1352" s="344" t="s">
        <v>932</v>
      </c>
      <c r="E1352" s="355" t="str">
        <f t="shared" si="27"/>
        <v/>
      </c>
      <c r="G1352" s="345" t="str">
        <f>IF(D1352="","",VLOOKUP(A1352,Materiais_Base!A:D,4,"FALSO"))</f>
        <v/>
      </c>
    </row>
    <row r="1353" hidden="1" customHeight="1" spans="1:7">
      <c r="A1353" s="361" t="s">
        <v>15628</v>
      </c>
      <c r="B1353" s="352" t="str">
        <f>IF(A1353="","",VLOOKUP(A1353,Materiais_Base!A:D,2,"FALSO"))</f>
        <v>Custo equivalente da construção civil</v>
      </c>
      <c r="C1353" s="353" t="str">
        <f>IF(A1353="","",VLOOKUP(A1353,Materiais_Base!A:D,3,"FALSO"))</f>
        <v>m²</v>
      </c>
      <c r="D1353" s="362" t="s">
        <v>932</v>
      </c>
      <c r="E1353" s="355" t="str">
        <f t="shared" si="27"/>
        <v/>
      </c>
      <c r="F1353" s="362"/>
      <c r="G1353" s="345" t="str">
        <f>IF(D1353="","",VLOOKUP(A1353,Materiais_Base!A:D,4,"FALSO"))</f>
        <v/>
      </c>
    </row>
    <row r="1354" hidden="1" customHeight="1" spans="1:7">
      <c r="A1354" s="352" t="s">
        <v>15629</v>
      </c>
      <c r="B1354" s="352" t="str">
        <f>IF(A1354="","",VLOOKUP(A1354,Materiais_Base!A:D,2,"FALSO"))</f>
        <v>Animais de grande porte mortos em rodovia</v>
      </c>
      <c r="C1354" s="353" t="str">
        <f>IF(A1354="","",VLOOKUP(A1354,Materiais_Base!A:D,3,"FALSO"))</f>
        <v>t</v>
      </c>
      <c r="D1354" s="359" t="s">
        <v>932</v>
      </c>
      <c r="E1354" s="355" t="str">
        <f t="shared" si="27"/>
        <v/>
      </c>
      <c r="F1354" s="359"/>
      <c r="G1354" s="345" t="str">
        <f>IF(D1354="","",VLOOKUP(A1354,Materiais_Base!A:D,4,"FALSO"))</f>
        <v/>
      </c>
    </row>
    <row r="1355" hidden="1" customHeight="1" spans="1:7">
      <c r="A1355" s="352" t="s">
        <v>15630</v>
      </c>
      <c r="B1355" s="352" t="str">
        <f>IF(A1355="","",VLOOKUP(A1355,Materiais_Base!A:D,2,"FALSO"))</f>
        <v>Animais de pequeno porte mortos em rodovia</v>
      </c>
      <c r="C1355" s="353" t="str">
        <f>IF(A1355="","",VLOOKUP(A1355,Materiais_Base!A:D,3,"FALSO"))</f>
        <v>t</v>
      </c>
      <c r="D1355" s="359" t="s">
        <v>932</v>
      </c>
      <c r="E1355" s="355" t="str">
        <f t="shared" si="27"/>
        <v/>
      </c>
      <c r="F1355" s="359"/>
      <c r="G1355" s="345" t="str">
        <f>IF(D1355="","",VLOOKUP(A1355,Materiais_Base!A:D,4,"FALSO"))</f>
        <v/>
      </c>
    </row>
    <row r="1356" hidden="1" customHeight="1" spans="1:7">
      <c r="A1356" s="352" t="s">
        <v>15631</v>
      </c>
      <c r="B1356" s="352" t="str">
        <f>IF(A1356="","",VLOOKUP(A1356,Materiais_Base!A:D,2,"FALSO"))</f>
        <v>Emborrachados de pneus espalhados em rodovia</v>
      </c>
      <c r="C1356" s="353" t="str">
        <f>IF(A1356="","",VLOOKUP(A1356,Materiais_Base!A:D,3,"FALSO"))</f>
        <v>t</v>
      </c>
      <c r="D1356" s="359" t="s">
        <v>932</v>
      </c>
      <c r="E1356" s="355" t="str">
        <f t="shared" si="27"/>
        <v/>
      </c>
      <c r="F1356" s="359"/>
      <c r="G1356" s="345" t="str">
        <f>IF(D1356="","",VLOOKUP(A1356,Materiais_Base!A:D,4,"FALSO"))</f>
        <v/>
      </c>
    </row>
    <row r="1357" hidden="1" customHeight="1" spans="1:7">
      <c r="A1357" s="352" t="s">
        <v>15632</v>
      </c>
      <c r="B1357" s="352" t="str">
        <f>IF(A1357="","",VLOOKUP(A1357,Materiais_Base!A:D,2,"FALSO"))</f>
        <v>Espécimes arbóreos de até 20 m tombados na pista</v>
      </c>
      <c r="C1357" s="353" t="str">
        <f>IF(A1357="","",VLOOKUP(A1357,Materiais_Base!A:D,3,"FALSO"))</f>
        <v>t</v>
      </c>
      <c r="D1357" s="359" t="s">
        <v>932</v>
      </c>
      <c r="E1357" s="355" t="str">
        <f t="shared" si="27"/>
        <v/>
      </c>
      <c r="F1357" s="359"/>
      <c r="G1357" s="345" t="str">
        <f>IF(D1357="","",VLOOKUP(A1357,Materiais_Base!A:D,4,"FALSO"))</f>
        <v/>
      </c>
    </row>
    <row r="1358" hidden="1" customHeight="1" spans="1:7">
      <c r="A1358" s="352" t="s">
        <v>15633</v>
      </c>
      <c r="B1358" s="352" t="str">
        <f>IF(A1358="","",VLOOKUP(A1358,Materiais_Base!A:D,2,"FALSO"))</f>
        <v>Espécimes arbóreos de 20 a 40 m tombados na pista</v>
      </c>
      <c r="C1358" s="353" t="str">
        <f>IF(A1358="","",VLOOKUP(A1358,Materiais_Base!A:D,3,"FALSO"))</f>
        <v>t</v>
      </c>
      <c r="D1358" s="359" t="s">
        <v>932</v>
      </c>
      <c r="E1358" s="355" t="str">
        <f t="shared" si="27"/>
        <v/>
      </c>
      <c r="F1358" s="359"/>
      <c r="G1358" s="345" t="str">
        <f>IF(D1358="","",VLOOKUP(A1358,Materiais_Base!A:D,4,"FALSO"))</f>
        <v/>
      </c>
    </row>
    <row r="1359" hidden="1" customHeight="1" spans="1:7">
      <c r="A1359" s="352" t="s">
        <v>15634</v>
      </c>
      <c r="B1359" s="352" t="str">
        <f>IF(A1359="","",VLOOKUP(A1359,Materiais_Base!A:D,2,"FALSO"))</f>
        <v>Sucatas derramadas em rodovia</v>
      </c>
      <c r="C1359" s="353" t="str">
        <f>IF(A1359="","",VLOOKUP(A1359,Materiais_Base!A:D,3,"FALSO"))</f>
        <v>t</v>
      </c>
      <c r="D1359" s="359" t="s">
        <v>932</v>
      </c>
      <c r="E1359" s="355" t="str">
        <f t="shared" si="27"/>
        <v/>
      </c>
      <c r="F1359" s="359"/>
      <c r="G1359" s="345" t="str">
        <f>IF(D1359="","",VLOOKUP(A1359,Materiais_Base!A:D,4,"FALSO"))</f>
        <v/>
      </c>
    </row>
    <row r="1360" hidden="1" customHeight="1" spans="1:7">
      <c r="A1360" s="352" t="s">
        <v>15635</v>
      </c>
      <c r="B1360" s="352" t="str">
        <f>IF(A1360="","",VLOOKUP(A1360,Materiais_Base!A:D,2,"FALSO"))</f>
        <v>Veículos de grande porte incendiados em rodovia</v>
      </c>
      <c r="C1360" s="353" t="str">
        <f>IF(A1360="","",VLOOKUP(A1360,Materiais_Base!A:D,3,"FALSO"))</f>
        <v>un</v>
      </c>
      <c r="D1360" s="359" t="s">
        <v>932</v>
      </c>
      <c r="E1360" s="355" t="str">
        <f t="shared" si="27"/>
        <v/>
      </c>
      <c r="F1360" s="359"/>
      <c r="G1360" s="345" t="str">
        <f>IF(D1360="","",VLOOKUP(A1360,Materiais_Base!A:D,4,"FALSO"))</f>
        <v/>
      </c>
    </row>
    <row r="1361" hidden="1" customHeight="1" spans="1:7">
      <c r="A1361" s="352" t="s">
        <v>15636</v>
      </c>
      <c r="B1361" s="352" t="str">
        <f>IF(A1361="","",VLOOKUP(A1361,Materiais_Base!A:D,2,"FALSO"))</f>
        <v>Veículos de médio porte incendiados em rodovia</v>
      </c>
      <c r="C1361" s="353" t="str">
        <f>IF(A1361="","",VLOOKUP(A1361,Materiais_Base!A:D,3,"FALSO"))</f>
        <v>un</v>
      </c>
      <c r="D1361" s="359" t="s">
        <v>932</v>
      </c>
      <c r="E1361" s="355" t="str">
        <f t="shared" si="27"/>
        <v/>
      </c>
      <c r="F1361" s="359"/>
      <c r="G1361" s="345" t="str">
        <f>IF(D1361="","",VLOOKUP(A1361,Materiais_Base!A:D,4,"FALSO"))</f>
        <v/>
      </c>
    </row>
    <row r="1362" hidden="1" customHeight="1" spans="1:7">
      <c r="A1362" s="352" t="s">
        <v>15637</v>
      </c>
      <c r="B1362" s="352" t="str">
        <f>IF(A1362="","",VLOOKUP(A1362,Materiais_Base!A:D,2,"FALSO"))</f>
        <v>Veículos de grande porte tombados em rodovia</v>
      </c>
      <c r="C1362" s="353" t="str">
        <f>IF(A1362="","",VLOOKUP(A1362,Materiais_Base!A:D,3,"FALSO"))</f>
        <v>un</v>
      </c>
      <c r="D1362" s="359" t="s">
        <v>932</v>
      </c>
      <c r="E1362" s="355" t="str">
        <f t="shared" si="27"/>
        <v/>
      </c>
      <c r="F1362" s="359"/>
      <c r="G1362" s="345" t="str">
        <f>IF(D1362="","",VLOOKUP(A1362,Materiais_Base!A:D,4,"FALSO"))</f>
        <v/>
      </c>
    </row>
    <row r="1363" hidden="1" customHeight="1" spans="1:7">
      <c r="A1363" s="352" t="s">
        <v>15638</v>
      </c>
      <c r="B1363" s="352" t="str">
        <f>IF(A1363="","",VLOOKUP(A1363,Materiais_Base!A:D,2,"FALSO"))</f>
        <v>Veículos de médio porte tombados em rodovia</v>
      </c>
      <c r="C1363" s="353" t="str">
        <f>IF(A1363="","",VLOOKUP(A1363,Materiais_Base!A:D,3,"FALSO"))</f>
        <v>un</v>
      </c>
      <c r="D1363" s="359" t="s">
        <v>932</v>
      </c>
      <c r="E1363" s="355" t="str">
        <f t="shared" si="27"/>
        <v/>
      </c>
      <c r="F1363" s="359"/>
      <c r="G1363" s="345" t="str">
        <f>IF(D1363="","",VLOOKUP(A1363,Materiais_Base!A:D,4,"FALSO"))</f>
        <v/>
      </c>
    </row>
    <row r="1364" hidden="1" customHeight="1" spans="1:7">
      <c r="A1364" s="352" t="s">
        <v>15639</v>
      </c>
      <c r="B1364" s="352" t="str">
        <f>IF(A1364="","",VLOOKUP(A1364,Materiais_Base!A:D,2,"FALSO"))</f>
        <v>Veículos de pequeno porte tombados em rodovia</v>
      </c>
      <c r="C1364" s="353" t="str">
        <f>IF(A1364="","",VLOOKUP(A1364,Materiais_Base!A:D,3,"FALSO"))</f>
        <v>un</v>
      </c>
      <c r="D1364" s="359" t="s">
        <v>932</v>
      </c>
      <c r="E1364" s="355" t="str">
        <f t="shared" si="27"/>
        <v/>
      </c>
      <c r="F1364" s="359"/>
      <c r="G1364" s="345" t="str">
        <f>IF(D1364="","",VLOOKUP(A1364,Materiais_Base!A:D,4,"FALSO"))</f>
        <v/>
      </c>
    </row>
    <row r="1365" hidden="1" customHeight="1" spans="1:7">
      <c r="A1365" s="352" t="s">
        <v>15640</v>
      </c>
      <c r="B1365" s="352" t="str">
        <f>IF(A1365="","",VLOOKUP(A1365,Materiais_Base!A:D,2,"FALSO"))</f>
        <v>Vidros, caixas e engradados derramados na pista</v>
      </c>
      <c r="C1365" s="353" t="str">
        <f>IF(A1365="","",VLOOKUP(A1365,Materiais_Base!A:D,3,"FALSO"))</f>
        <v>t</v>
      </c>
      <c r="D1365" s="359" t="s">
        <v>932</v>
      </c>
      <c r="E1365" s="355" t="str">
        <f t="shared" si="27"/>
        <v/>
      </c>
      <c r="F1365" s="359"/>
      <c r="G1365" s="345" t="str">
        <f>IF(D1365="","",VLOOKUP(A1365,Materiais_Base!A:D,4,"FALSO"))</f>
        <v/>
      </c>
    </row>
    <row r="1366" hidden="1" customHeight="1" spans="1:7">
      <c r="A1366" s="352" t="s">
        <v>15641</v>
      </c>
      <c r="B1366" s="352" t="str">
        <f>IF(A1366="","",VLOOKUP(A1366,Materiais_Base!A:D,2,"FALSO"))</f>
        <v>Emulsão asfáltica com polímero - RR-1C-E</v>
      </c>
      <c r="C1366" s="353" t="str">
        <f>IF(A1366="","",VLOOKUP(A1366,Materiais_Base!A:D,3,"FALSO"))</f>
        <v>t</v>
      </c>
      <c r="D1366" s="359" t="s">
        <v>932</v>
      </c>
      <c r="E1366" s="355" t="str">
        <f t="shared" si="27"/>
        <v/>
      </c>
      <c r="F1366" s="359"/>
      <c r="G1366" s="345" t="str">
        <f>IF(D1366="","",VLOOKUP(A1366,Materiais_Base!A:D,4,"FALSO"))</f>
        <v/>
      </c>
    </row>
    <row r="1367" hidden="1" customHeight="1" spans="1:7">
      <c r="A1367" s="352" t="s">
        <v>15642</v>
      </c>
      <c r="B1367" s="352" t="str">
        <f>IF(A1367="","",VLOOKUP(A1367,Materiais_Base!A:D,2,"FALSO"))</f>
        <v>Reservatório metálico tipo taça - capacidade de 5.000 l</v>
      </c>
      <c r="C1367" s="353" t="str">
        <f>IF(A1367="","",VLOOKUP(A1367,Materiais_Base!A:D,3,"FALSO"))</f>
        <v>un</v>
      </c>
      <c r="D1367" s="354" t="s">
        <v>932</v>
      </c>
      <c r="E1367" s="355" t="str">
        <f t="shared" si="27"/>
        <v/>
      </c>
      <c r="F1367" s="354"/>
      <c r="G1367" s="345" t="str">
        <f>IF(D1367="","",VLOOKUP(A1367,Materiais_Base!A:D,4,"FALSO"))</f>
        <v/>
      </c>
    </row>
    <row r="1368" hidden="1" customHeight="1" spans="1:7">
      <c r="A1368" s="352" t="s">
        <v>15643</v>
      </c>
      <c r="B1368" s="352" t="str">
        <f>IF(A1368="","",VLOOKUP(A1368,Materiais_Base!A:D,2,"FALSO"))</f>
        <v>Reservatório metálico tipo taça - capacidade de 10.000 l</v>
      </c>
      <c r="C1368" s="353" t="str">
        <f>IF(A1368="","",VLOOKUP(A1368,Materiais_Base!A:D,3,"FALSO"))</f>
        <v>un</v>
      </c>
      <c r="D1368" s="354" t="s">
        <v>932</v>
      </c>
      <c r="E1368" s="355" t="str">
        <f t="shared" si="27"/>
        <v/>
      </c>
      <c r="F1368" s="354"/>
      <c r="G1368" s="345" t="str">
        <f>IF(D1368="","",VLOOKUP(A1368,Materiais_Base!A:D,4,"FALSO"))</f>
        <v/>
      </c>
    </row>
    <row r="1369" hidden="1" customHeight="1" spans="1:7">
      <c r="A1369" s="352" t="s">
        <v>15644</v>
      </c>
      <c r="B1369" s="352" t="str">
        <f>IF(A1369="","",VLOOKUP(A1369,Materiais_Base!A:D,2,"FALSO"))</f>
        <v>Reservatório metálico tipo taça - capacidade de 20.000 l</v>
      </c>
      <c r="C1369" s="353" t="str">
        <f>IF(A1369="","",VLOOKUP(A1369,Materiais_Base!A:D,3,"FALSO"))</f>
        <v>un</v>
      </c>
      <c r="D1369" s="354" t="s">
        <v>932</v>
      </c>
      <c r="E1369" s="355" t="str">
        <f t="shared" ref="E1369:E1408" si="28">IF(D1369="","",MIN(D1369,F1369))</f>
        <v/>
      </c>
      <c r="F1369" s="354"/>
      <c r="G1369" s="345" t="str">
        <f>IF(D1369="","",VLOOKUP(A1369,Materiais_Base!A:D,4,"FALSO"))</f>
        <v/>
      </c>
    </row>
    <row r="1370" hidden="1" customHeight="1" spans="1:7">
      <c r="A1370" s="352" t="s">
        <v>15645</v>
      </c>
      <c r="B1370" s="352" t="str">
        <f>IF(A1370="","",VLOOKUP(A1370,Materiais_Base!A:D,2,"FALSO"))</f>
        <v>Reservatório metálico tipo taça - capacidade de 30.000 l</v>
      </c>
      <c r="C1370" s="353" t="str">
        <f>IF(A1370="","",VLOOKUP(A1370,Materiais_Base!A:D,3,"FALSO"))</f>
        <v>un</v>
      </c>
      <c r="D1370" s="354" t="s">
        <v>932</v>
      </c>
      <c r="E1370" s="355" t="str">
        <f t="shared" si="28"/>
        <v/>
      </c>
      <c r="F1370" s="354"/>
      <c r="G1370" s="345" t="str">
        <f>IF(D1370="","",VLOOKUP(A1370,Materiais_Base!A:D,4,"FALSO"))</f>
        <v/>
      </c>
    </row>
    <row r="1371" hidden="1" customHeight="1" spans="1:7">
      <c r="A1371" s="352" t="s">
        <v>15646</v>
      </c>
      <c r="B1371" s="352" t="str">
        <f>IF(A1371="","",VLOOKUP(A1371,Materiais_Base!A:D,2,"FALSO"))</f>
        <v>AMV tipo TR37, abertura 1:8, bitola métrica</v>
      </c>
      <c r="C1371" s="353" t="str">
        <f>IF(A1371="","",VLOOKUP(A1371,Materiais_Base!A:D,3,"FALSO"))</f>
        <v>un</v>
      </c>
      <c r="D1371" s="359" t="s">
        <v>932</v>
      </c>
      <c r="E1371" s="355" t="str">
        <f t="shared" si="28"/>
        <v/>
      </c>
      <c r="F1371" s="359"/>
      <c r="G1371" s="345" t="str">
        <f>IF(D1371="","",VLOOKUP(A1371,Materiais_Base!A:D,4,"FALSO"))</f>
        <v/>
      </c>
    </row>
    <row r="1372" hidden="1" customHeight="1" spans="1:7">
      <c r="A1372" s="352" t="s">
        <v>15647</v>
      </c>
      <c r="B1372" s="352" t="str">
        <f>IF(A1372="","",VLOOKUP(A1372,Materiais_Base!A:D,2,"FALSO"))</f>
        <v>AMV tipo TR37, abertura 1:10, bitola métrica</v>
      </c>
      <c r="C1372" s="353" t="str">
        <f>IF(A1372="","",VLOOKUP(A1372,Materiais_Base!A:D,3,"FALSO"))</f>
        <v>un</v>
      </c>
      <c r="D1372" s="359" t="s">
        <v>932</v>
      </c>
      <c r="E1372" s="355" t="str">
        <f t="shared" si="28"/>
        <v/>
      </c>
      <c r="F1372" s="359"/>
      <c r="G1372" s="345" t="str">
        <f>IF(D1372="","",VLOOKUP(A1372,Materiais_Base!A:D,4,"FALSO"))</f>
        <v/>
      </c>
    </row>
    <row r="1373" hidden="1" customHeight="1" spans="1:7">
      <c r="A1373" s="352" t="s">
        <v>15648</v>
      </c>
      <c r="B1373" s="352" t="str">
        <f>IF(A1373="","",VLOOKUP(A1373,Materiais_Base!A:D,2,"FALSO"))</f>
        <v>AMV tipo TR37, abertura 1:12, bitola métrica</v>
      </c>
      <c r="C1373" s="353" t="str">
        <f>IF(A1373="","",VLOOKUP(A1373,Materiais_Base!A:D,3,"FALSO"))</f>
        <v>un</v>
      </c>
      <c r="D1373" s="359" t="s">
        <v>932</v>
      </c>
      <c r="E1373" s="355" t="str">
        <f t="shared" si="28"/>
        <v/>
      </c>
      <c r="F1373" s="359"/>
      <c r="G1373" s="345" t="str">
        <f>IF(D1373="","",VLOOKUP(A1373,Materiais_Base!A:D,4,"FALSO"))</f>
        <v/>
      </c>
    </row>
    <row r="1374" hidden="1" customHeight="1" spans="1:7">
      <c r="A1374" s="352" t="s">
        <v>15649</v>
      </c>
      <c r="B1374" s="352" t="str">
        <f>IF(A1374="","",VLOOKUP(A1374,Materiais_Base!A:D,2,"FALSO"))</f>
        <v>AMV tipo TR37, abertura 1:14, bitola métrica</v>
      </c>
      <c r="C1374" s="353" t="str">
        <f>IF(A1374="","",VLOOKUP(A1374,Materiais_Base!A:D,3,"FALSO"))</f>
        <v>un</v>
      </c>
      <c r="D1374" s="359" t="s">
        <v>932</v>
      </c>
      <c r="E1374" s="355" t="str">
        <f t="shared" si="28"/>
        <v/>
      </c>
      <c r="F1374" s="359"/>
      <c r="G1374" s="345" t="str">
        <f>IF(D1374="","",VLOOKUP(A1374,Materiais_Base!A:D,4,"FALSO"))</f>
        <v/>
      </c>
    </row>
    <row r="1375" hidden="1" customHeight="1" spans="1:7">
      <c r="A1375" s="352" t="s">
        <v>15650</v>
      </c>
      <c r="B1375" s="352" t="str">
        <f>IF(A1375="","",VLOOKUP(A1375,Materiais_Base!A:D,2,"FALSO"))</f>
        <v>Bico para corte a plasma manual - 65A</v>
      </c>
      <c r="C1375" s="353" t="str">
        <f>IF(A1375="","",VLOOKUP(A1375,Materiais_Base!A:D,3,"FALSO"))</f>
        <v>un</v>
      </c>
      <c r="D1375" s="354" t="s">
        <v>932</v>
      </c>
      <c r="E1375" s="355" t="str">
        <f t="shared" si="28"/>
        <v/>
      </c>
      <c r="F1375" s="354"/>
      <c r="G1375" s="345" t="str">
        <f>IF(D1375="","",VLOOKUP(A1375,Materiais_Base!A:D,4,"FALSO"))</f>
        <v/>
      </c>
    </row>
    <row r="1376" hidden="1" customHeight="1" spans="1:7">
      <c r="A1376" s="352" t="s">
        <v>15651</v>
      </c>
      <c r="B1376" s="352" t="str">
        <f>IF(A1376="","",VLOOKUP(A1376,Materiais_Base!A:D,2,"FALSO"))</f>
        <v>Bico para corte a plasma manual - 45A</v>
      </c>
      <c r="C1376" s="353" t="str">
        <f>IF(A1376="","",VLOOKUP(A1376,Materiais_Base!A:D,3,"FALSO"))</f>
        <v>un</v>
      </c>
      <c r="D1376" s="354" t="s">
        <v>932</v>
      </c>
      <c r="E1376" s="355" t="str">
        <f t="shared" si="28"/>
        <v/>
      </c>
      <c r="F1376" s="354"/>
      <c r="G1376" s="345" t="str">
        <f>IF(D1376="","",VLOOKUP(A1376,Materiais_Base!A:D,4,"FALSO"))</f>
        <v/>
      </c>
    </row>
    <row r="1377" hidden="1" customHeight="1" spans="1:7">
      <c r="A1377" s="352" t="s">
        <v>15652</v>
      </c>
      <c r="B1377" s="352" t="str">
        <f>IF(A1377="","",VLOOKUP(A1377,Materiais_Base!A:D,2,"FALSO"))</f>
        <v>Bocal para corte a plasma manual - 45A/65A</v>
      </c>
      <c r="C1377" s="353" t="str">
        <f>IF(A1377="","",VLOOKUP(A1377,Materiais_Base!A:D,3,"FALSO"))</f>
        <v>un</v>
      </c>
      <c r="D1377" s="354" t="s">
        <v>932</v>
      </c>
      <c r="E1377" s="355" t="str">
        <f t="shared" si="28"/>
        <v/>
      </c>
      <c r="F1377" s="354"/>
      <c r="G1377" s="345" t="str">
        <f>IF(D1377="","",VLOOKUP(A1377,Materiais_Base!A:D,4,"FALSO"))</f>
        <v/>
      </c>
    </row>
    <row r="1378" hidden="1" customHeight="1" spans="1:7">
      <c r="A1378" s="352" t="s">
        <v>15653</v>
      </c>
      <c r="B1378" s="352" t="str">
        <f>IF(A1378="","",VLOOKUP(A1378,Materiais_Base!A:D,2,"FALSO"))</f>
        <v>Capa de retenção para corte a plasma manual - 45A/65A</v>
      </c>
      <c r="C1378" s="353" t="str">
        <f>IF(A1378="","",VLOOKUP(A1378,Materiais_Base!A:D,3,"FALSO"))</f>
        <v>un</v>
      </c>
      <c r="D1378" s="354" t="s">
        <v>932</v>
      </c>
      <c r="E1378" s="355" t="str">
        <f t="shared" si="28"/>
        <v/>
      </c>
      <c r="F1378" s="354"/>
      <c r="G1378" s="345" t="str">
        <f>IF(D1378="","",VLOOKUP(A1378,Materiais_Base!A:D,4,"FALSO"))</f>
        <v/>
      </c>
    </row>
    <row r="1379" hidden="1" customHeight="1" spans="1:7">
      <c r="A1379" s="352" t="s">
        <v>15654</v>
      </c>
      <c r="B1379" s="352" t="str">
        <f>IF(A1379="","",VLOOKUP(A1379,Materiais_Base!A:D,2,"FALSO"))</f>
        <v>Eletrodo para corte a plasma manual - 45A/65A</v>
      </c>
      <c r="C1379" s="353" t="str">
        <f>IF(A1379="","",VLOOKUP(A1379,Materiais_Base!A:D,3,"FALSO"))</f>
        <v>un</v>
      </c>
      <c r="D1379" s="354" t="s">
        <v>932</v>
      </c>
      <c r="E1379" s="355" t="str">
        <f t="shared" si="28"/>
        <v/>
      </c>
      <c r="F1379" s="354"/>
      <c r="G1379" s="345" t="str">
        <f>IF(D1379="","",VLOOKUP(A1379,Materiais_Base!A:D,4,"FALSO"))</f>
        <v/>
      </c>
    </row>
    <row r="1380" hidden="1" customHeight="1" spans="1:7">
      <c r="A1380" s="352" t="s">
        <v>15655</v>
      </c>
      <c r="B1380" s="352" t="str">
        <f>IF(A1380="","",VLOOKUP(A1380,Materiais_Base!A:D,2,"FALSO"))</f>
        <v>Distribuidor de gás para corte a plasma manual - 45A/65A</v>
      </c>
      <c r="C1380" s="353" t="str">
        <f>IF(A1380="","",VLOOKUP(A1380,Materiais_Base!A:D,3,"FALSO"))</f>
        <v>un</v>
      </c>
      <c r="D1380" s="354" t="s">
        <v>932</v>
      </c>
      <c r="E1380" s="355" t="str">
        <f t="shared" si="28"/>
        <v/>
      </c>
      <c r="F1380" s="354"/>
      <c r="G1380" s="345" t="str">
        <f>IF(D1380="","",VLOOKUP(A1380,Materiais_Base!A:D,4,"FALSO"))</f>
        <v/>
      </c>
    </row>
    <row r="1381" hidden="1" customHeight="1" spans="1:7">
      <c r="A1381" s="352" t="s">
        <v>15656</v>
      </c>
      <c r="B1381" s="352" t="str">
        <f>IF(A1381="","",VLOOKUP(A1381,Materiais_Base!A:D,2,"FALSO"))</f>
        <v>Parafuso de cabeça sextavada em aço inox - D = 12,7 mm (1/2") e C = 38,1 mm (1.1/2")</v>
      </c>
      <c r="C1381" s="353" t="str">
        <f>IF(A1381="","",VLOOKUP(A1381,Materiais_Base!A:D,3,"FALSO"))</f>
        <v>un</v>
      </c>
      <c r="D1381" s="354" t="s">
        <v>932</v>
      </c>
      <c r="E1381" s="355" t="str">
        <f t="shared" si="28"/>
        <v/>
      </c>
      <c r="F1381" s="354"/>
      <c r="G1381" s="345" t="str">
        <f>IF(D1381="","",VLOOKUP(A1381,Materiais_Base!A:D,4,"FALSO"))</f>
        <v/>
      </c>
    </row>
    <row r="1382" hidden="1" customHeight="1" spans="1:7">
      <c r="A1382" s="352" t="s">
        <v>15657</v>
      </c>
      <c r="B1382" s="352" t="str">
        <f>IF(A1382="","",VLOOKUP(A1382,Materiais_Base!A:D,2,"FALSO"))</f>
        <v>Porca sextavada em aço inox para parafuso - D = 12,7 mm (1/2")</v>
      </c>
      <c r="C1382" s="353" t="str">
        <f>IF(A1382="","",VLOOKUP(A1382,Materiais_Base!A:D,3,"FALSO"))</f>
        <v>un</v>
      </c>
      <c r="D1382" s="354" t="s">
        <v>932</v>
      </c>
      <c r="E1382" s="355" t="str">
        <f t="shared" si="28"/>
        <v/>
      </c>
      <c r="F1382" s="354"/>
      <c r="G1382" s="345" t="str">
        <f>IF(D1382="","",VLOOKUP(A1382,Materiais_Base!A:D,4,"FALSO"))</f>
        <v/>
      </c>
    </row>
    <row r="1383" hidden="1" customHeight="1" spans="1:7">
      <c r="A1383" s="352" t="s">
        <v>15658</v>
      </c>
      <c r="B1383" s="352" t="str">
        <f>IF(A1383="","",VLOOKUP(A1383,Materiais_Base!A:D,2,"FALSO"))</f>
        <v>Arruela lisa em aço inox - D = 12,7 mm (1/2")</v>
      </c>
      <c r="C1383" s="353" t="str">
        <f>IF(A1383="","",VLOOKUP(A1383,Materiais_Base!A:D,3,"FALSO"))</f>
        <v>un</v>
      </c>
      <c r="D1383" s="354" t="s">
        <v>932</v>
      </c>
      <c r="E1383" s="355" t="str">
        <f t="shared" si="28"/>
        <v/>
      </c>
      <c r="F1383" s="354"/>
      <c r="G1383" s="345" t="str">
        <f>IF(D1383="","",VLOOKUP(A1383,Materiais_Base!A:D,4,"FALSO"))</f>
        <v/>
      </c>
    </row>
    <row r="1384" hidden="1" customHeight="1" spans="1:7">
      <c r="A1384" s="352" t="s">
        <v>15659</v>
      </c>
      <c r="B1384" s="352" t="str">
        <f>IF(A1384="","",VLOOKUP(A1384,Materiais_Base!A:D,2,"FALSO"))</f>
        <v>Disco de corte com 80 dentes multimaterial - D = 250 mm</v>
      </c>
      <c r="C1384" s="353" t="str">
        <f>IF(A1384="","",VLOOKUP(A1384,Materiais_Base!A:D,3,"FALSO"))</f>
        <v>un</v>
      </c>
      <c r="D1384" s="354" t="s">
        <v>932</v>
      </c>
      <c r="E1384" s="355" t="str">
        <f t="shared" si="28"/>
        <v/>
      </c>
      <c r="F1384" s="354"/>
      <c r="G1384" s="345" t="str">
        <f>IF(D1384="","",VLOOKUP(A1384,Materiais_Base!A:D,4,"FALSO"))</f>
        <v/>
      </c>
    </row>
    <row r="1385" hidden="1" customHeight="1" spans="1:7">
      <c r="A1385" s="352" t="s">
        <v>15660</v>
      </c>
      <c r="B1385" s="352" t="str">
        <f>IF(A1385="","",VLOOKUP(A1385,Materiais_Base!A:D,2,"FALSO"))</f>
        <v>Lixa d'água Nº 360</v>
      </c>
      <c r="C1385" s="353" t="str">
        <f>IF(A1385="","",VLOOKUP(A1385,Materiais_Base!A:D,3,"FALSO"))</f>
        <v>un</v>
      </c>
      <c r="D1385" s="354" t="s">
        <v>932</v>
      </c>
      <c r="E1385" s="355" t="str">
        <f t="shared" si="28"/>
        <v/>
      </c>
      <c r="F1385" s="354"/>
      <c r="G1385" s="345" t="str">
        <f>IF(D1385="","",VLOOKUP(A1385,Materiais_Base!A:D,4,"FALSO"))</f>
        <v/>
      </c>
    </row>
    <row r="1386" hidden="1" customHeight="1" spans="1:7">
      <c r="A1386" s="352" t="s">
        <v>15661</v>
      </c>
      <c r="B1386" s="352" t="str">
        <f>IF(A1386="","",VLOOKUP(A1386,Materiais_Base!A:D,2,"FALSO"))</f>
        <v>Diluente para tinta epóxi bicomponente ou tricomponente</v>
      </c>
      <c r="C1386" s="353" t="str">
        <f>IF(A1386="","",VLOOKUP(A1386,Materiais_Base!A:D,3,"FALSO"))</f>
        <v>l</v>
      </c>
      <c r="D1386" s="354" t="s">
        <v>932</v>
      </c>
      <c r="E1386" s="355" t="str">
        <f t="shared" si="28"/>
        <v/>
      </c>
      <c r="F1386" s="354"/>
      <c r="G1386" s="345" t="str">
        <f>IF(D1386="","",VLOOKUP(A1386,Materiais_Base!A:D,4,"FALSO"))</f>
        <v/>
      </c>
    </row>
    <row r="1387" hidden="1" customHeight="1" spans="1:7">
      <c r="A1387" s="352" t="s">
        <v>15662</v>
      </c>
      <c r="B1387" s="352" t="str">
        <f>IF(A1387="","",VLOOKUP(A1387,Materiais_Base!A:D,2,"FALSO"))</f>
        <v>Tinta à base de resina epóxi óxido de ferro</v>
      </c>
      <c r="C1387" s="353" t="str">
        <f>IF(A1387="","",VLOOKUP(A1387,Materiais_Base!A:D,3,"FALSO"))</f>
        <v>l</v>
      </c>
      <c r="D1387" s="354" t="s">
        <v>932</v>
      </c>
      <c r="E1387" s="355" t="str">
        <f t="shared" si="28"/>
        <v/>
      </c>
      <c r="F1387" s="354"/>
      <c r="G1387" s="345" t="str">
        <f>IF(D1387="","",VLOOKUP(A1387,Materiais_Base!A:D,4,"FALSO"))</f>
        <v/>
      </c>
    </row>
    <row r="1388" hidden="1" customHeight="1" spans="1:7">
      <c r="A1388" s="352" t="s">
        <v>15663</v>
      </c>
      <c r="B1388" s="352" t="str">
        <f>IF(A1388="","",VLOOKUP(A1388,Materiais_Base!A:D,2,"FALSO"))</f>
        <v>Diluente para esmalte poliuretano de dois componentes</v>
      </c>
      <c r="C1388" s="353" t="str">
        <f>IF(A1388="","",VLOOKUP(A1388,Materiais_Base!A:D,3,"FALSO"))</f>
        <v>l</v>
      </c>
      <c r="D1388" s="354" t="s">
        <v>932</v>
      </c>
      <c r="E1388" s="355" t="str">
        <f t="shared" si="28"/>
        <v/>
      </c>
      <c r="F1388" s="354"/>
      <c r="G1388" s="345" t="str">
        <f>IF(D1388="","",VLOOKUP(A1388,Materiais_Base!A:D,4,"FALSO"))</f>
        <v/>
      </c>
    </row>
    <row r="1389" hidden="1" customHeight="1" spans="1:7">
      <c r="A1389" s="352" t="s">
        <v>15664</v>
      </c>
      <c r="B1389" s="352" t="str">
        <f>IF(A1389="","",VLOOKUP(A1389,Materiais_Base!A:D,2,"FALSO"))</f>
        <v>Tinta esmalte poliuretano bicomponente</v>
      </c>
      <c r="C1389" s="353" t="str">
        <f>IF(A1389="","",VLOOKUP(A1389,Materiais_Base!A:D,3,"FALSO"))</f>
        <v>l</v>
      </c>
      <c r="D1389" s="354" t="s">
        <v>932</v>
      </c>
      <c r="E1389" s="355" t="str">
        <f t="shared" si="28"/>
        <v/>
      </c>
      <c r="F1389" s="354"/>
      <c r="G1389" s="345" t="str">
        <f>IF(D1389="","",VLOOKUP(A1389,Materiais_Base!A:D,4,"FALSO"))</f>
        <v/>
      </c>
    </row>
    <row r="1390" hidden="1" customHeight="1" spans="1:7">
      <c r="A1390" s="352" t="s">
        <v>15665</v>
      </c>
      <c r="B1390" s="352" t="str">
        <f>IF(A1390="","",VLOOKUP(A1390,Materiais_Base!A:D,2,"FALSO"))</f>
        <v>Catalisador para tinta fosfatizante</v>
      </c>
      <c r="C1390" s="353" t="str">
        <f>IF(A1390="","",VLOOKUP(A1390,Materiais_Base!A:D,3,"FALSO"))</f>
        <v>l</v>
      </c>
      <c r="D1390" s="354" t="s">
        <v>932</v>
      </c>
      <c r="E1390" s="355" t="str">
        <f t="shared" si="28"/>
        <v/>
      </c>
      <c r="F1390" s="354"/>
      <c r="G1390" s="345" t="str">
        <f>IF(D1390="","",VLOOKUP(A1390,Materiais_Base!A:D,4,"FALSO"))</f>
        <v/>
      </c>
    </row>
    <row r="1391" hidden="1" customHeight="1" spans="1:7">
      <c r="A1391" s="352" t="s">
        <v>15666</v>
      </c>
      <c r="B1391" s="352" t="str">
        <f>IF(A1391="","",VLOOKUP(A1391,Materiais_Base!A:D,2,"FALSO"))</f>
        <v>Tinta fosfatizante para fundo preparador de pintura</v>
      </c>
      <c r="C1391" s="353" t="str">
        <f>IF(A1391="","",VLOOKUP(A1391,Materiais_Base!A:D,3,"FALSO"))</f>
        <v>l</v>
      </c>
      <c r="D1391" s="354" t="s">
        <v>932</v>
      </c>
      <c r="E1391" s="355" t="str">
        <f t="shared" si="28"/>
        <v/>
      </c>
      <c r="F1391" s="354"/>
      <c r="G1391" s="345" t="str">
        <f>IF(D1391="","",VLOOKUP(A1391,Materiais_Base!A:D,4,"FALSO"))</f>
        <v/>
      </c>
    </row>
    <row r="1392" hidden="1" customHeight="1" spans="1:7">
      <c r="A1392" s="352" t="s">
        <v>15667</v>
      </c>
      <c r="B1392" s="352" t="str">
        <f>IF(A1392="","",VLOOKUP(A1392,Materiais_Base!A:D,2,"FALSO"))</f>
        <v>Luva em aço galvanizado com rosca BSP classe leve - D = 12,5 mm (1/2")</v>
      </c>
      <c r="C1392" s="353" t="str">
        <f>IF(A1392="","",VLOOKUP(A1392,Materiais_Base!A:D,3,"FALSO"))</f>
        <v>un</v>
      </c>
      <c r="D1392" s="354" t="s">
        <v>932</v>
      </c>
      <c r="E1392" s="355" t="str">
        <f t="shared" si="28"/>
        <v/>
      </c>
      <c r="F1392" s="354"/>
      <c r="G1392" s="345" t="str">
        <f>IF(D1392="","",VLOOKUP(A1392,Materiais_Base!A:D,4,"FALSO"))</f>
        <v/>
      </c>
    </row>
    <row r="1393" hidden="1" customHeight="1" spans="1:7">
      <c r="A1393" s="352" t="s">
        <v>15668</v>
      </c>
      <c r="B1393" s="352" t="str">
        <f>IF(A1393="","",VLOOKUP(A1393,Materiais_Base!A:D,2,"FALSO"))</f>
        <v>Plug tipo bujão em aço galvanizado com rosca BSP - D = 15 mm (1/2")</v>
      </c>
      <c r="C1393" s="353" t="str">
        <f>IF(A1393="","",VLOOKUP(A1393,Materiais_Base!A:D,3,"FALSO"))</f>
        <v>un</v>
      </c>
      <c r="D1393" s="354" t="s">
        <v>932</v>
      </c>
      <c r="E1393" s="355" t="str">
        <f t="shared" si="28"/>
        <v/>
      </c>
      <c r="F1393" s="354"/>
      <c r="G1393" s="345" t="str">
        <f>IF(D1393="","",VLOOKUP(A1393,Materiais_Base!A:D,4,"FALSO"))</f>
        <v/>
      </c>
    </row>
    <row r="1394" hidden="1" customHeight="1" spans="1:7">
      <c r="A1394" s="352" t="s">
        <v>15669</v>
      </c>
      <c r="B1394" s="352" t="str">
        <f>IF(A1394="","",VLOOKUP(A1394,Materiais_Base!A:D,2,"FALSO"))</f>
        <v>Tubo em aço-carbono - E = 3,35 mm e D = 80 mm (3")</v>
      </c>
      <c r="C1394" s="353" t="str">
        <f>IF(A1394="","",VLOOKUP(A1394,Materiais_Base!A:D,3,"FALSO"))</f>
        <v>m</v>
      </c>
      <c r="D1394" s="354" t="s">
        <v>932</v>
      </c>
      <c r="E1394" s="355" t="str">
        <f t="shared" si="28"/>
        <v/>
      </c>
      <c r="F1394" s="354"/>
      <c r="G1394" s="345" t="str">
        <f>IF(D1394="","",VLOOKUP(A1394,Materiais_Base!A:D,4,"FALSO"))</f>
        <v/>
      </c>
    </row>
    <row r="1395" hidden="1" customHeight="1" spans="1:7">
      <c r="A1395" s="352" t="s">
        <v>15670</v>
      </c>
      <c r="B1395" s="352" t="str">
        <f>IF(A1395="","",VLOOKUP(A1395,Materiais_Base!A:D,2,"FALSO"))</f>
        <v>Tubo em aço-carbono - E = 3,00 mm e D = 150 mm (6")</v>
      </c>
      <c r="C1395" s="353" t="str">
        <f>IF(A1395="","",VLOOKUP(A1395,Materiais_Base!A:D,3,"FALSO"))</f>
        <v>m</v>
      </c>
      <c r="D1395" s="354" t="s">
        <v>932</v>
      </c>
      <c r="E1395" s="355" t="str">
        <f t="shared" si="28"/>
        <v/>
      </c>
      <c r="F1395" s="354"/>
      <c r="G1395" s="345" t="str">
        <f>IF(D1395="","",VLOOKUP(A1395,Materiais_Base!A:D,4,"FALSO"))</f>
        <v/>
      </c>
    </row>
    <row r="1396" hidden="1" customHeight="1" spans="1:7">
      <c r="A1396" s="352" t="s">
        <v>15671</v>
      </c>
      <c r="B1396" s="352" t="str">
        <f>IF(A1396="","",VLOOKUP(A1396,Materiais_Base!A:D,2,"FALSO"))</f>
        <v>Cantoneira em alumínio de abas iguais - L = 38,1 mm e E = 4,76 mm</v>
      </c>
      <c r="C1396" s="353" t="str">
        <f>IF(A1396="","",VLOOKUP(A1396,Materiais_Base!A:D,3,"FALSO"))</f>
        <v>kg</v>
      </c>
      <c r="D1396" s="354" t="s">
        <v>932</v>
      </c>
      <c r="E1396" s="355" t="str">
        <f t="shared" si="28"/>
        <v/>
      </c>
      <c r="F1396" s="354"/>
      <c r="G1396" s="345" t="str">
        <f>IF(D1396="","",VLOOKUP(A1396,Materiais_Base!A:D,4,"FALSO"))</f>
        <v/>
      </c>
    </row>
    <row r="1397" hidden="1" customHeight="1" spans="1:7">
      <c r="A1397" s="352" t="s">
        <v>15672</v>
      </c>
      <c r="B1397" s="352" t="str">
        <f>IF(A1397="","",VLOOKUP(A1397,Materiais_Base!A:D,2,"FALSO"))</f>
        <v>Parafuso de cabeça sextavada em aço inox - D = 8 mm (M8) e C = 20 mm</v>
      </c>
      <c r="C1397" s="353" t="str">
        <f>IF(A1397="","",VLOOKUP(A1397,Materiais_Base!A:D,3,"FALSO"))</f>
        <v>un</v>
      </c>
      <c r="D1397" s="354" t="s">
        <v>932</v>
      </c>
      <c r="E1397" s="355" t="str">
        <f t="shared" si="28"/>
        <v/>
      </c>
      <c r="F1397" s="354"/>
      <c r="G1397" s="345" t="str">
        <f>IF(D1397="","",VLOOKUP(A1397,Materiais_Base!A:D,4,"FALSO"))</f>
        <v/>
      </c>
    </row>
    <row r="1398" hidden="1" customHeight="1" spans="1:7">
      <c r="A1398" s="352" t="s">
        <v>15673</v>
      </c>
      <c r="B1398" s="352" t="str">
        <f>IF(A1398="","",VLOOKUP(A1398,Materiais_Base!A:D,2,"FALSO"))</f>
        <v>Porca sextavada em aço inox para parafuso - D = 8 mm (M8)</v>
      </c>
      <c r="C1398" s="353" t="str">
        <f>IF(A1398="","",VLOOKUP(A1398,Materiais_Base!A:D,3,"FALSO"))</f>
        <v>un</v>
      </c>
      <c r="D1398" s="354" t="s">
        <v>932</v>
      </c>
      <c r="E1398" s="355" t="str">
        <f t="shared" si="28"/>
        <v/>
      </c>
      <c r="F1398" s="354"/>
      <c r="G1398" s="345" t="str">
        <f>IF(D1398="","",VLOOKUP(A1398,Materiais_Base!A:D,4,"FALSO"))</f>
        <v/>
      </c>
    </row>
    <row r="1399" hidden="1" customHeight="1" spans="1:7">
      <c r="A1399" s="352" t="s">
        <v>15674</v>
      </c>
      <c r="B1399" s="352" t="str">
        <f>IF(A1399="","",VLOOKUP(A1399,Materiais_Base!A:D,2,"FALSO"))</f>
        <v>Arruela lisa em aço inox para parafuso - D = 8,4 mm (M8)</v>
      </c>
      <c r="C1399" s="353" t="str">
        <f>IF(A1399="","",VLOOKUP(A1399,Materiais_Base!A:D,3,"FALSO"))</f>
        <v>un</v>
      </c>
      <c r="D1399" s="354" t="s">
        <v>932</v>
      </c>
      <c r="E1399" s="355" t="str">
        <f t="shared" si="28"/>
        <v/>
      </c>
      <c r="F1399" s="354"/>
      <c r="G1399" s="345" t="str">
        <f>IF(D1399="","",VLOOKUP(A1399,Materiais_Base!A:D,4,"FALSO"))</f>
        <v/>
      </c>
    </row>
    <row r="1400" hidden="1" customHeight="1" spans="1:7">
      <c r="A1400" s="352" t="s">
        <v>15675</v>
      </c>
      <c r="B1400" s="352" t="str">
        <f>IF(A1400="","",VLOOKUP(A1400,Materiais_Base!A:D,2,"FALSO"))</f>
        <v>Arruela de pressão em aço inox para parafuso - D = 8,1 mm (M8)</v>
      </c>
      <c r="C1400" s="353" t="str">
        <f>IF(A1400="","",VLOOKUP(A1400,Materiais_Base!A:D,3,"FALSO"))</f>
        <v>un</v>
      </c>
      <c r="D1400" s="354" t="s">
        <v>932</v>
      </c>
      <c r="E1400" s="355" t="str">
        <f t="shared" si="28"/>
        <v/>
      </c>
      <c r="F1400" s="354"/>
      <c r="G1400" s="345" t="str">
        <f>IF(D1400="","",VLOOKUP(A1400,Materiais_Base!A:D,4,"FALSO"))</f>
        <v/>
      </c>
    </row>
    <row r="1401" hidden="1" customHeight="1" spans="1:7">
      <c r="A1401" s="352" t="s">
        <v>15676</v>
      </c>
      <c r="B1401" s="352" t="str">
        <f>IF(A1401="","",VLOOKUP(A1401,Materiais_Base!A:D,2,"FALSO"))</f>
        <v>Parafuso de cabeça sextavada em aço inox - D = 12,7 mm (1/2") e C = 19,05 mm (3/4")</v>
      </c>
      <c r="C1401" s="353" t="str">
        <f>IF(A1401="","",VLOOKUP(A1401,Materiais_Base!A:D,3,"FALSO"))</f>
        <v>un</v>
      </c>
      <c r="D1401" s="354" t="s">
        <v>932</v>
      </c>
      <c r="E1401" s="355" t="str">
        <f t="shared" si="28"/>
        <v/>
      </c>
      <c r="F1401" s="354"/>
      <c r="G1401" s="345" t="str">
        <f>IF(D1401="","",VLOOKUP(A1401,Materiais_Base!A:D,4,"FALSO"))</f>
        <v/>
      </c>
    </row>
    <row r="1402" hidden="1" customHeight="1" spans="1:7">
      <c r="A1402" s="352" t="s">
        <v>15677</v>
      </c>
      <c r="B1402" s="352" t="str">
        <f>IF(A1402="","",VLOOKUP(A1402,Materiais_Base!A:D,2,"FALSO"))</f>
        <v>Barra redonda em aço SAE 1020 - D = 25,4 mm (1")</v>
      </c>
      <c r="C1402" s="353" t="str">
        <f>IF(A1402="","",VLOOKUP(A1402,Materiais_Base!A:D,3,"FALSO"))</f>
        <v>m</v>
      </c>
      <c r="D1402" s="354" t="s">
        <v>932</v>
      </c>
      <c r="E1402" s="355" t="str">
        <f t="shared" si="28"/>
        <v/>
      </c>
      <c r="F1402" s="354"/>
      <c r="G1402" s="345" t="str">
        <f>IF(D1402="","",VLOOKUP(A1402,Materiais_Base!A:D,4,"FALSO"))</f>
        <v/>
      </c>
    </row>
    <row r="1403" customHeight="1" spans="1:7">
      <c r="A1403" s="352" t="s">
        <v>15678</v>
      </c>
      <c r="B1403" s="352" t="str">
        <f>IF(A1403="","",VLOOKUP(A1403,Materiais_Base!A:D,2,"FALSO"))</f>
        <v>Tubo em aço - E = 3,00 mm e seção de 40 x 40 mm</v>
      </c>
      <c r="C1403" s="353" t="str">
        <f>IF(A1403="","",VLOOKUP(A1403,Materiais_Base!A:D,3,"FALSO"))</f>
        <v>m</v>
      </c>
      <c r="D1403" s="354">
        <v>36.5179</v>
      </c>
      <c r="E1403" s="355">
        <f t="shared" si="28"/>
        <v>36.5179</v>
      </c>
      <c r="F1403" s="354"/>
      <c r="G1403" s="345">
        <f>IF(D1403="","",VLOOKUP(A1403,Materiais_Base!A:D,4,"FALSO"))</f>
        <v>36.5179</v>
      </c>
    </row>
    <row r="1404" customHeight="1" spans="1:7">
      <c r="A1404" s="352" t="s">
        <v>15679</v>
      </c>
      <c r="B1404" s="352" t="str">
        <f>IF(A1404="","",VLOOKUP(A1404,Materiais_Base!A:D,2,"FALSO"))</f>
        <v>Desmoldante para fôrmas metálicas</v>
      </c>
      <c r="C1404" s="353" t="str">
        <f>IF(A1404="","",VLOOKUP(A1404,Materiais_Base!A:D,3,"FALSO"))</f>
        <v>l</v>
      </c>
      <c r="D1404" s="354">
        <v>16.6656</v>
      </c>
      <c r="E1404" s="355">
        <f t="shared" si="28"/>
        <v>16.6656</v>
      </c>
      <c r="F1404" s="354"/>
      <c r="G1404" s="345">
        <f>IF(D1404="","",VLOOKUP(A1404,Materiais_Base!A:D,4,"FALSO"))</f>
        <v>16.6656</v>
      </c>
    </row>
    <row r="1405" hidden="1" customHeight="1" spans="1:7">
      <c r="A1405" s="352" t="s">
        <v>15680</v>
      </c>
      <c r="B1405" s="352" t="str">
        <f>IF(A1405="","",VLOOKUP(A1405,Materiais_Base!A:D,2,"FALSO"))</f>
        <v>Arame E70S6 para solda MIG/MAG - D = 0,9 mm</v>
      </c>
      <c r="C1405" s="353" t="str">
        <f>IF(A1405="","",VLOOKUP(A1405,Materiais_Base!A:D,3,"FALSO"))</f>
        <v>kg</v>
      </c>
      <c r="D1405" s="354" t="s">
        <v>932</v>
      </c>
      <c r="E1405" s="355" t="str">
        <f t="shared" si="28"/>
        <v/>
      </c>
      <c r="F1405" s="354"/>
      <c r="G1405" s="345" t="str">
        <f>IF(D1405="","",VLOOKUP(A1405,Materiais_Base!A:D,4,"FALSO"))</f>
        <v/>
      </c>
    </row>
    <row r="1406" spans="1:7">
      <c r="A1406" s="352" t="s">
        <v>14261</v>
      </c>
      <c r="B1406" s="352" t="s">
        <v>14262</v>
      </c>
      <c r="C1406" s="353" t="s">
        <v>101</v>
      </c>
      <c r="D1406" s="344">
        <v>35.96</v>
      </c>
      <c r="E1406" s="355">
        <f t="shared" si="28"/>
        <v>35.96</v>
      </c>
    </row>
    <row r="1407" spans="1:7">
      <c r="A1407" s="352" t="s">
        <v>14257</v>
      </c>
      <c r="B1407" s="352" t="s">
        <v>14258</v>
      </c>
      <c r="C1407" s="353" t="s">
        <v>7</v>
      </c>
      <c r="D1407" s="344">
        <v>9.9</v>
      </c>
      <c r="E1407" s="355">
        <f t="shared" si="28"/>
        <v>9.9</v>
      </c>
    </row>
    <row r="1408" spans="1:7">
      <c r="A1408" s="352" t="s">
        <v>14259</v>
      </c>
      <c r="B1408" s="352" t="s">
        <v>14260</v>
      </c>
      <c r="C1408" s="353" t="s">
        <v>82</v>
      </c>
      <c r="D1408" s="344">
        <v>10.2</v>
      </c>
      <c r="E1408" s="355">
        <f t="shared" si="28"/>
        <v>10.2</v>
      </c>
    </row>
    <row r="1409" hidden="1" spans="1:5">
      <c r="A1409" s="352" t="s">
        <v>15681</v>
      </c>
      <c r="B1409" s="352" t="s">
        <v>15682</v>
      </c>
      <c r="C1409" s="353" t="s">
        <v>82</v>
      </c>
      <c r="D1409" s="363"/>
      <c r="E1409" s="355">
        <f>F1409</f>
        <v>0</v>
      </c>
    </row>
    <row r="1410" hidden="1" spans="1:5">
      <c r="A1410" s="352" t="s">
        <v>15683</v>
      </c>
      <c r="B1410" s="352" t="s">
        <v>15684</v>
      </c>
      <c r="C1410" s="353" t="s">
        <v>82</v>
      </c>
      <c r="D1410" s="363"/>
      <c r="E1410" s="355"/>
    </row>
    <row r="1411" hidden="1" spans="1:5">
      <c r="A1411" s="352" t="s">
        <v>14217</v>
      </c>
      <c r="B1411" s="334" t="s">
        <v>14218</v>
      </c>
      <c r="C1411" s="353" t="s">
        <v>82</v>
      </c>
      <c r="E1411" s="355">
        <f>Cotações!BO57</f>
        <v>164.04</v>
      </c>
    </row>
    <row r="1412" hidden="1" spans="1:5">
      <c r="A1412" s="352" t="s">
        <v>15685</v>
      </c>
      <c r="B1412" s="352" t="s">
        <v>15686</v>
      </c>
      <c r="C1412" s="353" t="s">
        <v>7</v>
      </c>
      <c r="D1412" s="344">
        <v>250</v>
      </c>
      <c r="E1412" s="355">
        <f t="shared" ref="E1412:E1417" si="29">IF(D1412="","",MIN(D1412,F1412))</f>
        <v>250</v>
      </c>
    </row>
    <row r="1413" spans="1:5">
      <c r="A1413" s="334" t="s">
        <v>14195</v>
      </c>
      <c r="B1413" s="334" t="s">
        <v>14196</v>
      </c>
      <c r="C1413" s="353" t="s">
        <v>101</v>
      </c>
      <c r="D1413" s="344">
        <v>20.74</v>
      </c>
      <c r="E1413" s="355">
        <f t="shared" si="29"/>
        <v>20.74</v>
      </c>
    </row>
    <row r="1414" spans="1:5">
      <c r="A1414" s="334" t="s">
        <v>14197</v>
      </c>
      <c r="B1414" s="334" t="s">
        <v>14198</v>
      </c>
      <c r="C1414" s="353" t="s">
        <v>101</v>
      </c>
      <c r="D1414" s="344">
        <v>38.7</v>
      </c>
      <c r="E1414" s="355">
        <f t="shared" si="29"/>
        <v>38.7</v>
      </c>
    </row>
    <row r="1415" spans="1:5">
      <c r="A1415" s="334" t="s">
        <v>14199</v>
      </c>
      <c r="B1415" s="334" t="s">
        <v>14200</v>
      </c>
      <c r="C1415" s="353" t="s">
        <v>7</v>
      </c>
      <c r="D1415" s="364">
        <f>400-0.74</f>
        <v>399.26</v>
      </c>
      <c r="E1415" s="355">
        <f t="shared" si="29"/>
        <v>399.26</v>
      </c>
    </row>
    <row r="1416" ht="13.8" customHeight="1" spans="1:5">
      <c r="A1416" s="334" t="s">
        <v>14201</v>
      </c>
      <c r="B1416" s="334" t="s">
        <v>14202</v>
      </c>
      <c r="C1416" s="353" t="s">
        <v>9</v>
      </c>
      <c r="D1416" s="344">
        <v>3.67</v>
      </c>
      <c r="E1416" s="355">
        <f t="shared" si="29"/>
        <v>3.67</v>
      </c>
    </row>
    <row r="1417" ht="13.8" customHeight="1" spans="1:5">
      <c r="A1417" s="334" t="s">
        <v>15687</v>
      </c>
      <c r="B1417" s="334" t="s">
        <v>15688</v>
      </c>
      <c r="C1417" s="353" t="s">
        <v>14234</v>
      </c>
      <c r="D1417" s="364">
        <f>26.86/1.001</f>
        <v>26.8331668331668</v>
      </c>
      <c r="E1417" s="355">
        <f t="shared" si="29"/>
        <v>26.8331668331668</v>
      </c>
    </row>
  </sheetData>
  <autoFilter xmlns:etc="http://www.wps.cn/officeDocument/2017/etCustomData" ref="A4:G1417" etc:filterBottomFollowUsedRange="0">
    <filterColumn colId="0">
      <filters>
        <filter val="SIN4813"/>
        <filter val="IMT9900025"/>
        <filter val="M0601"/>
        <filter val="M0603"/>
        <filter val="M1103"/>
        <filter val="M0004"/>
        <filter val="M0005"/>
        <filter val="M1205"/>
        <filter val="M1606"/>
        <filter val="M0010"/>
        <filter val="M0310"/>
        <filter val="M0410"/>
        <filter val="M0412"/>
        <filter val="M0113"/>
        <filter val="M0014"/>
        <filter val="M0017"/>
        <filter val="M0217"/>
        <filter val="M1618"/>
        <filter val="M2018"/>
        <filter val="M2419"/>
        <filter val="M0220"/>
        <filter val="M0424"/>
        <filter val="M0225"/>
        <filter val="M0427"/>
        <filter val="M0028"/>
        <filter val="M0428"/>
        <filter val="M2128"/>
        <filter val="M0030"/>
        <filter val="M2130"/>
        <filter val="M1134"/>
        <filter val="M3235"/>
        <filter val="M2036"/>
        <filter val="M0537"/>
        <filter val="M2037"/>
        <filter val="M3137"/>
        <filter val="M3237"/>
        <filter val="M0538"/>
        <filter val="M1638"/>
        <filter val="M2038"/>
        <filter val="M1639"/>
        <filter val="SIN4509"/>
        <filter val="M0540"/>
        <filter val="M0041"/>
        <filter val="M1941"/>
        <filter val="M2141"/>
        <filter val="M0042"/>
        <filter val="M2042"/>
        <filter val="M0543"/>
        <filter val="M2143"/>
        <filter val="M0344"/>
        <filter val="M2044"/>
        <filter val="M2144"/>
        <filter val="M0345"/>
        <filter val="M0745"/>
        <filter val="M2145"/>
        <filter val="M0446"/>
        <filter val="M0546"/>
        <filter val="M2146"/>
        <filter val="M0447"/>
        <filter val="M3947"/>
        <filter val="M0549"/>
        <filter val="M3949"/>
        <filter val="M0450"/>
        <filter val="M1150"/>
        <filter val="M0052"/>
        <filter val="M3153"/>
        <filter val="M3353"/>
        <filter val="M1755"/>
        <filter val="M0156"/>
        <filter val="M0057"/>
        <filter val="M0058"/>
        <filter val="M1358"/>
        <filter val="M0059"/>
        <filter val="M0560"/>
        <filter val="M1662"/>
        <filter val="M2062"/>
        <filter val="M2462"/>
        <filter val="M0365"/>
        <filter val="M2065"/>
        <filter val="M2066"/>
        <filter val="M1367"/>
        <filter val="M2067"/>
        <filter val="M0068"/>
        <filter val="M1968"/>
        <filter val="M0069"/>
        <filter val="M0071"/>
        <filter val="M1673"/>
        <filter val="M2473"/>
        <filter val="M0075"/>
        <filter val="M0076"/>
        <filter val="M1376"/>
        <filter val="M1977"/>
        <filter val="M1378"/>
        <filter val="M1379"/>
        <filter val="M2979"/>
        <filter val="M0082"/>
        <filter val="M0284"/>
        <filter val="M0085"/>
        <filter val="M0285"/>
        <filter val="M1385"/>
        <filter val="M0286"/>
        <filter val="M1387"/>
        <filter val="M2388"/>
        <filter val="M0289"/>
        <filter val="M0789"/>
        <filter val="M2389"/>
        <filter val="M0290"/>
        <filter val="M0191"/>
        <filter val="M1391"/>
        <filter val="M0192"/>
        <filter val="M1795"/>
        <filter val="SIN5065"/>
        <filter val="M1796"/>
        <filter val="M1097"/>
        <filter val="M1397"/>
        <filter val="M0798"/>
        <filter val="M1398"/>
        <filter val="SIN5069"/>
        <filter val="IMT0000070"/>
        <filter val="IMT0000071"/>
      </filters>
    </filterColumn>
    <filterColumn colId="4">
      <filters>
        <filter val="10,2000"/>
        <filter val="12,9900"/>
        <filter val="14,4300"/>
        <filter val="15,7100"/>
        <filter val="16,1100"/>
        <filter val="17,3200"/>
        <filter val="20,6300"/>
        <filter val="35,9600"/>
        <filter val="38,5100"/>
        <filter val="23,9701"/>
        <filter val="127.045,6007"/>
        <filter val="132.070,6307"/>
        <filter val="129,7219"/>
        <filter val="40.370,5143"/>
        <filter val="342,2946"/>
        <filter val="133,2528"/>
        <filter val="110,6229"/>
        <filter val="117,3231"/>
        <filter val="149,1333"/>
        <filter val="2.217,9947"/>
        <filter val="3,2600"/>
        <filter val="3,6700"/>
        <filter val="4,3300"/>
        <filter val="4,8800"/>
        <filter val="9,9000"/>
        <filter val="121,7340"/>
        <filter val="6,6001"/>
        <filter val="2,5303"/>
        <filter val="58.283,0633"/>
        <filter val="323,5624"/>
        <filter val="3,3505"/>
        <filter val="6,4506"/>
        <filter val="461,7917"/>
        <filter val="5,2008"/>
        <filter val="411,0319"/>
        <filter val="118,4549"/>
        <filter val="0,2911"/>
        <filter val="0,7911"/>
        <filter val="2,1712"/>
        <filter val="6,9913"/>
        <filter val="11,8043"/>
        <filter val="491,5904"/>
        <filter val="0,9017"/>
        <filter val="32,6249"/>
        <filter val="3,5723"/>
        <filter val="12,7534"/>
        <filter val="375,9407"/>
        <filter val="8,5928"/>
        <filter val="0,6329"/>
        <filter val="1,0830"/>
        <filter val="250,0000"/>
        <filter val="253,7400"/>
        <filter val="32,2923"/>
        <filter val="38,3323"/>
        <filter val="8,8235"/>
        <filter val="19,0927"/>
        <filter val="222,5407"/>
        <filter val="20,4829"/>
        <filter val="139,6200"/>
        <filter val="10,3611"/>
        <filter val="13,7212"/>
        <filter val="29,3712"/>
        <filter val="67,6312"/>
        <filter val="71,4413"/>
        <filter val="9,5545"/>
        <filter val="9,9646"/>
        <filter val="5,7747"/>
        <filter val="37,4618"/>
        <filter val="15,7780"/>
        <filter val="135,4290"/>
        <filter val="8,5551"/>
        <filter val="1.069,6883"/>
        <filter val="5,9455"/>
        <filter val="32,2085"/>
        <filter val="9,3956"/>
        <filter val="1.160,4598"/>
        <filter val="2,9459"/>
        <filter val="58,2170"/>
        <filter val="90.298,9390"/>
        <filter val="15,7375"/>
        <filter val="9,8967"/>
        <filter val="36,5179"/>
        <filter val="0,4070"/>
        <filter val="80,7461"/>
        <filter val="29,5962"/>
        <filter val="1,3373"/>
        <filter val="9,3275"/>
        <filter val="27,5465"/>
        <filter val="30,6768"/>
        <filter val="14,1269"/>
        <filter val="28,1250"/>
        <filter val="0,1184"/>
        <filter val="7,5784"/>
        <filter val="32,8854"/>
        <filter val="10,1655"/>
        <filter val="15,9955"/>
        <filter val="97,4055"/>
        <filter val="0,1386"/>
        <filter val="16,6656"/>
        <filter val="21,2858"/>
        <filter val="6,3089"/>
        <filter val="8,9990"/>
        <filter val="5,7496"/>
        <filter val="350,5176"/>
        <filter val="221,0167"/>
        <filter val="36.836,0447"/>
        <filter val="1.267,9151"/>
        <filter val="129,6565"/>
        <filter val="6.328,0987"/>
        <filter val="233,7258"/>
        <filter val="1.135,4970"/>
        <filter val="703,1312"/>
        <filter val="197,6073"/>
        <filter val="72,1191"/>
        <filter val="408,1253"/>
        <filter val="223,6073"/>
        <filter val="78,8796"/>
        <filter val="857,4517"/>
        <filter val="202,7678"/>
      </filters>
    </filterColumn>
    <extLst/>
  </autoFilter>
  <conditionalFormatting sqref="D1418:D1048576">
    <cfRule type="cellIs" dxfId="2" priority="1" operator="greaterThan">
      <formula>0</formula>
    </cfRule>
  </conditionalFormatting>
  <conditionalFormatting sqref="F1411;F1413:F1048576">
    <cfRule type="cellIs" dxfId="2" priority="2" operator="greaterThan">
      <formula>0</formula>
    </cfRule>
  </conditionalFormatting>
  <printOptions horizontalCentered="1"/>
  <pageMargins left="0.393700787401575" right="0.393700787401575" top="0.393700787401575" bottom="0.590551181102362" header="0" footer="0.118110236220472"/>
  <pageSetup paperSize="9" scale="57" fitToHeight="8" orientation="portrait"/>
  <headerFooter>
    <oddFooter>&amp;L&amp;G&amp;R&amp;9Projeto Executivo de Engenharia, Estudos e
Orçamentos para a Construção de Ponte Rodoviária
em Concreto Armado - Rodovia Vicinal</oddFooter>
  </headerFooter>
  <colBreaks count="1" manualBreakCount="1">
    <brk id="6" max="1048575" man="1"/>
  </colBreaks>
  <drawing r:id="rId1"/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>
    <tabColor rgb="FF0070C0"/>
  </sheetPr>
  <dimension ref="A4:N95"/>
  <sheetViews>
    <sheetView showGridLines="0" view="pageBreakPreview" zoomScaleNormal="100" workbookViewId="0">
      <selection activeCell="A1" sqref="A1"/>
    </sheetView>
  </sheetViews>
  <sheetFormatPr defaultColWidth="9.1047619047619" defaultRowHeight="15"/>
  <cols>
    <col min="1" max="1" width="13.8857142857143" style="334" customWidth="1"/>
    <col min="2" max="2" width="53.4380952380952" style="334" customWidth="1"/>
    <col min="3" max="3" width="8.43809523809524" style="334" customWidth="1"/>
    <col min="4" max="4" width="15.552380952381" style="334" hidden="1" customWidth="1"/>
    <col min="5" max="5" width="14.552380952381" style="334" hidden="1" customWidth="1"/>
    <col min="6" max="6" width="15.3333333333333" style="334" hidden="1" customWidth="1"/>
    <col min="7" max="7" width="16.552380952381" style="334" hidden="1" customWidth="1"/>
    <col min="8" max="8" width="14.8857142857143" style="334" customWidth="1"/>
    <col min="9" max="10" width="17.4380952380952" style="334" hidden="1" customWidth="1"/>
    <col min="11" max="11" width="15.1047619047619" style="334" hidden="1" customWidth="1"/>
    <col min="12" max="13" width="17.6666666666667" style="334" hidden="1" customWidth="1"/>
    <col min="14" max="14" width="10.552380952381" style="334" hidden="1" customWidth="1"/>
    <col min="15" max="16384" width="9.1047619047619" style="334"/>
  </cols>
  <sheetData>
    <row r="4" s="333" customFormat="1" customHeight="1" spans="1:14">
      <c r="A4" s="335" t="s">
        <v>55</v>
      </c>
      <c r="B4" s="335" t="s">
        <v>56</v>
      </c>
      <c r="C4" s="335" t="s">
        <v>1123</v>
      </c>
      <c r="D4" s="335" t="s">
        <v>15689</v>
      </c>
      <c r="E4" s="335" t="s">
        <v>15690</v>
      </c>
      <c r="F4" s="335" t="s">
        <v>15691</v>
      </c>
      <c r="G4" s="336" t="s">
        <v>15692</v>
      </c>
      <c r="H4" s="335" t="s">
        <v>15691</v>
      </c>
      <c r="I4" s="336" t="s">
        <v>15693</v>
      </c>
      <c r="J4" s="336" t="s">
        <v>15694</v>
      </c>
      <c r="K4" s="335" t="s">
        <v>15689</v>
      </c>
      <c r="L4" s="335" t="s">
        <v>15690</v>
      </c>
      <c r="M4" s="335" t="s">
        <v>14178</v>
      </c>
      <c r="N4" s="335" t="s">
        <v>15695</v>
      </c>
    </row>
    <row r="5" s="34" customFormat="1" spans="1:14">
      <c r="A5" s="337" t="s">
        <v>937</v>
      </c>
      <c r="B5" s="338" t="str">
        <f>IF(A5="","",VLOOKUP(A5,'Mão de Obra_Base'!A:F,2,"FALSO"))</f>
        <v>Ajudante</v>
      </c>
      <c r="C5" s="337" t="str">
        <f>IF(A5="","",VLOOKUP(A5,'Mão de Obra_Base'!A:F,3,"FALSO"))</f>
        <v>h</v>
      </c>
      <c r="D5" s="339">
        <v>26.2149</v>
      </c>
      <c r="E5" s="340">
        <v>0</v>
      </c>
      <c r="F5" s="339">
        <f t="shared" ref="F5:F58" si="0">TRUNC(D5*(1+E5),4)</f>
        <v>26.2149</v>
      </c>
      <c r="G5" s="340">
        <v>0</v>
      </c>
      <c r="H5" s="339">
        <f>TRUNC((F5+(D5*G5)),4)</f>
        <v>26.2149</v>
      </c>
      <c r="I5" s="339">
        <f t="shared" ref="I5:I58" si="1">IF(C5="h",H5*220,H5)</f>
        <v>5767.278</v>
      </c>
      <c r="J5" s="339">
        <f t="shared" ref="J5:J58" si="2">IF(C5="mês",H5/220,H5)</f>
        <v>26.2149</v>
      </c>
      <c r="K5" s="341">
        <f>IF(D5=0,0,VLOOKUP(A5,'Mão de Obra_Base'!A:F,4,"FALSO"))</f>
        <v>26.2149</v>
      </c>
      <c r="L5" s="342">
        <f>IF(D5=0,0,VLOOKUP(A5,'Mão de Obra_Base'!A:F,5,"FALSO"))</f>
        <v>0</v>
      </c>
      <c r="M5" s="343">
        <f>IF(D5=0,0,VLOOKUP(A5,'Mão de Obra_Base'!A:D,4,"FALSO"))</f>
        <v>26.2149</v>
      </c>
      <c r="N5" s="34" t="str">
        <f>IF(H5=M5,"OK","NÃO OK")</f>
        <v>OK</v>
      </c>
    </row>
    <row r="6" s="34" customFormat="1" spans="1:14">
      <c r="A6" s="337" t="s">
        <v>15696</v>
      </c>
      <c r="B6" s="338" t="str">
        <f>IF(A6="","",VLOOKUP(A6,'Mão de Obra_Base'!A:F,2,"FALSO"))</f>
        <v>Ajudante especializado</v>
      </c>
      <c r="C6" s="337" t="str">
        <f>IF(A6="","",VLOOKUP(A6,'Mão de Obra_Base'!A:F,3,"FALSO"))</f>
        <v>h</v>
      </c>
      <c r="D6" s="339">
        <v>30.5371</v>
      </c>
      <c r="E6" s="340">
        <v>0</v>
      </c>
      <c r="F6" s="339">
        <f t="shared" si="0"/>
        <v>30.5371</v>
      </c>
      <c r="G6" s="340">
        <v>0</v>
      </c>
      <c r="H6" s="339">
        <f t="shared" ref="H6:H59" si="3">TRUNC((F6+(D6*G6)),4)</f>
        <v>30.5371</v>
      </c>
      <c r="I6" s="339">
        <f t="shared" si="1"/>
        <v>6718.162</v>
      </c>
      <c r="J6" s="339">
        <f t="shared" si="2"/>
        <v>30.5371</v>
      </c>
      <c r="K6" s="341">
        <f>IF(D6=0,0,VLOOKUP(A6,'Mão de Obra_Base'!A:F,4,"FALSO"))</f>
        <v>30.5371</v>
      </c>
      <c r="L6" s="342">
        <f>IF(D6=0,0,VLOOKUP(A6,'Mão de Obra_Base'!A:F,5,"FALSO"))</f>
        <v>0</v>
      </c>
      <c r="M6" s="343">
        <f>IF(D6=0,0,VLOOKUP(A6,'Mão de Obra_Base'!A:D,4,"FALSO"))</f>
        <v>30.5371</v>
      </c>
      <c r="N6" s="34" t="str">
        <f t="shared" ref="N6:N59" si="4">IF(H6=M6,"OK","NÃO OK")</f>
        <v>OK</v>
      </c>
    </row>
    <row r="7" s="34" customFormat="1" hidden="1" spans="1:14">
      <c r="A7" s="337" t="s">
        <v>15697</v>
      </c>
      <c r="B7" s="338" t="str">
        <f>IF(A7="","",VLOOKUP(A7,'Mão de Obra_Base'!A:F,2,"FALSO"))</f>
        <v>Almoxarife - mensalista</v>
      </c>
      <c r="C7" s="337" t="str">
        <f>IF(A7="","",VLOOKUP(A7,'Mão de Obra_Base'!A:F,3,"FALSO"))</f>
        <v>mês</v>
      </c>
      <c r="D7" s="339">
        <v>0</v>
      </c>
      <c r="E7" s="340">
        <v>0</v>
      </c>
      <c r="F7" s="339">
        <f t="shared" si="0"/>
        <v>0</v>
      </c>
      <c r="G7" s="340">
        <v>0</v>
      </c>
      <c r="H7" s="339">
        <f t="shared" si="3"/>
        <v>0</v>
      </c>
      <c r="I7" s="339">
        <f t="shared" si="1"/>
        <v>0</v>
      </c>
      <c r="J7" s="339">
        <f t="shared" si="2"/>
        <v>0</v>
      </c>
      <c r="K7" s="341">
        <f>IF(D7=0,0,VLOOKUP(A7,'Mão de Obra_Base'!A:F,4,"FALSO"))</f>
        <v>0</v>
      </c>
      <c r="L7" s="342">
        <f>IF(D7=0,0,VLOOKUP(A7,'Mão de Obra_Base'!A:F,5,"FALSO"))</f>
        <v>0</v>
      </c>
      <c r="M7" s="343">
        <f>IF(D7=0,0,VLOOKUP(A7,'Mão de Obra_Base'!A:F,6,"FALSO"))</f>
        <v>0</v>
      </c>
      <c r="N7" s="34" t="str">
        <f t="shared" si="4"/>
        <v>OK</v>
      </c>
    </row>
    <row r="8" s="34" customFormat="1" spans="1:14">
      <c r="A8" s="337" t="s">
        <v>15698</v>
      </c>
      <c r="B8" s="338" t="str">
        <f>IF(A8="","",VLOOKUP(A8,'Mão de Obra_Base'!A:F,2,"FALSO"))</f>
        <v>Apontador - mensalista</v>
      </c>
      <c r="C8" s="337" t="str">
        <f>IF(A8="","",VLOOKUP(A8,'Mão de Obra_Base'!A:F,3,"FALSO"))</f>
        <v>mês</v>
      </c>
      <c r="D8" s="339">
        <v>5149.5287</v>
      </c>
      <c r="E8" s="340">
        <v>0</v>
      </c>
      <c r="F8" s="339">
        <f t="shared" si="0"/>
        <v>5149.5287</v>
      </c>
      <c r="G8" s="340">
        <v>0</v>
      </c>
      <c r="H8" s="339">
        <f t="shared" si="3"/>
        <v>5149.5287</v>
      </c>
      <c r="I8" s="339">
        <f t="shared" si="1"/>
        <v>5149.5287</v>
      </c>
      <c r="J8" s="339">
        <f t="shared" si="2"/>
        <v>23.4069486363636</v>
      </c>
      <c r="K8" s="341">
        <f>IF(D8=0,0,VLOOKUP(A8,'Mão de Obra_Base'!A:F,4,"FALSO"))</f>
        <v>5149.5287</v>
      </c>
      <c r="L8" s="342">
        <f>IF(D8=0,0,VLOOKUP(A8,'Mão de Obra_Base'!A:F,5,"FALSO"))</f>
        <v>0</v>
      </c>
      <c r="M8" s="343">
        <f>IF(D8=0,0,VLOOKUP(A8,'Mão de Obra_Base'!A:D,4,"FALSO"))</f>
        <v>5149.5287</v>
      </c>
      <c r="N8" s="34" t="str">
        <f t="shared" si="4"/>
        <v>OK</v>
      </c>
    </row>
    <row r="9" s="34" customFormat="1" spans="1:14">
      <c r="A9" s="337" t="s">
        <v>939</v>
      </c>
      <c r="B9" s="338" t="str">
        <f>IF(A9="","",VLOOKUP(A9,'Mão de Obra_Base'!A:F,2,"FALSO"))</f>
        <v>Armador</v>
      </c>
      <c r="C9" s="337" t="str">
        <f>IF(A9="","",VLOOKUP(A9,'Mão de Obra_Base'!A:F,3,"FALSO"))</f>
        <v>h</v>
      </c>
      <c r="D9" s="339">
        <v>35.4472</v>
      </c>
      <c r="E9" s="340">
        <v>0</v>
      </c>
      <c r="F9" s="339">
        <f t="shared" si="0"/>
        <v>35.4472</v>
      </c>
      <c r="G9" s="340">
        <v>0</v>
      </c>
      <c r="H9" s="339">
        <f t="shared" si="3"/>
        <v>35.4472</v>
      </c>
      <c r="I9" s="339">
        <f t="shared" si="1"/>
        <v>7798.384</v>
      </c>
      <c r="J9" s="339">
        <f t="shared" si="2"/>
        <v>35.4472</v>
      </c>
      <c r="K9" s="341">
        <f>IF(D9=0,0,VLOOKUP(A9,'Mão de Obra_Base'!A:F,4,"FALSO"))</f>
        <v>35.4472</v>
      </c>
      <c r="L9" s="342">
        <f>IF(D9=0,0,VLOOKUP(A9,'Mão de Obra_Base'!A:F,5,"FALSO"))</f>
        <v>0</v>
      </c>
      <c r="M9" s="343">
        <f>IF(D9=0,0,VLOOKUP(A9,'Mão de Obra_Base'!A:D,4,"FALSO"))</f>
        <v>35.4472</v>
      </c>
      <c r="N9" s="34" t="str">
        <f t="shared" si="4"/>
        <v>OK</v>
      </c>
    </row>
    <row r="10" s="34" customFormat="1" spans="1:14">
      <c r="A10" s="337" t="s">
        <v>691</v>
      </c>
      <c r="B10" s="338" t="str">
        <f>IF(A10="","",VLOOKUP(A10,'Mão de Obra_Base'!A:F,2,"FALSO"))</f>
        <v>Auxiliar administrativo - mensalista</v>
      </c>
      <c r="C10" s="337" t="str">
        <f>IF(A10="","",VLOOKUP(A10,'Mão de Obra_Base'!A:F,3,"FALSO"))</f>
        <v>mês</v>
      </c>
      <c r="D10" s="339">
        <v>5166.5025</v>
      </c>
      <c r="E10" s="340">
        <v>0</v>
      </c>
      <c r="F10" s="339">
        <f t="shared" si="0"/>
        <v>5166.5025</v>
      </c>
      <c r="G10" s="340">
        <v>0</v>
      </c>
      <c r="H10" s="339">
        <f t="shared" si="3"/>
        <v>5166.5025</v>
      </c>
      <c r="I10" s="339">
        <f t="shared" si="1"/>
        <v>5166.5025</v>
      </c>
      <c r="J10" s="339">
        <f t="shared" si="2"/>
        <v>23.4841022727273</v>
      </c>
      <c r="K10" s="341">
        <f>IF(D10=0,0,VLOOKUP(A10,'Mão de Obra_Base'!A:F,4,"FALSO"))</f>
        <v>5166.5025</v>
      </c>
      <c r="L10" s="342">
        <f>IF(D10=0,0,VLOOKUP(A10,'Mão de Obra_Base'!A:F,5,"FALSO"))</f>
        <v>0</v>
      </c>
      <c r="M10" s="343">
        <f>IF(D10=0,0,VLOOKUP(A10,'Mão de Obra_Base'!A:D,4,"FALSO"))</f>
        <v>5166.5025</v>
      </c>
      <c r="N10" s="34" t="str">
        <f t="shared" si="4"/>
        <v>OK</v>
      </c>
    </row>
    <row r="11" s="34" customFormat="1" spans="1:14">
      <c r="A11" s="337" t="s">
        <v>941</v>
      </c>
      <c r="B11" s="338" t="str">
        <f>IF(A11="","",VLOOKUP(A11,'Mão de Obra_Base'!A:F,2,"FALSO"))</f>
        <v>Bombeiro hidráulico</v>
      </c>
      <c r="C11" s="337" t="str">
        <f>IF(A11="","",VLOOKUP(A11,'Mão de Obra_Base'!A:F,3,"FALSO"))</f>
        <v>h</v>
      </c>
      <c r="D11" s="339">
        <v>36.0063</v>
      </c>
      <c r="E11" s="340">
        <v>0</v>
      </c>
      <c r="F11" s="339">
        <f t="shared" si="0"/>
        <v>36.0063</v>
      </c>
      <c r="G11" s="340">
        <v>0</v>
      </c>
      <c r="H11" s="339">
        <f t="shared" si="3"/>
        <v>36.0063</v>
      </c>
      <c r="I11" s="339">
        <f t="shared" si="1"/>
        <v>7921.386</v>
      </c>
      <c r="J11" s="339">
        <f t="shared" si="2"/>
        <v>36.0063</v>
      </c>
      <c r="K11" s="341">
        <f>IF(D11=0,0,VLOOKUP(A11,'Mão de Obra_Base'!A:F,4,"FALSO"))</f>
        <v>36.0063</v>
      </c>
      <c r="L11" s="342">
        <f>IF(D11=0,0,VLOOKUP(A11,'Mão de Obra_Base'!A:F,5,"FALSO"))</f>
        <v>0</v>
      </c>
      <c r="M11" s="343">
        <f>IF(D11=0,0,VLOOKUP(A11,'Mão de Obra_Base'!A:D,4,"FALSO"))</f>
        <v>36.0063</v>
      </c>
      <c r="N11" s="34" t="str">
        <f t="shared" si="4"/>
        <v>OK</v>
      </c>
    </row>
    <row r="12" s="34" customFormat="1" spans="1:14">
      <c r="A12" s="337" t="s">
        <v>950</v>
      </c>
      <c r="B12" s="338" t="str">
        <f>IF(A12="","",VLOOKUP(A12,'Mão de Obra_Base'!A:F,2,"FALSO"))</f>
        <v>Carpinteiro</v>
      </c>
      <c r="C12" s="337" t="str">
        <f>IF(A12="","",VLOOKUP(A12,'Mão de Obra_Base'!A:F,3,"FALSO"))</f>
        <v>h</v>
      </c>
      <c r="D12" s="339">
        <v>29.9425</v>
      </c>
      <c r="E12" s="340">
        <v>0</v>
      </c>
      <c r="F12" s="339">
        <f t="shared" si="0"/>
        <v>29.9425</v>
      </c>
      <c r="G12" s="340">
        <v>0</v>
      </c>
      <c r="H12" s="339">
        <f t="shared" si="3"/>
        <v>29.9425</v>
      </c>
      <c r="I12" s="339">
        <f t="shared" si="1"/>
        <v>6587.35</v>
      </c>
      <c r="J12" s="339">
        <f t="shared" si="2"/>
        <v>29.9425</v>
      </c>
      <c r="K12" s="341">
        <f>IF(D12=0,0,VLOOKUP(A12,'Mão de Obra_Base'!A:F,4,"FALSO"))</f>
        <v>29.9425</v>
      </c>
      <c r="L12" s="342">
        <f>IF(D12=0,0,VLOOKUP(A12,'Mão de Obra_Base'!A:F,5,"FALSO"))</f>
        <v>0</v>
      </c>
      <c r="M12" s="343">
        <f>IF(D12=0,0,VLOOKUP(A12,'Mão de Obra_Base'!A:D,4,"FALSO"))</f>
        <v>29.9425</v>
      </c>
      <c r="N12" s="34" t="str">
        <f t="shared" si="4"/>
        <v>OK</v>
      </c>
    </row>
    <row r="13" s="34" customFormat="1" hidden="1" spans="1:14">
      <c r="A13" s="337" t="s">
        <v>15699</v>
      </c>
      <c r="B13" s="338" t="str">
        <f>IF(A13="","",VLOOKUP(A13,'Mão de Obra_Base'!A:F,2,"FALSO"))</f>
        <v>Encarregado administrativo - mensalista</v>
      </c>
      <c r="C13" s="337" t="str">
        <f>IF(A13="","",VLOOKUP(A13,'Mão de Obra_Base'!A:F,3,"FALSO"))</f>
        <v>mês</v>
      </c>
      <c r="D13" s="339">
        <v>0</v>
      </c>
      <c r="E13" s="340">
        <v>0</v>
      </c>
      <c r="F13" s="339">
        <f t="shared" si="0"/>
        <v>0</v>
      </c>
      <c r="G13" s="340">
        <v>0</v>
      </c>
      <c r="H13" s="339">
        <f t="shared" si="3"/>
        <v>0</v>
      </c>
      <c r="I13" s="339">
        <f t="shared" si="1"/>
        <v>0</v>
      </c>
      <c r="J13" s="339">
        <f t="shared" si="2"/>
        <v>0</v>
      </c>
      <c r="K13" s="341">
        <f>IF(D13=0,0,VLOOKUP(A13,'Mão de Obra_Base'!A:F,4,"FALSO"))</f>
        <v>0</v>
      </c>
      <c r="L13" s="342">
        <f>IF(D13=0,0,VLOOKUP(A13,'Mão de Obra_Base'!A:F,5,"FALSO"))</f>
        <v>0</v>
      </c>
      <c r="M13" s="343">
        <f>IF(D13=0,0,VLOOKUP(A13,'Mão de Obra_Base'!A:F,6,"FALSO"))</f>
        <v>0</v>
      </c>
      <c r="N13" s="34" t="str">
        <f t="shared" si="4"/>
        <v>OK</v>
      </c>
    </row>
    <row r="14" s="34" customFormat="1" spans="1:14">
      <c r="A14" s="337" t="s">
        <v>943</v>
      </c>
      <c r="B14" s="338" t="str">
        <f>IF(A14="","",VLOOKUP(A14,'Mão de Obra_Base'!A:F,2,"FALSO"))</f>
        <v>Eletricista</v>
      </c>
      <c r="C14" s="337" t="str">
        <f>IF(A14="","",VLOOKUP(A14,'Mão de Obra_Base'!A:F,3,"FALSO"))</f>
        <v>h</v>
      </c>
      <c r="D14" s="339">
        <v>34.4784</v>
      </c>
      <c r="E14" s="340">
        <v>0</v>
      </c>
      <c r="F14" s="339">
        <f t="shared" si="0"/>
        <v>34.4784</v>
      </c>
      <c r="G14" s="340">
        <v>0</v>
      </c>
      <c r="H14" s="339">
        <f t="shared" si="3"/>
        <v>34.4784</v>
      </c>
      <c r="I14" s="339">
        <f t="shared" si="1"/>
        <v>7585.248</v>
      </c>
      <c r="J14" s="339">
        <f t="shared" si="2"/>
        <v>34.4784</v>
      </c>
      <c r="K14" s="341">
        <f>IF(D14=0,0,VLOOKUP(A14,'Mão de Obra_Base'!A:F,4,"FALSO"))</f>
        <v>34.4784</v>
      </c>
      <c r="L14" s="342">
        <f>IF(D14=0,0,VLOOKUP(A14,'Mão de Obra_Base'!A:F,5,"FALSO"))</f>
        <v>0</v>
      </c>
      <c r="M14" s="343">
        <f>IF(D14=0,0,VLOOKUP(A14,'Mão de Obra_Base'!A:D,4,"FALSO"))</f>
        <v>34.4784</v>
      </c>
      <c r="N14" s="34" t="str">
        <f t="shared" si="4"/>
        <v>OK</v>
      </c>
    </row>
    <row r="15" s="34" customFormat="1" hidden="1" spans="1:14">
      <c r="A15" s="337" t="s">
        <v>15700</v>
      </c>
      <c r="B15" s="338" t="str">
        <f>IF(A15="","",VLOOKUP(A15,'Mão de Obra_Base'!A:F,2,"FALSO"))</f>
        <v>Encarregado especializado - mensalista</v>
      </c>
      <c r="C15" s="337" t="str">
        <f>IF(A15="","",VLOOKUP(A15,'Mão de Obra_Base'!A:F,3,"FALSO"))</f>
        <v>mês</v>
      </c>
      <c r="D15" s="339">
        <v>0</v>
      </c>
      <c r="E15" s="340">
        <v>0</v>
      </c>
      <c r="F15" s="339">
        <f t="shared" si="0"/>
        <v>0</v>
      </c>
      <c r="G15" s="340">
        <v>0</v>
      </c>
      <c r="H15" s="339">
        <f t="shared" si="3"/>
        <v>0</v>
      </c>
      <c r="I15" s="339">
        <f t="shared" si="1"/>
        <v>0</v>
      </c>
      <c r="J15" s="339">
        <f t="shared" si="2"/>
        <v>0</v>
      </c>
      <c r="K15" s="341">
        <f>IF(D15=0,0,VLOOKUP(A15,'Mão de Obra_Base'!A:F,4,"FALSO"))</f>
        <v>0</v>
      </c>
      <c r="L15" s="342">
        <f>IF(D15=0,0,VLOOKUP(A15,'Mão de Obra_Base'!A:F,5,"FALSO"))</f>
        <v>0</v>
      </c>
      <c r="M15" s="343">
        <f>IF(D15=0,0,VLOOKUP(A15,'Mão de Obra_Base'!A:F,6,"FALSO"))</f>
        <v>0</v>
      </c>
      <c r="N15" s="34" t="str">
        <f t="shared" si="4"/>
        <v>OK</v>
      </c>
    </row>
    <row r="16" s="34" customFormat="1" spans="1:14">
      <c r="A16" s="337" t="s">
        <v>689</v>
      </c>
      <c r="B16" s="338" t="str">
        <f>IF(A16="","",VLOOKUP(A16,'Mão de Obra_Base'!A:F,2,"FALSO"))</f>
        <v>Engenheiro - mensalista</v>
      </c>
      <c r="C16" s="337" t="str">
        <f>IF(A16="","",VLOOKUP(A16,'Mão de Obra_Base'!A:F,3,"FALSO"))</f>
        <v>mês</v>
      </c>
      <c r="D16" s="339">
        <v>27716.9937</v>
      </c>
      <c r="E16" s="340">
        <v>0</v>
      </c>
      <c r="F16" s="339">
        <f t="shared" si="0"/>
        <v>27716.9937</v>
      </c>
      <c r="G16" s="340">
        <v>0</v>
      </c>
      <c r="H16" s="339">
        <f t="shared" si="3"/>
        <v>27716.9937</v>
      </c>
      <c r="I16" s="339">
        <f t="shared" si="1"/>
        <v>27716.9937</v>
      </c>
      <c r="J16" s="339">
        <f t="shared" si="2"/>
        <v>125.986335</v>
      </c>
      <c r="K16" s="341">
        <f>IF(D16=0,0,VLOOKUP(A16,'Mão de Obra_Base'!A:F,4,"FALSO"))</f>
        <v>27716.9937</v>
      </c>
      <c r="L16" s="342">
        <f>IF(D16=0,0,VLOOKUP(A16,'Mão de Obra_Base'!A:F,5,"FALSO"))</f>
        <v>0</v>
      </c>
      <c r="M16" s="343">
        <f>IF(D16=0,0,VLOOKUP(A16,'Mão de Obra_Base'!A:D,4,"FALSO"))</f>
        <v>27716.9937</v>
      </c>
      <c r="N16" s="34" t="str">
        <f t="shared" si="4"/>
        <v>OK</v>
      </c>
    </row>
    <row r="17" s="34" customFormat="1" hidden="1" spans="1:14">
      <c r="A17" s="337" t="s">
        <v>15701</v>
      </c>
      <c r="B17" s="338" t="str">
        <f>IF(A17="","",VLOOKUP(A17,'Mão de Obra_Base'!A:F,2,"FALSO"))</f>
        <v>Auxiliar de produção - mensalista</v>
      </c>
      <c r="C17" s="337" t="str">
        <f>IF(A17="","",VLOOKUP(A17,'Mão de Obra_Base'!A:F,3,"FALSO"))</f>
        <v>mês</v>
      </c>
      <c r="D17" s="339">
        <v>0</v>
      </c>
      <c r="E17" s="340">
        <v>0</v>
      </c>
      <c r="F17" s="339">
        <f t="shared" si="0"/>
        <v>0</v>
      </c>
      <c r="G17" s="340">
        <v>0</v>
      </c>
      <c r="H17" s="339">
        <f t="shared" si="3"/>
        <v>0</v>
      </c>
      <c r="I17" s="339">
        <f t="shared" si="1"/>
        <v>0</v>
      </c>
      <c r="J17" s="339">
        <f t="shared" si="2"/>
        <v>0</v>
      </c>
      <c r="K17" s="341">
        <f>IF(D17=0,0,VLOOKUP(A17,'Mão de Obra_Base'!A:F,4,"FALSO"))</f>
        <v>0</v>
      </c>
      <c r="L17" s="342">
        <f>IF(D17=0,0,VLOOKUP(A17,'Mão de Obra_Base'!A:F,5,"FALSO"))</f>
        <v>0</v>
      </c>
      <c r="M17" s="343">
        <f>IF(D17=0,0,VLOOKUP(A17,'Mão de Obra_Base'!A:F,6,"FALSO"))</f>
        <v>0</v>
      </c>
      <c r="N17" s="34" t="str">
        <f t="shared" si="4"/>
        <v>OK</v>
      </c>
    </row>
    <row r="18" s="34" customFormat="1" hidden="1" spans="1:14">
      <c r="A18" s="337" t="s">
        <v>15702</v>
      </c>
      <c r="B18" s="338" t="str">
        <f>IF(A18="","",VLOOKUP(A18,'Mão de Obra_Base'!A:F,2,"FALSO"))</f>
        <v>Jardineiro</v>
      </c>
      <c r="C18" s="337" t="str">
        <f>IF(A18="","",VLOOKUP(A18,'Mão de Obra_Base'!A:F,3,"FALSO"))</f>
        <v>h</v>
      </c>
      <c r="D18" s="339">
        <v>0</v>
      </c>
      <c r="E18" s="340">
        <v>0</v>
      </c>
      <c r="F18" s="339">
        <f t="shared" si="0"/>
        <v>0</v>
      </c>
      <c r="G18" s="340">
        <v>0</v>
      </c>
      <c r="H18" s="339">
        <f t="shared" si="3"/>
        <v>0</v>
      </c>
      <c r="I18" s="339">
        <f t="shared" si="1"/>
        <v>0</v>
      </c>
      <c r="J18" s="339">
        <f t="shared" si="2"/>
        <v>0</v>
      </c>
      <c r="K18" s="341">
        <f>IF(D18=0,0,VLOOKUP(A18,'Mão de Obra_Base'!A:F,4,"FALSO"))</f>
        <v>0</v>
      </c>
      <c r="L18" s="342">
        <f>IF(D18=0,0,VLOOKUP(A18,'Mão de Obra_Base'!A:F,5,"FALSO"))</f>
        <v>0</v>
      </c>
      <c r="M18" s="343">
        <f>IF(D18=0,0,VLOOKUP(A18,'Mão de Obra_Base'!A:F,6,"FALSO"))</f>
        <v>0</v>
      </c>
      <c r="N18" s="34" t="str">
        <f t="shared" si="4"/>
        <v>OK</v>
      </c>
    </row>
    <row r="19" s="34" customFormat="1" hidden="1" spans="1:14">
      <c r="A19" s="337" t="s">
        <v>15703</v>
      </c>
      <c r="B19" s="338" t="str">
        <f>IF(A19="","",VLOOKUP(A19,'Mão de Obra_Base'!A:F,2,"FALSO"))</f>
        <v>Engenheiro supervisor - mensalista</v>
      </c>
      <c r="C19" s="337" t="str">
        <f>IF(A19="","",VLOOKUP(A19,'Mão de Obra_Base'!A:F,3,"FALSO"))</f>
        <v>mês</v>
      </c>
      <c r="D19" s="339">
        <v>0</v>
      </c>
      <c r="E19" s="340">
        <v>0</v>
      </c>
      <c r="F19" s="339">
        <f t="shared" si="0"/>
        <v>0</v>
      </c>
      <c r="G19" s="340">
        <v>0</v>
      </c>
      <c r="H19" s="339">
        <f t="shared" si="3"/>
        <v>0</v>
      </c>
      <c r="I19" s="339">
        <f t="shared" si="1"/>
        <v>0</v>
      </c>
      <c r="J19" s="339">
        <f t="shared" si="2"/>
        <v>0</v>
      </c>
      <c r="K19" s="341">
        <f>IF(D19=0,0,VLOOKUP(A19,'Mão de Obra_Base'!A:F,4,"FALSO"))</f>
        <v>0</v>
      </c>
      <c r="L19" s="342">
        <f>IF(D19=0,0,VLOOKUP(A19,'Mão de Obra_Base'!A:F,5,"FALSO"))</f>
        <v>0</v>
      </c>
      <c r="M19" s="343">
        <f>IF(D19=0,0,VLOOKUP(A19,'Mão de Obra_Base'!A:F,6,"FALSO"))</f>
        <v>0</v>
      </c>
      <c r="N19" s="34" t="str">
        <f t="shared" si="4"/>
        <v>OK</v>
      </c>
    </row>
    <row r="20" s="34" customFormat="1" spans="1:14">
      <c r="A20" s="337" t="s">
        <v>946</v>
      </c>
      <c r="B20" s="338" t="str">
        <f>IF(A20="","",VLOOKUP(A20,'Mão de Obra_Base'!A:F,2,"FALSO"))</f>
        <v>Pedreiro</v>
      </c>
      <c r="C20" s="337" t="str">
        <f>IF(A20="","",VLOOKUP(A20,'Mão de Obra_Base'!A:F,3,"FALSO"))</f>
        <v>h</v>
      </c>
      <c r="D20" s="339">
        <v>29.6171</v>
      </c>
      <c r="E20" s="340">
        <v>0</v>
      </c>
      <c r="F20" s="339">
        <f t="shared" si="0"/>
        <v>29.6171</v>
      </c>
      <c r="G20" s="340">
        <v>0</v>
      </c>
      <c r="H20" s="339">
        <f t="shared" si="3"/>
        <v>29.6171</v>
      </c>
      <c r="I20" s="339">
        <f t="shared" si="1"/>
        <v>6515.762</v>
      </c>
      <c r="J20" s="339">
        <f t="shared" si="2"/>
        <v>29.6171</v>
      </c>
      <c r="K20" s="341">
        <f>IF(D20=0,0,VLOOKUP(A20,'Mão de Obra_Base'!A:F,4,"FALSO"))</f>
        <v>29.6171</v>
      </c>
      <c r="L20" s="342">
        <f>IF(D20=0,0,VLOOKUP(A20,'Mão de Obra_Base'!A:F,5,"FALSO"))</f>
        <v>0</v>
      </c>
      <c r="M20" s="343">
        <f>IF(D20=0,0,VLOOKUP(A20,'Mão de Obra_Base'!A:D,4,"FALSO"))</f>
        <v>29.6171</v>
      </c>
      <c r="N20" s="34" t="str">
        <f t="shared" si="4"/>
        <v>OK</v>
      </c>
    </row>
    <row r="21" s="34" customFormat="1" spans="1:14">
      <c r="A21" s="337" t="s">
        <v>1013</v>
      </c>
      <c r="B21" s="338" t="str">
        <f>IF(A21="","",VLOOKUP(A21,'Mão de Obra_Base'!A:F,2,"FALSO"))</f>
        <v>Pintor</v>
      </c>
      <c r="C21" s="337" t="str">
        <f>IF(A21="","",VLOOKUP(A21,'Mão de Obra_Base'!A:F,3,"FALSO"))</f>
        <v>h</v>
      </c>
      <c r="D21" s="339">
        <v>35.4794</v>
      </c>
      <c r="E21" s="340">
        <v>0</v>
      </c>
      <c r="F21" s="339">
        <f t="shared" si="0"/>
        <v>35.4794</v>
      </c>
      <c r="G21" s="340">
        <v>0</v>
      </c>
      <c r="H21" s="339">
        <f t="shared" si="3"/>
        <v>35.4794</v>
      </c>
      <c r="I21" s="339">
        <f t="shared" si="1"/>
        <v>7805.468</v>
      </c>
      <c r="J21" s="339">
        <f t="shared" si="2"/>
        <v>35.4794</v>
      </c>
      <c r="K21" s="341">
        <f>IF(D21=0,0,VLOOKUP(A21,'Mão de Obra_Base'!A:F,4,"FALSO"))</f>
        <v>35.4794</v>
      </c>
      <c r="L21" s="342">
        <f>IF(D21=0,0,VLOOKUP(A21,'Mão de Obra_Base'!A:F,5,"FALSO"))</f>
        <v>0</v>
      </c>
      <c r="M21" s="343">
        <f>IF(D21=0,0,VLOOKUP(A21,'Mão de Obra_Base'!A:D,4,"FALSO"))</f>
        <v>35.4794</v>
      </c>
      <c r="N21" s="34" t="str">
        <f t="shared" si="4"/>
        <v>OK</v>
      </c>
    </row>
    <row r="22" s="34" customFormat="1" spans="1:14">
      <c r="A22" s="337" t="s">
        <v>14307</v>
      </c>
      <c r="B22" s="338" t="str">
        <f>IF(A22="","",VLOOKUP(A22,'Mão de Obra_Base'!A:F,2,"FALSO"))</f>
        <v>Serralheiro</v>
      </c>
      <c r="C22" s="337" t="str">
        <f>IF(A22="","",VLOOKUP(A22,'Mão de Obra_Base'!A:F,3,"FALSO"))</f>
        <v>h</v>
      </c>
      <c r="D22" s="339">
        <v>35.4528</v>
      </c>
      <c r="E22" s="340">
        <v>0</v>
      </c>
      <c r="F22" s="339">
        <f t="shared" si="0"/>
        <v>35.4528</v>
      </c>
      <c r="G22" s="340">
        <v>0</v>
      </c>
      <c r="H22" s="339">
        <f t="shared" si="3"/>
        <v>35.4528</v>
      </c>
      <c r="I22" s="339">
        <f t="shared" si="1"/>
        <v>7799.616</v>
      </c>
      <c r="J22" s="339">
        <f t="shared" si="2"/>
        <v>35.4528</v>
      </c>
      <c r="K22" s="341">
        <f>IF(D22=0,0,VLOOKUP(A22,'Mão de Obra_Base'!A:F,4,"FALSO"))</f>
        <v>35.4528</v>
      </c>
      <c r="L22" s="342">
        <f>IF(D22=0,0,VLOOKUP(A22,'Mão de Obra_Base'!A:F,5,"FALSO"))</f>
        <v>0</v>
      </c>
      <c r="M22" s="343">
        <f>IF(D22=0,0,VLOOKUP(A22,'Mão de Obra_Base'!A:D,4,"FALSO"))</f>
        <v>35.4528</v>
      </c>
      <c r="N22" s="34" t="str">
        <f t="shared" si="4"/>
        <v>OK</v>
      </c>
    </row>
    <row r="23" s="34" customFormat="1" spans="1:14">
      <c r="A23" s="337" t="s">
        <v>935</v>
      </c>
      <c r="B23" s="338" t="str">
        <f>IF(A23="","",VLOOKUP(A23,'Mão de Obra_Base'!A:F,2,"FALSO"))</f>
        <v>Servente</v>
      </c>
      <c r="C23" s="337" t="str">
        <f>IF(A23="","",VLOOKUP(A23,'Mão de Obra_Base'!A:F,3,"FALSO"))</f>
        <v>h</v>
      </c>
      <c r="D23" s="339">
        <v>23.6025</v>
      </c>
      <c r="E23" s="340">
        <v>0</v>
      </c>
      <c r="F23" s="339">
        <f t="shared" si="0"/>
        <v>23.6025</v>
      </c>
      <c r="G23" s="340">
        <v>0</v>
      </c>
      <c r="H23" s="339">
        <f t="shared" si="3"/>
        <v>23.6025</v>
      </c>
      <c r="I23" s="339">
        <f t="shared" si="1"/>
        <v>5192.55</v>
      </c>
      <c r="J23" s="339">
        <f t="shared" si="2"/>
        <v>23.6025</v>
      </c>
      <c r="K23" s="341">
        <f>IF(D23=0,0,VLOOKUP(A23,'Mão de Obra_Base'!A:F,4,"FALSO"))</f>
        <v>23.6025</v>
      </c>
      <c r="L23" s="342">
        <f>IF(D23=0,0,VLOOKUP(A23,'Mão de Obra_Base'!A:F,5,"FALSO"))</f>
        <v>0</v>
      </c>
      <c r="M23" s="343">
        <f>IF(D23=0,0,VLOOKUP(A23,'Mão de Obra_Base'!A:D,4,"FALSO"))</f>
        <v>23.6025</v>
      </c>
      <c r="N23" s="34" t="str">
        <f t="shared" si="4"/>
        <v>OK</v>
      </c>
    </row>
    <row r="24" s="34" customFormat="1" spans="1:14">
      <c r="A24" s="337" t="s">
        <v>15704</v>
      </c>
      <c r="B24" s="338" t="str">
        <f>IF(A24="","",VLOOKUP(A24,'Mão de Obra_Base'!A:F,2,"FALSO"))</f>
        <v>Soldador</v>
      </c>
      <c r="C24" s="337" t="str">
        <f>IF(A24="","",VLOOKUP(A24,'Mão de Obra_Base'!A:F,3,"FALSO"))</f>
        <v>h</v>
      </c>
      <c r="D24" s="339">
        <v>41.7726</v>
      </c>
      <c r="E24" s="340">
        <v>0</v>
      </c>
      <c r="F24" s="339">
        <f t="shared" si="0"/>
        <v>41.7726</v>
      </c>
      <c r="G24" s="340">
        <v>0</v>
      </c>
      <c r="H24" s="339">
        <f t="shared" si="3"/>
        <v>41.7726</v>
      </c>
      <c r="I24" s="339">
        <f t="shared" si="1"/>
        <v>9189.972</v>
      </c>
      <c r="J24" s="339">
        <f t="shared" si="2"/>
        <v>41.7726</v>
      </c>
      <c r="K24" s="341">
        <f>IF(D24=0,0,VLOOKUP(A24,'Mão de Obra_Base'!A:F,4,"FALSO"))</f>
        <v>41.7726</v>
      </c>
      <c r="L24" s="342">
        <f>IF(D24=0,0,VLOOKUP(A24,'Mão de Obra_Base'!A:F,5,"FALSO"))</f>
        <v>0</v>
      </c>
      <c r="M24" s="343">
        <f>IF(D24=0,0,VLOOKUP(A24,'Mão de Obra_Base'!A:D,4,"FALSO"))</f>
        <v>41.7726</v>
      </c>
      <c r="N24" s="34" t="str">
        <f t="shared" si="4"/>
        <v>OK</v>
      </c>
    </row>
    <row r="25" s="34" customFormat="1" spans="1:14">
      <c r="A25" s="337" t="s">
        <v>677</v>
      </c>
      <c r="B25" s="338" t="str">
        <f>IF(A25="","",VLOOKUP(A25,'Mão de Obra_Base'!A:F,2,"FALSO"))</f>
        <v>Vigia - mensalista</v>
      </c>
      <c r="C25" s="337" t="str">
        <f>IF(A25="","",VLOOKUP(A25,'Mão de Obra_Base'!A:F,3,"FALSO"))</f>
        <v>mês</v>
      </c>
      <c r="D25" s="339">
        <v>5363.3214</v>
      </c>
      <c r="E25" s="340">
        <v>0</v>
      </c>
      <c r="F25" s="339">
        <f t="shared" si="0"/>
        <v>5363.3214</v>
      </c>
      <c r="G25" s="340">
        <v>0</v>
      </c>
      <c r="H25" s="339">
        <f t="shared" si="3"/>
        <v>5363.3214</v>
      </c>
      <c r="I25" s="339">
        <f t="shared" si="1"/>
        <v>5363.3214</v>
      </c>
      <c r="J25" s="339">
        <f t="shared" si="2"/>
        <v>24.3787336363636</v>
      </c>
      <c r="K25" s="341">
        <f>IF(D25=0,0,VLOOKUP(A25,'Mão de Obra_Base'!A:F,4,"FALSO"))</f>
        <v>5363.3214</v>
      </c>
      <c r="L25" s="342">
        <f>IF(D25=0,0,VLOOKUP(A25,'Mão de Obra_Base'!A:F,5,"FALSO"))</f>
        <v>0</v>
      </c>
      <c r="M25" s="343">
        <f>IF(D25=0,0,VLOOKUP(A25,'Mão de Obra_Base'!A:D,4,"FALSO"))</f>
        <v>5363.3214</v>
      </c>
      <c r="N25" s="34" t="str">
        <f t="shared" si="4"/>
        <v>OK</v>
      </c>
    </row>
    <row r="26" s="34" customFormat="1" spans="1:14">
      <c r="A26" s="337" t="s">
        <v>954</v>
      </c>
      <c r="B26" s="338" t="str">
        <f>IF(A26="","",VLOOKUP(A26,'Mão de Obra_Base'!A:F,2,"FALSO"))</f>
        <v>Montador</v>
      </c>
      <c r="C26" s="337" t="str">
        <f>IF(A26="","",VLOOKUP(A26,'Mão de Obra_Base'!A:F,3,"FALSO"))</f>
        <v>h</v>
      </c>
      <c r="D26" s="339">
        <v>34.5245</v>
      </c>
      <c r="E26" s="340">
        <v>0</v>
      </c>
      <c r="F26" s="339">
        <f t="shared" si="0"/>
        <v>34.5245</v>
      </c>
      <c r="G26" s="340">
        <v>0</v>
      </c>
      <c r="H26" s="339">
        <f t="shared" si="3"/>
        <v>34.5245</v>
      </c>
      <c r="I26" s="339">
        <f t="shared" si="1"/>
        <v>7595.39</v>
      </c>
      <c r="J26" s="339">
        <f t="shared" si="2"/>
        <v>34.5245</v>
      </c>
      <c r="K26" s="341">
        <f>IF(D26=0,0,VLOOKUP(A26,'Mão de Obra_Base'!A:F,4,"FALSO"))</f>
        <v>34.5245</v>
      </c>
      <c r="L26" s="342">
        <f>IF(D26=0,0,VLOOKUP(A26,'Mão de Obra_Base'!A:F,5,"FALSO"))</f>
        <v>0</v>
      </c>
      <c r="M26" s="343">
        <f>IF(D26=0,0,VLOOKUP(A26,'Mão de Obra_Base'!A:D,4,"FALSO"))</f>
        <v>34.5245</v>
      </c>
      <c r="N26" s="34" t="str">
        <f t="shared" si="4"/>
        <v>OK</v>
      </c>
    </row>
    <row r="27" s="34" customFormat="1" spans="1:14">
      <c r="A27" s="337" t="s">
        <v>708</v>
      </c>
      <c r="B27" s="338" t="str">
        <f>IF(A27="","",VLOOKUP(A27,'Mão de Obra_Base'!A:F,2,"FALSO"))</f>
        <v>Auxiliar de laboratório - mensalista</v>
      </c>
      <c r="C27" s="337" t="str">
        <f>IF(A27="","",VLOOKUP(A27,'Mão de Obra_Base'!A:F,3,"FALSO"))</f>
        <v>mês</v>
      </c>
      <c r="D27" s="339">
        <v>4915.5662</v>
      </c>
      <c r="E27" s="340">
        <v>0</v>
      </c>
      <c r="F27" s="339">
        <f t="shared" si="0"/>
        <v>4915.5662</v>
      </c>
      <c r="G27" s="340">
        <v>0</v>
      </c>
      <c r="H27" s="339">
        <f t="shared" si="3"/>
        <v>4915.5662</v>
      </c>
      <c r="I27" s="339">
        <f t="shared" si="1"/>
        <v>4915.5662</v>
      </c>
      <c r="J27" s="339">
        <f t="shared" si="2"/>
        <v>22.3434827272727</v>
      </c>
      <c r="K27" s="341">
        <f>IF(D27=0,0,VLOOKUP(A27,'Mão de Obra_Base'!A:F,4,"FALSO"))</f>
        <v>4915.5662</v>
      </c>
      <c r="L27" s="342">
        <f>IF(D27=0,0,VLOOKUP(A27,'Mão de Obra_Base'!A:F,5,"FALSO"))</f>
        <v>0</v>
      </c>
      <c r="M27" s="343">
        <f>IF(D27=0,0,VLOOKUP(A27,'Mão de Obra_Base'!A:D,4,"FALSO"))</f>
        <v>4915.5662</v>
      </c>
      <c r="N27" s="34" t="str">
        <f t="shared" si="4"/>
        <v>OK</v>
      </c>
    </row>
    <row r="28" s="34" customFormat="1" hidden="1" spans="1:14">
      <c r="A28" s="337" t="s">
        <v>15705</v>
      </c>
      <c r="B28" s="338" t="str">
        <f>IF(A28="","",VLOOKUP(A28,'Mão de Obra_Base'!A:F,2,"FALSO"))</f>
        <v>Oceanógrafo - mensalista</v>
      </c>
      <c r="C28" s="337" t="str">
        <f>IF(A28="","",VLOOKUP(A28,'Mão de Obra_Base'!A:F,3,"FALSO"))</f>
        <v>mês</v>
      </c>
      <c r="D28" s="339">
        <v>0</v>
      </c>
      <c r="E28" s="340">
        <v>0</v>
      </c>
      <c r="F28" s="339">
        <f t="shared" si="0"/>
        <v>0</v>
      </c>
      <c r="G28" s="340">
        <v>0</v>
      </c>
      <c r="H28" s="339">
        <f t="shared" si="3"/>
        <v>0</v>
      </c>
      <c r="I28" s="339">
        <f t="shared" si="1"/>
        <v>0</v>
      </c>
      <c r="J28" s="339">
        <f t="shared" si="2"/>
        <v>0</v>
      </c>
      <c r="K28" s="341">
        <f>IF(D28=0,0,VLOOKUP(A28,'Mão de Obra_Base'!A:F,4,"FALSO"))</f>
        <v>0</v>
      </c>
      <c r="L28" s="342">
        <f>IF(D28=0,0,VLOOKUP(A28,'Mão de Obra_Base'!A:F,5,"FALSO"))</f>
        <v>0</v>
      </c>
      <c r="M28" s="343">
        <f>IF(D28=0,0,VLOOKUP(A28,'Mão de Obra_Base'!A:F,6,"FALSO"))</f>
        <v>0</v>
      </c>
      <c r="N28" s="34" t="str">
        <f t="shared" si="4"/>
        <v>OK</v>
      </c>
    </row>
    <row r="29" s="34" customFormat="1" spans="1:14">
      <c r="A29" s="337" t="s">
        <v>15706</v>
      </c>
      <c r="B29" s="338" t="str">
        <f>IF(A29="","",VLOOKUP(A29,'Mão de Obra_Base'!A:F,2,"FALSO"))</f>
        <v>Encarregado geral - mensalista</v>
      </c>
      <c r="C29" s="337" t="str">
        <f>IF(A29="","",VLOOKUP(A29,'Mão de Obra_Base'!A:F,3,"FALSO"))</f>
        <v>mês</v>
      </c>
      <c r="D29" s="339">
        <v>13397.7296</v>
      </c>
      <c r="E29" s="340">
        <v>0</v>
      </c>
      <c r="F29" s="339">
        <f t="shared" si="0"/>
        <v>13397.7296</v>
      </c>
      <c r="G29" s="340">
        <v>0</v>
      </c>
      <c r="H29" s="339">
        <f t="shared" si="3"/>
        <v>13397.7296</v>
      </c>
      <c r="I29" s="339">
        <f t="shared" si="1"/>
        <v>13397.7296</v>
      </c>
      <c r="J29" s="339">
        <f t="shared" si="2"/>
        <v>60.8987709090909</v>
      </c>
      <c r="K29" s="341">
        <f>IF(D29=0,0,VLOOKUP(A29,'Mão de Obra_Base'!A:F,4,"FALSO"))</f>
        <v>13397.7296</v>
      </c>
      <c r="L29" s="342">
        <f>IF(D29=0,0,VLOOKUP(A29,'Mão de Obra_Base'!A:F,5,"FALSO"))</f>
        <v>0</v>
      </c>
      <c r="M29" s="343">
        <f>IF(D29=0,0,VLOOKUP(A29,'Mão de Obra_Base'!A:D,4,"FALSO"))</f>
        <v>13397.7296</v>
      </c>
      <c r="N29" s="34" t="str">
        <f t="shared" si="4"/>
        <v>OK</v>
      </c>
    </row>
    <row r="30" s="34" customFormat="1" spans="1:14">
      <c r="A30" s="337" t="s">
        <v>15707</v>
      </c>
      <c r="B30" s="338" t="str">
        <f>IF(A30="","",VLOOKUP(A30,'Mão de Obra_Base'!A:F,2,"FALSO"))</f>
        <v>Faxineiro - mensalista</v>
      </c>
      <c r="C30" s="337" t="str">
        <f>IF(A30="","",VLOOKUP(A30,'Mão de Obra_Base'!A:F,3,"FALSO"))</f>
        <v>mês</v>
      </c>
      <c r="D30" s="339">
        <v>4316.6725</v>
      </c>
      <c r="E30" s="340">
        <v>0</v>
      </c>
      <c r="F30" s="339">
        <f t="shared" si="0"/>
        <v>4316.6725</v>
      </c>
      <c r="G30" s="340">
        <v>0</v>
      </c>
      <c r="H30" s="339">
        <f t="shared" si="3"/>
        <v>4316.6725</v>
      </c>
      <c r="I30" s="339">
        <f t="shared" si="1"/>
        <v>4316.6725</v>
      </c>
      <c r="J30" s="339">
        <f t="shared" si="2"/>
        <v>19.6212386363636</v>
      </c>
      <c r="K30" s="341">
        <f>IF(D30=0,0,VLOOKUP(A30,'Mão de Obra_Base'!A:F,4,"FALSO"))</f>
        <v>4316.6725</v>
      </c>
      <c r="L30" s="342">
        <f>IF(D30=0,0,VLOOKUP(A30,'Mão de Obra_Base'!A:F,5,"FALSO"))</f>
        <v>0</v>
      </c>
      <c r="M30" s="343">
        <f>IF(D30=0,0,VLOOKUP(A30,'Mão de Obra_Base'!A:D,4,"FALSO"))</f>
        <v>4316.6725</v>
      </c>
      <c r="N30" s="34" t="str">
        <f t="shared" si="4"/>
        <v>OK</v>
      </c>
    </row>
    <row r="31" s="34" customFormat="1" hidden="1" spans="1:14">
      <c r="A31" s="337" t="s">
        <v>15708</v>
      </c>
      <c r="B31" s="338" t="str">
        <f>IF(A31="","",VLOOKUP(A31,'Mão de Obra_Base'!A:F,2,"FALSO"))</f>
        <v>Operador de equipamento leve</v>
      </c>
      <c r="C31" s="337" t="str">
        <f>IF(A31="","",VLOOKUP(A31,'Mão de Obra_Base'!A:F,3,"FALSO"))</f>
        <v>h</v>
      </c>
      <c r="D31" s="339">
        <v>0</v>
      </c>
      <c r="E31" s="340">
        <v>0</v>
      </c>
      <c r="F31" s="339">
        <f t="shared" si="0"/>
        <v>0</v>
      </c>
      <c r="G31" s="340">
        <v>0</v>
      </c>
      <c r="H31" s="339">
        <f t="shared" si="3"/>
        <v>0</v>
      </c>
      <c r="I31" s="339">
        <f t="shared" si="1"/>
        <v>0</v>
      </c>
      <c r="J31" s="339">
        <f t="shared" si="2"/>
        <v>0</v>
      </c>
      <c r="K31" s="341">
        <f>IF(D31=0,0,VLOOKUP(A31,'Mão de Obra_Base'!A:F,4,"FALSO"))</f>
        <v>0</v>
      </c>
      <c r="L31" s="342">
        <f>IF(D31=0,0,VLOOKUP(A31,'Mão de Obra_Base'!A:F,5,"FALSO"))</f>
        <v>0</v>
      </c>
      <c r="M31" s="343">
        <f>IF(D31=0,0,VLOOKUP(A31,'Mão de Obra_Base'!A:F,6,"FALSO"))</f>
        <v>0</v>
      </c>
      <c r="N31" s="34" t="str">
        <f t="shared" si="4"/>
        <v>OK</v>
      </c>
    </row>
    <row r="32" s="34" customFormat="1" hidden="1" spans="1:14">
      <c r="A32" s="337" t="s">
        <v>15709</v>
      </c>
      <c r="B32" s="338" t="str">
        <f>IF(A32="","",VLOOKUP(A32,'Mão de Obra_Base'!A:F,2,"FALSO"))</f>
        <v>Operador de equipamento pesado</v>
      </c>
      <c r="C32" s="337" t="str">
        <f>IF(A32="","",VLOOKUP(A32,'Mão de Obra_Base'!A:F,3,"FALSO"))</f>
        <v>h</v>
      </c>
      <c r="D32" s="339">
        <v>0</v>
      </c>
      <c r="E32" s="340">
        <v>0</v>
      </c>
      <c r="F32" s="339">
        <f t="shared" si="0"/>
        <v>0</v>
      </c>
      <c r="G32" s="340">
        <v>0</v>
      </c>
      <c r="H32" s="339">
        <f t="shared" si="3"/>
        <v>0</v>
      </c>
      <c r="I32" s="339">
        <f t="shared" si="1"/>
        <v>0</v>
      </c>
      <c r="J32" s="339">
        <f t="shared" si="2"/>
        <v>0</v>
      </c>
      <c r="K32" s="341">
        <f>IF(D32=0,0,VLOOKUP(A32,'Mão de Obra_Base'!A:F,4,"FALSO"))</f>
        <v>0</v>
      </c>
      <c r="L32" s="342">
        <f>IF(D32=0,0,VLOOKUP(A32,'Mão de Obra_Base'!A:F,5,"FALSO"))</f>
        <v>0</v>
      </c>
      <c r="M32" s="343">
        <f>IF(D32=0,0,VLOOKUP(A32,'Mão de Obra_Base'!A:F,6,"FALSO"))</f>
        <v>0</v>
      </c>
      <c r="N32" s="34" t="str">
        <f t="shared" si="4"/>
        <v>OK</v>
      </c>
    </row>
    <row r="33" s="34" customFormat="1" hidden="1" spans="1:14">
      <c r="A33" s="337" t="s">
        <v>15710</v>
      </c>
      <c r="B33" s="338" t="str">
        <f>IF(A33="","",VLOOKUP(A33,'Mão de Obra_Base'!A:F,2,"FALSO"))</f>
        <v>Operador de equipamento especial</v>
      </c>
      <c r="C33" s="337" t="str">
        <f>IF(A33="","",VLOOKUP(A33,'Mão de Obra_Base'!A:F,3,"FALSO"))</f>
        <v>h</v>
      </c>
      <c r="D33" s="339">
        <v>0</v>
      </c>
      <c r="E33" s="340">
        <v>0</v>
      </c>
      <c r="F33" s="339">
        <f t="shared" si="0"/>
        <v>0</v>
      </c>
      <c r="G33" s="340">
        <v>0</v>
      </c>
      <c r="H33" s="339">
        <f t="shared" si="3"/>
        <v>0</v>
      </c>
      <c r="I33" s="339">
        <f t="shared" si="1"/>
        <v>0</v>
      </c>
      <c r="J33" s="339">
        <f t="shared" si="2"/>
        <v>0</v>
      </c>
      <c r="K33" s="341">
        <f>IF(D33=0,0,VLOOKUP(A33,'Mão de Obra_Base'!A:F,4,"FALSO"))</f>
        <v>0</v>
      </c>
      <c r="L33" s="342">
        <f>IF(D33=0,0,VLOOKUP(A33,'Mão de Obra_Base'!A:F,5,"FALSO"))</f>
        <v>0</v>
      </c>
      <c r="M33" s="343">
        <f>IF(D33=0,0,VLOOKUP(A33,'Mão de Obra_Base'!A:F,6,"FALSO"))</f>
        <v>0</v>
      </c>
      <c r="N33" s="34" t="str">
        <f t="shared" si="4"/>
        <v>OK</v>
      </c>
    </row>
    <row r="34" s="34" customFormat="1" hidden="1" spans="1:14">
      <c r="A34" s="337" t="s">
        <v>15711</v>
      </c>
      <c r="B34" s="338" t="str">
        <f>IF(A34="","",VLOOKUP(A34,'Mão de Obra_Base'!A:F,2,"FALSO"))</f>
        <v>Perfurador de tubulão</v>
      </c>
      <c r="C34" s="337" t="str">
        <f>IF(A34="","",VLOOKUP(A34,'Mão de Obra_Base'!A:F,3,"FALSO"))</f>
        <v>h</v>
      </c>
      <c r="D34" s="339">
        <v>0</v>
      </c>
      <c r="E34" s="340">
        <v>0</v>
      </c>
      <c r="F34" s="339">
        <f t="shared" si="0"/>
        <v>0</v>
      </c>
      <c r="G34" s="340">
        <v>0</v>
      </c>
      <c r="H34" s="339">
        <f t="shared" si="3"/>
        <v>0</v>
      </c>
      <c r="I34" s="339">
        <f t="shared" si="1"/>
        <v>0</v>
      </c>
      <c r="J34" s="339">
        <f t="shared" si="2"/>
        <v>0</v>
      </c>
      <c r="K34" s="341">
        <f>IF(D34=0,0,VLOOKUP(A34,'Mão de Obra_Base'!A:F,4,"FALSO"))</f>
        <v>0</v>
      </c>
      <c r="L34" s="342">
        <f>IF(D34=0,0,VLOOKUP(A34,'Mão de Obra_Base'!A:F,5,"FALSO"))</f>
        <v>0</v>
      </c>
      <c r="M34" s="343">
        <f>IF(D34=0,0,VLOOKUP(A34,'Mão de Obra_Base'!A:F,6,"FALSO"))</f>
        <v>0</v>
      </c>
      <c r="N34" s="34" t="str">
        <f t="shared" si="4"/>
        <v>OK</v>
      </c>
    </row>
    <row r="35" s="34" customFormat="1" hidden="1" spans="1:14">
      <c r="A35" s="337" t="s">
        <v>15712</v>
      </c>
      <c r="B35" s="338" t="str">
        <f>IF(A35="","",VLOOKUP(A35,'Mão de Obra_Base'!A:F,2,"FALSO"))</f>
        <v>Desenhista - mensalista</v>
      </c>
      <c r="C35" s="337" t="str">
        <f>IF(A35="","",VLOOKUP(A35,'Mão de Obra_Base'!A:F,3,"FALSO"))</f>
        <v>mês</v>
      </c>
      <c r="D35" s="339">
        <v>0</v>
      </c>
      <c r="E35" s="340">
        <v>0</v>
      </c>
      <c r="F35" s="339">
        <f t="shared" si="0"/>
        <v>0</v>
      </c>
      <c r="G35" s="340">
        <v>0</v>
      </c>
      <c r="H35" s="339">
        <f t="shared" si="3"/>
        <v>0</v>
      </c>
      <c r="I35" s="339">
        <f t="shared" si="1"/>
        <v>0</v>
      </c>
      <c r="J35" s="339">
        <f t="shared" si="2"/>
        <v>0</v>
      </c>
      <c r="K35" s="341">
        <f>IF(D35=0,0,VLOOKUP(A35,'Mão de Obra_Base'!A:F,4,"FALSO"))</f>
        <v>0</v>
      </c>
      <c r="L35" s="342">
        <f>IF(D35=0,0,VLOOKUP(A35,'Mão de Obra_Base'!A:F,5,"FALSO"))</f>
        <v>0</v>
      </c>
      <c r="M35" s="343">
        <f>IF(D35=0,0,VLOOKUP(A35,'Mão de Obra_Base'!A:F,6,"FALSO"))</f>
        <v>0</v>
      </c>
      <c r="N35" s="34" t="str">
        <f t="shared" si="4"/>
        <v>OK</v>
      </c>
    </row>
    <row r="36" s="34" customFormat="1" hidden="1" spans="1:14">
      <c r="A36" s="337" t="s">
        <v>15713</v>
      </c>
      <c r="B36" s="338" t="str">
        <f>IF(A36="","",VLOOKUP(A36,'Mão de Obra_Base'!A:F,2,"FALSO"))</f>
        <v>Condutor maquinista fluvial - mensalista</v>
      </c>
      <c r="C36" s="337" t="str">
        <f>IF(A36="","",VLOOKUP(A36,'Mão de Obra_Base'!A:F,3,"FALSO"))</f>
        <v>mês</v>
      </c>
      <c r="D36" s="339">
        <v>0</v>
      </c>
      <c r="E36" s="340">
        <v>0</v>
      </c>
      <c r="F36" s="339">
        <f t="shared" si="0"/>
        <v>0</v>
      </c>
      <c r="G36" s="340">
        <v>0</v>
      </c>
      <c r="H36" s="339">
        <f t="shared" si="3"/>
        <v>0</v>
      </c>
      <c r="I36" s="339">
        <f t="shared" si="1"/>
        <v>0</v>
      </c>
      <c r="J36" s="339">
        <f t="shared" si="2"/>
        <v>0</v>
      </c>
      <c r="K36" s="341">
        <f>IF(D36=0,0,VLOOKUP(A36,'Mão de Obra_Base'!A:F,4,"FALSO"))</f>
        <v>0</v>
      </c>
      <c r="L36" s="342">
        <f>IF(D36=0,0,VLOOKUP(A36,'Mão de Obra_Base'!A:F,5,"FALSO"))</f>
        <v>0</v>
      </c>
      <c r="M36" s="343">
        <f>IF(D36=0,0,VLOOKUP(A36,'Mão de Obra_Base'!A:F,6,"FALSO"))</f>
        <v>0</v>
      </c>
      <c r="N36" s="34" t="str">
        <f t="shared" si="4"/>
        <v>OK</v>
      </c>
    </row>
    <row r="37" s="34" customFormat="1" hidden="1" spans="1:14">
      <c r="A37" s="337" t="s">
        <v>15714</v>
      </c>
      <c r="B37" s="338" t="str">
        <f>IF(A37="","",VLOOKUP(A37,'Mão de Obra_Base'!A:F,2,"FALSO"))</f>
        <v>Médico do trabalho - mensalista</v>
      </c>
      <c r="C37" s="337" t="str">
        <f>IF(A37="","",VLOOKUP(A37,'Mão de Obra_Base'!A:F,3,"FALSO"))</f>
        <v>mês</v>
      </c>
      <c r="D37" s="339">
        <v>0</v>
      </c>
      <c r="E37" s="340">
        <v>0</v>
      </c>
      <c r="F37" s="339">
        <f t="shared" si="0"/>
        <v>0</v>
      </c>
      <c r="G37" s="340">
        <v>0</v>
      </c>
      <c r="H37" s="339">
        <f t="shared" si="3"/>
        <v>0</v>
      </c>
      <c r="I37" s="339">
        <f t="shared" si="1"/>
        <v>0</v>
      </c>
      <c r="J37" s="339">
        <f t="shared" si="2"/>
        <v>0</v>
      </c>
      <c r="K37" s="341">
        <f>IF(D37=0,0,VLOOKUP(A37,'Mão de Obra_Base'!A:F,4,"FALSO"))</f>
        <v>0</v>
      </c>
      <c r="L37" s="342">
        <f>IF(D37=0,0,VLOOKUP(A37,'Mão de Obra_Base'!A:F,5,"FALSO"))</f>
        <v>0</v>
      </c>
      <c r="M37" s="343">
        <f>IF(D37=0,0,VLOOKUP(A37,'Mão de Obra_Base'!A:F,6,"FALSO"))</f>
        <v>0</v>
      </c>
      <c r="N37" s="34" t="str">
        <f t="shared" si="4"/>
        <v>OK</v>
      </c>
    </row>
    <row r="38" s="34" customFormat="1" hidden="1" spans="1:14">
      <c r="A38" s="337" t="s">
        <v>15715</v>
      </c>
      <c r="B38" s="338" t="str">
        <f>IF(A38="","",VLOOKUP(A38,'Mão de Obra_Base'!A:F,2,"FALSO"))</f>
        <v>Blaster</v>
      </c>
      <c r="C38" s="337" t="str">
        <f>IF(A38="","",VLOOKUP(A38,'Mão de Obra_Base'!A:F,3,"FALSO"))</f>
        <v>h</v>
      </c>
      <c r="D38" s="339">
        <v>0</v>
      </c>
      <c r="E38" s="340">
        <v>0</v>
      </c>
      <c r="F38" s="339">
        <f t="shared" si="0"/>
        <v>0</v>
      </c>
      <c r="G38" s="340">
        <v>0</v>
      </c>
      <c r="H38" s="339">
        <f>ROUND((F38+(D38*G38)),4)</f>
        <v>0</v>
      </c>
      <c r="I38" s="339">
        <f t="shared" si="1"/>
        <v>0</v>
      </c>
      <c r="J38" s="339">
        <f t="shared" si="2"/>
        <v>0</v>
      </c>
      <c r="K38" s="341">
        <f>IF(D38=0,0,VLOOKUP(A38,'Mão de Obra_Base'!A:F,4,"FALSO"))</f>
        <v>0</v>
      </c>
      <c r="L38" s="342">
        <f>IF(D38=0,0,VLOOKUP(A38,'Mão de Obra_Base'!A:F,5,"FALSO"))</f>
        <v>0</v>
      </c>
      <c r="M38" s="343">
        <f>IF(D38=0,0,VLOOKUP(A38,'Mão de Obra_Base'!A:F,6,"FALSO"))</f>
        <v>0</v>
      </c>
      <c r="N38" s="34" t="str">
        <f t="shared" si="4"/>
        <v>OK</v>
      </c>
    </row>
    <row r="39" s="34" customFormat="1" spans="1:14">
      <c r="A39" s="337" t="s">
        <v>1016</v>
      </c>
      <c r="B39" s="338" t="str">
        <f>IF(A39="","",VLOOKUP(A39,'Mão de Obra_Base'!A:F,2,"FALSO"))</f>
        <v>Pré-marcador</v>
      </c>
      <c r="C39" s="337" t="str">
        <f>IF(A39="","",VLOOKUP(A39,'Mão de Obra_Base'!A:F,3,"FALSO"))</f>
        <v>h</v>
      </c>
      <c r="D39" s="339">
        <v>26.0801</v>
      </c>
      <c r="E39" s="340">
        <v>0</v>
      </c>
      <c r="F39" s="339">
        <f t="shared" si="0"/>
        <v>26.0801</v>
      </c>
      <c r="G39" s="340">
        <v>0</v>
      </c>
      <c r="H39" s="339">
        <f t="shared" si="3"/>
        <v>26.0801</v>
      </c>
      <c r="I39" s="339">
        <f t="shared" si="1"/>
        <v>5737.622</v>
      </c>
      <c r="J39" s="339">
        <f t="shared" si="2"/>
        <v>26.0801</v>
      </c>
      <c r="K39" s="341">
        <f>IF(D39=0,0,VLOOKUP(A39,'Mão de Obra_Base'!A:F,4,"FALSO"))</f>
        <v>26.0801</v>
      </c>
      <c r="L39" s="342">
        <f>IF(D39=0,0,VLOOKUP(A39,'Mão de Obra_Base'!A:F,5,"FALSO"))</f>
        <v>0</v>
      </c>
      <c r="M39" s="343">
        <f>IF(D39=0,0,VLOOKUP(A39,'Mão de Obra_Base'!A:D,4,"FALSO"))</f>
        <v>26.0801</v>
      </c>
      <c r="N39" s="34" t="str">
        <f t="shared" si="4"/>
        <v>OK</v>
      </c>
    </row>
    <row r="40" s="34" customFormat="1" hidden="1" spans="1:14">
      <c r="A40" s="337" t="s">
        <v>15716</v>
      </c>
      <c r="B40" s="338" t="str">
        <f>IF(A40="","",VLOOKUP(A40,'Mão de Obra_Base'!A:F,2,"FALSO"))</f>
        <v>Marinheiro de máquinas - mensalista</v>
      </c>
      <c r="C40" s="337" t="str">
        <f>IF(A40="","",VLOOKUP(A40,'Mão de Obra_Base'!A:F,3,"FALSO"))</f>
        <v>mês</v>
      </c>
      <c r="D40" s="339">
        <v>0</v>
      </c>
      <c r="E40" s="340">
        <v>0</v>
      </c>
      <c r="F40" s="339">
        <f t="shared" si="0"/>
        <v>0</v>
      </c>
      <c r="G40" s="340">
        <v>0</v>
      </c>
      <c r="H40" s="339">
        <f t="shared" si="3"/>
        <v>0</v>
      </c>
      <c r="I40" s="339">
        <f t="shared" si="1"/>
        <v>0</v>
      </c>
      <c r="J40" s="339">
        <f t="shared" si="2"/>
        <v>0</v>
      </c>
      <c r="K40" s="341">
        <f>IF(D40=0,0,VLOOKUP(A40,'Mão de Obra_Base'!A:F,4,"FALSO"))</f>
        <v>0</v>
      </c>
      <c r="L40" s="342">
        <f>IF(D40=0,0,VLOOKUP(A40,'Mão de Obra_Base'!A:F,5,"FALSO"))</f>
        <v>0</v>
      </c>
      <c r="M40" s="343">
        <f>IF(D40=0,0,VLOOKUP(A40,'Mão de Obra_Base'!A:F,6,"FALSO"))</f>
        <v>0</v>
      </c>
      <c r="N40" s="34" t="str">
        <f t="shared" si="4"/>
        <v>OK</v>
      </c>
    </row>
    <row r="41" s="34" customFormat="1" hidden="1" spans="1:14">
      <c r="A41" s="333" t="s">
        <v>15717</v>
      </c>
      <c r="B41" s="338" t="str">
        <f>IF(A41="","",VLOOKUP(A41,'Mão de Obra_Base'!A:F,2,"FALSO"))</f>
        <v>Marinheiro de convés</v>
      </c>
      <c r="C41" s="337" t="str">
        <f>IF(A41="","",VLOOKUP(A41,'Mão de Obra_Base'!A:F,3,"FALSO"))</f>
        <v>h</v>
      </c>
      <c r="D41" s="339">
        <v>0</v>
      </c>
      <c r="E41" s="340">
        <v>0</v>
      </c>
      <c r="F41" s="339">
        <f t="shared" si="0"/>
        <v>0</v>
      </c>
      <c r="G41" s="340">
        <v>0</v>
      </c>
      <c r="H41" s="339">
        <f t="shared" si="3"/>
        <v>0</v>
      </c>
      <c r="I41" s="339">
        <f t="shared" si="1"/>
        <v>0</v>
      </c>
      <c r="J41" s="339">
        <f t="shared" si="2"/>
        <v>0</v>
      </c>
      <c r="K41" s="341">
        <f>IF(D41=0,0,VLOOKUP(A41,'Mão de Obra_Base'!A:F,4,"FALSO"))</f>
        <v>0</v>
      </c>
      <c r="L41" s="342">
        <f>IF(D41=0,0,VLOOKUP(A41,'Mão de Obra_Base'!A:F,5,"FALSO"))</f>
        <v>0</v>
      </c>
      <c r="M41" s="343">
        <f>IF(D41=0,0,VLOOKUP(A41,'Mão de Obra_Base'!A:F,6,"FALSO"))</f>
        <v>0</v>
      </c>
      <c r="N41" s="34" t="str">
        <f t="shared" si="4"/>
        <v>OK</v>
      </c>
    </row>
    <row r="42" s="34" customFormat="1" hidden="1" spans="1:14">
      <c r="A42" s="337" t="s">
        <v>15718</v>
      </c>
      <c r="B42" s="338" t="str">
        <f>IF(A42="","",VLOOKUP(A42,'Mão de Obra_Base'!A:F,2,"FALSO"))</f>
        <v>Marinheiro de convés - mensalista</v>
      </c>
      <c r="C42" s="337" t="str">
        <f>IF(A42="","",VLOOKUP(A42,'Mão de Obra_Base'!A:F,3,"FALSO"))</f>
        <v>mês</v>
      </c>
      <c r="D42" s="339">
        <v>0</v>
      </c>
      <c r="E42" s="340">
        <v>0</v>
      </c>
      <c r="F42" s="339">
        <f t="shared" si="0"/>
        <v>0</v>
      </c>
      <c r="G42" s="340">
        <v>0</v>
      </c>
      <c r="H42" s="339">
        <f t="shared" si="3"/>
        <v>0</v>
      </c>
      <c r="I42" s="339">
        <f t="shared" si="1"/>
        <v>0</v>
      </c>
      <c r="J42" s="339">
        <f t="shared" si="2"/>
        <v>0</v>
      </c>
      <c r="K42" s="341">
        <f>IF(D42=0,0,VLOOKUP(A42,'Mão de Obra_Base'!A:F,4,"FALSO"))</f>
        <v>0</v>
      </c>
      <c r="L42" s="342">
        <f>IF(D42=0,0,VLOOKUP(A42,'Mão de Obra_Base'!A:F,5,"FALSO"))</f>
        <v>0</v>
      </c>
      <c r="M42" s="343">
        <f>IF(D42=0,0,VLOOKUP(A42,'Mão de Obra_Base'!A:F,6,"FALSO"))</f>
        <v>0</v>
      </c>
      <c r="N42" s="34" t="str">
        <f t="shared" si="4"/>
        <v>OK</v>
      </c>
    </row>
    <row r="43" s="34" customFormat="1" spans="1:14">
      <c r="A43" s="337" t="s">
        <v>712</v>
      </c>
      <c r="B43" s="338" t="str">
        <f>IF(A43="","",VLOOKUP(A43,'Mão de Obra_Base'!A:F,2,"FALSO"))</f>
        <v>Laboratorista - mensalista</v>
      </c>
      <c r="C43" s="337" t="str">
        <f>IF(A43="","",VLOOKUP(A43,'Mão de Obra_Base'!A:F,3,"FALSO"))</f>
        <v>mês</v>
      </c>
      <c r="D43" s="339">
        <v>6826.8877</v>
      </c>
      <c r="E43" s="340">
        <v>0</v>
      </c>
      <c r="F43" s="339">
        <f t="shared" si="0"/>
        <v>6826.8877</v>
      </c>
      <c r="G43" s="340">
        <v>0</v>
      </c>
      <c r="H43" s="339">
        <f t="shared" si="3"/>
        <v>6826.8877</v>
      </c>
      <c r="I43" s="339">
        <f t="shared" si="1"/>
        <v>6826.8877</v>
      </c>
      <c r="J43" s="339">
        <f t="shared" si="2"/>
        <v>31.0313077272727</v>
      </c>
      <c r="K43" s="341">
        <f>IF(D43=0,0,VLOOKUP(A43,'Mão de Obra_Base'!A:F,4,"FALSO"))</f>
        <v>6826.8877</v>
      </c>
      <c r="L43" s="342">
        <f>IF(D43=0,0,VLOOKUP(A43,'Mão de Obra_Base'!A:F,5,"FALSO"))</f>
        <v>0</v>
      </c>
      <c r="M43" s="343">
        <f>IF(D43=0,0,VLOOKUP(A43,'Mão de Obra_Base'!A:D,4,"FALSO"))</f>
        <v>6826.8877</v>
      </c>
      <c r="N43" s="34" t="str">
        <f t="shared" si="4"/>
        <v>OK</v>
      </c>
    </row>
    <row r="44" s="34" customFormat="1" hidden="1" spans="1:14">
      <c r="A44" s="337" t="s">
        <v>15719</v>
      </c>
      <c r="B44" s="338" t="str">
        <f>IF(A44="","",VLOOKUP(A44,'Mão de Obra_Base'!A:F,2,"FALSO"))</f>
        <v>Trabalhador de via</v>
      </c>
      <c r="C44" s="337" t="str">
        <f>IF(A44="","",VLOOKUP(A44,'Mão de Obra_Base'!A:F,3,"FALSO"))</f>
        <v>h</v>
      </c>
      <c r="D44" s="339">
        <v>0</v>
      </c>
      <c r="E44" s="340">
        <v>0</v>
      </c>
      <c r="F44" s="339">
        <f t="shared" si="0"/>
        <v>0</v>
      </c>
      <c r="G44" s="340">
        <v>0</v>
      </c>
      <c r="H44" s="339">
        <f t="shared" si="3"/>
        <v>0</v>
      </c>
      <c r="I44" s="339">
        <f t="shared" si="1"/>
        <v>0</v>
      </c>
      <c r="J44" s="339">
        <f t="shared" si="2"/>
        <v>0</v>
      </c>
      <c r="K44" s="341">
        <f>IF(D44=0,0,VLOOKUP(A44,'Mão de Obra_Base'!A:F,4,"FALSO"))</f>
        <v>0</v>
      </c>
      <c r="L44" s="342">
        <f>IF(D44=0,0,VLOOKUP(A44,'Mão de Obra_Base'!A:F,5,"FALSO"))</f>
        <v>0</v>
      </c>
      <c r="M44" s="343">
        <f>IF(D44=0,0,VLOOKUP(A44,'Mão de Obra_Base'!A:F,6,"FALSO"))</f>
        <v>0</v>
      </c>
      <c r="N44" s="34" t="str">
        <f t="shared" si="4"/>
        <v>OK</v>
      </c>
    </row>
    <row r="45" s="34" customFormat="1" hidden="1" spans="1:14">
      <c r="A45" s="337" t="s">
        <v>15720</v>
      </c>
      <c r="B45" s="338" t="str">
        <f>IF(A45="","",VLOOKUP(A45,'Mão de Obra_Base'!A:F,2,"FALSO"))</f>
        <v>Selecionador de material pétreo</v>
      </c>
      <c r="C45" s="337" t="str">
        <f>IF(A45="","",VLOOKUP(A45,'Mão de Obra_Base'!A:F,3,"FALSO"))</f>
        <v>h</v>
      </c>
      <c r="D45" s="339">
        <v>0</v>
      </c>
      <c r="E45" s="340">
        <v>0</v>
      </c>
      <c r="F45" s="339">
        <f t="shared" si="0"/>
        <v>0</v>
      </c>
      <c r="G45" s="340">
        <v>0</v>
      </c>
      <c r="H45" s="339">
        <f t="shared" si="3"/>
        <v>0</v>
      </c>
      <c r="I45" s="339">
        <f t="shared" si="1"/>
        <v>0</v>
      </c>
      <c r="J45" s="339">
        <f t="shared" si="2"/>
        <v>0</v>
      </c>
      <c r="K45" s="341">
        <f>IF(D45=0,0,VLOOKUP(A45,'Mão de Obra_Base'!A:F,4,"FALSO"))</f>
        <v>0</v>
      </c>
      <c r="L45" s="342">
        <f>IF(D45=0,0,VLOOKUP(A45,'Mão de Obra_Base'!A:F,5,"FALSO"))</f>
        <v>0</v>
      </c>
      <c r="M45" s="343">
        <f>IF(D45=0,0,VLOOKUP(A45,'Mão de Obra_Base'!A:F,6,"FALSO"))</f>
        <v>0</v>
      </c>
      <c r="N45" s="34" t="str">
        <f t="shared" si="4"/>
        <v>OK</v>
      </c>
    </row>
    <row r="46" s="34" customFormat="1" hidden="1" spans="1:14">
      <c r="A46" s="337" t="s">
        <v>15721</v>
      </c>
      <c r="B46" s="338" t="str">
        <f>IF(A46="","",VLOOKUP(A46,'Mão de Obra_Base'!A:F,2,"FALSO"))</f>
        <v>Engenheiro de segurança do trabalho - mensalista</v>
      </c>
      <c r="C46" s="337" t="str">
        <f>IF(A46="","",VLOOKUP(A46,'Mão de Obra_Base'!A:F,3,"FALSO"))</f>
        <v>mês</v>
      </c>
      <c r="D46" s="339">
        <v>0</v>
      </c>
      <c r="E46" s="340">
        <v>0</v>
      </c>
      <c r="F46" s="339">
        <f t="shared" si="0"/>
        <v>0</v>
      </c>
      <c r="G46" s="340">
        <v>0</v>
      </c>
      <c r="H46" s="339">
        <f t="shared" si="3"/>
        <v>0</v>
      </c>
      <c r="I46" s="339">
        <f t="shared" si="1"/>
        <v>0</v>
      </c>
      <c r="J46" s="339">
        <f t="shared" si="2"/>
        <v>0</v>
      </c>
      <c r="K46" s="341">
        <f>IF(D46=0,0,VLOOKUP(A46,'Mão de Obra_Base'!A:F,4,"FALSO"))</f>
        <v>0</v>
      </c>
      <c r="L46" s="342">
        <f>IF(D46=0,0,VLOOKUP(A46,'Mão de Obra_Base'!A:F,5,"FALSO"))</f>
        <v>0</v>
      </c>
      <c r="M46" s="343">
        <f>IF(D46=0,0,VLOOKUP(A46,'Mão de Obra_Base'!A:F,6,"FALSO"))</f>
        <v>0</v>
      </c>
      <c r="N46" s="34" t="str">
        <f t="shared" si="4"/>
        <v>OK</v>
      </c>
    </row>
    <row r="47" s="34" customFormat="1" spans="1:14">
      <c r="A47" s="337" t="s">
        <v>15722</v>
      </c>
      <c r="B47" s="338" t="str">
        <f>IF(A47="","",VLOOKUP(A47,'Mão de Obra_Base'!A:F,2,"FALSO"))</f>
        <v>Motorista de caminhão</v>
      </c>
      <c r="C47" s="337" t="str">
        <f>IF(A47="","",VLOOKUP(A47,'Mão de Obra_Base'!A:F,3,"FALSO"))</f>
        <v>h</v>
      </c>
      <c r="D47" s="339">
        <v>31.5074</v>
      </c>
      <c r="E47" s="340">
        <v>0</v>
      </c>
      <c r="F47" s="339">
        <f t="shared" si="0"/>
        <v>31.5074</v>
      </c>
      <c r="G47" s="340">
        <v>0</v>
      </c>
      <c r="H47" s="339">
        <f t="shared" si="3"/>
        <v>31.5074</v>
      </c>
      <c r="I47" s="339">
        <f t="shared" si="1"/>
        <v>6931.628</v>
      </c>
      <c r="J47" s="339">
        <f t="shared" si="2"/>
        <v>31.5074</v>
      </c>
      <c r="K47" s="341">
        <f>IF(D47=0,0,VLOOKUP(A47,'Mão de Obra_Base'!A:F,4,"FALSO"))</f>
        <v>31.5074</v>
      </c>
      <c r="L47" s="342">
        <f>IF(D47=0,0,VLOOKUP(A47,'Mão de Obra_Base'!A:F,5,"FALSO"))</f>
        <v>0</v>
      </c>
      <c r="M47" s="343">
        <f>IF(D47=0,0,VLOOKUP(A47,'Mão de Obra_Base'!A:D,4,"FALSO"))</f>
        <v>31.5074</v>
      </c>
      <c r="N47" s="34" t="str">
        <f t="shared" si="4"/>
        <v>OK</v>
      </c>
    </row>
    <row r="48" s="34" customFormat="1" hidden="1" spans="1:14">
      <c r="A48" s="337" t="s">
        <v>15723</v>
      </c>
      <c r="B48" s="338" t="str">
        <f>IF(A48="","",VLOOKUP(A48,'Mão de Obra_Base'!A:F,2,"FALSO"))</f>
        <v>Técnico especializado - mensalista</v>
      </c>
      <c r="C48" s="337" t="str">
        <f>IF(A48="","",VLOOKUP(A48,'Mão de Obra_Base'!A:F,3,"FALSO"))</f>
        <v>mês</v>
      </c>
      <c r="D48" s="339">
        <v>0</v>
      </c>
      <c r="E48" s="340">
        <v>0</v>
      </c>
      <c r="F48" s="339">
        <f t="shared" si="0"/>
        <v>0</v>
      </c>
      <c r="G48" s="340">
        <v>0</v>
      </c>
      <c r="H48" s="339">
        <f t="shared" si="3"/>
        <v>0</v>
      </c>
      <c r="I48" s="339">
        <f t="shared" si="1"/>
        <v>0</v>
      </c>
      <c r="J48" s="339">
        <f t="shared" si="2"/>
        <v>0</v>
      </c>
      <c r="K48" s="341">
        <f>IF(D48=0,0,VLOOKUP(A48,'Mão de Obra_Base'!A:F,4,"FALSO"))</f>
        <v>0</v>
      </c>
      <c r="L48" s="342">
        <f>IF(D48=0,0,VLOOKUP(A48,'Mão de Obra_Base'!A:F,5,"FALSO"))</f>
        <v>0</v>
      </c>
      <c r="M48" s="343">
        <f>IF(D48=0,0,VLOOKUP(A48,'Mão de Obra_Base'!A:F,6,"FALSO"))</f>
        <v>0</v>
      </c>
      <c r="N48" s="34" t="str">
        <f t="shared" si="4"/>
        <v>OK</v>
      </c>
    </row>
    <row r="49" s="34" customFormat="1" spans="1:14">
      <c r="A49" s="337" t="s">
        <v>15724</v>
      </c>
      <c r="B49" s="338" t="str">
        <f>IF(A49="","",VLOOKUP(A49,'Mão de Obra_Base'!A:F,2,"FALSO"))</f>
        <v>Encarregado de obras de artes especiais - mensalista</v>
      </c>
      <c r="C49" s="337" t="str">
        <f>IF(A49="","",VLOOKUP(A49,'Mão de Obra_Base'!A:F,3,"FALSO"))</f>
        <v>mês</v>
      </c>
      <c r="D49" s="339">
        <v>9127.0568</v>
      </c>
      <c r="E49" s="340">
        <v>0</v>
      </c>
      <c r="F49" s="339">
        <f t="shared" si="0"/>
        <v>9127.0568</v>
      </c>
      <c r="G49" s="340">
        <v>0</v>
      </c>
      <c r="H49" s="339">
        <f t="shared" si="3"/>
        <v>9127.0568</v>
      </c>
      <c r="I49" s="339">
        <f t="shared" si="1"/>
        <v>9127.0568</v>
      </c>
      <c r="J49" s="339">
        <f t="shared" si="2"/>
        <v>41.4866218181818</v>
      </c>
      <c r="K49" s="341">
        <f>IF(D49=0,0,VLOOKUP(A49,'Mão de Obra_Base'!A:F,4,"FALSO"))</f>
        <v>9127.0568</v>
      </c>
      <c r="L49" s="342">
        <f>IF(D49=0,0,VLOOKUP(A49,'Mão de Obra_Base'!A:F,5,"FALSO"))</f>
        <v>0</v>
      </c>
      <c r="M49" s="343">
        <f>IF(D49=0,0,VLOOKUP(A49,'Mão de Obra_Base'!A:D,4,"FALSO"))</f>
        <v>9127.0568</v>
      </c>
      <c r="N49" s="34" t="str">
        <f t="shared" si="4"/>
        <v>OK</v>
      </c>
    </row>
    <row r="50" s="34" customFormat="1" spans="1:14">
      <c r="A50" s="337" t="s">
        <v>15725</v>
      </c>
      <c r="B50" s="338" t="str">
        <f>IF(A50="","",VLOOKUP(A50,'Mão de Obra_Base'!A:F,2,"FALSO"))</f>
        <v>Motorista de veículo leve</v>
      </c>
      <c r="C50" s="337" t="str">
        <f>IF(A50="","",VLOOKUP(A50,'Mão de Obra_Base'!A:F,3,"FALSO"))</f>
        <v>h</v>
      </c>
      <c r="D50" s="339">
        <v>32.3437</v>
      </c>
      <c r="E50" s="340">
        <v>0</v>
      </c>
      <c r="F50" s="339">
        <f t="shared" si="0"/>
        <v>32.3437</v>
      </c>
      <c r="G50" s="340">
        <v>0</v>
      </c>
      <c r="H50" s="339">
        <f t="shared" si="3"/>
        <v>32.3437</v>
      </c>
      <c r="I50" s="339">
        <f t="shared" si="1"/>
        <v>7115.614</v>
      </c>
      <c r="J50" s="339">
        <f t="shared" si="2"/>
        <v>32.3437</v>
      </c>
      <c r="K50" s="341">
        <f>IF(D50=0,0,VLOOKUP(A50,'Mão de Obra_Base'!A:F,4,"FALSO"))</f>
        <v>32.3437</v>
      </c>
      <c r="L50" s="342">
        <f>IF(D50=0,0,VLOOKUP(A50,'Mão de Obra_Base'!A:F,5,"FALSO"))</f>
        <v>0</v>
      </c>
      <c r="M50" s="343">
        <f>IF(D50=0,0,VLOOKUP(A50,'Mão de Obra_Base'!A:D,4,"FALSO"))</f>
        <v>32.3437</v>
      </c>
      <c r="N50" s="34" t="str">
        <f t="shared" si="4"/>
        <v>OK</v>
      </c>
    </row>
    <row r="51" s="34" customFormat="1" spans="1:14">
      <c r="A51" s="337" t="s">
        <v>15726</v>
      </c>
      <c r="B51" s="338" t="str">
        <f>IF(A51="","",VLOOKUP(A51,'Mão de Obra_Base'!A:F,2,"FALSO"))</f>
        <v>Motorista de veículo especial</v>
      </c>
      <c r="C51" s="337" t="str">
        <f>IF(A51="","",VLOOKUP(A51,'Mão de Obra_Base'!A:F,3,"FALSO"))</f>
        <v>h</v>
      </c>
      <c r="D51" s="339">
        <v>38.1454</v>
      </c>
      <c r="E51" s="340">
        <v>0</v>
      </c>
      <c r="F51" s="339">
        <f t="shared" si="0"/>
        <v>38.1454</v>
      </c>
      <c r="G51" s="340">
        <v>0</v>
      </c>
      <c r="H51" s="339">
        <f t="shared" si="3"/>
        <v>38.1454</v>
      </c>
      <c r="I51" s="339">
        <f t="shared" si="1"/>
        <v>8391.988</v>
      </c>
      <c r="J51" s="339">
        <f t="shared" si="2"/>
        <v>38.1454</v>
      </c>
      <c r="K51" s="341">
        <f>IF(D51=0,0,VLOOKUP(A51,'Mão de Obra_Base'!A:F,4,"FALSO"))</f>
        <v>38.1454</v>
      </c>
      <c r="L51" s="342">
        <f>IF(D51=0,0,VLOOKUP(A51,'Mão de Obra_Base'!A:F,5,"FALSO"))</f>
        <v>0</v>
      </c>
      <c r="M51" s="343">
        <f>IF(D51=0,0,VLOOKUP(A51,'Mão de Obra_Base'!A:D,4,"FALSO"))</f>
        <v>38.1454</v>
      </c>
      <c r="N51" s="34" t="str">
        <f t="shared" si="4"/>
        <v>OK</v>
      </c>
    </row>
    <row r="52" s="34" customFormat="1" spans="1:14">
      <c r="A52" s="337" t="s">
        <v>15727</v>
      </c>
      <c r="B52" s="338" t="str">
        <f>IF(A52="","",VLOOKUP(A52,'Mão de Obra_Base'!A:F,2,"FALSO"))</f>
        <v>Encarregado de turma - mensalista</v>
      </c>
      <c r="C52" s="337" t="str">
        <f>IF(A52="","",VLOOKUP(A52,'Mão de Obra_Base'!A:F,3,"FALSO"))</f>
        <v>mês</v>
      </c>
      <c r="D52" s="339">
        <v>6227.3132</v>
      </c>
      <c r="E52" s="340">
        <v>0</v>
      </c>
      <c r="F52" s="339">
        <f t="shared" si="0"/>
        <v>6227.3132</v>
      </c>
      <c r="G52" s="340">
        <v>0</v>
      </c>
      <c r="H52" s="339">
        <f t="shared" si="3"/>
        <v>6227.3132</v>
      </c>
      <c r="I52" s="339">
        <f t="shared" si="1"/>
        <v>6227.3132</v>
      </c>
      <c r="J52" s="339">
        <f t="shared" si="2"/>
        <v>28.3059690909091</v>
      </c>
      <c r="K52" s="341">
        <f>IF(D52=0,0,VLOOKUP(A52,'Mão de Obra_Base'!A:F,4,"FALSO"))</f>
        <v>6227.3132</v>
      </c>
      <c r="L52" s="342">
        <f>IF(D52=0,0,VLOOKUP(A52,'Mão de Obra_Base'!A:F,5,"FALSO"))</f>
        <v>0</v>
      </c>
      <c r="M52" s="343">
        <f>IF(D52=0,0,VLOOKUP(A52,'Mão de Obra_Base'!A:D,4,"FALSO"))</f>
        <v>6227.3132</v>
      </c>
      <c r="N52" s="34" t="str">
        <f t="shared" si="4"/>
        <v>OK</v>
      </c>
    </row>
    <row r="53" s="34" customFormat="1" spans="1:14">
      <c r="A53" s="337" t="s">
        <v>680</v>
      </c>
      <c r="B53" s="338" t="str">
        <f>IF(A53="","",VLOOKUP(A53,'Mão de Obra_Base'!A:F,2,"FALSO"))</f>
        <v>Técnico de segurança do trabalho - mensalista</v>
      </c>
      <c r="C53" s="337" t="str">
        <f>IF(A53="","",VLOOKUP(A53,'Mão de Obra_Base'!A:F,3,"FALSO"))</f>
        <v>mês</v>
      </c>
      <c r="D53" s="339">
        <v>7837.0144</v>
      </c>
      <c r="E53" s="340">
        <v>0</v>
      </c>
      <c r="F53" s="339">
        <f t="shared" si="0"/>
        <v>7837.0144</v>
      </c>
      <c r="G53" s="340">
        <v>0</v>
      </c>
      <c r="H53" s="339">
        <f t="shared" si="3"/>
        <v>7837.0144</v>
      </c>
      <c r="I53" s="339">
        <f t="shared" si="1"/>
        <v>7837.0144</v>
      </c>
      <c r="J53" s="339">
        <f t="shared" si="2"/>
        <v>35.6227927272727</v>
      </c>
      <c r="K53" s="341">
        <f>IF(D53=0,0,VLOOKUP(A53,'Mão de Obra_Base'!A:F,4,"FALSO"))</f>
        <v>7837.0144</v>
      </c>
      <c r="L53" s="342">
        <f>IF(D53=0,0,VLOOKUP(A53,'Mão de Obra_Base'!A:F,5,"FALSO"))</f>
        <v>0</v>
      </c>
      <c r="M53" s="343">
        <f>IF(D53=0,0,VLOOKUP(A53,'Mão de Obra_Base'!A:D,4,"FALSO"))</f>
        <v>7837.0144</v>
      </c>
      <c r="N53" s="34" t="str">
        <f t="shared" si="4"/>
        <v>OK</v>
      </c>
    </row>
    <row r="54" s="34" customFormat="1" hidden="1" spans="1:14">
      <c r="A54" s="337" t="s">
        <v>15728</v>
      </c>
      <c r="B54" s="338" t="str">
        <f>IF(A54="","",VLOOKUP(A54,'Mão de Obra_Base'!A:F,2,"FALSO"))</f>
        <v>Piloto fluvial - mensalista</v>
      </c>
      <c r="C54" s="337" t="str">
        <f>IF(A54="","",VLOOKUP(A54,'Mão de Obra_Base'!A:F,3,"FALSO"))</f>
        <v>mês</v>
      </c>
      <c r="D54" s="339">
        <v>0</v>
      </c>
      <c r="E54" s="340">
        <v>0</v>
      </c>
      <c r="F54" s="339">
        <f t="shared" si="0"/>
        <v>0</v>
      </c>
      <c r="G54" s="340">
        <v>0</v>
      </c>
      <c r="H54" s="339">
        <f t="shared" si="3"/>
        <v>0</v>
      </c>
      <c r="I54" s="339">
        <f t="shared" si="1"/>
        <v>0</v>
      </c>
      <c r="J54" s="339">
        <f t="shared" si="2"/>
        <v>0</v>
      </c>
      <c r="K54" s="341">
        <f>IF(D54=0,0,VLOOKUP(A54,'Mão de Obra_Base'!A:F,4,"FALSO"))</f>
        <v>0</v>
      </c>
      <c r="L54" s="342">
        <f>IF(D54=0,0,VLOOKUP(A54,'Mão de Obra_Base'!A:F,5,"FALSO"))</f>
        <v>0</v>
      </c>
      <c r="M54" s="343">
        <f>IF(D54=0,0,VLOOKUP(A54,'Mão de Obra_Base'!A:F,6,"FALSO"))</f>
        <v>0</v>
      </c>
      <c r="N54" s="34" t="str">
        <f t="shared" si="4"/>
        <v>OK</v>
      </c>
    </row>
    <row r="55" s="34" customFormat="1" hidden="1" spans="1:14">
      <c r="A55" s="333" t="s">
        <v>15729</v>
      </c>
      <c r="B55" s="338" t="str">
        <f>IF(A55="","",VLOOKUP(A55,'Mão de Obra_Base'!A:F,2,"FALSO"))</f>
        <v>Técnico especializado</v>
      </c>
      <c r="C55" s="337" t="str">
        <f>IF(A55="","",VLOOKUP(A55,'Mão de Obra_Base'!A:F,3,"FALSO"))</f>
        <v>h</v>
      </c>
      <c r="D55" s="339">
        <v>0</v>
      </c>
      <c r="E55" s="340">
        <v>0</v>
      </c>
      <c r="F55" s="339">
        <f t="shared" si="0"/>
        <v>0</v>
      </c>
      <c r="G55" s="340">
        <v>0</v>
      </c>
      <c r="H55" s="339">
        <f t="shared" si="3"/>
        <v>0</v>
      </c>
      <c r="I55" s="339">
        <f t="shared" si="1"/>
        <v>0</v>
      </c>
      <c r="J55" s="339">
        <f t="shared" si="2"/>
        <v>0</v>
      </c>
      <c r="K55" s="341">
        <f>IF(D55=0,0,VLOOKUP(A55,'Mão de Obra_Base'!A:F,4,"FALSO"))</f>
        <v>0</v>
      </c>
      <c r="L55" s="342">
        <f>IF(D55=0,0,VLOOKUP(A55,'Mão de Obra_Base'!A:F,5,"FALSO"))</f>
        <v>0</v>
      </c>
      <c r="M55" s="343">
        <f>IF(D55=0,0,VLOOKUP(A55,'Mão de Obra_Base'!A:F,6,"FALSO"))</f>
        <v>0</v>
      </c>
      <c r="N55" s="34" t="str">
        <f t="shared" si="4"/>
        <v>OK</v>
      </c>
    </row>
    <row r="56" s="34" customFormat="1" hidden="1" spans="1:14">
      <c r="A56" s="337" t="s">
        <v>15730</v>
      </c>
      <c r="B56" s="338" t="str">
        <f>IF(A56="","",VLOOKUP(A56,'Mão de Obra_Base'!A:F,2,"FALSO"))</f>
        <v>Chefe do setor administrativo - mensalista</v>
      </c>
      <c r="C56" s="337" t="str">
        <f>IF(A56="","",VLOOKUP(A56,'Mão de Obra_Base'!A:F,3,"FALSO"))</f>
        <v>mês</v>
      </c>
      <c r="D56" s="339">
        <v>0</v>
      </c>
      <c r="E56" s="340">
        <v>0</v>
      </c>
      <c r="F56" s="339">
        <f t="shared" si="0"/>
        <v>0</v>
      </c>
      <c r="G56" s="340">
        <v>0</v>
      </c>
      <c r="H56" s="339">
        <f t="shared" si="3"/>
        <v>0</v>
      </c>
      <c r="I56" s="339">
        <f t="shared" si="1"/>
        <v>0</v>
      </c>
      <c r="J56" s="339">
        <f t="shared" si="2"/>
        <v>0</v>
      </c>
      <c r="K56" s="341">
        <f>IF(D56=0,0,VLOOKUP(A56,'Mão de Obra_Base'!A:F,4,"FALSO"))</f>
        <v>0</v>
      </c>
      <c r="L56" s="342">
        <f>IF(D56=0,0,VLOOKUP(A56,'Mão de Obra_Base'!A:F,5,"FALSO"))</f>
        <v>0</v>
      </c>
      <c r="M56" s="343">
        <f>IF(D56=0,0,VLOOKUP(A56,'Mão de Obra_Base'!A:F,6,"FALSO"))</f>
        <v>0</v>
      </c>
      <c r="N56" s="34" t="str">
        <f t="shared" si="4"/>
        <v>OK</v>
      </c>
    </row>
    <row r="57" s="34" customFormat="1" hidden="1" spans="1:14">
      <c r="A57" s="337" t="s">
        <v>15731</v>
      </c>
      <c r="B57" s="338" t="str">
        <f>IF(A57="","",VLOOKUP(A57,'Mão de Obra_Base'!A:F,2,"FALSO"))</f>
        <v>Encarregado de terraplenagem - mensalista</v>
      </c>
      <c r="C57" s="337" t="str">
        <f>IF(A57="","",VLOOKUP(A57,'Mão de Obra_Base'!A:F,3,"FALSO"))</f>
        <v>mês</v>
      </c>
      <c r="D57" s="339">
        <v>0</v>
      </c>
      <c r="E57" s="340">
        <v>0</v>
      </c>
      <c r="F57" s="339">
        <f t="shared" si="0"/>
        <v>0</v>
      </c>
      <c r="G57" s="340">
        <v>0</v>
      </c>
      <c r="H57" s="339">
        <f t="shared" si="3"/>
        <v>0</v>
      </c>
      <c r="I57" s="339">
        <f t="shared" si="1"/>
        <v>0</v>
      </c>
      <c r="J57" s="339">
        <f t="shared" si="2"/>
        <v>0</v>
      </c>
      <c r="K57" s="341">
        <f>IF(D57=0,0,VLOOKUP(A57,'Mão de Obra_Base'!A:F,4,"FALSO"))</f>
        <v>0</v>
      </c>
      <c r="L57" s="342">
        <f>IF(D57=0,0,VLOOKUP(A57,'Mão de Obra_Base'!A:F,5,"FALSO"))</f>
        <v>0</v>
      </c>
      <c r="M57" s="343">
        <f>IF(D57=0,0,VLOOKUP(A57,'Mão de Obra_Base'!A:F,6,"FALSO"))</f>
        <v>0</v>
      </c>
      <c r="N57" s="34" t="str">
        <f t="shared" si="4"/>
        <v>OK</v>
      </c>
    </row>
    <row r="58" s="34" customFormat="1" hidden="1" spans="1:14">
      <c r="A58" s="337" t="s">
        <v>15732</v>
      </c>
      <c r="B58" s="338" t="str">
        <f>IF(A58="","",VLOOKUP(A58,'Mão de Obra_Base'!A:F,2,"FALSO"))</f>
        <v>Frentista de túnel</v>
      </c>
      <c r="C58" s="337" t="str">
        <f>IF(A58="","",VLOOKUP(A58,'Mão de Obra_Base'!A:F,3,"FALSO"))</f>
        <v>h</v>
      </c>
      <c r="D58" s="339">
        <v>0</v>
      </c>
      <c r="E58" s="340">
        <v>0</v>
      </c>
      <c r="F58" s="339">
        <f t="shared" si="0"/>
        <v>0</v>
      </c>
      <c r="G58" s="340">
        <v>0</v>
      </c>
      <c r="H58" s="339">
        <f t="shared" si="3"/>
        <v>0</v>
      </c>
      <c r="I58" s="339">
        <f t="shared" si="1"/>
        <v>0</v>
      </c>
      <c r="J58" s="339">
        <f t="shared" si="2"/>
        <v>0</v>
      </c>
      <c r="K58" s="341">
        <f>IF(D58=0,0,VLOOKUP(A58,'Mão de Obra_Base'!A:F,4,"FALSO"))</f>
        <v>0</v>
      </c>
      <c r="L58" s="342">
        <f>IF(D58=0,0,VLOOKUP(A58,'Mão de Obra_Base'!A:F,5,"FALSO"))</f>
        <v>0</v>
      </c>
      <c r="M58" s="343">
        <f>IF(D58=0,0,VLOOKUP(A58,'Mão de Obra_Base'!A:F,6,"FALSO"))</f>
        <v>0</v>
      </c>
      <c r="N58" s="34" t="str">
        <f t="shared" si="4"/>
        <v>OK</v>
      </c>
    </row>
    <row r="59" s="34" customFormat="1" hidden="1" spans="1:14">
      <c r="A59" s="337" t="s">
        <v>15733</v>
      </c>
      <c r="B59" s="338" t="str">
        <f>IF(A59="","",VLOOKUP(A59,'Mão de Obra_Base'!A:F,2,"FALSO"))</f>
        <v>Técnico da qualidade - mensalista</v>
      </c>
      <c r="C59" s="337" t="str">
        <f>IF(A59="","",VLOOKUP(A59,'Mão de Obra_Base'!A:F,3,"FALSO"))</f>
        <v>mês</v>
      </c>
      <c r="D59" s="339">
        <v>0</v>
      </c>
      <c r="E59" s="340">
        <v>0</v>
      </c>
      <c r="F59" s="339">
        <f t="shared" ref="F59:F95" si="5">TRUNC(D59*(1+E59),4)</f>
        <v>0</v>
      </c>
      <c r="G59" s="340">
        <v>0</v>
      </c>
      <c r="H59" s="339">
        <f t="shared" si="3"/>
        <v>0</v>
      </c>
      <c r="I59" s="339">
        <f t="shared" ref="I59:I95" si="6">IF(C59="h",H59*220,H59)</f>
        <v>0</v>
      </c>
      <c r="J59" s="339">
        <f t="shared" ref="J59:J95" si="7">IF(C59="mês",H59/220,H59)</f>
        <v>0</v>
      </c>
      <c r="K59" s="341">
        <f>IF(D59=0,0,VLOOKUP(A59,'Mão de Obra_Base'!A:F,4,"FALSO"))</f>
        <v>0</v>
      </c>
      <c r="L59" s="342">
        <f>IF(D59=0,0,VLOOKUP(A59,'Mão de Obra_Base'!A:F,5,"FALSO"))</f>
        <v>0</v>
      </c>
      <c r="M59" s="343">
        <f>IF(D59=0,0,VLOOKUP(A59,'Mão de Obra_Base'!A:F,6,"FALSO"))</f>
        <v>0</v>
      </c>
      <c r="N59" s="34" t="str">
        <f t="shared" si="4"/>
        <v>OK</v>
      </c>
    </row>
    <row r="60" s="34" customFormat="1" hidden="1" spans="1:14">
      <c r="A60" s="337" t="s">
        <v>15734</v>
      </c>
      <c r="B60" s="338" t="str">
        <f>IF(A60="","",VLOOKUP(A60,'Mão de Obra_Base'!A:F,2,"FALSO"))</f>
        <v>Auxiliar de blaster</v>
      </c>
      <c r="C60" s="337" t="str">
        <f>IF(A60="","",VLOOKUP(A60,'Mão de Obra_Base'!A:F,3,"FALSO"))</f>
        <v>h</v>
      </c>
      <c r="D60" s="339">
        <v>0</v>
      </c>
      <c r="E60" s="340">
        <v>0</v>
      </c>
      <c r="F60" s="339">
        <f t="shared" si="5"/>
        <v>0</v>
      </c>
      <c r="G60" s="340">
        <v>0</v>
      </c>
      <c r="H60" s="339">
        <f>ROUND((F60+(D60*G60)),4)</f>
        <v>0</v>
      </c>
      <c r="I60" s="339">
        <f t="shared" si="6"/>
        <v>0</v>
      </c>
      <c r="J60" s="339">
        <f t="shared" si="7"/>
        <v>0</v>
      </c>
      <c r="K60" s="341">
        <f>IF(D60=0,0,VLOOKUP(A60,'Mão de Obra_Base'!A:F,4,"FALSO"))</f>
        <v>0</v>
      </c>
      <c r="L60" s="342">
        <f>IF(D60=0,0,VLOOKUP(A60,'Mão de Obra_Base'!A:F,5,"FALSO"))</f>
        <v>0</v>
      </c>
      <c r="M60" s="343">
        <f>IF(D60=0,0,VLOOKUP(A60,'Mão de Obra_Base'!A:F,6,"FALSO"))</f>
        <v>0</v>
      </c>
      <c r="N60" s="34" t="str">
        <f t="shared" ref="N60:N95" si="8">IF(H60=M60,"OK","NÃO OK")</f>
        <v>OK</v>
      </c>
    </row>
    <row r="61" s="34" customFormat="1" hidden="1" spans="1:14">
      <c r="A61" s="337" t="s">
        <v>15735</v>
      </c>
      <c r="B61" s="338" t="str">
        <f>IF(A61="","",VLOOKUP(A61,'Mão de Obra_Base'!A:F,2,"FALSO"))</f>
        <v>Encarregado de pavimentação - mensalista</v>
      </c>
      <c r="C61" s="337" t="str">
        <f>IF(A61="","",VLOOKUP(A61,'Mão de Obra_Base'!A:F,3,"FALSO"))</f>
        <v>mês</v>
      </c>
      <c r="D61" s="339">
        <v>0</v>
      </c>
      <c r="E61" s="340">
        <v>0</v>
      </c>
      <c r="F61" s="339">
        <f t="shared" si="5"/>
        <v>0</v>
      </c>
      <c r="G61" s="340">
        <v>0</v>
      </c>
      <c r="H61" s="339">
        <f t="shared" ref="H61:H95" si="9">TRUNC((F61+(D61*G61)),4)</f>
        <v>0</v>
      </c>
      <c r="I61" s="339">
        <f t="shared" si="6"/>
        <v>0</v>
      </c>
      <c r="J61" s="339">
        <f t="shared" si="7"/>
        <v>0</v>
      </c>
      <c r="K61" s="341">
        <f>IF(D61=0,0,VLOOKUP(A61,'Mão de Obra_Base'!A:F,4,"FALSO"))</f>
        <v>0</v>
      </c>
      <c r="L61" s="342">
        <f>IF(D61=0,0,VLOOKUP(A61,'Mão de Obra_Base'!A:F,5,"FALSO"))</f>
        <v>0</v>
      </c>
      <c r="M61" s="343">
        <f>IF(D61=0,0,VLOOKUP(A61,'Mão de Obra_Base'!A:F,6,"FALSO"))</f>
        <v>0</v>
      </c>
      <c r="N61" s="34" t="str">
        <f t="shared" si="8"/>
        <v>OK</v>
      </c>
    </row>
    <row r="62" s="34" customFormat="1" hidden="1" spans="1:14">
      <c r="A62" s="337" t="s">
        <v>15736</v>
      </c>
      <c r="B62" s="338" t="str">
        <f>IF(A62="","",VLOOKUP(A62,'Mão de Obra_Base'!A:F,2,"FALSO"))</f>
        <v>Porteiro - mensalista</v>
      </c>
      <c r="C62" s="337" t="str">
        <f>IF(A62="","",VLOOKUP(A62,'Mão de Obra_Base'!A:F,3,"FALSO"))</f>
        <v>mês</v>
      </c>
      <c r="D62" s="339">
        <v>0</v>
      </c>
      <c r="E62" s="340">
        <v>0</v>
      </c>
      <c r="F62" s="339">
        <f t="shared" si="5"/>
        <v>0</v>
      </c>
      <c r="G62" s="340">
        <v>0</v>
      </c>
      <c r="H62" s="339">
        <f t="shared" si="9"/>
        <v>0</v>
      </c>
      <c r="I62" s="339">
        <f t="shared" si="6"/>
        <v>0</v>
      </c>
      <c r="J62" s="339">
        <f t="shared" si="7"/>
        <v>0</v>
      </c>
      <c r="K62" s="341">
        <f>IF(D62=0,0,VLOOKUP(A62,'Mão de Obra_Base'!A:F,4,"FALSO"))</f>
        <v>0</v>
      </c>
      <c r="L62" s="342">
        <f>IF(D62=0,0,VLOOKUP(A62,'Mão de Obra_Base'!A:F,5,"FALSO"))</f>
        <v>0</v>
      </c>
      <c r="M62" s="343">
        <f>IF(D62=0,0,VLOOKUP(A62,'Mão de Obra_Base'!A:F,6,"FALSO"))</f>
        <v>0</v>
      </c>
      <c r="N62" s="34" t="str">
        <f t="shared" si="8"/>
        <v>OK</v>
      </c>
    </row>
    <row r="63" s="34" customFormat="1" hidden="1" spans="1:14">
      <c r="A63" s="337" t="s">
        <v>15737</v>
      </c>
      <c r="B63" s="338" t="str">
        <f>IF(A63="","",VLOOKUP(A63,'Mão de Obra_Base'!A:F,2,"FALSO"))</f>
        <v>Técnico ambiental - mensalista</v>
      </c>
      <c r="C63" s="337" t="str">
        <f>IF(A63="","",VLOOKUP(A63,'Mão de Obra_Base'!A:F,3,"FALSO"))</f>
        <v>mês</v>
      </c>
      <c r="D63" s="339">
        <v>0</v>
      </c>
      <c r="E63" s="340">
        <v>0</v>
      </c>
      <c r="F63" s="339">
        <f t="shared" si="5"/>
        <v>0</v>
      </c>
      <c r="G63" s="340">
        <v>0</v>
      </c>
      <c r="H63" s="339">
        <f t="shared" si="9"/>
        <v>0</v>
      </c>
      <c r="I63" s="339">
        <f t="shared" si="6"/>
        <v>0</v>
      </c>
      <c r="J63" s="339">
        <f t="shared" si="7"/>
        <v>0</v>
      </c>
      <c r="K63" s="341">
        <f>IF(D63=0,0,VLOOKUP(A63,'Mão de Obra_Base'!A:F,4,"FALSO"))</f>
        <v>0</v>
      </c>
      <c r="L63" s="342">
        <f>IF(D63=0,0,VLOOKUP(A63,'Mão de Obra_Base'!A:F,5,"FALSO"))</f>
        <v>0</v>
      </c>
      <c r="M63" s="343">
        <f>IF(D63=0,0,VLOOKUP(A63,'Mão de Obra_Base'!A:F,6,"FALSO"))</f>
        <v>0</v>
      </c>
      <c r="N63" s="34" t="str">
        <f t="shared" si="8"/>
        <v>OK</v>
      </c>
    </row>
    <row r="64" s="34" customFormat="1" hidden="1" spans="1:14">
      <c r="A64" s="337" t="s">
        <v>15738</v>
      </c>
      <c r="B64" s="338" t="str">
        <f>IF(A64="","",VLOOKUP(A64,'Mão de Obra_Base'!A:F,2,"FALSO"))</f>
        <v>Encarregado de superestrutura ferroviária - mensalista</v>
      </c>
      <c r="C64" s="337" t="str">
        <f>IF(A64="","",VLOOKUP(A64,'Mão de Obra_Base'!A:F,3,"FALSO"))</f>
        <v>mês</v>
      </c>
      <c r="D64" s="339">
        <v>0</v>
      </c>
      <c r="E64" s="340">
        <v>0</v>
      </c>
      <c r="F64" s="339">
        <f t="shared" si="5"/>
        <v>0</v>
      </c>
      <c r="G64" s="340">
        <v>0</v>
      </c>
      <c r="H64" s="339">
        <f t="shared" si="9"/>
        <v>0</v>
      </c>
      <c r="I64" s="339">
        <f t="shared" si="6"/>
        <v>0</v>
      </c>
      <c r="J64" s="339">
        <f t="shared" si="7"/>
        <v>0</v>
      </c>
      <c r="K64" s="341">
        <f>IF(D64=0,0,VLOOKUP(A64,'Mão de Obra_Base'!A:F,4,"FALSO"))</f>
        <v>0</v>
      </c>
      <c r="L64" s="342">
        <f>IF(D64=0,0,VLOOKUP(A64,'Mão de Obra_Base'!A:F,5,"FALSO"))</f>
        <v>0</v>
      </c>
      <c r="M64" s="343">
        <f>IF(D64=0,0,VLOOKUP(A64,'Mão de Obra_Base'!A:F,6,"FALSO"))</f>
        <v>0</v>
      </c>
      <c r="N64" s="34" t="str">
        <f t="shared" si="8"/>
        <v>OK</v>
      </c>
    </row>
    <row r="65" s="34" customFormat="1" hidden="1" spans="1:14">
      <c r="A65" s="337" t="s">
        <v>15739</v>
      </c>
      <c r="B65" s="338" t="str">
        <f>IF(A65="","",VLOOKUP(A65,'Mão de Obra_Base'!A:F,2,"FALSO"))</f>
        <v>Auxiliar técnico - mensalista</v>
      </c>
      <c r="C65" s="337" t="str">
        <f>IF(A65="","",VLOOKUP(A65,'Mão de Obra_Base'!A:F,3,"FALSO"))</f>
        <v>mês</v>
      </c>
      <c r="D65" s="339">
        <v>0</v>
      </c>
      <c r="E65" s="340">
        <v>0</v>
      </c>
      <c r="F65" s="339">
        <f t="shared" si="5"/>
        <v>0</v>
      </c>
      <c r="G65" s="340">
        <v>0</v>
      </c>
      <c r="H65" s="339">
        <f t="shared" si="9"/>
        <v>0</v>
      </c>
      <c r="I65" s="339">
        <f t="shared" si="6"/>
        <v>0</v>
      </c>
      <c r="J65" s="339">
        <f t="shared" si="7"/>
        <v>0</v>
      </c>
      <c r="K65" s="341">
        <f>IF(D65=0,0,VLOOKUP(A65,'Mão de Obra_Base'!A:F,4,"FALSO"))</f>
        <v>0</v>
      </c>
      <c r="L65" s="342">
        <f>IF(D65=0,0,VLOOKUP(A65,'Mão de Obra_Base'!A:F,5,"FALSO"))</f>
        <v>0</v>
      </c>
      <c r="M65" s="343">
        <f>IF(D65=0,0,VLOOKUP(A65,'Mão de Obra_Base'!A:F,6,"FALSO"))</f>
        <v>0</v>
      </c>
      <c r="N65" s="34" t="str">
        <f t="shared" si="8"/>
        <v>OK</v>
      </c>
    </row>
    <row r="66" s="34" customFormat="1" hidden="1" spans="1:14">
      <c r="A66" s="337" t="s">
        <v>15740</v>
      </c>
      <c r="B66" s="338" t="str">
        <f>IF(A66="","",VLOOKUP(A66,'Mão de Obra_Base'!A:F,2,"FALSO"))</f>
        <v>Comandante de longo curso - mensalista</v>
      </c>
      <c r="C66" s="337" t="str">
        <f>IF(A66="","",VLOOKUP(A66,'Mão de Obra_Base'!A:F,3,"FALSO"))</f>
        <v>mês</v>
      </c>
      <c r="D66" s="339">
        <v>0</v>
      </c>
      <c r="E66" s="340">
        <v>0</v>
      </c>
      <c r="F66" s="339">
        <f t="shared" si="5"/>
        <v>0</v>
      </c>
      <c r="G66" s="340">
        <v>0</v>
      </c>
      <c r="H66" s="339">
        <f t="shared" si="9"/>
        <v>0</v>
      </c>
      <c r="I66" s="339">
        <f t="shared" si="6"/>
        <v>0</v>
      </c>
      <c r="J66" s="339">
        <f t="shared" si="7"/>
        <v>0</v>
      </c>
      <c r="K66" s="341">
        <f>IF(D66=0,0,VLOOKUP(A66,'Mão de Obra_Base'!A:F,4,"FALSO"))</f>
        <v>0</v>
      </c>
      <c r="L66" s="342">
        <f>IF(D66=0,0,VLOOKUP(A66,'Mão de Obra_Base'!A:F,5,"FALSO"))</f>
        <v>0</v>
      </c>
      <c r="M66" s="343">
        <f>IF(D66=0,0,VLOOKUP(A66,'Mão de Obra_Base'!A:F,6,"FALSO"))</f>
        <v>0</v>
      </c>
      <c r="N66" s="34" t="str">
        <f t="shared" si="8"/>
        <v>OK</v>
      </c>
    </row>
    <row r="67" s="34" customFormat="1" hidden="1" spans="1:14">
      <c r="A67" s="337" t="s">
        <v>15741</v>
      </c>
      <c r="B67" s="338" t="str">
        <f>IF(A67="","",VLOOKUP(A67,'Mão de Obra_Base'!A:F,2,"FALSO"))</f>
        <v>Imediato - mensalista</v>
      </c>
      <c r="C67" s="337" t="str">
        <f>IF(A67="","",VLOOKUP(A67,'Mão de Obra_Base'!A:F,3,"FALSO"))</f>
        <v>mês</v>
      </c>
      <c r="D67" s="339">
        <v>0</v>
      </c>
      <c r="E67" s="340">
        <v>0</v>
      </c>
      <c r="F67" s="339">
        <f t="shared" si="5"/>
        <v>0</v>
      </c>
      <c r="G67" s="340">
        <v>0</v>
      </c>
      <c r="H67" s="339">
        <f t="shared" si="9"/>
        <v>0</v>
      </c>
      <c r="I67" s="339">
        <f t="shared" si="6"/>
        <v>0</v>
      </c>
      <c r="J67" s="339">
        <f t="shared" si="7"/>
        <v>0</v>
      </c>
      <c r="K67" s="341">
        <f>IF(D67=0,0,VLOOKUP(A67,'Mão de Obra_Base'!A:F,4,"FALSO"))</f>
        <v>0</v>
      </c>
      <c r="L67" s="342">
        <f>IF(D67=0,0,VLOOKUP(A67,'Mão de Obra_Base'!A:F,5,"FALSO"))</f>
        <v>0</v>
      </c>
      <c r="M67" s="343">
        <f>IF(D67=0,0,VLOOKUP(A67,'Mão de Obra_Base'!A:F,6,"FALSO"))</f>
        <v>0</v>
      </c>
      <c r="N67" s="34" t="str">
        <f t="shared" si="8"/>
        <v>OK</v>
      </c>
    </row>
    <row r="68" s="34" customFormat="1" hidden="1" spans="1:14">
      <c r="A68" s="337" t="s">
        <v>15742</v>
      </c>
      <c r="B68" s="338" t="str">
        <f>IF(A68="","",VLOOKUP(A68,'Mão de Obra_Base'!A:F,2,"FALSO"))</f>
        <v>Oficial de náutica - mensalista</v>
      </c>
      <c r="C68" s="337" t="str">
        <f>IF(A68="","",VLOOKUP(A68,'Mão de Obra_Base'!A:F,3,"FALSO"))</f>
        <v>mês</v>
      </c>
      <c r="D68" s="339">
        <v>0</v>
      </c>
      <c r="E68" s="340">
        <v>0</v>
      </c>
      <c r="F68" s="339">
        <f t="shared" si="5"/>
        <v>0</v>
      </c>
      <c r="G68" s="340">
        <v>0</v>
      </c>
      <c r="H68" s="339">
        <f t="shared" si="9"/>
        <v>0</v>
      </c>
      <c r="I68" s="339">
        <f t="shared" si="6"/>
        <v>0</v>
      </c>
      <c r="J68" s="339">
        <f t="shared" si="7"/>
        <v>0</v>
      </c>
      <c r="K68" s="341">
        <f>IF(D68=0,0,VLOOKUP(A68,'Mão de Obra_Base'!A:F,4,"FALSO"))</f>
        <v>0</v>
      </c>
      <c r="L68" s="342">
        <f>IF(D68=0,0,VLOOKUP(A68,'Mão de Obra_Base'!A:F,5,"FALSO"))</f>
        <v>0</v>
      </c>
      <c r="M68" s="343">
        <f>IF(D68=0,0,VLOOKUP(A68,'Mão de Obra_Base'!A:F,6,"FALSO"))</f>
        <v>0</v>
      </c>
      <c r="N68" s="34" t="str">
        <f t="shared" si="8"/>
        <v>OK</v>
      </c>
    </row>
    <row r="69" s="34" customFormat="1" hidden="1" spans="1:14">
      <c r="A69" s="337" t="s">
        <v>15743</v>
      </c>
      <c r="B69" s="338" t="str">
        <f>IF(A69="","",VLOOKUP(A69,'Mão de Obra_Base'!A:F,2,"FALSO"))</f>
        <v>Oficial de máquinas - mensalista</v>
      </c>
      <c r="C69" s="337" t="str">
        <f>IF(A69="","",VLOOKUP(A69,'Mão de Obra_Base'!A:F,3,"FALSO"))</f>
        <v>mês</v>
      </c>
      <c r="D69" s="339">
        <v>0</v>
      </c>
      <c r="E69" s="340">
        <v>0</v>
      </c>
      <c r="F69" s="339">
        <f t="shared" si="5"/>
        <v>0</v>
      </c>
      <c r="G69" s="340">
        <v>0</v>
      </c>
      <c r="H69" s="339">
        <f t="shared" si="9"/>
        <v>0</v>
      </c>
      <c r="I69" s="339">
        <f t="shared" si="6"/>
        <v>0</v>
      </c>
      <c r="J69" s="339">
        <f t="shared" si="7"/>
        <v>0</v>
      </c>
      <c r="K69" s="341">
        <f>IF(D69=0,0,VLOOKUP(A69,'Mão de Obra_Base'!A:F,4,"FALSO"))</f>
        <v>0</v>
      </c>
      <c r="L69" s="342">
        <f>IF(D69=0,0,VLOOKUP(A69,'Mão de Obra_Base'!A:F,5,"FALSO"))</f>
        <v>0</v>
      </c>
      <c r="M69" s="343">
        <f>IF(D69=0,0,VLOOKUP(A69,'Mão de Obra_Base'!A:F,6,"FALSO"))</f>
        <v>0</v>
      </c>
      <c r="N69" s="34" t="str">
        <f t="shared" si="8"/>
        <v>OK</v>
      </c>
    </row>
    <row r="70" s="34" customFormat="1" hidden="1" spans="1:14">
      <c r="A70" s="337" t="s">
        <v>15744</v>
      </c>
      <c r="B70" s="338" t="str">
        <f>IF(A70="","",VLOOKUP(A70,'Mão de Obra_Base'!A:F,2,"FALSO"))</f>
        <v>Draguista - mensalista</v>
      </c>
      <c r="C70" s="337" t="str">
        <f>IF(A70="","",VLOOKUP(A70,'Mão de Obra_Base'!A:F,3,"FALSO"))</f>
        <v>mês</v>
      </c>
      <c r="D70" s="339">
        <v>0</v>
      </c>
      <c r="E70" s="340">
        <v>0</v>
      </c>
      <c r="F70" s="339">
        <f t="shared" si="5"/>
        <v>0</v>
      </c>
      <c r="G70" s="340">
        <v>0</v>
      </c>
      <c r="H70" s="339">
        <f t="shared" si="9"/>
        <v>0</v>
      </c>
      <c r="I70" s="339">
        <f t="shared" si="6"/>
        <v>0</v>
      </c>
      <c r="J70" s="339">
        <f t="shared" si="7"/>
        <v>0</v>
      </c>
      <c r="K70" s="341">
        <f>IF(D70=0,0,VLOOKUP(A70,'Mão de Obra_Base'!A:F,4,"FALSO"))</f>
        <v>0</v>
      </c>
      <c r="L70" s="342">
        <f>IF(D70=0,0,VLOOKUP(A70,'Mão de Obra_Base'!A:F,5,"FALSO"))</f>
        <v>0</v>
      </c>
      <c r="M70" s="343">
        <f>IF(D70=0,0,VLOOKUP(A70,'Mão de Obra_Base'!A:F,6,"FALSO"))</f>
        <v>0</v>
      </c>
      <c r="N70" s="34" t="str">
        <f t="shared" si="8"/>
        <v>OK</v>
      </c>
    </row>
    <row r="71" s="34" customFormat="1" hidden="1" spans="1:14">
      <c r="A71" s="337" t="s">
        <v>15745</v>
      </c>
      <c r="B71" s="338" t="str">
        <f>IF(A71="","",VLOOKUP(A71,'Mão de Obra_Base'!A:F,2,"FALSO"))</f>
        <v>Encarregado de conservação rodoviária - mensalista</v>
      </c>
      <c r="C71" s="337" t="str">
        <f>IF(A71="","",VLOOKUP(A71,'Mão de Obra_Base'!A:F,3,"FALSO"))</f>
        <v>mês</v>
      </c>
      <c r="D71" s="339">
        <v>0</v>
      </c>
      <c r="E71" s="340">
        <v>0</v>
      </c>
      <c r="F71" s="339">
        <f t="shared" si="5"/>
        <v>0</v>
      </c>
      <c r="G71" s="340">
        <v>0</v>
      </c>
      <c r="H71" s="339">
        <f t="shared" si="9"/>
        <v>0</v>
      </c>
      <c r="I71" s="339">
        <f t="shared" si="6"/>
        <v>0</v>
      </c>
      <c r="J71" s="339">
        <f t="shared" si="7"/>
        <v>0</v>
      </c>
      <c r="K71" s="341">
        <f>IF(D71=0,0,VLOOKUP(A71,'Mão de Obra_Base'!A:F,4,"FALSO"))</f>
        <v>0</v>
      </c>
      <c r="L71" s="342">
        <f>IF(D71=0,0,VLOOKUP(A71,'Mão de Obra_Base'!A:F,5,"FALSO"))</f>
        <v>0</v>
      </c>
      <c r="M71" s="343">
        <f>IF(D71=0,0,VLOOKUP(A71,'Mão de Obra_Base'!A:F,6,"FALSO"))</f>
        <v>0</v>
      </c>
      <c r="N71" s="34" t="str">
        <f t="shared" si="8"/>
        <v>OK</v>
      </c>
    </row>
    <row r="72" s="34" customFormat="1" hidden="1" spans="1:14">
      <c r="A72" s="337" t="s">
        <v>15746</v>
      </c>
      <c r="B72" s="338" t="str">
        <f>IF(A72="","",VLOOKUP(A72,'Mão de Obra_Base'!A:F,2,"FALSO"))</f>
        <v>Mestre fluvial - mensalista</v>
      </c>
      <c r="C72" s="337" t="str">
        <f>IF(A72="","",VLOOKUP(A72,'Mão de Obra_Base'!A:F,3,"FALSO"))</f>
        <v>mês</v>
      </c>
      <c r="D72" s="339">
        <v>0</v>
      </c>
      <c r="E72" s="340">
        <v>0</v>
      </c>
      <c r="F72" s="339">
        <f t="shared" si="5"/>
        <v>0</v>
      </c>
      <c r="G72" s="340">
        <v>0</v>
      </c>
      <c r="H72" s="339">
        <f t="shared" si="9"/>
        <v>0</v>
      </c>
      <c r="I72" s="339">
        <f t="shared" si="6"/>
        <v>0</v>
      </c>
      <c r="J72" s="339">
        <f t="shared" si="7"/>
        <v>0</v>
      </c>
      <c r="K72" s="341">
        <f>IF(D72=0,0,VLOOKUP(A72,'Mão de Obra_Base'!A:F,4,"FALSO"))</f>
        <v>0</v>
      </c>
      <c r="L72" s="342">
        <f>IF(D72=0,0,VLOOKUP(A72,'Mão de Obra_Base'!A:F,5,"FALSO"))</f>
        <v>0</v>
      </c>
      <c r="M72" s="343">
        <f>IF(D72=0,0,VLOOKUP(A72,'Mão de Obra_Base'!A:F,6,"FALSO"))</f>
        <v>0</v>
      </c>
      <c r="N72" s="34" t="str">
        <f t="shared" si="8"/>
        <v>OK</v>
      </c>
    </row>
    <row r="73" s="34" customFormat="1" hidden="1" spans="1:14">
      <c r="A73" s="337" t="s">
        <v>15747</v>
      </c>
      <c r="B73" s="338" t="str">
        <f>IF(A73="","",VLOOKUP(A73,'Mão de Obra_Base'!A:F,2,"FALSO"))</f>
        <v>Frentista de túnel com periculosidade</v>
      </c>
      <c r="C73" s="337" t="str">
        <f>IF(A73="","",VLOOKUP(A73,'Mão de Obra_Base'!A:F,3,"FALSO"))</f>
        <v>h</v>
      </c>
      <c r="D73" s="339">
        <v>0</v>
      </c>
      <c r="E73" s="340">
        <v>0</v>
      </c>
      <c r="F73" s="339">
        <f t="shared" si="5"/>
        <v>0</v>
      </c>
      <c r="G73" s="340">
        <v>0</v>
      </c>
      <c r="H73" s="339">
        <f t="shared" si="9"/>
        <v>0</v>
      </c>
      <c r="I73" s="339">
        <f t="shared" si="6"/>
        <v>0</v>
      </c>
      <c r="J73" s="339">
        <f t="shared" si="7"/>
        <v>0</v>
      </c>
      <c r="K73" s="341">
        <f>IF(D73=0,0,VLOOKUP(A73,'Mão de Obra_Base'!A:F,4,"FALSO"))</f>
        <v>0</v>
      </c>
      <c r="L73" s="342">
        <f>IF(D73=0,0,VLOOKUP(A73,'Mão de Obra_Base'!A:F,5,"FALSO"))</f>
        <v>0</v>
      </c>
      <c r="M73" s="343">
        <f>IF(D73=0,0,VLOOKUP(A73,'Mão de Obra_Base'!A:F,6,"FALSO"))</f>
        <v>0</v>
      </c>
      <c r="N73" s="34" t="str">
        <f t="shared" si="8"/>
        <v>OK</v>
      </c>
    </row>
    <row r="74" s="34" customFormat="1" hidden="1" spans="1:14">
      <c r="A74" s="337" t="s">
        <v>15748</v>
      </c>
      <c r="B74" s="338" t="str">
        <f>IF(A74="","",VLOOKUP(A74,'Mão de Obra_Base'!A:F,2,"FALSO"))</f>
        <v>Eletricista com periculosidade</v>
      </c>
      <c r="C74" s="337" t="str">
        <f>IF(A74="","",VLOOKUP(A74,'Mão de Obra_Base'!A:F,3,"FALSO"))</f>
        <v>h</v>
      </c>
      <c r="D74" s="339">
        <v>0</v>
      </c>
      <c r="E74" s="340">
        <v>0</v>
      </c>
      <c r="F74" s="339">
        <f t="shared" si="5"/>
        <v>0</v>
      </c>
      <c r="G74" s="340">
        <v>0</v>
      </c>
      <c r="H74" s="339">
        <f t="shared" si="9"/>
        <v>0</v>
      </c>
      <c r="I74" s="339">
        <f t="shared" si="6"/>
        <v>0</v>
      </c>
      <c r="J74" s="339">
        <f t="shared" si="7"/>
        <v>0</v>
      </c>
      <c r="K74" s="341">
        <f>IF(D74=0,0,VLOOKUP(A74,'Mão de Obra_Base'!A:F,4,"FALSO"))</f>
        <v>0</v>
      </c>
      <c r="L74" s="342">
        <f>IF(D74=0,0,VLOOKUP(A74,'Mão de Obra_Base'!A:F,5,"FALSO"))</f>
        <v>0</v>
      </c>
      <c r="M74" s="343">
        <f>IF(D74=0,0,VLOOKUP(A74,'Mão de Obra_Base'!A:F,6,"FALSO"))</f>
        <v>0</v>
      </c>
      <c r="N74" s="34" t="str">
        <f t="shared" si="8"/>
        <v>OK</v>
      </c>
    </row>
    <row r="75" s="34" customFormat="1" hidden="1" spans="1:14">
      <c r="A75" s="337" t="s">
        <v>15749</v>
      </c>
      <c r="B75" s="338" t="str">
        <f>IF(A75="","",VLOOKUP(A75,'Mão de Obra_Base'!A:F,2,"FALSO"))</f>
        <v>Operador de equipamento pesado com periculosidade</v>
      </c>
      <c r="C75" s="337" t="str">
        <f>IF(A75="","",VLOOKUP(A75,'Mão de Obra_Base'!A:F,3,"FALSO"))</f>
        <v>h</v>
      </c>
      <c r="D75" s="339">
        <v>0</v>
      </c>
      <c r="E75" s="340">
        <v>0</v>
      </c>
      <c r="F75" s="339">
        <f t="shared" si="5"/>
        <v>0</v>
      </c>
      <c r="G75" s="340">
        <v>0</v>
      </c>
      <c r="H75" s="339">
        <f t="shared" si="9"/>
        <v>0</v>
      </c>
      <c r="I75" s="339">
        <f t="shared" si="6"/>
        <v>0</v>
      </c>
      <c r="J75" s="339">
        <f t="shared" si="7"/>
        <v>0</v>
      </c>
      <c r="K75" s="341">
        <f>IF(D75=0,0,VLOOKUP(A75,'Mão de Obra_Base'!A:F,4,"FALSO"))</f>
        <v>0</v>
      </c>
      <c r="L75" s="342">
        <f>IF(D75=0,0,VLOOKUP(A75,'Mão de Obra_Base'!A:F,5,"FALSO"))</f>
        <v>0</v>
      </c>
      <c r="M75" s="343">
        <f>IF(D75=0,0,VLOOKUP(A75,'Mão de Obra_Base'!A:F,6,"FALSO"))</f>
        <v>0</v>
      </c>
      <c r="N75" s="34" t="str">
        <f t="shared" si="8"/>
        <v>OK</v>
      </c>
    </row>
    <row r="76" s="34" customFormat="1" hidden="1" spans="1:14">
      <c r="A76" s="337" t="s">
        <v>15750</v>
      </c>
      <c r="B76" s="338" t="str">
        <f>IF(A76="","",VLOOKUP(A76,'Mão de Obra_Base'!A:F,2,"FALSO"))</f>
        <v>Motorista de veículo especial com periculosidade</v>
      </c>
      <c r="C76" s="337" t="str">
        <f>IF(A76="","",VLOOKUP(A76,'Mão de Obra_Base'!A:F,3,"FALSO"))</f>
        <v>h</v>
      </c>
      <c r="D76" s="339">
        <v>0</v>
      </c>
      <c r="E76" s="340">
        <v>0</v>
      </c>
      <c r="F76" s="339">
        <f t="shared" si="5"/>
        <v>0</v>
      </c>
      <c r="G76" s="340">
        <v>0</v>
      </c>
      <c r="H76" s="339">
        <f t="shared" si="9"/>
        <v>0</v>
      </c>
      <c r="I76" s="339">
        <f t="shared" si="6"/>
        <v>0</v>
      </c>
      <c r="J76" s="339">
        <f t="shared" si="7"/>
        <v>0</v>
      </c>
      <c r="K76" s="341">
        <f>IF(D76=0,0,VLOOKUP(A76,'Mão de Obra_Base'!A:F,4,"FALSO"))</f>
        <v>0</v>
      </c>
      <c r="L76" s="342">
        <f>IF(D76=0,0,VLOOKUP(A76,'Mão de Obra_Base'!A:F,5,"FALSO"))</f>
        <v>0</v>
      </c>
      <c r="M76" s="343">
        <f>IF(D76=0,0,VLOOKUP(A76,'Mão de Obra_Base'!A:F,6,"FALSO"))</f>
        <v>0</v>
      </c>
      <c r="N76" s="34" t="str">
        <f t="shared" si="8"/>
        <v>OK</v>
      </c>
    </row>
    <row r="77" s="34" customFormat="1" hidden="1" spans="1:14">
      <c r="A77" s="337" t="s">
        <v>15751</v>
      </c>
      <c r="B77" s="338" t="str">
        <f>IF(A77="","",VLOOKUP(A77,'Mão de Obra_Base'!A:F,2,"FALSO"))</f>
        <v>Operador de equipamento leve com periculosidade</v>
      </c>
      <c r="C77" s="337" t="str">
        <f>IF(A77="","",VLOOKUP(A77,'Mão de Obra_Base'!A:F,3,"FALSO"))</f>
        <v>h</v>
      </c>
      <c r="D77" s="339">
        <v>0</v>
      </c>
      <c r="E77" s="340">
        <v>0</v>
      </c>
      <c r="F77" s="339">
        <f t="shared" si="5"/>
        <v>0</v>
      </c>
      <c r="G77" s="340">
        <v>0</v>
      </c>
      <c r="H77" s="339">
        <f t="shared" si="9"/>
        <v>0</v>
      </c>
      <c r="I77" s="339">
        <f t="shared" si="6"/>
        <v>0</v>
      </c>
      <c r="J77" s="339">
        <f t="shared" si="7"/>
        <v>0</v>
      </c>
      <c r="K77" s="341">
        <f>IF(D77=0,0,VLOOKUP(A77,'Mão de Obra_Base'!A:F,4,"FALSO"))</f>
        <v>0</v>
      </c>
      <c r="L77" s="342">
        <f>IF(D77=0,0,VLOOKUP(A77,'Mão de Obra_Base'!A:F,5,"FALSO"))</f>
        <v>0</v>
      </c>
      <c r="M77" s="343">
        <f>IF(D77=0,0,VLOOKUP(A77,'Mão de Obra_Base'!A:F,6,"FALSO"))</f>
        <v>0</v>
      </c>
      <c r="N77" s="34" t="str">
        <f t="shared" si="8"/>
        <v>OK</v>
      </c>
    </row>
    <row r="78" s="34" customFormat="1" hidden="1" spans="1:14">
      <c r="A78" s="337" t="s">
        <v>15752</v>
      </c>
      <c r="B78" s="338" t="str">
        <f>IF(A78="","",VLOOKUP(A78,'Mão de Obra_Base'!A:F,2,"FALSO"))</f>
        <v>Operador de equipamento leve com insalubridade</v>
      </c>
      <c r="C78" s="337" t="str">
        <f>IF(A78="","",VLOOKUP(A78,'Mão de Obra_Base'!A:F,3,"FALSO"))</f>
        <v>h</v>
      </c>
      <c r="D78" s="339">
        <v>0</v>
      </c>
      <c r="E78" s="340">
        <v>0</v>
      </c>
      <c r="F78" s="339">
        <f t="shared" si="5"/>
        <v>0</v>
      </c>
      <c r="G78" s="340">
        <v>0</v>
      </c>
      <c r="H78" s="339">
        <f t="shared" si="9"/>
        <v>0</v>
      </c>
      <c r="I78" s="339">
        <f t="shared" si="6"/>
        <v>0</v>
      </c>
      <c r="J78" s="339">
        <f t="shared" si="7"/>
        <v>0</v>
      </c>
      <c r="K78" s="341">
        <f>IF(D78=0,0,VLOOKUP(A78,'Mão de Obra_Base'!A:F,4,"FALSO"))</f>
        <v>0</v>
      </c>
      <c r="L78" s="342">
        <f>IF(D78=0,0,VLOOKUP(A78,'Mão de Obra_Base'!A:F,5,"FALSO"))</f>
        <v>0</v>
      </c>
      <c r="M78" s="343">
        <f>IF(D78=0,0,VLOOKUP(A78,'Mão de Obra_Base'!A:F,6,"FALSO"))</f>
        <v>0</v>
      </c>
      <c r="N78" s="34" t="str">
        <f t="shared" si="8"/>
        <v>OK</v>
      </c>
    </row>
    <row r="79" s="34" customFormat="1" hidden="1" spans="1:14">
      <c r="A79" s="337" t="s">
        <v>15753</v>
      </c>
      <c r="B79" s="338" t="str">
        <f>IF(A79="","",VLOOKUP(A79,'Mão de Obra_Base'!A:F,2,"FALSO"))</f>
        <v>Marinheiro de convés com periculosidade</v>
      </c>
      <c r="C79" s="337" t="str">
        <f>IF(A79="","",VLOOKUP(A79,'Mão de Obra_Base'!A:F,3,"FALSO"))</f>
        <v>h</v>
      </c>
      <c r="D79" s="339">
        <v>0</v>
      </c>
      <c r="E79" s="340">
        <v>0</v>
      </c>
      <c r="F79" s="339">
        <f t="shared" si="5"/>
        <v>0</v>
      </c>
      <c r="G79" s="340">
        <v>0</v>
      </c>
      <c r="H79" s="339">
        <f t="shared" si="9"/>
        <v>0</v>
      </c>
      <c r="I79" s="339">
        <f t="shared" si="6"/>
        <v>0</v>
      </c>
      <c r="J79" s="339">
        <f t="shared" si="7"/>
        <v>0</v>
      </c>
      <c r="K79" s="341">
        <f>IF(D79=0,0,VLOOKUP(A79,'Mão de Obra_Base'!A:F,4,"FALSO"))</f>
        <v>0</v>
      </c>
      <c r="L79" s="342">
        <f>IF(D79=0,0,VLOOKUP(A79,'Mão de Obra_Base'!A:F,5,"FALSO"))</f>
        <v>0</v>
      </c>
      <c r="M79" s="343">
        <f>IF(D79=0,0,VLOOKUP(A79,'Mão de Obra_Base'!A:F,6,"FALSO"))</f>
        <v>0</v>
      </c>
      <c r="N79" s="34" t="str">
        <f t="shared" si="8"/>
        <v>OK</v>
      </c>
    </row>
    <row r="80" s="34" customFormat="1" hidden="1" spans="1:14">
      <c r="A80" s="337" t="s">
        <v>15754</v>
      </c>
      <c r="B80" s="338" t="str">
        <f>IF(A80="","",VLOOKUP(A80,'Mão de Obra_Base'!A:F,2,"FALSO"))</f>
        <v>Operador de equipamento especial com periculosidade</v>
      </c>
      <c r="C80" s="337" t="str">
        <f>IF(A80="","",VLOOKUP(A80,'Mão de Obra_Base'!A:F,3,"FALSO"))</f>
        <v>h</v>
      </c>
      <c r="D80" s="339">
        <v>0</v>
      </c>
      <c r="E80" s="340">
        <v>0</v>
      </c>
      <c r="F80" s="339">
        <f t="shared" si="5"/>
        <v>0</v>
      </c>
      <c r="G80" s="340">
        <v>0</v>
      </c>
      <c r="H80" s="339">
        <f t="shared" si="9"/>
        <v>0</v>
      </c>
      <c r="I80" s="339">
        <f t="shared" si="6"/>
        <v>0</v>
      </c>
      <c r="J80" s="339">
        <f t="shared" si="7"/>
        <v>0</v>
      </c>
      <c r="K80" s="341">
        <f>IF(D80=0,0,VLOOKUP(A80,'Mão de Obra_Base'!A:F,4,"FALSO"))</f>
        <v>0</v>
      </c>
      <c r="L80" s="342">
        <f>IF(D80=0,0,VLOOKUP(A80,'Mão de Obra_Base'!A:F,5,"FALSO"))</f>
        <v>0</v>
      </c>
      <c r="M80" s="343">
        <f>IF(D80=0,0,VLOOKUP(A80,'Mão de Obra_Base'!A:F,6,"FALSO"))</f>
        <v>0</v>
      </c>
      <c r="N80" s="34" t="str">
        <f t="shared" si="8"/>
        <v>OK</v>
      </c>
    </row>
    <row r="81" s="34" customFormat="1" hidden="1" spans="1:14">
      <c r="A81" s="337" t="s">
        <v>15755</v>
      </c>
      <c r="B81" s="338" t="str">
        <f>IF(A81="","",VLOOKUP(A81,'Mão de Obra_Base'!A:F,2,"FALSO"))</f>
        <v>Engenheiro auxiliar - mensalista</v>
      </c>
      <c r="C81" s="337" t="str">
        <f>IF(A81="","",VLOOKUP(A81,'Mão de Obra_Base'!A:F,3,"FALSO"))</f>
        <v>mês</v>
      </c>
      <c r="D81" s="339">
        <v>0</v>
      </c>
      <c r="E81" s="340">
        <v>0</v>
      </c>
      <c r="F81" s="339">
        <f t="shared" si="5"/>
        <v>0</v>
      </c>
      <c r="G81" s="340">
        <v>0</v>
      </c>
      <c r="H81" s="339">
        <f t="shared" si="9"/>
        <v>0</v>
      </c>
      <c r="I81" s="339">
        <f t="shared" si="6"/>
        <v>0</v>
      </c>
      <c r="J81" s="339">
        <f t="shared" si="7"/>
        <v>0</v>
      </c>
      <c r="K81" s="341">
        <f>IF(D81=0,0,VLOOKUP(A81,'Mão de Obra_Base'!A:F,4,"FALSO"))</f>
        <v>0</v>
      </c>
      <c r="L81" s="342">
        <f>IF(D81=0,0,VLOOKUP(A81,'Mão de Obra_Base'!A:F,5,"FALSO"))</f>
        <v>0</v>
      </c>
      <c r="M81" s="343">
        <f>IF(D81=0,0,VLOOKUP(A81,'Mão de Obra_Base'!A:F,6,"FALSO"))</f>
        <v>0</v>
      </c>
      <c r="N81" s="34" t="str">
        <f t="shared" si="8"/>
        <v>OK</v>
      </c>
    </row>
    <row r="82" s="34" customFormat="1" spans="1:14">
      <c r="A82" s="337" t="s">
        <v>15756</v>
      </c>
      <c r="B82" s="338" t="str">
        <f>IF(A82="","",VLOOKUP(A82,'Mão de Obra_Base'!A:F,2,"FALSO"))</f>
        <v>Técnico florestal - mensalista</v>
      </c>
      <c r="C82" s="337" t="str">
        <f>IF(A82="","",VLOOKUP(A82,'Mão de Obra_Base'!A:F,3,"FALSO"))</f>
        <v>mês</v>
      </c>
      <c r="D82" s="339">
        <v>8253.172</v>
      </c>
      <c r="E82" s="340">
        <v>0</v>
      </c>
      <c r="F82" s="339">
        <f t="shared" si="5"/>
        <v>8253.172</v>
      </c>
      <c r="G82" s="340">
        <v>0</v>
      </c>
      <c r="H82" s="339">
        <f t="shared" si="9"/>
        <v>8253.172</v>
      </c>
      <c r="I82" s="339">
        <f t="shared" si="6"/>
        <v>8253.172</v>
      </c>
      <c r="J82" s="339">
        <f t="shared" si="7"/>
        <v>37.5144181818182</v>
      </c>
      <c r="K82" s="341">
        <f>IF(D82=0,0,VLOOKUP(A82,'Mão de Obra_Base'!A:F,4,"FALSO"))</f>
        <v>8253.172</v>
      </c>
      <c r="L82" s="342">
        <f>IF(D82=0,0,VLOOKUP(A82,'Mão de Obra_Base'!A:F,5,"FALSO"))</f>
        <v>0</v>
      </c>
      <c r="M82" s="343">
        <f>IF(D82=0,0,VLOOKUP(A82,'Mão de Obra_Base'!A:D,4,"FALSO"))</f>
        <v>8253.172</v>
      </c>
      <c r="N82" s="34" t="str">
        <f t="shared" si="8"/>
        <v>OK</v>
      </c>
    </row>
    <row r="83" s="34" customFormat="1" hidden="1" spans="1:14">
      <c r="A83" s="337" t="s">
        <v>15757</v>
      </c>
      <c r="B83" s="338" t="str">
        <f>IF(A83="","",VLOOKUP(A83,'Mão de Obra_Base'!A:F,2,"FALSO"))</f>
        <v>Motorista de veículo leve - mensalista</v>
      </c>
      <c r="C83" s="337" t="str">
        <f>IF(A83="","",VLOOKUP(A83,'Mão de Obra_Base'!A:F,3,"FALSO"))</f>
        <v>mês</v>
      </c>
      <c r="D83" s="339">
        <v>0</v>
      </c>
      <c r="E83" s="340">
        <v>0</v>
      </c>
      <c r="F83" s="339">
        <f t="shared" si="5"/>
        <v>0</v>
      </c>
      <c r="G83" s="340">
        <v>0</v>
      </c>
      <c r="H83" s="339">
        <f t="shared" si="9"/>
        <v>0</v>
      </c>
      <c r="I83" s="339">
        <f t="shared" si="6"/>
        <v>0</v>
      </c>
      <c r="J83" s="339">
        <f t="shared" si="7"/>
        <v>0</v>
      </c>
      <c r="K83" s="341">
        <f>IF(D83=0,0,VLOOKUP(A83,'Mão de Obra_Base'!A:F,4,"FALSO"))</f>
        <v>0</v>
      </c>
      <c r="L83" s="342">
        <f>IF(D83=0,0,VLOOKUP(A83,'Mão de Obra_Base'!A:F,5,"FALSO"))</f>
        <v>0</v>
      </c>
      <c r="M83" s="343">
        <f>IF(D83=0,0,VLOOKUP(A83,'Mão de Obra_Base'!A:F,6,"FALSO"))</f>
        <v>0</v>
      </c>
      <c r="N83" s="34" t="str">
        <f t="shared" si="8"/>
        <v>OK</v>
      </c>
    </row>
    <row r="84" s="34" customFormat="1" spans="1:14">
      <c r="A84" s="337" t="s">
        <v>706</v>
      </c>
      <c r="B84" s="338" t="str">
        <f>IF(A84="","",VLOOKUP(A84,'Mão de Obra_Base'!A:F,2,"FALSO"))</f>
        <v>Topógrafo - mensalista</v>
      </c>
      <c r="C84" s="337" t="str">
        <f>IF(A84="","",VLOOKUP(A84,'Mão de Obra_Base'!A:F,3,"FALSO"))</f>
        <v>mês</v>
      </c>
      <c r="D84" s="339">
        <v>6856.2644</v>
      </c>
      <c r="E84" s="340">
        <v>0</v>
      </c>
      <c r="F84" s="339">
        <f t="shared" si="5"/>
        <v>6856.2644</v>
      </c>
      <c r="G84" s="340">
        <v>0</v>
      </c>
      <c r="H84" s="339">
        <f t="shared" si="9"/>
        <v>6856.2644</v>
      </c>
      <c r="I84" s="339">
        <f t="shared" si="6"/>
        <v>6856.2644</v>
      </c>
      <c r="J84" s="339">
        <f t="shared" si="7"/>
        <v>31.1648381818182</v>
      </c>
      <c r="K84" s="341">
        <f>IF(D84=0,0,VLOOKUP(A84,'Mão de Obra_Base'!A:F,4,"FALSO"))</f>
        <v>6856.2644</v>
      </c>
      <c r="L84" s="342">
        <f>IF(D84=0,0,VLOOKUP(A84,'Mão de Obra_Base'!A:F,5,"FALSO"))</f>
        <v>0</v>
      </c>
      <c r="M84" s="343">
        <f>IF(D84=0,0,VLOOKUP(A84,'Mão de Obra_Base'!A:D,4,"FALSO"))</f>
        <v>6856.2644</v>
      </c>
      <c r="N84" s="34" t="str">
        <f t="shared" si="8"/>
        <v>OK</v>
      </c>
    </row>
    <row r="85" s="34" customFormat="1" spans="1:14">
      <c r="A85" s="337" t="s">
        <v>701</v>
      </c>
      <c r="B85" s="338" t="str">
        <f>IF(A85="","",VLOOKUP(A85,'Mão de Obra_Base'!A:F,2,"FALSO"))</f>
        <v>Auxiliar de topografia - mensalista</v>
      </c>
      <c r="C85" s="337" t="str">
        <f>IF(A85="","",VLOOKUP(A85,'Mão de Obra_Base'!A:F,3,"FALSO"))</f>
        <v>mês</v>
      </c>
      <c r="D85" s="339">
        <v>5471.4009</v>
      </c>
      <c r="E85" s="340">
        <v>0</v>
      </c>
      <c r="F85" s="339">
        <f t="shared" si="5"/>
        <v>5471.4009</v>
      </c>
      <c r="G85" s="340">
        <v>0</v>
      </c>
      <c r="H85" s="339">
        <f t="shared" si="9"/>
        <v>5471.4009</v>
      </c>
      <c r="I85" s="339">
        <f t="shared" si="6"/>
        <v>5471.4009</v>
      </c>
      <c r="J85" s="339">
        <f t="shared" si="7"/>
        <v>24.8700040909091</v>
      </c>
      <c r="K85" s="341">
        <f>IF(D85=0,0,VLOOKUP(A85,'Mão de Obra_Base'!A:F,4,"FALSO"))</f>
        <v>5471.4009</v>
      </c>
      <c r="L85" s="342">
        <f>IF(D85=0,0,VLOOKUP(A85,'Mão de Obra_Base'!A:F,5,"FALSO"))</f>
        <v>0</v>
      </c>
      <c r="M85" s="343">
        <f>IF(D85=0,0,VLOOKUP(A85,'Mão de Obra_Base'!A:D,4,"FALSO"))</f>
        <v>5471.4009</v>
      </c>
      <c r="N85" s="34" t="str">
        <f t="shared" si="8"/>
        <v>OK</v>
      </c>
    </row>
    <row r="86" s="34" customFormat="1" hidden="1" spans="1:14">
      <c r="A86" s="337" t="s">
        <v>15758</v>
      </c>
      <c r="B86" s="338" t="str">
        <f>IF(A86="","",VLOOKUP(A86,'Mão de Obra_Base'!A:F,2,"FALSO"))</f>
        <v>Médico de câmara hiperbárica - mensalista</v>
      </c>
      <c r="C86" s="337" t="str">
        <f>IF(A86="","",VLOOKUP(A86,'Mão de Obra_Base'!A:F,3,"FALSO"))</f>
        <v>mês</v>
      </c>
      <c r="D86" s="339">
        <v>0</v>
      </c>
      <c r="E86" s="340">
        <v>0</v>
      </c>
      <c r="F86" s="339">
        <f t="shared" si="5"/>
        <v>0</v>
      </c>
      <c r="G86" s="340">
        <v>0</v>
      </c>
      <c r="H86" s="339">
        <f t="shared" si="9"/>
        <v>0</v>
      </c>
      <c r="I86" s="339">
        <f t="shared" si="6"/>
        <v>0</v>
      </c>
      <c r="J86" s="339">
        <f t="shared" si="7"/>
        <v>0</v>
      </c>
      <c r="K86" s="341">
        <f>IF(D86=0,0,VLOOKUP(A86,'Mão de Obra_Base'!A:F,4,"FALSO"))</f>
        <v>0</v>
      </c>
      <c r="L86" s="342">
        <f>IF(D86=0,0,VLOOKUP(A86,'Mão de Obra_Base'!A:F,5,"FALSO"))</f>
        <v>0</v>
      </c>
      <c r="M86" s="343">
        <f>IF(D86=0,0,VLOOKUP(A86,'Mão de Obra_Base'!A:F,6,"FALSO"))</f>
        <v>0</v>
      </c>
      <c r="N86" s="34" t="str">
        <f t="shared" si="8"/>
        <v>OK</v>
      </c>
    </row>
    <row r="87" s="34" customFormat="1" spans="1:14">
      <c r="A87" s="337" t="s">
        <v>903</v>
      </c>
      <c r="B87" s="338" t="str">
        <f>IF(A87="","",VLOOKUP(A87,'Mão de Obra_Base'!A:F,2,"FALSO"))</f>
        <v>Pedreiro - mensalista</v>
      </c>
      <c r="C87" s="337" t="str">
        <f>IF(A87="","",VLOOKUP(A87,'Mão de Obra_Base'!A:F,3,"FALSO"))</f>
        <v>mês</v>
      </c>
      <c r="D87" s="339">
        <v>5463.7457</v>
      </c>
      <c r="E87" s="340">
        <v>0</v>
      </c>
      <c r="F87" s="339">
        <f t="shared" si="5"/>
        <v>5463.7457</v>
      </c>
      <c r="G87" s="340">
        <v>0</v>
      </c>
      <c r="H87" s="339">
        <f t="shared" si="9"/>
        <v>5463.7457</v>
      </c>
      <c r="I87" s="339">
        <f t="shared" si="6"/>
        <v>5463.7457</v>
      </c>
      <c r="J87" s="339">
        <f t="shared" si="7"/>
        <v>24.8352077272727</v>
      </c>
      <c r="K87" s="341">
        <f>IF(D87=0,0,VLOOKUP(A87,'Mão de Obra_Base'!A:F,4,"FALSO"))</f>
        <v>5463.7457</v>
      </c>
      <c r="L87" s="342">
        <f>IF(D87=0,0,VLOOKUP(A87,'Mão de Obra_Base'!A:F,5,"FALSO"))</f>
        <v>0</v>
      </c>
      <c r="M87" s="343">
        <f>IF(D87=0,0,VLOOKUP(A87,'Mão de Obra_Base'!A:D,4,"FALSO"))</f>
        <v>5463.7457</v>
      </c>
      <c r="N87" s="34" t="str">
        <f t="shared" si="8"/>
        <v>OK</v>
      </c>
    </row>
    <row r="88" s="34" customFormat="1" spans="1:14">
      <c r="A88" s="337" t="s">
        <v>905</v>
      </c>
      <c r="B88" s="338" t="str">
        <f>IF(A88="","",VLOOKUP(A88,'Mão de Obra_Base'!A:F,2,"FALSO"))</f>
        <v>Eletricista - mensalista</v>
      </c>
      <c r="C88" s="337" t="str">
        <f>IF(A88="","",VLOOKUP(A88,'Mão de Obra_Base'!A:F,3,"FALSO"))</f>
        <v>mês</v>
      </c>
      <c r="D88" s="339">
        <v>6366.2823</v>
      </c>
      <c r="E88" s="340">
        <v>0</v>
      </c>
      <c r="F88" s="339">
        <f t="shared" si="5"/>
        <v>6366.2823</v>
      </c>
      <c r="G88" s="340">
        <v>0</v>
      </c>
      <c r="H88" s="339">
        <f t="shared" si="9"/>
        <v>6366.2823</v>
      </c>
      <c r="I88" s="339">
        <f t="shared" si="6"/>
        <v>6366.2823</v>
      </c>
      <c r="J88" s="339">
        <f t="shared" si="7"/>
        <v>28.9376468181818</v>
      </c>
      <c r="K88" s="341">
        <f>IF(D88=0,0,VLOOKUP(A88,'Mão de Obra_Base'!A:F,4,"FALSO"))</f>
        <v>6366.2823</v>
      </c>
      <c r="L88" s="342">
        <f>IF(D88=0,0,VLOOKUP(A88,'Mão de Obra_Base'!A:F,5,"FALSO"))</f>
        <v>0</v>
      </c>
      <c r="M88" s="343">
        <f>IF(D88=0,0,VLOOKUP(A88,'Mão de Obra_Base'!A:D,4,"FALSO"))</f>
        <v>6366.2823</v>
      </c>
      <c r="N88" s="34" t="str">
        <f t="shared" si="8"/>
        <v>OK</v>
      </c>
    </row>
    <row r="89" s="34" customFormat="1" spans="1:14">
      <c r="A89" s="337" t="s">
        <v>904</v>
      </c>
      <c r="B89" s="338" t="str">
        <f>IF(A89="","",VLOOKUP(A89,'Mão de Obra_Base'!A:F,2,"FALSO"))</f>
        <v>Servente - mensalista</v>
      </c>
      <c r="C89" s="337" t="str">
        <f>IF(A89="","",VLOOKUP(A89,'Mão de Obra_Base'!A:F,3,"FALSO"))</f>
        <v>mês</v>
      </c>
      <c r="D89" s="339">
        <v>4355.1438</v>
      </c>
      <c r="E89" s="340">
        <v>0</v>
      </c>
      <c r="F89" s="339">
        <f t="shared" si="5"/>
        <v>4355.1438</v>
      </c>
      <c r="G89" s="340">
        <v>0</v>
      </c>
      <c r="H89" s="339">
        <f t="shared" si="9"/>
        <v>4355.1438</v>
      </c>
      <c r="I89" s="339">
        <f t="shared" si="6"/>
        <v>4355.1438</v>
      </c>
      <c r="J89" s="339">
        <f t="shared" si="7"/>
        <v>19.7961081818182</v>
      </c>
      <c r="K89" s="341">
        <f>IF(D89=0,0,VLOOKUP(A89,'Mão de Obra_Base'!A:F,4,"FALSO"))</f>
        <v>4355.1438</v>
      </c>
      <c r="L89" s="342">
        <f>IF(D89=0,0,VLOOKUP(A89,'Mão de Obra_Base'!A:F,5,"FALSO"))</f>
        <v>0</v>
      </c>
      <c r="M89" s="343">
        <f>IF(D89=0,0,VLOOKUP(A89,'Mão de Obra_Base'!A:D,4,"FALSO"))</f>
        <v>4355.1438</v>
      </c>
      <c r="N89" s="34" t="str">
        <f t="shared" si="8"/>
        <v>OK</v>
      </c>
    </row>
    <row r="90" s="34" customFormat="1" hidden="1" spans="1:14">
      <c r="A90" s="337" t="s">
        <v>15759</v>
      </c>
      <c r="B90" s="338" t="str">
        <f>IF(A90="","",VLOOKUP(A90,'Mão de Obra_Base'!A:F,2,"FALSO"))</f>
        <v>Engenheiro chefe - mensalista</v>
      </c>
      <c r="C90" s="337" t="str">
        <f>IF(A90="","",VLOOKUP(A90,'Mão de Obra_Base'!A:F,3,"FALSO"))</f>
        <v>mês</v>
      </c>
      <c r="D90" s="339">
        <v>0</v>
      </c>
      <c r="E90" s="340">
        <v>0</v>
      </c>
      <c r="F90" s="339">
        <f t="shared" si="5"/>
        <v>0</v>
      </c>
      <c r="G90" s="340">
        <v>0</v>
      </c>
      <c r="H90" s="339">
        <f t="shared" si="9"/>
        <v>0</v>
      </c>
      <c r="I90" s="339">
        <f t="shared" si="6"/>
        <v>0</v>
      </c>
      <c r="J90" s="339">
        <f t="shared" si="7"/>
        <v>0</v>
      </c>
      <c r="K90" s="341">
        <f>IF(D90=0,0,VLOOKUP(A90,'Mão de Obra_Base'!A:F,4,"FALSO"))</f>
        <v>0</v>
      </c>
      <c r="L90" s="342">
        <f>IF(D90=0,0,VLOOKUP(A90,'Mão de Obra_Base'!A:F,5,"FALSO"))</f>
        <v>0</v>
      </c>
      <c r="M90" s="343">
        <f>IF(D90=0,0,VLOOKUP(A90,'Mão de Obra_Base'!A:F,6,"FALSO"))</f>
        <v>0</v>
      </c>
      <c r="N90" s="34" t="str">
        <f t="shared" si="8"/>
        <v>OK</v>
      </c>
    </row>
    <row r="91" s="34" customFormat="1" hidden="1" spans="1:14">
      <c r="A91" s="337" t="s">
        <v>15760</v>
      </c>
      <c r="B91" s="338" t="str">
        <f>IF(A91="","",VLOOKUP(A91,'Mão de Obra_Base'!A:F,2,"FALSO"))</f>
        <v>Motorista de caminhão com periculosidade</v>
      </c>
      <c r="C91" s="337" t="str">
        <f>IF(A91="","",VLOOKUP(A91,'Mão de Obra_Base'!A:F,3,"FALSO"))</f>
        <v>h</v>
      </c>
      <c r="D91" s="339">
        <v>0</v>
      </c>
      <c r="E91" s="340">
        <v>0</v>
      </c>
      <c r="F91" s="339">
        <f t="shared" si="5"/>
        <v>0</v>
      </c>
      <c r="G91" s="340">
        <v>0</v>
      </c>
      <c r="H91" s="339">
        <f t="shared" si="9"/>
        <v>0</v>
      </c>
      <c r="I91" s="339">
        <f t="shared" si="6"/>
        <v>0</v>
      </c>
      <c r="J91" s="339">
        <f t="shared" si="7"/>
        <v>0</v>
      </c>
      <c r="K91" s="341">
        <f>IF(D91=0,0,VLOOKUP(A91,'Mão de Obra_Base'!A:F,4,"FALSO"))</f>
        <v>0</v>
      </c>
      <c r="L91" s="342">
        <f>IF(D91=0,0,VLOOKUP(A91,'Mão de Obra_Base'!A:F,5,"FALSO"))</f>
        <v>0</v>
      </c>
      <c r="M91" s="343">
        <f>IF(D91=0,0,VLOOKUP(A91,'Mão de Obra_Base'!A:F,6,"FALSO"))</f>
        <v>0</v>
      </c>
      <c r="N91" s="34" t="str">
        <f t="shared" si="8"/>
        <v>OK</v>
      </c>
    </row>
    <row r="92" s="34" customFormat="1" hidden="1" spans="1:14">
      <c r="A92" s="337" t="s">
        <v>15761</v>
      </c>
      <c r="B92" s="338" t="str">
        <f>IF(A92="","",VLOOKUP(A92,'Mão de Obra_Base'!A:F,2,"FALSO"))</f>
        <v>Técnico de batimetria - mensalista</v>
      </c>
      <c r="C92" s="337" t="str">
        <f>IF(A92="","",VLOOKUP(A92,'Mão de Obra_Base'!A:F,3,"FALSO"))</f>
        <v>mês</v>
      </c>
      <c r="D92" s="339">
        <v>0</v>
      </c>
      <c r="E92" s="340">
        <v>0</v>
      </c>
      <c r="F92" s="339">
        <f t="shared" si="5"/>
        <v>0</v>
      </c>
      <c r="G92" s="340">
        <v>0</v>
      </c>
      <c r="H92" s="339">
        <f t="shared" si="9"/>
        <v>0</v>
      </c>
      <c r="I92" s="339">
        <f t="shared" si="6"/>
        <v>0</v>
      </c>
      <c r="J92" s="339">
        <f t="shared" si="7"/>
        <v>0</v>
      </c>
      <c r="K92" s="341">
        <f>IF(D92=0,0,VLOOKUP(A92,'Mão de Obra_Base'!A:F,4,"FALSO"))</f>
        <v>0</v>
      </c>
      <c r="L92" s="342">
        <f>IF(D92=0,0,VLOOKUP(A92,'Mão de Obra_Base'!A:F,5,"FALSO"))</f>
        <v>0</v>
      </c>
      <c r="M92" s="343">
        <f>IF(D92=0,0,VLOOKUP(A92,'Mão de Obra_Base'!A:F,6,"FALSO"))</f>
        <v>0</v>
      </c>
      <c r="N92" s="34" t="str">
        <f t="shared" si="8"/>
        <v>OK</v>
      </c>
    </row>
    <row r="93" spans="1:14">
      <c r="A93" s="334" t="s">
        <v>15762</v>
      </c>
      <c r="B93" s="334" t="s">
        <v>15763</v>
      </c>
      <c r="C93" s="333" t="s">
        <v>104</v>
      </c>
      <c r="D93" s="339">
        <v>30.21</v>
      </c>
      <c r="E93" s="340">
        <v>0</v>
      </c>
      <c r="F93" s="339">
        <f t="shared" si="5"/>
        <v>30.21</v>
      </c>
      <c r="G93" s="340">
        <v>0</v>
      </c>
      <c r="H93" s="339">
        <f t="shared" si="9"/>
        <v>30.21</v>
      </c>
      <c r="I93" s="339">
        <f t="shared" si="6"/>
        <v>6646.2</v>
      </c>
      <c r="J93" s="339">
        <f t="shared" si="7"/>
        <v>30.21</v>
      </c>
      <c r="K93" s="341">
        <v>30.21</v>
      </c>
      <c r="L93" s="342">
        <v>0</v>
      </c>
      <c r="M93" s="343">
        <v>30.21</v>
      </c>
      <c r="N93" s="34" t="str">
        <f t="shared" si="8"/>
        <v>OK</v>
      </c>
    </row>
    <row r="94" spans="1:14">
      <c r="A94" s="334" t="s">
        <v>930</v>
      </c>
      <c r="B94" s="334" t="s">
        <v>931</v>
      </c>
      <c r="C94" s="333" t="s">
        <v>104</v>
      </c>
      <c r="D94" s="339">
        <v>22.76</v>
      </c>
      <c r="E94" s="340">
        <v>0</v>
      </c>
      <c r="F94" s="339">
        <f t="shared" si="5"/>
        <v>22.76</v>
      </c>
      <c r="G94" s="340">
        <v>0</v>
      </c>
      <c r="H94" s="339">
        <f t="shared" si="9"/>
        <v>22.76</v>
      </c>
      <c r="I94" s="339">
        <f t="shared" si="6"/>
        <v>5007.2</v>
      </c>
      <c r="J94" s="339">
        <f t="shared" si="7"/>
        <v>22.76</v>
      </c>
      <c r="K94" s="341">
        <v>22.76</v>
      </c>
      <c r="L94" s="342">
        <v>0</v>
      </c>
      <c r="M94" s="343">
        <v>22.76</v>
      </c>
      <c r="N94" s="34" t="str">
        <f t="shared" si="8"/>
        <v>OK</v>
      </c>
    </row>
    <row r="95" spans="1:14">
      <c r="A95" s="334" t="s">
        <v>933</v>
      </c>
      <c r="B95" s="334" t="s">
        <v>934</v>
      </c>
      <c r="C95" s="333" t="s">
        <v>104</v>
      </c>
      <c r="D95" s="339">
        <v>27.74</v>
      </c>
      <c r="E95" s="340">
        <v>0</v>
      </c>
      <c r="F95" s="339">
        <f t="shared" si="5"/>
        <v>27.74</v>
      </c>
      <c r="G95" s="340">
        <v>0</v>
      </c>
      <c r="H95" s="339">
        <f t="shared" si="9"/>
        <v>27.74</v>
      </c>
      <c r="I95" s="339">
        <f t="shared" si="6"/>
        <v>6102.8</v>
      </c>
      <c r="J95" s="339">
        <f t="shared" si="7"/>
        <v>27.74</v>
      </c>
      <c r="K95" s="341">
        <v>27.74</v>
      </c>
      <c r="L95" s="342">
        <v>0</v>
      </c>
      <c r="M95" s="343">
        <v>27.74</v>
      </c>
      <c r="N95" s="34" t="str">
        <f t="shared" si="8"/>
        <v>OK</v>
      </c>
    </row>
  </sheetData>
  <autoFilter xmlns:etc="http://www.wps.cn/officeDocument/2017/etCustomData" ref="A4:N95" etc:filterBottomFollowUsedRange="0">
    <filterColumn colId="7">
      <filters>
        <filter val="22,7600"/>
        <filter val="27,7400"/>
        <filter val="30,2100"/>
        <filter val="8.253,1720"/>
        <filter val="26,0801"/>
        <filter val="34,4784"/>
        <filter val="7.837,0144"/>
        <filter val="6.856,2644"/>
        <filter val="34,5245"/>
        <filter val="27.716,9937"/>
        <filter val="4.355,1438"/>
        <filter val="26,2149"/>
        <filter val="5.471,4009"/>
        <filter val="29,6171"/>
        <filter val="30,5371"/>
        <filter val="4.915,5662"/>
        <filter val="35,4472"/>
        <filter val="31,5074"/>
        <filter val="5.166,5025"/>
        <filter val="6.826,8877"/>
        <filter val="32,3437"/>
        <filter val="9.127,0568"/>
        <filter val="36,0063"/>
        <filter val="5.363,3214"/>
        <filter val="23,6025"/>
        <filter val="29,9425"/>
        <filter val="41,7726"/>
        <filter val="13.397,7296"/>
        <filter val="35,4528"/>
        <filter val="6.227,3132"/>
        <filter val="6.366,2823"/>
        <filter val="35,4794"/>
        <filter val="38,1454"/>
        <filter val="4.316,6725"/>
        <filter val="5.149,5287"/>
        <filter val="5.463,7457"/>
      </filters>
    </filterColumn>
    <extLst/>
  </autoFilter>
  <conditionalFormatting sqref="G5:G95">
    <cfRule type="cellIs" dxfId="1" priority="13" operator="greaterThan">
      <formula>0</formula>
    </cfRule>
  </conditionalFormatting>
  <conditionalFormatting sqref="D5:E95">
    <cfRule type="cellIs" dxfId="2" priority="1" operator="greaterThan">
      <formula>0</formula>
    </cfRule>
  </conditionalFormatting>
  <printOptions horizontalCentered="1"/>
  <pageMargins left="0.393700787401575" right="0.393700787401575" top="0.393700787401575" bottom="0.590551181102362" header="0" footer="0.196850393700787"/>
  <pageSetup paperSize="9" orientation="portrait"/>
  <headerFooter>
    <oddFooter>&amp;L&amp;G&amp;R&amp;9Projeto Executivo de Engenharia, Estudos e
Orçamentos para a Construção de Ponte Rodoviária
em Concreto Armado - Rodovia Vicinal</oddFooter>
  </headerFooter>
  <drawing r:id="rId1"/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>
    <tabColor rgb="FF0070C0"/>
    <pageSetUpPr fitToPage="1"/>
  </sheetPr>
  <dimension ref="A4:N367"/>
  <sheetViews>
    <sheetView showGridLines="0" view="pageBreakPreview" zoomScaleNormal="100" workbookViewId="0">
      <selection activeCell="A1" sqref="A1"/>
    </sheetView>
  </sheetViews>
  <sheetFormatPr defaultColWidth="9.1047619047619" defaultRowHeight="15"/>
  <cols>
    <col min="1" max="1" width="11.6666666666667" style="317" customWidth="1"/>
    <col min="2" max="2" width="79.552380952381" style="318" customWidth="1"/>
    <col min="3" max="3" width="20.552380952381" style="319" hidden="1" customWidth="1"/>
    <col min="4" max="7" width="12.6666666666667" style="319" hidden="1" customWidth="1"/>
    <col min="8" max="9" width="12.6666666666667" style="318" hidden="1" customWidth="1"/>
    <col min="10" max="10" width="14.552380952381" style="320" customWidth="1"/>
    <col min="11" max="11" width="16.1047619047619" style="320" customWidth="1"/>
    <col min="12" max="13" width="14.552380952381" style="318" hidden="1" customWidth="1"/>
    <col min="14" max="14" width="14.8857142857143" style="318" customWidth="1"/>
    <col min="15" max="16384" width="9.1047619047619" style="318"/>
  </cols>
  <sheetData>
    <row r="4" ht="45" spans="1:13">
      <c r="A4" s="321" t="s">
        <v>55</v>
      </c>
      <c r="B4" s="321" t="s">
        <v>56</v>
      </c>
      <c r="C4" s="322" t="s">
        <v>15764</v>
      </c>
      <c r="D4" s="322" t="s">
        <v>15765</v>
      </c>
      <c r="E4" s="322" t="s">
        <v>15766</v>
      </c>
      <c r="F4" s="322" t="s">
        <v>15767</v>
      </c>
      <c r="G4" s="322" t="s">
        <v>15768</v>
      </c>
      <c r="H4" s="322" t="s">
        <v>15769</v>
      </c>
      <c r="I4" s="322" t="s">
        <v>15770</v>
      </c>
      <c r="J4" s="323" t="s">
        <v>15771</v>
      </c>
      <c r="K4" s="323" t="s">
        <v>15772</v>
      </c>
      <c r="L4" s="323" t="s">
        <v>15771</v>
      </c>
      <c r="M4" s="323" t="s">
        <v>15772</v>
      </c>
    </row>
    <row r="5" s="316" customFormat="1" ht="30" hidden="1" spans="1:13">
      <c r="A5" s="324" t="s">
        <v>15773</v>
      </c>
      <c r="B5" s="325" t="str">
        <f>IF(A5="","",VLOOKUP(A5,Equipamentos_base!A:K,2,"FALSO"))</f>
        <v>Conjunto vibratório para tubos de concreto com encaixe PB e 3 jogos de fôrmas - D = 0,60 m - 2,20 kW</v>
      </c>
      <c r="C5" s="326">
        <f>IF(A5="","",VLOOKUP(A5,Equipamentos_base!A:K,3,"FALSO"))</f>
        <v>73733.7043</v>
      </c>
      <c r="D5" s="326">
        <f>IF(A5="","",VLOOKUP(A5,Equipamentos_base!A:K,4,"FALSO"))</f>
        <v>9.8312</v>
      </c>
      <c r="E5" s="326">
        <f>IF(A5="","",VLOOKUP(A5,Equipamentos_base!A:K,5,"FALSO"))</f>
        <v>1.5165</v>
      </c>
      <c r="F5" s="326">
        <f>IF(A5="","",VLOOKUP(A5,Equipamentos_base!A:K,6,"FALSO"))</f>
        <v>0</v>
      </c>
      <c r="G5" s="326">
        <f>IF(A5="","",VLOOKUP(A5,Equipamentos_base!A:K,7,"FALSO"))</f>
        <v>7.3734</v>
      </c>
      <c r="H5" s="326">
        <f>IF(A5="","",VLOOKUP(A5,Equipamentos_base!A:K,8,"FALSO"))</f>
        <v>0</v>
      </c>
      <c r="I5" s="326">
        <f>IF(A5="","",VLOOKUP(A5,Equipamentos_base!A:K,9,"FALSO"))</f>
        <v>0</v>
      </c>
      <c r="J5" s="327" t="s">
        <v>932</v>
      </c>
      <c r="K5" s="327" t="s">
        <v>932</v>
      </c>
      <c r="L5" s="316" t="str">
        <f>IF(J5="","",VLOOKUP(A5,Equipamentos_base!A:K,10,"FALSO"))</f>
        <v/>
      </c>
      <c r="M5" s="316" t="str">
        <f>IF(J5="","",VLOOKUP(A5,Equipamentos_base!A:K,11,"FALSO"))</f>
        <v/>
      </c>
    </row>
    <row r="6" s="316" customFormat="1" ht="30" hidden="1" spans="1:13">
      <c r="A6" s="324" t="s">
        <v>15774</v>
      </c>
      <c r="B6" s="325" t="str">
        <f>IF(A6="","",VLOOKUP(A6,Equipamentos_base!A:K,2,"FALSO"))</f>
        <v>Conjunto vibratório para tubos de concreto com encaixe PB e 3 jogos de fôrmas - D = 0,80 m - 2,20 kW</v>
      </c>
      <c r="C6" s="326">
        <f>IF(A6="","",VLOOKUP(A6,Equipamentos_base!A:K,3,"FALSO"))</f>
        <v>96981.2309</v>
      </c>
      <c r="D6" s="326">
        <f>IF(A6="","",VLOOKUP(A6,Equipamentos_base!A:K,4,"FALSO"))</f>
        <v>12.9308</v>
      </c>
      <c r="E6" s="326">
        <f>IF(A6="","",VLOOKUP(A6,Equipamentos_base!A:K,5,"FALSO"))</f>
        <v>1.9946</v>
      </c>
      <c r="F6" s="326">
        <f>IF(A6="","",VLOOKUP(A6,Equipamentos_base!A:K,6,"FALSO"))</f>
        <v>0</v>
      </c>
      <c r="G6" s="326">
        <f>IF(A6="","",VLOOKUP(A6,Equipamentos_base!A:K,7,"FALSO"))</f>
        <v>9.6981</v>
      </c>
      <c r="H6" s="326">
        <f>IF(A6="","",VLOOKUP(A6,Equipamentos_base!A:K,8,"FALSO"))</f>
        <v>0</v>
      </c>
      <c r="I6" s="326">
        <f>IF(A6="","",VLOOKUP(A6,Equipamentos_base!A:K,9,"FALSO"))</f>
        <v>0</v>
      </c>
      <c r="J6" s="327" t="s">
        <v>932</v>
      </c>
      <c r="K6" s="327" t="s">
        <v>932</v>
      </c>
      <c r="L6" s="316" t="str">
        <f>IF(J6="","",VLOOKUP(A6,Equipamentos_base!A:K,10,"FALSO"))</f>
        <v/>
      </c>
      <c r="M6" s="316" t="str">
        <f>IF(J6="","",VLOOKUP(A6,Equipamentos_base!A:K,11,"FALSO"))</f>
        <v/>
      </c>
    </row>
    <row r="7" s="316" customFormat="1" ht="30" hidden="1" spans="1:13">
      <c r="A7" s="324" t="s">
        <v>15775</v>
      </c>
      <c r="B7" s="325" t="str">
        <f>IF(A7="","",VLOOKUP(A7,Equipamentos_base!A:K,2,"FALSO"))</f>
        <v>Conjunto vibratório para tubos de concreto com encaixe PB e 3 jogos de fôrmas - D = 1,00 m - 2,20 kW</v>
      </c>
      <c r="C7" s="326">
        <f>IF(A7="","",VLOOKUP(A7,Equipamentos_base!A:K,3,"FALSO"))</f>
        <v>101395.1775</v>
      </c>
      <c r="D7" s="326">
        <f>IF(A7="","",VLOOKUP(A7,Equipamentos_base!A:K,4,"FALSO"))</f>
        <v>13.5194</v>
      </c>
      <c r="E7" s="326">
        <f>IF(A7="","",VLOOKUP(A7,Equipamentos_base!A:K,5,"FALSO"))</f>
        <v>2.0854</v>
      </c>
      <c r="F7" s="326">
        <f>IF(A7="","",VLOOKUP(A7,Equipamentos_base!A:K,6,"FALSO"))</f>
        <v>0</v>
      </c>
      <c r="G7" s="326">
        <f>IF(A7="","",VLOOKUP(A7,Equipamentos_base!A:K,7,"FALSO"))</f>
        <v>10.1395</v>
      </c>
      <c r="H7" s="326">
        <f>IF(A7="","",VLOOKUP(A7,Equipamentos_base!A:K,8,"FALSO"))</f>
        <v>0</v>
      </c>
      <c r="I7" s="326">
        <f>IF(A7="","",VLOOKUP(A7,Equipamentos_base!A:K,9,"FALSO"))</f>
        <v>0</v>
      </c>
      <c r="J7" s="327" t="s">
        <v>932</v>
      </c>
      <c r="K7" s="327" t="s">
        <v>932</v>
      </c>
      <c r="L7" s="316" t="str">
        <f>IF(J7="","",VLOOKUP(A7,Equipamentos_base!A:K,10,"FALSO"))</f>
        <v/>
      </c>
      <c r="M7" s="316" t="str">
        <f>IF(J7="","",VLOOKUP(A7,Equipamentos_base!A:K,11,"FALSO"))</f>
        <v/>
      </c>
    </row>
    <row r="8" s="316" customFormat="1" ht="30" hidden="1" spans="1:13">
      <c r="A8" s="324" t="s">
        <v>15776</v>
      </c>
      <c r="B8" s="325" t="str">
        <f>IF(A8="","",VLOOKUP(A8,Equipamentos_base!A:K,2,"FALSO"))</f>
        <v>Conjunto vibratório para tubos de concreto com encaixe PB e 3 jogos de fôrmas - D = 1,20 m - 2,20 kW</v>
      </c>
      <c r="C8" s="326">
        <f>IF(A8="","",VLOOKUP(A8,Equipamentos_base!A:K,3,"FALSO"))</f>
        <v>128108.3259</v>
      </c>
      <c r="D8" s="326">
        <f>IF(A8="","",VLOOKUP(A8,Equipamentos_base!A:K,4,"FALSO"))</f>
        <v>17.0811</v>
      </c>
      <c r="E8" s="326">
        <f>IF(A8="","",VLOOKUP(A8,Equipamentos_base!A:K,5,"FALSO"))</f>
        <v>2.6348</v>
      </c>
      <c r="F8" s="326">
        <f>IF(A8="","",VLOOKUP(A8,Equipamentos_base!A:K,6,"FALSO"))</f>
        <v>0</v>
      </c>
      <c r="G8" s="326">
        <f>IF(A8="","",VLOOKUP(A8,Equipamentos_base!A:K,7,"FALSO"))</f>
        <v>12.8108</v>
      </c>
      <c r="H8" s="326">
        <f>IF(A8="","",VLOOKUP(A8,Equipamentos_base!A:K,8,"FALSO"))</f>
        <v>0</v>
      </c>
      <c r="I8" s="326">
        <f>IF(A8="","",VLOOKUP(A8,Equipamentos_base!A:K,9,"FALSO"))</f>
        <v>0</v>
      </c>
      <c r="J8" s="327" t="s">
        <v>932</v>
      </c>
      <c r="K8" s="327" t="s">
        <v>932</v>
      </c>
      <c r="L8" s="316" t="str">
        <f>IF(J8="","",VLOOKUP(A8,Equipamentos_base!A:K,10,"FALSO"))</f>
        <v/>
      </c>
      <c r="M8" s="316" t="str">
        <f>IF(J8="","",VLOOKUP(A8,Equipamentos_base!A:K,11,"FALSO"))</f>
        <v/>
      </c>
    </row>
    <row r="9" s="316" customFormat="1" ht="30" hidden="1" spans="1:13">
      <c r="A9" s="324" t="s">
        <v>15777</v>
      </c>
      <c r="B9" s="325" t="str">
        <f>IF(A9="","",VLOOKUP(A9,Equipamentos_base!A:K,2,"FALSO"))</f>
        <v>Conjunto vibratório para tubos de concreto com encaixe PB e 3 jogos de fôrmas - D = 1,50 m - 2,20 kW</v>
      </c>
      <c r="C9" s="326">
        <f>IF(A9="","",VLOOKUP(A9,Equipamentos_base!A:K,3,"FALSO"))</f>
        <v>151341.0013</v>
      </c>
      <c r="D9" s="326">
        <f>IF(A9="","",VLOOKUP(A9,Equipamentos_base!A:K,4,"FALSO"))</f>
        <v>20.1788</v>
      </c>
      <c r="E9" s="326">
        <f>IF(A9="","",VLOOKUP(A9,Equipamentos_base!A:K,5,"FALSO"))</f>
        <v>3.1126</v>
      </c>
      <c r="F9" s="326">
        <f>IF(A9="","",VLOOKUP(A9,Equipamentos_base!A:K,6,"FALSO"))</f>
        <v>0</v>
      </c>
      <c r="G9" s="326">
        <f>IF(A9="","",VLOOKUP(A9,Equipamentos_base!A:K,7,"FALSO"))</f>
        <v>15.1341</v>
      </c>
      <c r="H9" s="326">
        <f>IF(A9="","",VLOOKUP(A9,Equipamentos_base!A:K,8,"FALSO"))</f>
        <v>0</v>
      </c>
      <c r="I9" s="326">
        <f>IF(A9="","",VLOOKUP(A9,Equipamentos_base!A:K,9,"FALSO"))</f>
        <v>0</v>
      </c>
      <c r="J9" s="327" t="s">
        <v>932</v>
      </c>
      <c r="K9" s="327" t="s">
        <v>932</v>
      </c>
      <c r="L9" s="316" t="str">
        <f>IF(J9="","",VLOOKUP(A9,Equipamentos_base!A:K,10,"FALSO"))</f>
        <v/>
      </c>
      <c r="M9" s="316" t="str">
        <f>IF(J9="","",VLOOKUP(A9,Equipamentos_base!A:K,11,"FALSO"))</f>
        <v/>
      </c>
    </row>
    <row r="10" s="316" customFormat="1" hidden="1" spans="1:13">
      <c r="A10" s="324" t="s">
        <v>15778</v>
      </c>
      <c r="B10" s="325" t="str">
        <f>IF(A10="","",VLOOKUP(A10,Equipamentos_base!A:K,2,"FALSO"))</f>
        <v>Equipamento para sondagem manual</v>
      </c>
      <c r="C10" s="326">
        <f>IF(A10="","",VLOOKUP(A10,Equipamentos_base!A:K,3,"FALSO"))</f>
        <v>5335.5951</v>
      </c>
      <c r="D10" s="326">
        <f>IF(A10="","",VLOOKUP(A10,Equipamentos_base!A:K,4,"FALSO"))</f>
        <v>0.9071</v>
      </c>
      <c r="E10" s="326">
        <f>IF(A10="","",VLOOKUP(A10,Equipamentos_base!A:K,5,"FALSO"))</f>
        <v>0.1152</v>
      </c>
      <c r="F10" s="326">
        <f>IF(A10="","",VLOOKUP(A10,Equipamentos_base!A:K,6,"FALSO"))</f>
        <v>0</v>
      </c>
      <c r="G10" s="326">
        <f>IF(A10="","",VLOOKUP(A10,Equipamentos_base!A:K,7,"FALSO"))</f>
        <v>0.5336</v>
      </c>
      <c r="H10" s="326">
        <f>IF(A10="","",VLOOKUP(A10,Equipamentos_base!A:K,8,"FALSO"))</f>
        <v>0</v>
      </c>
      <c r="I10" s="326">
        <f>IF(A10="","",VLOOKUP(A10,Equipamentos_base!A:K,9,"FALSO"))</f>
        <v>0</v>
      </c>
      <c r="J10" s="327" t="s">
        <v>932</v>
      </c>
      <c r="K10" s="327" t="s">
        <v>932</v>
      </c>
      <c r="L10" s="316" t="str">
        <f>IF(J10="","",VLOOKUP(A10,Equipamentos_base!A:K,10,"FALSO"))</f>
        <v/>
      </c>
      <c r="M10" s="316" t="str">
        <f>IF(J10="","",VLOOKUP(A10,Equipamentos_base!A:K,11,"FALSO"))</f>
        <v/>
      </c>
    </row>
    <row r="11" s="316" customFormat="1" hidden="1" spans="1:13">
      <c r="A11" s="324" t="s">
        <v>15779</v>
      </c>
      <c r="B11" s="325" t="str">
        <f>IF(A11="","",VLOOKUP(A11,Equipamentos_base!A:K,2,"FALSO"))</f>
        <v>Bomba de pistão triplex com capacidade de 7,80 m³/h (130 l/min) - 8,20 kW</v>
      </c>
      <c r="C11" s="326">
        <f>IF(A11="","",VLOOKUP(A11,Equipamentos_base!A:K,3,"FALSO"))</f>
        <v>167858.9058</v>
      </c>
      <c r="D11" s="326">
        <f>IF(A11="","",VLOOKUP(A11,Equipamentos_base!A:K,4,"FALSO"))</f>
        <v>16.7859</v>
      </c>
      <c r="E11" s="326">
        <f>IF(A11="","",VLOOKUP(A11,Equipamentos_base!A:K,5,"FALSO"))</f>
        <v>3.2365</v>
      </c>
      <c r="F11" s="326">
        <f>IF(A11="","",VLOOKUP(A11,Equipamentos_base!A:K,6,"FALSO"))</f>
        <v>0</v>
      </c>
      <c r="G11" s="326">
        <f>IF(A11="","",VLOOKUP(A11,Equipamentos_base!A:K,7,"FALSO"))</f>
        <v>14.6877</v>
      </c>
      <c r="H11" s="326">
        <f>IF(A11="","",VLOOKUP(A11,Equipamentos_base!A:K,8,"FALSO"))</f>
        <v>8.6313</v>
      </c>
      <c r="I11" s="326">
        <f>IF(A11="","",VLOOKUP(A11,Equipamentos_base!A:K,9,"FALSO"))</f>
        <v>0</v>
      </c>
      <c r="J11" s="327" t="s">
        <v>932</v>
      </c>
      <c r="K11" s="327" t="s">
        <v>932</v>
      </c>
      <c r="L11" s="316" t="str">
        <f>IF(J11="","",VLOOKUP(A11,Equipamentos_base!A:K,10,"FALSO"))</f>
        <v/>
      </c>
      <c r="M11" s="316" t="str">
        <f>IF(J11="","",VLOOKUP(A11,Equipamentos_base!A:K,11,"FALSO"))</f>
        <v/>
      </c>
    </row>
    <row r="12" s="316" customFormat="1" hidden="1" spans="1:13">
      <c r="A12" s="324" t="s">
        <v>15780</v>
      </c>
      <c r="B12" s="325" t="str">
        <f>IF(A12="","",VLOOKUP(A12,Equipamentos_base!A:K,2,"FALSO"))</f>
        <v>Transportador manual de tubos de concreto com capacidade de 1 t</v>
      </c>
      <c r="C12" s="326">
        <f>IF(A12="","",VLOOKUP(A12,Equipamentos_base!A:K,3,"FALSO"))</f>
        <v>1599.4504</v>
      </c>
      <c r="D12" s="326">
        <f>IF(A12="","",VLOOKUP(A12,Equipamentos_base!A:K,4,"FALSO"))</f>
        <v>1.4395</v>
      </c>
      <c r="E12" s="326">
        <f>IF(A12="","",VLOOKUP(A12,Equipamentos_base!A:K,5,"FALSO"))</f>
        <v>0.074</v>
      </c>
      <c r="F12" s="326">
        <f>IF(A12="","",VLOOKUP(A12,Equipamentos_base!A:K,6,"FALSO"))</f>
        <v>0</v>
      </c>
      <c r="G12" s="326">
        <f>IF(A12="","",VLOOKUP(A12,Equipamentos_base!A:K,7,"FALSO"))</f>
        <v>0.7997</v>
      </c>
      <c r="H12" s="326">
        <f>IF(A12="","",VLOOKUP(A12,Equipamentos_base!A:K,8,"FALSO"))</f>
        <v>0</v>
      </c>
      <c r="I12" s="326">
        <f>IF(A12="","",VLOOKUP(A12,Equipamentos_base!A:K,9,"FALSO"))</f>
        <v>0</v>
      </c>
      <c r="J12" s="327" t="s">
        <v>932</v>
      </c>
      <c r="K12" s="327" t="s">
        <v>932</v>
      </c>
      <c r="L12" s="316" t="str">
        <f>IF(J12="","",VLOOKUP(A12,Equipamentos_base!A:K,10,"FALSO"))</f>
        <v/>
      </c>
      <c r="M12" s="316" t="str">
        <f>IF(J12="","",VLOOKUP(A12,Equipamentos_base!A:K,11,"FALSO"))</f>
        <v/>
      </c>
    </row>
    <row r="13" s="316" customFormat="1" hidden="1" spans="1:13">
      <c r="A13" s="324" t="s">
        <v>15781</v>
      </c>
      <c r="B13" s="325" t="str">
        <f>IF(A13="","",VLOOKUP(A13,Equipamentos_base!A:K,2,"FALSO"))</f>
        <v>Embarcação rebocadora - 268 kW</v>
      </c>
      <c r="C13" s="326">
        <f>IF(A13="","",VLOOKUP(A13,Equipamentos_base!A:K,3,"FALSO"))</f>
        <v>635918.1894</v>
      </c>
      <c r="D13" s="326">
        <f>IF(A13="","",VLOOKUP(A13,Equipamentos_base!A:K,4,"FALSO"))</f>
        <v>7.2793</v>
      </c>
      <c r="E13" s="326">
        <f>IF(A13="","",VLOOKUP(A13,Equipamentos_base!A:K,5,"FALSO"))</f>
        <v>3.6554</v>
      </c>
      <c r="F13" s="326">
        <f>IF(A13="","",VLOOKUP(A13,Equipamentos_base!A:K,6,"FALSO"))</f>
        <v>0</v>
      </c>
      <c r="G13" s="326">
        <f>IF(A13="","",VLOOKUP(A13,Equipamentos_base!A:K,7,"FALSO"))</f>
        <v>16.1762</v>
      </c>
      <c r="H13" s="326">
        <f>IF(A13="","",VLOOKUP(A13,Equipamentos_base!A:K,8,"FALSO"))</f>
        <v>282.0968</v>
      </c>
      <c r="I13" s="326">
        <f>IF(A13="","",VLOOKUP(A13,Equipamentos_base!A:K,9,"FALSO"))</f>
        <v>136.0494</v>
      </c>
      <c r="J13" s="327" t="s">
        <v>932</v>
      </c>
      <c r="K13" s="327" t="s">
        <v>932</v>
      </c>
      <c r="L13" s="316" t="str">
        <f>IF(J13="","",VLOOKUP(A13,Equipamentos_base!A:K,10,"FALSO"))</f>
        <v/>
      </c>
      <c r="M13" s="316" t="str">
        <f>IF(J13="","",VLOOKUP(A13,Equipamentos_base!A:K,11,"FALSO"))</f>
        <v/>
      </c>
    </row>
    <row r="14" s="316" customFormat="1" spans="1:13">
      <c r="A14" s="324" t="s">
        <v>1066</v>
      </c>
      <c r="B14" s="325" t="str">
        <f>IF(A14="","",VLOOKUP(A14,Equipamentos_base!A:K,2,"FALSO"))</f>
        <v>Balança plataforma digital à bateria, com mesa de 75 x 75 cm e capacidade de 500 kg</v>
      </c>
      <c r="C14" s="326">
        <f>IF(A14="","",VLOOKUP(A14,Equipamentos_base!A:K,3,"FALSO"))</f>
        <v>4333.0914</v>
      </c>
      <c r="D14" s="326">
        <f>IF(A14="","",VLOOKUP(A14,Equipamentos_base!A:K,4,"FALSO"))</f>
        <v>0.65</v>
      </c>
      <c r="E14" s="326">
        <f>IF(A14="","",VLOOKUP(A14,Equipamentos_base!A:K,5,"FALSO"))</f>
        <v>0.0891</v>
      </c>
      <c r="F14" s="326">
        <f>IF(A14="","",VLOOKUP(A14,Equipamentos_base!A:K,6,"FALSO"))</f>
        <v>0</v>
      </c>
      <c r="G14" s="326">
        <f>IF(A14="","",VLOOKUP(A14,Equipamentos_base!A:K,7,"FALSO"))</f>
        <v>0.3611</v>
      </c>
      <c r="H14" s="326">
        <f>IF(A14="","",VLOOKUP(A14,Equipamentos_base!A:K,8,"FALSO"))</f>
        <v>0</v>
      </c>
      <c r="I14" s="326">
        <f>IF(A14="","",VLOOKUP(A14,Equipamentos_base!A:K,9,"FALSO"))</f>
        <v>0</v>
      </c>
      <c r="J14" s="327">
        <v>1.1002</v>
      </c>
      <c r="K14" s="327">
        <v>0.7391</v>
      </c>
      <c r="L14" s="316">
        <f>IF(J14="","",VLOOKUP(A14,Equipamentos_base!A:K,10,"FALSO"))</f>
        <v>1.1002</v>
      </c>
      <c r="M14" s="316">
        <f>IF(J14="","",VLOOKUP(A14,Equipamentos_base!A:K,11,"FALSO"))</f>
        <v>0.7391</v>
      </c>
    </row>
    <row r="15" s="316" customFormat="1" hidden="1" spans="1:13">
      <c r="A15" s="324" t="s">
        <v>15782</v>
      </c>
      <c r="B15" s="325" t="str">
        <f>IF(A15="","",VLOOKUP(A15,Equipamentos_base!A:K,2,"FALSO"))</f>
        <v>Carro manual modelo plataforma de 200 x 80 cm com capacidade de 800 kg</v>
      </c>
      <c r="C15" s="326">
        <f>IF(A15="","",VLOOKUP(A15,Equipamentos_base!A:K,3,"FALSO"))</f>
        <v>1817.9308</v>
      </c>
      <c r="D15" s="326">
        <f>IF(A15="","",VLOOKUP(A15,Equipamentos_base!A:K,4,"FALSO"))</f>
        <v>0.3272</v>
      </c>
      <c r="E15" s="326">
        <f>IF(A15="","",VLOOKUP(A15,Equipamentos_base!A:K,5,"FALSO"))</f>
        <v>0.0393</v>
      </c>
      <c r="F15" s="326">
        <f>IF(A15="","",VLOOKUP(A15,Equipamentos_base!A:K,6,"FALSO"))</f>
        <v>0</v>
      </c>
      <c r="G15" s="326">
        <f>IF(A15="","",VLOOKUP(A15,Equipamentos_base!A:K,7,"FALSO"))</f>
        <v>0.1818</v>
      </c>
      <c r="H15" s="326">
        <f>IF(A15="","",VLOOKUP(A15,Equipamentos_base!A:K,8,"FALSO"))</f>
        <v>0</v>
      </c>
      <c r="I15" s="326">
        <f>IF(A15="","",VLOOKUP(A15,Equipamentos_base!A:K,9,"FALSO"))</f>
        <v>0</v>
      </c>
      <c r="J15" s="327" t="s">
        <v>932</v>
      </c>
      <c r="K15" s="327" t="s">
        <v>932</v>
      </c>
      <c r="L15" s="316" t="str">
        <f>IF(J15="","",VLOOKUP(A15,Equipamentos_base!A:K,10,"FALSO"))</f>
        <v/>
      </c>
      <c r="M15" s="316" t="str">
        <f>IF(J15="","",VLOOKUP(A15,Equipamentos_base!A:K,11,"FALSO"))</f>
        <v/>
      </c>
    </row>
    <row r="16" s="316" customFormat="1" hidden="1" spans="1:13">
      <c r="A16" s="324" t="s">
        <v>15783</v>
      </c>
      <c r="B16" s="325" t="str">
        <f>IF(A16="","",VLOOKUP(A16,Equipamentos_base!A:K,2,"FALSO"))</f>
        <v>Caminhão tanque de asfalto com capacidade de 31.000 l - 368 kW</v>
      </c>
      <c r="C16" s="326">
        <f>IF(A16="","",VLOOKUP(A16,Equipamentos_base!A:K,3,"FALSO"))</f>
        <v>0</v>
      </c>
      <c r="D16" s="326">
        <f>IF(A16="","",VLOOKUP(A16,Equipamentos_base!A:K,4,"FALSO"))</f>
        <v>0</v>
      </c>
      <c r="E16" s="326">
        <f>IF(A16="","",VLOOKUP(A16,Equipamentos_base!A:K,5,"FALSO"))</f>
        <v>0</v>
      </c>
      <c r="F16" s="326">
        <f>IF(A16="","",VLOOKUP(A16,Equipamentos_base!A:K,6,"FALSO"))</f>
        <v>0</v>
      </c>
      <c r="G16" s="326">
        <f>IF(A16="","",VLOOKUP(A16,Equipamentos_base!A:K,7,"FALSO"))</f>
        <v>0</v>
      </c>
      <c r="H16" s="326">
        <f>IF(A16="","",VLOOKUP(A16,Equipamentos_base!A:K,8,"FALSO"))</f>
        <v>0</v>
      </c>
      <c r="I16" s="326">
        <f>IF(A16="","",VLOOKUP(A16,Equipamentos_base!A:K,9,"FALSO"))</f>
        <v>0</v>
      </c>
      <c r="J16" s="327" t="s">
        <v>932</v>
      </c>
      <c r="K16" s="327" t="s">
        <v>932</v>
      </c>
      <c r="L16" s="316" t="str">
        <f>IF(J16="","",VLOOKUP(A16,Equipamentos_base!A:K,10,"FALSO"))</f>
        <v/>
      </c>
      <c r="M16" s="316" t="str">
        <f>IF(J16="","",VLOOKUP(A16,Equipamentos_base!A:K,11,"FALSO"))</f>
        <v/>
      </c>
    </row>
    <row r="17" s="316" customFormat="1" ht="30" hidden="1" spans="1:13">
      <c r="A17" s="324" t="s">
        <v>15784</v>
      </c>
      <c r="B17" s="325" t="str">
        <f>IF(A17="","",VLOOKUP(A17,Equipamentos_base!A:K,2,"FALSO"))</f>
        <v>Deflectômetro de impacto (FWD) instalado em picape com reboque e faixa de carga de 7 a 120 kN - 147 kW</v>
      </c>
      <c r="C17" s="326">
        <f>IF(A17="","",VLOOKUP(A17,Equipamentos_base!A:K,3,"FALSO"))</f>
        <v>2292474.306</v>
      </c>
      <c r="D17" s="326">
        <f>IF(A17="","",VLOOKUP(A17,Equipamentos_base!A:K,4,"FALSO"))</f>
        <v>183.3979</v>
      </c>
      <c r="E17" s="326">
        <f>IF(A17="","",VLOOKUP(A17,Equipamentos_base!A:K,5,"FALSO"))</f>
        <v>42.4337</v>
      </c>
      <c r="F17" s="326">
        <f>IF(A17="","",VLOOKUP(A17,Equipamentos_base!A:K,6,"FALSO"))</f>
        <v>0</v>
      </c>
      <c r="G17" s="326">
        <f>IF(A17="","",VLOOKUP(A17,Equipamentos_base!A:K,7,"FALSO"))</f>
        <v>114.6237</v>
      </c>
      <c r="H17" s="326">
        <f>IF(A17="","",VLOOKUP(A17,Equipamentos_base!A:K,8,"FALSO"))</f>
        <v>0</v>
      </c>
      <c r="I17" s="326">
        <f>IF(A17="","",VLOOKUP(A17,Equipamentos_base!A:K,9,"FALSO"))</f>
        <v>38.1454</v>
      </c>
      <c r="J17" s="327" t="s">
        <v>932</v>
      </c>
      <c r="K17" s="327" t="s">
        <v>932</v>
      </c>
      <c r="L17" s="316" t="str">
        <f>IF(J17="","",VLOOKUP(A17,Equipamentos_base!A:K,10,"FALSO"))</f>
        <v/>
      </c>
      <c r="M17" s="316" t="str">
        <f>IF(J17="","",VLOOKUP(A17,Equipamentos_base!A:K,11,"FALSO"))</f>
        <v/>
      </c>
    </row>
    <row r="18" s="316" customFormat="1" hidden="1" spans="1:13">
      <c r="A18" s="324" t="s">
        <v>15785</v>
      </c>
      <c r="B18" s="325" t="str">
        <f>IF(A18="","",VLOOKUP(A18,Equipamentos_base!A:K,2,"FALSO"))</f>
        <v>Elevador de obra com capacidade de 1.000 kg - 9 kW</v>
      </c>
      <c r="C18" s="326">
        <f>IF(A18="","",VLOOKUP(A18,Equipamentos_base!A:K,3,"FALSO"))</f>
        <v>68736.2523</v>
      </c>
      <c r="D18" s="326">
        <f>IF(A18="","",VLOOKUP(A18,Equipamentos_base!A:K,4,"FALSO"))</f>
        <v>5.4989</v>
      </c>
      <c r="E18" s="326">
        <f>IF(A18="","",VLOOKUP(A18,Equipamentos_base!A:K,5,"FALSO"))</f>
        <v>1.2723</v>
      </c>
      <c r="F18" s="326">
        <f>IF(A18="","",VLOOKUP(A18,Equipamentos_base!A:K,6,"FALSO"))</f>
        <v>0</v>
      </c>
      <c r="G18" s="326">
        <f>IF(A18="","",VLOOKUP(A18,Equipamentos_base!A:K,7,"FALSO"))</f>
        <v>4.8115</v>
      </c>
      <c r="H18" s="326">
        <f>IF(A18="","",VLOOKUP(A18,Equipamentos_base!A:K,8,"FALSO"))</f>
        <v>0</v>
      </c>
      <c r="I18" s="326">
        <f>IF(A18="","",VLOOKUP(A18,Equipamentos_base!A:K,9,"FALSO"))</f>
        <v>26.5829</v>
      </c>
      <c r="J18" s="327" t="s">
        <v>932</v>
      </c>
      <c r="K18" s="327" t="s">
        <v>932</v>
      </c>
      <c r="L18" s="316" t="str">
        <f>IF(J18="","",VLOOKUP(A18,Equipamentos_base!A:K,10,"FALSO"))</f>
        <v/>
      </c>
      <c r="M18" s="316" t="str">
        <f>IF(J18="","",VLOOKUP(A18,Equipamentos_base!A:K,11,"FALSO"))</f>
        <v/>
      </c>
    </row>
    <row r="19" s="316" customFormat="1" ht="30" hidden="1" spans="1:13">
      <c r="A19" s="324" t="s">
        <v>15786</v>
      </c>
      <c r="B19" s="325" t="str">
        <f>IF(A19="","",VLOOKUP(A19,Equipamentos_base!A:K,2,"FALSO"))</f>
        <v>Usina misturadora móvel de reciclagem a frio com sistema de espuma de asfalto - 129,40 kW</v>
      </c>
      <c r="C19" s="326">
        <f>IF(A19="","",VLOOKUP(A19,Equipamentos_base!A:K,3,"FALSO"))</f>
        <v>11266390.8014</v>
      </c>
      <c r="D19" s="326">
        <f>IF(A19="","",VLOOKUP(A19,Equipamentos_base!A:K,4,"FALSO"))</f>
        <v>1577.2947</v>
      </c>
      <c r="E19" s="326">
        <f>IF(A19="","",VLOOKUP(A19,Equipamentos_base!A:K,5,"FALSO"))</f>
        <v>243.2977</v>
      </c>
      <c r="F19" s="326">
        <f>IF(A19="","",VLOOKUP(A19,Equipamentos_base!A:K,6,"FALSO"))</f>
        <v>0</v>
      </c>
      <c r="G19" s="326">
        <f>IF(A19="","",VLOOKUP(A19,Equipamentos_base!A:K,7,"FALSO"))</f>
        <v>2027.9503</v>
      </c>
      <c r="H19" s="326">
        <f>IF(A19="","",VLOOKUP(A19,Equipamentos_base!A:K,8,"FALSO"))</f>
        <v>100.3626</v>
      </c>
      <c r="I19" s="326">
        <f>IF(A19="","",VLOOKUP(A19,Equipamentos_base!A:K,9,"FALSO"))</f>
        <v>45.2393</v>
      </c>
      <c r="J19" s="327" t="s">
        <v>932</v>
      </c>
      <c r="K19" s="327" t="s">
        <v>932</v>
      </c>
      <c r="L19" s="316" t="str">
        <f>IF(J19="","",VLOOKUP(A19,Equipamentos_base!A:K,10,"FALSO"))</f>
        <v/>
      </c>
      <c r="M19" s="316" t="str">
        <f>IF(J19="","",VLOOKUP(A19,Equipamentos_base!A:K,11,"FALSO"))</f>
        <v/>
      </c>
    </row>
    <row r="20" s="316" customFormat="1" hidden="1" spans="1:13">
      <c r="A20" s="324" t="s">
        <v>15787</v>
      </c>
      <c r="B20" s="325" t="str">
        <f>IF(A20="","",VLOOKUP(A20,Equipamentos_base!A:K,2,"FALSO"))</f>
        <v>Escavadeira hidráulica sobre esteira com capacidade de 0,4 m³ - 64 kW</v>
      </c>
      <c r="C20" s="326">
        <f>IF(A20="","",VLOOKUP(A20,Equipamentos_base!A:K,3,"FALSO"))</f>
        <v>662701.3319</v>
      </c>
      <c r="D20" s="326">
        <f>IF(A20="","",VLOOKUP(A20,Equipamentos_base!A:K,4,"FALSO"))</f>
        <v>54.5754</v>
      </c>
      <c r="E20" s="326">
        <f>IF(A20="","",VLOOKUP(A20,Equipamentos_base!A:K,5,"FALSO"))</f>
        <v>12.6274</v>
      </c>
      <c r="F20" s="326">
        <f>IF(A20="","",VLOOKUP(A20,Equipamentos_base!A:K,6,"FALSO"))</f>
        <v>0</v>
      </c>
      <c r="G20" s="326">
        <f>IF(A20="","",VLOOKUP(A20,Equipamentos_base!A:K,7,"FALSO"))</f>
        <v>54.5754</v>
      </c>
      <c r="H20" s="326">
        <f>IF(A20="","",VLOOKUP(A20,Equipamentos_base!A:K,8,"FALSO"))</f>
        <v>46.0928</v>
      </c>
      <c r="I20" s="326">
        <f>IF(A20="","",VLOOKUP(A20,Equipamentos_base!A:K,9,"FALSO"))</f>
        <v>33.7544</v>
      </c>
      <c r="J20" s="327" t="s">
        <v>932</v>
      </c>
      <c r="K20" s="327" t="s">
        <v>932</v>
      </c>
      <c r="L20" s="316" t="str">
        <f>IF(J20="","",VLOOKUP(A20,Equipamentos_base!A:K,10,"FALSO"))</f>
        <v/>
      </c>
      <c r="M20" s="316" t="str">
        <f>IF(J20="","",VLOOKUP(A20,Equipamentos_base!A:K,11,"FALSO"))</f>
        <v/>
      </c>
    </row>
    <row r="21" s="316" customFormat="1" ht="30" spans="1:13">
      <c r="A21" s="324" t="s">
        <v>15788</v>
      </c>
      <c r="B21" s="325" t="str">
        <f>IF(A21="","",VLOOKUP(A21,Equipamentos_base!A:K,2,"FALSO"))</f>
        <v>Cavalo mecânico com dolly intermediário e semirreboque de 4 eixos com capacidade de 52 t - 364 kW</v>
      </c>
      <c r="C21" s="326">
        <f>IF(A21="","",VLOOKUP(A21,Equipamentos_base!A:K,3,"FALSO"))</f>
        <v>0</v>
      </c>
      <c r="D21" s="326">
        <f>IF(A21="","",VLOOKUP(A21,Equipamentos_base!A:K,4,"FALSO"))</f>
        <v>0</v>
      </c>
      <c r="E21" s="326">
        <f>IF(A21="","",VLOOKUP(A21,Equipamentos_base!A:K,5,"FALSO"))</f>
        <v>0</v>
      </c>
      <c r="F21" s="326">
        <f>IF(A21="","",VLOOKUP(A21,Equipamentos_base!A:K,6,"FALSO"))</f>
        <v>0</v>
      </c>
      <c r="G21" s="326">
        <f>IF(A21="","",VLOOKUP(A21,Equipamentos_base!A:K,7,"FALSO"))</f>
        <v>0</v>
      </c>
      <c r="H21" s="326">
        <f>IF(A21="","",VLOOKUP(A21,Equipamentos_base!A:K,8,"FALSO"))</f>
        <v>0</v>
      </c>
      <c r="I21" s="326">
        <f>IF(A21="","",VLOOKUP(A21,Equipamentos_base!A:K,9,"FALSO"))</f>
        <v>0</v>
      </c>
      <c r="J21" s="327">
        <v>567.3674</v>
      </c>
      <c r="K21" s="327">
        <v>164.1302</v>
      </c>
      <c r="L21" s="316">
        <f>IF(J21="","",VLOOKUP(A21,Equipamentos_base!A:K,10,"FALSO"))</f>
        <v>567.3674</v>
      </c>
      <c r="M21" s="316">
        <f>IF(J21="","",VLOOKUP(A21,Equipamentos_base!A:K,11,"FALSO"))</f>
        <v>164.1302</v>
      </c>
    </row>
    <row r="22" s="316" customFormat="1" hidden="1" spans="1:13">
      <c r="A22" s="324" t="s">
        <v>15789</v>
      </c>
      <c r="B22" s="325" t="str">
        <f>IF(A22="","",VLOOKUP(A22,Equipamentos_base!A:K,2,"FALSO"))</f>
        <v>Recicladora a frio - 455 kW</v>
      </c>
      <c r="C22" s="326">
        <f>IF(A22="","",VLOOKUP(A22,Equipamentos_base!A:K,3,"FALSO"))</f>
        <v>6662732.9218</v>
      </c>
      <c r="D22" s="326">
        <f>IF(A22="","",VLOOKUP(A22,Equipamentos_base!A:K,4,"FALSO"))</f>
        <v>932.7826</v>
      </c>
      <c r="E22" s="326">
        <f>IF(A22="","",VLOOKUP(A22,Equipamentos_base!A:K,5,"FALSO"))</f>
        <v>143.8817</v>
      </c>
      <c r="F22" s="326">
        <f>IF(A22="","",VLOOKUP(A22,Equipamentos_base!A:K,6,"FALSO"))</f>
        <v>0</v>
      </c>
      <c r="G22" s="326">
        <f>IF(A22="","",VLOOKUP(A22,Equipamentos_base!A:K,7,"FALSO"))</f>
        <v>1332.5466</v>
      </c>
      <c r="H22" s="326">
        <f>IF(A22="","",VLOOKUP(A22,Equipamentos_base!A:K,8,"FALSO"))</f>
        <v>504.14</v>
      </c>
      <c r="I22" s="326">
        <f>IF(A22="","",VLOOKUP(A22,Equipamentos_base!A:K,9,"FALSO"))</f>
        <v>45.2393</v>
      </c>
      <c r="J22" s="327" t="s">
        <v>932</v>
      </c>
      <c r="K22" s="327" t="s">
        <v>932</v>
      </c>
      <c r="L22" s="316" t="str">
        <f>IF(J22="","",VLOOKUP(A22,Equipamentos_base!A:K,10,"FALSO"))</f>
        <v/>
      </c>
      <c r="M22" s="316" t="str">
        <f>IF(J22="","",VLOOKUP(A22,Equipamentos_base!A:K,11,"FALSO"))</f>
        <v/>
      </c>
    </row>
    <row r="23" s="316" customFormat="1" spans="1:13">
      <c r="A23" s="324" t="s">
        <v>15790</v>
      </c>
      <c r="B23" s="325" t="str">
        <f>IF(A23="","",VLOOKUP(A23,Equipamentos_base!A:K,2,"FALSO"))</f>
        <v>Grupo gerador - 456 kVA</v>
      </c>
      <c r="C23" s="326">
        <f>IF(A23="","",VLOOKUP(A23,Equipamentos_base!A:K,3,"FALSO"))</f>
        <v>333889.5639</v>
      </c>
      <c r="D23" s="326">
        <f>IF(A23="","",VLOOKUP(A23,Equipamentos_base!A:K,4,"FALSO"))</f>
        <v>23.3723</v>
      </c>
      <c r="E23" s="326">
        <f>IF(A23="","",VLOOKUP(A23,Equipamentos_base!A:K,5,"FALSO"))</f>
        <v>6.1803</v>
      </c>
      <c r="F23" s="326">
        <f>IF(A23="","",VLOOKUP(A23,Equipamentos_base!A:K,6,"FALSO"))</f>
        <v>0</v>
      </c>
      <c r="G23" s="326">
        <f>IF(A23="","",VLOOKUP(A23,Equipamentos_base!A:K,7,"FALSO"))</f>
        <v>16.6945</v>
      </c>
      <c r="H23" s="326">
        <f>IF(A23="","",VLOOKUP(A23,Equipamentos_base!A:K,8,"FALSO"))</f>
        <v>384.199</v>
      </c>
      <c r="I23" s="326">
        <f>IF(A23="","",VLOOKUP(A23,Equipamentos_base!A:K,9,"FALSO"))</f>
        <v>0</v>
      </c>
      <c r="J23" s="327">
        <v>430.4461</v>
      </c>
      <c r="K23" s="327">
        <v>29.5526</v>
      </c>
      <c r="L23" s="316">
        <f>IF(J23="","",VLOOKUP(A23,Equipamentos_base!A:K,10,"FALSO"))</f>
        <v>430.4461</v>
      </c>
      <c r="M23" s="316">
        <f>IF(J23="","",VLOOKUP(A23,Equipamentos_base!A:K,11,"FALSO"))</f>
        <v>29.5526</v>
      </c>
    </row>
    <row r="24" s="316" customFormat="1" hidden="1" spans="1:13">
      <c r="A24" s="324" t="s">
        <v>15791</v>
      </c>
      <c r="B24" s="325" t="str">
        <f>IF(A24="","",VLOOKUP(A24,Equipamentos_base!A:K,2,"FALSO"))</f>
        <v>Pórtico metálico rolante com capacidade de 25 t - 30 kW</v>
      </c>
      <c r="C24" s="326">
        <f>IF(A24="","",VLOOKUP(A24,Equipamentos_base!A:K,3,"FALSO"))</f>
        <v>706000.3024</v>
      </c>
      <c r="D24" s="326">
        <f>IF(A24="","",VLOOKUP(A24,Equipamentos_base!A:K,4,"FALSO"))</f>
        <v>35.3</v>
      </c>
      <c r="E24" s="326">
        <f>IF(A24="","",VLOOKUP(A24,Equipamentos_base!A:K,5,"FALSO"))</f>
        <v>12.1001</v>
      </c>
      <c r="F24" s="326">
        <f>IF(A24="","",VLOOKUP(A24,Equipamentos_base!A:K,6,"FALSO"))</f>
        <v>0</v>
      </c>
      <c r="G24" s="326">
        <f>IF(A24="","",VLOOKUP(A24,Equipamentos_base!A:K,7,"FALSO"))</f>
        <v>27.4556</v>
      </c>
      <c r="H24" s="326">
        <f>IF(A24="","",VLOOKUP(A24,Equipamentos_base!A:K,8,"FALSO"))</f>
        <v>0</v>
      </c>
      <c r="I24" s="326">
        <f>IF(A24="","",VLOOKUP(A24,Equipamentos_base!A:K,9,"FALSO"))</f>
        <v>26.5829</v>
      </c>
      <c r="J24" s="327" t="s">
        <v>932</v>
      </c>
      <c r="K24" s="327" t="s">
        <v>932</v>
      </c>
      <c r="L24" s="316" t="str">
        <f>IF(J24="","",VLOOKUP(A24,Equipamentos_base!A:K,10,"FALSO"))</f>
        <v/>
      </c>
      <c r="M24" s="316" t="str">
        <f>IF(J24="","",VLOOKUP(A24,Equipamentos_base!A:K,11,"FALSO"))</f>
        <v/>
      </c>
    </row>
    <row r="25" s="316" customFormat="1" hidden="1" spans="1:13">
      <c r="A25" s="324" t="s">
        <v>15792</v>
      </c>
      <c r="B25" s="325" t="str">
        <f>IF(A25="","",VLOOKUP(A25,Equipamentos_base!A:K,2,"FALSO"))</f>
        <v>Guindaste móvel sobre esteiras com dragline com capacidade de 1,9 a 2,3 m³ - 270 kW</v>
      </c>
      <c r="C25" s="326">
        <f>IF(A25="","",VLOOKUP(A25,Equipamentos_base!A:K,3,"FALSO"))</f>
        <v>4085077.3576</v>
      </c>
      <c r="D25" s="326">
        <f>IF(A25="","",VLOOKUP(A25,Equipamentos_base!A:K,4,"FALSO"))</f>
        <v>158.8641</v>
      </c>
      <c r="E25" s="326">
        <f>IF(A25="","",VLOOKUP(A25,Equipamentos_base!A:K,5,"FALSO"))</f>
        <v>70.0137</v>
      </c>
      <c r="F25" s="326">
        <f>IF(A25="","",VLOOKUP(A25,Equipamentos_base!A:K,6,"FALSO"))</f>
        <v>0</v>
      </c>
      <c r="G25" s="326">
        <f>IF(A25="","",VLOOKUP(A25,Equipamentos_base!A:K,7,"FALSO"))</f>
        <v>226.9487</v>
      </c>
      <c r="H25" s="326">
        <f>IF(A25="","",VLOOKUP(A25,Equipamentos_base!A:K,8,"FALSO"))</f>
        <v>74.79</v>
      </c>
      <c r="I25" s="326">
        <f>IF(A25="","",VLOOKUP(A25,Equipamentos_base!A:K,9,"FALSO"))</f>
        <v>45.2393</v>
      </c>
      <c r="J25" s="327" t="s">
        <v>932</v>
      </c>
      <c r="K25" s="327" t="s">
        <v>932</v>
      </c>
      <c r="L25" s="316" t="str">
        <f>IF(J25="","",VLOOKUP(A25,Equipamentos_base!A:K,10,"FALSO"))</f>
        <v/>
      </c>
      <c r="M25" s="316" t="str">
        <f>IF(J25="","",VLOOKUP(A25,Equipamentos_base!A:K,11,"FALSO"))</f>
        <v/>
      </c>
    </row>
    <row r="26" s="316" customFormat="1" spans="1:13">
      <c r="A26" s="328" t="s">
        <v>15793</v>
      </c>
      <c r="B26" s="325" t="str">
        <f>IF(A26="","",VLOOKUP(A26,Equipamentos_base!A:K,2,"FALSO"))</f>
        <v>Misturador de nata cimento - 1,50 kW</v>
      </c>
      <c r="C26" s="326">
        <f>IF(A26="","",VLOOKUP(A26,Equipamentos_base!A:K,3,"FALSO"))</f>
        <v>9192.1801</v>
      </c>
      <c r="D26" s="326">
        <f>IF(A26="","",VLOOKUP(A26,Equipamentos_base!A:K,4,"FALSO"))</f>
        <v>1.4707</v>
      </c>
      <c r="E26" s="326">
        <f>IF(A26="","",VLOOKUP(A26,Equipamentos_base!A:K,5,"FALSO"))</f>
        <v>0.1985</v>
      </c>
      <c r="F26" s="326">
        <f>IF(A26="","",VLOOKUP(A26,Equipamentos_base!A:K,6,"FALSO"))</f>
        <v>0</v>
      </c>
      <c r="G26" s="326">
        <f>IF(A26="","",VLOOKUP(A26,Equipamentos_base!A:K,7,"FALSO"))</f>
        <v>1.2869</v>
      </c>
      <c r="H26" s="326">
        <f>IF(A26="","",VLOOKUP(A26,Equipamentos_base!A:K,8,"FALSO"))</f>
        <v>0</v>
      </c>
      <c r="I26" s="326">
        <f>IF(A26="","",VLOOKUP(A26,Equipamentos_base!A:K,9,"FALSO"))</f>
        <v>26.5829</v>
      </c>
      <c r="J26" s="329">
        <v>29.539</v>
      </c>
      <c r="K26" s="329">
        <v>28.2521</v>
      </c>
      <c r="L26" s="316">
        <f>IF(J26="","",VLOOKUP(A26,Equipamentos_base!A:K,10,"FALSO"))</f>
        <v>29.539</v>
      </c>
      <c r="M26" s="316">
        <f>IF(J26="","",VLOOKUP(A26,Equipamentos_base!A:K,11,"FALSO"))</f>
        <v>28.2521</v>
      </c>
    </row>
    <row r="27" s="316" customFormat="1" hidden="1" spans="1:13">
      <c r="A27" s="324" t="s">
        <v>15794</v>
      </c>
      <c r="B27" s="325" t="str">
        <f>IF(A27="","",VLOOKUP(A27,Equipamentos_base!A:K,2,"FALSO"))</f>
        <v>Conjunto bomba e macaco hidráulico para protensão com capacidade de 7.000 kN - 15 kW</v>
      </c>
      <c r="C27" s="326">
        <f>IF(A27="","",VLOOKUP(A27,Equipamentos_base!A:K,3,"FALSO"))</f>
        <v>108248.8509</v>
      </c>
      <c r="D27" s="326">
        <f>IF(A27="","",VLOOKUP(A27,Equipamentos_base!A:K,4,"FALSO"))</f>
        <v>6.1856</v>
      </c>
      <c r="E27" s="326">
        <f>IF(A27="","",VLOOKUP(A27,Equipamentos_base!A:K,5,"FALSO"))</f>
        <v>1.9083</v>
      </c>
      <c r="F27" s="326">
        <f>IF(A27="","",VLOOKUP(A27,Equipamentos_base!A:K,6,"FALSO"))</f>
        <v>0</v>
      </c>
      <c r="G27" s="326">
        <f>IF(A27="","",VLOOKUP(A27,Equipamentos_base!A:K,7,"FALSO"))</f>
        <v>6.1856</v>
      </c>
      <c r="H27" s="326">
        <f>IF(A27="","",VLOOKUP(A27,Equipamentos_base!A:K,8,"FALSO"))</f>
        <v>0</v>
      </c>
      <c r="I27" s="326">
        <f>IF(A27="","",VLOOKUP(A27,Equipamentos_base!A:K,9,"FALSO"))</f>
        <v>45.2393</v>
      </c>
      <c r="J27" s="327" t="s">
        <v>932</v>
      </c>
      <c r="K27" s="327" t="s">
        <v>932</v>
      </c>
      <c r="L27" s="316" t="str">
        <f>IF(J27="","",VLOOKUP(A27,Equipamentos_base!A:K,10,"FALSO"))</f>
        <v/>
      </c>
      <c r="M27" s="316" t="str">
        <f>IF(J27="","",VLOOKUP(A27,Equipamentos_base!A:K,11,"FALSO"))</f>
        <v/>
      </c>
    </row>
    <row r="28" s="316" customFormat="1" spans="1:13">
      <c r="A28" s="328" t="s">
        <v>15795</v>
      </c>
      <c r="B28" s="325" t="str">
        <f>IF(A28="","",VLOOKUP(A28,Equipamentos_base!A:K,2,"FALSO"))</f>
        <v>Bomba para injeção de nata de cimento com capacidade de 2 MPa - 2,20 kW</v>
      </c>
      <c r="C28" s="326">
        <f>IF(A28="","",VLOOKUP(A28,Equipamentos_base!A:K,3,"FALSO"))</f>
        <v>36691.229</v>
      </c>
      <c r="D28" s="326">
        <f>IF(A28="","",VLOOKUP(A28,Equipamentos_base!A:K,4,"FALSO"))</f>
        <v>3.6691</v>
      </c>
      <c r="E28" s="326">
        <f>IF(A28="","",VLOOKUP(A28,Equipamentos_base!A:K,5,"FALSO"))</f>
        <v>0.7075</v>
      </c>
      <c r="F28" s="326">
        <f>IF(A28="","",VLOOKUP(A28,Equipamentos_base!A:K,6,"FALSO"))</f>
        <v>0</v>
      </c>
      <c r="G28" s="326">
        <f>IF(A28="","",VLOOKUP(A28,Equipamentos_base!A:K,7,"FALSO"))</f>
        <v>3.2105</v>
      </c>
      <c r="H28" s="326">
        <f>IF(A28="","",VLOOKUP(A28,Equipamentos_base!A:K,8,"FALSO"))</f>
        <v>0</v>
      </c>
      <c r="I28" s="326">
        <f>IF(A28="","",VLOOKUP(A28,Equipamentos_base!A:K,9,"FALSO"))</f>
        <v>0</v>
      </c>
      <c r="J28" s="329">
        <v>7.5871</v>
      </c>
      <c r="K28" s="329">
        <v>4.3766</v>
      </c>
      <c r="L28" s="316">
        <f>IF(J28="","",VLOOKUP(A28,Equipamentos_base!A:K,10,"FALSO"))</f>
        <v>7.5871</v>
      </c>
      <c r="M28" s="316">
        <f>IF(J28="","",VLOOKUP(A28,Equipamentos_base!A:K,11,"FALSO"))</f>
        <v>4.3766</v>
      </c>
    </row>
    <row r="29" s="316" customFormat="1" hidden="1" spans="1:13">
      <c r="A29" s="324" t="s">
        <v>15796</v>
      </c>
      <c r="B29" s="325" t="str">
        <f>IF(A29="","",VLOOKUP(A29,Equipamentos_base!A:K,2,"FALSO"))</f>
        <v>Caminhão distribuidor de cimento e cal com capacidade de 15 m³ - 210 kW</v>
      </c>
      <c r="C29" s="326">
        <f>IF(A29="","",VLOOKUP(A29,Equipamentos_base!A:K,3,"FALSO"))</f>
        <v>0</v>
      </c>
      <c r="D29" s="326">
        <f>IF(A29="","",VLOOKUP(A29,Equipamentos_base!A:K,4,"FALSO"))</f>
        <v>0</v>
      </c>
      <c r="E29" s="326">
        <f>IF(A29="","",VLOOKUP(A29,Equipamentos_base!A:K,5,"FALSO"))</f>
        <v>0</v>
      </c>
      <c r="F29" s="326">
        <f>IF(A29="","",VLOOKUP(A29,Equipamentos_base!A:K,6,"FALSO"))</f>
        <v>0</v>
      </c>
      <c r="G29" s="326">
        <f>IF(A29="","",VLOOKUP(A29,Equipamentos_base!A:K,7,"FALSO"))</f>
        <v>0</v>
      </c>
      <c r="H29" s="326">
        <f>IF(A29="","",VLOOKUP(A29,Equipamentos_base!A:K,8,"FALSO"))</f>
        <v>0</v>
      </c>
      <c r="I29" s="326">
        <f>IF(A29="","",VLOOKUP(A29,Equipamentos_base!A:K,9,"FALSO"))</f>
        <v>0</v>
      </c>
      <c r="J29" s="327" t="s">
        <v>932</v>
      </c>
      <c r="K29" s="327" t="s">
        <v>932</v>
      </c>
      <c r="L29" s="316" t="str">
        <f>IF(J29="","",VLOOKUP(A29,Equipamentos_base!A:K,10,"FALSO"))</f>
        <v/>
      </c>
      <c r="M29" s="316" t="str">
        <f>IF(J29="","",VLOOKUP(A29,Equipamentos_base!A:K,11,"FALSO"))</f>
        <v/>
      </c>
    </row>
    <row r="30" s="316" customFormat="1" hidden="1" spans="1:13">
      <c r="A30" s="324" t="s">
        <v>15797</v>
      </c>
      <c r="B30" s="325" t="str">
        <f>IF(A30="","",VLOOKUP(A30,Equipamentos_base!A:K,2,"FALSO"))</f>
        <v>Bomba de alta pressão para hidrojateamento com capacidade de 18 MPa - 5,20 kW</v>
      </c>
      <c r="C30" s="326">
        <f>IF(A30="","",VLOOKUP(A30,Equipamentos_base!A:K,3,"FALSO"))</f>
        <v>5503.6389</v>
      </c>
      <c r="D30" s="326">
        <f>IF(A30="","",VLOOKUP(A30,Equipamentos_base!A:K,4,"FALSO"))</f>
        <v>1.1007</v>
      </c>
      <c r="E30" s="326">
        <f>IF(A30="","",VLOOKUP(A30,Equipamentos_base!A:K,5,"FALSO"))</f>
        <v>0.1273</v>
      </c>
      <c r="F30" s="326">
        <f>IF(A30="","",VLOOKUP(A30,Equipamentos_base!A:K,6,"FALSO"))</f>
        <v>0</v>
      </c>
      <c r="G30" s="326">
        <f>IF(A30="","",VLOOKUP(A30,Equipamentos_base!A:K,7,"FALSO"))</f>
        <v>1.2383</v>
      </c>
      <c r="H30" s="326">
        <f>IF(A30="","",VLOOKUP(A30,Equipamentos_base!A:K,8,"FALSO"))</f>
        <v>9.5914</v>
      </c>
      <c r="I30" s="326">
        <f>IF(A30="","",VLOOKUP(A30,Equipamentos_base!A:K,9,"FALSO"))</f>
        <v>26.5829</v>
      </c>
      <c r="J30" s="327" t="s">
        <v>932</v>
      </c>
      <c r="K30" s="327" t="s">
        <v>932</v>
      </c>
      <c r="L30" s="316" t="str">
        <f>IF(J30="","",VLOOKUP(A30,Equipamentos_base!A:K,10,"FALSO"))</f>
        <v/>
      </c>
      <c r="M30" s="316" t="str">
        <f>IF(J30="","",VLOOKUP(A30,Equipamentos_base!A:K,11,"FALSO"))</f>
        <v/>
      </c>
    </row>
    <row r="31" s="316" customFormat="1" hidden="1" spans="1:13">
      <c r="A31" s="324" t="s">
        <v>15798</v>
      </c>
      <c r="B31" s="325" t="str">
        <f>IF(A31="","",VLOOKUP(A31,Equipamentos_base!A:K,2,"FALSO"))</f>
        <v>Conjunto bomba e macaco hidráulico para protensão com capacidade de 8.000 kN - 20 kW</v>
      </c>
      <c r="C31" s="326">
        <f>IF(A31="","",VLOOKUP(A31,Equipamentos_base!A:K,3,"FALSO"))</f>
        <v>137650.6341</v>
      </c>
      <c r="D31" s="326">
        <f>IF(A31="","",VLOOKUP(A31,Equipamentos_base!A:K,4,"FALSO"))</f>
        <v>7.8658</v>
      </c>
      <c r="E31" s="326">
        <f>IF(A31="","",VLOOKUP(A31,Equipamentos_base!A:K,5,"FALSO"))</f>
        <v>2.4266</v>
      </c>
      <c r="F31" s="326">
        <f>IF(A31="","",VLOOKUP(A31,Equipamentos_base!A:K,6,"FALSO"))</f>
        <v>0</v>
      </c>
      <c r="G31" s="326">
        <f>IF(A31="","",VLOOKUP(A31,Equipamentos_base!A:K,7,"FALSO"))</f>
        <v>7.8658</v>
      </c>
      <c r="H31" s="326">
        <f>IF(A31="","",VLOOKUP(A31,Equipamentos_base!A:K,8,"FALSO"))</f>
        <v>0</v>
      </c>
      <c r="I31" s="326">
        <f>IF(A31="","",VLOOKUP(A31,Equipamentos_base!A:K,9,"FALSO"))</f>
        <v>45.2393</v>
      </c>
      <c r="J31" s="327" t="s">
        <v>932</v>
      </c>
      <c r="K31" s="327" t="s">
        <v>932</v>
      </c>
      <c r="L31" s="316" t="str">
        <f>IF(J31="","",VLOOKUP(A31,Equipamentos_base!A:K,10,"FALSO"))</f>
        <v/>
      </c>
      <c r="M31" s="316" t="str">
        <f>IF(J31="","",VLOOKUP(A31,Equipamentos_base!A:K,11,"FALSO"))</f>
        <v/>
      </c>
    </row>
    <row r="32" s="316" customFormat="1" hidden="1" spans="1:13">
      <c r="A32" s="324" t="s">
        <v>15799</v>
      </c>
      <c r="B32" s="325" t="str">
        <f>IF(A32="","",VLOOKUP(A32,Equipamentos_base!A:K,2,"FALSO"))</f>
        <v>Bomba de protensão com leitura digital para tensionamento de estais - 3 kW</v>
      </c>
      <c r="C32" s="326">
        <f>IF(A32="","",VLOOKUP(A32,Equipamentos_base!A:K,3,"FALSO"))</f>
        <v>14880.0428</v>
      </c>
      <c r="D32" s="326">
        <f>IF(A32="","",VLOOKUP(A32,Equipamentos_base!A:K,4,"FALSO"))</f>
        <v>0.8503</v>
      </c>
      <c r="E32" s="326">
        <f>IF(A32="","",VLOOKUP(A32,Equipamentos_base!A:K,5,"FALSO"))</f>
        <v>0.2623</v>
      </c>
      <c r="F32" s="326">
        <f>IF(A32="","",VLOOKUP(A32,Equipamentos_base!A:K,6,"FALSO"))</f>
        <v>0</v>
      </c>
      <c r="G32" s="326">
        <f>IF(A32="","",VLOOKUP(A32,Equipamentos_base!A:K,7,"FALSO"))</f>
        <v>0.8503</v>
      </c>
      <c r="H32" s="326">
        <f>IF(A32="","",VLOOKUP(A32,Equipamentos_base!A:K,8,"FALSO"))</f>
        <v>0</v>
      </c>
      <c r="I32" s="326">
        <f>IF(A32="","",VLOOKUP(A32,Equipamentos_base!A:K,9,"FALSO"))</f>
        <v>0</v>
      </c>
      <c r="J32" s="327" t="s">
        <v>932</v>
      </c>
      <c r="K32" s="327" t="s">
        <v>932</v>
      </c>
      <c r="L32" s="316" t="str">
        <f>IF(J32="","",VLOOKUP(A32,Equipamentos_base!A:K,10,"FALSO"))</f>
        <v/>
      </c>
      <c r="M32" s="316" t="str">
        <f>IF(J32="","",VLOOKUP(A32,Equipamentos_base!A:K,11,"FALSO"))</f>
        <v/>
      </c>
    </row>
    <row r="33" s="316" customFormat="1" ht="30" hidden="1" spans="1:13">
      <c r="A33" s="324" t="s">
        <v>15800</v>
      </c>
      <c r="B33" s="325" t="str">
        <f>IF(A33="","",VLOOKUP(A33,Equipamentos_base!A:K,2,"FALSO"))</f>
        <v>Elevador de cremalheira com cabine simples, com capacidade de 1.500 kg e altura de até 100 m - 15 kW</v>
      </c>
      <c r="C33" s="326">
        <f>IF(A33="","",VLOOKUP(A33,Equipamentos_base!A:K,3,"FALSO"))</f>
        <v>333926.6054</v>
      </c>
      <c r="D33" s="326">
        <f>IF(A33="","",VLOOKUP(A33,Equipamentos_base!A:K,4,"FALSO"))</f>
        <v>26.7141</v>
      </c>
      <c r="E33" s="326">
        <f>IF(A33="","",VLOOKUP(A33,Equipamentos_base!A:K,5,"FALSO"))</f>
        <v>6.181</v>
      </c>
      <c r="F33" s="326">
        <f>IF(A33="","",VLOOKUP(A33,Equipamentos_base!A:K,6,"FALSO"))</f>
        <v>0</v>
      </c>
      <c r="G33" s="326">
        <f>IF(A33="","",VLOOKUP(A33,Equipamentos_base!A:K,7,"FALSO"))</f>
        <v>23.3749</v>
      </c>
      <c r="H33" s="326">
        <f>IF(A33="","",VLOOKUP(A33,Equipamentos_base!A:K,8,"FALSO"))</f>
        <v>0</v>
      </c>
      <c r="I33" s="326">
        <f>IF(A33="","",VLOOKUP(A33,Equipamentos_base!A:K,9,"FALSO"))</f>
        <v>26.5829</v>
      </c>
      <c r="J33" s="327" t="s">
        <v>932</v>
      </c>
      <c r="K33" s="327" t="s">
        <v>932</v>
      </c>
      <c r="L33" s="316" t="str">
        <f>IF(J33="","",VLOOKUP(A33,Equipamentos_base!A:K,10,"FALSO"))</f>
        <v/>
      </c>
      <c r="M33" s="316" t="str">
        <f>IF(J33="","",VLOOKUP(A33,Equipamentos_base!A:K,11,"FALSO"))</f>
        <v/>
      </c>
    </row>
    <row r="34" s="316" customFormat="1" hidden="1" spans="1:13">
      <c r="A34" s="324" t="s">
        <v>15801</v>
      </c>
      <c r="B34" s="325" t="str">
        <f>IF(A34="","",VLOOKUP(A34,Equipamentos_base!A:K,2,"FALSO"))</f>
        <v>Equipamento para regulagem final de estais com até 37 cordoalhas - D = 15,7 mm - 20 kW</v>
      </c>
      <c r="C34" s="326">
        <f>IF(A34="","",VLOOKUP(A34,Equipamentos_base!A:K,3,"FALSO"))</f>
        <v>78675.4939</v>
      </c>
      <c r="D34" s="326">
        <f>IF(A34="","",VLOOKUP(A34,Equipamentos_base!A:K,4,"FALSO"))</f>
        <v>4.4957</v>
      </c>
      <c r="E34" s="326">
        <f>IF(A34="","",VLOOKUP(A34,Equipamentos_base!A:K,5,"FALSO"))</f>
        <v>1.3869</v>
      </c>
      <c r="F34" s="326">
        <f>IF(A34="","",VLOOKUP(A34,Equipamentos_base!A:K,6,"FALSO"))</f>
        <v>0</v>
      </c>
      <c r="G34" s="326">
        <f>IF(A34="","",VLOOKUP(A34,Equipamentos_base!A:K,7,"FALSO"))</f>
        <v>4.4957</v>
      </c>
      <c r="H34" s="326">
        <f>IF(A34="","",VLOOKUP(A34,Equipamentos_base!A:K,8,"FALSO"))</f>
        <v>0</v>
      </c>
      <c r="I34" s="326">
        <f>IF(A34="","",VLOOKUP(A34,Equipamentos_base!A:K,9,"FALSO"))</f>
        <v>45.2393</v>
      </c>
      <c r="J34" s="327" t="s">
        <v>932</v>
      </c>
      <c r="K34" s="327" t="s">
        <v>932</v>
      </c>
      <c r="L34" s="316" t="str">
        <f>IF(J34="","",VLOOKUP(A34,Equipamentos_base!A:K,10,"FALSO"))</f>
        <v/>
      </c>
      <c r="M34" s="316" t="str">
        <f>IF(J34="","",VLOOKUP(A34,Equipamentos_base!A:K,11,"FALSO"))</f>
        <v/>
      </c>
    </row>
    <row r="35" s="316" customFormat="1" hidden="1" spans="1:13">
      <c r="A35" s="324" t="s">
        <v>15802</v>
      </c>
      <c r="B35" s="325" t="str">
        <f>IF(A35="","",VLOOKUP(A35,Equipamentos_base!A:K,2,"FALSO"))</f>
        <v>Equipamento para regulagem final de estais de 38 a 55 cordoalhas - D = 15,7 mm - 30 kW</v>
      </c>
      <c r="C35" s="326">
        <f>IF(A35="","",VLOOKUP(A35,Equipamentos_base!A:K,3,"FALSO"))</f>
        <v>112387.3026</v>
      </c>
      <c r="D35" s="326">
        <f>IF(A35="","",VLOOKUP(A35,Equipamentos_base!A:K,4,"FALSO"))</f>
        <v>6.4221</v>
      </c>
      <c r="E35" s="326">
        <f>IF(A35="","",VLOOKUP(A35,Equipamentos_base!A:K,5,"FALSO"))</f>
        <v>1.9812</v>
      </c>
      <c r="F35" s="326">
        <f>IF(A35="","",VLOOKUP(A35,Equipamentos_base!A:K,6,"FALSO"))</f>
        <v>0</v>
      </c>
      <c r="G35" s="326">
        <f>IF(A35="","",VLOOKUP(A35,Equipamentos_base!A:K,7,"FALSO"))</f>
        <v>6.4221</v>
      </c>
      <c r="H35" s="326">
        <f>IF(A35="","",VLOOKUP(A35,Equipamentos_base!A:K,8,"FALSO"))</f>
        <v>0</v>
      </c>
      <c r="I35" s="326">
        <f>IF(A35="","",VLOOKUP(A35,Equipamentos_base!A:K,9,"FALSO"))</f>
        <v>45.2393</v>
      </c>
      <c r="J35" s="327" t="s">
        <v>932</v>
      </c>
      <c r="K35" s="327" t="s">
        <v>932</v>
      </c>
      <c r="L35" s="316" t="str">
        <f>IF(J35="","",VLOOKUP(A35,Equipamentos_base!A:K,10,"FALSO"))</f>
        <v/>
      </c>
      <c r="M35" s="316" t="str">
        <f>IF(J35="","",VLOOKUP(A35,Equipamentos_base!A:K,11,"FALSO"))</f>
        <v/>
      </c>
    </row>
    <row r="36" s="316" customFormat="1" hidden="1" spans="1:13">
      <c r="A36" s="324" t="s">
        <v>15803</v>
      </c>
      <c r="B36" s="325" t="str">
        <f>IF(A36="","",VLOOKUP(A36,Equipamentos_base!A:K,2,"FALSO"))</f>
        <v>Equipamento para regulagem final de estais de 56 a 73 cordoalhas - D = 15,7 mm - 40 kW</v>
      </c>
      <c r="C36" s="326">
        <f>IF(A36="","",VLOOKUP(A36,Equipamentos_base!A:K,3,"FALSO"))</f>
        <v>168562.3324</v>
      </c>
      <c r="D36" s="326">
        <f>IF(A36="","",VLOOKUP(A36,Equipamentos_base!A:K,4,"FALSO"))</f>
        <v>9.6321</v>
      </c>
      <c r="E36" s="326">
        <f>IF(A36="","",VLOOKUP(A36,Equipamentos_base!A:K,5,"FALSO"))</f>
        <v>2.9715</v>
      </c>
      <c r="F36" s="326">
        <f>IF(A36="","",VLOOKUP(A36,Equipamentos_base!A:K,6,"FALSO"))</f>
        <v>0</v>
      </c>
      <c r="G36" s="326">
        <f>IF(A36="","",VLOOKUP(A36,Equipamentos_base!A:K,7,"FALSO"))</f>
        <v>9.6321</v>
      </c>
      <c r="H36" s="326">
        <f>IF(A36="","",VLOOKUP(A36,Equipamentos_base!A:K,8,"FALSO"))</f>
        <v>0</v>
      </c>
      <c r="I36" s="326">
        <f>IF(A36="","",VLOOKUP(A36,Equipamentos_base!A:K,9,"FALSO"))</f>
        <v>45.2393</v>
      </c>
      <c r="J36" s="327" t="s">
        <v>932</v>
      </c>
      <c r="K36" s="327" t="s">
        <v>932</v>
      </c>
      <c r="L36" s="316" t="str">
        <f>IF(J36="","",VLOOKUP(A36,Equipamentos_base!A:K,10,"FALSO"))</f>
        <v/>
      </c>
      <c r="M36" s="316" t="str">
        <f>IF(J36="","",VLOOKUP(A36,Equipamentos_base!A:K,11,"FALSO"))</f>
        <v/>
      </c>
    </row>
    <row r="37" s="316" customFormat="1" hidden="1" spans="1:13">
      <c r="A37" s="324" t="s">
        <v>15804</v>
      </c>
      <c r="B37" s="325" t="str">
        <f>IF(A37="","",VLOOKUP(A37,Equipamentos_base!A:K,2,"FALSO"))</f>
        <v>Equipamento para regulagem final de estais de 74 a 91 cordoalhas - D = 15,7 mm - 50 kW</v>
      </c>
      <c r="C37" s="326">
        <f>IF(A37="","",VLOOKUP(A37,Equipamentos_base!A:K,3,"FALSO"))</f>
        <v>224737.6852</v>
      </c>
      <c r="D37" s="326">
        <f>IF(A37="","",VLOOKUP(A37,Equipamentos_base!A:K,4,"FALSO"))</f>
        <v>12.8422</v>
      </c>
      <c r="E37" s="326">
        <f>IF(A37="","",VLOOKUP(A37,Equipamentos_base!A:K,5,"FALSO"))</f>
        <v>3.9618</v>
      </c>
      <c r="F37" s="326">
        <f>IF(A37="","",VLOOKUP(A37,Equipamentos_base!A:K,6,"FALSO"))</f>
        <v>0</v>
      </c>
      <c r="G37" s="326">
        <f>IF(A37="","",VLOOKUP(A37,Equipamentos_base!A:K,7,"FALSO"))</f>
        <v>12.8422</v>
      </c>
      <c r="H37" s="326">
        <f>IF(A37="","",VLOOKUP(A37,Equipamentos_base!A:K,8,"FALSO"))</f>
        <v>0</v>
      </c>
      <c r="I37" s="326">
        <f>IF(A37="","",VLOOKUP(A37,Equipamentos_base!A:K,9,"FALSO"))</f>
        <v>45.2393</v>
      </c>
      <c r="J37" s="327" t="s">
        <v>932</v>
      </c>
      <c r="K37" s="327" t="s">
        <v>932</v>
      </c>
      <c r="L37" s="316" t="str">
        <f>IF(J37="","",VLOOKUP(A37,Equipamentos_base!A:K,10,"FALSO"))</f>
        <v/>
      </c>
      <c r="M37" s="316" t="str">
        <f>IF(J37="","",VLOOKUP(A37,Equipamentos_base!A:K,11,"FALSO"))</f>
        <v/>
      </c>
    </row>
    <row r="38" s="316" customFormat="1" ht="30" hidden="1" spans="1:13">
      <c r="A38" s="324" t="s">
        <v>15805</v>
      </c>
      <c r="B38" s="325" t="str">
        <f>IF(A38="","",VLOOKUP(A38,Equipamentos_base!A:K,2,"FALSO"))</f>
        <v>Grua fixa para alturas de 60 a 102 m, com alcance de 60 m com capacidade de 1.500 kg na ponta da lança - 37 kW</v>
      </c>
      <c r="C38" s="326">
        <f>IF(A38="","",VLOOKUP(A38,Equipamentos_base!A:K,3,"FALSO"))</f>
        <v>3785680.2078</v>
      </c>
      <c r="D38" s="326">
        <f>IF(A38="","",VLOOKUP(A38,Equipamentos_base!A:K,4,"FALSO"))</f>
        <v>147.2209</v>
      </c>
      <c r="E38" s="326">
        <f>IF(A38="","",VLOOKUP(A38,Equipamentos_base!A:K,5,"FALSO"))</f>
        <v>64.8824</v>
      </c>
      <c r="F38" s="326">
        <f>IF(A38="","",VLOOKUP(A38,Equipamentos_base!A:K,6,"FALSO"))</f>
        <v>0</v>
      </c>
      <c r="G38" s="326">
        <f>IF(A38="","",VLOOKUP(A38,Equipamentos_base!A:K,7,"FALSO"))</f>
        <v>168.2525</v>
      </c>
      <c r="H38" s="326">
        <f>IF(A38="","",VLOOKUP(A38,Equipamentos_base!A:K,8,"FALSO"))</f>
        <v>0</v>
      </c>
      <c r="I38" s="326">
        <f>IF(A38="","",VLOOKUP(A38,Equipamentos_base!A:K,9,"FALSO"))</f>
        <v>45.2393</v>
      </c>
      <c r="J38" s="327" t="s">
        <v>932</v>
      </c>
      <c r="K38" s="327" t="s">
        <v>932</v>
      </c>
      <c r="L38" s="316" t="str">
        <f>IF(J38="","",VLOOKUP(A38,Equipamentos_base!A:K,10,"FALSO"))</f>
        <v/>
      </c>
      <c r="M38" s="316" t="str">
        <f>IF(J38="","",VLOOKUP(A38,Equipamentos_base!A:K,11,"FALSO"))</f>
        <v/>
      </c>
    </row>
    <row r="39" s="316" customFormat="1" ht="30" hidden="1" spans="1:13">
      <c r="A39" s="324" t="s">
        <v>15806</v>
      </c>
      <c r="B39" s="325" t="str">
        <f>IF(A39="","",VLOOKUP(A39,Equipamentos_base!A:K,2,"FALSO"))</f>
        <v>Plataforma de inspeção sob pontes montada em caminhão com capacidade de 500 kg e alcance de 15 m - 236 kW</v>
      </c>
      <c r="C39" s="326">
        <f>IF(A39="","",VLOOKUP(A39,Equipamentos_base!A:K,3,"FALSO"))</f>
        <v>0</v>
      </c>
      <c r="D39" s="326">
        <f>IF(A39="","",VLOOKUP(A39,Equipamentos_base!A:K,4,"FALSO"))</f>
        <v>0</v>
      </c>
      <c r="E39" s="326">
        <f>IF(A39="","",VLOOKUP(A39,Equipamentos_base!A:K,5,"FALSO"))</f>
        <v>0</v>
      </c>
      <c r="F39" s="326">
        <f>IF(A39="","",VLOOKUP(A39,Equipamentos_base!A:K,6,"FALSO"))</f>
        <v>0</v>
      </c>
      <c r="G39" s="326">
        <f>IF(A39="","",VLOOKUP(A39,Equipamentos_base!A:K,7,"FALSO"))</f>
        <v>0</v>
      </c>
      <c r="H39" s="326">
        <f>IF(A39="","",VLOOKUP(A39,Equipamentos_base!A:K,8,"FALSO"))</f>
        <v>0</v>
      </c>
      <c r="I39" s="326">
        <f>IF(A39="","",VLOOKUP(A39,Equipamentos_base!A:K,9,"FALSO"))</f>
        <v>0</v>
      </c>
      <c r="J39" s="327" t="s">
        <v>932</v>
      </c>
      <c r="K39" s="327" t="s">
        <v>932</v>
      </c>
      <c r="L39" s="316" t="str">
        <f>IF(J39="","",VLOOKUP(A39,Equipamentos_base!A:K,10,"FALSO"))</f>
        <v/>
      </c>
      <c r="M39" s="316" t="str">
        <f>IF(J39="","",VLOOKUP(A39,Equipamentos_base!A:K,11,"FALSO"))</f>
        <v/>
      </c>
    </row>
    <row r="40" s="316" customFormat="1" hidden="1" spans="1:13">
      <c r="A40" s="324" t="s">
        <v>15807</v>
      </c>
      <c r="B40" s="325" t="str">
        <f>IF(A40="","",VLOOKUP(A40,Equipamentos_base!A:K,2,"FALSO"))</f>
        <v>Macaco hidráulico monocordoalha para tensionamento de estais - 3 kW</v>
      </c>
      <c r="C40" s="326">
        <f>IF(A40="","",VLOOKUP(A40,Equipamentos_base!A:K,3,"FALSO"))</f>
        <v>18683.7339</v>
      </c>
      <c r="D40" s="326">
        <f>IF(A40="","",VLOOKUP(A40,Equipamentos_base!A:K,4,"FALSO"))</f>
        <v>1.0676</v>
      </c>
      <c r="E40" s="326">
        <f>IF(A40="","",VLOOKUP(A40,Equipamentos_base!A:K,5,"FALSO"))</f>
        <v>0.3294</v>
      </c>
      <c r="F40" s="326">
        <f>IF(A40="","",VLOOKUP(A40,Equipamentos_base!A:K,6,"FALSO"))</f>
        <v>0</v>
      </c>
      <c r="G40" s="326">
        <f>IF(A40="","",VLOOKUP(A40,Equipamentos_base!A:K,7,"FALSO"))</f>
        <v>1.0676</v>
      </c>
      <c r="H40" s="326">
        <f>IF(A40="","",VLOOKUP(A40,Equipamentos_base!A:K,8,"FALSO"))</f>
        <v>0</v>
      </c>
      <c r="I40" s="326">
        <f>IF(A40="","",VLOOKUP(A40,Equipamentos_base!A:K,9,"FALSO"))</f>
        <v>45.2393</v>
      </c>
      <c r="J40" s="327" t="s">
        <v>932</v>
      </c>
      <c r="K40" s="327" t="s">
        <v>932</v>
      </c>
      <c r="L40" s="316" t="str">
        <f>IF(J40="","",VLOOKUP(A40,Equipamentos_base!A:K,10,"FALSO"))</f>
        <v/>
      </c>
      <c r="M40" s="316" t="str">
        <f>IF(J40="","",VLOOKUP(A40,Equipamentos_base!A:K,11,"FALSO"))</f>
        <v/>
      </c>
    </row>
    <row r="41" s="316" customFormat="1" hidden="1" spans="1:13">
      <c r="A41" s="324" t="s">
        <v>15808</v>
      </c>
      <c r="B41" s="325" t="str">
        <f>IF(A41="","",VLOOKUP(A41,Equipamentos_base!A:K,2,"FALSO"))</f>
        <v>Máquina de solda por termofusão para tubos PEAD com gerador de 4 kW</v>
      </c>
      <c r="C41" s="326">
        <f>IF(A41="","",VLOOKUP(A41,Equipamentos_base!A:K,3,"FALSO"))</f>
        <v>115461.0033</v>
      </c>
      <c r="D41" s="326">
        <f>IF(A41="","",VLOOKUP(A41,Equipamentos_base!A:K,4,"FALSO"))</f>
        <v>15.3948</v>
      </c>
      <c r="E41" s="326">
        <f>IF(A41="","",VLOOKUP(A41,Equipamentos_base!A:K,5,"FALSO"))</f>
        <v>2.3746</v>
      </c>
      <c r="F41" s="326">
        <f>IF(A41="","",VLOOKUP(A41,Equipamentos_base!A:K,6,"FALSO"))</f>
        <v>0</v>
      </c>
      <c r="G41" s="326">
        <f>IF(A41="","",VLOOKUP(A41,Equipamentos_base!A:K,7,"FALSO"))</f>
        <v>15.3948</v>
      </c>
      <c r="H41" s="326">
        <f>IF(A41="","",VLOOKUP(A41,Equipamentos_base!A:K,8,"FALSO"))</f>
        <v>4.2104</v>
      </c>
      <c r="I41" s="326">
        <f>IF(A41="","",VLOOKUP(A41,Equipamentos_base!A:K,9,"FALSO"))</f>
        <v>45.2393</v>
      </c>
      <c r="J41" s="327" t="s">
        <v>932</v>
      </c>
      <c r="K41" s="327" t="s">
        <v>932</v>
      </c>
      <c r="L41" s="316" t="str">
        <f>IF(J41="","",VLOOKUP(A41,Equipamentos_base!A:K,10,"FALSO"))</f>
        <v/>
      </c>
      <c r="M41" s="316" t="str">
        <f>IF(J41="","",VLOOKUP(A41,Equipamentos_base!A:K,11,"FALSO"))</f>
        <v/>
      </c>
    </row>
    <row r="42" s="316" customFormat="1" hidden="1" spans="1:13">
      <c r="A42" s="324" t="s">
        <v>15809</v>
      </c>
      <c r="B42" s="325" t="str">
        <f>IF(A42="","",VLOOKUP(A42,Equipamentos_base!A:K,2,"FALSO"))</f>
        <v>Serra mármore - 1,45 kW</v>
      </c>
      <c r="C42" s="326">
        <f>IF(A42="","",VLOOKUP(A42,Equipamentos_base!A:K,3,"FALSO"))</f>
        <v>462.87</v>
      </c>
      <c r="D42" s="326">
        <f>IF(A42="","",VLOOKUP(A42,Equipamentos_base!A:K,4,"FALSO"))</f>
        <v>0.0417</v>
      </c>
      <c r="E42" s="326">
        <f>IF(A42="","",VLOOKUP(A42,Equipamentos_base!A:K,5,"FALSO"))</f>
        <v>0.0086</v>
      </c>
      <c r="F42" s="326">
        <f>IF(A42="","",VLOOKUP(A42,Equipamentos_base!A:K,6,"FALSO"))</f>
        <v>0</v>
      </c>
      <c r="G42" s="326">
        <f>IF(A42="","",VLOOKUP(A42,Equipamentos_base!A:K,7,"FALSO"))</f>
        <v>0.0231</v>
      </c>
      <c r="H42" s="326">
        <f>IF(A42="","",VLOOKUP(A42,Equipamentos_base!A:K,8,"FALSO"))</f>
        <v>0</v>
      </c>
      <c r="I42" s="326">
        <f>IF(A42="","",VLOOKUP(A42,Equipamentos_base!A:K,9,"FALSO"))</f>
        <v>0</v>
      </c>
      <c r="J42" s="327" t="s">
        <v>932</v>
      </c>
      <c r="K42" s="327" t="s">
        <v>932</v>
      </c>
      <c r="L42" s="316" t="str">
        <f>IF(J42="","",VLOOKUP(A42,Equipamentos_base!A:K,10,"FALSO"))</f>
        <v/>
      </c>
      <c r="M42" s="316" t="str">
        <f>IF(J42="","",VLOOKUP(A42,Equipamentos_base!A:K,11,"FALSO"))</f>
        <v/>
      </c>
    </row>
    <row r="43" s="316" customFormat="1" spans="1:13">
      <c r="A43" s="324" t="s">
        <v>1108</v>
      </c>
      <c r="B43" s="325" t="str">
        <f>IF(A43="","",VLOOKUP(A43,Equipamentos_base!A:K,2,"FALSO"))</f>
        <v>Caminhão guindauto com capacidade de elevação de 11,9 t e carroceria de 11,5 t - 188 kW</v>
      </c>
      <c r="C43" s="326">
        <f>IF(A43="","",VLOOKUP(A43,Equipamentos_base!A:K,3,"FALSO"))</f>
        <v>0</v>
      </c>
      <c r="D43" s="326">
        <f>IF(A43="","",VLOOKUP(A43,Equipamentos_base!A:K,4,"FALSO"))</f>
        <v>0</v>
      </c>
      <c r="E43" s="326">
        <f>IF(A43="","",VLOOKUP(A43,Equipamentos_base!A:K,5,"FALSO"))</f>
        <v>0</v>
      </c>
      <c r="F43" s="326">
        <f>IF(A43="","",VLOOKUP(A43,Equipamentos_base!A:K,6,"FALSO"))</f>
        <v>0</v>
      </c>
      <c r="G43" s="326">
        <f>IF(A43="","",VLOOKUP(A43,Equipamentos_base!A:K,7,"FALSO"))</f>
        <v>0</v>
      </c>
      <c r="H43" s="326">
        <f>IF(A43="","",VLOOKUP(A43,Equipamentos_base!A:K,8,"FALSO"))</f>
        <v>0</v>
      </c>
      <c r="I43" s="326">
        <f>IF(A43="","",VLOOKUP(A43,Equipamentos_base!A:K,9,"FALSO"))</f>
        <v>0</v>
      </c>
      <c r="J43" s="327">
        <v>403.8049</v>
      </c>
      <c r="K43" s="327">
        <v>125.203</v>
      </c>
      <c r="L43" s="316">
        <f>IF(J43="","",VLOOKUP(A43,Equipamentos_base!A:K,10,"FALSO"))</f>
        <v>403.8049</v>
      </c>
      <c r="M43" s="316">
        <f>IF(J43="","",VLOOKUP(A43,Equipamentos_base!A:K,11,"FALSO"))</f>
        <v>125.203</v>
      </c>
    </row>
    <row r="44" s="316" customFormat="1" hidden="1" spans="1:13">
      <c r="A44" s="324" t="s">
        <v>15810</v>
      </c>
      <c r="B44" s="325" t="str">
        <f>IF(A44="","",VLOOKUP(A44,Equipamentos_base!A:K,2,"FALSO"))</f>
        <v>Trator sobre esteiras com lâmina - 97 kW</v>
      </c>
      <c r="C44" s="326">
        <f>IF(A44="","",VLOOKUP(A44,Equipamentos_base!A:K,3,"FALSO"))</f>
        <v>1352016.8099</v>
      </c>
      <c r="D44" s="326">
        <f>IF(A44="","",VLOOKUP(A44,Equipamentos_base!A:K,4,"FALSO"))</f>
        <v>118.3015</v>
      </c>
      <c r="E44" s="326">
        <f>IF(A44="","",VLOOKUP(A44,Equipamentos_base!A:K,5,"FALSO"))</f>
        <v>26.0686</v>
      </c>
      <c r="F44" s="326">
        <f>IF(A44="","",VLOOKUP(A44,Equipamentos_base!A:K,6,"FALSO"))</f>
        <v>0</v>
      </c>
      <c r="G44" s="326">
        <f>IF(A44="","",VLOOKUP(A44,Equipamentos_base!A:K,7,"FALSO"))</f>
        <v>169.0021</v>
      </c>
      <c r="H44" s="326">
        <f>IF(A44="","",VLOOKUP(A44,Equipamentos_base!A:K,8,"FALSO"))</f>
        <v>75.2332</v>
      </c>
      <c r="I44" s="326">
        <f>IF(A44="","",VLOOKUP(A44,Equipamentos_base!A:K,9,"FALSO"))</f>
        <v>33.7544</v>
      </c>
      <c r="J44" s="327" t="s">
        <v>932</v>
      </c>
      <c r="K44" s="327" t="s">
        <v>932</v>
      </c>
      <c r="L44" s="316" t="str">
        <f>IF(J44="","",VLOOKUP(A44,Equipamentos_base!A:K,10,"FALSO"))</f>
        <v/>
      </c>
      <c r="M44" s="316" t="str">
        <f>IF(J44="","",VLOOKUP(A44,Equipamentos_base!A:K,11,"FALSO"))</f>
        <v/>
      </c>
    </row>
    <row r="45" s="316" customFormat="1" hidden="1" spans="1:13">
      <c r="A45" s="324" t="s">
        <v>15811</v>
      </c>
      <c r="B45" s="325" t="str">
        <f>IF(A45="","",VLOOKUP(A45,Equipamentos_base!A:K,2,"FALSO"))</f>
        <v>Embarcação de alumínio com comprimento de 6 m e motor de popa - 18,60 kW</v>
      </c>
      <c r="C45" s="326">
        <f>IF(A45="","",VLOOKUP(A45,Equipamentos_base!A:K,3,"FALSO"))</f>
        <v>35888.0432</v>
      </c>
      <c r="D45" s="326">
        <f>IF(A45="","",VLOOKUP(A45,Equipamentos_base!A:K,4,"FALSO"))</f>
        <v>0.4108</v>
      </c>
      <c r="E45" s="326">
        <f>IF(A45="","",VLOOKUP(A45,Equipamentos_base!A:K,5,"FALSO"))</f>
        <v>0.2063</v>
      </c>
      <c r="F45" s="326">
        <f>IF(A45="","",VLOOKUP(A45,Equipamentos_base!A:K,6,"FALSO"))</f>
        <v>0</v>
      </c>
      <c r="G45" s="326">
        <f>IF(A45="","",VLOOKUP(A45,Equipamentos_base!A:K,7,"FALSO"))</f>
        <v>0.4565</v>
      </c>
      <c r="H45" s="326">
        <f>IF(A45="","",VLOOKUP(A45,Equipamentos_base!A:K,8,"FALSO"))</f>
        <v>39.2088</v>
      </c>
      <c r="I45" s="326">
        <f>IF(A45="","",VLOOKUP(A45,Equipamentos_base!A:K,9,"FALSO"))</f>
        <v>41.7512</v>
      </c>
      <c r="J45" s="327" t="s">
        <v>932</v>
      </c>
      <c r="K45" s="327" t="s">
        <v>932</v>
      </c>
      <c r="L45" s="316" t="str">
        <f>IF(J45="","",VLOOKUP(A45,Equipamentos_base!A:K,10,"FALSO"))</f>
        <v/>
      </c>
      <c r="M45" s="316" t="str">
        <f>IF(J45="","",VLOOKUP(A45,Equipamentos_base!A:K,11,"FALSO"))</f>
        <v/>
      </c>
    </row>
    <row r="46" s="316" customFormat="1" hidden="1" spans="1:13">
      <c r="A46" s="324" t="s">
        <v>15812</v>
      </c>
      <c r="B46" s="325" t="str">
        <f>IF(A46="","",VLOOKUP(A46,Equipamentos_base!A:K,2,"FALSO"))</f>
        <v>Central de concreto com capacidade de 150 m³/h - dosadora e misturadora</v>
      </c>
      <c r="C46" s="326">
        <f>IF(A46="","",VLOOKUP(A46,Equipamentos_base!A:K,3,"FALSO"))</f>
        <v>2067661.7683</v>
      </c>
      <c r="D46" s="326">
        <f>IF(A46="","",VLOOKUP(A46,Equipamentos_base!A:K,4,"FALSO"))</f>
        <v>206.7662</v>
      </c>
      <c r="E46" s="326">
        <f>IF(A46="","",VLOOKUP(A46,Equipamentos_base!A:K,5,"FALSO"))</f>
        <v>39.8671</v>
      </c>
      <c r="F46" s="326">
        <f>IF(A46="","",VLOOKUP(A46,Equipamentos_base!A:K,6,"FALSO"))</f>
        <v>0</v>
      </c>
      <c r="G46" s="326">
        <f>IF(A46="","",VLOOKUP(A46,Equipamentos_base!A:K,7,"FALSO"))</f>
        <v>180.9204</v>
      </c>
      <c r="H46" s="326">
        <f>IF(A46="","",VLOOKUP(A46,Equipamentos_base!A:K,8,"FALSO"))</f>
        <v>0</v>
      </c>
      <c r="I46" s="326">
        <f>IF(A46="","",VLOOKUP(A46,Equipamentos_base!A:K,9,"FALSO"))</f>
        <v>45.2393</v>
      </c>
      <c r="J46" s="327" t="s">
        <v>932</v>
      </c>
      <c r="K46" s="327" t="s">
        <v>932</v>
      </c>
      <c r="L46" s="316" t="str">
        <f>IF(J46="","",VLOOKUP(A46,Equipamentos_base!A:K,10,"FALSO"))</f>
        <v/>
      </c>
      <c r="M46" s="316" t="str">
        <f>IF(J46="","",VLOOKUP(A46,Equipamentos_base!A:K,11,"FALSO"))</f>
        <v/>
      </c>
    </row>
    <row r="47" s="316" customFormat="1" hidden="1" spans="1:13">
      <c r="A47" s="324" t="s">
        <v>15813</v>
      </c>
      <c r="B47" s="325" t="str">
        <f>IF(A47="","",VLOOKUP(A47,Equipamentos_base!A:K,2,"FALSO"))</f>
        <v>Conjunto bomba e macaco hidráulico para elevação com capacidade de 496 kN</v>
      </c>
      <c r="C47" s="326">
        <f>IF(A47="","",VLOOKUP(A47,Equipamentos_base!A:K,3,"FALSO"))</f>
        <v>63263.7031</v>
      </c>
      <c r="D47" s="326">
        <f>IF(A47="","",VLOOKUP(A47,Equipamentos_base!A:K,4,"FALSO"))</f>
        <v>5.0611</v>
      </c>
      <c r="E47" s="326">
        <f>IF(A47="","",VLOOKUP(A47,Equipamentos_base!A:K,5,"FALSO"))</f>
        <v>1.171</v>
      </c>
      <c r="F47" s="326">
        <f>IF(A47="","",VLOOKUP(A47,Equipamentos_base!A:K,6,"FALSO"))</f>
        <v>0</v>
      </c>
      <c r="G47" s="326">
        <f>IF(A47="","",VLOOKUP(A47,Equipamentos_base!A:K,7,"FALSO"))</f>
        <v>5.0611</v>
      </c>
      <c r="H47" s="326">
        <f>IF(A47="","",VLOOKUP(A47,Equipamentos_base!A:K,8,"FALSO"))</f>
        <v>6.071</v>
      </c>
      <c r="I47" s="326">
        <f>IF(A47="","",VLOOKUP(A47,Equipamentos_base!A:K,9,"FALSO"))</f>
        <v>45.2393</v>
      </c>
      <c r="J47" s="327" t="s">
        <v>932</v>
      </c>
      <c r="K47" s="327" t="s">
        <v>932</v>
      </c>
      <c r="L47" s="316" t="str">
        <f>IF(J47="","",VLOOKUP(A47,Equipamentos_base!A:K,10,"FALSO"))</f>
        <v/>
      </c>
      <c r="M47" s="316" t="str">
        <f>IF(J47="","",VLOOKUP(A47,Equipamentos_base!A:K,11,"FALSO"))</f>
        <v/>
      </c>
    </row>
    <row r="48" s="316" customFormat="1" hidden="1" spans="1:13">
      <c r="A48" s="324" t="s">
        <v>15814</v>
      </c>
      <c r="B48" s="325" t="str">
        <f>IF(A48="","",VLOOKUP(A48,Equipamentos_base!A:K,2,"FALSO"))</f>
        <v>Conjunto bomba e macaco hidráulico para elevação com capacidade de 929 kN</v>
      </c>
      <c r="C48" s="326">
        <f>IF(A48="","",VLOOKUP(A48,Equipamentos_base!A:K,3,"FALSO"))</f>
        <v>79944.6084</v>
      </c>
      <c r="D48" s="326">
        <f>IF(A48="","",VLOOKUP(A48,Equipamentos_base!A:K,4,"FALSO"))</f>
        <v>6.3956</v>
      </c>
      <c r="E48" s="326">
        <f>IF(A48="","",VLOOKUP(A48,Equipamentos_base!A:K,5,"FALSO"))</f>
        <v>1.4798</v>
      </c>
      <c r="F48" s="326">
        <f>IF(A48="","",VLOOKUP(A48,Equipamentos_base!A:K,6,"FALSO"))</f>
        <v>0</v>
      </c>
      <c r="G48" s="326">
        <f>IF(A48="","",VLOOKUP(A48,Equipamentos_base!A:K,7,"FALSO"))</f>
        <v>6.3956</v>
      </c>
      <c r="H48" s="326">
        <f>IF(A48="","",VLOOKUP(A48,Equipamentos_base!A:K,8,"FALSO"))</f>
        <v>6.071</v>
      </c>
      <c r="I48" s="326">
        <f>IF(A48="","",VLOOKUP(A48,Equipamentos_base!A:K,9,"FALSO"))</f>
        <v>45.2393</v>
      </c>
      <c r="J48" s="327" t="s">
        <v>932</v>
      </c>
      <c r="K48" s="327" t="s">
        <v>932</v>
      </c>
      <c r="L48" s="316" t="str">
        <f>IF(J48="","",VLOOKUP(A48,Equipamentos_base!A:K,10,"FALSO"))</f>
        <v/>
      </c>
      <c r="M48" s="316" t="str">
        <f>IF(J48="","",VLOOKUP(A48,Equipamentos_base!A:K,11,"FALSO"))</f>
        <v/>
      </c>
    </row>
    <row r="49" s="316" customFormat="1" hidden="1" spans="1:13">
      <c r="A49" s="324" t="s">
        <v>15815</v>
      </c>
      <c r="B49" s="325" t="str">
        <f>IF(A49="","",VLOOKUP(A49,Equipamentos_base!A:K,2,"FALSO"))</f>
        <v>Conjunto bomba e macaco hidráulico para elevação com capacidade de 1.390 kN</v>
      </c>
      <c r="C49" s="326">
        <f>IF(A49="","",VLOOKUP(A49,Equipamentos_base!A:K,3,"FALSO"))</f>
        <v>122379.5043</v>
      </c>
      <c r="D49" s="326">
        <f>IF(A49="","",VLOOKUP(A49,Equipamentos_base!A:K,4,"FALSO"))</f>
        <v>9.7904</v>
      </c>
      <c r="E49" s="326">
        <f>IF(A49="","",VLOOKUP(A49,Equipamentos_base!A:K,5,"FALSO"))</f>
        <v>2.2652</v>
      </c>
      <c r="F49" s="326">
        <f>IF(A49="","",VLOOKUP(A49,Equipamentos_base!A:K,6,"FALSO"))</f>
        <v>0</v>
      </c>
      <c r="G49" s="326">
        <f>IF(A49="","",VLOOKUP(A49,Equipamentos_base!A:K,7,"FALSO"))</f>
        <v>9.7904</v>
      </c>
      <c r="H49" s="326">
        <f>IF(A49="","",VLOOKUP(A49,Equipamentos_base!A:K,8,"FALSO"))</f>
        <v>6.071</v>
      </c>
      <c r="I49" s="326">
        <f>IF(A49="","",VLOOKUP(A49,Equipamentos_base!A:K,9,"FALSO"))</f>
        <v>45.2393</v>
      </c>
      <c r="J49" s="327" t="s">
        <v>932</v>
      </c>
      <c r="K49" s="327" t="s">
        <v>932</v>
      </c>
      <c r="L49" s="316" t="str">
        <f>IF(J49="","",VLOOKUP(A49,Equipamentos_base!A:K,10,"FALSO"))</f>
        <v/>
      </c>
      <c r="M49" s="316" t="str">
        <f>IF(J49="","",VLOOKUP(A49,Equipamentos_base!A:K,11,"FALSO"))</f>
        <v/>
      </c>
    </row>
    <row r="50" s="316" customFormat="1" hidden="1" spans="1:13">
      <c r="A50" s="324" t="s">
        <v>15816</v>
      </c>
      <c r="B50" s="325" t="str">
        <f>IF(A50="","",VLOOKUP(A50,Equipamentos_base!A:K,2,"FALSO"))</f>
        <v>Conjunto bomba e macaco hidráulico para elevação com capacidade de 1.859 kN</v>
      </c>
      <c r="C50" s="326">
        <f>IF(A50="","",VLOOKUP(A50,Equipamentos_base!A:K,3,"FALSO"))</f>
        <v>141667.3117</v>
      </c>
      <c r="D50" s="326">
        <f>IF(A50="","",VLOOKUP(A50,Equipamentos_base!A:K,4,"FALSO"))</f>
        <v>11.3334</v>
      </c>
      <c r="E50" s="326">
        <f>IF(A50="","",VLOOKUP(A50,Equipamentos_base!A:K,5,"FALSO"))</f>
        <v>2.6223</v>
      </c>
      <c r="F50" s="326">
        <f>IF(A50="","",VLOOKUP(A50,Equipamentos_base!A:K,6,"FALSO"))</f>
        <v>0</v>
      </c>
      <c r="G50" s="326">
        <f>IF(A50="","",VLOOKUP(A50,Equipamentos_base!A:K,7,"FALSO"))</f>
        <v>11.3334</v>
      </c>
      <c r="H50" s="326">
        <f>IF(A50="","",VLOOKUP(A50,Equipamentos_base!A:K,8,"FALSO"))</f>
        <v>6.071</v>
      </c>
      <c r="I50" s="326">
        <f>IF(A50="","",VLOOKUP(A50,Equipamentos_base!A:K,9,"FALSO"))</f>
        <v>45.2393</v>
      </c>
      <c r="J50" s="327" t="s">
        <v>932</v>
      </c>
      <c r="K50" s="327" t="s">
        <v>932</v>
      </c>
      <c r="L50" s="316" t="str">
        <f>IF(J50="","",VLOOKUP(A50,Equipamentos_base!A:K,10,"FALSO"))</f>
        <v/>
      </c>
      <c r="M50" s="316" t="str">
        <f>IF(J50="","",VLOOKUP(A50,Equipamentos_base!A:K,11,"FALSO"))</f>
        <v/>
      </c>
    </row>
    <row r="51" s="316" customFormat="1" hidden="1" spans="1:13">
      <c r="A51" s="324" t="s">
        <v>15817</v>
      </c>
      <c r="B51" s="325" t="str">
        <f>IF(A51="","",VLOOKUP(A51,Equipamentos_base!A:K,2,"FALSO"))</f>
        <v>Bomba de alta pressão para hidrojateamento com capacidade de 250 MPa - 72 kW</v>
      </c>
      <c r="C51" s="326">
        <f>IF(A51="","",VLOOKUP(A51,Equipamentos_base!A:K,3,"FALSO"))</f>
        <v>736508.9796</v>
      </c>
      <c r="D51" s="326">
        <f>IF(A51="","",VLOOKUP(A51,Equipamentos_base!A:K,4,"FALSO"))</f>
        <v>147.3018</v>
      </c>
      <c r="E51" s="326">
        <f>IF(A51="","",VLOOKUP(A51,Equipamentos_base!A:K,5,"FALSO"))</f>
        <v>17.041</v>
      </c>
      <c r="F51" s="326">
        <f>IF(A51="","",VLOOKUP(A51,Equipamentos_base!A:K,6,"FALSO"))</f>
        <v>0</v>
      </c>
      <c r="G51" s="326">
        <f>IF(A51="","",VLOOKUP(A51,Equipamentos_base!A:K,7,"FALSO"))</f>
        <v>165.7145</v>
      </c>
      <c r="H51" s="326">
        <f>IF(A51="","",VLOOKUP(A51,Equipamentos_base!A:K,8,"FALSO"))</f>
        <v>59.832</v>
      </c>
      <c r="I51" s="326">
        <f>IF(A51="","",VLOOKUP(A51,Equipamentos_base!A:K,9,"FALSO"))</f>
        <v>26.5829</v>
      </c>
      <c r="J51" s="327" t="s">
        <v>932</v>
      </c>
      <c r="K51" s="327" t="s">
        <v>932</v>
      </c>
      <c r="L51" s="316" t="str">
        <f>IF(J51="","",VLOOKUP(A51,Equipamentos_base!A:K,10,"FALSO"))</f>
        <v/>
      </c>
      <c r="M51" s="316" t="str">
        <f>IF(J51="","",VLOOKUP(A51,Equipamentos_base!A:K,11,"FALSO"))</f>
        <v/>
      </c>
    </row>
    <row r="52" s="316" customFormat="1" hidden="1" spans="1:13">
      <c r="A52" s="324" t="s">
        <v>15818</v>
      </c>
      <c r="B52" s="325" t="str">
        <f>IF(A52="","",VLOOKUP(A52,Equipamentos_base!A:K,2,"FALSO"))</f>
        <v>Guindaste móvel sobre pneus com 2 eixos com capacidade de 18 t - 97 kW</v>
      </c>
      <c r="C52" s="326">
        <f>IF(A52="","",VLOOKUP(A52,Equipamentos_base!A:K,3,"FALSO"))</f>
        <v>2831670.1682</v>
      </c>
      <c r="D52" s="326">
        <f>IF(A52="","",VLOOKUP(A52,Equipamentos_base!A:K,4,"FALSO"))</f>
        <v>141.5835</v>
      </c>
      <c r="E52" s="326">
        <f>IF(A52="","",VLOOKUP(A52,Equipamentos_base!A:K,5,"FALSO"))</f>
        <v>49.9183</v>
      </c>
      <c r="F52" s="326">
        <f>IF(A52="","",VLOOKUP(A52,Equipamentos_base!A:K,6,"FALSO"))</f>
        <v>0</v>
      </c>
      <c r="G52" s="326">
        <f>IF(A52="","",VLOOKUP(A52,Equipamentos_base!A:K,7,"FALSO"))</f>
        <v>182.0359</v>
      </c>
      <c r="H52" s="326">
        <f>IF(A52="","",VLOOKUP(A52,Equipamentos_base!A:K,8,"FALSO"))</f>
        <v>26.869</v>
      </c>
      <c r="I52" s="326">
        <f>IF(A52="","",VLOOKUP(A52,Equipamentos_base!A:K,9,"FALSO"))</f>
        <v>38.1454</v>
      </c>
      <c r="J52" s="327" t="s">
        <v>932</v>
      </c>
      <c r="K52" s="330" t="s">
        <v>932</v>
      </c>
      <c r="L52" s="316" t="str">
        <f>IF(J52="","",VLOOKUP(A52,Equipamentos_base!A:K,10,"FALSO"))</f>
        <v/>
      </c>
      <c r="M52" s="316" t="str">
        <f>IF(J52="","",VLOOKUP(A52,Equipamentos_base!A:K,11,"FALSO"))</f>
        <v/>
      </c>
    </row>
    <row r="53" s="316" customFormat="1" hidden="1" spans="1:13">
      <c r="A53" s="324" t="s">
        <v>15819</v>
      </c>
      <c r="B53" s="325" t="str">
        <f>IF(A53="","",VLOOKUP(A53,Equipamentos_base!A:K,2,"FALSO"))</f>
        <v>Máquina levantadora e posicionadora de via - 7,40 kW</v>
      </c>
      <c r="C53" s="326">
        <f>IF(A53="","",VLOOKUP(A53,Equipamentos_base!A:K,3,"FALSO"))</f>
        <v>1120220.489</v>
      </c>
      <c r="D53" s="326">
        <f>IF(A53="","",VLOOKUP(A53,Equipamentos_base!A:K,4,"FALSO"))</f>
        <v>89.6176</v>
      </c>
      <c r="E53" s="326">
        <f>IF(A53="","",VLOOKUP(A53,Equipamentos_base!A:K,5,"FALSO"))</f>
        <v>20.7353</v>
      </c>
      <c r="F53" s="326">
        <f>IF(A53="","",VLOOKUP(A53,Equipamentos_base!A:K,6,"FALSO"))</f>
        <v>0</v>
      </c>
      <c r="G53" s="326">
        <f>IF(A53="","",VLOOKUP(A53,Equipamentos_base!A:K,7,"FALSO"))</f>
        <v>78.4154</v>
      </c>
      <c r="H53" s="326">
        <f>IF(A53="","",VLOOKUP(A53,Equipamentos_base!A:K,8,"FALSO"))</f>
        <v>10.9194</v>
      </c>
      <c r="I53" s="326">
        <f>IF(A53="","",VLOOKUP(A53,Equipamentos_base!A:K,9,"FALSO"))</f>
        <v>26.5829</v>
      </c>
      <c r="J53" s="327" t="s">
        <v>932</v>
      </c>
      <c r="K53" s="327" t="s">
        <v>932</v>
      </c>
      <c r="L53" s="316" t="str">
        <f>IF(J53="","",VLOOKUP(A53,Equipamentos_base!A:K,10,"FALSO"))</f>
        <v/>
      </c>
      <c r="M53" s="316" t="str">
        <f>IF(J53="","",VLOOKUP(A53,Equipamentos_base!A:K,11,"FALSO"))</f>
        <v/>
      </c>
    </row>
    <row r="54" s="316" customFormat="1" hidden="1" spans="1:13">
      <c r="A54" s="324" t="s">
        <v>15820</v>
      </c>
      <c r="B54" s="325" t="str">
        <f>IF(A54="","",VLOOKUP(A54,Equipamentos_base!A:K,2,"FALSO"))</f>
        <v>Empilhadeira a diesel com capacidade de 10 t - 82 kW</v>
      </c>
      <c r="C54" s="326">
        <f>IF(A54="","",VLOOKUP(A54,Equipamentos_base!A:K,3,"FALSO"))</f>
        <v>776422.8682</v>
      </c>
      <c r="D54" s="326">
        <f>IF(A54="","",VLOOKUP(A54,Equipamentos_base!A:K,4,"FALSO"))</f>
        <v>62.1138</v>
      </c>
      <c r="E54" s="326">
        <f>IF(A54="","",VLOOKUP(A54,Equipamentos_base!A:K,5,"FALSO"))</f>
        <v>14.3716</v>
      </c>
      <c r="F54" s="326">
        <f>IF(A54="","",VLOOKUP(A54,Equipamentos_base!A:K,6,"FALSO"))</f>
        <v>0</v>
      </c>
      <c r="G54" s="326">
        <f>IF(A54="","",VLOOKUP(A54,Equipamentos_base!A:K,7,"FALSO"))</f>
        <v>54.3496</v>
      </c>
      <c r="H54" s="326">
        <f>IF(A54="","",VLOOKUP(A54,Equipamentos_base!A:K,8,"FALSO"))</f>
        <v>68.142</v>
      </c>
      <c r="I54" s="326">
        <f>IF(A54="","",VLOOKUP(A54,Equipamentos_base!A:K,9,"FALSO"))</f>
        <v>26.5829</v>
      </c>
      <c r="J54" s="327" t="s">
        <v>932</v>
      </c>
      <c r="K54" s="327" t="s">
        <v>932</v>
      </c>
      <c r="L54" s="316" t="str">
        <f>IF(J54="","",VLOOKUP(A54,Equipamentos_base!A:K,10,"FALSO"))</f>
        <v/>
      </c>
      <c r="M54" s="316" t="str">
        <f>IF(J54="","",VLOOKUP(A54,Equipamentos_base!A:K,11,"FALSO"))</f>
        <v/>
      </c>
    </row>
    <row r="55" s="316" customFormat="1" hidden="1" spans="1:13">
      <c r="A55" s="324" t="s">
        <v>15821</v>
      </c>
      <c r="B55" s="325" t="str">
        <f>IF(A55="","",VLOOKUP(A55,Equipamentos_base!A:K,2,"FALSO"))</f>
        <v>Perfuratriz hidráulica montada em flutuante - 32 kW</v>
      </c>
      <c r="C55" s="326">
        <f>IF(A55="","",VLOOKUP(A55,Equipamentos_base!A:K,3,"FALSO"))</f>
        <v>545661.8652</v>
      </c>
      <c r="D55" s="326">
        <f>IF(A55="","",VLOOKUP(A55,Equipamentos_base!A:K,4,"FALSO"))</f>
        <v>14.6159</v>
      </c>
      <c r="E55" s="326">
        <f>IF(A55="","",VLOOKUP(A55,Equipamentos_base!A:K,5,"FALSO"))</f>
        <v>4.7094</v>
      </c>
      <c r="F55" s="326">
        <f>IF(A55="","",VLOOKUP(A55,Equipamentos_base!A:K,6,"FALSO"))</f>
        <v>0</v>
      </c>
      <c r="G55" s="326">
        <f>IF(A55="","",VLOOKUP(A55,Equipamentos_base!A:K,7,"FALSO"))</f>
        <v>12.9919</v>
      </c>
      <c r="H55" s="326">
        <f>IF(A55="","",VLOOKUP(A55,Equipamentos_base!A:K,8,"FALSO"))</f>
        <v>17.728</v>
      </c>
      <c r="I55" s="326">
        <f>IF(A55="","",VLOOKUP(A55,Equipamentos_base!A:K,9,"FALSO"))</f>
        <v>32.2643</v>
      </c>
      <c r="J55" s="327" t="s">
        <v>932</v>
      </c>
      <c r="K55" s="327" t="s">
        <v>932</v>
      </c>
      <c r="L55" s="316" t="str">
        <f>IF(J55="","",VLOOKUP(A55,Equipamentos_base!A:K,10,"FALSO"))</f>
        <v/>
      </c>
      <c r="M55" s="316" t="str">
        <f>IF(J55="","",VLOOKUP(A55,Equipamentos_base!A:K,11,"FALSO"))</f>
        <v/>
      </c>
    </row>
    <row r="56" s="316" customFormat="1" ht="30" hidden="1" spans="1:13">
      <c r="A56" s="324" t="s">
        <v>15822</v>
      </c>
      <c r="B56" s="325" t="str">
        <f>IF(A56="","",VLOOKUP(A56,Equipamentos_base!A:K,2,"FALSO"))</f>
        <v>Equipamento sobre forma-trilho para execução e acabamento de pavimento de concreto - 13,40 kW</v>
      </c>
      <c r="C56" s="326">
        <f>IF(A56="","",VLOOKUP(A56,Equipamentos_base!A:K,3,"FALSO"))</f>
        <v>1614044.776</v>
      </c>
      <c r="D56" s="326">
        <f>IF(A56="","",VLOOKUP(A56,Equipamentos_base!A:K,4,"FALSO"))</f>
        <v>215.206</v>
      </c>
      <c r="E56" s="326">
        <f>IF(A56="","",VLOOKUP(A56,Equipamentos_base!A:K,5,"FALSO"))</f>
        <v>33.1955</v>
      </c>
      <c r="F56" s="326">
        <f>IF(A56="","",VLOOKUP(A56,Equipamentos_base!A:K,6,"FALSO"))</f>
        <v>0</v>
      </c>
      <c r="G56" s="326">
        <f>IF(A56="","",VLOOKUP(A56,Equipamentos_base!A:K,7,"FALSO"))</f>
        <v>134.5037</v>
      </c>
      <c r="H56" s="326">
        <f>IF(A56="","",VLOOKUP(A56,Equipamentos_base!A:K,8,"FALSO"))</f>
        <v>19.773</v>
      </c>
      <c r="I56" s="326">
        <f>IF(A56="","",VLOOKUP(A56,Equipamentos_base!A:K,9,"FALSO"))</f>
        <v>26.5829</v>
      </c>
      <c r="J56" s="327" t="s">
        <v>932</v>
      </c>
      <c r="K56" s="327" t="s">
        <v>932</v>
      </c>
      <c r="L56" s="316" t="str">
        <f>IF(J56="","",VLOOKUP(A56,Equipamentos_base!A:K,10,"FALSO"))</f>
        <v/>
      </c>
      <c r="M56" s="316" t="str">
        <f>IF(J56="","",VLOOKUP(A56,Equipamentos_base!A:K,11,"FALSO"))</f>
        <v/>
      </c>
    </row>
    <row r="57" s="316" customFormat="1" hidden="1" spans="1:13">
      <c r="A57" s="324" t="s">
        <v>15823</v>
      </c>
      <c r="B57" s="325" t="str">
        <f>IF(A57="","",VLOOKUP(A57,Equipamentos_base!A:K,2,"FALSO"))</f>
        <v>Guincho pneumático com capacidade de 2,5 t</v>
      </c>
      <c r="C57" s="326">
        <f>IF(A57="","",VLOOKUP(A57,Equipamentos_base!A:K,3,"FALSO"))</f>
        <v>474448.8183</v>
      </c>
      <c r="D57" s="326">
        <f>IF(A57="","",VLOOKUP(A57,Equipamentos_base!A:K,4,"FALSO"))</f>
        <v>47.4449</v>
      </c>
      <c r="E57" s="326">
        <f>IF(A57="","",VLOOKUP(A57,Equipamentos_base!A:K,5,"FALSO"))</f>
        <v>8.9447</v>
      </c>
      <c r="F57" s="326">
        <f>IF(A57="","",VLOOKUP(A57,Equipamentos_base!A:K,6,"FALSO"))</f>
        <v>0</v>
      </c>
      <c r="G57" s="326">
        <f>IF(A57="","",VLOOKUP(A57,Equipamentos_base!A:K,7,"FALSO"))</f>
        <v>26.3583</v>
      </c>
      <c r="H57" s="326">
        <f>IF(A57="","",VLOOKUP(A57,Equipamentos_base!A:K,8,"FALSO"))</f>
        <v>0</v>
      </c>
      <c r="I57" s="326">
        <f>IF(A57="","",VLOOKUP(A57,Equipamentos_base!A:K,9,"FALSO"))</f>
        <v>0</v>
      </c>
      <c r="J57" s="327" t="s">
        <v>932</v>
      </c>
      <c r="K57" s="327" t="s">
        <v>932</v>
      </c>
      <c r="L57" s="316" t="str">
        <f>IF(J57="","",VLOOKUP(A57,Equipamentos_base!A:K,10,"FALSO"))</f>
        <v/>
      </c>
      <c r="M57" s="316" t="str">
        <f>IF(J57="","",VLOOKUP(A57,Equipamentos_base!A:K,11,"FALSO"))</f>
        <v/>
      </c>
    </row>
    <row r="58" s="316" customFormat="1" hidden="1" spans="1:13">
      <c r="A58" s="324" t="s">
        <v>15824</v>
      </c>
      <c r="B58" s="325" t="str">
        <f>IF(A58="","",VLOOKUP(A58,Equipamentos_base!A:K,2,"FALSO"))</f>
        <v>Plataforma autoelevatória de 12 x 24 m com capacidade de 150 t</v>
      </c>
      <c r="C58" s="326">
        <f>IF(A58="","",VLOOKUP(A58,Equipamentos_base!A:K,3,"FALSO"))</f>
        <v>863217.1373</v>
      </c>
      <c r="D58" s="326">
        <f>IF(A58="","",VLOOKUP(A58,Equipamentos_base!A:K,4,"FALSO"))</f>
        <v>9.8811</v>
      </c>
      <c r="E58" s="326">
        <f>IF(A58="","",VLOOKUP(A58,Equipamentos_base!A:K,5,"FALSO"))</f>
        <v>4.962</v>
      </c>
      <c r="F58" s="326">
        <f>IF(A58="","",VLOOKUP(A58,Equipamentos_base!A:K,6,"FALSO"))</f>
        <v>0</v>
      </c>
      <c r="G58" s="326">
        <f>IF(A58="","",VLOOKUP(A58,Equipamentos_base!A:K,7,"FALSO"))</f>
        <v>21.9581</v>
      </c>
      <c r="H58" s="326">
        <f>IF(A58="","",VLOOKUP(A58,Equipamentos_base!A:K,8,"FALSO"))</f>
        <v>0</v>
      </c>
      <c r="I58" s="326">
        <f>IF(A58="","",VLOOKUP(A58,Equipamentos_base!A:K,9,"FALSO"))</f>
        <v>118.8425</v>
      </c>
      <c r="J58" s="327" t="s">
        <v>932</v>
      </c>
      <c r="K58" s="327" t="s">
        <v>932</v>
      </c>
      <c r="L58" s="316" t="str">
        <f>IF(J58="","",VLOOKUP(A58,Equipamentos_base!A:K,10,"FALSO"))</f>
        <v/>
      </c>
      <c r="M58" s="316" t="str">
        <f>IF(J58="","",VLOOKUP(A58,Equipamentos_base!A:K,11,"FALSO"))</f>
        <v/>
      </c>
    </row>
    <row r="59" s="316" customFormat="1" hidden="1" spans="1:13">
      <c r="A59" s="324" t="s">
        <v>15825</v>
      </c>
      <c r="B59" s="325" t="str">
        <f>IF(A59="","",VLOOKUP(A59,Equipamentos_base!A:K,2,"FALSO"))</f>
        <v>Batelão sem propulsão com capacidade de 66 m³</v>
      </c>
      <c r="C59" s="326">
        <f>IF(A59="","",VLOOKUP(A59,Equipamentos_base!A:K,3,"FALSO"))</f>
        <v>230837.3357</v>
      </c>
      <c r="D59" s="326">
        <f>IF(A59="","",VLOOKUP(A59,Equipamentos_base!A:K,4,"FALSO"))</f>
        <v>9.893</v>
      </c>
      <c r="E59" s="326">
        <f>IF(A59="","",VLOOKUP(A59,Equipamentos_base!A:K,5,"FALSO"))</f>
        <v>3.8998</v>
      </c>
      <c r="F59" s="326">
        <f>IF(A59="","",VLOOKUP(A59,Equipamentos_base!A:K,6,"FALSO"))</f>
        <v>0</v>
      </c>
      <c r="G59" s="326">
        <f>IF(A59="","",VLOOKUP(A59,Equipamentos_base!A:K,7,"FALSO"))</f>
        <v>16.4884</v>
      </c>
      <c r="H59" s="326">
        <f>IF(A59="","",VLOOKUP(A59,Equipamentos_base!A:K,8,"FALSO"))</f>
        <v>0</v>
      </c>
      <c r="I59" s="326">
        <f>IF(A59="","",VLOOKUP(A59,Equipamentos_base!A:K,9,"FALSO"))</f>
        <v>30.0416</v>
      </c>
      <c r="J59" s="327" t="s">
        <v>932</v>
      </c>
      <c r="K59" s="327" t="s">
        <v>932</v>
      </c>
      <c r="L59" s="316" t="str">
        <f>IF(J59="","",VLOOKUP(A59,Equipamentos_base!A:K,10,"FALSO"))</f>
        <v/>
      </c>
      <c r="M59" s="316" t="str">
        <f>IF(J59="","",VLOOKUP(A59,Equipamentos_base!A:K,11,"FALSO"))</f>
        <v/>
      </c>
    </row>
    <row r="60" s="316" customFormat="1" hidden="1" spans="1:13">
      <c r="A60" s="324" t="s">
        <v>15826</v>
      </c>
      <c r="B60" s="325" t="str">
        <f>IF(A60="","",VLOOKUP(A60,Equipamentos_base!A:K,2,"FALSO"))</f>
        <v>Plataforma flutuante de 12 x 24 x 1,8 m com capacidade de 150 t</v>
      </c>
      <c r="C60" s="326">
        <f>IF(A60="","",VLOOKUP(A60,Equipamentos_base!A:K,3,"FALSO"))</f>
        <v>690395.1986</v>
      </c>
      <c r="D60" s="326">
        <f>IF(A60="","",VLOOKUP(A60,Equipamentos_base!A:K,4,"FALSO"))</f>
        <v>7.9029</v>
      </c>
      <c r="E60" s="326">
        <f>IF(A60="","",VLOOKUP(A60,Equipamentos_base!A:K,5,"FALSO"))</f>
        <v>3.9686</v>
      </c>
      <c r="F60" s="326">
        <f>IF(A60="","",VLOOKUP(A60,Equipamentos_base!A:K,6,"FALSO"))</f>
        <v>0</v>
      </c>
      <c r="G60" s="326">
        <f>IF(A60="","",VLOOKUP(A60,Equipamentos_base!A:K,7,"FALSO"))</f>
        <v>13.1715</v>
      </c>
      <c r="H60" s="326">
        <f>IF(A60="","",VLOOKUP(A60,Equipamentos_base!A:K,8,"FALSO"))</f>
        <v>0</v>
      </c>
      <c r="I60" s="326">
        <f>IF(A60="","",VLOOKUP(A60,Equipamentos_base!A:K,9,"FALSO"))</f>
        <v>30.0416</v>
      </c>
      <c r="J60" s="327" t="s">
        <v>932</v>
      </c>
      <c r="K60" s="327" t="s">
        <v>932</v>
      </c>
      <c r="L60" s="316" t="str">
        <f>IF(J60="","",VLOOKUP(A60,Equipamentos_base!A:K,10,"FALSO"))</f>
        <v/>
      </c>
      <c r="M60" s="316" t="str">
        <f>IF(J60="","",VLOOKUP(A60,Equipamentos_base!A:K,11,"FALSO"))</f>
        <v/>
      </c>
    </row>
    <row r="61" s="316" customFormat="1" hidden="1" spans="1:13">
      <c r="A61" s="324" t="s">
        <v>15827</v>
      </c>
      <c r="B61" s="325" t="str">
        <f>IF(A61="","",VLOOKUP(A61,Equipamentos_base!A:K,2,"FALSO"))</f>
        <v>Plataforma autoelevatória de 12 x 24 m montada na obra com capacidade de 150 t</v>
      </c>
      <c r="C61" s="326">
        <f>IF(A61="","",VLOOKUP(A61,Equipamentos_base!A:K,3,"FALSO"))</f>
        <v>863217.1373</v>
      </c>
      <c r="D61" s="326">
        <f>IF(A61="","",VLOOKUP(A61,Equipamentos_base!A:K,4,"FALSO"))</f>
        <v>9.8811</v>
      </c>
      <c r="E61" s="326">
        <f>IF(A61="","",VLOOKUP(A61,Equipamentos_base!A:K,5,"FALSO"))</f>
        <v>4.962</v>
      </c>
      <c r="F61" s="326">
        <f>IF(A61="","",VLOOKUP(A61,Equipamentos_base!A:K,6,"FALSO"))</f>
        <v>0</v>
      </c>
      <c r="G61" s="326">
        <f>IF(A61="","",VLOOKUP(A61,Equipamentos_base!A:K,7,"FALSO"))</f>
        <v>21.9581</v>
      </c>
      <c r="H61" s="326">
        <f>IF(A61="","",VLOOKUP(A61,Equipamentos_base!A:K,8,"FALSO"))</f>
        <v>0</v>
      </c>
      <c r="I61" s="326">
        <f>IF(A61="","",VLOOKUP(A61,Equipamentos_base!A:K,9,"FALSO"))</f>
        <v>118.8425</v>
      </c>
      <c r="J61" s="327" t="s">
        <v>932</v>
      </c>
      <c r="K61" s="327" t="s">
        <v>932</v>
      </c>
      <c r="L61" s="316" t="str">
        <f>IF(J61="","",VLOOKUP(A61,Equipamentos_base!A:K,10,"FALSO"))</f>
        <v/>
      </c>
      <c r="M61" s="316" t="str">
        <f>IF(J61="","",VLOOKUP(A61,Equipamentos_base!A:K,11,"FALSO"))</f>
        <v/>
      </c>
    </row>
    <row r="62" s="316" customFormat="1" ht="30" hidden="1" spans="1:13">
      <c r="A62" s="324" t="s">
        <v>15828</v>
      </c>
      <c r="B62" s="325" t="str">
        <f>IF(A62="","",VLOOKUP(A62,Equipamentos_base!A:K,2,"FALSO"))</f>
        <v>Perfuratriz pneumática rotopercussiva montada em flutuante com pressão de 0,70 MPa e capacidade de 2.500 gpm</v>
      </c>
      <c r="C62" s="326">
        <f>IF(A62="","",VLOOKUP(A62,Equipamentos_base!A:K,3,"FALSO"))</f>
        <v>37622.3679</v>
      </c>
      <c r="D62" s="326">
        <f>IF(A62="","",VLOOKUP(A62,Equipamentos_base!A:K,4,"FALSO"))</f>
        <v>1.0077</v>
      </c>
      <c r="E62" s="326">
        <f>IF(A62="","",VLOOKUP(A62,Equipamentos_base!A:K,5,"FALSO"))</f>
        <v>0.3247</v>
      </c>
      <c r="F62" s="326">
        <f>IF(A62="","",VLOOKUP(A62,Equipamentos_base!A:K,6,"FALSO"))</f>
        <v>0</v>
      </c>
      <c r="G62" s="326">
        <f>IF(A62="","",VLOOKUP(A62,Equipamentos_base!A:K,7,"FALSO"))</f>
        <v>0.8958</v>
      </c>
      <c r="H62" s="326">
        <f>IF(A62="","",VLOOKUP(A62,Equipamentos_base!A:K,8,"FALSO"))</f>
        <v>0</v>
      </c>
      <c r="I62" s="326">
        <f>IF(A62="","",VLOOKUP(A62,Equipamentos_base!A:K,9,"FALSO"))</f>
        <v>64.5286</v>
      </c>
      <c r="J62" s="327" t="s">
        <v>932</v>
      </c>
      <c r="K62" s="327" t="s">
        <v>932</v>
      </c>
      <c r="L62" s="316" t="str">
        <f>IF(J62="","",VLOOKUP(A62,Equipamentos_base!A:K,10,"FALSO"))</f>
        <v/>
      </c>
      <c r="M62" s="316" t="str">
        <f>IF(J62="","",VLOOKUP(A62,Equipamentos_base!A:K,11,"FALSO"))</f>
        <v/>
      </c>
    </row>
    <row r="63" s="316" customFormat="1" hidden="1" spans="1:13">
      <c r="A63" s="324" t="s">
        <v>15829</v>
      </c>
      <c r="B63" s="325" t="str">
        <f>IF(A63="","",VLOOKUP(A63,Equipamentos_base!A:K,2,"FALSO"))</f>
        <v>Lixadeira/esmerilhadeira elétrica manual angular - 2,2 kW</v>
      </c>
      <c r="C63" s="326">
        <f>IF(A63="","",VLOOKUP(A63,Equipamentos_base!A:K,3,"FALSO"))</f>
        <v>1484.438</v>
      </c>
      <c r="D63" s="326">
        <f>IF(A63="","",VLOOKUP(A63,Equipamentos_base!A:K,4,"FALSO"))</f>
        <v>0.1979</v>
      </c>
      <c r="E63" s="326">
        <f>IF(A63="","",VLOOKUP(A63,Equipamentos_base!A:K,5,"FALSO"))</f>
        <v>0.0305</v>
      </c>
      <c r="F63" s="326">
        <f>IF(A63="","",VLOOKUP(A63,Equipamentos_base!A:K,6,"FALSO"))</f>
        <v>0</v>
      </c>
      <c r="G63" s="326">
        <f>IF(A63="","",VLOOKUP(A63,Equipamentos_base!A:K,7,"FALSO"))</f>
        <v>0.1237</v>
      </c>
      <c r="H63" s="326">
        <f>IF(A63="","",VLOOKUP(A63,Equipamentos_base!A:K,8,"FALSO"))</f>
        <v>0</v>
      </c>
      <c r="I63" s="326">
        <f>IF(A63="","",VLOOKUP(A63,Equipamentos_base!A:K,9,"FALSO"))</f>
        <v>0</v>
      </c>
      <c r="J63" s="327" t="s">
        <v>932</v>
      </c>
      <c r="K63" s="327" t="s">
        <v>932</v>
      </c>
      <c r="L63" s="316" t="str">
        <f>IF(J63="","",VLOOKUP(A63,Equipamentos_base!A:K,10,"FALSO"))</f>
        <v/>
      </c>
      <c r="M63" s="316" t="str">
        <f>IF(J63="","",VLOOKUP(A63,Equipamentos_base!A:K,11,"FALSO"))</f>
        <v/>
      </c>
    </row>
    <row r="64" s="316" customFormat="1" hidden="1" spans="1:13">
      <c r="A64" s="324" t="s">
        <v>15830</v>
      </c>
      <c r="B64" s="325" t="str">
        <f>IF(A64="","",VLOOKUP(A64,Equipamentos_base!A:K,2,"FALSO"))</f>
        <v>Soprador de ar quente manual - 1,60 kW</v>
      </c>
      <c r="C64" s="326">
        <f>IF(A64="","",VLOOKUP(A64,Equipamentos_base!A:K,3,"FALSO"))</f>
        <v>6266.0801</v>
      </c>
      <c r="D64" s="326">
        <f>IF(A64="","",VLOOKUP(A64,Equipamentos_base!A:K,4,"FALSO"))</f>
        <v>0.8355</v>
      </c>
      <c r="E64" s="326">
        <f>IF(A64="","",VLOOKUP(A64,Equipamentos_base!A:K,5,"FALSO"))</f>
        <v>0.1289</v>
      </c>
      <c r="F64" s="326">
        <f>IF(A64="","",VLOOKUP(A64,Equipamentos_base!A:K,6,"FALSO"))</f>
        <v>0</v>
      </c>
      <c r="G64" s="326">
        <f>IF(A64="","",VLOOKUP(A64,Equipamentos_base!A:K,7,"FALSO"))</f>
        <v>0.5222</v>
      </c>
      <c r="H64" s="326">
        <f>IF(A64="","",VLOOKUP(A64,Equipamentos_base!A:K,8,"FALSO"))</f>
        <v>0</v>
      </c>
      <c r="I64" s="326">
        <f>IF(A64="","",VLOOKUP(A64,Equipamentos_base!A:K,9,"FALSO"))</f>
        <v>0</v>
      </c>
      <c r="J64" s="327" t="s">
        <v>932</v>
      </c>
      <c r="K64" s="327" t="s">
        <v>932</v>
      </c>
      <c r="L64" s="316" t="str">
        <f>IF(J64="","",VLOOKUP(A64,Equipamentos_base!A:K,10,"FALSO"))</f>
        <v/>
      </c>
      <c r="M64" s="316" t="str">
        <f>IF(J64="","",VLOOKUP(A64,Equipamentos_base!A:K,11,"FALSO"))</f>
        <v/>
      </c>
    </row>
    <row r="65" s="316" customFormat="1" hidden="1" spans="1:13">
      <c r="A65" s="324" t="s">
        <v>15831</v>
      </c>
      <c r="B65" s="325" t="str">
        <f>IF(A65="","",VLOOKUP(A65,Equipamentos_base!A:K,2,"FALSO"))</f>
        <v>Equipamento de estabilização dinâmica da via - 300 kW</v>
      </c>
      <c r="C65" s="326">
        <f>IF(A65="","",VLOOKUP(A65,Equipamentos_base!A:K,3,"FALSO"))</f>
        <v>30990338.9804</v>
      </c>
      <c r="D65" s="326">
        <f>IF(A65="","",VLOOKUP(A65,Equipamentos_base!A:K,4,"FALSO"))</f>
        <v>1239.6136</v>
      </c>
      <c r="E65" s="326">
        <f>IF(A65="","",VLOOKUP(A65,Equipamentos_base!A:K,5,"FALSO"))</f>
        <v>525.8286</v>
      </c>
      <c r="F65" s="326">
        <f>IF(A65="","",VLOOKUP(A65,Equipamentos_base!A:K,6,"FALSO"))</f>
        <v>0</v>
      </c>
      <c r="G65" s="326">
        <f>IF(A65="","",VLOOKUP(A65,Equipamentos_base!A:K,7,"FALSO"))</f>
        <v>1239.6136</v>
      </c>
      <c r="H65" s="326">
        <f>IF(A65="","",VLOOKUP(A65,Equipamentos_base!A:K,8,"FALSO"))</f>
        <v>199.44</v>
      </c>
      <c r="I65" s="326">
        <f>IF(A65="","",VLOOKUP(A65,Equipamentos_base!A:K,9,"FALSO"))</f>
        <v>45.2393</v>
      </c>
      <c r="J65" s="327" t="s">
        <v>932</v>
      </c>
      <c r="K65" s="327" t="s">
        <v>932</v>
      </c>
      <c r="L65" s="316" t="str">
        <f>IF(J65="","",VLOOKUP(A65,Equipamentos_base!A:K,10,"FALSO"))</f>
        <v/>
      </c>
      <c r="M65" s="316" t="str">
        <f>IF(J65="","",VLOOKUP(A65,Equipamentos_base!A:K,11,"FALSO"))</f>
        <v/>
      </c>
    </row>
    <row r="66" s="316" customFormat="1" spans="1:13">
      <c r="A66" s="324" t="s">
        <v>1072</v>
      </c>
      <c r="B66" s="325" t="str">
        <f>IF(A66="","",VLOOKUP(A66,Equipamentos_base!A:K,2,"FALSO"))</f>
        <v>Transportador manual gerica com capacidade de 180 l</v>
      </c>
      <c r="C66" s="326">
        <f>IF(A66="","",VLOOKUP(A66,Equipamentos_base!A:K,3,"FALSO"))</f>
        <v>1001.9022</v>
      </c>
      <c r="D66" s="326">
        <f>IF(A66="","",VLOOKUP(A66,Equipamentos_base!A:K,4,"FALSO"))</f>
        <v>1.0019</v>
      </c>
      <c r="E66" s="326">
        <f>IF(A66="","",VLOOKUP(A66,Equipamentos_base!A:K,5,"FALSO"))</f>
        <v>0.0464</v>
      </c>
      <c r="F66" s="326">
        <f>IF(A66="","",VLOOKUP(A66,Equipamentos_base!A:K,6,"FALSO"))</f>
        <v>0</v>
      </c>
      <c r="G66" s="326">
        <f>IF(A66="","",VLOOKUP(A66,Equipamentos_base!A:K,7,"FALSO"))</f>
        <v>0.501</v>
      </c>
      <c r="H66" s="326">
        <f>IF(A66="","",VLOOKUP(A66,Equipamentos_base!A:K,8,"FALSO"))</f>
        <v>0</v>
      </c>
      <c r="I66" s="326">
        <f>IF(A66="","",VLOOKUP(A66,Equipamentos_base!A:K,9,"FALSO"))</f>
        <v>0</v>
      </c>
      <c r="J66" s="327">
        <v>1.5493</v>
      </c>
      <c r="K66" s="327">
        <v>1.0483</v>
      </c>
      <c r="L66" s="316">
        <f>IF(J66="","",VLOOKUP(A66,Equipamentos_base!A:K,10,"FALSO"))</f>
        <v>1.5493</v>
      </c>
      <c r="M66" s="316">
        <f>IF(J66="","",VLOOKUP(A66,Equipamentos_base!A:K,11,"FALSO"))</f>
        <v>1.0483</v>
      </c>
    </row>
    <row r="67" s="316" customFormat="1" hidden="1" spans="1:13">
      <c r="A67" s="324" t="s">
        <v>15832</v>
      </c>
      <c r="B67" s="325" t="str">
        <f>IF(A67="","",VLOOKUP(A67,Equipamentos_base!A:K,2,"FALSO"))</f>
        <v>Carro controle ferroviário - 186 kW</v>
      </c>
      <c r="C67" s="326">
        <f>IF(A67="","",VLOOKUP(A67,Equipamentos_base!A:K,3,"FALSO"))</f>
        <v>32840426.4231</v>
      </c>
      <c r="D67" s="326">
        <f>IF(A67="","",VLOOKUP(A67,Equipamentos_base!A:K,4,"FALSO"))</f>
        <v>1313.6171</v>
      </c>
      <c r="E67" s="326">
        <f>IF(A67="","",VLOOKUP(A67,Equipamentos_base!A:K,5,"FALSO"))</f>
        <v>557.2199</v>
      </c>
      <c r="F67" s="326">
        <f>IF(A67="","",VLOOKUP(A67,Equipamentos_base!A:K,6,"FALSO"))</f>
        <v>0</v>
      </c>
      <c r="G67" s="326">
        <f>IF(A67="","",VLOOKUP(A67,Equipamentos_base!A:K,7,"FALSO"))</f>
        <v>1149.4149</v>
      </c>
      <c r="H67" s="326">
        <f>IF(A67="","",VLOOKUP(A67,Equipamentos_base!A:K,8,"FALSO"))</f>
        <v>123.6528</v>
      </c>
      <c r="I67" s="326">
        <f>IF(A67="","",VLOOKUP(A67,Equipamentos_base!A:K,9,"FALSO"))</f>
        <v>45.2393</v>
      </c>
      <c r="J67" s="327" t="s">
        <v>932</v>
      </c>
      <c r="K67" s="327" t="s">
        <v>932</v>
      </c>
      <c r="L67" s="316" t="str">
        <f>IF(J67="","",VLOOKUP(A67,Equipamentos_base!A:K,10,"FALSO"))</f>
        <v/>
      </c>
      <c r="M67" s="316" t="str">
        <f>IF(J67="","",VLOOKUP(A67,Equipamentos_base!A:K,11,"FALSO"))</f>
        <v/>
      </c>
    </row>
    <row r="68" s="316" customFormat="1" spans="1:13">
      <c r="A68" s="324" t="s">
        <v>1074</v>
      </c>
      <c r="B68" s="325" t="str">
        <f>IF(A68="","",VLOOKUP(A68,Equipamentos_base!A:K,2,"FALSO"))</f>
        <v>Grupo gerador - 14 kVA</v>
      </c>
      <c r="C68" s="326">
        <f>IF(A68="","",VLOOKUP(A68,Equipamentos_base!A:K,3,"FALSO"))</f>
        <v>67550.6664</v>
      </c>
      <c r="D68" s="326">
        <f>IF(A68="","",VLOOKUP(A68,Equipamentos_base!A:K,4,"FALSO"))</f>
        <v>4.7285</v>
      </c>
      <c r="E68" s="326">
        <f>IF(A68="","",VLOOKUP(A68,Equipamentos_base!A:K,5,"FALSO"))</f>
        <v>1.2504</v>
      </c>
      <c r="F68" s="326">
        <f>IF(A68="","",VLOOKUP(A68,Equipamentos_base!A:K,6,"FALSO"))</f>
        <v>0</v>
      </c>
      <c r="G68" s="326">
        <f>IF(A68="","",VLOOKUP(A68,Equipamentos_base!A:K,7,"FALSO"))</f>
        <v>3.3775</v>
      </c>
      <c r="H68" s="326">
        <f>IF(A68="","",VLOOKUP(A68,Equipamentos_base!A:K,8,"FALSO"))</f>
        <v>11.5786</v>
      </c>
      <c r="I68" s="326">
        <f>IF(A68="","",VLOOKUP(A68,Equipamentos_base!A:K,9,"FALSO"))</f>
        <v>0</v>
      </c>
      <c r="J68" s="327">
        <v>20.935</v>
      </c>
      <c r="K68" s="327">
        <v>5.9789</v>
      </c>
      <c r="L68" s="316">
        <f>IF(J68="","",VLOOKUP(A68,Equipamentos_base!A:K,10,"FALSO"))</f>
        <v>20.935</v>
      </c>
      <c r="M68" s="316">
        <f>IF(J68="","",VLOOKUP(A68,Equipamentos_base!A:K,11,"FALSO"))</f>
        <v>5.9789</v>
      </c>
    </row>
    <row r="69" s="316" customFormat="1" hidden="1" spans="1:13">
      <c r="A69" s="324" t="s">
        <v>15833</v>
      </c>
      <c r="B69" s="325" t="str">
        <f>IF(A69="","",VLOOKUP(A69,Equipamentos_base!A:K,2,"FALSO"))</f>
        <v>Veículo ferroviário para capina química com capacidade de 12.000 l - 115 kW</v>
      </c>
      <c r="C69" s="326">
        <f>IF(A69="","",VLOOKUP(A69,Equipamentos_base!A:K,3,"FALSO"))</f>
        <v>1673749.3527</v>
      </c>
      <c r="D69" s="326">
        <f>IF(A69="","",VLOOKUP(A69,Equipamentos_base!A:K,4,"FALSO"))</f>
        <v>66.95</v>
      </c>
      <c r="E69" s="326">
        <f>IF(A69="","",VLOOKUP(A69,Equipamentos_base!A:K,5,"FALSO"))</f>
        <v>28.3993</v>
      </c>
      <c r="F69" s="326">
        <f>IF(A69="","",VLOOKUP(A69,Equipamentos_base!A:K,6,"FALSO"))</f>
        <v>0</v>
      </c>
      <c r="G69" s="326">
        <f>IF(A69="","",VLOOKUP(A69,Equipamentos_base!A:K,7,"FALSO"))</f>
        <v>41.8437</v>
      </c>
      <c r="H69" s="326">
        <f>IF(A69="","",VLOOKUP(A69,Equipamentos_base!A:K,8,"FALSO"))</f>
        <v>76.452</v>
      </c>
      <c r="I69" s="326">
        <f>IF(A69="","",VLOOKUP(A69,Equipamentos_base!A:K,9,"FALSO"))</f>
        <v>26.5829</v>
      </c>
      <c r="J69" s="327" t="s">
        <v>932</v>
      </c>
      <c r="K69" s="327" t="s">
        <v>932</v>
      </c>
      <c r="L69" s="316" t="str">
        <f>IF(J69="","",VLOOKUP(A69,Equipamentos_base!A:K,10,"FALSO"))</f>
        <v/>
      </c>
      <c r="M69" s="316" t="str">
        <f>IF(J69="","",VLOOKUP(A69,Equipamentos_base!A:K,11,"FALSO"))</f>
        <v/>
      </c>
    </row>
    <row r="70" s="316" customFormat="1" hidden="1" spans="1:13">
      <c r="A70" s="324" t="s">
        <v>15834</v>
      </c>
      <c r="B70" s="325" t="str">
        <f>IF(A70="","",VLOOKUP(A70,Equipamentos_base!A:K,2,"FALSO"))</f>
        <v>Perfuratriz hidráulica rotopercussiva para CCPH - 123 kW</v>
      </c>
      <c r="C70" s="326">
        <f>IF(A70="","",VLOOKUP(A70,Equipamentos_base!A:K,3,"FALSO"))</f>
        <v>5511897.4398</v>
      </c>
      <c r="D70" s="326">
        <f>IF(A70="","",VLOOKUP(A70,Equipamentos_base!A:K,4,"FALSO"))</f>
        <v>440.9518</v>
      </c>
      <c r="E70" s="326">
        <f>IF(A70="","",VLOOKUP(A70,Equipamentos_base!A:K,5,"FALSO"))</f>
        <v>102.0252</v>
      </c>
      <c r="F70" s="326">
        <f>IF(A70="","",VLOOKUP(A70,Equipamentos_base!A:K,6,"FALSO"))</f>
        <v>0</v>
      </c>
      <c r="G70" s="326">
        <f>IF(A70="","",VLOOKUP(A70,Equipamentos_base!A:K,7,"FALSO"))</f>
        <v>440.9518</v>
      </c>
      <c r="H70" s="326">
        <f>IF(A70="","",VLOOKUP(A70,Equipamentos_base!A:K,8,"FALSO"))</f>
        <v>102.213</v>
      </c>
      <c r="I70" s="326">
        <f>IF(A70="","",VLOOKUP(A70,Equipamentos_base!A:K,9,"FALSO"))</f>
        <v>33.7544</v>
      </c>
      <c r="J70" s="327" t="s">
        <v>932</v>
      </c>
      <c r="K70" s="327" t="s">
        <v>932</v>
      </c>
      <c r="L70" s="316" t="str">
        <f>IF(J70="","",VLOOKUP(A70,Equipamentos_base!A:K,10,"FALSO"))</f>
        <v/>
      </c>
      <c r="M70" s="316" t="str">
        <f>IF(J70="","",VLOOKUP(A70,Equipamentos_base!A:K,11,"FALSO"))</f>
        <v/>
      </c>
    </row>
    <row r="71" s="316" customFormat="1" spans="1:13">
      <c r="A71" s="324" t="s">
        <v>1080</v>
      </c>
      <c r="B71" s="325" t="str">
        <f>IF(A71="","",VLOOKUP(A71,Equipamentos_base!A:K,2,"FALSO"))</f>
        <v>Vibrador de imersão para concreto - 4,10 kW</v>
      </c>
      <c r="C71" s="326">
        <f>IF(A71="","",VLOOKUP(A71,Equipamentos_base!A:K,3,"FALSO"))</f>
        <v>4130.1727</v>
      </c>
      <c r="D71" s="326">
        <f>IF(A71="","",VLOOKUP(A71,Equipamentos_base!A:K,4,"FALSO"))</f>
        <v>0.826</v>
      </c>
      <c r="E71" s="326">
        <f>IF(A71="","",VLOOKUP(A71,Equipamentos_base!A:K,5,"FALSO"))</f>
        <v>0.0956</v>
      </c>
      <c r="F71" s="326">
        <f>IF(A71="","",VLOOKUP(A71,Equipamentos_base!A:K,6,"FALSO"))</f>
        <v>0</v>
      </c>
      <c r="G71" s="326">
        <f>IF(A71="","",VLOOKUP(A71,Equipamentos_base!A:K,7,"FALSO"))</f>
        <v>0.5163</v>
      </c>
      <c r="H71" s="326">
        <f>IF(A71="","",VLOOKUP(A71,Equipamentos_base!A:K,8,"FALSO"))</f>
        <v>7.5625</v>
      </c>
      <c r="I71" s="326">
        <f>IF(A71="","",VLOOKUP(A71,Equipamentos_base!A:K,9,"FALSO"))</f>
        <v>0</v>
      </c>
      <c r="J71" s="327">
        <v>9.0004</v>
      </c>
      <c r="K71" s="327">
        <v>0.9216</v>
      </c>
      <c r="L71" s="316">
        <f>IF(J71="","",VLOOKUP(A71,Equipamentos_base!A:K,10,"FALSO"))</f>
        <v>9.0004</v>
      </c>
      <c r="M71" s="316">
        <f>IF(J71="","",VLOOKUP(A71,Equipamentos_base!A:K,11,"FALSO"))</f>
        <v>0.9216</v>
      </c>
    </row>
    <row r="72" s="316" customFormat="1" spans="1:13">
      <c r="A72" s="324" t="s">
        <v>15835</v>
      </c>
      <c r="B72" s="325" t="str">
        <f>IF(A72="","",VLOOKUP(A72,Equipamentos_base!A:K,2,"FALSO"))</f>
        <v>Ponte rolante com capacidade de 5 t e vão de até 15 m - 10 kW</v>
      </c>
      <c r="C72" s="326">
        <f>IF(A72="","",VLOOKUP(A72,Equipamentos_base!A:K,3,"FALSO"))</f>
        <v>357460.0639</v>
      </c>
      <c r="D72" s="326">
        <f>IF(A72="","",VLOOKUP(A72,Equipamentos_base!A:K,4,"FALSO"))</f>
        <v>15.8871</v>
      </c>
      <c r="E72" s="326">
        <f>IF(A72="","",VLOOKUP(A72,Equipamentos_base!A:K,5,"FALSO"))</f>
        <v>6.1265</v>
      </c>
      <c r="F72" s="326">
        <f>IF(A72="","",VLOOKUP(A72,Equipamentos_base!A:K,6,"FALSO"))</f>
        <v>0</v>
      </c>
      <c r="G72" s="326">
        <f>IF(A72="","",VLOOKUP(A72,Equipamentos_base!A:K,7,"FALSO"))</f>
        <v>9.9294</v>
      </c>
      <c r="H72" s="326">
        <f>IF(A72="","",VLOOKUP(A72,Equipamentos_base!A:K,8,"FALSO"))</f>
        <v>0</v>
      </c>
      <c r="I72" s="326">
        <f>IF(A72="","",VLOOKUP(A72,Equipamentos_base!A:K,9,"FALSO"))</f>
        <v>26.5829</v>
      </c>
      <c r="J72" s="327">
        <v>58.5259</v>
      </c>
      <c r="K72" s="327">
        <v>48.5965</v>
      </c>
      <c r="L72" s="316">
        <f>IF(J72="","",VLOOKUP(A72,Equipamentos_base!A:K,10,"FALSO"))</f>
        <v>58.5259</v>
      </c>
      <c r="M72" s="316">
        <f>IF(J72="","",VLOOKUP(A72,Equipamentos_base!A:K,11,"FALSO"))</f>
        <v>48.5965</v>
      </c>
    </row>
    <row r="73" s="316" customFormat="1" spans="1:13">
      <c r="A73" s="324" t="s">
        <v>1070</v>
      </c>
      <c r="B73" s="325" t="str">
        <f>IF(A73="","",VLOOKUP(A73,Equipamentos_base!A:K,2,"FALSO"))</f>
        <v>Transportador manual carrinho de mão com capacidade de 80 l</v>
      </c>
      <c r="C73" s="326">
        <f>IF(A73="","",VLOOKUP(A73,Equipamentos_base!A:K,3,"FALSO"))</f>
        <v>458.0661</v>
      </c>
      <c r="D73" s="326">
        <f>IF(A73="","",VLOOKUP(A73,Equipamentos_base!A:K,4,"FALSO"))</f>
        <v>0.4581</v>
      </c>
      <c r="E73" s="326">
        <f>IF(A73="","",VLOOKUP(A73,Equipamentos_base!A:K,5,"FALSO"))</f>
        <v>0.0212</v>
      </c>
      <c r="F73" s="326">
        <f>IF(A73="","",VLOOKUP(A73,Equipamentos_base!A:K,6,"FALSO"))</f>
        <v>0</v>
      </c>
      <c r="G73" s="326">
        <f>IF(A73="","",VLOOKUP(A73,Equipamentos_base!A:K,7,"FALSO"))</f>
        <v>0.229</v>
      </c>
      <c r="H73" s="326">
        <f>IF(A73="","",VLOOKUP(A73,Equipamentos_base!A:K,8,"FALSO"))</f>
        <v>0</v>
      </c>
      <c r="I73" s="326">
        <f>IF(A73="","",VLOOKUP(A73,Equipamentos_base!A:K,9,"FALSO"))</f>
        <v>0</v>
      </c>
      <c r="J73" s="327">
        <v>0.7083</v>
      </c>
      <c r="K73" s="327">
        <v>0.4793</v>
      </c>
      <c r="L73" s="316">
        <f>IF(J73="","",VLOOKUP(A73,Equipamentos_base!A:K,10,"FALSO"))</f>
        <v>0.7083</v>
      </c>
      <c r="M73" s="316">
        <f>IF(J73="","",VLOOKUP(A73,Equipamentos_base!A:K,11,"FALSO"))</f>
        <v>0.4793</v>
      </c>
    </row>
    <row r="74" s="316" customFormat="1" spans="1:13">
      <c r="A74" s="324" t="s">
        <v>15836</v>
      </c>
      <c r="B74" s="325" t="str">
        <f>IF(A74="","",VLOOKUP(A74,Equipamentos_base!A:K,2,"FALSO"))</f>
        <v>Martelo hidráulico vibratório com unidade hidráulica - 486 kW</v>
      </c>
      <c r="C74" s="326">
        <f>IF(A74="","",VLOOKUP(A74,Equipamentos_base!A:K,3,"FALSO"))</f>
        <v>3341512.4349</v>
      </c>
      <c r="D74" s="326">
        <f>IF(A74="","",VLOOKUP(A74,Equipamentos_base!A:K,4,"FALSO"))</f>
        <v>445.535</v>
      </c>
      <c r="E74" s="326">
        <f>IF(A74="","",VLOOKUP(A74,Equipamentos_base!A:K,5,"FALSO"))</f>
        <v>68.7238</v>
      </c>
      <c r="F74" s="326">
        <f>IF(A74="","",VLOOKUP(A74,Equipamentos_base!A:K,6,"FALSO"))</f>
        <v>0</v>
      </c>
      <c r="G74" s="326">
        <f>IF(A74="","",VLOOKUP(A74,Equipamentos_base!A:K,7,"FALSO"))</f>
        <v>389.8431</v>
      </c>
      <c r="H74" s="326">
        <f>IF(A74="","",VLOOKUP(A74,Equipamentos_base!A:K,8,"FALSO"))</f>
        <v>403.866</v>
      </c>
      <c r="I74" s="326">
        <f>IF(A74="","",VLOOKUP(A74,Equipamentos_base!A:K,9,"FALSO"))</f>
        <v>45.2393</v>
      </c>
      <c r="J74" s="327">
        <v>1353.2072</v>
      </c>
      <c r="K74" s="327">
        <v>559.4981</v>
      </c>
      <c r="L74" s="316">
        <f>IF(J74="","",VLOOKUP(A74,Equipamentos_base!A:K,10,"FALSO"))</f>
        <v>1353.2072</v>
      </c>
      <c r="M74" s="316">
        <f>IF(J74="","",VLOOKUP(A74,Equipamentos_base!A:K,11,"FALSO"))</f>
        <v>559.4981</v>
      </c>
    </row>
    <row r="75" s="316" customFormat="1" spans="1:13">
      <c r="A75" s="324" t="s">
        <v>15837</v>
      </c>
      <c r="B75" s="325" t="str">
        <f>IF(A75="","",VLOOKUP(A75,Equipamentos_base!A:K,2,"FALSO"))</f>
        <v>Bomba de concreto rebocável com capacidade de 30 m³/h - 74 kW</v>
      </c>
      <c r="C75" s="326">
        <f>IF(A75="","",VLOOKUP(A75,Equipamentos_base!A:K,3,"FALSO"))</f>
        <v>516806.5608</v>
      </c>
      <c r="D75" s="326">
        <f>IF(A75="","",VLOOKUP(A75,Equipamentos_base!A:K,4,"FALSO"))</f>
        <v>51.6807</v>
      </c>
      <c r="E75" s="326">
        <f>IF(A75="","",VLOOKUP(A75,Equipamentos_base!A:K,5,"FALSO"))</f>
        <v>9.9647</v>
      </c>
      <c r="F75" s="326">
        <f>IF(A75="","",VLOOKUP(A75,Equipamentos_base!A:K,6,"FALSO"))</f>
        <v>0</v>
      </c>
      <c r="G75" s="326">
        <f>IF(A75="","",VLOOKUP(A75,Equipamentos_base!A:K,7,"FALSO"))</f>
        <v>51.6807</v>
      </c>
      <c r="H75" s="326">
        <f>IF(A75="","",VLOOKUP(A75,Equipamentos_base!A:K,8,"FALSO"))</f>
        <v>77.8924</v>
      </c>
      <c r="I75" s="326">
        <f>IF(A75="","",VLOOKUP(A75,Equipamentos_base!A:K,9,"FALSO"))</f>
        <v>26.5829</v>
      </c>
      <c r="J75" s="327">
        <v>217.8014</v>
      </c>
      <c r="K75" s="327">
        <v>88.2283</v>
      </c>
      <c r="L75" s="316">
        <f>IF(J75="","",VLOOKUP(A75,Equipamentos_base!A:K,10,"FALSO"))</f>
        <v>217.8014</v>
      </c>
      <c r="M75" s="316">
        <f>IF(J75="","",VLOOKUP(A75,Equipamentos_base!A:K,11,"FALSO"))</f>
        <v>88.2283</v>
      </c>
    </row>
    <row r="76" s="316" customFormat="1" hidden="1" spans="1:13">
      <c r="A76" s="324" t="s">
        <v>15838</v>
      </c>
      <c r="B76" s="325" t="str">
        <f>IF(A76="","",VLOOKUP(A76,Equipamentos_base!A:K,2,"FALSO"))</f>
        <v>Tanque de estocagem de asfalto com agitadores de 60.000 l</v>
      </c>
      <c r="C76" s="326">
        <f>IF(A76="","",VLOOKUP(A76,Equipamentos_base!A:K,3,"FALSO"))</f>
        <v>791151.4334</v>
      </c>
      <c r="D76" s="326">
        <f>IF(A76="","",VLOOKUP(A76,Equipamentos_base!A:K,4,"FALSO"))</f>
        <v>105.4869</v>
      </c>
      <c r="E76" s="326">
        <f>IF(A76="","",VLOOKUP(A76,Equipamentos_base!A:K,5,"FALSO"))</f>
        <v>16.2713</v>
      </c>
      <c r="F76" s="326">
        <f>IF(A76="","",VLOOKUP(A76,Equipamentos_base!A:K,6,"FALSO"))</f>
        <v>0</v>
      </c>
      <c r="G76" s="326">
        <f>IF(A76="","",VLOOKUP(A76,Equipamentos_base!A:K,7,"FALSO"))</f>
        <v>65.9293</v>
      </c>
      <c r="H76" s="326">
        <f>IF(A76="","",VLOOKUP(A76,Equipamentos_base!A:K,8,"FALSO"))</f>
        <v>0</v>
      </c>
      <c r="I76" s="326">
        <f>IF(A76="","",VLOOKUP(A76,Equipamentos_base!A:K,9,"FALSO"))</f>
        <v>0</v>
      </c>
      <c r="J76" s="327" t="s">
        <v>932</v>
      </c>
      <c r="K76" s="327" t="s">
        <v>932</v>
      </c>
      <c r="L76" s="316" t="str">
        <f>IF(J76="","",VLOOKUP(A76,Equipamentos_base!A:K,10,"FALSO"))</f>
        <v/>
      </c>
      <c r="M76" s="316" t="str">
        <f>IF(J76="","",VLOOKUP(A76,Equipamentos_base!A:K,11,"FALSO"))</f>
        <v/>
      </c>
    </row>
    <row r="77" s="316" customFormat="1" hidden="1" spans="1:13">
      <c r="A77" s="324" t="s">
        <v>15839</v>
      </c>
      <c r="B77" s="325" t="str">
        <f>IF(A77="","",VLOOKUP(A77,Equipamentos_base!A:K,2,"FALSO"))</f>
        <v>Trado cavadeira de 12"</v>
      </c>
      <c r="C77" s="326">
        <f>IF(A77="","",VLOOKUP(A77,Equipamentos_base!A:K,3,"FALSO"))</f>
        <v>157.3009</v>
      </c>
      <c r="D77" s="326">
        <f>IF(A77="","",VLOOKUP(A77,Equipamentos_base!A:K,4,"FALSO"))</f>
        <v>0.0787</v>
      </c>
      <c r="E77" s="326">
        <f>IF(A77="","",VLOOKUP(A77,Equipamentos_base!A:K,5,"FALSO"))</f>
        <v>0.0049</v>
      </c>
      <c r="F77" s="326">
        <f>IF(A77="","",VLOOKUP(A77,Equipamentos_base!A:K,6,"FALSO"))</f>
        <v>0</v>
      </c>
      <c r="G77" s="326">
        <f>IF(A77="","",VLOOKUP(A77,Equipamentos_base!A:K,7,"FALSO"))</f>
        <v>0.0393</v>
      </c>
      <c r="H77" s="326">
        <f>IF(A77="","",VLOOKUP(A77,Equipamentos_base!A:K,8,"FALSO"))</f>
        <v>0</v>
      </c>
      <c r="I77" s="326">
        <f>IF(A77="","",VLOOKUP(A77,Equipamentos_base!A:K,9,"FALSO"))</f>
        <v>0</v>
      </c>
      <c r="J77" s="327" t="s">
        <v>932</v>
      </c>
      <c r="K77" s="327" t="s">
        <v>932</v>
      </c>
      <c r="L77" s="316" t="str">
        <f>IF(J77="","",VLOOKUP(A77,Equipamentos_base!A:K,10,"FALSO"))</f>
        <v/>
      </c>
      <c r="M77" s="316" t="str">
        <f>IF(J77="","",VLOOKUP(A77,Equipamentos_base!A:K,11,"FALSO"))</f>
        <v/>
      </c>
    </row>
    <row r="78" s="316" customFormat="1" ht="30" spans="1:13">
      <c r="A78" s="324" t="s">
        <v>14293</v>
      </c>
      <c r="B78" s="325" t="str">
        <f>IF(A78="","",VLOOKUP(A78,Equipamentos_base!A:K,2,"FALSO"))</f>
        <v>Equipamento para pintura eletrostática com cabine dupla de 7,00 kW e estufa de 80.000 kCal</v>
      </c>
      <c r="C78" s="326">
        <f>IF(A78="","",VLOOKUP(A78,Equipamentos_base!A:K,3,"FALSO"))</f>
        <v>169860.2233</v>
      </c>
      <c r="D78" s="326">
        <f>IF(A78="","",VLOOKUP(A78,Equipamentos_base!A:K,4,"FALSO"))</f>
        <v>10.9196</v>
      </c>
      <c r="E78" s="326">
        <f>IF(A78="","",VLOOKUP(A78,Equipamentos_base!A:K,5,"FALSO"))</f>
        <v>2.9944</v>
      </c>
      <c r="F78" s="326">
        <f>IF(A78="","",VLOOKUP(A78,Equipamentos_base!A:K,6,"FALSO"))</f>
        <v>0</v>
      </c>
      <c r="G78" s="326">
        <f>IF(A78="","",VLOOKUP(A78,Equipamentos_base!A:K,7,"FALSO"))</f>
        <v>6.0664</v>
      </c>
      <c r="H78" s="326">
        <f>IF(A78="","",VLOOKUP(A78,Equipamentos_base!A:K,8,"FALSO"))</f>
        <v>0</v>
      </c>
      <c r="I78" s="326">
        <f>IF(A78="","",VLOOKUP(A78,Equipamentos_base!A:K,9,"FALSO"))</f>
        <v>26.5829</v>
      </c>
      <c r="J78" s="327">
        <v>46.5633</v>
      </c>
      <c r="K78" s="327">
        <v>40.4969</v>
      </c>
      <c r="L78" s="316">
        <f>IF(J78="","",VLOOKUP(A78,Equipamentos_base!A:K,10,"FALSO"))</f>
        <v>46.5633</v>
      </c>
      <c r="M78" s="316">
        <f>IF(J78="","",VLOOKUP(A78,Equipamentos_base!A:K,11,"FALSO"))</f>
        <v>40.4969</v>
      </c>
    </row>
    <row r="79" s="316" customFormat="1" ht="30" hidden="1" spans="1:13">
      <c r="A79" s="324" t="s">
        <v>15840</v>
      </c>
      <c r="B79" s="325" t="str">
        <f>IF(A79="","",VLOOKUP(A79,Equipamentos_base!A:K,2,"FALSO"))</f>
        <v>Perfuratriz de circulação reversa tipo Wirth ou similar com unidade hidráulica (Power Pack) - 273 kW</v>
      </c>
      <c r="C79" s="326">
        <f>IF(A79="","",VLOOKUP(A79,Equipamentos_base!A:K,3,"FALSO"))</f>
        <v>4601751.1256</v>
      </c>
      <c r="D79" s="326">
        <f>IF(A79="","",VLOOKUP(A79,Equipamentos_base!A:K,4,"FALSO"))</f>
        <v>368.1401</v>
      </c>
      <c r="E79" s="326">
        <f>IF(A79="","",VLOOKUP(A79,Equipamentos_base!A:K,5,"FALSO"))</f>
        <v>85.1784</v>
      </c>
      <c r="F79" s="326">
        <f>IF(A79="","",VLOOKUP(A79,Equipamentos_base!A:K,6,"FALSO"))</f>
        <v>0</v>
      </c>
      <c r="G79" s="326">
        <f>IF(A79="","",VLOOKUP(A79,Equipamentos_base!A:K,7,"FALSO"))</f>
        <v>368.1401</v>
      </c>
      <c r="H79" s="326">
        <f>IF(A79="","",VLOOKUP(A79,Equipamentos_base!A:K,8,"FALSO"))</f>
        <v>151.242</v>
      </c>
      <c r="I79" s="326">
        <f>IF(A79="","",VLOOKUP(A79,Equipamentos_base!A:K,9,"FALSO"))</f>
        <v>33.7544</v>
      </c>
      <c r="J79" s="327" t="s">
        <v>932</v>
      </c>
      <c r="K79" s="327" t="s">
        <v>932</v>
      </c>
      <c r="L79" s="316" t="str">
        <f>IF(J79="","",VLOOKUP(A79,Equipamentos_base!A:K,10,"FALSO"))</f>
        <v/>
      </c>
      <c r="M79" s="316" t="str">
        <f>IF(J79="","",VLOOKUP(A79,Equipamentos_base!A:K,11,"FALSO"))</f>
        <v/>
      </c>
    </row>
    <row r="80" s="316" customFormat="1" hidden="1" spans="1:13">
      <c r="A80" s="324" t="s">
        <v>15841</v>
      </c>
      <c r="B80" s="325" t="str">
        <f>IF(A80="","",VLOOKUP(A80,Equipamentos_base!A:K,2,"FALSO"))</f>
        <v>Treliça lançadeira com capacidade de carga de 100 a 120 t e vão máximo de 45 m - 110 kW</v>
      </c>
      <c r="C80" s="326">
        <f>IF(A80="","",VLOOKUP(A80,Equipamentos_base!A:K,3,"FALSO"))</f>
        <v>3533977.7169</v>
      </c>
      <c r="D80" s="326">
        <f>IF(A80="","",VLOOKUP(A80,Equipamentos_base!A:K,4,"FALSO"))</f>
        <v>157.0657</v>
      </c>
      <c r="E80" s="326">
        <f>IF(A80="","",VLOOKUP(A80,Equipamentos_base!A:K,5,"FALSO"))</f>
        <v>60.5685</v>
      </c>
      <c r="F80" s="326">
        <f>IF(A80="","",VLOOKUP(A80,Equipamentos_base!A:K,6,"FALSO"))</f>
        <v>0</v>
      </c>
      <c r="G80" s="326">
        <f>IF(A80="","",VLOOKUP(A80,Equipamentos_base!A:K,7,"FALSO"))</f>
        <v>98.166</v>
      </c>
      <c r="H80" s="326">
        <f>IF(A80="","",VLOOKUP(A80,Equipamentos_base!A:K,8,"FALSO"))</f>
        <v>0</v>
      </c>
      <c r="I80" s="326">
        <f>IF(A80="","",VLOOKUP(A80,Equipamentos_base!A:K,9,"FALSO"))</f>
        <v>45.2393</v>
      </c>
      <c r="J80" s="327" t="s">
        <v>932</v>
      </c>
      <c r="K80" s="327" t="s">
        <v>932</v>
      </c>
      <c r="L80" s="316" t="str">
        <f>IF(J80="","",VLOOKUP(A80,Equipamentos_base!A:K,10,"FALSO"))</f>
        <v/>
      </c>
      <c r="M80" s="316" t="str">
        <f>IF(J80="","",VLOOKUP(A80,Equipamentos_base!A:K,11,"FALSO"))</f>
        <v/>
      </c>
    </row>
    <row r="81" s="316" customFormat="1" hidden="1" spans="1:13">
      <c r="A81" s="324" t="s">
        <v>15842</v>
      </c>
      <c r="B81" s="325" t="str">
        <f>IF(A81="","",VLOOKUP(A81,Equipamentos_base!A:K,2,"FALSO"))</f>
        <v>Bomba submersível com capacidade de 360 m³/h - 23 kW</v>
      </c>
      <c r="C81" s="326">
        <f>IF(A81="","",VLOOKUP(A81,Equipamentos_base!A:K,3,"FALSO"))</f>
        <v>179243.0448</v>
      </c>
      <c r="D81" s="326">
        <f>IF(A81="","",VLOOKUP(A81,Equipamentos_base!A:K,4,"FALSO"))</f>
        <v>17.9243</v>
      </c>
      <c r="E81" s="326">
        <f>IF(A81="","",VLOOKUP(A81,Equipamentos_base!A:K,5,"FALSO"))</f>
        <v>3.456</v>
      </c>
      <c r="F81" s="326">
        <f>IF(A81="","",VLOOKUP(A81,Equipamentos_base!A:K,6,"FALSO"))</f>
        <v>0</v>
      </c>
      <c r="G81" s="326">
        <f>IF(A81="","",VLOOKUP(A81,Equipamentos_base!A:K,7,"FALSO"))</f>
        <v>15.6838</v>
      </c>
      <c r="H81" s="326">
        <f>IF(A81="","",VLOOKUP(A81,Equipamentos_base!A:K,8,"FALSO"))</f>
        <v>0</v>
      </c>
      <c r="I81" s="326">
        <f>IF(A81="","",VLOOKUP(A81,Equipamentos_base!A:K,9,"FALSO"))</f>
        <v>0</v>
      </c>
      <c r="J81" s="327" t="s">
        <v>932</v>
      </c>
      <c r="K81" s="327" t="s">
        <v>932</v>
      </c>
      <c r="L81" s="316" t="str">
        <f>IF(J81="","",VLOOKUP(A81,Equipamentos_base!A:K,10,"FALSO"))</f>
        <v/>
      </c>
      <c r="M81" s="316" t="str">
        <f>IF(J81="","",VLOOKUP(A81,Equipamentos_base!A:K,11,"FALSO"))</f>
        <v/>
      </c>
    </row>
    <row r="82" s="316" customFormat="1" hidden="1" spans="1:13">
      <c r="A82" s="324" t="s">
        <v>15843</v>
      </c>
      <c r="B82" s="325" t="str">
        <f>IF(A82="","",VLOOKUP(A82,Equipamentos_base!A:K,2,"FALSO"))</f>
        <v>Carrelone com capacidade máxima de 70 t</v>
      </c>
      <c r="C82" s="326">
        <f>IF(A82="","",VLOOKUP(A82,Equipamentos_base!A:K,3,"FALSO"))</f>
        <v>1849083.4799</v>
      </c>
      <c r="D82" s="326">
        <f>IF(A82="","",VLOOKUP(A82,Equipamentos_base!A:K,4,"FALSO"))</f>
        <v>83.2088</v>
      </c>
      <c r="E82" s="326">
        <f>IF(A82="","",VLOOKUP(A82,Equipamentos_base!A:K,5,"FALSO"))</f>
        <v>31.3743</v>
      </c>
      <c r="F82" s="326">
        <f>IF(A82="","",VLOOKUP(A82,Equipamentos_base!A:K,6,"FALSO"))</f>
        <v>0</v>
      </c>
      <c r="G82" s="326">
        <f>IF(A82="","",VLOOKUP(A82,Equipamentos_base!A:K,7,"FALSO"))</f>
        <v>46.2271</v>
      </c>
      <c r="H82" s="326">
        <f>IF(A82="","",VLOOKUP(A82,Equipamentos_base!A:K,8,"FALSO"))</f>
        <v>0</v>
      </c>
      <c r="I82" s="326">
        <f>IF(A82="","",VLOOKUP(A82,Equipamentos_base!A:K,9,"FALSO"))</f>
        <v>26.5829</v>
      </c>
      <c r="J82" s="327" t="s">
        <v>932</v>
      </c>
      <c r="K82" s="327" t="s">
        <v>932</v>
      </c>
      <c r="L82" s="316" t="str">
        <f>IF(J82="","",VLOOKUP(A82,Equipamentos_base!A:K,10,"FALSO"))</f>
        <v/>
      </c>
      <c r="M82" s="316" t="str">
        <f>IF(J82="","",VLOOKUP(A82,Equipamentos_base!A:K,11,"FALSO"))</f>
        <v/>
      </c>
    </row>
    <row r="83" s="316" customFormat="1" hidden="1" spans="1:13">
      <c r="A83" s="324" t="s">
        <v>15844</v>
      </c>
      <c r="B83" s="325" t="str">
        <f>IF(A83="","",VLOOKUP(A83,Equipamentos_base!A:K,2,"FALSO"))</f>
        <v>Fischietti simples com capacidade de 70 t</v>
      </c>
      <c r="C83" s="326">
        <f>IF(A83="","",VLOOKUP(A83,Equipamentos_base!A:K,3,"FALSO"))</f>
        <v>103110.9056</v>
      </c>
      <c r="D83" s="326">
        <f>IF(A83="","",VLOOKUP(A83,Equipamentos_base!A:K,4,"FALSO"))</f>
        <v>4.64</v>
      </c>
      <c r="E83" s="326">
        <f>IF(A83="","",VLOOKUP(A83,Equipamentos_base!A:K,5,"FALSO"))</f>
        <v>1.7495</v>
      </c>
      <c r="F83" s="326">
        <f>IF(A83="","",VLOOKUP(A83,Equipamentos_base!A:K,6,"FALSO"))</f>
        <v>0</v>
      </c>
      <c r="G83" s="326">
        <f>IF(A83="","",VLOOKUP(A83,Equipamentos_base!A:K,7,"FALSO"))</f>
        <v>2.5778</v>
      </c>
      <c r="H83" s="326">
        <f>IF(A83="","",VLOOKUP(A83,Equipamentos_base!A:K,8,"FALSO"))</f>
        <v>0</v>
      </c>
      <c r="I83" s="326">
        <f>IF(A83="","",VLOOKUP(A83,Equipamentos_base!A:K,9,"FALSO"))</f>
        <v>0</v>
      </c>
      <c r="J83" s="327" t="s">
        <v>932</v>
      </c>
      <c r="K83" s="327" t="s">
        <v>932</v>
      </c>
      <c r="L83" s="316" t="str">
        <f>IF(J83="","",VLOOKUP(A83,Equipamentos_base!A:K,10,"FALSO"))</f>
        <v/>
      </c>
      <c r="M83" s="316" t="str">
        <f>IF(J83="","",VLOOKUP(A83,Equipamentos_base!A:K,11,"FALSO"))</f>
        <v/>
      </c>
    </row>
    <row r="84" s="316" customFormat="1" ht="30" spans="1:13">
      <c r="A84" s="324" t="s">
        <v>15845</v>
      </c>
      <c r="B84" s="325" t="str">
        <f>IF(A84="","",VLOOKUP(A84,Equipamentos_base!A:K,2,"FALSO"))</f>
        <v>Bate-estaca hidráulico para defensas montado em caminhão guindauto com capacidade de 6,2 t e carroceria de 5 t - 152 kW</v>
      </c>
      <c r="C84" s="326">
        <f>IF(A84="","",VLOOKUP(A84,Equipamentos_base!A:K,3,"FALSO"))</f>
        <v>0</v>
      </c>
      <c r="D84" s="326">
        <f>IF(A84="","",VLOOKUP(A84,Equipamentos_base!A:K,4,"FALSO"))</f>
        <v>0</v>
      </c>
      <c r="E84" s="326">
        <f>IF(A84="","",VLOOKUP(A84,Equipamentos_base!A:K,5,"FALSO"))</f>
        <v>0</v>
      </c>
      <c r="F84" s="326">
        <f>IF(A84="","",VLOOKUP(A84,Equipamentos_base!A:K,6,"FALSO"))</f>
        <v>0</v>
      </c>
      <c r="G84" s="326">
        <f>IF(A84="","",VLOOKUP(A84,Equipamentos_base!A:K,7,"FALSO"))</f>
        <v>0</v>
      </c>
      <c r="H84" s="326">
        <f>IF(A84="","",VLOOKUP(A84,Equipamentos_base!A:K,8,"FALSO"))</f>
        <v>0</v>
      </c>
      <c r="I84" s="326">
        <f>IF(A84="","",VLOOKUP(A84,Equipamentos_base!A:K,9,"FALSO"))</f>
        <v>0</v>
      </c>
      <c r="J84" s="327">
        <v>400.5844</v>
      </c>
      <c r="K84" s="327">
        <v>158.1772</v>
      </c>
      <c r="L84" s="316">
        <f>IF(J84="","",VLOOKUP(A84,Equipamentos_base!A:K,10,"FALSO"))</f>
        <v>400.5844</v>
      </c>
      <c r="M84" s="316">
        <f>IF(J84="","",VLOOKUP(A84,Equipamentos_base!A:K,11,"FALSO"))</f>
        <v>158.1772</v>
      </c>
    </row>
    <row r="85" s="316" customFormat="1" hidden="1" spans="1:13">
      <c r="A85" s="324" t="s">
        <v>15846</v>
      </c>
      <c r="B85" s="325" t="str">
        <f>IF(A85="","",VLOOKUP(A85,Equipamentos_base!A:K,2,"FALSO"))</f>
        <v>Vagão fechado FLT com capacidade de 99 t</v>
      </c>
      <c r="C85" s="326">
        <f>IF(A85="","",VLOOKUP(A85,Equipamentos_base!A:K,3,"FALSO"))</f>
        <v>869181.1526</v>
      </c>
      <c r="D85" s="326">
        <f>IF(A85="","",VLOOKUP(A85,Equipamentos_base!A:K,4,"FALSO"))</f>
        <v>13.762</v>
      </c>
      <c r="E85" s="326">
        <f>IF(A85="","",VLOOKUP(A85,Equipamentos_base!A:K,5,"FALSO"))</f>
        <v>13.854</v>
      </c>
      <c r="F85" s="326">
        <f>IF(A85="","",VLOOKUP(A85,Equipamentos_base!A:K,6,"FALSO"))</f>
        <v>0</v>
      </c>
      <c r="G85" s="326">
        <f>IF(A85="","",VLOOKUP(A85,Equipamentos_base!A:K,7,"FALSO"))</f>
        <v>7.2432</v>
      </c>
      <c r="H85" s="326">
        <f>IF(A85="","",VLOOKUP(A85,Equipamentos_base!A:K,8,"FALSO"))</f>
        <v>0</v>
      </c>
      <c r="I85" s="326">
        <f>IF(A85="","",VLOOKUP(A85,Equipamentos_base!A:K,9,"FALSO"))</f>
        <v>0</v>
      </c>
      <c r="J85" s="327" t="s">
        <v>932</v>
      </c>
      <c r="K85" s="327" t="s">
        <v>932</v>
      </c>
      <c r="L85" s="316" t="str">
        <f>IF(J85="","",VLOOKUP(A85,Equipamentos_base!A:K,10,"FALSO"))</f>
        <v/>
      </c>
      <c r="M85" s="316" t="str">
        <f>IF(J85="","",VLOOKUP(A85,Equipamentos_base!A:K,11,"FALSO"))</f>
        <v/>
      </c>
    </row>
    <row r="86" s="316" customFormat="1" hidden="1" spans="1:13">
      <c r="A86" s="324" t="s">
        <v>15847</v>
      </c>
      <c r="B86" s="325" t="str">
        <f>IF(A86="","",VLOOKUP(A86,Equipamentos_base!A:K,2,"FALSO"))</f>
        <v>Vagão tanque convencional TCT com capacidade de 97 t e 103.000 l</v>
      </c>
      <c r="C86" s="326">
        <f>IF(A86="","",VLOOKUP(A86,Equipamentos_base!A:K,3,"FALSO"))</f>
        <v>1263021.962</v>
      </c>
      <c r="D86" s="326">
        <f>IF(A86="","",VLOOKUP(A86,Equipamentos_base!A:K,4,"FALSO"))</f>
        <v>19.9978</v>
      </c>
      <c r="E86" s="326">
        <f>IF(A86="","",VLOOKUP(A86,Equipamentos_base!A:K,5,"FALSO"))</f>
        <v>20.1315</v>
      </c>
      <c r="F86" s="326">
        <f>IF(A86="","",VLOOKUP(A86,Equipamentos_base!A:K,6,"FALSO"))</f>
        <v>0</v>
      </c>
      <c r="G86" s="326">
        <f>IF(A86="","",VLOOKUP(A86,Equipamentos_base!A:K,7,"FALSO"))</f>
        <v>10.5252</v>
      </c>
      <c r="H86" s="326">
        <f>IF(A86="","",VLOOKUP(A86,Equipamentos_base!A:K,8,"FALSO"))</f>
        <v>0</v>
      </c>
      <c r="I86" s="326">
        <f>IF(A86="","",VLOOKUP(A86,Equipamentos_base!A:K,9,"FALSO"))</f>
        <v>0</v>
      </c>
      <c r="J86" s="327" t="s">
        <v>932</v>
      </c>
      <c r="K86" s="327" t="s">
        <v>932</v>
      </c>
      <c r="L86" s="316" t="str">
        <f>IF(J86="","",VLOOKUP(A86,Equipamentos_base!A:K,10,"FALSO"))</f>
        <v/>
      </c>
      <c r="M86" s="316" t="str">
        <f>IF(J86="","",VLOOKUP(A86,Equipamentos_base!A:K,11,"FALSO"))</f>
        <v/>
      </c>
    </row>
    <row r="87" s="316" customFormat="1" hidden="1" spans="1:13">
      <c r="A87" s="324" t="s">
        <v>15848</v>
      </c>
      <c r="B87" s="325" t="str">
        <f>IF(A87="","",VLOOKUP(A87,Equipamentos_base!A:K,2,"FALSO"))</f>
        <v>Vagão gôndola GDE com capacidade de 93,5 t / 29 m³</v>
      </c>
      <c r="C87" s="326">
        <f>IF(A87="","",VLOOKUP(A87,Equipamentos_base!A:K,3,"FALSO"))</f>
        <v>637742.384</v>
      </c>
      <c r="D87" s="326">
        <f>IF(A87="","",VLOOKUP(A87,Equipamentos_base!A:K,4,"FALSO"))</f>
        <v>10.0976</v>
      </c>
      <c r="E87" s="326">
        <f>IF(A87="","",VLOOKUP(A87,Equipamentos_base!A:K,5,"FALSO"))</f>
        <v>10.1651</v>
      </c>
      <c r="F87" s="326">
        <f>IF(A87="","",VLOOKUP(A87,Equipamentos_base!A:K,6,"FALSO"))</f>
        <v>0</v>
      </c>
      <c r="G87" s="326">
        <f>IF(A87="","",VLOOKUP(A87,Equipamentos_base!A:K,7,"FALSO"))</f>
        <v>5.3145</v>
      </c>
      <c r="H87" s="326">
        <f>IF(A87="","",VLOOKUP(A87,Equipamentos_base!A:K,8,"FALSO"))</f>
        <v>0</v>
      </c>
      <c r="I87" s="326">
        <f>IF(A87="","",VLOOKUP(A87,Equipamentos_base!A:K,9,"FALSO"))</f>
        <v>0</v>
      </c>
      <c r="J87" s="327" t="s">
        <v>932</v>
      </c>
      <c r="K87" s="327" t="s">
        <v>932</v>
      </c>
      <c r="L87" s="316" t="str">
        <f>IF(J87="","",VLOOKUP(A87,Equipamentos_base!A:K,10,"FALSO"))</f>
        <v/>
      </c>
      <c r="M87" s="316" t="str">
        <f>IF(J87="","",VLOOKUP(A87,Equipamentos_base!A:K,11,"FALSO"))</f>
        <v/>
      </c>
    </row>
    <row r="88" s="316" customFormat="1" hidden="1" spans="1:13">
      <c r="A88" s="324" t="s">
        <v>15849</v>
      </c>
      <c r="B88" s="325" t="str">
        <f>IF(A88="","",VLOOKUP(A88,Equipamentos_base!A:K,2,"FALSO"))</f>
        <v>Bomba de concreto rebocável com capacidade de 41 m³/h - 74 kW</v>
      </c>
      <c r="C88" s="326">
        <f>IF(A88="","",VLOOKUP(A88,Equipamentos_base!A:K,3,"FALSO"))</f>
        <v>537353.038</v>
      </c>
      <c r="D88" s="326">
        <f>IF(A88="","",VLOOKUP(A88,Equipamentos_base!A:K,4,"FALSO"))</f>
        <v>53.7353</v>
      </c>
      <c r="E88" s="326">
        <f>IF(A88="","",VLOOKUP(A88,Equipamentos_base!A:K,5,"FALSO"))</f>
        <v>10.3608</v>
      </c>
      <c r="F88" s="326">
        <f>IF(A88="","",VLOOKUP(A88,Equipamentos_base!A:K,6,"FALSO"))</f>
        <v>0</v>
      </c>
      <c r="G88" s="326">
        <f>IF(A88="","",VLOOKUP(A88,Equipamentos_base!A:K,7,"FALSO"))</f>
        <v>53.7353</v>
      </c>
      <c r="H88" s="326">
        <f>IF(A88="","",VLOOKUP(A88,Equipamentos_base!A:K,8,"FALSO"))</f>
        <v>77.8924</v>
      </c>
      <c r="I88" s="326">
        <f>IF(A88="","",VLOOKUP(A88,Equipamentos_base!A:K,9,"FALSO"))</f>
        <v>26.5829</v>
      </c>
      <c r="J88" s="327" t="s">
        <v>932</v>
      </c>
      <c r="K88" s="327" t="s">
        <v>932</v>
      </c>
      <c r="L88" s="316" t="str">
        <f>IF(J88="","",VLOOKUP(A88,Equipamentos_base!A:K,10,"FALSO"))</f>
        <v/>
      </c>
      <c r="M88" s="316" t="str">
        <f>IF(J88="","",VLOOKUP(A88,Equipamentos_base!A:K,11,"FALSO"))</f>
        <v/>
      </c>
    </row>
    <row r="89" s="316" customFormat="1" hidden="1" spans="1:13">
      <c r="A89" s="324" t="s">
        <v>15850</v>
      </c>
      <c r="B89" s="325" t="str">
        <f>IF(A89="","",VLOOKUP(A89,Equipamentos_base!A:K,2,"FALSO"))</f>
        <v>Roçadeira costal - 1,40 kW</v>
      </c>
      <c r="C89" s="326">
        <f>IF(A89="","",VLOOKUP(A89,Equipamentos_base!A:K,3,"FALSO"))</f>
        <v>2848.8081</v>
      </c>
      <c r="D89" s="326">
        <f>IF(A89="","",VLOOKUP(A89,Equipamentos_base!A:K,4,"FALSO"))</f>
        <v>0.4273</v>
      </c>
      <c r="E89" s="326">
        <f>IF(A89="","",VLOOKUP(A89,Equipamentos_base!A:K,5,"FALSO"))</f>
        <v>0.0586</v>
      </c>
      <c r="F89" s="326">
        <f>IF(A89="","",VLOOKUP(A89,Equipamentos_base!A:K,6,"FALSO"))</f>
        <v>0</v>
      </c>
      <c r="G89" s="326">
        <f>IF(A89="","",VLOOKUP(A89,Equipamentos_base!A:K,7,"FALSO"))</f>
        <v>0.3324</v>
      </c>
      <c r="H89" s="326">
        <f>IF(A89="","",VLOOKUP(A89,Equipamentos_base!A:K,8,"FALSO"))</f>
        <v>8.1158</v>
      </c>
      <c r="I89" s="326">
        <f>IF(A89="","",VLOOKUP(A89,Equipamentos_base!A:K,9,"FALSO"))</f>
        <v>0</v>
      </c>
      <c r="J89" s="327" t="s">
        <v>932</v>
      </c>
      <c r="K89" s="327" t="s">
        <v>932</v>
      </c>
      <c r="L89" s="316" t="str">
        <f>IF(J89="","",VLOOKUP(A89,Equipamentos_base!A:K,10,"FALSO"))</f>
        <v/>
      </c>
      <c r="M89" s="316" t="str">
        <f>IF(J89="","",VLOOKUP(A89,Equipamentos_base!A:K,11,"FALSO"))</f>
        <v/>
      </c>
    </row>
    <row r="90" s="316" customFormat="1" spans="1:13">
      <c r="A90" s="324" t="s">
        <v>682</v>
      </c>
      <c r="B90" s="325" t="str">
        <f>IF(A90="","",VLOOKUP(A90,Equipamentos_base!A:K,2,"FALSO"))</f>
        <v>Veículo leve - 53 kW (sem motorista)</v>
      </c>
      <c r="C90" s="326">
        <f>IF(A90="","",VLOOKUP(A90,Equipamentos_base!A:K,3,"FALSO"))</f>
        <v>81221.8307</v>
      </c>
      <c r="D90" s="326">
        <f>IF(A90="","",VLOOKUP(A90,Equipamentos_base!A:K,4,"FALSO"))</f>
        <v>4.8733</v>
      </c>
      <c r="E90" s="326">
        <f>IF(A90="","",VLOOKUP(A90,Equipamentos_base!A:K,5,"FALSO"))</f>
        <v>1.5034</v>
      </c>
      <c r="F90" s="326">
        <f>IF(A90="","",VLOOKUP(A90,Equipamentos_base!A:K,6,"FALSO"))</f>
        <v>0.6092</v>
      </c>
      <c r="G90" s="326">
        <f>IF(A90="","",VLOOKUP(A90,Equipamentos_base!A:K,7,"FALSO"))</f>
        <v>4.8733</v>
      </c>
      <c r="H90" s="326">
        <f>IF(A90="","",VLOOKUP(A90,Equipamentos_base!A:K,8,"FALSO"))</f>
        <v>25.1379</v>
      </c>
      <c r="I90" s="326">
        <f>IF(A90="","",VLOOKUP(A90,Equipamentos_base!A:K,9,"FALSO"))</f>
        <v>0</v>
      </c>
      <c r="J90" s="327">
        <v>36.9971</v>
      </c>
      <c r="K90" s="327">
        <v>6.9859</v>
      </c>
      <c r="L90" s="316">
        <f>IF(J90="","",VLOOKUP(A90,Equipamentos_base!A:K,10,"FALSO"))</f>
        <v>36.9971</v>
      </c>
      <c r="M90" s="316">
        <f>IF(J90="","",VLOOKUP(A90,Equipamentos_base!A:K,11,"FALSO"))</f>
        <v>6.9859</v>
      </c>
    </row>
    <row r="91" s="316" customFormat="1" spans="1:13">
      <c r="A91" s="324" t="s">
        <v>1084</v>
      </c>
      <c r="B91" s="325" t="str">
        <f>IF(A91="","",VLOOKUP(A91,Equipamentos_base!A:K,2,"FALSO"))</f>
        <v>Guindaste móvel sobre pneus com 6 eixos com capacidade máxima de 350 t - 450 kW</v>
      </c>
      <c r="C91" s="326">
        <f>IF(A91="","",VLOOKUP(A91,Equipamentos_base!A:K,3,"FALSO"))</f>
        <v>21591301.6313</v>
      </c>
      <c r="D91" s="326">
        <f>IF(A91="","",VLOOKUP(A91,Equipamentos_base!A:K,4,"FALSO"))</f>
        <v>755.6956</v>
      </c>
      <c r="E91" s="326">
        <f>IF(A91="","",VLOOKUP(A91,Equipamentos_base!A:K,5,"FALSO"))</f>
        <v>366.3504</v>
      </c>
      <c r="F91" s="326">
        <f>IF(A91="","",VLOOKUP(A91,Equipamentos_base!A:K,6,"FALSO"))</f>
        <v>148.4402</v>
      </c>
      <c r="G91" s="326">
        <f>IF(A91="","",VLOOKUP(A91,Equipamentos_base!A:K,7,"FALSO"))</f>
        <v>971.6086</v>
      </c>
      <c r="H91" s="326">
        <f>IF(A91="","",VLOOKUP(A91,Equipamentos_base!A:K,8,"FALSO"))</f>
        <v>124.65</v>
      </c>
      <c r="I91" s="326">
        <f>IF(A91="","",VLOOKUP(A91,Equipamentos_base!A:K,9,"FALSO"))</f>
        <v>38.1454</v>
      </c>
      <c r="J91" s="327">
        <v>2404.8902</v>
      </c>
      <c r="K91" s="327">
        <v>1308.6316</v>
      </c>
      <c r="L91" s="316">
        <f>IF(J91="","",VLOOKUP(A91,Equipamentos_base!A:K,10,"FALSO"))</f>
        <v>2404.8902</v>
      </c>
      <c r="M91" s="316">
        <f>IF(J91="","",VLOOKUP(A91,Equipamentos_base!A:K,11,"FALSO"))</f>
        <v>1308.6316</v>
      </c>
    </row>
    <row r="92" s="316" customFormat="1" hidden="1" spans="1:13">
      <c r="A92" s="324" t="s">
        <v>15851</v>
      </c>
      <c r="B92" s="325" t="str">
        <f>IF(A92="","",VLOOKUP(A92,Equipamentos_base!A:K,2,"FALSO"))</f>
        <v>Guindaste móvel sobre pneus com 8 eixos com capacidade máxima de 500 t - 500 kW</v>
      </c>
      <c r="C92" s="326">
        <f>IF(A92="","",VLOOKUP(A92,Equipamentos_base!A:K,3,"FALSO"))</f>
        <v>31365896.7649</v>
      </c>
      <c r="D92" s="326">
        <f>IF(A92="","",VLOOKUP(A92,Equipamentos_base!A:K,4,"FALSO"))</f>
        <v>1097.8064</v>
      </c>
      <c r="E92" s="326">
        <f>IF(A92="","",VLOOKUP(A92,Equipamentos_base!A:K,5,"FALSO"))</f>
        <v>532.2009</v>
      </c>
      <c r="F92" s="326">
        <f>IF(A92="","",VLOOKUP(A92,Equipamentos_base!A:K,6,"FALSO"))</f>
        <v>215.6405</v>
      </c>
      <c r="G92" s="326">
        <f>IF(A92="","",VLOOKUP(A92,Equipamentos_base!A:K,7,"FALSO"))</f>
        <v>1411.4654</v>
      </c>
      <c r="H92" s="326">
        <f>IF(A92="","",VLOOKUP(A92,Equipamentos_base!A:K,8,"FALSO"))</f>
        <v>138.5</v>
      </c>
      <c r="I92" s="326">
        <f>IF(A92="","",VLOOKUP(A92,Equipamentos_base!A:K,9,"FALSO"))</f>
        <v>38.1454</v>
      </c>
      <c r="J92" s="327" t="s">
        <v>932</v>
      </c>
      <c r="K92" s="327" t="s">
        <v>932</v>
      </c>
      <c r="L92" s="316" t="str">
        <f>IF(J92="","",VLOOKUP(A92,Equipamentos_base!A:K,10,"FALSO"))</f>
        <v/>
      </c>
      <c r="M92" s="316" t="str">
        <f>IF(J92="","",VLOOKUP(A92,Equipamentos_base!A:K,11,"FALSO"))</f>
        <v/>
      </c>
    </row>
    <row r="93" s="316" customFormat="1" hidden="1" spans="1:13">
      <c r="A93" s="324" t="s">
        <v>15852</v>
      </c>
      <c r="B93" s="325" t="str">
        <f>IF(A93="","",VLOOKUP(A93,Equipamentos_base!A:K,2,"FALSO"))</f>
        <v>Minicarregadeira de pneus - 45,50 kW</v>
      </c>
      <c r="C93" s="326">
        <f>IF(A93="","",VLOOKUP(A93,Equipamentos_base!A:K,3,"FALSO"))</f>
        <v>404472.7488</v>
      </c>
      <c r="D93" s="326">
        <f>IF(A93="","",VLOOKUP(A93,Equipamentos_base!A:K,4,"FALSO"))</f>
        <v>35.3914</v>
      </c>
      <c r="E93" s="326">
        <f>IF(A93="","",VLOOKUP(A93,Equipamentos_base!A:K,5,"FALSO"))</f>
        <v>7.7987</v>
      </c>
      <c r="F93" s="326">
        <f>IF(A93="","",VLOOKUP(A93,Equipamentos_base!A:K,6,"FALSO"))</f>
        <v>0</v>
      </c>
      <c r="G93" s="326">
        <f>IF(A93="","",VLOOKUP(A93,Equipamentos_base!A:K,7,"FALSO"))</f>
        <v>35.3914</v>
      </c>
      <c r="H93" s="326">
        <f>IF(A93="","",VLOOKUP(A93,Equipamentos_base!A:K,8,"FALSO"))</f>
        <v>63.0175</v>
      </c>
      <c r="I93" s="326">
        <f>IF(A93="","",VLOOKUP(A93,Equipamentos_base!A:K,9,"FALSO"))</f>
        <v>33.7544</v>
      </c>
      <c r="J93" s="327" t="s">
        <v>932</v>
      </c>
      <c r="K93" s="327" t="s">
        <v>932</v>
      </c>
      <c r="L93" s="316" t="str">
        <f>IF(J93="","",VLOOKUP(A93,Equipamentos_base!A:K,10,"FALSO"))</f>
        <v/>
      </c>
      <c r="M93" s="316" t="str">
        <f>IF(J93="","",VLOOKUP(A93,Equipamentos_base!A:K,11,"FALSO"))</f>
        <v/>
      </c>
    </row>
    <row r="94" s="316" customFormat="1" hidden="1" spans="1:13">
      <c r="A94" s="324" t="s">
        <v>15853</v>
      </c>
      <c r="B94" s="325" t="str">
        <f>IF(A94="","",VLOOKUP(A94,Equipamentos_base!A:K,2,"FALSO"))</f>
        <v>Caminhão de resgate de veículos leves com plataforma com capacidade de 5 t - 129 kW</v>
      </c>
      <c r="C94" s="326">
        <f>IF(A94="","",VLOOKUP(A94,Equipamentos_base!A:K,3,"FALSO"))</f>
        <v>0</v>
      </c>
      <c r="D94" s="326">
        <f>IF(A94="","",VLOOKUP(A94,Equipamentos_base!A:K,4,"FALSO"))</f>
        <v>0</v>
      </c>
      <c r="E94" s="326">
        <f>IF(A94="","",VLOOKUP(A94,Equipamentos_base!A:K,5,"FALSO"))</f>
        <v>0</v>
      </c>
      <c r="F94" s="326">
        <f>IF(A94="","",VLOOKUP(A94,Equipamentos_base!A:K,6,"FALSO"))</f>
        <v>0</v>
      </c>
      <c r="G94" s="326">
        <f>IF(A94="","",VLOOKUP(A94,Equipamentos_base!A:K,7,"FALSO"))</f>
        <v>0</v>
      </c>
      <c r="H94" s="326">
        <f>IF(A94="","",VLOOKUP(A94,Equipamentos_base!A:K,8,"FALSO"))</f>
        <v>0</v>
      </c>
      <c r="I94" s="326">
        <f>IF(A94="","",VLOOKUP(A94,Equipamentos_base!A:K,9,"FALSO"))</f>
        <v>0</v>
      </c>
      <c r="J94" s="327" t="s">
        <v>932</v>
      </c>
      <c r="K94" s="327" t="s">
        <v>932</v>
      </c>
      <c r="L94" s="316" t="str">
        <f>IF(J94="","",VLOOKUP(A94,Equipamentos_base!A:K,10,"FALSO"))</f>
        <v/>
      </c>
      <c r="M94" s="316" t="str">
        <f>IF(J94="","",VLOOKUP(A94,Equipamentos_base!A:K,11,"FALSO"))</f>
        <v/>
      </c>
    </row>
    <row r="95" s="316" customFormat="1" ht="30" hidden="1" spans="1:13">
      <c r="A95" s="324" t="s">
        <v>15854</v>
      </c>
      <c r="B95" s="325" t="str">
        <f>IF(A95="","",VLOOKUP(A95,Equipamentos_base!A:K,2,"FALSO"))</f>
        <v>Caminhão de resgate de veículos de porte médio com capacidade do guincho de 20 t - 236 kW</v>
      </c>
      <c r="C95" s="326">
        <f>IF(A95="","",VLOOKUP(A95,Equipamentos_base!A:K,3,"FALSO"))</f>
        <v>0</v>
      </c>
      <c r="D95" s="326">
        <f>IF(A95="","",VLOOKUP(A95,Equipamentos_base!A:K,4,"FALSO"))</f>
        <v>0</v>
      </c>
      <c r="E95" s="326">
        <f>IF(A95="","",VLOOKUP(A95,Equipamentos_base!A:K,5,"FALSO"))</f>
        <v>0</v>
      </c>
      <c r="F95" s="326">
        <f>IF(A95="","",VLOOKUP(A95,Equipamentos_base!A:K,6,"FALSO"))</f>
        <v>0</v>
      </c>
      <c r="G95" s="326">
        <f>IF(A95="","",VLOOKUP(A95,Equipamentos_base!A:K,7,"FALSO"))</f>
        <v>0</v>
      </c>
      <c r="H95" s="326">
        <f>IF(A95="","",VLOOKUP(A95,Equipamentos_base!A:K,8,"FALSO"))</f>
        <v>0</v>
      </c>
      <c r="I95" s="326">
        <f>IF(A95="","",VLOOKUP(A95,Equipamentos_base!A:K,9,"FALSO"))</f>
        <v>0</v>
      </c>
      <c r="J95" s="327" t="s">
        <v>932</v>
      </c>
      <c r="K95" s="327" t="s">
        <v>932</v>
      </c>
      <c r="L95" s="316" t="str">
        <f>IF(J95="","",VLOOKUP(A95,Equipamentos_base!A:K,10,"FALSO"))</f>
        <v/>
      </c>
      <c r="M95" s="316" t="str">
        <f>IF(J95="","",VLOOKUP(A95,Equipamentos_base!A:K,11,"FALSO"))</f>
        <v/>
      </c>
    </row>
    <row r="96" s="316" customFormat="1" ht="30" hidden="1" spans="1:13">
      <c r="A96" s="324" t="s">
        <v>15855</v>
      </c>
      <c r="B96" s="325" t="str">
        <f>IF(A96="","",VLOOKUP(A96,Equipamentos_base!A:K,2,"FALSO"))</f>
        <v>Caminhão de resgate de veículos pesados com dois guinchos com capacidade de 35 t - 265 kW</v>
      </c>
      <c r="C96" s="326">
        <f>IF(A96="","",VLOOKUP(A96,Equipamentos_base!A:K,3,"FALSO"))</f>
        <v>0</v>
      </c>
      <c r="D96" s="326">
        <f>IF(A96="","",VLOOKUP(A96,Equipamentos_base!A:K,4,"FALSO"))</f>
        <v>0</v>
      </c>
      <c r="E96" s="326">
        <f>IF(A96="","",VLOOKUP(A96,Equipamentos_base!A:K,5,"FALSO"))</f>
        <v>0</v>
      </c>
      <c r="F96" s="326">
        <f>IF(A96="","",VLOOKUP(A96,Equipamentos_base!A:K,6,"FALSO"))</f>
        <v>0</v>
      </c>
      <c r="G96" s="326">
        <f>IF(A96="","",VLOOKUP(A96,Equipamentos_base!A:K,7,"FALSO"))</f>
        <v>0</v>
      </c>
      <c r="H96" s="326">
        <f>IF(A96="","",VLOOKUP(A96,Equipamentos_base!A:K,8,"FALSO"))</f>
        <v>0</v>
      </c>
      <c r="I96" s="326">
        <f>IF(A96="","",VLOOKUP(A96,Equipamentos_base!A:K,9,"FALSO"))</f>
        <v>0</v>
      </c>
      <c r="J96" s="327" t="s">
        <v>932</v>
      </c>
      <c r="K96" s="327" t="s">
        <v>932</v>
      </c>
      <c r="L96" s="316" t="str">
        <f>IF(J96="","",VLOOKUP(A96,Equipamentos_base!A:K,10,"FALSO"))</f>
        <v/>
      </c>
      <c r="M96" s="316" t="str">
        <f>IF(J96="","",VLOOKUP(A96,Equipamentos_base!A:K,11,"FALSO"))</f>
        <v/>
      </c>
    </row>
    <row r="97" s="316" customFormat="1" hidden="1" spans="1:13">
      <c r="A97" s="324" t="s">
        <v>15856</v>
      </c>
      <c r="B97" s="325" t="str">
        <f>IF(A97="","",VLOOKUP(A97,Equipamentos_base!A:K,2,"FALSO"))</f>
        <v>Cavalo mecânico sem reboque - 272 kW</v>
      </c>
      <c r="C97" s="326">
        <f>IF(A97="","",VLOOKUP(A97,Equipamentos_base!A:K,3,"FALSO"))</f>
        <v>0</v>
      </c>
      <c r="D97" s="326">
        <f>IF(A97="","",VLOOKUP(A97,Equipamentos_base!A:K,4,"FALSO"))</f>
        <v>0</v>
      </c>
      <c r="E97" s="326">
        <f>IF(A97="","",VLOOKUP(A97,Equipamentos_base!A:K,5,"FALSO"))</f>
        <v>0</v>
      </c>
      <c r="F97" s="326">
        <f>IF(A97="","",VLOOKUP(A97,Equipamentos_base!A:K,6,"FALSO"))</f>
        <v>0</v>
      </c>
      <c r="G97" s="326">
        <f>IF(A97="","",VLOOKUP(A97,Equipamentos_base!A:K,7,"FALSO"))</f>
        <v>0</v>
      </c>
      <c r="H97" s="326">
        <f>IF(A97="","",VLOOKUP(A97,Equipamentos_base!A:K,8,"FALSO"))</f>
        <v>0</v>
      </c>
      <c r="I97" s="326">
        <f>IF(A97="","",VLOOKUP(A97,Equipamentos_base!A:K,9,"FALSO"))</f>
        <v>0</v>
      </c>
      <c r="J97" s="327" t="s">
        <v>932</v>
      </c>
      <c r="K97" s="327" t="s">
        <v>932</v>
      </c>
      <c r="L97" s="316" t="str">
        <f>IF(J97="","",VLOOKUP(A97,Equipamentos_base!A:K,10,"FALSO"))</f>
        <v/>
      </c>
      <c r="M97" s="316" t="str">
        <f>IF(J97="","",VLOOKUP(A97,Equipamentos_base!A:K,11,"FALSO"))</f>
        <v/>
      </c>
    </row>
    <row r="98" s="316" customFormat="1" hidden="1" spans="1:13">
      <c r="A98" s="324" t="s">
        <v>15857</v>
      </c>
      <c r="B98" s="325" t="str">
        <f>IF(A98="","",VLOOKUP(A98,Equipamentos_base!A:K,2,"FALSO"))</f>
        <v>Removedora de faixas de sinalização viária - 9,69 kW</v>
      </c>
      <c r="C98" s="326">
        <f>IF(A98="","",VLOOKUP(A98,Equipamentos_base!A:K,3,"FALSO"))</f>
        <v>50067.1558</v>
      </c>
      <c r="D98" s="326">
        <f>IF(A98="","",VLOOKUP(A98,Equipamentos_base!A:K,4,"FALSO"))</f>
        <v>4.0054</v>
      </c>
      <c r="E98" s="326">
        <f>IF(A98="","",VLOOKUP(A98,Equipamentos_base!A:K,5,"FALSO"))</f>
        <v>0.9267</v>
      </c>
      <c r="F98" s="326">
        <f>IF(A98="","",VLOOKUP(A98,Equipamentos_base!A:K,6,"FALSO"))</f>
        <v>0</v>
      </c>
      <c r="G98" s="326">
        <f>IF(A98="","",VLOOKUP(A98,Equipamentos_base!A:K,7,"FALSO"))</f>
        <v>3.5047</v>
      </c>
      <c r="H98" s="326">
        <f>IF(A98="","",VLOOKUP(A98,Equipamentos_base!A:K,8,"FALSO"))</f>
        <v>17.8732</v>
      </c>
      <c r="I98" s="326">
        <f>IF(A98="","",VLOOKUP(A98,Equipamentos_base!A:K,9,"FALSO"))</f>
        <v>0</v>
      </c>
      <c r="J98" s="327" t="s">
        <v>932</v>
      </c>
      <c r="K98" s="327" t="s">
        <v>932</v>
      </c>
      <c r="L98" s="316" t="str">
        <f>IF(J98="","",VLOOKUP(A98,Equipamentos_base!A:K,10,"FALSO"))</f>
        <v/>
      </c>
      <c r="M98" s="316" t="str">
        <f>IF(J98="","",VLOOKUP(A98,Equipamentos_base!A:K,11,"FALSO"))</f>
        <v/>
      </c>
    </row>
    <row r="99" s="316" customFormat="1" hidden="1" spans="1:13">
      <c r="A99" s="324" t="s">
        <v>15858</v>
      </c>
      <c r="B99" s="325" t="str">
        <f>IF(A99="","",VLOOKUP(A99,Equipamentos_base!A:K,2,"FALSO"))</f>
        <v>Extrusora para sarjeta de concreto - 10,44 kW</v>
      </c>
      <c r="C99" s="326">
        <f>IF(A99="","",VLOOKUP(A99,Equipamentos_base!A:K,3,"FALSO"))</f>
        <v>84334.6566</v>
      </c>
      <c r="D99" s="326">
        <f>IF(A99="","",VLOOKUP(A99,Equipamentos_base!A:K,4,"FALSO"))</f>
        <v>6.7468</v>
      </c>
      <c r="E99" s="326">
        <f>IF(A99="","",VLOOKUP(A99,Equipamentos_base!A:K,5,"FALSO"))</f>
        <v>1.561</v>
      </c>
      <c r="F99" s="326">
        <f>IF(A99="","",VLOOKUP(A99,Equipamentos_base!A:K,6,"FALSO"))</f>
        <v>0</v>
      </c>
      <c r="G99" s="326">
        <f>IF(A99="","",VLOOKUP(A99,Equipamentos_base!A:K,7,"FALSO"))</f>
        <v>5.9034</v>
      </c>
      <c r="H99" s="326">
        <f>IF(A99="","",VLOOKUP(A99,Equipamentos_base!A:K,8,"FALSO"))</f>
        <v>8.6756</v>
      </c>
      <c r="I99" s="326">
        <f>IF(A99="","",VLOOKUP(A99,Equipamentos_base!A:K,9,"FALSO"))</f>
        <v>26.5829</v>
      </c>
      <c r="J99" s="327" t="s">
        <v>932</v>
      </c>
      <c r="K99" s="327" t="s">
        <v>932</v>
      </c>
      <c r="L99" s="316" t="str">
        <f>IF(J99="","",VLOOKUP(A99,Equipamentos_base!A:K,10,"FALSO"))</f>
        <v/>
      </c>
      <c r="M99" s="316" t="str">
        <f>IF(J99="","",VLOOKUP(A99,Equipamentos_base!A:K,11,"FALSO"))</f>
        <v/>
      </c>
    </row>
    <row r="100" s="316" customFormat="1" hidden="1" spans="1:13">
      <c r="A100" s="324" t="s">
        <v>15859</v>
      </c>
      <c r="B100" s="325" t="str">
        <f>IF(A100="","",VLOOKUP(A100,Equipamentos_base!A:K,2,"FALSO"))</f>
        <v>Extrusora para meio-fio de concreto - 10,44 kW</v>
      </c>
      <c r="C100" s="326">
        <f>IF(A100="","",VLOOKUP(A100,Equipamentos_base!A:K,3,"FALSO"))</f>
        <v>66837.4833</v>
      </c>
      <c r="D100" s="326">
        <f>IF(A100="","",VLOOKUP(A100,Equipamentos_base!A:K,4,"FALSO"))</f>
        <v>5.347</v>
      </c>
      <c r="E100" s="326">
        <f>IF(A100="","",VLOOKUP(A100,Equipamentos_base!A:K,5,"FALSO"))</f>
        <v>1.2372</v>
      </c>
      <c r="F100" s="326">
        <f>IF(A100="","",VLOOKUP(A100,Equipamentos_base!A:K,6,"FALSO"))</f>
        <v>0</v>
      </c>
      <c r="G100" s="326">
        <f>IF(A100="","",VLOOKUP(A100,Equipamentos_base!A:K,7,"FALSO"))</f>
        <v>4.6786</v>
      </c>
      <c r="H100" s="326">
        <f>IF(A100="","",VLOOKUP(A100,Equipamentos_base!A:K,8,"FALSO"))</f>
        <v>8.6756</v>
      </c>
      <c r="I100" s="326">
        <f>IF(A100="","",VLOOKUP(A100,Equipamentos_base!A:K,9,"FALSO"))</f>
        <v>26.5829</v>
      </c>
      <c r="J100" s="327" t="s">
        <v>932</v>
      </c>
      <c r="K100" s="327" t="s">
        <v>932</v>
      </c>
      <c r="L100" s="316" t="str">
        <f>IF(J100="","",VLOOKUP(A100,Equipamentos_base!A:K,10,"FALSO"))</f>
        <v/>
      </c>
      <c r="M100" s="316" t="str">
        <f>IF(J100="","",VLOOKUP(A100,Equipamentos_base!A:K,11,"FALSO"))</f>
        <v/>
      </c>
    </row>
    <row r="101" s="316" customFormat="1" hidden="1" spans="1:13">
      <c r="A101" s="324" t="s">
        <v>15860</v>
      </c>
      <c r="B101" s="325" t="str">
        <f>IF(A101="","",VLOOKUP(A101,Equipamentos_base!A:K,2,"FALSO"))</f>
        <v>Embarcação rebocadora multipropósito com guindaste hidráulico 155 kN.m - 2 x 186 kW</v>
      </c>
      <c r="C101" s="326">
        <f>IF(A101="","",VLOOKUP(A101,Equipamentos_base!A:K,3,"FALSO"))</f>
        <v>5252363.0984</v>
      </c>
      <c r="D101" s="326">
        <f>IF(A101="","",VLOOKUP(A101,Equipamentos_base!A:K,4,"FALSO"))</f>
        <v>60.1232</v>
      </c>
      <c r="E101" s="326">
        <f>IF(A101="","",VLOOKUP(A101,Equipamentos_base!A:K,5,"FALSO"))</f>
        <v>30.192</v>
      </c>
      <c r="F101" s="326">
        <f>IF(A101="","",VLOOKUP(A101,Equipamentos_base!A:K,6,"FALSO"))</f>
        <v>0</v>
      </c>
      <c r="G101" s="326">
        <f>IF(A101="","",VLOOKUP(A101,Equipamentos_base!A:K,7,"FALSO"))</f>
        <v>133.6071</v>
      </c>
      <c r="H101" s="326">
        <f>IF(A101="","",VLOOKUP(A101,Equipamentos_base!A:K,8,"FALSO"))</f>
        <v>391.5672</v>
      </c>
      <c r="I101" s="326">
        <f>IF(A101="","",VLOOKUP(A101,Equipamentos_base!A:K,9,"FALSO"))</f>
        <v>136.0494</v>
      </c>
      <c r="J101" s="327" t="s">
        <v>932</v>
      </c>
      <c r="K101" s="327" t="s">
        <v>932</v>
      </c>
      <c r="L101" s="316" t="str">
        <f>IF(J101="","",VLOOKUP(A101,Equipamentos_base!A:K,10,"FALSO"))</f>
        <v/>
      </c>
      <c r="M101" s="316" t="str">
        <f>IF(J101="","",VLOOKUP(A101,Equipamentos_base!A:K,11,"FALSO"))</f>
        <v/>
      </c>
    </row>
    <row r="102" s="316" customFormat="1" hidden="1" spans="1:13">
      <c r="A102" s="324" t="s">
        <v>15861</v>
      </c>
      <c r="B102" s="325" t="str">
        <f>IF(A102="","",VLOOKUP(A102,Equipamentos_base!A:K,2,"FALSO"))</f>
        <v>Balsa de convés com capacidade de 200 t</v>
      </c>
      <c r="C102" s="326">
        <f>IF(A102="","",VLOOKUP(A102,Equipamentos_base!A:K,3,"FALSO"))</f>
        <v>1976387.9253</v>
      </c>
      <c r="D102" s="326">
        <f>IF(A102="","",VLOOKUP(A102,Equipamentos_base!A:K,4,"FALSO"))</f>
        <v>22.6235</v>
      </c>
      <c r="E102" s="326">
        <f>IF(A102="","",VLOOKUP(A102,Equipamentos_base!A:K,5,"FALSO"))</f>
        <v>11.3608</v>
      </c>
      <c r="F102" s="326">
        <f>IF(A102="","",VLOOKUP(A102,Equipamentos_base!A:K,6,"FALSO"))</f>
        <v>0</v>
      </c>
      <c r="G102" s="326">
        <f>IF(A102="","",VLOOKUP(A102,Equipamentos_base!A:K,7,"FALSO"))</f>
        <v>37.7058</v>
      </c>
      <c r="H102" s="326">
        <f>IF(A102="","",VLOOKUP(A102,Equipamentos_base!A:K,8,"FALSO"))</f>
        <v>0</v>
      </c>
      <c r="I102" s="326">
        <f>IF(A102="","",VLOOKUP(A102,Equipamentos_base!A:K,9,"FALSO"))</f>
        <v>30.0416</v>
      </c>
      <c r="J102" s="327" t="s">
        <v>932</v>
      </c>
      <c r="K102" s="327" t="s">
        <v>932</v>
      </c>
      <c r="L102" s="316" t="str">
        <f>IF(J102="","",VLOOKUP(A102,Equipamentos_base!A:K,10,"FALSO"))</f>
        <v/>
      </c>
      <c r="M102" s="316" t="str">
        <f>IF(J102="","",VLOOKUP(A102,Equipamentos_base!A:K,11,"FALSO"))</f>
        <v/>
      </c>
    </row>
    <row r="103" s="316" customFormat="1" hidden="1" spans="1:13">
      <c r="A103" s="324" t="s">
        <v>15862</v>
      </c>
      <c r="B103" s="325" t="str">
        <f>IF(A103="","",VLOOKUP(A103,Equipamentos_base!A:K,2,"FALSO"))</f>
        <v>Compactador manual com soquete vibratório - 2,24 kW</v>
      </c>
      <c r="C103" s="326">
        <f>IF(A103="","",VLOOKUP(A103,Equipamentos_base!A:K,3,"FALSO"))</f>
        <v>11852.7</v>
      </c>
      <c r="D103" s="326">
        <f>IF(A103="","",VLOOKUP(A103,Equipamentos_base!A:K,4,"FALSO"))</f>
        <v>2.3705</v>
      </c>
      <c r="E103" s="326">
        <f>IF(A103="","",VLOOKUP(A103,Equipamentos_base!A:K,5,"FALSO"))</f>
        <v>0.2742</v>
      </c>
      <c r="F103" s="326">
        <f>IF(A103="","",VLOOKUP(A103,Equipamentos_base!A:K,6,"FALSO"))</f>
        <v>0</v>
      </c>
      <c r="G103" s="326">
        <f>IF(A103="","",VLOOKUP(A103,Equipamentos_base!A:K,7,"FALSO"))</f>
        <v>2.3705</v>
      </c>
      <c r="H103" s="326">
        <f>IF(A103="","",VLOOKUP(A103,Equipamentos_base!A:K,8,"FALSO"))</f>
        <v>4.1317</v>
      </c>
      <c r="I103" s="326">
        <f>IF(A103="","",VLOOKUP(A103,Equipamentos_base!A:K,9,"FALSO"))</f>
        <v>0</v>
      </c>
      <c r="J103" s="327" t="s">
        <v>932</v>
      </c>
      <c r="K103" s="327" t="s">
        <v>932</v>
      </c>
      <c r="L103" s="316" t="str">
        <f>IF(J103="","",VLOOKUP(A103,Equipamentos_base!A:K,10,"FALSO"))</f>
        <v/>
      </c>
      <c r="M103" s="316" t="str">
        <f>IF(J103="","",VLOOKUP(A103,Equipamentos_base!A:K,11,"FALSO"))</f>
        <v/>
      </c>
    </row>
    <row r="104" s="316" customFormat="1" hidden="1" spans="1:13">
      <c r="A104" s="324" t="s">
        <v>15863</v>
      </c>
      <c r="B104" s="325" t="str">
        <f>IF(A104="","",VLOOKUP(A104,Equipamentos_base!A:K,2,"FALSO"))</f>
        <v>Soldadora de trilho por caldeamento na via - 400 kW</v>
      </c>
      <c r="C104" s="326">
        <f>IF(A104="","",VLOOKUP(A104,Equipamentos_base!A:K,3,"FALSO"))</f>
        <v>9735194.1648</v>
      </c>
      <c r="D104" s="326">
        <f>IF(A104="","",VLOOKUP(A104,Equipamentos_base!A:K,4,"FALSO"))</f>
        <v>155.7631</v>
      </c>
      <c r="E104" s="326">
        <f>IF(A104="","",VLOOKUP(A104,Equipamentos_base!A:K,5,"FALSO"))</f>
        <v>156.172</v>
      </c>
      <c r="F104" s="326">
        <f>IF(A104="","",VLOOKUP(A104,Equipamentos_base!A:K,6,"FALSO"))</f>
        <v>0</v>
      </c>
      <c r="G104" s="326">
        <f>IF(A104="","",VLOOKUP(A104,Equipamentos_base!A:K,7,"FALSO"))</f>
        <v>194.7039</v>
      </c>
      <c r="H104" s="326">
        <f>IF(A104="","",VLOOKUP(A104,Equipamentos_base!A:K,8,"FALSO"))</f>
        <v>265.92</v>
      </c>
      <c r="I104" s="326">
        <f>IF(A104="","",VLOOKUP(A104,Equipamentos_base!A:K,9,"FALSO"))</f>
        <v>90.4786</v>
      </c>
      <c r="J104" s="327" t="s">
        <v>932</v>
      </c>
      <c r="K104" s="327" t="s">
        <v>932</v>
      </c>
      <c r="L104" s="316" t="str">
        <f>IF(J104="","",VLOOKUP(A104,Equipamentos_base!A:K,10,"FALSO"))</f>
        <v/>
      </c>
      <c r="M104" s="316" t="str">
        <f>IF(J104="","",VLOOKUP(A104,Equipamentos_base!A:K,11,"FALSO"))</f>
        <v/>
      </c>
    </row>
    <row r="105" s="316" customFormat="1" ht="30" hidden="1" spans="1:13">
      <c r="A105" s="324" t="s">
        <v>15864</v>
      </c>
      <c r="B105" s="325" t="str">
        <f>IF(A105="","",VLOOKUP(A105,Equipamentos_base!A:K,2,"FALSO"))</f>
        <v>Escavadeira hidráulica sobre esteiras para rocha com caçamba com capacidade de 1,56 m³ - 118 kW</v>
      </c>
      <c r="C105" s="326">
        <f>IF(A105="","",VLOOKUP(A105,Equipamentos_base!A:K,3,"FALSO"))</f>
        <v>1091831.5889</v>
      </c>
      <c r="D105" s="326">
        <f>IF(A105="","",VLOOKUP(A105,Equipamentos_base!A:K,4,"FALSO"))</f>
        <v>109.1832</v>
      </c>
      <c r="E105" s="326">
        <f>IF(A105="","",VLOOKUP(A105,Equipamentos_base!A:K,5,"FALSO"))</f>
        <v>21.6534</v>
      </c>
      <c r="F105" s="326">
        <f>IF(A105="","",VLOOKUP(A105,Equipamentos_base!A:K,6,"FALSO"))</f>
        <v>0</v>
      </c>
      <c r="G105" s="326">
        <f>IF(A105="","",VLOOKUP(A105,Equipamentos_base!A:K,7,"FALSO"))</f>
        <v>109.1832</v>
      </c>
      <c r="H105" s="326">
        <f>IF(A105="","",VLOOKUP(A105,Equipamentos_base!A:K,8,"FALSO"))</f>
        <v>124.2068</v>
      </c>
      <c r="I105" s="326">
        <f>IF(A105="","",VLOOKUP(A105,Equipamentos_base!A:K,9,"FALSO"))</f>
        <v>33.7544</v>
      </c>
      <c r="J105" s="327" t="s">
        <v>932</v>
      </c>
      <c r="K105" s="327" t="s">
        <v>932</v>
      </c>
      <c r="L105" s="316" t="str">
        <f>IF(J105="","",VLOOKUP(A105,Equipamentos_base!A:K,10,"FALSO"))</f>
        <v/>
      </c>
      <c r="M105" s="316" t="str">
        <f>IF(J105="","",VLOOKUP(A105,Equipamentos_base!A:K,11,"FALSO"))</f>
        <v/>
      </c>
    </row>
    <row r="106" s="316" customFormat="1" hidden="1" spans="1:13">
      <c r="A106" s="324" t="s">
        <v>15865</v>
      </c>
      <c r="B106" s="325" t="str">
        <f>IF(A106="","",VLOOKUP(A106,Equipamentos_base!A:K,2,"FALSO"))</f>
        <v>Jateador abrasivo úmido com capacidade de 350 kg de abrasivo</v>
      </c>
      <c r="C106" s="326">
        <f>IF(A106="","",VLOOKUP(A106,Equipamentos_base!A:K,3,"FALSO"))</f>
        <v>368743.8303</v>
      </c>
      <c r="D106" s="326">
        <f>IF(A106="","",VLOOKUP(A106,Equipamentos_base!A:K,4,"FALSO"))</f>
        <v>66.3739</v>
      </c>
      <c r="E106" s="326">
        <f>IF(A106="","",VLOOKUP(A106,Equipamentos_base!A:K,5,"FALSO"))</f>
        <v>7.963</v>
      </c>
      <c r="F106" s="326">
        <f>IF(A106="","",VLOOKUP(A106,Equipamentos_base!A:K,6,"FALSO"))</f>
        <v>0</v>
      </c>
      <c r="G106" s="326">
        <f>IF(A106="","",VLOOKUP(A106,Equipamentos_base!A:K,7,"FALSO"))</f>
        <v>66.3739</v>
      </c>
      <c r="H106" s="326">
        <f>IF(A106="","",VLOOKUP(A106,Equipamentos_base!A:K,8,"FALSO"))</f>
        <v>0</v>
      </c>
      <c r="I106" s="326">
        <f>IF(A106="","",VLOOKUP(A106,Equipamentos_base!A:K,9,"FALSO"))</f>
        <v>26.5829</v>
      </c>
      <c r="J106" s="327" t="s">
        <v>932</v>
      </c>
      <c r="K106" s="327" t="s">
        <v>932</v>
      </c>
      <c r="L106" s="316" t="str">
        <f>IF(J106="","",VLOOKUP(A106,Equipamentos_base!A:K,10,"FALSO"))</f>
        <v/>
      </c>
      <c r="M106" s="316" t="str">
        <f>IF(J106="","",VLOOKUP(A106,Equipamentos_base!A:K,11,"FALSO"))</f>
        <v/>
      </c>
    </row>
    <row r="107" s="316" customFormat="1" ht="30" hidden="1" spans="1:13">
      <c r="A107" s="324" t="s">
        <v>15866</v>
      </c>
      <c r="B107" s="325" t="str">
        <f>IF(A107="","",VLOOKUP(A107,Equipamentos_base!A:K,2,"FALSO"))</f>
        <v>Sinalizador direcional móvel com sistema fotovoltaico de energia e montado em chassi sobre pneus</v>
      </c>
      <c r="C107" s="326">
        <f>IF(A107="","",VLOOKUP(A107,Equipamentos_base!A:K,3,"FALSO"))</f>
        <v>21759.0202</v>
      </c>
      <c r="D107" s="326">
        <f>IF(A107="","",VLOOKUP(A107,Equipamentos_base!A:K,4,"FALSO"))</f>
        <v>2.4479</v>
      </c>
      <c r="E107" s="326">
        <f>IF(A107="","",VLOOKUP(A107,Equipamentos_base!A:K,5,"FALSO"))</f>
        <v>0.4195</v>
      </c>
      <c r="F107" s="326">
        <f>IF(A107="","",VLOOKUP(A107,Equipamentos_base!A:K,6,"FALSO"))</f>
        <v>0</v>
      </c>
      <c r="G107" s="326">
        <f>IF(A107="","",VLOOKUP(A107,Equipamentos_base!A:K,7,"FALSO"))</f>
        <v>1.3599</v>
      </c>
      <c r="H107" s="326">
        <f>IF(A107="","",VLOOKUP(A107,Equipamentos_base!A:K,8,"FALSO"))</f>
        <v>0</v>
      </c>
      <c r="I107" s="326">
        <f>IF(A107="","",VLOOKUP(A107,Equipamentos_base!A:K,9,"FALSO"))</f>
        <v>0</v>
      </c>
      <c r="J107" s="327" t="s">
        <v>932</v>
      </c>
      <c r="K107" s="327" t="s">
        <v>932</v>
      </c>
      <c r="L107" s="316" t="str">
        <f>IF(J107="","",VLOOKUP(A107,Equipamentos_base!A:K,10,"FALSO"))</f>
        <v/>
      </c>
      <c r="M107" s="316" t="str">
        <f>IF(J107="","",VLOOKUP(A107,Equipamentos_base!A:K,11,"FALSO"))</f>
        <v/>
      </c>
    </row>
    <row r="108" s="316" customFormat="1" ht="30" hidden="1" spans="1:13">
      <c r="A108" s="324" t="s">
        <v>15867</v>
      </c>
      <c r="B108" s="325" t="str">
        <f>IF(A108="","",VLOOKUP(A108,Equipamentos_base!A:K,2,"FALSO"))</f>
        <v>Painel de Mensagem Variável - PMV móvel, com sistema fotovoltaico de energia e montado em chassi sobre pneus</v>
      </c>
      <c r="C108" s="326">
        <f>IF(A108="","",VLOOKUP(A108,Equipamentos_base!A:K,3,"FALSO"))</f>
        <v>142474.0866</v>
      </c>
      <c r="D108" s="326">
        <f>IF(A108="","",VLOOKUP(A108,Equipamentos_base!A:K,4,"FALSO"))</f>
        <v>16.0283</v>
      </c>
      <c r="E108" s="326">
        <f>IF(A108="","",VLOOKUP(A108,Equipamentos_base!A:K,5,"FALSO"))</f>
        <v>2.7471</v>
      </c>
      <c r="F108" s="326">
        <f>IF(A108="","",VLOOKUP(A108,Equipamentos_base!A:K,6,"FALSO"))</f>
        <v>0</v>
      </c>
      <c r="G108" s="326">
        <f>IF(A108="","",VLOOKUP(A108,Equipamentos_base!A:K,7,"FALSO"))</f>
        <v>8.9046</v>
      </c>
      <c r="H108" s="326">
        <f>IF(A108="","",VLOOKUP(A108,Equipamentos_base!A:K,8,"FALSO"))</f>
        <v>0</v>
      </c>
      <c r="I108" s="326">
        <f>IF(A108="","",VLOOKUP(A108,Equipamentos_base!A:K,9,"FALSO"))</f>
        <v>0</v>
      </c>
      <c r="J108" s="327" t="s">
        <v>932</v>
      </c>
      <c r="K108" s="327" t="s">
        <v>932</v>
      </c>
      <c r="L108" s="316" t="str">
        <f>IF(J108="","",VLOOKUP(A108,Equipamentos_base!A:K,10,"FALSO"))</f>
        <v/>
      </c>
      <c r="M108" s="316" t="str">
        <f>IF(J108="","",VLOOKUP(A108,Equipamentos_base!A:K,11,"FALSO"))</f>
        <v/>
      </c>
    </row>
    <row r="109" s="316" customFormat="1" hidden="1" spans="1:13">
      <c r="A109" s="324" t="s">
        <v>15868</v>
      </c>
      <c r="B109" s="325" t="str">
        <f>IF(A109="","",VLOOKUP(A109,Equipamentos_base!A:K,2,"FALSO"))</f>
        <v>Painel com seta luminosa para montagem em caminhão</v>
      </c>
      <c r="C109" s="326">
        <f>IF(A109="","",VLOOKUP(A109,Equipamentos_base!A:K,3,"FALSO"))</f>
        <v>0</v>
      </c>
      <c r="D109" s="326">
        <f>IF(A109="","",VLOOKUP(A109,Equipamentos_base!A:K,4,"FALSO"))</f>
        <v>0</v>
      </c>
      <c r="E109" s="326">
        <f>IF(A109="","",VLOOKUP(A109,Equipamentos_base!A:K,5,"FALSO"))</f>
        <v>0</v>
      </c>
      <c r="F109" s="326">
        <f>IF(A109="","",VLOOKUP(A109,Equipamentos_base!A:K,6,"FALSO"))</f>
        <v>0</v>
      </c>
      <c r="G109" s="326">
        <f>IF(A109="","",VLOOKUP(A109,Equipamentos_base!A:K,7,"FALSO"))</f>
        <v>0</v>
      </c>
      <c r="H109" s="326">
        <f>IF(A109="","",VLOOKUP(A109,Equipamentos_base!A:K,8,"FALSO"))</f>
        <v>0</v>
      </c>
      <c r="I109" s="326">
        <f>IF(A109="","",VLOOKUP(A109,Equipamentos_base!A:K,9,"FALSO"))</f>
        <v>0</v>
      </c>
      <c r="J109" s="327" t="s">
        <v>932</v>
      </c>
      <c r="K109" s="327" t="s">
        <v>932</v>
      </c>
      <c r="L109" s="316" t="str">
        <f>IF(J109="","",VLOOKUP(A109,Equipamentos_base!A:K,10,"FALSO"))</f>
        <v/>
      </c>
      <c r="M109" s="316" t="str">
        <f>IF(J109="","",VLOOKUP(A109,Equipamentos_base!A:K,11,"FALSO"))</f>
        <v/>
      </c>
    </row>
    <row r="110" s="316" customFormat="1" hidden="1" spans="1:13">
      <c r="A110" s="324" t="s">
        <v>15869</v>
      </c>
      <c r="B110" s="325" t="str">
        <f>IF(A110="","",VLOOKUP(A110,Equipamentos_base!A:K,2,"FALSO"))</f>
        <v>Amortecedor retrátil (AMC) para montagem em caminhão</v>
      </c>
      <c r="C110" s="326">
        <f>IF(A110="","",VLOOKUP(A110,Equipamentos_base!A:K,3,"FALSO"))</f>
        <v>0</v>
      </c>
      <c r="D110" s="326">
        <f>IF(A110="","",VLOOKUP(A110,Equipamentos_base!A:K,4,"FALSO"))</f>
        <v>0</v>
      </c>
      <c r="E110" s="326">
        <f>IF(A110="","",VLOOKUP(A110,Equipamentos_base!A:K,5,"FALSO"))</f>
        <v>0</v>
      </c>
      <c r="F110" s="326">
        <f>IF(A110="","",VLOOKUP(A110,Equipamentos_base!A:K,6,"FALSO"))</f>
        <v>0</v>
      </c>
      <c r="G110" s="326">
        <f>IF(A110="","",VLOOKUP(A110,Equipamentos_base!A:K,7,"FALSO"))</f>
        <v>0</v>
      </c>
      <c r="H110" s="326">
        <f>IF(A110="","",VLOOKUP(A110,Equipamentos_base!A:K,8,"FALSO"))</f>
        <v>0</v>
      </c>
      <c r="I110" s="326">
        <f>IF(A110="","",VLOOKUP(A110,Equipamentos_base!A:K,9,"FALSO"))</f>
        <v>0</v>
      </c>
      <c r="J110" s="327" t="s">
        <v>932</v>
      </c>
      <c r="K110" s="327" t="s">
        <v>932</v>
      </c>
      <c r="L110" s="316" t="str">
        <f>IF(J110="","",VLOOKUP(A110,Equipamentos_base!A:K,10,"FALSO"))</f>
        <v/>
      </c>
      <c r="M110" s="316" t="str">
        <f>IF(J110="","",VLOOKUP(A110,Equipamentos_base!A:K,11,"FALSO"))</f>
        <v/>
      </c>
    </row>
    <row r="111" s="316" customFormat="1" hidden="1" spans="1:13">
      <c r="A111" s="324" t="s">
        <v>15870</v>
      </c>
      <c r="B111" s="325" t="str">
        <f>IF(A111="","",VLOOKUP(A111,Equipamentos_base!A:K,2,"FALSO"))</f>
        <v>Semáforo móvel com 3 lentes e bateria - D = 200 mm</v>
      </c>
      <c r="C111" s="326">
        <f>IF(A111="","",VLOOKUP(A111,Equipamentos_base!A:K,3,"FALSO"))</f>
        <v>8089.3323</v>
      </c>
      <c r="D111" s="326">
        <f>IF(A111="","",VLOOKUP(A111,Equipamentos_base!A:K,4,"FALSO"))</f>
        <v>0.91</v>
      </c>
      <c r="E111" s="326">
        <f>IF(A111="","",VLOOKUP(A111,Equipamentos_base!A:K,5,"FALSO"))</f>
        <v>0.156</v>
      </c>
      <c r="F111" s="326">
        <f>IF(A111="","",VLOOKUP(A111,Equipamentos_base!A:K,6,"FALSO"))</f>
        <v>0</v>
      </c>
      <c r="G111" s="326">
        <f>IF(A111="","",VLOOKUP(A111,Equipamentos_base!A:K,7,"FALSO"))</f>
        <v>0.5056</v>
      </c>
      <c r="H111" s="326">
        <f>IF(A111="","",VLOOKUP(A111,Equipamentos_base!A:K,8,"FALSO"))</f>
        <v>0</v>
      </c>
      <c r="I111" s="326">
        <f>IF(A111="","",VLOOKUP(A111,Equipamentos_base!A:K,9,"FALSO"))</f>
        <v>0</v>
      </c>
      <c r="J111" s="327" t="s">
        <v>932</v>
      </c>
      <c r="K111" s="327" t="s">
        <v>932</v>
      </c>
      <c r="L111" s="316" t="str">
        <f>IF(J111="","",VLOOKUP(A111,Equipamentos_base!A:K,10,"FALSO"))</f>
        <v/>
      </c>
      <c r="M111" s="316" t="str">
        <f>IF(J111="","",VLOOKUP(A111,Equipamentos_base!A:K,11,"FALSO"))</f>
        <v/>
      </c>
    </row>
    <row r="112" s="316" customFormat="1" spans="1:13">
      <c r="A112" s="324" t="s">
        <v>15871</v>
      </c>
      <c r="B112" s="325" t="str">
        <f>IF(A112="","",VLOOKUP(A112,Equipamentos_base!A:K,2,"FALSO"))</f>
        <v>Carregadeira de pneus para rocha com capacidade de 2,50 m³ - 105 kW</v>
      </c>
      <c r="C112" s="326">
        <f>IF(A112="","",VLOOKUP(A112,Equipamentos_base!A:K,3,"FALSO"))</f>
        <v>923485.0599</v>
      </c>
      <c r="D112" s="326">
        <f>IF(A112="","",VLOOKUP(A112,Equipamentos_base!A:K,4,"FALSO"))</f>
        <v>73.7945</v>
      </c>
      <c r="E112" s="326">
        <f>IF(A112="","",VLOOKUP(A112,Equipamentos_base!A:K,5,"FALSO"))</f>
        <v>17.497</v>
      </c>
      <c r="F112" s="326">
        <f>IF(A112="","",VLOOKUP(A112,Equipamentos_base!A:K,6,"FALSO"))</f>
        <v>0</v>
      </c>
      <c r="G112" s="326">
        <f>IF(A112="","",VLOOKUP(A112,Equipamentos_base!A:K,7,"FALSO"))</f>
        <v>73.7945</v>
      </c>
      <c r="H112" s="326">
        <f>IF(A112="","",VLOOKUP(A112,Equipamentos_base!A:K,8,"FALSO"))</f>
        <v>110.523</v>
      </c>
      <c r="I112" s="326">
        <f>IF(A112="","",VLOOKUP(A112,Equipamentos_base!A:K,9,"FALSO"))</f>
        <v>33.7544</v>
      </c>
      <c r="J112" s="327">
        <v>309.3634</v>
      </c>
      <c r="K112" s="327">
        <v>125.0459</v>
      </c>
      <c r="L112" s="316">
        <f>IF(J112="","",VLOOKUP(A112,Equipamentos_base!A:K,10,"FALSO"))</f>
        <v>309.3634</v>
      </c>
      <c r="M112" s="316">
        <f>IF(J112="","",VLOOKUP(A112,Equipamentos_base!A:K,11,"FALSO"))</f>
        <v>125.0459</v>
      </c>
    </row>
    <row r="113" s="316" customFormat="1" hidden="1" spans="1:13">
      <c r="A113" s="324" t="s">
        <v>15872</v>
      </c>
      <c r="B113" s="325" t="str">
        <f>IF(A113="","",VLOOKUP(A113,Equipamentos_base!A:K,2,"FALSO"))</f>
        <v>Cortadora de pavimento com disco diamantado de 450 a 1.500 mm - 55,40 kW</v>
      </c>
      <c r="C113" s="326">
        <f>IF(A113="","",VLOOKUP(A113,Equipamentos_base!A:K,3,"FALSO"))</f>
        <v>488584.6833</v>
      </c>
      <c r="D113" s="326">
        <f>IF(A113="","",VLOOKUP(A113,Equipamentos_base!A:K,4,"FALSO"))</f>
        <v>65.1446</v>
      </c>
      <c r="E113" s="326">
        <f>IF(A113="","",VLOOKUP(A113,Equipamentos_base!A:K,5,"FALSO"))</f>
        <v>10.0486</v>
      </c>
      <c r="F113" s="326">
        <f>IF(A113="","",VLOOKUP(A113,Equipamentos_base!A:K,6,"FALSO"))</f>
        <v>0</v>
      </c>
      <c r="G113" s="326">
        <f>IF(A113="","",VLOOKUP(A113,Equipamentos_base!A:K,7,"FALSO"))</f>
        <v>65.1446</v>
      </c>
      <c r="H113" s="326">
        <f>IF(A113="","",VLOOKUP(A113,Equipamentos_base!A:K,8,"FALSO"))</f>
        <v>46.0374</v>
      </c>
      <c r="I113" s="326">
        <f>IF(A113="","",VLOOKUP(A113,Equipamentos_base!A:K,9,"FALSO"))</f>
        <v>26.5829</v>
      </c>
      <c r="J113" s="327" t="s">
        <v>932</v>
      </c>
      <c r="K113" s="327" t="s">
        <v>932</v>
      </c>
      <c r="L113" s="316" t="str">
        <f>IF(J113="","",VLOOKUP(A113,Equipamentos_base!A:K,10,"FALSO"))</f>
        <v/>
      </c>
      <c r="M113" s="316" t="str">
        <f>IF(J113="","",VLOOKUP(A113,Equipamentos_base!A:K,11,"FALSO"))</f>
        <v/>
      </c>
    </row>
    <row r="114" s="316" customFormat="1" hidden="1" spans="1:13">
      <c r="A114" s="324" t="s">
        <v>15873</v>
      </c>
      <c r="B114" s="325" t="str">
        <f>IF(A114="","",VLOOKUP(A114,Equipamentos_base!A:K,2,"FALSO"))</f>
        <v>Minicarregadeira sobre pneus com valetadeira - 55,40 kW</v>
      </c>
      <c r="C114" s="326">
        <f>IF(A114="","",VLOOKUP(A114,Equipamentos_base!A:K,3,"FALSO"))</f>
        <v>739753.9649</v>
      </c>
      <c r="D114" s="326">
        <f>IF(A114="","",VLOOKUP(A114,Equipamentos_base!A:K,4,"FALSO"))</f>
        <v>64.7285</v>
      </c>
      <c r="E114" s="326">
        <f>IF(A114="","",VLOOKUP(A114,Equipamentos_base!A:K,5,"FALSO"))</f>
        <v>14.2634</v>
      </c>
      <c r="F114" s="326">
        <f>IF(A114="","",VLOOKUP(A114,Equipamentos_base!A:K,6,"FALSO"))</f>
        <v>0</v>
      </c>
      <c r="G114" s="326">
        <f>IF(A114="","",VLOOKUP(A114,Equipamentos_base!A:K,7,"FALSO"))</f>
        <v>64.7285</v>
      </c>
      <c r="H114" s="326">
        <f>IF(A114="","",VLOOKUP(A114,Equipamentos_base!A:K,8,"FALSO"))</f>
        <v>76.729</v>
      </c>
      <c r="I114" s="326">
        <f>IF(A114="","",VLOOKUP(A114,Equipamentos_base!A:K,9,"FALSO"))</f>
        <v>33.7544</v>
      </c>
      <c r="J114" s="327" t="s">
        <v>932</v>
      </c>
      <c r="K114" s="327" t="s">
        <v>932</v>
      </c>
      <c r="L114" s="316" t="str">
        <f>IF(J114="","",VLOOKUP(A114,Equipamentos_base!A:K,10,"FALSO"))</f>
        <v/>
      </c>
      <c r="M114" s="316" t="str">
        <f>IF(J114="","",VLOOKUP(A114,Equipamentos_base!A:K,11,"FALSO"))</f>
        <v/>
      </c>
    </row>
    <row r="115" s="316" customFormat="1" ht="30" hidden="1" spans="1:13">
      <c r="A115" s="324" t="s">
        <v>15874</v>
      </c>
      <c r="B115" s="325" t="str">
        <f>IF(A115="","",VLOOKUP(A115,Equipamentos_base!A:K,2,"FALSO"))</f>
        <v>Equipamento de cravação sobre esteira para geodreno com haste para profundidade de até 20 m - 258 kW</v>
      </c>
      <c r="C115" s="326">
        <f>IF(A115="","",VLOOKUP(A115,Equipamentos_base!A:K,3,"FALSO"))</f>
        <v>2910738.6934</v>
      </c>
      <c r="D115" s="326">
        <f>IF(A115="","",VLOOKUP(A115,Equipamentos_base!A:K,4,"FALSO"))</f>
        <v>169.7931</v>
      </c>
      <c r="E115" s="326">
        <f>IF(A115="","",VLOOKUP(A115,Equipamentos_base!A:K,5,"FALSO"))</f>
        <v>52.3812</v>
      </c>
      <c r="F115" s="326">
        <f>IF(A115="","",VLOOKUP(A115,Equipamentos_base!A:K,6,"FALSO"))</f>
        <v>0</v>
      </c>
      <c r="G115" s="326">
        <f>IF(A115="","",VLOOKUP(A115,Equipamentos_base!A:K,7,"FALSO"))</f>
        <v>169.7931</v>
      </c>
      <c r="H115" s="326">
        <f>IF(A115="","",VLOOKUP(A115,Equipamentos_base!A:K,8,"FALSO"))</f>
        <v>185.8116</v>
      </c>
      <c r="I115" s="326">
        <f>IF(A115="","",VLOOKUP(A115,Equipamentos_base!A:K,9,"FALSO"))</f>
        <v>26.5829</v>
      </c>
      <c r="J115" s="327" t="s">
        <v>932</v>
      </c>
      <c r="K115" s="327" t="s">
        <v>932</v>
      </c>
      <c r="L115" s="316" t="str">
        <f>IF(J115="","",VLOOKUP(A115,Equipamentos_base!A:K,10,"FALSO"))</f>
        <v/>
      </c>
      <c r="M115" s="316" t="str">
        <f>IF(J115="","",VLOOKUP(A115,Equipamentos_base!A:K,11,"FALSO"))</f>
        <v/>
      </c>
    </row>
    <row r="116" s="316" customFormat="1" hidden="1" spans="1:13">
      <c r="A116" s="324" t="s">
        <v>15875</v>
      </c>
      <c r="B116" s="325" t="str">
        <f>IF(A116="","",VLOOKUP(A116,Equipamentos_base!A:K,2,"FALSO"))</f>
        <v>Perfuratriz tipo Bottom Feed para coluna de brita - 194 kW</v>
      </c>
      <c r="C116" s="326">
        <f>IF(A116="","",VLOOKUP(A116,Equipamentos_base!A:K,3,"FALSO"))</f>
        <v>7091165.1141</v>
      </c>
      <c r="D116" s="326">
        <f>IF(A116="","",VLOOKUP(A116,Equipamentos_base!A:K,4,"FALSO"))</f>
        <v>567.2932</v>
      </c>
      <c r="E116" s="326">
        <f>IF(A116="","",VLOOKUP(A116,Equipamentos_base!A:K,5,"FALSO"))</f>
        <v>131.2575</v>
      </c>
      <c r="F116" s="326">
        <f>IF(A116="","",VLOOKUP(A116,Equipamentos_base!A:K,6,"FALSO"))</f>
        <v>0</v>
      </c>
      <c r="G116" s="326">
        <f>IF(A116="","",VLOOKUP(A116,Equipamentos_base!A:K,7,"FALSO"))</f>
        <v>567.2932</v>
      </c>
      <c r="H116" s="326">
        <f>IF(A116="","",VLOOKUP(A116,Equipamentos_base!A:K,8,"FALSO"))</f>
        <v>107.476</v>
      </c>
      <c r="I116" s="326">
        <f>IF(A116="","",VLOOKUP(A116,Equipamentos_base!A:K,9,"FALSO"))</f>
        <v>33.7544</v>
      </c>
      <c r="J116" s="327" t="s">
        <v>932</v>
      </c>
      <c r="K116" s="327" t="s">
        <v>932</v>
      </c>
      <c r="L116" s="316" t="str">
        <f>IF(J116="","",VLOOKUP(A116,Equipamentos_base!A:K,10,"FALSO"))</f>
        <v/>
      </c>
      <c r="M116" s="316" t="str">
        <f>IF(J116="","",VLOOKUP(A116,Equipamentos_base!A:K,11,"FALSO"))</f>
        <v/>
      </c>
    </row>
    <row r="117" s="316" customFormat="1" spans="1:13">
      <c r="A117" s="324" t="s">
        <v>696</v>
      </c>
      <c r="B117" s="325" t="str">
        <f>IF(A117="","",VLOOKUP(A117,Equipamentos_base!A:K,2,"FALSO"))</f>
        <v>Veículo tipo van furgão com capacidade de 1,38 t - 100 kW</v>
      </c>
      <c r="C117" s="326">
        <f>IF(A117="","",VLOOKUP(A117,Equipamentos_base!A:K,3,"FALSO"))</f>
        <v>269289.8619</v>
      </c>
      <c r="D117" s="326">
        <f>IF(A117="","",VLOOKUP(A117,Equipamentos_base!A:K,4,"FALSO"))</f>
        <v>13.4645</v>
      </c>
      <c r="E117" s="326">
        <f>IF(A117="","",VLOOKUP(A117,Equipamentos_base!A:K,5,"FALSO"))</f>
        <v>4.8461</v>
      </c>
      <c r="F117" s="326">
        <f>IF(A117="","",VLOOKUP(A117,Equipamentos_base!A:K,6,"FALSO"))</f>
        <v>1.9636</v>
      </c>
      <c r="G117" s="326">
        <f>IF(A117="","",VLOOKUP(A117,Equipamentos_base!A:K,7,"FALSO"))</f>
        <v>13.4645</v>
      </c>
      <c r="H117" s="326">
        <f>IF(A117="","",VLOOKUP(A117,Equipamentos_base!A:K,8,"FALSO"))</f>
        <v>27.7</v>
      </c>
      <c r="I117" s="326">
        <f>IF(A117="","",VLOOKUP(A117,Equipamentos_base!A:K,9,"FALSO"))</f>
        <v>32.3437</v>
      </c>
      <c r="J117" s="327">
        <v>93.7824</v>
      </c>
      <c r="K117" s="327">
        <v>52.6179</v>
      </c>
      <c r="L117" s="316">
        <f>IF(J117="","",VLOOKUP(A117,Equipamentos_base!A:K,10,"FALSO"))</f>
        <v>93.7824</v>
      </c>
      <c r="M117" s="316">
        <f>IF(J117="","",VLOOKUP(A117,Equipamentos_base!A:K,11,"FALSO"))</f>
        <v>52.6179</v>
      </c>
    </row>
    <row r="118" s="316" customFormat="1" hidden="1" spans="1:13">
      <c r="A118" s="324" t="s">
        <v>15876</v>
      </c>
      <c r="B118" s="325" t="str">
        <f>IF(A118="","",VLOOKUP(A118,Equipamentos_base!A:K,2,"FALSO"))</f>
        <v>Draga backhoe com capacidade de 7 m³ - 1.000 kW</v>
      </c>
      <c r="C118" s="326">
        <f>IF(A118="","",VLOOKUP(A118,Equipamentos_base!A:K,3,"FALSO"))</f>
        <v>169343888.2628</v>
      </c>
      <c r="D118" s="326">
        <f>IF(A118="","",VLOOKUP(A118,Equipamentos_base!A:K,4,"FALSO"))</f>
        <v>4535.997</v>
      </c>
      <c r="E118" s="326">
        <f>IF(A118="","",VLOOKUP(A118,Equipamentos_base!A:K,5,"FALSO"))</f>
        <v>1461.5486</v>
      </c>
      <c r="F118" s="326">
        <f>IF(A118="","",VLOOKUP(A118,Equipamentos_base!A:K,6,"FALSO"))</f>
        <v>0</v>
      </c>
      <c r="G118" s="326">
        <f>IF(A118="","",VLOOKUP(A118,Equipamentos_base!A:K,7,"FALSO"))</f>
        <v>10079.9933</v>
      </c>
      <c r="H118" s="326">
        <f>IF(A118="","",VLOOKUP(A118,Equipamentos_base!A:K,8,"FALSO"))</f>
        <v>1052.6</v>
      </c>
      <c r="I118" s="326">
        <f>IF(A118="","",VLOOKUP(A118,Equipamentos_base!A:K,9,"FALSO"))</f>
        <v>64.3615</v>
      </c>
      <c r="J118" s="327" t="s">
        <v>932</v>
      </c>
      <c r="K118" s="327" t="s">
        <v>932</v>
      </c>
      <c r="L118" s="316" t="str">
        <f>IF(J118="","",VLOOKUP(A118,Equipamentos_base!A:K,10,"FALSO"))</f>
        <v/>
      </c>
      <c r="M118" s="316" t="str">
        <f>IF(J118="","",VLOOKUP(A118,Equipamentos_base!A:K,11,"FALSO"))</f>
        <v/>
      </c>
    </row>
    <row r="119" s="316" customFormat="1" spans="1:13">
      <c r="A119" s="324" t="s">
        <v>15877</v>
      </c>
      <c r="B119" s="325" t="str">
        <f>IF(A119="","",VLOOKUP(A119,Equipamentos_base!A:K,2,"FALSO"))</f>
        <v>Escavadeira hidráulica com martelo hidráulico de 520 kg - 75 kW</v>
      </c>
      <c r="C119" s="326">
        <f>IF(A119="","",VLOOKUP(A119,Equipamentos_base!A:K,3,"FALSO"))</f>
        <v>835498.381</v>
      </c>
      <c r="D119" s="326">
        <f>IF(A119="","",VLOOKUP(A119,Equipamentos_base!A:K,4,"FALSO"))</f>
        <v>95.4855</v>
      </c>
      <c r="E119" s="326">
        <f>IF(A119="","",VLOOKUP(A119,Equipamentos_base!A:K,5,"FALSO"))</f>
        <v>16.5697</v>
      </c>
      <c r="F119" s="326">
        <f>IF(A119="","",VLOOKUP(A119,Equipamentos_base!A:K,6,"FALSO"))</f>
        <v>0</v>
      </c>
      <c r="G119" s="326">
        <f>IF(A119="","",VLOOKUP(A119,Equipamentos_base!A:K,7,"FALSO"))</f>
        <v>119.3569</v>
      </c>
      <c r="H119" s="326">
        <f>IF(A119="","",VLOOKUP(A119,Equipamentos_base!A:K,8,"FALSO"))</f>
        <v>54.015</v>
      </c>
      <c r="I119" s="326">
        <f>IF(A119="","",VLOOKUP(A119,Equipamentos_base!A:K,9,"FALSO"))</f>
        <v>33.7544</v>
      </c>
      <c r="J119" s="327">
        <v>319.1815</v>
      </c>
      <c r="K119" s="327">
        <v>145.8096</v>
      </c>
      <c r="L119" s="316">
        <f>IF(J119="","",VLOOKUP(A119,Equipamentos_base!A:K,10,"FALSO"))</f>
        <v>319.1815</v>
      </c>
      <c r="M119" s="316">
        <f>IF(J119="","",VLOOKUP(A119,Equipamentos_base!A:K,11,"FALSO"))</f>
        <v>145.8096</v>
      </c>
    </row>
    <row r="120" s="316" customFormat="1" hidden="1" spans="1:13">
      <c r="A120" s="324" t="s">
        <v>15878</v>
      </c>
      <c r="B120" s="325" t="str">
        <f>IF(A120="","",VLOOKUP(A120,Equipamentos_base!A:K,2,"FALSO"))</f>
        <v>Miniônibus com capacidade para 30 passageiros - 120 kW</v>
      </c>
      <c r="C120" s="326">
        <f>IF(A120="","",VLOOKUP(A120,Equipamentos_base!A:K,3,"FALSO"))</f>
        <v>670101.1574</v>
      </c>
      <c r="D120" s="326">
        <f>IF(A120="","",VLOOKUP(A120,Equipamentos_base!A:K,4,"FALSO"))</f>
        <v>28.7186</v>
      </c>
      <c r="E120" s="326">
        <f>IF(A120="","",VLOOKUP(A120,Equipamentos_base!A:K,5,"FALSO"))</f>
        <v>11.8129</v>
      </c>
      <c r="F120" s="326">
        <f>IF(A120="","",VLOOKUP(A120,Equipamentos_base!A:K,6,"FALSO"))</f>
        <v>4.7864</v>
      </c>
      <c r="G120" s="326">
        <f>IF(A120="","",VLOOKUP(A120,Equipamentos_base!A:K,7,"FALSO"))</f>
        <v>43.0779</v>
      </c>
      <c r="H120" s="326">
        <f>IF(A120="","",VLOOKUP(A120,Equipamentos_base!A:K,8,"FALSO"))</f>
        <v>126.312</v>
      </c>
      <c r="I120" s="326">
        <f>IF(A120="","",VLOOKUP(A120,Equipamentos_base!A:K,9,"FALSO"))</f>
        <v>39.3248</v>
      </c>
      <c r="J120" s="327" t="s">
        <v>932</v>
      </c>
      <c r="K120" s="327" t="s">
        <v>932</v>
      </c>
      <c r="L120" s="316" t="str">
        <f>IF(J120="","",VLOOKUP(A120,Equipamentos_base!A:K,10,"FALSO"))</f>
        <v/>
      </c>
      <c r="M120" s="316" t="str">
        <f>IF(J120="","",VLOOKUP(A120,Equipamentos_base!A:K,11,"FALSO"))</f>
        <v/>
      </c>
    </row>
    <row r="121" s="316" customFormat="1" hidden="1" spans="1:13">
      <c r="A121" s="324" t="s">
        <v>15879</v>
      </c>
      <c r="B121" s="325" t="str">
        <f>IF(A121="","",VLOOKUP(A121,Equipamentos_base!A:K,2,"FALSO"))</f>
        <v>Rebarbador hidráulico com bomba manual com capacidade de força de 9.000 kgf</v>
      </c>
      <c r="C121" s="326">
        <f>IF(A121="","",VLOOKUP(A121,Equipamentos_base!A:K,3,"FALSO"))</f>
        <v>112620.9027</v>
      </c>
      <c r="D121" s="326">
        <f>IF(A121="","",VLOOKUP(A121,Equipamentos_base!A:K,4,"FALSO"))</f>
        <v>9.0097</v>
      </c>
      <c r="E121" s="326">
        <f>IF(A121="","",VLOOKUP(A121,Equipamentos_base!A:K,5,"FALSO"))</f>
        <v>2.0846</v>
      </c>
      <c r="F121" s="326">
        <f>IF(A121="","",VLOOKUP(A121,Equipamentos_base!A:K,6,"FALSO"))</f>
        <v>0</v>
      </c>
      <c r="G121" s="326">
        <f>IF(A121="","",VLOOKUP(A121,Equipamentos_base!A:K,7,"FALSO"))</f>
        <v>5.631</v>
      </c>
      <c r="H121" s="326">
        <f>IF(A121="","",VLOOKUP(A121,Equipamentos_base!A:K,8,"FALSO"))</f>
        <v>0</v>
      </c>
      <c r="I121" s="326">
        <f>IF(A121="","",VLOOKUP(A121,Equipamentos_base!A:K,9,"FALSO"))</f>
        <v>0</v>
      </c>
      <c r="J121" s="327" t="s">
        <v>932</v>
      </c>
      <c r="K121" s="327" t="s">
        <v>932</v>
      </c>
      <c r="L121" s="316" t="str">
        <f>IF(J121="","",VLOOKUP(A121,Equipamentos_base!A:K,10,"FALSO"))</f>
        <v/>
      </c>
      <c r="M121" s="316" t="str">
        <f>IF(J121="","",VLOOKUP(A121,Equipamentos_base!A:K,11,"FALSO"))</f>
        <v/>
      </c>
    </row>
    <row r="122" s="316" customFormat="1" hidden="1" spans="1:13">
      <c r="A122" s="324" t="s">
        <v>15880</v>
      </c>
      <c r="B122" s="325" t="str">
        <f>IF(A122="","",VLOOKUP(A122,Equipamentos_base!A:K,2,"FALSO"))</f>
        <v>Pórtico metálico rolante com talha com capacidade de 5 t - 5,6 kW</v>
      </c>
      <c r="C122" s="326">
        <f>IF(A122="","",VLOOKUP(A122,Equipamentos_base!A:K,3,"FALSO"))</f>
        <v>303604.3715</v>
      </c>
      <c r="D122" s="326">
        <f>IF(A122="","",VLOOKUP(A122,Equipamentos_base!A:K,4,"FALSO"))</f>
        <v>13.4935</v>
      </c>
      <c r="E122" s="326">
        <f>IF(A122="","",VLOOKUP(A122,Equipamentos_base!A:K,5,"FALSO"))</f>
        <v>5.2034</v>
      </c>
      <c r="F122" s="326">
        <f>IF(A122="","",VLOOKUP(A122,Equipamentos_base!A:K,6,"FALSO"))</f>
        <v>0</v>
      </c>
      <c r="G122" s="326">
        <f>IF(A122="","",VLOOKUP(A122,Equipamentos_base!A:K,7,"FALSO"))</f>
        <v>8.4335</v>
      </c>
      <c r="H122" s="326">
        <f>IF(A122="","",VLOOKUP(A122,Equipamentos_base!A:K,8,"FALSO"))</f>
        <v>0</v>
      </c>
      <c r="I122" s="326">
        <f>IF(A122="","",VLOOKUP(A122,Equipamentos_base!A:K,9,"FALSO"))</f>
        <v>26.5829</v>
      </c>
      <c r="J122" s="327" t="s">
        <v>932</v>
      </c>
      <c r="K122" s="327" t="s">
        <v>932</v>
      </c>
      <c r="L122" s="316" t="str">
        <f>IF(J122="","",VLOOKUP(A122,Equipamentos_base!A:K,10,"FALSO"))</f>
        <v/>
      </c>
      <c r="M122" s="316" t="str">
        <f>IF(J122="","",VLOOKUP(A122,Equipamentos_base!A:K,11,"FALSO"))</f>
        <v/>
      </c>
    </row>
    <row r="123" s="316" customFormat="1" hidden="1" spans="1:13">
      <c r="A123" s="324" t="s">
        <v>15881</v>
      </c>
      <c r="B123" s="325" t="str">
        <f>IF(A123="","",VLOOKUP(A123,Equipamentos_base!A:K,2,"FALSO"))</f>
        <v>Caminhão basculante para concreto com capacidade de 10 m³ - 210 kW</v>
      </c>
      <c r="C123" s="326">
        <f>IF(A123="","",VLOOKUP(A123,Equipamentos_base!A:K,3,"FALSO"))</f>
        <v>0</v>
      </c>
      <c r="D123" s="326">
        <f>IF(A123="","",VLOOKUP(A123,Equipamentos_base!A:K,4,"FALSO"))</f>
        <v>0</v>
      </c>
      <c r="E123" s="326">
        <f>IF(A123="","",VLOOKUP(A123,Equipamentos_base!A:K,5,"FALSO"))</f>
        <v>0</v>
      </c>
      <c r="F123" s="326">
        <f>IF(A123="","",VLOOKUP(A123,Equipamentos_base!A:K,6,"FALSO"))</f>
        <v>0</v>
      </c>
      <c r="G123" s="326">
        <f>IF(A123="","",VLOOKUP(A123,Equipamentos_base!A:K,7,"FALSO"))</f>
        <v>0</v>
      </c>
      <c r="H123" s="326">
        <f>IF(A123="","",VLOOKUP(A123,Equipamentos_base!A:K,8,"FALSO"))</f>
        <v>0</v>
      </c>
      <c r="I123" s="326">
        <f>IF(A123="","",VLOOKUP(A123,Equipamentos_base!A:K,9,"FALSO"))</f>
        <v>0</v>
      </c>
      <c r="J123" s="327" t="s">
        <v>932</v>
      </c>
      <c r="K123" s="327" t="s">
        <v>932</v>
      </c>
      <c r="L123" s="316" t="str">
        <f>IF(J123="","",VLOOKUP(A123,Equipamentos_base!A:K,10,"FALSO"))</f>
        <v/>
      </c>
      <c r="M123" s="316" t="str">
        <f>IF(J123="","",VLOOKUP(A123,Equipamentos_base!A:K,11,"FALSO"))</f>
        <v/>
      </c>
    </row>
    <row r="124" s="316" customFormat="1" spans="1:13">
      <c r="A124" s="324" t="s">
        <v>15882</v>
      </c>
      <c r="B124" s="325" t="str">
        <f>IF(A124="","",VLOOKUP(A124,Equipamentos_base!A:K,2,"FALSO"))</f>
        <v>Caminhão silo com capacidade de 30 m³ - 368 kW</v>
      </c>
      <c r="C124" s="326">
        <f>IF(A124="","",VLOOKUP(A124,Equipamentos_base!A:K,3,"FALSO"))</f>
        <v>0</v>
      </c>
      <c r="D124" s="326">
        <f>IF(A124="","",VLOOKUP(A124,Equipamentos_base!A:K,4,"FALSO"))</f>
        <v>0</v>
      </c>
      <c r="E124" s="326">
        <f>IF(A124="","",VLOOKUP(A124,Equipamentos_base!A:K,5,"FALSO"))</f>
        <v>0</v>
      </c>
      <c r="F124" s="326">
        <f>IF(A124="","",VLOOKUP(A124,Equipamentos_base!A:K,6,"FALSO"))</f>
        <v>0</v>
      </c>
      <c r="G124" s="326">
        <f>IF(A124="","",VLOOKUP(A124,Equipamentos_base!A:K,7,"FALSO"))</f>
        <v>0</v>
      </c>
      <c r="H124" s="326">
        <f>IF(A124="","",VLOOKUP(A124,Equipamentos_base!A:K,8,"FALSO"))</f>
        <v>0</v>
      </c>
      <c r="I124" s="326">
        <f>IF(A124="","",VLOOKUP(A124,Equipamentos_base!A:K,9,"FALSO"))</f>
        <v>0</v>
      </c>
      <c r="J124" s="327">
        <v>678.8096</v>
      </c>
      <c r="K124" s="327">
        <v>165.3152</v>
      </c>
      <c r="L124" s="316">
        <f>IF(J124="","",VLOOKUP(A124,Equipamentos_base!A:K,10,"FALSO"))</f>
        <v>678.8096</v>
      </c>
      <c r="M124" s="316">
        <f>IF(J124="","",VLOOKUP(A124,Equipamentos_base!A:K,11,"FALSO"))</f>
        <v>165.3152</v>
      </c>
    </row>
    <row r="125" s="316" customFormat="1" hidden="1" spans="1:13">
      <c r="A125" s="324" t="s">
        <v>15883</v>
      </c>
      <c r="B125" s="325" t="str">
        <f>IF(A125="","",VLOOKUP(A125,Equipamentos_base!A:K,2,"FALSO"))</f>
        <v>Macaco de protensão de fios com bomba - 3,72 kW</v>
      </c>
      <c r="C125" s="326">
        <f>IF(A125="","",VLOOKUP(A125,Equipamentos_base!A:K,3,"FALSO"))</f>
        <v>110341.7233</v>
      </c>
      <c r="D125" s="326">
        <f>IF(A125="","",VLOOKUP(A125,Equipamentos_base!A:K,4,"FALSO"))</f>
        <v>6.3052</v>
      </c>
      <c r="E125" s="326">
        <f>IF(A125="","",VLOOKUP(A125,Equipamentos_base!A:K,5,"FALSO"))</f>
        <v>1.9452</v>
      </c>
      <c r="F125" s="326">
        <f>IF(A125="","",VLOOKUP(A125,Equipamentos_base!A:K,6,"FALSO"))</f>
        <v>0</v>
      </c>
      <c r="G125" s="326">
        <f>IF(A125="","",VLOOKUP(A125,Equipamentos_base!A:K,7,"FALSO"))</f>
        <v>6.3052</v>
      </c>
      <c r="H125" s="326">
        <f>IF(A125="","",VLOOKUP(A125,Equipamentos_base!A:K,8,"FALSO"))</f>
        <v>0</v>
      </c>
      <c r="I125" s="326">
        <f>IF(A125="","",VLOOKUP(A125,Equipamentos_base!A:K,9,"FALSO"))</f>
        <v>45.2393</v>
      </c>
      <c r="J125" s="327" t="s">
        <v>932</v>
      </c>
      <c r="K125" s="327" t="s">
        <v>932</v>
      </c>
      <c r="L125" s="316" t="str">
        <f>IF(J125="","",VLOOKUP(A125,Equipamentos_base!A:K,10,"FALSO"))</f>
        <v/>
      </c>
      <c r="M125" s="316" t="str">
        <f>IF(J125="","",VLOOKUP(A125,Equipamentos_base!A:K,11,"FALSO"))</f>
        <v/>
      </c>
    </row>
    <row r="126" s="316" customFormat="1" ht="30" spans="1:13">
      <c r="A126" s="324" t="s">
        <v>15884</v>
      </c>
      <c r="B126" s="325" t="str">
        <f>IF(A126="","",VLOOKUP(A126,Equipamentos_base!A:K,2,"FALSO"))</f>
        <v>Cavalo mecânico com dolly pneumático de 4 eixos e mesas de giro com capacidade de 56 t - 364 kW</v>
      </c>
      <c r="C126" s="326">
        <f>IF(A126="","",VLOOKUP(A126,Equipamentos_base!A:K,3,"FALSO"))</f>
        <v>0</v>
      </c>
      <c r="D126" s="326">
        <f>IF(A126="","",VLOOKUP(A126,Equipamentos_base!A:K,4,"FALSO"))</f>
        <v>0</v>
      </c>
      <c r="E126" s="326">
        <f>IF(A126="","",VLOOKUP(A126,Equipamentos_base!A:K,5,"FALSO"))</f>
        <v>0</v>
      </c>
      <c r="F126" s="326">
        <f>IF(A126="","",VLOOKUP(A126,Equipamentos_base!A:K,6,"FALSO"))</f>
        <v>0</v>
      </c>
      <c r="G126" s="326">
        <f>IF(A126="","",VLOOKUP(A126,Equipamentos_base!A:K,7,"FALSO"))</f>
        <v>0</v>
      </c>
      <c r="H126" s="326">
        <f>IF(A126="","",VLOOKUP(A126,Equipamentos_base!A:K,8,"FALSO"))</f>
        <v>0</v>
      </c>
      <c r="I126" s="326">
        <f>IF(A126="","",VLOOKUP(A126,Equipamentos_base!A:K,9,"FALSO"))</f>
        <v>0</v>
      </c>
      <c r="J126" s="327">
        <v>696.884</v>
      </c>
      <c r="K126" s="327">
        <v>231.8119</v>
      </c>
      <c r="L126" s="316">
        <f>IF(J126="","",VLOOKUP(A126,Equipamentos_base!A:K,10,"FALSO"))</f>
        <v>696.884</v>
      </c>
      <c r="M126" s="316">
        <f>IF(J126="","",VLOOKUP(A126,Equipamentos_base!A:K,11,"FALSO"))</f>
        <v>231.8119</v>
      </c>
    </row>
    <row r="127" s="316" customFormat="1" ht="30" hidden="1" spans="1:13">
      <c r="A127" s="324" t="s">
        <v>15885</v>
      </c>
      <c r="B127" s="325" t="str">
        <f>IF(A127="","",VLOOKUP(A127,Equipamentos_base!A:K,2,"FALSO"))</f>
        <v>Carregadeira de pneus para rocha com capacidade de 2,50 m³ - 105 kW com periculosidade</v>
      </c>
      <c r="C127" s="326">
        <f>IF(A127="","",VLOOKUP(A127,Equipamentos_base!A:K,3,"FALSO"))</f>
        <v>923485.0599</v>
      </c>
      <c r="D127" s="326">
        <f>IF(A127="","",VLOOKUP(A127,Equipamentos_base!A:K,4,"FALSO"))</f>
        <v>73.7945</v>
      </c>
      <c r="E127" s="326">
        <f>IF(A127="","",VLOOKUP(A127,Equipamentos_base!A:K,5,"FALSO"))</f>
        <v>17.497</v>
      </c>
      <c r="F127" s="326">
        <f>IF(A127="","",VLOOKUP(A127,Equipamentos_base!A:K,6,"FALSO"))</f>
        <v>0</v>
      </c>
      <c r="G127" s="326">
        <f>IF(A127="","",VLOOKUP(A127,Equipamentos_base!A:K,7,"FALSO"))</f>
        <v>73.7945</v>
      </c>
      <c r="H127" s="326">
        <f>IF(A127="","",VLOOKUP(A127,Equipamentos_base!A:K,8,"FALSO"))</f>
        <v>110.523</v>
      </c>
      <c r="I127" s="326">
        <f>IF(A127="","",VLOOKUP(A127,Equipamentos_base!A:K,9,"FALSO"))</f>
        <v>41.5913</v>
      </c>
      <c r="J127" s="327" t="s">
        <v>932</v>
      </c>
      <c r="K127" s="327" t="s">
        <v>932</v>
      </c>
      <c r="L127" s="316" t="str">
        <f>IF(J127="","",VLOOKUP(A127,Equipamentos_base!A:K,10,"FALSO"))</f>
        <v/>
      </c>
      <c r="M127" s="316" t="str">
        <f>IF(J127="","",VLOOKUP(A127,Equipamentos_base!A:K,11,"FALSO"))</f>
        <v/>
      </c>
    </row>
    <row r="128" s="316" customFormat="1" hidden="1" spans="1:13">
      <c r="A128" s="324" t="s">
        <v>15886</v>
      </c>
      <c r="B128" s="325" t="str">
        <f>IF(A128="","",VLOOKUP(A128,Equipamentos_base!A:K,2,"FALSO"))</f>
        <v>Caminhão basculante para rocha com capacidade de 12 m³ - 210 kW com periculosidade</v>
      </c>
      <c r="C128" s="326">
        <f>IF(A128="","",VLOOKUP(A128,Equipamentos_base!A:K,3,"FALSO"))</f>
        <v>0</v>
      </c>
      <c r="D128" s="326">
        <f>IF(A128="","",VLOOKUP(A128,Equipamentos_base!A:K,4,"FALSO"))</f>
        <v>0</v>
      </c>
      <c r="E128" s="326">
        <f>IF(A128="","",VLOOKUP(A128,Equipamentos_base!A:K,5,"FALSO"))</f>
        <v>0</v>
      </c>
      <c r="F128" s="326">
        <f>IF(A128="","",VLOOKUP(A128,Equipamentos_base!A:K,6,"FALSO"))</f>
        <v>0</v>
      </c>
      <c r="G128" s="326">
        <f>IF(A128="","",VLOOKUP(A128,Equipamentos_base!A:K,7,"FALSO"))</f>
        <v>0</v>
      </c>
      <c r="H128" s="326">
        <f>IF(A128="","",VLOOKUP(A128,Equipamentos_base!A:K,8,"FALSO"))</f>
        <v>0</v>
      </c>
      <c r="I128" s="326">
        <f>IF(A128="","",VLOOKUP(A128,Equipamentos_base!A:K,9,"FALSO"))</f>
        <v>0</v>
      </c>
      <c r="J128" s="327" t="s">
        <v>932</v>
      </c>
      <c r="K128" s="327" t="s">
        <v>932</v>
      </c>
      <c r="L128" s="316" t="str">
        <f>IF(J128="","",VLOOKUP(A128,Equipamentos_base!A:K,10,"FALSO"))</f>
        <v/>
      </c>
      <c r="M128" s="316" t="str">
        <f>IF(J128="","",VLOOKUP(A128,Equipamentos_base!A:K,11,"FALSO"))</f>
        <v/>
      </c>
    </row>
    <row r="129" s="316" customFormat="1" ht="30" hidden="1" spans="1:14">
      <c r="A129" s="324" t="s">
        <v>15887</v>
      </c>
      <c r="B129" s="325" t="str">
        <f>IF(A129="","",VLOOKUP(A129,Equipamentos_base!A:K,2,"FALSO"))</f>
        <v>Plataforma pantográfica montada em caminhão com capacidade de carga de 600 kg - 120 kW com periculosidade</v>
      </c>
      <c r="C129" s="326">
        <f>IF(A129="","",VLOOKUP(A129,Equipamentos_base!A:K,3,"FALSO"))</f>
        <v>0</v>
      </c>
      <c r="D129" s="326">
        <f>IF(A129="","",VLOOKUP(A129,Equipamentos_base!A:K,4,"FALSO"))</f>
        <v>0</v>
      </c>
      <c r="E129" s="326">
        <f>IF(A129="","",VLOOKUP(A129,Equipamentos_base!A:K,5,"FALSO"))</f>
        <v>0</v>
      </c>
      <c r="F129" s="326">
        <f>IF(A129="","",VLOOKUP(A129,Equipamentos_base!A:K,6,"FALSO"))</f>
        <v>0</v>
      </c>
      <c r="G129" s="326">
        <f>IF(A129="","",VLOOKUP(A129,Equipamentos_base!A:K,7,"FALSO"))</f>
        <v>0</v>
      </c>
      <c r="H129" s="326">
        <f>IF(A129="","",VLOOKUP(A129,Equipamentos_base!A:K,8,"FALSO"))</f>
        <v>0</v>
      </c>
      <c r="I129" s="326">
        <f>IF(A129="","",VLOOKUP(A129,Equipamentos_base!A:K,9,"FALSO"))</f>
        <v>0</v>
      </c>
      <c r="J129" s="327" t="s">
        <v>932</v>
      </c>
      <c r="K129" s="327" t="s">
        <v>932</v>
      </c>
      <c r="L129" s="316" t="str">
        <f>IF(J129="","",VLOOKUP(A129,Equipamentos_base!A:K,10,"FALSO"))</f>
        <v/>
      </c>
      <c r="M129" s="316" t="str">
        <f>IF(J129="","",VLOOKUP(A129,Equipamentos_base!A:K,11,"FALSO"))</f>
        <v/>
      </c>
    </row>
    <row r="130" s="316" customFormat="1" hidden="1" spans="1:14">
      <c r="A130" s="324" t="s">
        <v>15888</v>
      </c>
      <c r="B130" s="325" t="str">
        <f>IF(A130="","",VLOOKUP(A130,Equipamentos_base!A:K,2,"FALSO"))</f>
        <v>Escavadeira hidráulica com martelo hidráulico de 1.700 kg - 103 kW com periculosidade</v>
      </c>
      <c r="C130" s="326">
        <f>IF(A130="","",VLOOKUP(A130,Equipamentos_base!A:K,3,"FALSO"))</f>
        <v>1926424.1712</v>
      </c>
      <c r="D130" s="326">
        <f>IF(A130="","",VLOOKUP(A130,Equipamentos_base!A:K,4,"FALSO"))</f>
        <v>220.1628</v>
      </c>
      <c r="E130" s="326">
        <f>IF(A130="","",VLOOKUP(A130,Equipamentos_base!A:K,5,"FALSO"))</f>
        <v>38.2051</v>
      </c>
      <c r="F130" s="326">
        <f>IF(A130="","",VLOOKUP(A130,Equipamentos_base!A:K,6,"FALSO"))</f>
        <v>0</v>
      </c>
      <c r="G130" s="326">
        <f>IF(A130="","",VLOOKUP(A130,Equipamentos_base!A:K,7,"FALSO"))</f>
        <v>275.2035</v>
      </c>
      <c r="H130" s="326">
        <f>IF(A130="","",VLOOKUP(A130,Equipamentos_base!A:K,8,"FALSO"))</f>
        <v>74.1806</v>
      </c>
      <c r="I130" s="326">
        <f>IF(A130="","",VLOOKUP(A130,Equipamentos_base!A:K,9,"FALSO"))</f>
        <v>41.5913</v>
      </c>
      <c r="J130" s="327" t="s">
        <v>932</v>
      </c>
      <c r="K130" s="327" t="s">
        <v>932</v>
      </c>
      <c r="L130" s="316" t="str">
        <f>IF(J130="","",VLOOKUP(A130,Equipamentos_base!A:K,10,"FALSO"))</f>
        <v/>
      </c>
      <c r="M130" s="316" t="str">
        <f>IF(J130="","",VLOOKUP(A130,Equipamentos_base!A:K,11,"FALSO"))</f>
        <v/>
      </c>
    </row>
    <row r="131" s="316" customFormat="1" hidden="1" spans="1:14">
      <c r="A131" s="324" t="s">
        <v>15889</v>
      </c>
      <c r="B131" s="325" t="str">
        <f>IF(A131="","",VLOOKUP(A131,Equipamentos_base!A:K,2,"FALSO"))</f>
        <v>Perfuratriz sobre esteiras - 145 kW com periculosidade</v>
      </c>
      <c r="C131" s="326">
        <f>IF(A131="","",VLOOKUP(A131,Equipamentos_base!A:K,3,"FALSO"))</f>
        <v>1970313.5524</v>
      </c>
      <c r="D131" s="326">
        <f>IF(A131="","",VLOOKUP(A131,Equipamentos_base!A:K,4,"FALSO"))</f>
        <v>157.6251</v>
      </c>
      <c r="E131" s="326">
        <f>IF(A131="","",VLOOKUP(A131,Equipamentos_base!A:K,5,"FALSO"))</f>
        <v>36.4705</v>
      </c>
      <c r="F131" s="326">
        <f>IF(A131="","",VLOOKUP(A131,Equipamentos_base!A:K,6,"FALSO"))</f>
        <v>0</v>
      </c>
      <c r="G131" s="326">
        <f>IF(A131="","",VLOOKUP(A131,Equipamentos_base!A:K,7,"FALSO"))</f>
        <v>157.6251</v>
      </c>
      <c r="H131" s="326">
        <f>IF(A131="","",VLOOKUP(A131,Equipamentos_base!A:K,8,"FALSO"))</f>
        <v>120.495</v>
      </c>
      <c r="I131" s="326">
        <f>IF(A131="","",VLOOKUP(A131,Equipamentos_base!A:K,9,"FALSO"))</f>
        <v>41.5913</v>
      </c>
      <c r="J131" s="327" t="s">
        <v>932</v>
      </c>
      <c r="K131" s="327" t="s">
        <v>932</v>
      </c>
      <c r="L131" s="316" t="str">
        <f>IF(J131="","",VLOOKUP(A131,Equipamentos_base!A:K,10,"FALSO"))</f>
        <v/>
      </c>
      <c r="M131" s="316" t="str">
        <f>IF(J131="","",VLOOKUP(A131,Equipamentos_base!A:K,11,"FALSO"))</f>
        <v/>
      </c>
    </row>
    <row r="132" s="316" customFormat="1" hidden="1" spans="1:14">
      <c r="A132" s="324" t="s">
        <v>15890</v>
      </c>
      <c r="B132" s="325" t="str">
        <f>IF(A132="","",VLOOKUP(A132,Equipamentos_base!A:K,2,"FALSO"))</f>
        <v>Equipamento de corte a plasma CNC - 12.000 x 5.500 mm - 19,5 kW</v>
      </c>
      <c r="C132" s="326">
        <f>IF(A132="","",VLOOKUP(A132,Equipamentos_base!A:K,3,"FALSO"))</f>
        <v>1042615.3211</v>
      </c>
      <c r="D132" s="326">
        <f>IF(A132="","",VLOOKUP(A132,Equipamentos_base!A:K,4,"FALSO"))</f>
        <v>83.4092</v>
      </c>
      <c r="E132" s="326">
        <f>IF(A132="","",VLOOKUP(A132,Equipamentos_base!A:K,5,"FALSO"))</f>
        <v>19.2988</v>
      </c>
      <c r="F132" s="326">
        <f>IF(A132="","",VLOOKUP(A132,Equipamentos_base!A:K,6,"FALSO"))</f>
        <v>0</v>
      </c>
      <c r="G132" s="326">
        <f>IF(A132="","",VLOOKUP(A132,Equipamentos_base!A:K,7,"FALSO"))</f>
        <v>62.5569</v>
      </c>
      <c r="H132" s="326">
        <f>IF(A132="","",VLOOKUP(A132,Equipamentos_base!A:K,8,"FALSO"))</f>
        <v>0</v>
      </c>
      <c r="I132" s="326">
        <f>IF(A132="","",VLOOKUP(A132,Equipamentos_base!A:K,9,"FALSO"))</f>
        <v>0</v>
      </c>
      <c r="J132" s="327" t="s">
        <v>932</v>
      </c>
      <c r="K132" s="327" t="s">
        <v>932</v>
      </c>
      <c r="L132" s="316" t="str">
        <f>IF(J132="","",VLOOKUP(A132,Equipamentos_base!A:K,10,"FALSO"))</f>
        <v/>
      </c>
      <c r="M132" s="316" t="str">
        <f>IF(J132="","",VLOOKUP(A132,Equipamentos_base!A:K,11,"FALSO"))</f>
        <v/>
      </c>
    </row>
    <row r="133" s="316" customFormat="1" hidden="1" spans="1:14">
      <c r="A133" s="324" t="s">
        <v>15891</v>
      </c>
      <c r="B133" s="325" t="e">
        <f>IF(A133="","",VLOOKUP(A133,Equipamentos_base!A:K,2,"FALSO"))</f>
        <v>#N/A</v>
      </c>
      <c r="C133" s="326" t="e">
        <f>IF(A133="","",VLOOKUP(A133,Equipamentos_base!A:K,3,"FALSO"))</f>
        <v>#N/A</v>
      </c>
      <c r="D133" s="326" t="e">
        <f>IF(A133="","",VLOOKUP(A133,Equipamentos_base!A:K,4,"FALSO"))</f>
        <v>#N/A</v>
      </c>
      <c r="E133" s="326" t="e">
        <f>IF(A133="","",VLOOKUP(A133,Equipamentos_base!A:K,5,"FALSO"))</f>
        <v>#N/A</v>
      </c>
      <c r="F133" s="326" t="e">
        <f>IF(A133="","",VLOOKUP(A133,Equipamentos_base!A:K,6,"FALSO"))</f>
        <v>#N/A</v>
      </c>
      <c r="G133" s="326" t="e">
        <f>IF(A133="","",VLOOKUP(A133,Equipamentos_base!A:K,7,"FALSO"))</f>
        <v>#N/A</v>
      </c>
      <c r="H133" s="326" t="e">
        <f>IF(A133="","",VLOOKUP(A133,Equipamentos_base!A:K,8,"FALSO"))</f>
        <v>#N/A</v>
      </c>
      <c r="I133" s="326" t="e">
        <f>IF(A133="","",VLOOKUP(A133,Equipamentos_base!A:K,9,"FALSO"))</f>
        <v>#N/A</v>
      </c>
      <c r="J133" s="327" t="s">
        <v>932</v>
      </c>
      <c r="K133" s="327" t="s">
        <v>932</v>
      </c>
      <c r="L133" s="316" t="str">
        <f>IF(J133="","",VLOOKUP(A133,Equipamentos_base!A:K,10,"FALSO"))</f>
        <v/>
      </c>
      <c r="M133" s="316" t="str">
        <f>IF(J133="","",VLOOKUP(A133,Equipamentos_base!A:K,11,"FALSO"))</f>
        <v/>
      </c>
    </row>
    <row r="134" s="316" customFormat="1" hidden="1" spans="1:14">
      <c r="A134" s="324" t="s">
        <v>15892</v>
      </c>
      <c r="B134" s="325" t="str">
        <f>IF(A134="","",VLOOKUP(A134,Equipamentos_base!A:K,2,"FALSO"))</f>
        <v>Máquina de solda elétrica retificadora 425 A - 18,70 kW</v>
      </c>
      <c r="C134" s="326">
        <f>IF(A134="","",VLOOKUP(A134,Equipamentos_base!A:K,3,"FALSO"))</f>
        <v>8859.4425</v>
      </c>
      <c r="D134" s="326">
        <f>IF(A134="","",VLOOKUP(A134,Equipamentos_base!A:K,4,"FALSO"))</f>
        <v>1.1813</v>
      </c>
      <c r="E134" s="326">
        <f>IF(A134="","",VLOOKUP(A134,Equipamentos_base!A:K,5,"FALSO"))</f>
        <v>0.1822</v>
      </c>
      <c r="F134" s="326">
        <f>IF(A134="","",VLOOKUP(A134,Equipamentos_base!A:K,6,"FALSO"))</f>
        <v>0</v>
      </c>
      <c r="G134" s="326">
        <f>IF(A134="","",VLOOKUP(A134,Equipamentos_base!A:K,7,"FALSO"))</f>
        <v>1.1813</v>
      </c>
      <c r="H134" s="326">
        <f>IF(A134="","",VLOOKUP(A134,Equipamentos_base!A:K,8,"FALSO"))</f>
        <v>0</v>
      </c>
      <c r="I134" s="326">
        <f>IF(A134="","",VLOOKUP(A134,Equipamentos_base!A:K,9,"FALSO"))</f>
        <v>0</v>
      </c>
      <c r="J134" s="327" t="s">
        <v>932</v>
      </c>
      <c r="K134" s="327" t="s">
        <v>932</v>
      </c>
      <c r="L134" s="316" t="str">
        <f>IF(J134="","",VLOOKUP(A134,Equipamentos_base!A:K,10,"FALSO"))</f>
        <v/>
      </c>
      <c r="M134" s="316" t="str">
        <f>IF(J134="","",VLOOKUP(A134,Equipamentos_base!A:K,11,"FALSO"))</f>
        <v/>
      </c>
      <c r="N134" s="331">
        <f>E134/C134</f>
        <v>2.05656281419514e-5</v>
      </c>
    </row>
    <row r="135" s="316" customFormat="1" ht="30" hidden="1" spans="1:14">
      <c r="A135" s="324" t="s">
        <v>15893</v>
      </c>
      <c r="B135" s="325" t="str">
        <f>IF(A135="","",VLOOKUP(A135,Equipamentos_base!A:K,2,"FALSO"))</f>
        <v>Martelete perfurador/rompedor a ar comprimido de 25 kg para rocha, com insalubridade, com capacidade de 2.040 gpm</v>
      </c>
      <c r="C135" s="326">
        <f>IF(A135="","",VLOOKUP(A135,Equipamentos_base!A:K,3,"FALSO"))</f>
        <v>19333.3313</v>
      </c>
      <c r="D135" s="326">
        <f>IF(A135="","",VLOOKUP(A135,Equipamentos_base!A:K,4,"FALSO"))</f>
        <v>2.5778</v>
      </c>
      <c r="E135" s="326">
        <f>IF(A135="","",VLOOKUP(A135,Equipamentos_base!A:K,5,"FALSO"))</f>
        <v>0.3976</v>
      </c>
      <c r="F135" s="326">
        <f>IF(A135="","",VLOOKUP(A135,Equipamentos_base!A:K,6,"FALSO"))</f>
        <v>0</v>
      </c>
      <c r="G135" s="326">
        <f>IF(A135="","",VLOOKUP(A135,Equipamentos_base!A:K,7,"FALSO"))</f>
        <v>2.5778</v>
      </c>
      <c r="H135" s="326">
        <f>IF(A135="","",VLOOKUP(A135,Equipamentos_base!A:K,8,"FALSO"))</f>
        <v>0</v>
      </c>
      <c r="I135" s="326">
        <f>IF(A135="","",VLOOKUP(A135,Equipamentos_base!A:K,9,"FALSO"))</f>
        <v>34.7784</v>
      </c>
      <c r="J135" s="327" t="s">
        <v>932</v>
      </c>
      <c r="K135" s="327" t="s">
        <v>932</v>
      </c>
      <c r="L135" s="316" t="str">
        <f>IF(J135="","",VLOOKUP(A135,Equipamentos_base!A:K,10,"FALSO"))</f>
        <v/>
      </c>
      <c r="M135" s="316" t="str">
        <f>IF(J135="","",VLOOKUP(A135,Equipamentos_base!A:K,11,"FALSO"))</f>
        <v/>
      </c>
    </row>
    <row r="136" s="316" customFormat="1" hidden="1" spans="1:14">
      <c r="A136" s="324" t="s">
        <v>15894</v>
      </c>
      <c r="B136" s="325" t="str">
        <f>IF(A136="","",VLOOKUP(A136,Equipamentos_base!A:K,2,"FALSO"))</f>
        <v>Jumbo eletro-hidráulico com 3 braços - 155 kW/237 kW com periculosidade</v>
      </c>
      <c r="C136" s="326">
        <f>IF(A136="","",VLOOKUP(A136,Equipamentos_base!A:K,3,"FALSO"))</f>
        <v>14377852.8738</v>
      </c>
      <c r="D136" s="326">
        <f>IF(A136="","",VLOOKUP(A136,Equipamentos_base!A:K,4,"FALSO"))</f>
        <v>821.5916</v>
      </c>
      <c r="E136" s="326">
        <f>IF(A136="","",VLOOKUP(A136,Equipamentos_base!A:K,5,"FALSO"))</f>
        <v>253.461</v>
      </c>
      <c r="F136" s="326">
        <f>IF(A136="","",VLOOKUP(A136,Equipamentos_base!A:K,6,"FALSO"))</f>
        <v>0</v>
      </c>
      <c r="G136" s="326">
        <f>IF(A136="","",VLOOKUP(A136,Equipamentos_base!A:K,7,"FALSO"))</f>
        <v>1026.9895</v>
      </c>
      <c r="H136" s="326">
        <f>IF(A136="","",VLOOKUP(A136,Equipamentos_base!A:K,8,"FALSO"))</f>
        <v>180.327</v>
      </c>
      <c r="I136" s="326">
        <f>IF(A136="","",VLOOKUP(A136,Equipamentos_base!A:K,9,"FALSO"))</f>
        <v>56.5474</v>
      </c>
      <c r="J136" s="327" t="s">
        <v>932</v>
      </c>
      <c r="K136" s="327" t="s">
        <v>932</v>
      </c>
      <c r="L136" s="316" t="str">
        <f>IF(J136="","",VLOOKUP(A136,Equipamentos_base!A:K,10,"FALSO"))</f>
        <v/>
      </c>
      <c r="M136" s="316" t="str">
        <f>IF(J136="","",VLOOKUP(A136,Equipamentos_base!A:K,11,"FALSO"))</f>
        <v/>
      </c>
    </row>
    <row r="137" s="316" customFormat="1" hidden="1" spans="1:14">
      <c r="A137" s="324" t="s">
        <v>15895</v>
      </c>
      <c r="B137" s="325" t="str">
        <f>IF(A137="","",VLOOKUP(A137,Equipamentos_base!A:K,2,"FALSO"))</f>
        <v>Fonte de plasma para corte manual - 65A - 15 kW</v>
      </c>
      <c r="C137" s="326">
        <f>IF(A137="","",VLOOKUP(A137,Equipamentos_base!A:K,3,"FALSO"))</f>
        <v>32612.5595</v>
      </c>
      <c r="D137" s="326">
        <f>IF(A137="","",VLOOKUP(A137,Equipamentos_base!A:K,4,"FALSO"))</f>
        <v>4.3483</v>
      </c>
      <c r="E137" s="326">
        <f>IF(A137="","",VLOOKUP(A137,Equipamentos_base!A:K,5,"FALSO"))</f>
        <v>0.6707</v>
      </c>
      <c r="F137" s="326">
        <f>IF(A137="","",VLOOKUP(A137,Equipamentos_base!A:K,6,"FALSO"))</f>
        <v>0</v>
      </c>
      <c r="G137" s="326">
        <f>IF(A137="","",VLOOKUP(A137,Equipamentos_base!A:K,7,"FALSO"))</f>
        <v>4.3483</v>
      </c>
      <c r="H137" s="326">
        <f>IF(A137="","",VLOOKUP(A137,Equipamentos_base!A:K,8,"FALSO"))</f>
        <v>0</v>
      </c>
      <c r="I137" s="326">
        <f>IF(A137="","",VLOOKUP(A137,Equipamentos_base!A:K,9,"FALSO"))</f>
        <v>0</v>
      </c>
      <c r="J137" s="327" t="s">
        <v>932</v>
      </c>
      <c r="K137" s="327" t="s">
        <v>932</v>
      </c>
      <c r="L137" s="316" t="str">
        <f>IF(J137="","",VLOOKUP(A137,Equipamentos_base!A:K,10,"FALSO"))</f>
        <v/>
      </c>
      <c r="M137" s="316" t="str">
        <f>IF(J137="","",VLOOKUP(A137,Equipamentos_base!A:K,11,"FALSO"))</f>
        <v/>
      </c>
    </row>
    <row r="138" s="316" customFormat="1" hidden="1" spans="1:14">
      <c r="A138" s="324" t="s">
        <v>15896</v>
      </c>
      <c r="B138" s="325" t="str">
        <f>IF(A138="","",VLOOKUP(A138,Equipamentos_base!A:K,2,"FALSO"))</f>
        <v>Serra de esquadria com braço telescópico - D = 250 mm (10") - 1,80 kW</v>
      </c>
      <c r="C138" s="326">
        <f>IF(A138="","",VLOOKUP(A138,Equipamentos_base!A:K,3,"FALSO"))</f>
        <v>3318.3541</v>
      </c>
      <c r="D138" s="326">
        <f>IF(A138="","",VLOOKUP(A138,Equipamentos_base!A:K,4,"FALSO"))</f>
        <v>0.2987</v>
      </c>
      <c r="E138" s="326">
        <f>IF(A138="","",VLOOKUP(A138,Equipamentos_base!A:K,5,"FALSO"))</f>
        <v>0.0614</v>
      </c>
      <c r="F138" s="326">
        <f>IF(A138="","",VLOOKUP(A138,Equipamentos_base!A:K,6,"FALSO"))</f>
        <v>0</v>
      </c>
      <c r="G138" s="326">
        <f>IF(A138="","",VLOOKUP(A138,Equipamentos_base!A:K,7,"FALSO"))</f>
        <v>0.1659</v>
      </c>
      <c r="H138" s="326">
        <f>IF(A138="","",VLOOKUP(A138,Equipamentos_base!A:K,8,"FALSO"))</f>
        <v>0</v>
      </c>
      <c r="I138" s="326">
        <f>IF(A138="","",VLOOKUP(A138,Equipamentos_base!A:K,9,"FALSO"))</f>
        <v>0</v>
      </c>
      <c r="J138" s="327" t="s">
        <v>932</v>
      </c>
      <c r="K138" s="327" t="s">
        <v>932</v>
      </c>
      <c r="L138" s="316" t="str">
        <f>IF(J138="","",VLOOKUP(A138,Equipamentos_base!A:K,10,"FALSO"))</f>
        <v/>
      </c>
      <c r="M138" s="316" t="str">
        <f>IF(J138="","",VLOOKUP(A138,Equipamentos_base!A:K,11,"FALSO"))</f>
        <v/>
      </c>
    </row>
    <row r="139" s="316" customFormat="1" hidden="1" spans="1:14">
      <c r="A139" s="324" t="s">
        <v>15897</v>
      </c>
      <c r="B139" s="325" t="str">
        <f>IF(A139="","",VLOOKUP(A139,Equipamentos_base!A:K,2,"FALSO"))</f>
        <v>Rebordeadeira diâmetro máximo 3,00 m - 4,85 kW</v>
      </c>
      <c r="C139" s="326">
        <f>IF(A139="","",VLOOKUP(A139,Equipamentos_base!A:K,3,"FALSO"))</f>
        <v>75007.9672</v>
      </c>
      <c r="D139" s="326">
        <f>IF(A139="","",VLOOKUP(A139,Equipamentos_base!A:K,4,"FALSO"))</f>
        <v>3.0003</v>
      </c>
      <c r="E139" s="326">
        <f>IF(A139="","",VLOOKUP(A139,Equipamentos_base!A:K,5,"FALSO"))</f>
        <v>1.2727</v>
      </c>
      <c r="F139" s="326">
        <f>IF(A139="","",VLOOKUP(A139,Equipamentos_base!A:K,6,"FALSO"))</f>
        <v>0</v>
      </c>
      <c r="G139" s="326">
        <f>IF(A139="","",VLOOKUP(A139,Equipamentos_base!A:K,7,"FALSO"))</f>
        <v>2.6253</v>
      </c>
      <c r="H139" s="326">
        <f>IF(A139="","",VLOOKUP(A139,Equipamentos_base!A:K,8,"FALSO"))</f>
        <v>0</v>
      </c>
      <c r="I139" s="326">
        <f>IF(A139="","",VLOOKUP(A139,Equipamentos_base!A:K,9,"FALSO"))</f>
        <v>0</v>
      </c>
      <c r="J139" s="327" t="s">
        <v>932</v>
      </c>
      <c r="K139" s="327" t="s">
        <v>932</v>
      </c>
      <c r="L139" s="316" t="str">
        <f>IF(J139="","",VLOOKUP(A139,Equipamentos_base!A:K,10,"FALSO"))</f>
        <v/>
      </c>
      <c r="M139" s="316" t="str">
        <f>IF(J139="","",VLOOKUP(A139,Equipamentos_base!A:K,11,"FALSO"))</f>
        <v/>
      </c>
    </row>
    <row r="140" s="316" customFormat="1" hidden="1" spans="1:14">
      <c r="A140" s="324" t="s">
        <v>15898</v>
      </c>
      <c r="B140" s="325" t="str">
        <f>IF(A140="","",VLOOKUP(A140,Equipamentos_base!A:K,2,"FALSO"))</f>
        <v>Dobradeira viradeira manual comprimento máximo de dobra de até 2.000 mm</v>
      </c>
      <c r="C140" s="326">
        <f>IF(A140="","",VLOOKUP(A140,Equipamentos_base!A:K,3,"FALSO"))</f>
        <v>16629.0994</v>
      </c>
      <c r="D140" s="326">
        <f>IF(A140="","",VLOOKUP(A140,Equipamentos_base!A:K,4,"FALSO"))</f>
        <v>0.6652</v>
      </c>
      <c r="E140" s="326">
        <f>IF(A140="","",VLOOKUP(A140,Equipamentos_base!A:K,5,"FALSO"))</f>
        <v>0.2822</v>
      </c>
      <c r="F140" s="326">
        <f>IF(A140="","",VLOOKUP(A140,Equipamentos_base!A:K,6,"FALSO"))</f>
        <v>0</v>
      </c>
      <c r="G140" s="326">
        <f>IF(A140="","",VLOOKUP(A140,Equipamentos_base!A:K,7,"FALSO"))</f>
        <v>0.582</v>
      </c>
      <c r="H140" s="326">
        <f>IF(A140="","",VLOOKUP(A140,Equipamentos_base!A:K,8,"FALSO"))</f>
        <v>0</v>
      </c>
      <c r="I140" s="326">
        <f>IF(A140="","",VLOOKUP(A140,Equipamentos_base!A:K,9,"FALSO"))</f>
        <v>0</v>
      </c>
      <c r="J140" s="327" t="s">
        <v>932</v>
      </c>
      <c r="K140" s="327" t="s">
        <v>932</v>
      </c>
      <c r="L140" s="316" t="str">
        <f>IF(J140="","",VLOOKUP(A140,Equipamentos_base!A:K,10,"FALSO"))</f>
        <v/>
      </c>
      <c r="M140" s="316" t="str">
        <f>IF(J140="","",VLOOKUP(A140,Equipamentos_base!A:K,11,"FALSO"))</f>
        <v/>
      </c>
    </row>
    <row r="141" s="316" customFormat="1" hidden="1" spans="1:14">
      <c r="A141" s="324" t="s">
        <v>15899</v>
      </c>
      <c r="B141" s="325" t="str">
        <f>IF(A141="","",VLOOKUP(A141,Equipamentos_base!A:K,2,"FALSO"))</f>
        <v>Fonte de plasma para corte manual - 45A - 10 kW</v>
      </c>
      <c r="C141" s="326">
        <f>IF(A141="","",VLOOKUP(A141,Equipamentos_base!A:K,3,"FALSO"))</f>
        <v>21579.5595</v>
      </c>
      <c r="D141" s="326">
        <f>IF(A141="","",VLOOKUP(A141,Equipamentos_base!A:K,4,"FALSO"))</f>
        <v>2.8773</v>
      </c>
      <c r="E141" s="326">
        <f>IF(A141="","",VLOOKUP(A141,Equipamentos_base!A:K,5,"FALSO"))</f>
        <v>0.4438</v>
      </c>
      <c r="F141" s="326">
        <f>IF(A141="","",VLOOKUP(A141,Equipamentos_base!A:K,6,"FALSO"))</f>
        <v>0</v>
      </c>
      <c r="G141" s="326">
        <f>IF(A141="","",VLOOKUP(A141,Equipamentos_base!A:K,7,"FALSO"))</f>
        <v>2.8773</v>
      </c>
      <c r="H141" s="326">
        <f>IF(A141="","",VLOOKUP(A141,Equipamentos_base!A:K,8,"FALSO"))</f>
        <v>0</v>
      </c>
      <c r="I141" s="326">
        <f>IF(A141="","",VLOOKUP(A141,Equipamentos_base!A:K,9,"FALSO"))</f>
        <v>0</v>
      </c>
      <c r="J141" s="327" t="s">
        <v>932</v>
      </c>
      <c r="K141" s="327" t="s">
        <v>932</v>
      </c>
      <c r="L141" s="316" t="str">
        <f>IF(J141="","",VLOOKUP(A141,Equipamentos_base!A:K,10,"FALSO"))</f>
        <v/>
      </c>
      <c r="M141" s="316" t="str">
        <f>IF(J141="","",VLOOKUP(A141,Equipamentos_base!A:K,11,"FALSO"))</f>
        <v/>
      </c>
    </row>
    <row r="142" s="316" customFormat="1" ht="30" hidden="1" spans="1:14">
      <c r="A142" s="324" t="s">
        <v>15900</v>
      </c>
      <c r="B142" s="325" t="str">
        <f>IF(A142="","",VLOOKUP(A142,Equipamentos_base!A:K,2,"FALSO"))</f>
        <v>Ventilador axial para ventilação forçada com velocidade de saída de 32,8 m/s - D = 1.000 mm - 30 kW</v>
      </c>
      <c r="C142" s="326">
        <f>IF(A142="","",VLOOKUP(A142,Equipamentos_base!A:K,3,"FALSO"))</f>
        <v>457731.7328</v>
      </c>
      <c r="D142" s="326">
        <f>IF(A142="","",VLOOKUP(A142,Equipamentos_base!A:K,4,"FALSO"))</f>
        <v>41.1959</v>
      </c>
      <c r="E142" s="326">
        <f>IF(A142="","",VLOOKUP(A142,Equipamentos_base!A:K,5,"FALSO"))</f>
        <v>8.4726</v>
      </c>
      <c r="F142" s="326">
        <f>IF(A142="","",VLOOKUP(A142,Equipamentos_base!A:K,6,"FALSO"))</f>
        <v>0</v>
      </c>
      <c r="G142" s="326">
        <f>IF(A142="","",VLOOKUP(A142,Equipamentos_base!A:K,7,"FALSO"))</f>
        <v>27.4639</v>
      </c>
      <c r="H142" s="326">
        <f>IF(A142="","",VLOOKUP(A142,Equipamentos_base!A:K,8,"FALSO"))</f>
        <v>0</v>
      </c>
      <c r="I142" s="326">
        <f>IF(A142="","",VLOOKUP(A142,Equipamentos_base!A:K,9,"FALSO"))</f>
        <v>0</v>
      </c>
      <c r="J142" s="327" t="s">
        <v>932</v>
      </c>
      <c r="K142" s="327" t="s">
        <v>932</v>
      </c>
      <c r="L142" s="316" t="str">
        <f>IF(J142="","",VLOOKUP(A142,Equipamentos_base!A:K,10,"FALSO"))</f>
        <v/>
      </c>
      <c r="M142" s="316" t="str">
        <f>IF(J142="","",VLOOKUP(A142,Equipamentos_base!A:K,11,"FALSO"))</f>
        <v/>
      </c>
    </row>
    <row r="143" s="316" customFormat="1" spans="1:14">
      <c r="A143" s="324" t="s">
        <v>1060</v>
      </c>
      <c r="B143" s="325" t="str">
        <f>IF(A143="","",VLOOKUP(A143,Equipamentos_base!A:K,2,"FALSO"))</f>
        <v>Bate-estaca de gravidade para 6 t - 119 kW</v>
      </c>
      <c r="C143" s="326">
        <f>IF(A143="","",VLOOKUP(A143,Equipamentos_base!A:K,3,"FALSO"))</f>
        <v>950164.6419</v>
      </c>
      <c r="D143" s="326">
        <f>IF(A143="","",VLOOKUP(A143,Equipamentos_base!A:K,4,"FALSO"))</f>
        <v>126.6886</v>
      </c>
      <c r="E143" s="326">
        <f>IF(A143="","",VLOOKUP(A143,Equipamentos_base!A:K,5,"FALSO"))</f>
        <v>19.5417</v>
      </c>
      <c r="F143" s="326">
        <f>IF(A143="","",VLOOKUP(A143,Equipamentos_base!A:K,6,"FALSO"))</f>
        <v>0</v>
      </c>
      <c r="G143" s="326">
        <f>IF(A143="","",VLOOKUP(A143,Equipamentos_base!A:K,7,"FALSO"))</f>
        <v>95.0165</v>
      </c>
      <c r="H143" s="326">
        <f>IF(A143="","",VLOOKUP(A143,Equipamentos_base!A:K,8,"FALSO"))</f>
        <v>85.7038</v>
      </c>
      <c r="I143" s="326">
        <f>IF(A143="","",VLOOKUP(A143,Equipamentos_base!A:K,9,"FALSO"))</f>
        <v>33.7544</v>
      </c>
      <c r="J143" s="327">
        <v>360.705</v>
      </c>
      <c r="K143" s="327">
        <v>179.9847</v>
      </c>
      <c r="L143" s="316">
        <f>IF(J143="","",VLOOKUP(A143,Equipamentos_base!A:K,10,"FALSO"))</f>
        <v>360.705</v>
      </c>
      <c r="M143" s="316">
        <f>IF(J143="","",VLOOKUP(A143,Equipamentos_base!A:K,11,"FALSO"))</f>
        <v>179.9847</v>
      </c>
    </row>
    <row r="144" s="316" customFormat="1" hidden="1" spans="1:14">
      <c r="A144" s="324" t="s">
        <v>15901</v>
      </c>
      <c r="B144" s="325" t="str">
        <f>IF(A144="","",VLOOKUP(A144,Equipamentos_base!A:K,2,"FALSO"))</f>
        <v>Guilhotina hidráulica 16 x 6.100 mm - 30 kW</v>
      </c>
      <c r="C144" s="326">
        <f>IF(A144="","",VLOOKUP(A144,Equipamentos_base!A:K,3,"FALSO"))</f>
        <v>1316505.4649</v>
      </c>
      <c r="D144" s="326">
        <f>IF(A144="","",VLOOKUP(A144,Equipamentos_base!A:K,4,"FALSO"))</f>
        <v>52.6602</v>
      </c>
      <c r="E144" s="326">
        <f>IF(A144="","",VLOOKUP(A144,Equipamentos_base!A:K,5,"FALSO"))</f>
        <v>22.3378</v>
      </c>
      <c r="F144" s="326">
        <f>IF(A144="","",VLOOKUP(A144,Equipamentos_base!A:K,6,"FALSO"))</f>
        <v>0</v>
      </c>
      <c r="G144" s="326">
        <f>IF(A144="","",VLOOKUP(A144,Equipamentos_base!A:K,7,"FALSO"))</f>
        <v>46.0777</v>
      </c>
      <c r="H144" s="326">
        <f>IF(A144="","",VLOOKUP(A144,Equipamentos_base!A:K,8,"FALSO"))</f>
        <v>0</v>
      </c>
      <c r="I144" s="326">
        <f>IF(A144="","",VLOOKUP(A144,Equipamentos_base!A:K,9,"FALSO"))</f>
        <v>26.5829</v>
      </c>
      <c r="J144" s="327" t="s">
        <v>932</v>
      </c>
      <c r="K144" s="327" t="s">
        <v>932</v>
      </c>
      <c r="L144" s="316" t="str">
        <f>IF(J144="","",VLOOKUP(A144,Equipamentos_base!A:K,10,"FALSO"))</f>
        <v/>
      </c>
      <c r="M144" s="316" t="str">
        <f>IF(J144="","",VLOOKUP(A144,Equipamentos_base!A:K,11,"FALSO"))</f>
        <v/>
      </c>
    </row>
    <row r="145" s="316" customFormat="1" hidden="1" spans="1:13">
      <c r="A145" s="324" t="s">
        <v>15902</v>
      </c>
      <c r="B145" s="325" t="str">
        <f>IF(A145="","",VLOOKUP(A145,Equipamentos_base!A:K,2,"FALSO"))</f>
        <v>Prensa dobradeira capacidade 320 t - comprimento até 3.100 mm - 30 kW</v>
      </c>
      <c r="C145" s="326">
        <f>IF(A145="","",VLOOKUP(A145,Equipamentos_base!A:K,3,"FALSO"))</f>
        <v>921187.9724</v>
      </c>
      <c r="D145" s="326">
        <f>IF(A145="","",VLOOKUP(A145,Equipamentos_base!A:K,4,"FALSO"))</f>
        <v>36.8475</v>
      </c>
      <c r="E145" s="326">
        <f>IF(A145="","",VLOOKUP(A145,Equipamentos_base!A:K,5,"FALSO"))</f>
        <v>15.6303</v>
      </c>
      <c r="F145" s="326">
        <f>IF(A145="","",VLOOKUP(A145,Equipamentos_base!A:K,6,"FALSO"))</f>
        <v>0</v>
      </c>
      <c r="G145" s="326">
        <f>IF(A145="","",VLOOKUP(A145,Equipamentos_base!A:K,7,"FALSO"))</f>
        <v>32.2416</v>
      </c>
      <c r="H145" s="326">
        <f>IF(A145="","",VLOOKUP(A145,Equipamentos_base!A:K,8,"FALSO"))</f>
        <v>0</v>
      </c>
      <c r="I145" s="326">
        <f>IF(A145="","",VLOOKUP(A145,Equipamentos_base!A:K,9,"FALSO"))</f>
        <v>26.5829</v>
      </c>
      <c r="J145" s="327" t="s">
        <v>932</v>
      </c>
      <c r="K145" s="327" t="s">
        <v>932</v>
      </c>
      <c r="L145" s="316" t="str">
        <f>IF(J145="","",VLOOKUP(A145,Equipamentos_base!A:K,10,"FALSO"))</f>
        <v/>
      </c>
      <c r="M145" s="316" t="str">
        <f>IF(J145="","",VLOOKUP(A145,Equipamentos_base!A:K,11,"FALSO"))</f>
        <v/>
      </c>
    </row>
    <row r="146" s="316" customFormat="1" spans="1:13">
      <c r="A146" s="324" t="s">
        <v>15903</v>
      </c>
      <c r="B146" s="325" t="str">
        <f>IF(A146="","",VLOOKUP(A146,Equipamentos_base!A:K,2,"FALSO"))</f>
        <v>Caminhão basculante com capacidade de 6 m³ - 136 kW</v>
      </c>
      <c r="C146" s="326">
        <f>IF(A146="","",VLOOKUP(A146,Equipamentos_base!A:K,3,"FALSO"))</f>
        <v>0</v>
      </c>
      <c r="D146" s="326">
        <f>IF(A146="","",VLOOKUP(A146,Equipamentos_base!A:K,4,"FALSO"))</f>
        <v>0</v>
      </c>
      <c r="E146" s="326">
        <f>IF(A146="","",VLOOKUP(A146,Equipamentos_base!A:K,5,"FALSO"))</f>
        <v>0</v>
      </c>
      <c r="F146" s="326">
        <f>IF(A146="","",VLOOKUP(A146,Equipamentos_base!A:K,6,"FALSO"))</f>
        <v>0</v>
      </c>
      <c r="G146" s="326">
        <f>IF(A146="","",VLOOKUP(A146,Equipamentos_base!A:K,7,"FALSO"))</f>
        <v>0</v>
      </c>
      <c r="H146" s="326">
        <f>IF(A146="","",VLOOKUP(A146,Equipamentos_base!A:K,8,"FALSO"))</f>
        <v>0</v>
      </c>
      <c r="I146" s="326">
        <f>IF(A146="","",VLOOKUP(A146,Equipamentos_base!A:K,9,"FALSO"))</f>
        <v>0</v>
      </c>
      <c r="J146" s="327">
        <v>200.0991</v>
      </c>
      <c r="K146" s="327">
        <v>78.4111</v>
      </c>
      <c r="L146" s="316">
        <f>IF(J146="","",VLOOKUP(A146,Equipamentos_base!A:K,10,"FALSO"))</f>
        <v>200.0991</v>
      </c>
      <c r="M146" s="316">
        <f>IF(J146="","",VLOOKUP(A146,Equipamentos_base!A:K,11,"FALSO"))</f>
        <v>78.4111</v>
      </c>
    </row>
    <row r="147" s="316" customFormat="1" spans="1:13">
      <c r="A147" s="324" t="s">
        <v>14305</v>
      </c>
      <c r="B147" s="325" t="str">
        <f>IF(A147="","",VLOOKUP(A147,Equipamentos_base!A:K,2,"FALSO"))</f>
        <v>Plotadora de recorte com computador e programa computacional</v>
      </c>
      <c r="C147" s="326">
        <f>IF(A147="","",VLOOKUP(A147,Equipamentos_base!A:K,3,"FALSO"))</f>
        <v>95416.152</v>
      </c>
      <c r="D147" s="326">
        <f>IF(A147="","",VLOOKUP(A147,Equipamentos_base!A:K,4,"FALSO"))</f>
        <v>14.3124</v>
      </c>
      <c r="E147" s="326">
        <f>IF(A147="","",VLOOKUP(A147,Equipamentos_base!A:K,5,"FALSO"))</f>
        <v>1.9624</v>
      </c>
      <c r="F147" s="326">
        <f>IF(A147="","",VLOOKUP(A147,Equipamentos_base!A:K,6,"FALSO"))</f>
        <v>0</v>
      </c>
      <c r="G147" s="326">
        <f>IF(A147="","",VLOOKUP(A147,Equipamentos_base!A:K,7,"FALSO"))</f>
        <v>9.5416</v>
      </c>
      <c r="H147" s="326">
        <f>IF(A147="","",VLOOKUP(A147,Equipamentos_base!A:K,8,"FALSO"))</f>
        <v>0</v>
      </c>
      <c r="I147" s="326">
        <f>IF(A147="","",VLOOKUP(A147,Equipamentos_base!A:K,9,"FALSO"))</f>
        <v>0</v>
      </c>
      <c r="J147" s="327">
        <v>25.8164</v>
      </c>
      <c r="K147" s="327">
        <v>16.2748</v>
      </c>
      <c r="L147" s="316">
        <f>IF(J147="","",VLOOKUP(A147,Equipamentos_base!A:K,10,"FALSO"))</f>
        <v>25.8164</v>
      </c>
      <c r="M147" s="316">
        <f>IF(J147="","",VLOOKUP(A147,Equipamentos_base!A:K,11,"FALSO"))</f>
        <v>16.2748</v>
      </c>
    </row>
    <row r="148" s="316" customFormat="1" spans="1:13">
      <c r="A148" s="324" t="s">
        <v>15904</v>
      </c>
      <c r="B148" s="325" t="str">
        <f>IF(A148="","",VLOOKUP(A148,Equipamentos_base!A:K,2,"FALSO"))</f>
        <v>Caminhão carroceria com capacidade de 9 t - 136 kW</v>
      </c>
      <c r="C148" s="326">
        <f>IF(A148="","",VLOOKUP(A148,Equipamentos_base!A:K,3,"FALSO"))</f>
        <v>0</v>
      </c>
      <c r="D148" s="326">
        <f>IF(A148="","",VLOOKUP(A148,Equipamentos_base!A:K,4,"FALSO"))</f>
        <v>0</v>
      </c>
      <c r="E148" s="326">
        <f>IF(A148="","",VLOOKUP(A148,Equipamentos_base!A:K,5,"FALSO"))</f>
        <v>0</v>
      </c>
      <c r="F148" s="326">
        <f>IF(A148="","",VLOOKUP(A148,Equipamentos_base!A:K,6,"FALSO"))</f>
        <v>0</v>
      </c>
      <c r="G148" s="326">
        <f>IF(A148="","",VLOOKUP(A148,Equipamentos_base!A:K,7,"FALSO"))</f>
        <v>0</v>
      </c>
      <c r="H148" s="326">
        <f>IF(A148="","",VLOOKUP(A148,Equipamentos_base!A:K,8,"FALSO"))</f>
        <v>0</v>
      </c>
      <c r="I148" s="326">
        <f>IF(A148="","",VLOOKUP(A148,Equipamentos_base!A:K,9,"FALSO"))</f>
        <v>0</v>
      </c>
      <c r="J148" s="327">
        <v>197.067</v>
      </c>
      <c r="K148" s="327">
        <v>77.0071</v>
      </c>
      <c r="L148" s="316">
        <f>IF(J148="","",VLOOKUP(A148,Equipamentos_base!A:K,10,"FALSO"))</f>
        <v>197.067</v>
      </c>
      <c r="M148" s="316">
        <f>IF(J148="","",VLOOKUP(A148,Equipamentos_base!A:K,11,"FALSO"))</f>
        <v>77.0071</v>
      </c>
    </row>
    <row r="149" s="316" customFormat="1" spans="1:13">
      <c r="A149" s="324" t="s">
        <v>15905</v>
      </c>
      <c r="B149" s="325" t="str">
        <f>IF(A149="","",VLOOKUP(A149,Equipamentos_base!A:K,2,"FALSO"))</f>
        <v>Caminhão tanque distribuidor de asfalto com capacidade de 6.000 l - 7 kW/136 kW</v>
      </c>
      <c r="C149" s="326">
        <f>IF(A149="","",VLOOKUP(A149,Equipamentos_base!A:K,3,"FALSO"))</f>
        <v>0</v>
      </c>
      <c r="D149" s="326">
        <f>IF(A149="","",VLOOKUP(A149,Equipamentos_base!A:K,4,"FALSO"))</f>
        <v>0</v>
      </c>
      <c r="E149" s="326">
        <f>IF(A149="","",VLOOKUP(A149,Equipamentos_base!A:K,5,"FALSO"))</f>
        <v>0</v>
      </c>
      <c r="F149" s="326">
        <f>IF(A149="","",VLOOKUP(A149,Equipamentos_base!A:K,6,"FALSO"))</f>
        <v>0</v>
      </c>
      <c r="G149" s="326">
        <f>IF(A149="","",VLOOKUP(A149,Equipamentos_base!A:K,7,"FALSO"))</f>
        <v>0</v>
      </c>
      <c r="H149" s="326">
        <f>IF(A149="","",VLOOKUP(A149,Equipamentos_base!A:K,8,"FALSO"))</f>
        <v>0</v>
      </c>
      <c r="I149" s="326">
        <f>IF(A149="","",VLOOKUP(A149,Equipamentos_base!A:K,9,"FALSO"))</f>
        <v>0</v>
      </c>
      <c r="J149" s="327">
        <v>336.2448</v>
      </c>
      <c r="K149" s="327">
        <v>109.5798</v>
      </c>
      <c r="L149" s="316">
        <f>IF(J149="","",VLOOKUP(A149,Equipamentos_base!A:K,10,"FALSO"))</f>
        <v>336.2448</v>
      </c>
      <c r="M149" s="316">
        <f>IF(J149="","",VLOOKUP(A149,Equipamentos_base!A:K,11,"FALSO"))</f>
        <v>109.5798</v>
      </c>
    </row>
    <row r="150" s="316" customFormat="1" hidden="1" spans="1:13">
      <c r="A150" s="324" t="s">
        <v>15906</v>
      </c>
      <c r="B150" s="325" t="str">
        <f>IF(A150="","",VLOOKUP(A150,Equipamentos_base!A:K,2,"FALSO"))</f>
        <v>Ventilador centrífugo baixa pressão com capacidade de 58 m³/min - 3,68 kW</v>
      </c>
      <c r="C150" s="326">
        <f>IF(A150="","",VLOOKUP(A150,Equipamentos_base!A:K,3,"FALSO"))</f>
        <v>14572.8937</v>
      </c>
      <c r="D150" s="326">
        <f>IF(A150="","",VLOOKUP(A150,Equipamentos_base!A:K,4,"FALSO"))</f>
        <v>1.3116</v>
      </c>
      <c r="E150" s="326">
        <f>IF(A150="","",VLOOKUP(A150,Equipamentos_base!A:K,5,"FALSO"))</f>
        <v>0.2697</v>
      </c>
      <c r="F150" s="326">
        <f>IF(A150="","",VLOOKUP(A150,Equipamentos_base!A:K,6,"FALSO"))</f>
        <v>0</v>
      </c>
      <c r="G150" s="326">
        <f>IF(A150="","",VLOOKUP(A150,Equipamentos_base!A:K,7,"FALSO"))</f>
        <v>0.8744</v>
      </c>
      <c r="H150" s="326">
        <f>IF(A150="","",VLOOKUP(A150,Equipamentos_base!A:K,8,"FALSO"))</f>
        <v>0</v>
      </c>
      <c r="I150" s="326">
        <f>IF(A150="","",VLOOKUP(A150,Equipamentos_base!A:K,9,"FALSO"))</f>
        <v>0</v>
      </c>
      <c r="J150" s="327" t="s">
        <v>932</v>
      </c>
      <c r="K150" s="327" t="s">
        <v>932</v>
      </c>
      <c r="L150" s="316" t="str">
        <f>IF(J150="","",VLOOKUP(A150,Equipamentos_base!A:K,10,"FALSO"))</f>
        <v/>
      </c>
      <c r="M150" s="316" t="str">
        <f>IF(J150="","",VLOOKUP(A150,Equipamentos_base!A:K,11,"FALSO"))</f>
        <v/>
      </c>
    </row>
    <row r="151" s="316" customFormat="1" spans="1:13">
      <c r="A151" s="324" t="s">
        <v>15907</v>
      </c>
      <c r="B151" s="325" t="str">
        <f>IF(A151="","",VLOOKUP(A151,Equipamentos_base!A:K,2,"FALSO"))</f>
        <v>Carregadeira de pneus com capacidade de 3,40 m³ - 195 kW</v>
      </c>
      <c r="C151" s="326">
        <f>IF(A151="","",VLOOKUP(A151,Equipamentos_base!A:K,3,"FALSO"))</f>
        <v>2076734.0449</v>
      </c>
      <c r="D151" s="326">
        <f>IF(A151="","",VLOOKUP(A151,Equipamentos_base!A:K,4,"FALSO"))</f>
        <v>181.7142</v>
      </c>
      <c r="E151" s="326">
        <f>IF(A151="","",VLOOKUP(A151,Equipamentos_base!A:K,5,"FALSO"))</f>
        <v>40.042</v>
      </c>
      <c r="F151" s="326">
        <f>IF(A151="","",VLOOKUP(A151,Equipamentos_base!A:K,6,"FALSO"))</f>
        <v>0</v>
      </c>
      <c r="G151" s="326">
        <f>IF(A151="","",VLOOKUP(A151,Equipamentos_base!A:K,7,"FALSO"))</f>
        <v>181.7142</v>
      </c>
      <c r="H151" s="326">
        <f>IF(A151="","",VLOOKUP(A151,Equipamentos_base!A:K,8,"FALSO"))</f>
        <v>86.424</v>
      </c>
      <c r="I151" s="326">
        <f>IF(A151="","",VLOOKUP(A151,Equipamentos_base!A:K,9,"FALSO"))</f>
        <v>33.7544</v>
      </c>
      <c r="J151" s="327">
        <v>523.6488</v>
      </c>
      <c r="K151" s="327">
        <v>255.5106</v>
      </c>
      <c r="L151" s="316">
        <f>IF(J151="","",VLOOKUP(A151,Equipamentos_base!A:K,10,"FALSO"))</f>
        <v>523.6488</v>
      </c>
      <c r="M151" s="316">
        <f>IF(J151="","",VLOOKUP(A151,Equipamentos_base!A:K,11,"FALSO"))</f>
        <v>255.5106</v>
      </c>
    </row>
    <row r="152" s="316" customFormat="1" spans="1:13">
      <c r="A152" s="324" t="s">
        <v>1099</v>
      </c>
      <c r="B152" s="325" t="str">
        <f>IF(A152="","",VLOOKUP(A152,Equipamentos_base!A:K,2,"FALSO"))</f>
        <v>Veículo leve - 53 kW</v>
      </c>
      <c r="C152" s="326">
        <f>IF(A152="","",VLOOKUP(A152,Equipamentos_base!A:K,3,"FALSO"))</f>
        <v>81221.8307</v>
      </c>
      <c r="D152" s="326">
        <f>IF(A152="","",VLOOKUP(A152,Equipamentos_base!A:K,4,"FALSO"))</f>
        <v>4.8733</v>
      </c>
      <c r="E152" s="326">
        <f>IF(A152="","",VLOOKUP(A152,Equipamentos_base!A:K,5,"FALSO"))</f>
        <v>1.5034</v>
      </c>
      <c r="F152" s="326">
        <f>IF(A152="","",VLOOKUP(A152,Equipamentos_base!A:K,6,"FALSO"))</f>
        <v>0.6092</v>
      </c>
      <c r="G152" s="326">
        <f>IF(A152="","",VLOOKUP(A152,Equipamentos_base!A:K,7,"FALSO"))</f>
        <v>4.8733</v>
      </c>
      <c r="H152" s="326">
        <f>IF(A152="","",VLOOKUP(A152,Equipamentos_base!A:K,8,"FALSO"))</f>
        <v>25.1379</v>
      </c>
      <c r="I152" s="326">
        <f>IF(A152="","",VLOOKUP(A152,Equipamentos_base!A:K,9,"FALSO"))</f>
        <v>32.3437</v>
      </c>
      <c r="J152" s="327">
        <v>69.3408</v>
      </c>
      <c r="K152" s="327">
        <v>39.3296</v>
      </c>
      <c r="L152" s="316">
        <f>IF(J152="","",VLOOKUP(A152,Equipamentos_base!A:K,10,"FALSO"))</f>
        <v>69.3408</v>
      </c>
      <c r="M152" s="316">
        <f>IF(J152="","",VLOOKUP(A152,Equipamentos_base!A:K,11,"FALSO"))</f>
        <v>39.3296</v>
      </c>
    </row>
    <row r="153" s="316" customFormat="1" hidden="1" spans="1:13">
      <c r="A153" s="324" t="s">
        <v>15908</v>
      </c>
      <c r="B153" s="325" t="str">
        <f>IF(A153="","",VLOOKUP(A153,Equipamentos_base!A:K,2,"FALSO"))</f>
        <v>Compressor de ar portátil de 160,46 l/s (340 PCM) - 81 kW</v>
      </c>
      <c r="C153" s="326">
        <f>IF(A153="","",VLOOKUP(A153,Equipamentos_base!A:K,3,"FALSO"))</f>
        <v>301245.4985</v>
      </c>
      <c r="D153" s="326">
        <f>IF(A153="","",VLOOKUP(A153,Equipamentos_base!A:K,4,"FALSO"))</f>
        <v>24.0996</v>
      </c>
      <c r="E153" s="326">
        <f>IF(A153="","",VLOOKUP(A153,Equipamentos_base!A:K,5,"FALSO"))</f>
        <v>5.5761</v>
      </c>
      <c r="F153" s="326">
        <f>IF(A153="","",VLOOKUP(A153,Equipamentos_base!A:K,6,"FALSO"))</f>
        <v>0</v>
      </c>
      <c r="G153" s="326">
        <f>IF(A153="","",VLOOKUP(A153,Equipamentos_base!A:K,7,"FALSO"))</f>
        <v>24.0996</v>
      </c>
      <c r="H153" s="326">
        <f>IF(A153="","",VLOOKUP(A153,Equipamentos_base!A:K,8,"FALSO"))</f>
        <v>76.2858</v>
      </c>
      <c r="I153" s="326">
        <f>IF(A153="","",VLOOKUP(A153,Equipamentos_base!A:K,9,"FALSO"))</f>
        <v>0</v>
      </c>
      <c r="J153" s="327" t="s">
        <v>932</v>
      </c>
      <c r="K153" s="327" t="s">
        <v>932</v>
      </c>
      <c r="L153" s="316" t="str">
        <f>IF(J153="","",VLOOKUP(A153,Equipamentos_base!A:K,10,"FALSO"))</f>
        <v/>
      </c>
      <c r="M153" s="316" t="str">
        <f>IF(J153="","",VLOOKUP(A153,Equipamentos_base!A:K,11,"FALSO"))</f>
        <v/>
      </c>
    </row>
    <row r="154" s="316" customFormat="1" hidden="1" spans="1:13">
      <c r="A154" s="324" t="s">
        <v>15909</v>
      </c>
      <c r="B154" s="325" t="str">
        <f>IF(A154="","",VLOOKUP(A154,Equipamentos_base!A:K,2,"FALSO"))</f>
        <v>Distribuidor de agregados sobre pneus autopropelido - 130 kW</v>
      </c>
      <c r="C154" s="326">
        <f>IF(A154="","",VLOOKUP(A154,Equipamentos_base!A:K,3,"FALSO"))</f>
        <v>981194.8194</v>
      </c>
      <c r="D154" s="326">
        <f>IF(A154="","",VLOOKUP(A154,Equipamentos_base!A:K,4,"FALSO"))</f>
        <v>98.1195</v>
      </c>
      <c r="E154" s="326">
        <f>IF(A154="","",VLOOKUP(A154,Equipamentos_base!A:K,5,"FALSO"))</f>
        <v>18.9187</v>
      </c>
      <c r="F154" s="326">
        <f>IF(A154="","",VLOOKUP(A154,Equipamentos_base!A:K,6,"FALSO"))</f>
        <v>0</v>
      </c>
      <c r="G154" s="326">
        <f>IF(A154="","",VLOOKUP(A154,Equipamentos_base!A:K,7,"FALSO"))</f>
        <v>85.8545</v>
      </c>
      <c r="H154" s="326">
        <f>IF(A154="","",VLOOKUP(A154,Equipamentos_base!A:K,8,"FALSO"))</f>
        <v>136.838</v>
      </c>
      <c r="I154" s="326">
        <f>IF(A154="","",VLOOKUP(A154,Equipamentos_base!A:K,9,"FALSO"))</f>
        <v>33.7544</v>
      </c>
      <c r="J154" s="327" t="s">
        <v>932</v>
      </c>
      <c r="K154" s="327" t="s">
        <v>932</v>
      </c>
      <c r="L154" s="316" t="str">
        <f>IF(J154="","",VLOOKUP(A154,Equipamentos_base!A:K,10,"FALSO"))</f>
        <v/>
      </c>
      <c r="M154" s="316" t="str">
        <f>IF(J154="","",VLOOKUP(A154,Equipamentos_base!A:K,11,"FALSO"))</f>
        <v/>
      </c>
    </row>
    <row r="155" s="316" customFormat="1" spans="1:13">
      <c r="A155" s="324" t="s">
        <v>1058</v>
      </c>
      <c r="B155" s="325" t="str">
        <f>IF(A155="","",VLOOKUP(A155,Equipamentos_base!A:K,2,"FALSO"))</f>
        <v>Escavadeira hidráulica sobre esteiras com caçamba com capacidade de 1,56 m³ - 118 kW</v>
      </c>
      <c r="C155" s="326">
        <f>IF(A155="","",VLOOKUP(A155,Equipamentos_base!A:K,3,"FALSO"))</f>
        <v>1091831.5889</v>
      </c>
      <c r="D155" s="326">
        <f>IF(A155="","",VLOOKUP(A155,Equipamentos_base!A:K,4,"FALSO"))</f>
        <v>95.5353</v>
      </c>
      <c r="E155" s="326">
        <f>IF(A155="","",VLOOKUP(A155,Equipamentos_base!A:K,5,"FALSO"))</f>
        <v>21.0519</v>
      </c>
      <c r="F155" s="326">
        <f>IF(A155="","",VLOOKUP(A155,Equipamentos_base!A:K,6,"FALSO"))</f>
        <v>0</v>
      </c>
      <c r="G155" s="326">
        <f>IF(A155="","",VLOOKUP(A155,Equipamentos_base!A:K,7,"FALSO"))</f>
        <v>95.5353</v>
      </c>
      <c r="H155" s="326">
        <f>IF(A155="","",VLOOKUP(A155,Equipamentos_base!A:K,8,"FALSO"))</f>
        <v>84.9836</v>
      </c>
      <c r="I155" s="326">
        <f>IF(A155="","",VLOOKUP(A155,Equipamentos_base!A:K,9,"FALSO"))</f>
        <v>33.7544</v>
      </c>
      <c r="J155" s="327">
        <v>330.8605</v>
      </c>
      <c r="K155" s="327">
        <v>150.3416</v>
      </c>
      <c r="L155" s="316">
        <f>IF(J155="","",VLOOKUP(A155,Equipamentos_base!A:K,10,"FALSO"))</f>
        <v>330.8605</v>
      </c>
      <c r="M155" s="316">
        <f>IF(J155="","",VLOOKUP(A155,Equipamentos_base!A:K,11,"FALSO"))</f>
        <v>150.3416</v>
      </c>
    </row>
    <row r="156" s="316" customFormat="1" hidden="1" spans="1:13">
      <c r="A156" s="324" t="s">
        <v>15910</v>
      </c>
      <c r="B156" s="325" t="str">
        <f>IF(A156="","",VLOOKUP(A156,Equipamentos_base!A:K,2,"FALSO"))</f>
        <v>Perfuratriz hidráulica sobre esteiras - 283 kW</v>
      </c>
      <c r="C156" s="326">
        <f>IF(A156="","",VLOOKUP(A156,Equipamentos_base!A:K,3,"FALSO"))</f>
        <v>7828415.8359</v>
      </c>
      <c r="D156" s="326">
        <f>IF(A156="","",VLOOKUP(A156,Equipamentos_base!A:K,4,"FALSO"))</f>
        <v>626.2733</v>
      </c>
      <c r="E156" s="326">
        <f>IF(A156="","",VLOOKUP(A156,Equipamentos_base!A:K,5,"FALSO"))</f>
        <v>144.904</v>
      </c>
      <c r="F156" s="326">
        <f>IF(A156="","",VLOOKUP(A156,Equipamentos_base!A:K,6,"FALSO"))</f>
        <v>0</v>
      </c>
      <c r="G156" s="326">
        <f>IF(A156="","",VLOOKUP(A156,Equipamentos_base!A:K,7,"FALSO"))</f>
        <v>626.2733</v>
      </c>
      <c r="H156" s="326">
        <f>IF(A156="","",VLOOKUP(A156,Equipamentos_base!A:K,8,"FALSO"))</f>
        <v>156.782</v>
      </c>
      <c r="I156" s="326">
        <f>IF(A156="","",VLOOKUP(A156,Equipamentos_base!A:K,9,"FALSO"))</f>
        <v>33.7544</v>
      </c>
      <c r="J156" s="327" t="s">
        <v>932</v>
      </c>
      <c r="K156" s="327" t="s">
        <v>932</v>
      </c>
      <c r="L156" s="316" t="str">
        <f>IF(J156="","",VLOOKUP(A156,Equipamentos_base!A:K,10,"FALSO"))</f>
        <v/>
      </c>
      <c r="M156" s="316" t="str">
        <f>IF(J156="","",VLOOKUP(A156,Equipamentos_base!A:K,11,"FALSO"))</f>
        <v/>
      </c>
    </row>
    <row r="157" s="316" customFormat="1" spans="1:13">
      <c r="A157" s="324" t="s">
        <v>15911</v>
      </c>
      <c r="B157" s="325" t="str">
        <f>IF(A157="","",VLOOKUP(A157,Equipamentos_base!A:K,2,"FALSO"))</f>
        <v>Grade de 24 discos rebocável de D = 60 cm (24")</v>
      </c>
      <c r="C157" s="326">
        <f>IF(A157="","",VLOOKUP(A157,Equipamentos_base!A:K,3,"FALSO"))</f>
        <v>42269.6334</v>
      </c>
      <c r="D157" s="326">
        <f>IF(A157="","",VLOOKUP(A157,Equipamentos_base!A:K,4,"FALSO"))</f>
        <v>2.7173</v>
      </c>
      <c r="E157" s="326">
        <f>IF(A157="","",VLOOKUP(A157,Equipamentos_base!A:K,5,"FALSO"))</f>
        <v>0.7452</v>
      </c>
      <c r="F157" s="326">
        <f>IF(A157="","",VLOOKUP(A157,Equipamentos_base!A:K,6,"FALSO"))</f>
        <v>0</v>
      </c>
      <c r="G157" s="326">
        <f>IF(A157="","",VLOOKUP(A157,Equipamentos_base!A:K,7,"FALSO"))</f>
        <v>1.5096</v>
      </c>
      <c r="H157" s="326">
        <f>IF(A157="","",VLOOKUP(A157,Equipamentos_base!A:K,8,"FALSO"))</f>
        <v>0</v>
      </c>
      <c r="I157" s="326">
        <f>IF(A157="","",VLOOKUP(A157,Equipamentos_base!A:K,9,"FALSO"))</f>
        <v>0</v>
      </c>
      <c r="J157" s="327">
        <v>4.9721</v>
      </c>
      <c r="K157" s="327">
        <v>3.4625</v>
      </c>
      <c r="L157" s="316">
        <f>IF(J157="","",VLOOKUP(A157,Equipamentos_base!A:K,10,"FALSO"))</f>
        <v>4.9721</v>
      </c>
      <c r="M157" s="316">
        <f>IF(J157="","",VLOOKUP(A157,Equipamentos_base!A:K,11,"FALSO"))</f>
        <v>3.4625</v>
      </c>
    </row>
    <row r="158" s="316" customFormat="1" spans="1:13">
      <c r="A158" s="324" t="s">
        <v>1068</v>
      </c>
      <c r="B158" s="325" t="str">
        <f>IF(A158="","",VLOOKUP(A158,Equipamentos_base!A:K,2,"FALSO"))</f>
        <v>Betoneira com motor a gasolina com capacidade de 600 l - 10 kW</v>
      </c>
      <c r="C158" s="326">
        <f>IF(A158="","",VLOOKUP(A158,Equipamentos_base!A:K,3,"FALSO"))</f>
        <v>39240.7962</v>
      </c>
      <c r="D158" s="326">
        <f>IF(A158="","",VLOOKUP(A158,Equipamentos_base!A:K,4,"FALSO"))</f>
        <v>6.2785</v>
      </c>
      <c r="E158" s="326">
        <f>IF(A158="","",VLOOKUP(A158,Equipamentos_base!A:K,5,"FALSO"))</f>
        <v>0.8474</v>
      </c>
      <c r="F158" s="326">
        <f>IF(A158="","",VLOOKUP(A158,Equipamentos_base!A:K,6,"FALSO"))</f>
        <v>0</v>
      </c>
      <c r="G158" s="326">
        <f>IF(A158="","",VLOOKUP(A158,Equipamentos_base!A:K,7,"FALSO"))</f>
        <v>4.7089</v>
      </c>
      <c r="H158" s="326">
        <f>IF(A158="","",VLOOKUP(A158,Equipamentos_base!A:K,8,"FALSO"))</f>
        <v>18.445</v>
      </c>
      <c r="I158" s="326">
        <f>IF(A158="","",VLOOKUP(A158,Equipamentos_base!A:K,9,"FALSO"))</f>
        <v>26.5829</v>
      </c>
      <c r="J158" s="327">
        <v>56.8627</v>
      </c>
      <c r="K158" s="327">
        <v>33.7088</v>
      </c>
      <c r="L158" s="316">
        <f>IF(J158="","",VLOOKUP(A158,Equipamentos_base!A:K,10,"FALSO"))</f>
        <v>56.8627</v>
      </c>
      <c r="M158" s="316">
        <f>IF(J158="","",VLOOKUP(A158,Equipamentos_base!A:K,11,"FALSO"))</f>
        <v>33.7088</v>
      </c>
    </row>
    <row r="159" s="316" customFormat="1" hidden="1" spans="1:13">
      <c r="A159" s="324" t="s">
        <v>15912</v>
      </c>
      <c r="B159" s="325" t="str">
        <f>IF(A159="","",VLOOKUP(A159,Equipamentos_base!A:K,2,"FALSO"))</f>
        <v>Caminhão com caçamba térmica com capacidade de 6 m³ - 136 kW</v>
      </c>
      <c r="C159" s="326">
        <f>IF(A159="","",VLOOKUP(A159,Equipamentos_base!A:K,3,"FALSO"))</f>
        <v>0</v>
      </c>
      <c r="D159" s="326">
        <f>IF(A159="","",VLOOKUP(A159,Equipamentos_base!A:K,4,"FALSO"))</f>
        <v>0</v>
      </c>
      <c r="E159" s="326">
        <f>IF(A159="","",VLOOKUP(A159,Equipamentos_base!A:K,5,"FALSO"))</f>
        <v>0</v>
      </c>
      <c r="F159" s="326">
        <f>IF(A159="","",VLOOKUP(A159,Equipamentos_base!A:K,6,"FALSO"))</f>
        <v>0</v>
      </c>
      <c r="G159" s="326">
        <f>IF(A159="","",VLOOKUP(A159,Equipamentos_base!A:K,7,"FALSO"))</f>
        <v>0</v>
      </c>
      <c r="H159" s="326">
        <f>IF(A159="","",VLOOKUP(A159,Equipamentos_base!A:K,8,"FALSO"))</f>
        <v>0</v>
      </c>
      <c r="I159" s="326">
        <f>IF(A159="","",VLOOKUP(A159,Equipamentos_base!A:K,9,"FALSO"))</f>
        <v>0</v>
      </c>
      <c r="J159" s="327" t="s">
        <v>932</v>
      </c>
      <c r="K159" s="327" t="s">
        <v>932</v>
      </c>
      <c r="L159" s="316" t="str">
        <f>IF(J159="","",VLOOKUP(A159,Equipamentos_base!A:K,10,"FALSO"))</f>
        <v/>
      </c>
      <c r="M159" s="316" t="str">
        <f>IF(J159="","",VLOOKUP(A159,Equipamentos_base!A:K,11,"FALSO"))</f>
        <v/>
      </c>
    </row>
    <row r="160" s="316" customFormat="1" spans="1:13">
      <c r="A160" s="324" t="s">
        <v>15913</v>
      </c>
      <c r="B160" s="325" t="str">
        <f>IF(A160="","",VLOOKUP(A160,Equipamentos_base!A:K,2,"FALSO"))</f>
        <v>Grupo gerador - 3,2 kVA</v>
      </c>
      <c r="C160" s="326">
        <f>IF(A160="","",VLOOKUP(A160,Equipamentos_base!A:K,3,"FALSO"))</f>
        <v>3465.1387</v>
      </c>
      <c r="D160" s="326">
        <f>IF(A160="","",VLOOKUP(A160,Equipamentos_base!A:K,4,"FALSO"))</f>
        <v>0.3032</v>
      </c>
      <c r="E160" s="326">
        <f>IF(A160="","",VLOOKUP(A160,Equipamentos_base!A:K,5,"FALSO"))</f>
        <v>0.0668</v>
      </c>
      <c r="F160" s="326">
        <f>IF(A160="","",VLOOKUP(A160,Equipamentos_base!A:K,6,"FALSO"))</f>
        <v>0</v>
      </c>
      <c r="G160" s="326">
        <f>IF(A160="","",VLOOKUP(A160,Equipamentos_base!A:K,7,"FALSO"))</f>
        <v>0.2166</v>
      </c>
      <c r="H160" s="326">
        <f>IF(A160="","",VLOOKUP(A160,Equipamentos_base!A:K,8,"FALSO"))</f>
        <v>4.3846</v>
      </c>
      <c r="I160" s="326">
        <f>IF(A160="","",VLOOKUP(A160,Equipamentos_base!A:K,9,"FALSO"))</f>
        <v>0</v>
      </c>
      <c r="J160" s="327">
        <v>4.9712</v>
      </c>
      <c r="K160" s="327">
        <v>0.37</v>
      </c>
      <c r="L160" s="316">
        <f>IF(J160="","",VLOOKUP(A160,Equipamentos_base!A:K,10,"FALSO"))</f>
        <v>4.9712</v>
      </c>
      <c r="M160" s="316">
        <f>IF(J160="","",VLOOKUP(A160,Equipamentos_base!A:K,11,"FALSO"))</f>
        <v>0.37</v>
      </c>
    </row>
    <row r="161" s="316" customFormat="1" hidden="1" spans="1:13">
      <c r="A161" s="324" t="s">
        <v>15914</v>
      </c>
      <c r="B161" s="325" t="str">
        <f>IF(A161="","",VLOOKUP(A161,Equipamentos_base!A:K,2,"FALSO"))</f>
        <v>Caldeira de asfalto rebocável com capacidade de 1.500 l - 6,5 kW</v>
      </c>
      <c r="C161" s="326">
        <f>IF(A161="","",VLOOKUP(A161,Equipamentos_base!A:K,3,"FALSO"))</f>
        <v>201502.3981</v>
      </c>
      <c r="D161" s="326">
        <f>IF(A161="","",VLOOKUP(A161,Equipamentos_base!A:K,4,"FALSO"))</f>
        <v>30.2254</v>
      </c>
      <c r="E161" s="326">
        <f>IF(A161="","",VLOOKUP(A161,Equipamentos_base!A:K,5,"FALSO"))</f>
        <v>4.1442</v>
      </c>
      <c r="F161" s="326">
        <f>IF(A161="","",VLOOKUP(A161,Equipamentos_base!A:K,6,"FALSO"))</f>
        <v>0</v>
      </c>
      <c r="G161" s="326">
        <f>IF(A161="","",VLOOKUP(A161,Equipamentos_base!A:K,7,"FALSO"))</f>
        <v>10.0751</v>
      </c>
      <c r="H161" s="326">
        <f>IF(A161="","",VLOOKUP(A161,Equipamentos_base!A:K,8,"FALSO"))</f>
        <v>5.0414</v>
      </c>
      <c r="I161" s="326">
        <f>IF(A161="","",VLOOKUP(A161,Equipamentos_base!A:K,9,"FALSO"))</f>
        <v>0</v>
      </c>
      <c r="J161" s="327" t="s">
        <v>932</v>
      </c>
      <c r="K161" s="327" t="s">
        <v>932</v>
      </c>
      <c r="L161" s="316" t="str">
        <f>IF(J161="","",VLOOKUP(A161,Equipamentos_base!A:K,10,"FALSO"))</f>
        <v/>
      </c>
      <c r="M161" s="316" t="str">
        <f>IF(J161="","",VLOOKUP(A161,Equipamentos_base!A:K,11,"FALSO"))</f>
        <v/>
      </c>
    </row>
    <row r="162" s="316" customFormat="1" hidden="1" spans="1:13">
      <c r="A162" s="324" t="s">
        <v>15915</v>
      </c>
      <c r="B162" s="325" t="str">
        <f>IF(A162="","",VLOOKUP(A162,Equipamentos_base!A:K,2,"FALSO"))</f>
        <v>Motoscraper - 304 kW</v>
      </c>
      <c r="C162" s="326">
        <f>IF(A162="","",VLOOKUP(A162,Equipamentos_base!A:K,3,"FALSO"))</f>
        <v>5981175.969</v>
      </c>
      <c r="D162" s="326">
        <f>IF(A162="","",VLOOKUP(A162,Equipamentos_base!A:K,4,"FALSO"))</f>
        <v>318.9961</v>
      </c>
      <c r="E162" s="326">
        <f>IF(A162="","",VLOOKUP(A162,Equipamentos_base!A:K,5,"FALSO"))</f>
        <v>104.5609</v>
      </c>
      <c r="F162" s="326">
        <f>IF(A162="","",VLOOKUP(A162,Equipamentos_base!A:K,6,"FALSO"))</f>
        <v>0</v>
      </c>
      <c r="G162" s="326">
        <f>IF(A162="","",VLOOKUP(A162,Equipamentos_base!A:K,7,"FALSO"))</f>
        <v>358.8706</v>
      </c>
      <c r="H162" s="326">
        <f>IF(A162="","",VLOOKUP(A162,Equipamentos_base!A:K,8,"FALSO"))</f>
        <v>269.4656</v>
      </c>
      <c r="I162" s="326">
        <f>IF(A162="","",VLOOKUP(A162,Equipamentos_base!A:K,9,"FALSO"))</f>
        <v>33.7544</v>
      </c>
      <c r="J162" s="327" t="s">
        <v>932</v>
      </c>
      <c r="K162" s="327" t="s">
        <v>932</v>
      </c>
      <c r="L162" s="316" t="str">
        <f>IF(J162="","",VLOOKUP(A162,Equipamentos_base!A:K,10,"FALSO"))</f>
        <v/>
      </c>
      <c r="M162" s="316" t="str">
        <f>IF(J162="","",VLOOKUP(A162,Equipamentos_base!A:K,11,"FALSO"))</f>
        <v/>
      </c>
    </row>
    <row r="163" s="316" customFormat="1" spans="1:13">
      <c r="A163" s="324" t="s">
        <v>15916</v>
      </c>
      <c r="B163" s="325" t="str">
        <f>IF(A163="","",VLOOKUP(A163,Equipamentos_base!A:K,2,"FALSO"))</f>
        <v>Motoniveladora - 93 kW</v>
      </c>
      <c r="C163" s="326">
        <f>IF(A163="","",VLOOKUP(A163,Equipamentos_base!A:K,3,"FALSO"))</f>
        <v>1284141.2071</v>
      </c>
      <c r="D163" s="326">
        <f>IF(A163="","",VLOOKUP(A163,Equipamentos_base!A:K,4,"FALSO"))</f>
        <v>89.8899</v>
      </c>
      <c r="E163" s="326">
        <f>IF(A163="","",VLOOKUP(A163,Equipamentos_base!A:K,5,"FALSO"))</f>
        <v>23.7695</v>
      </c>
      <c r="F163" s="326">
        <f>IF(A163="","",VLOOKUP(A163,Equipamentos_base!A:K,6,"FALSO"))</f>
        <v>0</v>
      </c>
      <c r="G163" s="326">
        <f>IF(A163="","",VLOOKUP(A163,Equipamentos_base!A:K,7,"FALSO"))</f>
        <v>115.5727</v>
      </c>
      <c r="H163" s="326">
        <f>IF(A163="","",VLOOKUP(A163,Equipamentos_base!A:K,8,"FALSO"))</f>
        <v>77.283</v>
      </c>
      <c r="I163" s="326">
        <f>IF(A163="","",VLOOKUP(A163,Equipamentos_base!A:K,9,"FALSO"))</f>
        <v>33.7544</v>
      </c>
      <c r="J163" s="327">
        <v>340.2695</v>
      </c>
      <c r="K163" s="327">
        <v>147.4138</v>
      </c>
      <c r="L163" s="316">
        <f>IF(J163="","",VLOOKUP(A163,Equipamentos_base!A:K,10,"FALSO"))</f>
        <v>340.2695</v>
      </c>
      <c r="M163" s="316">
        <f>IF(J163="","",VLOOKUP(A163,Equipamentos_base!A:K,11,"FALSO"))</f>
        <v>147.4138</v>
      </c>
    </row>
    <row r="164" s="316" customFormat="1" hidden="1" spans="1:13">
      <c r="A164" s="324" t="s">
        <v>15917</v>
      </c>
      <c r="B164" s="325" t="str">
        <f>IF(A164="","",VLOOKUP(A164,Equipamentos_base!A:K,2,"FALSO"))</f>
        <v>Ponte rolante com capacidade de 15 t e vão de até 15 m - 20 kW</v>
      </c>
      <c r="C164" s="326">
        <f>IF(A164="","",VLOOKUP(A164,Equipamentos_base!A:K,3,"FALSO"))</f>
        <v>3677045.6189</v>
      </c>
      <c r="D164" s="326">
        <f>IF(A164="","",VLOOKUP(A164,Equipamentos_base!A:K,4,"FALSO"))</f>
        <v>163.4242</v>
      </c>
      <c r="E164" s="326">
        <f>IF(A164="","",VLOOKUP(A164,Equipamentos_base!A:K,5,"FALSO"))</f>
        <v>63.0205</v>
      </c>
      <c r="F164" s="326">
        <f>IF(A164="","",VLOOKUP(A164,Equipamentos_base!A:K,6,"FALSO"))</f>
        <v>0</v>
      </c>
      <c r="G164" s="326">
        <f>IF(A164="","",VLOOKUP(A164,Equipamentos_base!A:K,7,"FALSO"))</f>
        <v>102.1402</v>
      </c>
      <c r="H164" s="326">
        <f>IF(A164="","",VLOOKUP(A164,Equipamentos_base!A:K,8,"FALSO"))</f>
        <v>0</v>
      </c>
      <c r="I164" s="326">
        <f>IF(A164="","",VLOOKUP(A164,Equipamentos_base!A:K,9,"FALSO"))</f>
        <v>53.1658</v>
      </c>
      <c r="J164" s="327" t="s">
        <v>932</v>
      </c>
      <c r="K164" s="327" t="s">
        <v>932</v>
      </c>
      <c r="L164" s="316" t="str">
        <f>IF(J164="","",VLOOKUP(A164,Equipamentos_base!A:K,10,"FALSO"))</f>
        <v/>
      </c>
      <c r="M164" s="316" t="str">
        <f>IF(J164="","",VLOOKUP(A164,Equipamentos_base!A:K,11,"FALSO"))</f>
        <v/>
      </c>
    </row>
    <row r="165" s="316" customFormat="1" ht="30" hidden="1" spans="1:13">
      <c r="A165" s="324" t="s">
        <v>15918</v>
      </c>
      <c r="B165" s="325" t="str">
        <f>IF(A165="","",VLOOKUP(A165,Equipamentos_base!A:K,2,"FALSO"))</f>
        <v>Retroescavadeira de pneus - capacidade da caçamba da pá-carregadeira de 0,76 m³ e da retroescavadeira de 0,29 m³ - 58 kW </v>
      </c>
      <c r="C165" s="326">
        <f>IF(A165="","",VLOOKUP(A165,Equipamentos_base!A:K,3,"FALSO"))</f>
        <v>475879.5429</v>
      </c>
      <c r="D165" s="326">
        <f>IF(A165="","",VLOOKUP(A165,Equipamentos_base!A:K,4,"FALSO"))</f>
        <v>35.0648</v>
      </c>
      <c r="E165" s="326">
        <f>IF(A165="","",VLOOKUP(A165,Equipamentos_base!A:K,5,"FALSO"))</f>
        <v>8.8858</v>
      </c>
      <c r="F165" s="326">
        <f>IF(A165="","",VLOOKUP(A165,Equipamentos_base!A:K,6,"FALSO"))</f>
        <v>0</v>
      </c>
      <c r="G165" s="326">
        <f>IF(A165="","",VLOOKUP(A165,Equipamentos_base!A:K,7,"FALSO"))</f>
        <v>35.0648</v>
      </c>
      <c r="H165" s="326">
        <f>IF(A165="","",VLOOKUP(A165,Equipamentos_base!A:K,8,"FALSO"))</f>
        <v>41.7716</v>
      </c>
      <c r="I165" s="326">
        <f>IF(A165="","",VLOOKUP(A165,Equipamentos_base!A:K,9,"FALSO"))</f>
        <v>33.7544</v>
      </c>
      <c r="J165" s="327" t="s">
        <v>932</v>
      </c>
      <c r="K165" s="327" t="s">
        <v>932</v>
      </c>
      <c r="L165" s="316" t="str">
        <f>IF(J165="","",VLOOKUP(A165,Equipamentos_base!A:K,10,"FALSO"))</f>
        <v/>
      </c>
      <c r="M165" s="316" t="str">
        <f>IF(J165="","",VLOOKUP(A165,Equipamentos_base!A:K,11,"FALSO"))</f>
        <v/>
      </c>
    </row>
    <row r="166" s="316" customFormat="1" ht="30" spans="1:13">
      <c r="A166" s="324" t="s">
        <v>15919</v>
      </c>
      <c r="B166" s="325" t="str">
        <f>IF(A166="","",VLOOKUP(A166,Equipamentos_base!A:K,2,"FALSO"))</f>
        <v>Martelete perfurador/rompedor a ar comprimido de 25 kg para rocha com capacidade de 2.040 gpm</v>
      </c>
      <c r="C166" s="326">
        <f>IF(A166="","",VLOOKUP(A166,Equipamentos_base!A:K,3,"FALSO"))</f>
        <v>19333.3313</v>
      </c>
      <c r="D166" s="326">
        <f>IF(A166="","",VLOOKUP(A166,Equipamentos_base!A:K,4,"FALSO"))</f>
        <v>2.5778</v>
      </c>
      <c r="E166" s="326">
        <f>IF(A166="","",VLOOKUP(A166,Equipamentos_base!A:K,5,"FALSO"))</f>
        <v>0.3976</v>
      </c>
      <c r="F166" s="326">
        <f>IF(A166="","",VLOOKUP(A166,Equipamentos_base!A:K,6,"FALSO"))</f>
        <v>0</v>
      </c>
      <c r="G166" s="326">
        <f>IF(A166="","",VLOOKUP(A166,Equipamentos_base!A:K,7,"FALSO"))</f>
        <v>2.5778</v>
      </c>
      <c r="H166" s="326">
        <f>IF(A166="","",VLOOKUP(A166,Equipamentos_base!A:K,8,"FALSO"))</f>
        <v>0</v>
      </c>
      <c r="I166" s="326">
        <f>IF(A166="","",VLOOKUP(A166,Equipamentos_base!A:K,9,"FALSO"))</f>
        <v>26.5829</v>
      </c>
      <c r="J166" s="327">
        <v>32.1361</v>
      </c>
      <c r="K166" s="327">
        <v>29.5583</v>
      </c>
      <c r="L166" s="316">
        <f>IF(J166="","",VLOOKUP(A166,Equipamentos_base!A:K,10,"FALSO"))</f>
        <v>32.1361</v>
      </c>
      <c r="M166" s="316">
        <f>IF(J166="","",VLOOKUP(A166,Equipamentos_base!A:K,11,"FALSO"))</f>
        <v>29.5583</v>
      </c>
    </row>
    <row r="167" s="316" customFormat="1" hidden="1" spans="1:13">
      <c r="A167" s="324" t="s">
        <v>15920</v>
      </c>
      <c r="B167" s="325" t="str">
        <f>IF(A167="","",VLOOKUP(A167,Equipamentos_base!A:K,2,"FALSO"))</f>
        <v>Empilhadeira a diesel com capacidade de 4 t - 60 kW</v>
      </c>
      <c r="C167" s="326">
        <f>IF(A167="","",VLOOKUP(A167,Equipamentos_base!A:K,3,"FALSO"))</f>
        <v>527429.4292</v>
      </c>
      <c r="D167" s="326">
        <f>IF(A167="","",VLOOKUP(A167,Equipamentos_base!A:K,4,"FALSO"))</f>
        <v>42.1944</v>
      </c>
      <c r="E167" s="326">
        <f>IF(A167="","",VLOOKUP(A167,Equipamentos_base!A:K,5,"FALSO"))</f>
        <v>9.7627</v>
      </c>
      <c r="F167" s="326">
        <f>IF(A167="","",VLOOKUP(A167,Equipamentos_base!A:K,6,"FALSO"))</f>
        <v>0</v>
      </c>
      <c r="G167" s="326">
        <f>IF(A167="","",VLOOKUP(A167,Equipamentos_base!A:K,7,"FALSO"))</f>
        <v>36.9201</v>
      </c>
      <c r="H167" s="326">
        <f>IF(A167="","",VLOOKUP(A167,Equipamentos_base!A:K,8,"FALSO"))</f>
        <v>49.86</v>
      </c>
      <c r="I167" s="326">
        <f>IF(A167="","",VLOOKUP(A167,Equipamentos_base!A:K,9,"FALSO"))</f>
        <v>26.5829</v>
      </c>
      <c r="J167" s="327" t="s">
        <v>932</v>
      </c>
      <c r="K167" s="327" t="s">
        <v>932</v>
      </c>
      <c r="L167" s="316" t="str">
        <f>IF(J167="","",VLOOKUP(A167,Equipamentos_base!A:K,10,"FALSO"))</f>
        <v/>
      </c>
      <c r="M167" s="316" t="str">
        <f>IF(J167="","",VLOOKUP(A167,Equipamentos_base!A:K,11,"FALSO"))</f>
        <v/>
      </c>
    </row>
    <row r="168" s="316" customFormat="1" hidden="1" spans="1:13">
      <c r="A168" s="324" t="s">
        <v>15921</v>
      </c>
      <c r="B168" s="325" t="str">
        <f>IF(A168="","",VLOOKUP(A168,Equipamentos_base!A:K,2,"FALSO"))</f>
        <v>Jateador para chapas e perfis metálicos com transportador a roletes - 132 kW</v>
      </c>
      <c r="C168" s="326">
        <f>IF(A168="","",VLOOKUP(A168,Equipamentos_base!A:K,3,"FALSO"))</f>
        <v>5399923.2069</v>
      </c>
      <c r="D168" s="326">
        <f>IF(A168="","",VLOOKUP(A168,Equipamentos_base!A:K,4,"FALSO"))</f>
        <v>431.9939</v>
      </c>
      <c r="E168" s="326">
        <f>IF(A168="","",VLOOKUP(A168,Equipamentos_base!A:K,5,"FALSO"))</f>
        <v>99.9526</v>
      </c>
      <c r="F168" s="326">
        <f>IF(A168="","",VLOOKUP(A168,Equipamentos_base!A:K,6,"FALSO"))</f>
        <v>0</v>
      </c>
      <c r="G168" s="326">
        <f>IF(A168="","",VLOOKUP(A168,Equipamentos_base!A:K,7,"FALSO"))</f>
        <v>323.9954</v>
      </c>
      <c r="H168" s="326">
        <f>IF(A168="","",VLOOKUP(A168,Equipamentos_base!A:K,8,"FALSO"))</f>
        <v>0</v>
      </c>
      <c r="I168" s="326">
        <f>IF(A168="","",VLOOKUP(A168,Equipamentos_base!A:K,9,"FALSO"))</f>
        <v>45.2393</v>
      </c>
      <c r="J168" s="327" t="s">
        <v>932</v>
      </c>
      <c r="K168" s="327" t="s">
        <v>932</v>
      </c>
      <c r="L168" s="316" t="str">
        <f>IF(J168="","",VLOOKUP(A168,Equipamentos_base!A:K,10,"FALSO"))</f>
        <v/>
      </c>
      <c r="M168" s="316" t="str">
        <f>IF(J168="","",VLOOKUP(A168,Equipamentos_base!A:K,11,"FALSO"))</f>
        <v/>
      </c>
    </row>
    <row r="169" s="316" customFormat="1" hidden="1" spans="1:13">
      <c r="A169" s="324" t="s">
        <v>15922</v>
      </c>
      <c r="B169" s="325" t="str">
        <f>IF(A169="","",VLOOKUP(A169,Equipamentos_base!A:K,2,"FALSO"))</f>
        <v>Rolo compactador liso vibratório autopropelido por pneus de 11 t - 97 kW</v>
      </c>
      <c r="C169" s="326">
        <f>IF(A169="","",VLOOKUP(A169,Equipamentos_base!A:K,3,"FALSO"))</f>
        <v>810009.3207</v>
      </c>
      <c r="D169" s="326">
        <f>IF(A169="","",VLOOKUP(A169,Equipamentos_base!A:K,4,"FALSO"))</f>
        <v>64.8007</v>
      </c>
      <c r="E169" s="326">
        <f>IF(A169="","",VLOOKUP(A169,Equipamentos_base!A:K,5,"FALSO"))</f>
        <v>14.9933</v>
      </c>
      <c r="F169" s="326">
        <f>IF(A169="","",VLOOKUP(A169,Equipamentos_base!A:K,6,"FALSO"))</f>
        <v>0</v>
      </c>
      <c r="G169" s="326">
        <f>IF(A169="","",VLOOKUP(A169,Equipamentos_base!A:K,7,"FALSO"))</f>
        <v>64.8007</v>
      </c>
      <c r="H169" s="326">
        <f>IF(A169="","",VLOOKUP(A169,Equipamentos_base!A:K,8,"FALSO"))</f>
        <v>85.9808</v>
      </c>
      <c r="I169" s="326">
        <f>IF(A169="","",VLOOKUP(A169,Equipamentos_base!A:K,9,"FALSO"))</f>
        <v>33.7544</v>
      </c>
      <c r="J169" s="327" t="s">
        <v>932</v>
      </c>
      <c r="K169" s="327" t="s">
        <v>932</v>
      </c>
      <c r="L169" s="316" t="str">
        <f>IF(J169="","",VLOOKUP(A169,Equipamentos_base!A:K,10,"FALSO"))</f>
        <v/>
      </c>
      <c r="M169" s="316" t="str">
        <f>IF(J169="","",VLOOKUP(A169,Equipamentos_base!A:K,11,"FALSO"))</f>
        <v/>
      </c>
    </row>
    <row r="170" s="316" customFormat="1" hidden="1" spans="1:13">
      <c r="A170" s="324" t="s">
        <v>15923</v>
      </c>
      <c r="B170" s="325" t="str">
        <f>IF(A170="","",VLOOKUP(A170,Equipamentos_base!A:K,2,"FALSO"))</f>
        <v>Equipamento de solda MIG/MAG semiautomática com acessórios - 28,36 kVA</v>
      </c>
      <c r="C170" s="326">
        <f>IF(A170="","",VLOOKUP(A170,Equipamentos_base!A:K,3,"FALSO"))</f>
        <v>70710.2509</v>
      </c>
      <c r="D170" s="326">
        <f>IF(A170="","",VLOOKUP(A170,Equipamentos_base!A:K,4,"FALSO"))</f>
        <v>9.428</v>
      </c>
      <c r="E170" s="326">
        <f>IF(A170="","",VLOOKUP(A170,Equipamentos_base!A:K,5,"FALSO"))</f>
        <v>1.4543</v>
      </c>
      <c r="F170" s="326">
        <f>IF(A170="","",VLOOKUP(A170,Equipamentos_base!A:K,6,"FALSO"))</f>
        <v>0</v>
      </c>
      <c r="G170" s="326">
        <f>IF(A170="","",VLOOKUP(A170,Equipamentos_base!A:K,7,"FALSO"))</f>
        <v>9.428</v>
      </c>
      <c r="H170" s="326">
        <f>IF(A170="","",VLOOKUP(A170,Equipamentos_base!A:K,8,"FALSO"))</f>
        <v>0</v>
      </c>
      <c r="I170" s="326">
        <f>IF(A170="","",VLOOKUP(A170,Equipamentos_base!A:K,9,"FALSO"))</f>
        <v>0</v>
      </c>
      <c r="J170" s="327" t="s">
        <v>932</v>
      </c>
      <c r="K170" s="327" t="s">
        <v>932</v>
      </c>
      <c r="L170" s="316" t="str">
        <f>IF(J170="","",VLOOKUP(A170,Equipamentos_base!A:K,10,"FALSO"))</f>
        <v/>
      </c>
      <c r="M170" s="316" t="str">
        <f>IF(J170="","",VLOOKUP(A170,Equipamentos_base!A:K,11,"FALSO"))</f>
        <v/>
      </c>
    </row>
    <row r="171" s="316" customFormat="1" spans="1:13">
      <c r="A171" s="324" t="s">
        <v>1076</v>
      </c>
      <c r="B171" s="325" t="str">
        <f>IF(A171="","",VLOOKUP(A171,Equipamentos_base!A:K,2,"FALSO"))</f>
        <v>Serra circular com bancada - D = 30 cm - 4 kW</v>
      </c>
      <c r="C171" s="326">
        <f>IF(A171="","",VLOOKUP(A171,Equipamentos_base!A:K,3,"FALSO"))</f>
        <v>7611.2199</v>
      </c>
      <c r="D171" s="326">
        <f>IF(A171="","",VLOOKUP(A171,Equipamentos_base!A:K,4,"FALSO"))</f>
        <v>0.685</v>
      </c>
      <c r="E171" s="326">
        <f>IF(A171="","",VLOOKUP(A171,Equipamentos_base!A:K,5,"FALSO"))</f>
        <v>0.1409</v>
      </c>
      <c r="F171" s="326">
        <f>IF(A171="","",VLOOKUP(A171,Equipamentos_base!A:K,6,"FALSO"))</f>
        <v>0</v>
      </c>
      <c r="G171" s="326">
        <f>IF(A171="","",VLOOKUP(A171,Equipamentos_base!A:K,7,"FALSO"))</f>
        <v>0.3806</v>
      </c>
      <c r="H171" s="326">
        <f>IF(A171="","",VLOOKUP(A171,Equipamentos_base!A:K,8,"FALSO"))</f>
        <v>0</v>
      </c>
      <c r="I171" s="326">
        <f>IF(A171="","",VLOOKUP(A171,Equipamentos_base!A:K,9,"FALSO"))</f>
        <v>26.5829</v>
      </c>
      <c r="J171" s="327">
        <v>27.7894</v>
      </c>
      <c r="K171" s="327">
        <v>27.4088</v>
      </c>
      <c r="L171" s="316">
        <f>IF(J171="","",VLOOKUP(A171,Equipamentos_base!A:K,10,"FALSO"))</f>
        <v>27.7894</v>
      </c>
      <c r="M171" s="316">
        <f>IF(J171="","",VLOOKUP(A171,Equipamentos_base!A:K,11,"FALSO"))</f>
        <v>27.4088</v>
      </c>
    </row>
    <row r="172" s="316" customFormat="1" hidden="1" spans="1:13">
      <c r="A172" s="324" t="s">
        <v>15924</v>
      </c>
      <c r="B172" s="325" t="str">
        <f>IF(A172="","",VLOOKUP(A172,Equipamentos_base!A:K,2,"FALSO"))</f>
        <v>Embarcação de transporte de pessoal e apoio logístico - 30 kW</v>
      </c>
      <c r="C172" s="326">
        <f>IF(A172="","",VLOOKUP(A172,Equipamentos_base!A:K,3,"FALSO"))</f>
        <v>159127.2045</v>
      </c>
      <c r="D172" s="326">
        <f>IF(A172="","",VLOOKUP(A172,Equipamentos_base!A:K,4,"FALSO"))</f>
        <v>1.8215</v>
      </c>
      <c r="E172" s="326">
        <f>IF(A172="","",VLOOKUP(A172,Equipamentos_base!A:K,5,"FALSO"))</f>
        <v>0.9147</v>
      </c>
      <c r="F172" s="326">
        <f>IF(A172="","",VLOOKUP(A172,Equipamentos_base!A:K,6,"FALSO"))</f>
        <v>0</v>
      </c>
      <c r="G172" s="326">
        <f>IF(A172="","",VLOOKUP(A172,Equipamentos_base!A:K,7,"FALSO"))</f>
        <v>2.0239</v>
      </c>
      <c r="H172" s="326">
        <f>IF(A172="","",VLOOKUP(A172,Equipamentos_base!A:K,8,"FALSO"))</f>
        <v>63.24</v>
      </c>
      <c r="I172" s="326">
        <f>IF(A172="","",VLOOKUP(A172,Equipamentos_base!A:K,9,"FALSO"))</f>
        <v>41.7512</v>
      </c>
      <c r="J172" s="327" t="s">
        <v>932</v>
      </c>
      <c r="K172" s="327" t="s">
        <v>932</v>
      </c>
      <c r="L172" s="316" t="str">
        <f>IF(J172="","",VLOOKUP(A172,Equipamentos_base!A:K,10,"FALSO"))</f>
        <v/>
      </c>
      <c r="M172" s="316" t="str">
        <f>IF(J172="","",VLOOKUP(A172,Equipamentos_base!A:K,11,"FALSO"))</f>
        <v/>
      </c>
    </row>
    <row r="173" s="316" customFormat="1" ht="30" hidden="1" spans="1:13">
      <c r="A173" s="324" t="s">
        <v>15925</v>
      </c>
      <c r="B173" s="325" t="str">
        <f>IF(A173="","",VLOOKUP(A173,Equipamentos_base!A:K,2,"FALSO"))</f>
        <v>Conjunto vibratório para meio tubo de concreto com encaixe PB e 3 jogos de fôrmas - D = 0,30 m - 2,20 kW</v>
      </c>
      <c r="C173" s="326">
        <f>IF(A173="","",VLOOKUP(A173,Equipamentos_base!A:K,3,"FALSO"))</f>
        <v>16345.9564</v>
      </c>
      <c r="D173" s="326">
        <f>IF(A173="","",VLOOKUP(A173,Equipamentos_base!A:K,4,"FALSO"))</f>
        <v>2.1795</v>
      </c>
      <c r="E173" s="326">
        <f>IF(A173="","",VLOOKUP(A173,Equipamentos_base!A:K,5,"FALSO"))</f>
        <v>0.3362</v>
      </c>
      <c r="F173" s="326">
        <f>IF(A173="","",VLOOKUP(A173,Equipamentos_base!A:K,6,"FALSO"))</f>
        <v>0</v>
      </c>
      <c r="G173" s="326">
        <f>IF(A173="","",VLOOKUP(A173,Equipamentos_base!A:K,7,"FALSO"))</f>
        <v>1.6346</v>
      </c>
      <c r="H173" s="326">
        <f>IF(A173="","",VLOOKUP(A173,Equipamentos_base!A:K,8,"FALSO"))</f>
        <v>0</v>
      </c>
      <c r="I173" s="326">
        <f>IF(A173="","",VLOOKUP(A173,Equipamentos_base!A:K,9,"FALSO"))</f>
        <v>0</v>
      </c>
      <c r="J173" s="327" t="s">
        <v>932</v>
      </c>
      <c r="K173" s="327" t="s">
        <v>932</v>
      </c>
      <c r="L173" s="316" t="str">
        <f>IF(J173="","",VLOOKUP(A173,Equipamentos_base!A:K,10,"FALSO"))</f>
        <v/>
      </c>
      <c r="M173" s="316" t="str">
        <f>IF(J173="","",VLOOKUP(A173,Equipamentos_base!A:K,11,"FALSO"))</f>
        <v/>
      </c>
    </row>
    <row r="174" s="316" customFormat="1" hidden="1" spans="1:13">
      <c r="A174" s="324" t="s">
        <v>15926</v>
      </c>
      <c r="B174" s="325" t="str">
        <f>IF(A174="","",VLOOKUP(A174,Equipamentos_base!A:K,2,"FALSO"))</f>
        <v>Equipamento de batimetria monofeixe</v>
      </c>
      <c r="C174" s="326">
        <f>IF(A174="","",VLOOKUP(A174,Equipamentos_base!A:K,3,"FALSO"))</f>
        <v>107582.6691</v>
      </c>
      <c r="D174" s="326">
        <f>IF(A174="","",VLOOKUP(A174,Equipamentos_base!A:K,4,"FALSO"))</f>
        <v>4.9249</v>
      </c>
      <c r="E174" s="326">
        <f>IF(A174="","",VLOOKUP(A174,Equipamentos_base!A:K,5,"FALSO"))</f>
        <v>1.8283</v>
      </c>
      <c r="F174" s="326">
        <f>IF(A174="","",VLOOKUP(A174,Equipamentos_base!A:K,6,"FALSO"))</f>
        <v>0</v>
      </c>
      <c r="G174" s="326">
        <f>IF(A174="","",VLOOKUP(A174,Equipamentos_base!A:K,7,"FALSO"))</f>
        <v>2.7361</v>
      </c>
      <c r="H174" s="326">
        <f>IF(A174="","",VLOOKUP(A174,Equipamentos_base!A:K,8,"FALSO"))</f>
        <v>0</v>
      </c>
      <c r="I174" s="326">
        <f>IF(A174="","",VLOOKUP(A174,Equipamentos_base!A:K,9,"FALSO"))</f>
        <v>36.1761</v>
      </c>
      <c r="J174" s="327" t="s">
        <v>932</v>
      </c>
      <c r="K174" s="327" t="s">
        <v>932</v>
      </c>
      <c r="L174" s="316" t="str">
        <f>IF(J174="","",VLOOKUP(A174,Equipamentos_base!A:K,10,"FALSO"))</f>
        <v/>
      </c>
      <c r="M174" s="316" t="str">
        <f>IF(J174="","",VLOOKUP(A174,Equipamentos_base!A:K,11,"FALSO"))</f>
        <v/>
      </c>
    </row>
    <row r="175" s="316" customFormat="1" spans="1:13">
      <c r="A175" s="324" t="s">
        <v>15927</v>
      </c>
      <c r="B175" s="325" t="str">
        <f>IF(A175="","",VLOOKUP(A175,Equipamentos_base!A:K,2,"FALSO"))</f>
        <v>Trator sobre esteiras com lâmina - 127 kW</v>
      </c>
      <c r="C175" s="326">
        <f>IF(A175="","",VLOOKUP(A175,Equipamentos_base!A:K,3,"FALSO"))</f>
        <v>1710473.9649</v>
      </c>
      <c r="D175" s="326">
        <f>IF(A175="","",VLOOKUP(A175,Equipamentos_base!A:K,4,"FALSO"))</f>
        <v>119.7332</v>
      </c>
      <c r="E175" s="326">
        <f>IF(A175="","",VLOOKUP(A175,Equipamentos_base!A:K,5,"FALSO"))</f>
        <v>31.6609</v>
      </c>
      <c r="F175" s="326">
        <f>IF(A175="","",VLOOKUP(A175,Equipamentos_base!A:K,6,"FALSO"))</f>
        <v>0</v>
      </c>
      <c r="G175" s="326">
        <f>IF(A175="","",VLOOKUP(A175,Equipamentos_base!A:K,7,"FALSO"))</f>
        <v>171.0474</v>
      </c>
      <c r="H175" s="326">
        <f>IF(A175="","",VLOOKUP(A175,Equipamentos_base!A:K,8,"FALSO"))</f>
        <v>98.5012</v>
      </c>
      <c r="I175" s="326">
        <f>IF(A175="","",VLOOKUP(A175,Equipamentos_base!A:K,9,"FALSO"))</f>
        <v>33.7544</v>
      </c>
      <c r="J175" s="327">
        <v>454.6971</v>
      </c>
      <c r="K175" s="327">
        <v>185.1485</v>
      </c>
      <c r="L175" s="316">
        <f>IF(J175="","",VLOOKUP(A175,Equipamentos_base!A:K,10,"FALSO"))</f>
        <v>454.6971</v>
      </c>
      <c r="M175" s="316">
        <f>IF(J175="","",VLOOKUP(A175,Equipamentos_base!A:K,11,"FALSO"))</f>
        <v>185.1485</v>
      </c>
    </row>
    <row r="176" s="316" customFormat="1" spans="1:13">
      <c r="A176" s="324" t="s">
        <v>15928</v>
      </c>
      <c r="B176" s="325" t="str">
        <f>IF(A176="","",VLOOKUP(A176,Equipamentos_base!A:K,2,"FALSO"))</f>
        <v>Trator sobre esteiras com lâmina - 259 kW</v>
      </c>
      <c r="C176" s="326">
        <f>IF(A176="","",VLOOKUP(A176,Equipamentos_base!A:K,3,"FALSO"))</f>
        <v>4833853.0759</v>
      </c>
      <c r="D176" s="326">
        <f>IF(A176="","",VLOOKUP(A176,Equipamentos_base!A:K,4,"FALSO"))</f>
        <v>294.2345</v>
      </c>
      <c r="E176" s="326">
        <f>IF(A176="","",VLOOKUP(A176,Equipamentos_base!A:K,5,"FALSO"))</f>
        <v>87.5295</v>
      </c>
      <c r="F176" s="326">
        <f>IF(A176="","",VLOOKUP(A176,Equipamentos_base!A:K,6,"FALSO"))</f>
        <v>0</v>
      </c>
      <c r="G176" s="326">
        <f>IF(A176="","",VLOOKUP(A176,Equipamentos_base!A:K,7,"FALSO"))</f>
        <v>420.3351</v>
      </c>
      <c r="H176" s="326">
        <f>IF(A176="","",VLOOKUP(A176,Equipamentos_base!A:K,8,"FALSO"))</f>
        <v>200.8804</v>
      </c>
      <c r="I176" s="326">
        <f>IF(A176="","",VLOOKUP(A176,Equipamentos_base!A:K,9,"FALSO"))</f>
        <v>33.7544</v>
      </c>
      <c r="J176" s="327">
        <v>1036.7339</v>
      </c>
      <c r="K176" s="327">
        <v>415.5184</v>
      </c>
      <c r="L176" s="316">
        <f>IF(J176="","",VLOOKUP(A176,Equipamentos_base!A:K,10,"FALSO"))</f>
        <v>1036.7339</v>
      </c>
      <c r="M176" s="316">
        <f>IF(J176="","",VLOOKUP(A176,Equipamentos_base!A:K,11,"FALSO"))</f>
        <v>415.5184</v>
      </c>
    </row>
    <row r="177" s="316" customFormat="1" hidden="1" spans="1:13">
      <c r="A177" s="324" t="s">
        <v>15929</v>
      </c>
      <c r="B177" s="325" t="str">
        <f>IF(A177="","",VLOOKUP(A177,Equipamentos_base!A:K,2,"FALSO"))</f>
        <v>Vassoura mecânica rebocável com largura de 2,44 m</v>
      </c>
      <c r="C177" s="326">
        <f>IF(A177="","",VLOOKUP(A177,Equipamentos_base!A:K,3,"FALSO"))</f>
        <v>76315.9157</v>
      </c>
      <c r="D177" s="326">
        <f>IF(A177="","",VLOOKUP(A177,Equipamentos_base!A:K,4,"FALSO"))</f>
        <v>8.5855</v>
      </c>
      <c r="E177" s="326">
        <f>IF(A177="","",VLOOKUP(A177,Equipamentos_base!A:K,5,"FALSO"))</f>
        <v>1.4715</v>
      </c>
      <c r="F177" s="326">
        <f>IF(A177="","",VLOOKUP(A177,Equipamentos_base!A:K,6,"FALSO"))</f>
        <v>0</v>
      </c>
      <c r="G177" s="326">
        <f>IF(A177="","",VLOOKUP(A177,Equipamentos_base!A:K,7,"FALSO"))</f>
        <v>5.7237</v>
      </c>
      <c r="H177" s="326">
        <f>IF(A177="","",VLOOKUP(A177,Equipamentos_base!A:K,8,"FALSO"))</f>
        <v>0</v>
      </c>
      <c r="I177" s="326">
        <f>IF(A177="","",VLOOKUP(A177,Equipamentos_base!A:K,9,"FALSO"))</f>
        <v>0</v>
      </c>
      <c r="J177" s="327" t="s">
        <v>932</v>
      </c>
      <c r="K177" s="327" t="s">
        <v>932</v>
      </c>
      <c r="L177" s="316" t="str">
        <f>IF(J177="","",VLOOKUP(A177,Equipamentos_base!A:K,10,"FALSO"))</f>
        <v/>
      </c>
      <c r="M177" s="316" t="str">
        <f>IF(J177="","",VLOOKUP(A177,Equipamentos_base!A:K,11,"FALSO"))</f>
        <v/>
      </c>
    </row>
    <row r="178" s="316" customFormat="1" spans="1:13">
      <c r="A178" s="324" t="s">
        <v>15930</v>
      </c>
      <c r="B178" s="325" t="str">
        <f>IF(A178="","",VLOOKUP(A178,Equipamentos_base!A:K,2,"FALSO"))</f>
        <v>Vibroacabadora de asfalto sobre esteiras - 97 kW</v>
      </c>
      <c r="C178" s="326">
        <f>IF(A178="","",VLOOKUP(A178,Equipamentos_base!A:K,3,"FALSO"))</f>
        <v>1664976.1322</v>
      </c>
      <c r="D178" s="326">
        <f>IF(A178="","",VLOOKUP(A178,Equipamentos_base!A:K,4,"FALSO"))</f>
        <v>145.6854</v>
      </c>
      <c r="E178" s="326">
        <f>IF(A178="","",VLOOKUP(A178,Equipamentos_base!A:K,5,"FALSO"))</f>
        <v>32.1028</v>
      </c>
      <c r="F178" s="326">
        <f>IF(A178="","",VLOOKUP(A178,Equipamentos_base!A:K,6,"FALSO"))</f>
        <v>0</v>
      </c>
      <c r="G178" s="326">
        <f>IF(A178="","",VLOOKUP(A178,Equipamentos_base!A:K,7,"FALSO"))</f>
        <v>187.3098</v>
      </c>
      <c r="H178" s="326">
        <f>IF(A178="","",VLOOKUP(A178,Equipamentos_base!A:K,8,"FALSO"))</f>
        <v>102.1022</v>
      </c>
      <c r="I178" s="326">
        <f>IF(A178="","",VLOOKUP(A178,Equipamentos_base!A:K,9,"FALSO"))</f>
        <v>45.2393</v>
      </c>
      <c r="J178" s="327">
        <v>512.4395</v>
      </c>
      <c r="K178" s="327">
        <v>223.0275</v>
      </c>
      <c r="L178" s="316">
        <f>IF(J178="","",VLOOKUP(A178,Equipamentos_base!A:K,10,"FALSO"))</f>
        <v>512.4395</v>
      </c>
      <c r="M178" s="316">
        <f>IF(J178="","",VLOOKUP(A178,Equipamentos_base!A:K,11,"FALSO"))</f>
        <v>223.0275</v>
      </c>
    </row>
    <row r="179" s="316" customFormat="1" spans="1:13">
      <c r="A179" s="324" t="s">
        <v>15931</v>
      </c>
      <c r="B179" s="325" t="str">
        <f>IF(A179="","",VLOOKUP(A179,Equipamentos_base!A:K,2,"FALSO"))</f>
        <v>Máquina de solda elétrica transformadora 250 A - 9,20 kW</v>
      </c>
      <c r="C179" s="326">
        <f>IF(A179="","",VLOOKUP(A179,Equipamentos_base!A:K,3,"FALSO"))</f>
        <v>1114.8077</v>
      </c>
      <c r="D179" s="326">
        <f>IF(A179="","",VLOOKUP(A179,Equipamentos_base!A:K,4,"FALSO"))</f>
        <v>0.1486</v>
      </c>
      <c r="E179" s="326">
        <f>IF(A179="","",VLOOKUP(A179,Equipamentos_base!A:K,5,"FALSO"))</f>
        <v>0.0229</v>
      </c>
      <c r="F179" s="326">
        <f>IF(A179="","",VLOOKUP(A179,Equipamentos_base!A:K,6,"FALSO"))</f>
        <v>0</v>
      </c>
      <c r="G179" s="326">
        <f>IF(A179="","",VLOOKUP(A179,Equipamentos_base!A:K,7,"FALSO"))</f>
        <v>0.1486</v>
      </c>
      <c r="H179" s="326">
        <f>IF(A179="","",VLOOKUP(A179,Equipamentos_base!A:K,8,"FALSO"))</f>
        <v>0</v>
      </c>
      <c r="I179" s="326">
        <f>IF(A179="","",VLOOKUP(A179,Equipamentos_base!A:K,9,"FALSO"))</f>
        <v>0</v>
      </c>
      <c r="J179" s="327">
        <v>0.3201</v>
      </c>
      <c r="K179" s="327">
        <v>0.1715</v>
      </c>
      <c r="L179" s="316">
        <f>IF(J179="","",VLOOKUP(A179,Equipamentos_base!A:K,10,"FALSO"))</f>
        <v>0.3201</v>
      </c>
      <c r="M179" s="316">
        <f>IF(J179="","",VLOOKUP(A179,Equipamentos_base!A:K,11,"FALSO"))</f>
        <v>0.1715</v>
      </c>
    </row>
    <row r="180" s="316" customFormat="1" hidden="1" spans="1:13">
      <c r="A180" s="324" t="s">
        <v>15932</v>
      </c>
      <c r="B180" s="325" t="str">
        <f>IF(A180="","",VLOOKUP(A180,Equipamentos_base!A:K,2,"FALSO"))</f>
        <v>Bomba centrífuga com capacidade de 7,1 a 22 m³/h - 1,50 kW</v>
      </c>
      <c r="C180" s="326">
        <f>IF(A180="","",VLOOKUP(A180,Equipamentos_base!A:K,3,"FALSO"))</f>
        <v>2836.871</v>
      </c>
      <c r="D180" s="326">
        <f>IF(A180="","",VLOOKUP(A180,Equipamentos_base!A:K,4,"FALSO"))</f>
        <v>0.2837</v>
      </c>
      <c r="E180" s="326">
        <f>IF(A180="","",VLOOKUP(A180,Equipamentos_base!A:K,5,"FALSO"))</f>
        <v>0.0547</v>
      </c>
      <c r="F180" s="326">
        <f>IF(A180="","",VLOOKUP(A180,Equipamentos_base!A:K,6,"FALSO"))</f>
        <v>0</v>
      </c>
      <c r="G180" s="326">
        <f>IF(A180="","",VLOOKUP(A180,Equipamentos_base!A:K,7,"FALSO"))</f>
        <v>0.2482</v>
      </c>
      <c r="H180" s="326">
        <f>IF(A180="","",VLOOKUP(A180,Equipamentos_base!A:K,8,"FALSO"))</f>
        <v>0</v>
      </c>
      <c r="I180" s="326">
        <f>IF(A180="","",VLOOKUP(A180,Equipamentos_base!A:K,9,"FALSO"))</f>
        <v>0</v>
      </c>
      <c r="J180" s="327" t="s">
        <v>932</v>
      </c>
      <c r="K180" s="327" t="s">
        <v>932</v>
      </c>
      <c r="L180" s="316" t="str">
        <f>IF(J180="","",VLOOKUP(A180,Equipamentos_base!A:K,10,"FALSO"))</f>
        <v/>
      </c>
      <c r="M180" s="316" t="str">
        <f>IF(J180="","",VLOOKUP(A180,Equipamentos_base!A:K,11,"FALSO"))</f>
        <v/>
      </c>
    </row>
    <row r="181" s="316" customFormat="1" hidden="1" spans="1:13">
      <c r="A181" s="324" t="s">
        <v>15933</v>
      </c>
      <c r="B181" s="325" t="str">
        <f>IF(A181="","",VLOOKUP(A181,Equipamentos_base!A:K,2,"FALSO"))</f>
        <v>Nível ótico com capacidade de aumento de 32x</v>
      </c>
      <c r="C181" s="326">
        <f>IF(A181="","",VLOOKUP(A181,Equipamentos_base!A:K,3,"FALSO"))</f>
        <v>15448.6932</v>
      </c>
      <c r="D181" s="326">
        <f>IF(A181="","",VLOOKUP(A181,Equipamentos_base!A:K,4,"FALSO"))</f>
        <v>1.2359</v>
      </c>
      <c r="E181" s="326">
        <f>IF(A181="","",VLOOKUP(A181,Equipamentos_base!A:K,5,"FALSO"))</f>
        <v>0.286</v>
      </c>
      <c r="F181" s="326">
        <f>IF(A181="","",VLOOKUP(A181,Equipamentos_base!A:K,6,"FALSO"))</f>
        <v>0</v>
      </c>
      <c r="G181" s="326">
        <f>IF(A181="","",VLOOKUP(A181,Equipamentos_base!A:K,7,"FALSO"))</f>
        <v>0.7724</v>
      </c>
      <c r="H181" s="326">
        <f>IF(A181="","",VLOOKUP(A181,Equipamentos_base!A:K,8,"FALSO"))</f>
        <v>0</v>
      </c>
      <c r="I181" s="326">
        <f>IF(A181="","",VLOOKUP(A181,Equipamentos_base!A:K,9,"FALSO"))</f>
        <v>0</v>
      </c>
      <c r="J181" s="327" t="s">
        <v>932</v>
      </c>
      <c r="K181" s="327" t="s">
        <v>932</v>
      </c>
      <c r="L181" s="316" t="str">
        <f>IF(J181="","",VLOOKUP(A181,Equipamentos_base!A:K,10,"FALSO"))</f>
        <v/>
      </c>
      <c r="M181" s="316" t="str">
        <f>IF(J181="","",VLOOKUP(A181,Equipamentos_base!A:K,11,"FALSO"))</f>
        <v/>
      </c>
    </row>
    <row r="182" s="316" customFormat="1" hidden="1" spans="1:13">
      <c r="A182" s="324" t="s">
        <v>15934</v>
      </c>
      <c r="B182" s="325" t="str">
        <f>IF(A182="","",VLOOKUP(A182,Equipamentos_base!A:K,2,"FALSO"))</f>
        <v>Estação total eletrônica com alcance máximo de 3.000 m</v>
      </c>
      <c r="C182" s="326">
        <f>IF(A182="","",VLOOKUP(A182,Equipamentos_base!A:K,3,"FALSO"))</f>
        <v>54098.9178</v>
      </c>
      <c r="D182" s="326">
        <f>IF(A182="","",VLOOKUP(A182,Equipamentos_base!A:K,4,"FALSO"))</f>
        <v>4.8689</v>
      </c>
      <c r="E182" s="326">
        <f>IF(A182="","",VLOOKUP(A182,Equipamentos_base!A:K,5,"FALSO"))</f>
        <v>1.0014</v>
      </c>
      <c r="F182" s="326">
        <f>IF(A182="","",VLOOKUP(A182,Equipamentos_base!A:K,6,"FALSO"))</f>
        <v>0</v>
      </c>
      <c r="G182" s="326">
        <f>IF(A182="","",VLOOKUP(A182,Equipamentos_base!A:K,7,"FALSO"))</f>
        <v>2.7049</v>
      </c>
      <c r="H182" s="326">
        <f>IF(A182="","",VLOOKUP(A182,Equipamentos_base!A:K,8,"FALSO"))</f>
        <v>0</v>
      </c>
      <c r="I182" s="326">
        <f>IF(A182="","",VLOOKUP(A182,Equipamentos_base!A:K,9,"FALSO"))</f>
        <v>0</v>
      </c>
      <c r="J182" s="327" t="s">
        <v>932</v>
      </c>
      <c r="K182" s="327" t="s">
        <v>932</v>
      </c>
      <c r="L182" s="316" t="str">
        <f>IF(J182="","",VLOOKUP(A182,Equipamentos_base!A:K,10,"FALSO"))</f>
        <v/>
      </c>
      <c r="M182" s="316" t="str">
        <f>IF(J182="","",VLOOKUP(A182,Equipamentos_base!A:K,11,"FALSO"))</f>
        <v/>
      </c>
    </row>
    <row r="183" s="316" customFormat="1" hidden="1" spans="1:13">
      <c r="A183" s="324" t="s">
        <v>15935</v>
      </c>
      <c r="B183" s="325" t="str">
        <f>IF(A183="","",VLOOKUP(A183,Equipamentos_base!A:K,2,"FALSO"))</f>
        <v>Compactador manual de placa vibratória - 3,00 kW</v>
      </c>
      <c r="C183" s="326">
        <f>IF(A183="","",VLOOKUP(A183,Equipamentos_base!A:K,3,"FALSO"))</f>
        <v>11226.648</v>
      </c>
      <c r="D183" s="326">
        <f>IF(A183="","",VLOOKUP(A183,Equipamentos_base!A:K,4,"FALSO"))</f>
        <v>2.2453</v>
      </c>
      <c r="E183" s="326">
        <f>IF(A183="","",VLOOKUP(A183,Equipamentos_base!A:K,5,"FALSO"))</f>
        <v>0.2598</v>
      </c>
      <c r="F183" s="326">
        <f>IF(A183="","",VLOOKUP(A183,Equipamentos_base!A:K,6,"FALSO"))</f>
        <v>0</v>
      </c>
      <c r="G183" s="326">
        <f>IF(A183="","",VLOOKUP(A183,Equipamentos_base!A:K,7,"FALSO"))</f>
        <v>2.2453</v>
      </c>
      <c r="H183" s="326">
        <f>IF(A183="","",VLOOKUP(A183,Equipamentos_base!A:K,8,"FALSO"))</f>
        <v>5.5335</v>
      </c>
      <c r="I183" s="326">
        <f>IF(A183="","",VLOOKUP(A183,Equipamentos_base!A:K,9,"FALSO"))</f>
        <v>0</v>
      </c>
      <c r="J183" s="327" t="s">
        <v>932</v>
      </c>
      <c r="K183" s="327" t="s">
        <v>932</v>
      </c>
      <c r="L183" s="316" t="str">
        <f>IF(J183="","",VLOOKUP(A183,Equipamentos_base!A:K,10,"FALSO"))</f>
        <v/>
      </c>
      <c r="M183" s="316" t="str">
        <f>IF(J183="","",VLOOKUP(A183,Equipamentos_base!A:K,11,"FALSO"))</f>
        <v/>
      </c>
    </row>
    <row r="184" s="316" customFormat="1" spans="1:13">
      <c r="A184" s="324" t="s">
        <v>15936</v>
      </c>
      <c r="B184" s="325" t="str">
        <f>IF(A184="","",VLOOKUP(A184,Equipamentos_base!A:K,2,"FALSO"))</f>
        <v>Tanque de estocagem de asfalto com capacidade de 30.000 l</v>
      </c>
      <c r="C184" s="326">
        <f>IF(A184="","",VLOOKUP(A184,Equipamentos_base!A:K,3,"FALSO"))</f>
        <v>443187.7224</v>
      </c>
      <c r="D184" s="326">
        <f>IF(A184="","",VLOOKUP(A184,Equipamentos_base!A:K,4,"FALSO"))</f>
        <v>59.0917</v>
      </c>
      <c r="E184" s="326">
        <f>IF(A184="","",VLOOKUP(A184,Equipamentos_base!A:K,5,"FALSO"))</f>
        <v>9.1149</v>
      </c>
      <c r="F184" s="326">
        <f>IF(A184="","",VLOOKUP(A184,Equipamentos_base!A:K,6,"FALSO"))</f>
        <v>0</v>
      </c>
      <c r="G184" s="326">
        <f>IF(A184="","",VLOOKUP(A184,Equipamentos_base!A:K,7,"FALSO"))</f>
        <v>36.9323</v>
      </c>
      <c r="H184" s="326">
        <f>IF(A184="","",VLOOKUP(A184,Equipamentos_base!A:K,8,"FALSO"))</f>
        <v>0</v>
      </c>
      <c r="I184" s="326">
        <f>IF(A184="","",VLOOKUP(A184,Equipamentos_base!A:K,9,"FALSO"))</f>
        <v>0</v>
      </c>
      <c r="J184" s="327">
        <v>105.1389</v>
      </c>
      <c r="K184" s="327">
        <v>68.2066</v>
      </c>
      <c r="L184" s="316">
        <f>IF(J184="","",VLOOKUP(A184,Equipamentos_base!A:K,10,"FALSO"))</f>
        <v>105.1389</v>
      </c>
      <c r="M184" s="316">
        <f>IF(J184="","",VLOOKUP(A184,Equipamentos_base!A:K,11,"FALSO"))</f>
        <v>68.2066</v>
      </c>
    </row>
    <row r="185" s="316" customFormat="1" spans="1:13">
      <c r="A185" s="324" t="s">
        <v>15937</v>
      </c>
      <c r="B185" s="325" t="str">
        <f>IF(A185="","",VLOOKUP(A185,Equipamentos_base!A:K,2,"FALSO"))</f>
        <v>Aquecedor de fluido térmico - 12 kW</v>
      </c>
      <c r="C185" s="326">
        <f>IF(A185="","",VLOOKUP(A185,Equipamentos_base!A:K,3,"FALSO"))</f>
        <v>664726.6745</v>
      </c>
      <c r="D185" s="326">
        <f>IF(A185="","",VLOOKUP(A185,Equipamentos_base!A:K,4,"FALSO"))</f>
        <v>99.709</v>
      </c>
      <c r="E185" s="326">
        <f>IF(A185="","",VLOOKUP(A185,Equipamentos_base!A:K,5,"FALSO"))</f>
        <v>13.6712</v>
      </c>
      <c r="F185" s="326">
        <f>IF(A185="","",VLOOKUP(A185,Equipamentos_base!A:K,6,"FALSO"))</f>
        <v>0</v>
      </c>
      <c r="G185" s="326">
        <f>IF(A185="","",VLOOKUP(A185,Equipamentos_base!A:K,7,"FALSO"))</f>
        <v>66.4727</v>
      </c>
      <c r="H185" s="326">
        <f>IF(A185="","",VLOOKUP(A185,Equipamentos_base!A:K,8,"FALSO"))</f>
        <v>9.972</v>
      </c>
      <c r="I185" s="326">
        <f>IF(A185="","",VLOOKUP(A185,Equipamentos_base!A:K,9,"FALSO"))</f>
        <v>0</v>
      </c>
      <c r="J185" s="327">
        <v>189.8249</v>
      </c>
      <c r="K185" s="327">
        <v>113.3802</v>
      </c>
      <c r="L185" s="316">
        <f>IF(J185="","",VLOOKUP(A185,Equipamentos_base!A:K,10,"FALSO"))</f>
        <v>189.8249</v>
      </c>
      <c r="M185" s="316">
        <f>IF(J185="","",VLOOKUP(A185,Equipamentos_base!A:K,11,"FALSO"))</f>
        <v>113.3802</v>
      </c>
    </row>
    <row r="186" s="316" customFormat="1" hidden="1" spans="1:13">
      <c r="A186" s="324" t="s">
        <v>15938</v>
      </c>
      <c r="B186" s="325" t="str">
        <f>IF(A186="","",VLOOKUP(A186,Equipamentos_base!A:K,2,"FALSO"))</f>
        <v>Ônibus com capacidade para 46 passageiros - 153 kW</v>
      </c>
      <c r="C186" s="326">
        <f>IF(A186="","",VLOOKUP(A186,Equipamentos_base!A:K,3,"FALSO"))</f>
        <v>1029762.6106</v>
      </c>
      <c r="D186" s="326">
        <f>IF(A186="","",VLOOKUP(A186,Equipamentos_base!A:K,4,"FALSO"))</f>
        <v>44.1327</v>
      </c>
      <c r="E186" s="326">
        <f>IF(A186="","",VLOOKUP(A186,Equipamentos_base!A:K,5,"FALSO"))</f>
        <v>18.1532</v>
      </c>
      <c r="F186" s="326">
        <f>IF(A186="","",VLOOKUP(A186,Equipamentos_base!A:K,6,"FALSO"))</f>
        <v>7.3554</v>
      </c>
      <c r="G186" s="326">
        <f>IF(A186="","",VLOOKUP(A186,Equipamentos_base!A:K,7,"FALSO"))</f>
        <v>66.199</v>
      </c>
      <c r="H186" s="326">
        <f>IF(A186="","",VLOOKUP(A186,Equipamentos_base!A:K,8,"FALSO"))</f>
        <v>161.0478</v>
      </c>
      <c r="I186" s="326">
        <f>IF(A186="","",VLOOKUP(A186,Equipamentos_base!A:K,9,"FALSO"))</f>
        <v>39.3248</v>
      </c>
      <c r="J186" s="327" t="s">
        <v>932</v>
      </c>
      <c r="K186" s="327" t="s">
        <v>932</v>
      </c>
      <c r="L186" s="316" t="str">
        <f>IF(J186="","",VLOOKUP(A186,Equipamentos_base!A:K,10,"FALSO"))</f>
        <v/>
      </c>
      <c r="M186" s="316" t="str">
        <f>IF(J186="","",VLOOKUP(A186,Equipamentos_base!A:K,11,"FALSO"))</f>
        <v/>
      </c>
    </row>
    <row r="187" s="316" customFormat="1" hidden="1" spans="1:13">
      <c r="A187" s="324" t="s">
        <v>15939</v>
      </c>
      <c r="B187" s="325" t="str">
        <f>IF(A187="","",VLOOKUP(A187,Equipamentos_base!A:K,2,"FALSO"))</f>
        <v>GPS geodésico de simples frequência (L1)</v>
      </c>
      <c r="C187" s="326">
        <f>IF(A187="","",VLOOKUP(A187,Equipamentos_base!A:K,3,"FALSO"))</f>
        <v>50191.5913</v>
      </c>
      <c r="D187" s="326">
        <f>IF(A187="","",VLOOKUP(A187,Equipamentos_base!A:K,4,"FALSO"))</f>
        <v>4.0153</v>
      </c>
      <c r="E187" s="326">
        <f>IF(A187="","",VLOOKUP(A187,Equipamentos_base!A:K,5,"FALSO"))</f>
        <v>0.929</v>
      </c>
      <c r="F187" s="326">
        <f>IF(A187="","",VLOOKUP(A187,Equipamentos_base!A:K,6,"FALSO"))</f>
        <v>0</v>
      </c>
      <c r="G187" s="326">
        <f>IF(A187="","",VLOOKUP(A187,Equipamentos_base!A:K,7,"FALSO"))</f>
        <v>2.5096</v>
      </c>
      <c r="H187" s="326">
        <f>IF(A187="","",VLOOKUP(A187,Equipamentos_base!A:K,8,"FALSO"))</f>
        <v>0</v>
      </c>
      <c r="I187" s="326">
        <f>IF(A187="","",VLOOKUP(A187,Equipamentos_base!A:K,9,"FALSO"))</f>
        <v>0</v>
      </c>
      <c r="J187" s="327" t="s">
        <v>932</v>
      </c>
      <c r="K187" s="327" t="s">
        <v>932</v>
      </c>
      <c r="L187" s="316" t="str">
        <f>IF(J187="","",VLOOKUP(A187,Equipamentos_base!A:K,10,"FALSO"))</f>
        <v/>
      </c>
      <c r="M187" s="316" t="str">
        <f>IF(J187="","",VLOOKUP(A187,Equipamentos_base!A:K,11,"FALSO"))</f>
        <v/>
      </c>
    </row>
    <row r="188" s="316" customFormat="1" hidden="1" spans="1:13">
      <c r="A188" s="324" t="s">
        <v>15940</v>
      </c>
      <c r="B188" s="325" t="str">
        <f>IF(A188="","",VLOOKUP(A188,Equipamentos_base!A:K,2,"FALSO"))</f>
        <v>GPS geodésico de dupla frequência (L1/L2)</v>
      </c>
      <c r="C188" s="326">
        <f>IF(A188="","",VLOOKUP(A188,Equipamentos_base!A:K,3,"FALSO"))</f>
        <v>155105.3913</v>
      </c>
      <c r="D188" s="326">
        <f>IF(A188="","",VLOOKUP(A188,Equipamentos_base!A:K,4,"FALSO"))</f>
        <v>12.4084</v>
      </c>
      <c r="E188" s="326">
        <f>IF(A188="","",VLOOKUP(A188,Equipamentos_base!A:K,5,"FALSO"))</f>
        <v>2.871</v>
      </c>
      <c r="F188" s="326">
        <f>IF(A188="","",VLOOKUP(A188,Equipamentos_base!A:K,6,"FALSO"))</f>
        <v>0</v>
      </c>
      <c r="G188" s="326">
        <f>IF(A188="","",VLOOKUP(A188,Equipamentos_base!A:K,7,"FALSO"))</f>
        <v>7.7553</v>
      </c>
      <c r="H188" s="326">
        <f>IF(A188="","",VLOOKUP(A188,Equipamentos_base!A:K,8,"FALSO"))</f>
        <v>0</v>
      </c>
      <c r="I188" s="326">
        <f>IF(A188="","",VLOOKUP(A188,Equipamentos_base!A:K,9,"FALSO"))</f>
        <v>0</v>
      </c>
      <c r="J188" s="327" t="s">
        <v>932</v>
      </c>
      <c r="K188" s="327" t="s">
        <v>932</v>
      </c>
      <c r="L188" s="316" t="str">
        <f>IF(J188="","",VLOOKUP(A188,Equipamentos_base!A:K,10,"FALSO"))</f>
        <v/>
      </c>
      <c r="M188" s="316" t="str">
        <f>IF(J188="","",VLOOKUP(A188,Equipamentos_base!A:K,11,"FALSO"))</f>
        <v/>
      </c>
    </row>
    <row r="189" s="316" customFormat="1" hidden="1" spans="1:13">
      <c r="A189" s="324" t="s">
        <v>15941</v>
      </c>
      <c r="B189" s="325" t="str">
        <f>IF(A189="","",VLOOKUP(A189,Equipamentos_base!A:K,2,"FALSO"))</f>
        <v>Perfuratriz hidráulica sobre esteiras com clamshell - 220 kW</v>
      </c>
      <c r="C189" s="326">
        <f>IF(A189="","",VLOOKUP(A189,Equipamentos_base!A:K,3,"FALSO"))</f>
        <v>4704488.5089</v>
      </c>
      <c r="D189" s="326">
        <f>IF(A189="","",VLOOKUP(A189,Equipamentos_base!A:K,4,"FALSO"))</f>
        <v>376.3591</v>
      </c>
      <c r="E189" s="326">
        <f>IF(A189="","",VLOOKUP(A189,Equipamentos_base!A:K,5,"FALSO"))</f>
        <v>87.0801</v>
      </c>
      <c r="F189" s="326">
        <f>IF(A189="","",VLOOKUP(A189,Equipamentos_base!A:K,6,"FALSO"))</f>
        <v>0</v>
      </c>
      <c r="G189" s="326">
        <f>IF(A189="","",VLOOKUP(A189,Equipamentos_base!A:K,7,"FALSO"))</f>
        <v>376.3591</v>
      </c>
      <c r="H189" s="326">
        <f>IF(A189="","",VLOOKUP(A189,Equipamentos_base!A:K,8,"FALSO"))</f>
        <v>121.88</v>
      </c>
      <c r="I189" s="326">
        <f>IF(A189="","",VLOOKUP(A189,Equipamentos_base!A:K,9,"FALSO"))</f>
        <v>33.7544</v>
      </c>
      <c r="J189" s="327" t="s">
        <v>932</v>
      </c>
      <c r="K189" s="327" t="s">
        <v>932</v>
      </c>
      <c r="L189" s="316" t="str">
        <f>IF(J189="","",VLOOKUP(A189,Equipamentos_base!A:K,10,"FALSO"))</f>
        <v/>
      </c>
      <c r="M189" s="316" t="str">
        <f>IF(J189="","",VLOOKUP(A189,Equipamentos_base!A:K,11,"FALSO"))</f>
        <v/>
      </c>
    </row>
    <row r="190" s="316" customFormat="1" hidden="1" spans="1:13">
      <c r="A190" s="324" t="s">
        <v>15942</v>
      </c>
      <c r="B190" s="325" t="str">
        <f>IF(A190="","",VLOOKUP(A190,Equipamentos_base!A:K,2,"FALSO"))</f>
        <v>Trator sobre esteiras com lâmina e escarificador - 259 kW</v>
      </c>
      <c r="C190" s="326">
        <f>IF(A190="","",VLOOKUP(A190,Equipamentos_base!A:K,3,"FALSO"))</f>
        <v>4942830.0289</v>
      </c>
      <c r="D190" s="326">
        <f>IF(A190="","",VLOOKUP(A190,Equipamentos_base!A:K,4,"FALSO"))</f>
        <v>300.8679</v>
      </c>
      <c r="E190" s="326">
        <f>IF(A190="","",VLOOKUP(A190,Equipamentos_base!A:K,5,"FALSO"))</f>
        <v>89.5028</v>
      </c>
      <c r="F190" s="326">
        <f>IF(A190="","",VLOOKUP(A190,Equipamentos_base!A:K,6,"FALSO"))</f>
        <v>0</v>
      </c>
      <c r="G190" s="326">
        <f>IF(A190="","",VLOOKUP(A190,Equipamentos_base!A:K,7,"FALSO"))</f>
        <v>429.8113</v>
      </c>
      <c r="H190" s="326">
        <f>IF(A190="","",VLOOKUP(A190,Equipamentos_base!A:K,8,"FALSO"))</f>
        <v>200.8804</v>
      </c>
      <c r="I190" s="326">
        <f>IF(A190="","",VLOOKUP(A190,Equipamentos_base!A:K,9,"FALSO"))</f>
        <v>33.7544</v>
      </c>
      <c r="J190" s="327" t="s">
        <v>932</v>
      </c>
      <c r="K190" s="327" t="s">
        <v>932</v>
      </c>
      <c r="L190" s="316" t="str">
        <f>IF(J190="","",VLOOKUP(A190,Equipamentos_base!A:K,10,"FALSO"))</f>
        <v/>
      </c>
      <c r="M190" s="316" t="str">
        <f>IF(J190="","",VLOOKUP(A190,Equipamentos_base!A:K,11,"FALSO"))</f>
        <v/>
      </c>
    </row>
    <row r="191" s="316" customFormat="1" hidden="1" spans="1:13">
      <c r="A191" s="324" t="s">
        <v>15943</v>
      </c>
      <c r="B191" s="325" t="str">
        <f>IF(A191="","",VLOOKUP(A191,Equipamentos_base!A:K,2,"FALSO"))</f>
        <v>Guindaste móvel sobre esteiras com clamshell de 1,9 m³ - 220 kW</v>
      </c>
      <c r="C191" s="326">
        <f>IF(A191="","",VLOOKUP(A191,Equipamentos_base!A:K,3,"FALSO"))</f>
        <v>4484999.3155</v>
      </c>
      <c r="D191" s="326">
        <f>IF(A191="","",VLOOKUP(A191,Equipamentos_base!A:K,4,"FALSO"))</f>
        <v>196.2187</v>
      </c>
      <c r="E191" s="326">
        <f>IF(A191="","",VLOOKUP(A191,Equipamentos_base!A:K,5,"FALSO"))</f>
        <v>77.8288</v>
      </c>
      <c r="F191" s="326">
        <f>IF(A191="","",VLOOKUP(A191,Equipamentos_base!A:K,6,"FALSO"))</f>
        <v>0</v>
      </c>
      <c r="G191" s="326">
        <f>IF(A191="","",VLOOKUP(A191,Equipamentos_base!A:K,7,"FALSO"))</f>
        <v>280.3125</v>
      </c>
      <c r="H191" s="326">
        <f>IF(A191="","",VLOOKUP(A191,Equipamentos_base!A:K,8,"FALSO"))</f>
        <v>60.94</v>
      </c>
      <c r="I191" s="326">
        <f>IF(A191="","",VLOOKUP(A191,Equipamentos_base!A:K,9,"FALSO"))</f>
        <v>45.2393</v>
      </c>
      <c r="J191" s="327" t="s">
        <v>932</v>
      </c>
      <c r="K191" s="327" t="s">
        <v>932</v>
      </c>
      <c r="L191" s="316" t="str">
        <f>IF(J191="","",VLOOKUP(A191,Equipamentos_base!A:K,10,"FALSO"))</f>
        <v/>
      </c>
      <c r="M191" s="316" t="str">
        <f>IF(J191="","",VLOOKUP(A191,Equipamentos_base!A:K,11,"FALSO"))</f>
        <v/>
      </c>
    </row>
    <row r="192" s="316" customFormat="1" hidden="1" spans="1:13">
      <c r="A192" s="324" t="s">
        <v>15944</v>
      </c>
      <c r="B192" s="325" t="str">
        <f>IF(A192="","",VLOOKUP(A192,Equipamentos_base!A:K,2,"FALSO"))</f>
        <v>Fresadora de piso de concreto - 6,7 kW</v>
      </c>
      <c r="C192" s="326">
        <f>IF(A192="","",VLOOKUP(A192,Equipamentos_base!A:K,3,"FALSO"))</f>
        <v>17816.811</v>
      </c>
      <c r="D192" s="326">
        <f>IF(A192="","",VLOOKUP(A192,Equipamentos_base!A:K,4,"FALSO"))</f>
        <v>2.3756</v>
      </c>
      <c r="E192" s="326">
        <f>IF(A192="","",VLOOKUP(A192,Equipamentos_base!A:K,5,"FALSO"))</f>
        <v>0.3664</v>
      </c>
      <c r="F192" s="326">
        <f>IF(A192="","",VLOOKUP(A192,Equipamentos_base!A:K,6,"FALSO"))</f>
        <v>0</v>
      </c>
      <c r="G192" s="326">
        <f>IF(A192="","",VLOOKUP(A192,Equipamentos_base!A:K,7,"FALSO"))</f>
        <v>2.3756</v>
      </c>
      <c r="H192" s="326">
        <f>IF(A192="","",VLOOKUP(A192,Equipamentos_base!A:K,8,"FALSO"))</f>
        <v>12.3582</v>
      </c>
      <c r="I192" s="326">
        <f>IF(A192="","",VLOOKUP(A192,Equipamentos_base!A:K,9,"FALSO"))</f>
        <v>0</v>
      </c>
      <c r="J192" s="327" t="s">
        <v>932</v>
      </c>
      <c r="K192" s="327" t="s">
        <v>932</v>
      </c>
      <c r="L192" s="316" t="str">
        <f>IF(J192="","",VLOOKUP(A192,Equipamentos_base!A:K,10,"FALSO"))</f>
        <v/>
      </c>
      <c r="M192" s="316" t="str">
        <f>IF(J192="","",VLOOKUP(A192,Equipamentos_base!A:K,11,"FALSO"))</f>
        <v/>
      </c>
    </row>
    <row r="193" s="316" customFormat="1" spans="1:13">
      <c r="A193" s="324" t="s">
        <v>14299</v>
      </c>
      <c r="B193" s="325" t="str">
        <f>IF(A193="","",VLOOKUP(A193,Equipamentos_base!A:K,2,"FALSO"))</f>
        <v>Furadeira de impacto de 12,5 mm - 0,80 kW</v>
      </c>
      <c r="C193" s="326">
        <f>IF(A193="","",VLOOKUP(A193,Equipamentos_base!A:K,3,"FALSO"))</f>
        <v>1552.7231</v>
      </c>
      <c r="D193" s="326">
        <f>IF(A193="","",VLOOKUP(A193,Equipamentos_base!A:K,4,"FALSO"))</f>
        <v>0.207</v>
      </c>
      <c r="E193" s="326">
        <f>IF(A193="","",VLOOKUP(A193,Equipamentos_base!A:K,5,"FALSO"))</f>
        <v>0.0319</v>
      </c>
      <c r="F193" s="326">
        <f>IF(A193="","",VLOOKUP(A193,Equipamentos_base!A:K,6,"FALSO"))</f>
        <v>0</v>
      </c>
      <c r="G193" s="326">
        <f>IF(A193="","",VLOOKUP(A193,Equipamentos_base!A:K,7,"FALSO"))</f>
        <v>0.1294</v>
      </c>
      <c r="H193" s="326">
        <f>IF(A193="","",VLOOKUP(A193,Equipamentos_base!A:K,8,"FALSO"))</f>
        <v>0</v>
      </c>
      <c r="I193" s="326">
        <f>IF(A193="","",VLOOKUP(A193,Equipamentos_base!A:K,9,"FALSO"))</f>
        <v>0</v>
      </c>
      <c r="J193" s="327">
        <v>0.3683</v>
      </c>
      <c r="K193" s="327">
        <v>0.2389</v>
      </c>
      <c r="L193" s="316">
        <f>IF(J193="","",VLOOKUP(A193,Equipamentos_base!A:K,10,"FALSO"))</f>
        <v>0.3683</v>
      </c>
      <c r="M193" s="316">
        <f>IF(J193="","",VLOOKUP(A193,Equipamentos_base!A:K,11,"FALSO"))</f>
        <v>0.2389</v>
      </c>
    </row>
    <row r="194" s="316" customFormat="1" hidden="1" spans="1:13">
      <c r="A194" s="324" t="s">
        <v>15945</v>
      </c>
      <c r="B194" s="325" t="str">
        <f>IF(A194="","",VLOOKUP(A194,Equipamentos_base!A:K,2,"FALSO"))</f>
        <v>Guindaste móvel sobre esteiras com clamshell de 4,6 m³ - 403 kW</v>
      </c>
      <c r="C194" s="326">
        <f>IF(A194="","",VLOOKUP(A194,Equipamentos_base!A:K,3,"FALSO"))</f>
        <v>7329840.1894</v>
      </c>
      <c r="D194" s="326">
        <f>IF(A194="","",VLOOKUP(A194,Equipamentos_base!A:K,4,"FALSO"))</f>
        <v>256.5444</v>
      </c>
      <c r="E194" s="326">
        <f>IF(A194="","",VLOOKUP(A194,Equipamentos_base!A:K,5,"FALSO"))</f>
        <v>67.8377</v>
      </c>
      <c r="F194" s="326">
        <f>IF(A194="","",VLOOKUP(A194,Equipamentos_base!A:K,6,"FALSO"))</f>
        <v>0</v>
      </c>
      <c r="G194" s="326">
        <f>IF(A194="","",VLOOKUP(A194,Equipamentos_base!A:K,7,"FALSO"))</f>
        <v>366.492</v>
      </c>
      <c r="H194" s="326">
        <f>IF(A194="","",VLOOKUP(A194,Equipamentos_base!A:K,8,"FALSO"))</f>
        <v>111.631</v>
      </c>
      <c r="I194" s="326">
        <f>IF(A194="","",VLOOKUP(A194,Equipamentos_base!A:K,9,"FALSO"))</f>
        <v>90.4786</v>
      </c>
      <c r="J194" s="327" t="s">
        <v>932</v>
      </c>
      <c r="K194" s="327" t="s">
        <v>932</v>
      </c>
      <c r="L194" s="316" t="str">
        <f>IF(J194="","",VLOOKUP(A194,Equipamentos_base!A:K,10,"FALSO"))</f>
        <v/>
      </c>
      <c r="M194" s="316" t="str">
        <f>IF(J194="","",VLOOKUP(A194,Equipamentos_base!A:K,11,"FALSO"))</f>
        <v/>
      </c>
    </row>
    <row r="195" s="316" customFormat="1" spans="1:13">
      <c r="A195" s="324" t="s">
        <v>15946</v>
      </c>
      <c r="B195" s="325" t="str">
        <f>IF(A195="","",VLOOKUP(A195,Equipamentos_base!A:K,2,"FALSO"))</f>
        <v>Caminhão tanque com capacidade de 10.000 l - 188 kW</v>
      </c>
      <c r="C195" s="326">
        <f>IF(A195="","",VLOOKUP(A195,Equipamentos_base!A:K,3,"FALSO"))</f>
        <v>0</v>
      </c>
      <c r="D195" s="326">
        <f>IF(A195="","",VLOOKUP(A195,Equipamentos_base!A:K,4,"FALSO"))</f>
        <v>0</v>
      </c>
      <c r="E195" s="326">
        <f>IF(A195="","",VLOOKUP(A195,Equipamentos_base!A:K,5,"FALSO"))</f>
        <v>0</v>
      </c>
      <c r="F195" s="326">
        <f>IF(A195="","",VLOOKUP(A195,Equipamentos_base!A:K,6,"FALSO"))</f>
        <v>0</v>
      </c>
      <c r="G195" s="326">
        <f>IF(A195="","",VLOOKUP(A195,Equipamentos_base!A:K,7,"FALSO"))</f>
        <v>0</v>
      </c>
      <c r="H195" s="326">
        <f>IF(A195="","",VLOOKUP(A195,Equipamentos_base!A:K,8,"FALSO"))</f>
        <v>0</v>
      </c>
      <c r="I195" s="326">
        <f>IF(A195="","",VLOOKUP(A195,Equipamentos_base!A:K,9,"FALSO"))</f>
        <v>0</v>
      </c>
      <c r="J195" s="327">
        <v>363.3192</v>
      </c>
      <c r="K195" s="327">
        <v>98.1613</v>
      </c>
      <c r="L195" s="316">
        <f>IF(J195="","",VLOOKUP(A195,Equipamentos_base!A:K,10,"FALSO"))</f>
        <v>363.3192</v>
      </c>
      <c r="M195" s="316">
        <f>IF(J195="","",VLOOKUP(A195,Equipamentos_base!A:K,11,"FALSO"))</f>
        <v>98.1613</v>
      </c>
    </row>
    <row r="196" s="316" customFormat="1" spans="1:13">
      <c r="A196" s="324" t="s">
        <v>15947</v>
      </c>
      <c r="B196" s="325" t="str">
        <f>IF(A196="","",VLOOKUP(A196,Equipamentos_base!A:K,2,"FALSO"))</f>
        <v>Perfuratriz sobre esteiras - 145 kW</v>
      </c>
      <c r="C196" s="326">
        <f>IF(A196="","",VLOOKUP(A196,Equipamentos_base!A:K,3,"FALSO"))</f>
        <v>1970313.5524</v>
      </c>
      <c r="D196" s="326">
        <f>IF(A196="","",VLOOKUP(A196,Equipamentos_base!A:K,4,"FALSO"))</f>
        <v>157.6251</v>
      </c>
      <c r="E196" s="326">
        <f>IF(A196="","",VLOOKUP(A196,Equipamentos_base!A:K,5,"FALSO"))</f>
        <v>36.4705</v>
      </c>
      <c r="F196" s="326">
        <f>IF(A196="","",VLOOKUP(A196,Equipamentos_base!A:K,6,"FALSO"))</f>
        <v>0</v>
      </c>
      <c r="G196" s="326">
        <f>IF(A196="","",VLOOKUP(A196,Equipamentos_base!A:K,7,"FALSO"))</f>
        <v>157.6251</v>
      </c>
      <c r="H196" s="326">
        <f>IF(A196="","",VLOOKUP(A196,Equipamentos_base!A:K,8,"FALSO"))</f>
        <v>120.495</v>
      </c>
      <c r="I196" s="326">
        <f>IF(A196="","",VLOOKUP(A196,Equipamentos_base!A:K,9,"FALSO"))</f>
        <v>33.7544</v>
      </c>
      <c r="J196" s="327">
        <v>505.9701</v>
      </c>
      <c r="K196" s="327">
        <v>227.85</v>
      </c>
      <c r="L196" s="316">
        <f>IF(J196="","",VLOOKUP(A196,Equipamentos_base!A:K,10,"FALSO"))</f>
        <v>505.9701</v>
      </c>
      <c r="M196" s="316">
        <f>IF(J196="","",VLOOKUP(A196,Equipamentos_base!A:K,11,"FALSO"))</f>
        <v>227.85</v>
      </c>
    </row>
    <row r="197" s="316" customFormat="1" hidden="1" spans="1:13">
      <c r="A197" s="324" t="s">
        <v>15948</v>
      </c>
      <c r="B197" s="325" t="str">
        <f>IF(A197="","",VLOOKUP(A197,Equipamentos_base!A:K,2,"FALSO"))</f>
        <v>Caminhão basculante com caçamba estanque com capacidade de 14 m³ - 210 kW</v>
      </c>
      <c r="C197" s="326">
        <f>IF(A197="","",VLOOKUP(A197,Equipamentos_base!A:K,3,"FALSO"))</f>
        <v>0</v>
      </c>
      <c r="D197" s="326">
        <f>IF(A197="","",VLOOKUP(A197,Equipamentos_base!A:K,4,"FALSO"))</f>
        <v>0</v>
      </c>
      <c r="E197" s="326">
        <f>IF(A197="","",VLOOKUP(A197,Equipamentos_base!A:K,5,"FALSO"))</f>
        <v>0</v>
      </c>
      <c r="F197" s="326">
        <f>IF(A197="","",VLOOKUP(A197,Equipamentos_base!A:K,6,"FALSO"))</f>
        <v>0</v>
      </c>
      <c r="G197" s="326">
        <f>IF(A197="","",VLOOKUP(A197,Equipamentos_base!A:K,7,"FALSO"))</f>
        <v>0</v>
      </c>
      <c r="H197" s="326">
        <f>IF(A197="","",VLOOKUP(A197,Equipamentos_base!A:K,8,"FALSO"))</f>
        <v>0</v>
      </c>
      <c r="I197" s="326">
        <f>IF(A197="","",VLOOKUP(A197,Equipamentos_base!A:K,9,"FALSO"))</f>
        <v>0</v>
      </c>
      <c r="J197" s="327" t="s">
        <v>932</v>
      </c>
      <c r="K197" s="327" t="s">
        <v>932</v>
      </c>
      <c r="L197" s="316" t="str">
        <f>IF(J197="","",VLOOKUP(A197,Equipamentos_base!A:K,10,"FALSO"))</f>
        <v/>
      </c>
      <c r="M197" s="316" t="str">
        <f>IF(J197="","",VLOOKUP(A197,Equipamentos_base!A:K,11,"FALSO"))</f>
        <v/>
      </c>
    </row>
    <row r="198" s="316" customFormat="1" hidden="1" spans="1:13">
      <c r="A198" s="324" t="s">
        <v>15949</v>
      </c>
      <c r="B198" s="325" t="str">
        <f>IF(A198="","",VLOOKUP(A198,Equipamentos_base!A:K,2,"FALSO"))</f>
        <v>Escavadeira hidráulica de longo alcance sobre esteiras - 103 kW</v>
      </c>
      <c r="C198" s="326">
        <f>IF(A198="","",VLOOKUP(A198,Equipamentos_base!A:K,3,"FALSO"))</f>
        <v>1081039.3089</v>
      </c>
      <c r="D198" s="326">
        <f>IF(A198="","",VLOOKUP(A198,Equipamentos_base!A:K,4,"FALSO"))</f>
        <v>94.5909</v>
      </c>
      <c r="E198" s="326">
        <f>IF(A198="","",VLOOKUP(A198,Equipamentos_base!A:K,5,"FALSO"))</f>
        <v>20.8438</v>
      </c>
      <c r="F198" s="326">
        <f>IF(A198="","",VLOOKUP(A198,Equipamentos_base!A:K,6,"FALSO"))</f>
        <v>0</v>
      </c>
      <c r="G198" s="326">
        <f>IF(A198="","",VLOOKUP(A198,Equipamentos_base!A:K,7,"FALSO"))</f>
        <v>94.5909</v>
      </c>
      <c r="H198" s="326">
        <f>IF(A198="","",VLOOKUP(A198,Equipamentos_base!A:K,8,"FALSO"))</f>
        <v>74.1806</v>
      </c>
      <c r="I198" s="326">
        <f>IF(A198="","",VLOOKUP(A198,Equipamentos_base!A:K,9,"FALSO"))</f>
        <v>33.7544</v>
      </c>
      <c r="J198" s="327" t="s">
        <v>932</v>
      </c>
      <c r="K198" s="327" t="s">
        <v>932</v>
      </c>
      <c r="L198" s="316" t="str">
        <f>IF(J198="","",VLOOKUP(A198,Equipamentos_base!A:K,10,"FALSO"))</f>
        <v/>
      </c>
      <c r="M198" s="316" t="str">
        <f>IF(J198="","",VLOOKUP(A198,Equipamentos_base!A:K,11,"FALSO"))</f>
        <v/>
      </c>
    </row>
    <row r="199" s="316" customFormat="1" spans="1:13">
      <c r="A199" s="324" t="s">
        <v>15950</v>
      </c>
      <c r="B199" s="325" t="str">
        <f>IF(A199="","",VLOOKUP(A199,Equipamentos_base!A:K,2,"FALSO"))</f>
        <v>Trator agrícola sobre pneus - 77 kW</v>
      </c>
      <c r="C199" s="326">
        <f>IF(A199="","",VLOOKUP(A199,Equipamentos_base!A:K,3,"FALSO"))</f>
        <v>354142.3665</v>
      </c>
      <c r="D199" s="326">
        <f>IF(A199="","",VLOOKUP(A199,Equipamentos_base!A:K,4,"FALSO"))</f>
        <v>35.4142</v>
      </c>
      <c r="E199" s="326">
        <f>IF(A199="","",VLOOKUP(A199,Equipamentos_base!A:K,5,"FALSO"))</f>
        <v>6.8283</v>
      </c>
      <c r="F199" s="326">
        <f>IF(A199="","",VLOOKUP(A199,Equipamentos_base!A:K,6,"FALSO"))</f>
        <v>0</v>
      </c>
      <c r="G199" s="326">
        <f>IF(A199="","",VLOOKUP(A199,Equipamentos_base!A:K,7,"FALSO"))</f>
        <v>30.9875</v>
      </c>
      <c r="H199" s="326">
        <f>IF(A199="","",VLOOKUP(A199,Equipamentos_base!A:K,8,"FALSO"))</f>
        <v>76.7844</v>
      </c>
      <c r="I199" s="326">
        <f>IF(A199="","",VLOOKUP(A199,Equipamentos_base!A:K,9,"FALSO"))</f>
        <v>26.5829</v>
      </c>
      <c r="J199" s="327">
        <v>176.5973</v>
      </c>
      <c r="K199" s="327">
        <v>68.8254</v>
      </c>
      <c r="L199" s="316">
        <f>IF(J199="","",VLOOKUP(A199,Equipamentos_base!A:K,10,"FALSO"))</f>
        <v>176.5973</v>
      </c>
      <c r="M199" s="316">
        <f>IF(J199="","",VLOOKUP(A199,Equipamentos_base!A:K,11,"FALSO"))</f>
        <v>68.8254</v>
      </c>
    </row>
    <row r="200" s="316" customFormat="1" ht="30" hidden="1" spans="1:13">
      <c r="A200" s="324" t="s">
        <v>15951</v>
      </c>
      <c r="B200" s="325" t="str">
        <f>IF(A200="","",VLOOKUP(A200,Equipamentos_base!A:K,2,"FALSO"))</f>
        <v>Conjunto vibratório para meio tubo de concreto com encaixe PB e 3 jogos de fôrmas - D = 0,40 m - 2,20 kW</v>
      </c>
      <c r="C200" s="326">
        <f>IF(A200="","",VLOOKUP(A200,Equipamentos_base!A:K,3,"FALSO"))</f>
        <v>17500.3519</v>
      </c>
      <c r="D200" s="326">
        <f>IF(A200="","",VLOOKUP(A200,Equipamentos_base!A:K,4,"FALSO"))</f>
        <v>2.3334</v>
      </c>
      <c r="E200" s="326">
        <f>IF(A200="","",VLOOKUP(A200,Equipamentos_base!A:K,5,"FALSO"))</f>
        <v>0.3599</v>
      </c>
      <c r="F200" s="326">
        <f>IF(A200="","",VLOOKUP(A200,Equipamentos_base!A:K,6,"FALSO"))</f>
        <v>0</v>
      </c>
      <c r="G200" s="326">
        <f>IF(A200="","",VLOOKUP(A200,Equipamentos_base!A:K,7,"FALSO"))</f>
        <v>1.75</v>
      </c>
      <c r="H200" s="326">
        <f>IF(A200="","",VLOOKUP(A200,Equipamentos_base!A:K,8,"FALSO"))</f>
        <v>0</v>
      </c>
      <c r="I200" s="326">
        <f>IF(A200="","",VLOOKUP(A200,Equipamentos_base!A:K,9,"FALSO"))</f>
        <v>0</v>
      </c>
      <c r="J200" s="327" t="s">
        <v>932</v>
      </c>
      <c r="K200" s="327" t="s">
        <v>932</v>
      </c>
      <c r="L200" s="316" t="str">
        <f>IF(J200="","",VLOOKUP(A200,Equipamentos_base!A:K,10,"FALSO"))</f>
        <v/>
      </c>
      <c r="M200" s="316" t="str">
        <f>IF(J200="","",VLOOKUP(A200,Equipamentos_base!A:K,11,"FALSO"))</f>
        <v/>
      </c>
    </row>
    <row r="201" s="316" customFormat="1" spans="1:13">
      <c r="A201" s="324" t="s">
        <v>14319</v>
      </c>
      <c r="B201" s="325" t="str">
        <f>IF(A201="","",VLOOKUP(A201,Equipamentos_base!A:K,2,"FALSO"))</f>
        <v>Caminhão basculante com capacidade de 10 m³ - 210 kW</v>
      </c>
      <c r="C201" s="326">
        <f>IF(A201="","",VLOOKUP(A201,Equipamentos_base!A:K,3,"FALSO"))</f>
        <v>0</v>
      </c>
      <c r="D201" s="326">
        <f>IF(A201="","",VLOOKUP(A201,Equipamentos_base!A:K,4,"FALSO"))</f>
        <v>0</v>
      </c>
      <c r="E201" s="326">
        <f>IF(A201="","",VLOOKUP(A201,Equipamentos_base!A:K,5,"FALSO"))</f>
        <v>0</v>
      </c>
      <c r="F201" s="326">
        <f>IF(A201="","",VLOOKUP(A201,Equipamentos_base!A:K,6,"FALSO"))</f>
        <v>0</v>
      </c>
      <c r="G201" s="326">
        <f>IF(A201="","",VLOOKUP(A201,Equipamentos_base!A:K,7,"FALSO"))</f>
        <v>0</v>
      </c>
      <c r="H201" s="326">
        <f>IF(A201="","",VLOOKUP(A201,Equipamentos_base!A:K,8,"FALSO"))</f>
        <v>0</v>
      </c>
      <c r="I201" s="326">
        <f>IF(A201="","",VLOOKUP(A201,Equipamentos_base!A:K,9,"FALSO"))</f>
        <v>0</v>
      </c>
      <c r="J201" s="327">
        <v>313.6417</v>
      </c>
      <c r="K201" s="327">
        <v>91.5224</v>
      </c>
      <c r="L201" s="316">
        <f>IF(J201="","",VLOOKUP(A201,Equipamentos_base!A:K,10,"FALSO"))</f>
        <v>313.6417</v>
      </c>
      <c r="M201" s="316">
        <f>IF(J201="","",VLOOKUP(A201,Equipamentos_base!A:K,11,"FALSO"))</f>
        <v>91.5224</v>
      </c>
    </row>
    <row r="202" s="316" customFormat="1" hidden="1" spans="1:13">
      <c r="A202" s="324" t="s">
        <v>15952</v>
      </c>
      <c r="B202" s="325" t="str">
        <f>IF(A202="","",VLOOKUP(A202,Equipamentos_base!A:K,2,"FALSO"))</f>
        <v>Fresadora e distribuidora com controle de greide - 287 kW</v>
      </c>
      <c r="C202" s="326">
        <f>IF(A202="","",VLOOKUP(A202,Equipamentos_base!A:K,3,"FALSO"))</f>
        <v>3623774.2952</v>
      </c>
      <c r="D202" s="326">
        <f>IF(A202="","",VLOOKUP(A202,Equipamentos_base!A:K,4,"FALSO"))</f>
        <v>422.7737</v>
      </c>
      <c r="E202" s="326">
        <f>IF(A202="","",VLOOKUP(A202,Equipamentos_base!A:K,5,"FALSO"))</f>
        <v>74.529</v>
      </c>
      <c r="F202" s="326">
        <f>IF(A202="","",VLOOKUP(A202,Equipamentos_base!A:K,6,"FALSO"))</f>
        <v>0</v>
      </c>
      <c r="G202" s="326">
        <f>IF(A202="","",VLOOKUP(A202,Equipamentos_base!A:K,7,"FALSO"))</f>
        <v>603.9624</v>
      </c>
      <c r="H202" s="326">
        <f>IF(A202="","",VLOOKUP(A202,Equipamentos_base!A:K,8,"FALSO"))</f>
        <v>286.1964</v>
      </c>
      <c r="I202" s="326">
        <f>IF(A202="","",VLOOKUP(A202,Equipamentos_base!A:K,9,"FALSO"))</f>
        <v>45.2393</v>
      </c>
      <c r="J202" s="327" t="s">
        <v>932</v>
      </c>
      <c r="K202" s="327" t="s">
        <v>932</v>
      </c>
      <c r="L202" s="316" t="str">
        <f>IF(J202="","",VLOOKUP(A202,Equipamentos_base!A:K,10,"FALSO"))</f>
        <v/>
      </c>
      <c r="M202" s="316" t="str">
        <f>IF(J202="","",VLOOKUP(A202,Equipamentos_base!A:K,11,"FALSO"))</f>
        <v/>
      </c>
    </row>
    <row r="203" s="316" customFormat="1" hidden="1" spans="1:13">
      <c r="A203" s="324" t="s">
        <v>15953</v>
      </c>
      <c r="B203" s="325" t="str">
        <f>IF(A203="","",VLOOKUP(A203,Equipamentos_base!A:K,2,"FALSO"))</f>
        <v>Distribuidor de agregados rebocável com capacidade de 1,9 m³</v>
      </c>
      <c r="C203" s="326">
        <f>IF(A203="","",VLOOKUP(A203,Equipamentos_base!A:K,3,"FALSO"))</f>
        <v>93866.184</v>
      </c>
      <c r="D203" s="326">
        <f>IF(A203="","",VLOOKUP(A203,Equipamentos_base!A:K,4,"FALSO"))</f>
        <v>14.0799</v>
      </c>
      <c r="E203" s="326">
        <f>IF(A203="","",VLOOKUP(A203,Equipamentos_base!A:K,5,"FALSO"))</f>
        <v>1.9305</v>
      </c>
      <c r="F203" s="326">
        <f>IF(A203="","",VLOOKUP(A203,Equipamentos_base!A:K,6,"FALSO"))</f>
        <v>0</v>
      </c>
      <c r="G203" s="326">
        <f>IF(A203="","",VLOOKUP(A203,Equipamentos_base!A:K,7,"FALSO"))</f>
        <v>9.3866</v>
      </c>
      <c r="H203" s="326">
        <f>IF(A203="","",VLOOKUP(A203,Equipamentos_base!A:K,8,"FALSO"))</f>
        <v>0</v>
      </c>
      <c r="I203" s="326">
        <f>IF(A203="","",VLOOKUP(A203,Equipamentos_base!A:K,9,"FALSO"))</f>
        <v>0</v>
      </c>
      <c r="J203" s="327" t="s">
        <v>932</v>
      </c>
      <c r="K203" s="327" t="s">
        <v>932</v>
      </c>
      <c r="L203" s="316" t="str">
        <f>IF(J203="","",VLOOKUP(A203,Equipamentos_base!A:K,10,"FALSO"))</f>
        <v/>
      </c>
      <c r="M203" s="316" t="str">
        <f>IF(J203="","",VLOOKUP(A203,Equipamentos_base!A:K,11,"FALSO"))</f>
        <v/>
      </c>
    </row>
    <row r="204" s="316" customFormat="1" spans="1:13">
      <c r="A204" s="324" t="s">
        <v>15954</v>
      </c>
      <c r="B204" s="325" t="str">
        <f>IF(A204="","",VLOOKUP(A204,Equipamentos_base!A:K,2,"FALSO"))</f>
        <v>Carregadeira de pneus com capacidade de 1,72 m³ - 113 kW</v>
      </c>
      <c r="C204" s="326">
        <f>IF(A204="","",VLOOKUP(A204,Equipamentos_base!A:K,3,"FALSO"))</f>
        <v>748732.0243</v>
      </c>
      <c r="D204" s="326">
        <f>IF(A204="","",VLOOKUP(A204,Equipamentos_base!A:K,4,"FALSO"))</f>
        <v>56.5996</v>
      </c>
      <c r="E204" s="326">
        <f>IF(A204="","",VLOOKUP(A204,Equipamentos_base!A:K,5,"FALSO"))</f>
        <v>14.0436</v>
      </c>
      <c r="F204" s="326">
        <f>IF(A204="","",VLOOKUP(A204,Equipamentos_base!A:K,6,"FALSO"))</f>
        <v>0</v>
      </c>
      <c r="G204" s="326">
        <f>IF(A204="","",VLOOKUP(A204,Equipamentos_base!A:K,7,"FALSO"))</f>
        <v>56.5996</v>
      </c>
      <c r="H204" s="326">
        <f>IF(A204="","",VLOOKUP(A204,Equipamentos_base!A:K,8,"FALSO"))</f>
        <v>50.0816</v>
      </c>
      <c r="I204" s="326">
        <f>IF(A204="","",VLOOKUP(A204,Equipamentos_base!A:K,9,"FALSO"))</f>
        <v>33.7544</v>
      </c>
      <c r="J204" s="327">
        <v>211.0788</v>
      </c>
      <c r="K204" s="327">
        <v>104.3976</v>
      </c>
      <c r="L204" s="316">
        <f>IF(J204="","",VLOOKUP(A204,Equipamentos_base!A:K,10,"FALSO"))</f>
        <v>211.0788</v>
      </c>
      <c r="M204" s="316">
        <f>IF(J204="","",VLOOKUP(A204,Equipamentos_base!A:K,11,"FALSO"))</f>
        <v>104.3976</v>
      </c>
    </row>
    <row r="205" s="316" customFormat="1" spans="1:13">
      <c r="A205" s="324" t="s">
        <v>15955</v>
      </c>
      <c r="B205" s="325" t="str">
        <f>IF(A205="","",VLOOKUP(A205,Equipamentos_base!A:K,2,"FALSO"))</f>
        <v>Motosserra com motor a gasolina - 2,30 kW</v>
      </c>
      <c r="C205" s="326">
        <f>IF(A205="","",VLOOKUP(A205,Equipamentos_base!A:K,3,"FALSO"))</f>
        <v>2154.2476</v>
      </c>
      <c r="D205" s="326">
        <f>IF(A205="","",VLOOKUP(A205,Equipamentos_base!A:K,4,"FALSO"))</f>
        <v>0.9694</v>
      </c>
      <c r="E205" s="326">
        <f>IF(A205="","",VLOOKUP(A205,Equipamentos_base!A:K,5,"FALSO"))</f>
        <v>0.0665</v>
      </c>
      <c r="F205" s="326">
        <f>IF(A205="","",VLOOKUP(A205,Equipamentos_base!A:K,6,"FALSO"))</f>
        <v>0</v>
      </c>
      <c r="G205" s="326">
        <f>IF(A205="","",VLOOKUP(A205,Equipamentos_base!A:K,7,"FALSO"))</f>
        <v>0.9694</v>
      </c>
      <c r="H205" s="326">
        <f>IF(A205="","",VLOOKUP(A205,Equipamentos_base!A:K,8,"FALSO"))</f>
        <v>4.2424</v>
      </c>
      <c r="I205" s="326">
        <f>IF(A205="","",VLOOKUP(A205,Equipamentos_base!A:K,9,"FALSO"))</f>
        <v>26.5829</v>
      </c>
      <c r="J205" s="327">
        <v>32.8306</v>
      </c>
      <c r="K205" s="327">
        <v>27.6188</v>
      </c>
      <c r="L205" s="316">
        <f>IF(J205="","",VLOOKUP(A205,Equipamentos_base!A:K,10,"FALSO"))</f>
        <v>32.8306</v>
      </c>
      <c r="M205" s="316">
        <f>IF(J205="","",VLOOKUP(A205,Equipamentos_base!A:K,11,"FALSO"))</f>
        <v>27.6188</v>
      </c>
    </row>
    <row r="206" s="316" customFormat="1" hidden="1" spans="1:13">
      <c r="A206" s="324" t="s">
        <v>15956</v>
      </c>
      <c r="B206" s="325" t="str">
        <f>IF(A206="","",VLOOKUP(A206,Equipamentos_base!A:K,2,"FALSO"))</f>
        <v>Régua vibratória dupla com 4 m - 4,10 kW</v>
      </c>
      <c r="C206" s="326">
        <f>IF(A206="","",VLOOKUP(A206,Equipamentos_base!A:K,3,"FALSO"))</f>
        <v>6550.7943</v>
      </c>
      <c r="D206" s="326">
        <f>IF(A206="","",VLOOKUP(A206,Equipamentos_base!A:K,4,"FALSO"))</f>
        <v>1.1791</v>
      </c>
      <c r="E206" s="326">
        <f>IF(A206="","",VLOOKUP(A206,Equipamentos_base!A:K,5,"FALSO"))</f>
        <v>0.1415</v>
      </c>
      <c r="F206" s="326">
        <f>IF(A206="","",VLOOKUP(A206,Equipamentos_base!A:K,6,"FALSO"))</f>
        <v>0</v>
      </c>
      <c r="G206" s="326">
        <f>IF(A206="","",VLOOKUP(A206,Equipamentos_base!A:K,7,"FALSO"))</f>
        <v>0.9171</v>
      </c>
      <c r="H206" s="326">
        <f>IF(A206="","",VLOOKUP(A206,Equipamentos_base!A:K,8,"FALSO"))</f>
        <v>7.5625</v>
      </c>
      <c r="I206" s="326">
        <f>IF(A206="","",VLOOKUP(A206,Equipamentos_base!A:K,9,"FALSO"))</f>
        <v>0</v>
      </c>
      <c r="J206" s="327" t="s">
        <v>932</v>
      </c>
      <c r="K206" s="327" t="s">
        <v>932</v>
      </c>
      <c r="L206" s="316" t="str">
        <f>IF(J206="","",VLOOKUP(A206,Equipamentos_base!A:K,10,"FALSO"))</f>
        <v/>
      </c>
      <c r="M206" s="316" t="str">
        <f>IF(J206="","",VLOOKUP(A206,Equipamentos_base!A:K,11,"FALSO"))</f>
        <v/>
      </c>
    </row>
    <row r="207" s="316" customFormat="1" hidden="1" spans="1:13">
      <c r="A207" s="324" t="s">
        <v>15957</v>
      </c>
      <c r="B207" s="325" t="str">
        <f>IF(A207="","",VLOOKUP(A207,Equipamentos_base!A:K,2,"FALSO"))</f>
        <v>Vibroacabadora de concreto sobre esteiras com fôrmas deslizantes - 205 kW</v>
      </c>
      <c r="C207" s="326">
        <f>IF(A207="","",VLOOKUP(A207,Equipamentos_base!A:K,3,"FALSO"))</f>
        <v>6966545.5164</v>
      </c>
      <c r="D207" s="326">
        <f>IF(A207="","",VLOOKUP(A207,Equipamentos_base!A:K,4,"FALSO"))</f>
        <v>609.5727</v>
      </c>
      <c r="E207" s="326">
        <f>IF(A207="","",VLOOKUP(A207,Equipamentos_base!A:K,5,"FALSO"))</f>
        <v>134.3237</v>
      </c>
      <c r="F207" s="326">
        <f>IF(A207="","",VLOOKUP(A207,Equipamentos_base!A:K,6,"FALSO"))</f>
        <v>0</v>
      </c>
      <c r="G207" s="326">
        <f>IF(A207="","",VLOOKUP(A207,Equipamentos_base!A:K,7,"FALSO"))</f>
        <v>783.7364</v>
      </c>
      <c r="H207" s="326">
        <f>IF(A207="","",VLOOKUP(A207,Equipamentos_base!A:K,8,"FALSO"))</f>
        <v>215.783</v>
      </c>
      <c r="I207" s="326">
        <f>IF(A207="","",VLOOKUP(A207,Equipamentos_base!A:K,9,"FALSO"))</f>
        <v>45.2393</v>
      </c>
      <c r="J207" s="327" t="s">
        <v>932</v>
      </c>
      <c r="K207" s="327" t="s">
        <v>932</v>
      </c>
      <c r="L207" s="316" t="str">
        <f>IF(J207="","",VLOOKUP(A207,Equipamentos_base!A:K,10,"FALSO"))</f>
        <v/>
      </c>
      <c r="M207" s="316" t="str">
        <f>IF(J207="","",VLOOKUP(A207,Equipamentos_base!A:K,11,"FALSO"))</f>
        <v/>
      </c>
    </row>
    <row r="208" s="316" customFormat="1" ht="30" hidden="1" spans="1:13">
      <c r="A208" s="324" t="s">
        <v>15958</v>
      </c>
      <c r="B208" s="325" t="str">
        <f>IF(A208="","",VLOOKUP(A208,Equipamentos_base!A:K,2,"FALSO"))</f>
        <v>Máquina texturizadora e aplicadora de cura química em pavimento de concreto - 44,80 kW</v>
      </c>
      <c r="C208" s="326">
        <f>IF(A208="","",VLOOKUP(A208,Equipamentos_base!A:K,3,"FALSO"))</f>
        <v>1581917.4489</v>
      </c>
      <c r="D208" s="326">
        <f>IF(A208="","",VLOOKUP(A208,Equipamentos_base!A:K,4,"FALSO"))</f>
        <v>184.557</v>
      </c>
      <c r="E208" s="326">
        <f>IF(A208="","",VLOOKUP(A208,Equipamentos_base!A:K,5,"FALSO"))</f>
        <v>32.5348</v>
      </c>
      <c r="F208" s="326">
        <f>IF(A208="","",VLOOKUP(A208,Equipamentos_base!A:K,6,"FALSO"))</f>
        <v>0</v>
      </c>
      <c r="G208" s="326">
        <f>IF(A208="","",VLOOKUP(A208,Equipamentos_base!A:K,7,"FALSO"))</f>
        <v>184.557</v>
      </c>
      <c r="H208" s="326">
        <f>IF(A208="","",VLOOKUP(A208,Equipamentos_base!A:K,8,"FALSO"))</f>
        <v>37.2288</v>
      </c>
      <c r="I208" s="326">
        <f>IF(A208="","",VLOOKUP(A208,Equipamentos_base!A:K,9,"FALSO"))</f>
        <v>33.7544</v>
      </c>
      <c r="J208" s="327" t="s">
        <v>932</v>
      </c>
      <c r="K208" s="327" t="s">
        <v>932</v>
      </c>
      <c r="L208" s="316" t="str">
        <f>IF(J208="","",VLOOKUP(A208,Equipamentos_base!A:K,10,"FALSO"))</f>
        <v/>
      </c>
      <c r="M208" s="316" t="str">
        <f>IF(J208="","",VLOOKUP(A208,Equipamentos_base!A:K,11,"FALSO"))</f>
        <v/>
      </c>
    </row>
    <row r="209" s="316" customFormat="1" hidden="1" spans="1:13">
      <c r="A209" s="324" t="s">
        <v>15959</v>
      </c>
      <c r="B209" s="325" t="str">
        <f>IF(A209="","",VLOOKUP(A209,Equipamentos_base!A:K,2,"FALSO"))</f>
        <v>Central de concreto com capacidade de 40 m³/h - dosadora fixa</v>
      </c>
      <c r="C209" s="326">
        <f>IF(A209="","",VLOOKUP(A209,Equipamentos_base!A:K,3,"FALSO"))</f>
        <v>447266.5792</v>
      </c>
      <c r="D209" s="326">
        <f>IF(A209="","",VLOOKUP(A209,Equipamentos_base!A:K,4,"FALSO"))</f>
        <v>44.7267</v>
      </c>
      <c r="E209" s="326">
        <f>IF(A209="","",VLOOKUP(A209,Equipamentos_base!A:K,5,"FALSO"))</f>
        <v>8.6239</v>
      </c>
      <c r="F209" s="326">
        <f>IF(A209="","",VLOOKUP(A209,Equipamentos_base!A:K,6,"FALSO"))</f>
        <v>0</v>
      </c>
      <c r="G209" s="326">
        <f>IF(A209="","",VLOOKUP(A209,Equipamentos_base!A:K,7,"FALSO"))</f>
        <v>39.1358</v>
      </c>
      <c r="H209" s="326">
        <f>IF(A209="","",VLOOKUP(A209,Equipamentos_base!A:K,8,"FALSO"))</f>
        <v>0</v>
      </c>
      <c r="I209" s="326">
        <f>IF(A209="","",VLOOKUP(A209,Equipamentos_base!A:K,9,"FALSO"))</f>
        <v>45.2393</v>
      </c>
      <c r="J209" s="327" t="s">
        <v>932</v>
      </c>
      <c r="K209" s="327" t="s">
        <v>932</v>
      </c>
      <c r="L209" s="316" t="str">
        <f>IF(J209="","",VLOOKUP(A209,Equipamentos_base!A:K,10,"FALSO"))</f>
        <v/>
      </c>
      <c r="M209" s="316" t="str">
        <f>IF(J209="","",VLOOKUP(A209,Equipamentos_base!A:K,11,"FALSO"))</f>
        <v/>
      </c>
    </row>
    <row r="210" s="316" customFormat="1" spans="1:13">
      <c r="A210" s="324" t="s">
        <v>15960</v>
      </c>
      <c r="B210" s="325" t="str">
        <f>IF(A210="","",VLOOKUP(A210,Equipamentos_base!A:K,2,"FALSO"))</f>
        <v>Serra para corte de concreto e asfalto - 10 kW</v>
      </c>
      <c r="C210" s="326">
        <f>IF(A210="","",VLOOKUP(A210,Equipamentos_base!A:K,3,"FALSO"))</f>
        <v>18045.6411</v>
      </c>
      <c r="D210" s="326">
        <f>IF(A210="","",VLOOKUP(A210,Equipamentos_base!A:K,4,"FALSO"))</f>
        <v>2.4061</v>
      </c>
      <c r="E210" s="326">
        <f>IF(A210="","",VLOOKUP(A210,Equipamentos_base!A:K,5,"FALSO"))</f>
        <v>0.3711</v>
      </c>
      <c r="F210" s="326">
        <f>IF(A210="","",VLOOKUP(A210,Equipamentos_base!A:K,6,"FALSO"))</f>
        <v>0</v>
      </c>
      <c r="G210" s="326">
        <f>IF(A210="","",VLOOKUP(A210,Equipamentos_base!A:K,7,"FALSO"))</f>
        <v>2.1053</v>
      </c>
      <c r="H210" s="326">
        <f>IF(A210="","",VLOOKUP(A210,Equipamentos_base!A:K,8,"FALSO"))</f>
        <v>18.445</v>
      </c>
      <c r="I210" s="326">
        <f>IF(A210="","",VLOOKUP(A210,Equipamentos_base!A:K,9,"FALSO"))</f>
        <v>0</v>
      </c>
      <c r="J210" s="327">
        <v>23.3275</v>
      </c>
      <c r="K210" s="327">
        <v>2.7772</v>
      </c>
      <c r="L210" s="316">
        <f>IF(J210="","",VLOOKUP(A210,Equipamentos_base!A:K,10,"FALSO"))</f>
        <v>23.3275</v>
      </c>
      <c r="M210" s="316">
        <f>IF(J210="","",VLOOKUP(A210,Equipamentos_base!A:K,11,"FALSO"))</f>
        <v>2.7772</v>
      </c>
    </row>
    <row r="211" s="316" customFormat="1" spans="1:13">
      <c r="A211" s="324" t="s">
        <v>14315</v>
      </c>
      <c r="B211" s="325" t="str">
        <f>IF(A211="","",VLOOKUP(A211,Equipamentos_base!A:K,2,"FALSO"))</f>
        <v>Caminhão carroceria com capacidade de 15 t - 188 kW</v>
      </c>
      <c r="C211" s="326">
        <f>IF(A211="","",VLOOKUP(A211,Equipamentos_base!A:K,3,"FALSO"))</f>
        <v>0</v>
      </c>
      <c r="D211" s="326">
        <f>IF(A211="","",VLOOKUP(A211,Equipamentos_base!A:K,4,"FALSO"))</f>
        <v>0</v>
      </c>
      <c r="E211" s="326">
        <f>IF(A211="","",VLOOKUP(A211,Equipamentos_base!A:K,5,"FALSO"))</f>
        <v>0</v>
      </c>
      <c r="F211" s="326">
        <f>IF(A211="","",VLOOKUP(A211,Equipamentos_base!A:K,6,"FALSO"))</f>
        <v>0</v>
      </c>
      <c r="G211" s="326">
        <f>IF(A211="","",VLOOKUP(A211,Equipamentos_base!A:K,7,"FALSO"))</f>
        <v>0</v>
      </c>
      <c r="H211" s="326">
        <f>IF(A211="","",VLOOKUP(A211,Equipamentos_base!A:K,8,"FALSO"))</f>
        <v>0</v>
      </c>
      <c r="I211" s="326">
        <f>IF(A211="","",VLOOKUP(A211,Equipamentos_base!A:K,9,"FALSO"))</f>
        <v>0</v>
      </c>
      <c r="J211" s="327">
        <v>284.8759</v>
      </c>
      <c r="K211" s="327">
        <v>85.8102</v>
      </c>
      <c r="L211" s="316">
        <f>IF(J211="","",VLOOKUP(A211,Equipamentos_base!A:K,10,"FALSO"))</f>
        <v>284.8759</v>
      </c>
      <c r="M211" s="316">
        <f>IF(J211="","",VLOOKUP(A211,Equipamentos_base!A:K,11,"FALSO"))</f>
        <v>85.8102</v>
      </c>
    </row>
    <row r="212" s="316" customFormat="1" hidden="1" spans="1:13">
      <c r="A212" s="324" t="s">
        <v>15961</v>
      </c>
      <c r="B212" s="325" t="str">
        <f>IF(A212="","",VLOOKUP(A212,Equipamentos_base!A:K,2,"FALSO"))</f>
        <v>Draga hopper com capacidade de 750 m³</v>
      </c>
      <c r="C212" s="326">
        <f>IF(A212="","",VLOOKUP(A212,Equipamentos_base!A:K,3,"FALSO"))</f>
        <v>276765765.278</v>
      </c>
      <c r="D212" s="326">
        <f>IF(A212="","",VLOOKUP(A212,Equipamentos_base!A:K,4,"FALSO"))</f>
        <v>2495.3636</v>
      </c>
      <c r="E212" s="326">
        <f>IF(A212="","",VLOOKUP(A212,Equipamentos_base!A:K,5,"FALSO"))</f>
        <v>1567.866</v>
      </c>
      <c r="F212" s="326">
        <f>IF(A212="","",VLOOKUP(A212,Equipamentos_base!A:K,6,"FALSO"))</f>
        <v>0</v>
      </c>
      <c r="G212" s="326">
        <f>IF(A212="","",VLOOKUP(A212,Equipamentos_base!A:K,7,"FALSO"))</f>
        <v>5545.2524</v>
      </c>
      <c r="H212" s="326">
        <f>IF(A212="","",VLOOKUP(A212,Equipamentos_base!A:K,8,"FALSO"))</f>
        <v>664.8</v>
      </c>
      <c r="I212" s="326">
        <f>IF(A212="","",VLOOKUP(A212,Equipamentos_base!A:K,9,"FALSO"))</f>
        <v>170.9505</v>
      </c>
      <c r="J212" s="327" t="s">
        <v>932</v>
      </c>
      <c r="K212" s="327" t="s">
        <v>932</v>
      </c>
      <c r="L212" s="316" t="str">
        <f>IF(J212="","",VLOOKUP(A212,Equipamentos_base!A:K,10,"FALSO"))</f>
        <v/>
      </c>
      <c r="M212" s="316" t="str">
        <f>IF(J212="","",VLOOKUP(A212,Equipamentos_base!A:K,11,"FALSO"))</f>
        <v/>
      </c>
    </row>
    <row r="213" s="316" customFormat="1" hidden="1" spans="1:13">
      <c r="A213" s="324" t="s">
        <v>15962</v>
      </c>
      <c r="B213" s="325" t="str">
        <f>IF(A213="","",VLOOKUP(A213,Equipamentos_base!A:K,2,"FALSO"))</f>
        <v>Draga hopper com capacidade de 1.000 m³</v>
      </c>
      <c r="C213" s="326">
        <f>IF(A213="","",VLOOKUP(A213,Equipamentos_base!A:K,3,"FALSO"))</f>
        <v>298748847.5661</v>
      </c>
      <c r="D213" s="326">
        <f>IF(A213="","",VLOOKUP(A213,Equipamentos_base!A:K,4,"FALSO"))</f>
        <v>2693.5665</v>
      </c>
      <c r="E213" s="326">
        <f>IF(A213="","",VLOOKUP(A213,Equipamentos_base!A:K,5,"FALSO"))</f>
        <v>1692.3993</v>
      </c>
      <c r="F213" s="326">
        <f>IF(A213="","",VLOOKUP(A213,Equipamentos_base!A:K,6,"FALSO"))</f>
        <v>0</v>
      </c>
      <c r="G213" s="326">
        <f>IF(A213="","",VLOOKUP(A213,Equipamentos_base!A:K,7,"FALSO"))</f>
        <v>5985.7033</v>
      </c>
      <c r="H213" s="326">
        <f>IF(A213="","",VLOOKUP(A213,Equipamentos_base!A:K,8,"FALSO"))</f>
        <v>797.76</v>
      </c>
      <c r="I213" s="326">
        <f>IF(A213="","",VLOOKUP(A213,Equipamentos_base!A:K,9,"FALSO"))</f>
        <v>200.9921</v>
      </c>
      <c r="J213" s="327" t="s">
        <v>932</v>
      </c>
      <c r="K213" s="327" t="s">
        <v>932</v>
      </c>
      <c r="L213" s="316" t="str">
        <f>IF(J213="","",VLOOKUP(A213,Equipamentos_base!A:K,10,"FALSO"))</f>
        <v/>
      </c>
      <c r="M213" s="316" t="str">
        <f>IF(J213="","",VLOOKUP(A213,Equipamentos_base!A:K,11,"FALSO"))</f>
        <v/>
      </c>
    </row>
    <row r="214" s="316" customFormat="1" hidden="1" spans="1:13">
      <c r="A214" s="324" t="s">
        <v>15963</v>
      </c>
      <c r="B214" s="325" t="str">
        <f>IF(A214="","",VLOOKUP(A214,Equipamentos_base!A:K,2,"FALSO"))</f>
        <v>Draga hopper com capacidade de 2.000 m³</v>
      </c>
      <c r="C214" s="326">
        <f>IF(A214="","",VLOOKUP(A214,Equipamentos_base!A:K,3,"FALSO"))</f>
        <v>386681176.7186</v>
      </c>
      <c r="D214" s="326">
        <f>IF(A214="","",VLOOKUP(A214,Equipamentos_base!A:K,4,"FALSO"))</f>
        <v>3486.3782</v>
      </c>
      <c r="E214" s="326">
        <f>IF(A214="","",VLOOKUP(A214,Equipamentos_base!A:K,5,"FALSO"))</f>
        <v>2190.5321</v>
      </c>
      <c r="F214" s="326">
        <f>IF(A214="","",VLOOKUP(A214,Equipamentos_base!A:K,6,"FALSO"))</f>
        <v>0</v>
      </c>
      <c r="G214" s="326">
        <f>IF(A214="","",VLOOKUP(A214,Equipamentos_base!A:K,7,"FALSO"))</f>
        <v>7747.5071</v>
      </c>
      <c r="H214" s="326">
        <f>IF(A214="","",VLOOKUP(A214,Equipamentos_base!A:K,8,"FALSO"))</f>
        <v>1396.08</v>
      </c>
      <c r="I214" s="326">
        <f>IF(A214="","",VLOOKUP(A214,Equipamentos_base!A:K,9,"FALSO"))</f>
        <v>200.9921</v>
      </c>
      <c r="J214" s="327" t="s">
        <v>932</v>
      </c>
      <c r="K214" s="327" t="s">
        <v>932</v>
      </c>
      <c r="L214" s="316" t="str">
        <f>IF(J214="","",VLOOKUP(A214,Equipamentos_base!A:K,10,"FALSO"))</f>
        <v/>
      </c>
      <c r="M214" s="316" t="str">
        <f>IF(J214="","",VLOOKUP(A214,Equipamentos_base!A:K,11,"FALSO"))</f>
        <v/>
      </c>
    </row>
    <row r="215" s="316" customFormat="1" hidden="1" spans="1:13">
      <c r="A215" s="324" t="s">
        <v>15964</v>
      </c>
      <c r="B215" s="325" t="str">
        <f>IF(A215="","",VLOOKUP(A215,Equipamentos_base!A:K,2,"FALSO"))</f>
        <v>Draga hopper com capacidade de 3.000 m³</v>
      </c>
      <c r="C215" s="326">
        <f>IF(A215="","",VLOOKUP(A215,Equipamentos_base!A:K,3,"FALSO"))</f>
        <v>474613505.8711</v>
      </c>
      <c r="D215" s="326">
        <f>IF(A215="","",VLOOKUP(A215,Equipamentos_base!A:K,4,"FALSO"))</f>
        <v>4279.1899</v>
      </c>
      <c r="E215" s="326">
        <f>IF(A215="","",VLOOKUP(A215,Equipamentos_base!A:K,5,"FALSO"))</f>
        <v>2688.6649</v>
      </c>
      <c r="F215" s="326">
        <f>IF(A215="","",VLOOKUP(A215,Equipamentos_base!A:K,6,"FALSO"))</f>
        <v>0</v>
      </c>
      <c r="G215" s="326">
        <f>IF(A215="","",VLOOKUP(A215,Equipamentos_base!A:K,7,"FALSO"))</f>
        <v>9509.3108</v>
      </c>
      <c r="H215" s="326">
        <f>IF(A215="","",VLOOKUP(A215,Equipamentos_base!A:K,8,"FALSO"))</f>
        <v>1994.4</v>
      </c>
      <c r="I215" s="326">
        <f>IF(A215="","",VLOOKUP(A215,Equipamentos_base!A:K,9,"FALSO"))</f>
        <v>359.6943</v>
      </c>
      <c r="J215" s="327" t="s">
        <v>932</v>
      </c>
      <c r="K215" s="327" t="s">
        <v>932</v>
      </c>
      <c r="L215" s="316" t="str">
        <f>IF(J215="","",VLOOKUP(A215,Equipamentos_base!A:K,10,"FALSO"))</f>
        <v/>
      </c>
      <c r="M215" s="316" t="str">
        <f>IF(J215="","",VLOOKUP(A215,Equipamentos_base!A:K,11,"FALSO"))</f>
        <v/>
      </c>
    </row>
    <row r="216" s="316" customFormat="1" hidden="1" spans="1:13">
      <c r="A216" s="324" t="s">
        <v>15965</v>
      </c>
      <c r="B216" s="325" t="str">
        <f>IF(A216="","",VLOOKUP(A216,Equipamentos_base!A:K,2,"FALSO"))</f>
        <v>Draga hopper com capacidade de 4.000 m³</v>
      </c>
      <c r="C216" s="326">
        <f>IF(A216="","",VLOOKUP(A216,Equipamentos_base!A:K,3,"FALSO"))</f>
        <v>562545835.0236</v>
      </c>
      <c r="D216" s="326">
        <f>IF(A216="","",VLOOKUP(A216,Equipamentos_base!A:K,4,"FALSO"))</f>
        <v>5072.0015</v>
      </c>
      <c r="E216" s="326">
        <f>IF(A216="","",VLOOKUP(A216,Equipamentos_base!A:K,5,"FALSO"))</f>
        <v>3186.7977</v>
      </c>
      <c r="F216" s="326">
        <f>IF(A216="","",VLOOKUP(A216,Equipamentos_base!A:K,6,"FALSO"))</f>
        <v>0</v>
      </c>
      <c r="G216" s="326">
        <f>IF(A216="","",VLOOKUP(A216,Equipamentos_base!A:K,7,"FALSO"))</f>
        <v>11271.1145</v>
      </c>
      <c r="H216" s="326">
        <f>IF(A216="","",VLOOKUP(A216,Equipamentos_base!A:K,8,"FALSO"))</f>
        <v>2592.72</v>
      </c>
      <c r="I216" s="326">
        <f>IF(A216="","",VLOOKUP(A216,Equipamentos_base!A:K,9,"FALSO"))</f>
        <v>421.4019</v>
      </c>
      <c r="J216" s="327" t="s">
        <v>932</v>
      </c>
      <c r="K216" s="327" t="s">
        <v>932</v>
      </c>
      <c r="L216" s="316" t="str">
        <f>IF(J216="","",VLOOKUP(A216,Equipamentos_base!A:K,10,"FALSO"))</f>
        <v/>
      </c>
      <c r="M216" s="316" t="str">
        <f>IF(J216="","",VLOOKUP(A216,Equipamentos_base!A:K,11,"FALSO"))</f>
        <v/>
      </c>
    </row>
    <row r="217" s="316" customFormat="1" hidden="1" spans="1:13">
      <c r="A217" s="324" t="s">
        <v>15966</v>
      </c>
      <c r="B217" s="325" t="str">
        <f>IF(A217="","",VLOOKUP(A217,Equipamentos_base!A:K,2,"FALSO"))</f>
        <v>Draga hopper com capacidade de 5.000 m³</v>
      </c>
      <c r="C217" s="326">
        <f>IF(A217="","",VLOOKUP(A217,Equipamentos_base!A:K,3,"FALSO"))</f>
        <v>650478164.1761</v>
      </c>
      <c r="D217" s="326">
        <f>IF(A217="","",VLOOKUP(A217,Equipamentos_base!A:K,4,"FALSO"))</f>
        <v>5864.8132</v>
      </c>
      <c r="E217" s="326">
        <f>IF(A217="","",VLOOKUP(A217,Equipamentos_base!A:K,5,"FALSO"))</f>
        <v>3684.9306</v>
      </c>
      <c r="F217" s="326">
        <f>IF(A217="","",VLOOKUP(A217,Equipamentos_base!A:K,6,"FALSO"))</f>
        <v>0</v>
      </c>
      <c r="G217" s="326">
        <f>IF(A217="","",VLOOKUP(A217,Equipamentos_base!A:K,7,"FALSO"))</f>
        <v>13032.9183</v>
      </c>
      <c r="H217" s="326">
        <f>IF(A217="","",VLOOKUP(A217,Equipamentos_base!A:K,8,"FALSO"))</f>
        <v>3191.04</v>
      </c>
      <c r="I217" s="326">
        <f>IF(A217="","",VLOOKUP(A217,Equipamentos_base!A:K,9,"FALSO"))</f>
        <v>421.4019</v>
      </c>
      <c r="J217" s="327" t="s">
        <v>932</v>
      </c>
      <c r="K217" s="327" t="s">
        <v>932</v>
      </c>
      <c r="L217" s="316" t="str">
        <f>IF(J217="","",VLOOKUP(A217,Equipamentos_base!A:K,10,"FALSO"))</f>
        <v/>
      </c>
      <c r="M217" s="316" t="str">
        <f>IF(J217="","",VLOOKUP(A217,Equipamentos_base!A:K,11,"FALSO"))</f>
        <v/>
      </c>
    </row>
    <row r="218" s="316" customFormat="1" spans="1:13">
      <c r="A218" s="324" t="s">
        <v>15967</v>
      </c>
      <c r="B218" s="325" t="str">
        <f>IF(A218="","",VLOOKUP(A218,Equipamentos_base!A:K,2,"FALSO"))</f>
        <v>Central de concreto com capacidade de 30 m³/h - dosadora RS</v>
      </c>
      <c r="C218" s="326">
        <f>IF(A218="","",VLOOKUP(A218,Equipamentos_base!A:K,3,"FALSO"))</f>
        <v>273185.2039</v>
      </c>
      <c r="D218" s="326">
        <f>IF(A218="","",VLOOKUP(A218,Equipamentos_base!A:K,4,"FALSO"))</f>
        <v>27.3185</v>
      </c>
      <c r="E218" s="326">
        <f>IF(A218="","",VLOOKUP(A218,Equipamentos_base!A:K,5,"FALSO"))</f>
        <v>5.2674</v>
      </c>
      <c r="F218" s="326">
        <f>IF(A218="","",VLOOKUP(A218,Equipamentos_base!A:K,6,"FALSO"))</f>
        <v>0</v>
      </c>
      <c r="G218" s="326">
        <f>IF(A218="","",VLOOKUP(A218,Equipamentos_base!A:K,7,"FALSO"))</f>
        <v>23.9037</v>
      </c>
      <c r="H218" s="326">
        <f>IF(A218="","",VLOOKUP(A218,Equipamentos_base!A:K,8,"FALSO"))</f>
        <v>0</v>
      </c>
      <c r="I218" s="326">
        <f>IF(A218="","",VLOOKUP(A218,Equipamentos_base!A:K,9,"FALSO"))</f>
        <v>45.2393</v>
      </c>
      <c r="J218" s="327">
        <v>101.7289</v>
      </c>
      <c r="K218" s="327">
        <v>77.8252</v>
      </c>
      <c r="L218" s="316">
        <f>IF(J218="","",VLOOKUP(A218,Equipamentos_base!A:K,10,"FALSO"))</f>
        <v>101.7289</v>
      </c>
      <c r="M218" s="316">
        <f>IF(J218="","",VLOOKUP(A218,Equipamentos_base!A:K,11,"FALSO"))</f>
        <v>77.8252</v>
      </c>
    </row>
    <row r="219" s="316" customFormat="1" spans="1:13">
      <c r="A219" s="324" t="s">
        <v>15968</v>
      </c>
      <c r="B219" s="325" t="str">
        <f>IF(A219="","",VLOOKUP(A219,Equipamentos_base!A:K,2,"FALSO"))</f>
        <v>Caminhão betoneira com capacidade de 8 m³ - 236 kW</v>
      </c>
      <c r="C219" s="326">
        <f>IF(A219="","",VLOOKUP(A219,Equipamentos_base!A:K,3,"FALSO"))</f>
        <v>0</v>
      </c>
      <c r="D219" s="326">
        <f>IF(A219="","",VLOOKUP(A219,Equipamentos_base!A:K,4,"FALSO"))</f>
        <v>0</v>
      </c>
      <c r="E219" s="326">
        <f>IF(A219="","",VLOOKUP(A219,Equipamentos_base!A:K,5,"FALSO"))</f>
        <v>0</v>
      </c>
      <c r="F219" s="326">
        <f>IF(A219="","",VLOOKUP(A219,Equipamentos_base!A:K,6,"FALSO"))</f>
        <v>0</v>
      </c>
      <c r="G219" s="326">
        <f>IF(A219="","",VLOOKUP(A219,Equipamentos_base!A:K,7,"FALSO"))</f>
        <v>0</v>
      </c>
      <c r="H219" s="326">
        <f>IF(A219="","",VLOOKUP(A219,Equipamentos_base!A:K,8,"FALSO"))</f>
        <v>0</v>
      </c>
      <c r="I219" s="326">
        <f>IF(A219="","",VLOOKUP(A219,Equipamentos_base!A:K,9,"FALSO"))</f>
        <v>0</v>
      </c>
      <c r="J219" s="327">
        <v>393.4713</v>
      </c>
      <c r="K219" s="327">
        <v>124.5257</v>
      </c>
      <c r="L219" s="316">
        <f>IF(J219="","",VLOOKUP(A219,Equipamentos_base!A:K,10,"FALSO"))</f>
        <v>393.4713</v>
      </c>
      <c r="M219" s="316">
        <f>IF(J219="","",VLOOKUP(A219,Equipamentos_base!A:K,11,"FALSO"))</f>
        <v>124.5257</v>
      </c>
    </row>
    <row r="220" s="316" customFormat="1" hidden="1" spans="1:13">
      <c r="A220" s="324" t="s">
        <v>15969</v>
      </c>
      <c r="B220" s="325" t="str">
        <f>IF(A220="","",VLOOKUP(A220,Equipamentos_base!A:K,2,"FALSO"))</f>
        <v>Embarcação de transporte de pessoal e apoio logístico - 130 kW</v>
      </c>
      <c r="C220" s="326">
        <f>IF(A220="","",VLOOKUP(A220,Equipamentos_base!A:K,3,"FALSO"))</f>
        <v>494913.3121</v>
      </c>
      <c r="D220" s="326">
        <f>IF(A220="","",VLOOKUP(A220,Equipamentos_base!A:K,4,"FALSO"))</f>
        <v>5.6652</v>
      </c>
      <c r="E220" s="326">
        <f>IF(A220="","",VLOOKUP(A220,Equipamentos_base!A:K,5,"FALSO"))</f>
        <v>2.8449</v>
      </c>
      <c r="F220" s="326">
        <f>IF(A220="","",VLOOKUP(A220,Equipamentos_base!A:K,6,"FALSO"))</f>
        <v>0</v>
      </c>
      <c r="G220" s="326">
        <f>IF(A220="","",VLOOKUP(A220,Equipamentos_base!A:K,7,"FALSO"))</f>
        <v>6.2947</v>
      </c>
      <c r="H220" s="326">
        <f>IF(A220="","",VLOOKUP(A220,Equipamentos_base!A:K,8,"FALSO"))</f>
        <v>274.04</v>
      </c>
      <c r="I220" s="326">
        <f>IF(A220="","",VLOOKUP(A220,Equipamentos_base!A:K,9,"FALSO"))</f>
        <v>41.7512</v>
      </c>
      <c r="J220" s="327" t="s">
        <v>932</v>
      </c>
      <c r="K220" s="327" t="s">
        <v>932</v>
      </c>
      <c r="L220" s="316" t="str">
        <f>IF(J220="","",VLOOKUP(A220,Equipamentos_base!A:K,10,"FALSO"))</f>
        <v/>
      </c>
      <c r="M220" s="316" t="str">
        <f>IF(J220="","",VLOOKUP(A220,Equipamentos_base!A:K,11,"FALSO"))</f>
        <v/>
      </c>
    </row>
    <row r="221" s="316" customFormat="1" hidden="1" spans="1:13">
      <c r="A221" s="324" t="s">
        <v>15970</v>
      </c>
      <c r="B221" s="325" t="str">
        <f>IF(A221="","",VLOOKUP(A221,Equipamentos_base!A:K,2,"FALSO"))</f>
        <v>Embarcação rebocadora multipropósito com guindaste hidráulico de 74 kN.m - 165 kW</v>
      </c>
      <c r="C221" s="326">
        <f>IF(A221="","",VLOOKUP(A221,Equipamentos_base!A:K,3,"FALSO"))</f>
        <v>2305872.4083</v>
      </c>
      <c r="D221" s="326">
        <f>IF(A221="","",VLOOKUP(A221,Equipamentos_base!A:K,4,"FALSO"))</f>
        <v>26.3951</v>
      </c>
      <c r="E221" s="326">
        <f>IF(A221="","",VLOOKUP(A221,Equipamentos_base!A:K,5,"FALSO"))</f>
        <v>13.2548</v>
      </c>
      <c r="F221" s="326">
        <f>IF(A221="","",VLOOKUP(A221,Equipamentos_base!A:K,6,"FALSO"))</f>
        <v>0</v>
      </c>
      <c r="G221" s="326">
        <f>IF(A221="","",VLOOKUP(A221,Equipamentos_base!A:K,7,"FALSO"))</f>
        <v>58.6557</v>
      </c>
      <c r="H221" s="326">
        <f>IF(A221="","",VLOOKUP(A221,Equipamentos_base!A:K,8,"FALSO"))</f>
        <v>173.679</v>
      </c>
      <c r="I221" s="326">
        <f>IF(A221="","",VLOOKUP(A221,Equipamentos_base!A:K,9,"FALSO"))</f>
        <v>136.0494</v>
      </c>
      <c r="J221" s="327" t="s">
        <v>932</v>
      </c>
      <c r="K221" s="327" t="s">
        <v>932</v>
      </c>
      <c r="L221" s="316" t="str">
        <f>IF(J221="","",VLOOKUP(A221,Equipamentos_base!A:K,10,"FALSO"))</f>
        <v/>
      </c>
      <c r="M221" s="316" t="str">
        <f>IF(J221="","",VLOOKUP(A221,Equipamentos_base!A:K,11,"FALSO"))</f>
        <v/>
      </c>
    </row>
    <row r="222" s="316" customFormat="1" hidden="1" spans="1:13">
      <c r="A222" s="324" t="s">
        <v>15971</v>
      </c>
      <c r="B222" s="325" t="str">
        <f>IF(A222="","",VLOOKUP(A222,Equipamentos_base!A:K,2,"FALSO"))</f>
        <v>Caminhão basculante para rocha com capacidade de 8 m³ - 210 kW</v>
      </c>
      <c r="C222" s="326">
        <f>IF(A222="","",VLOOKUP(A222,Equipamentos_base!A:K,3,"FALSO"))</f>
        <v>0</v>
      </c>
      <c r="D222" s="326">
        <f>IF(A222="","",VLOOKUP(A222,Equipamentos_base!A:K,4,"FALSO"))</f>
        <v>0</v>
      </c>
      <c r="E222" s="326">
        <f>IF(A222="","",VLOOKUP(A222,Equipamentos_base!A:K,5,"FALSO"))</f>
        <v>0</v>
      </c>
      <c r="F222" s="326">
        <f>IF(A222="","",VLOOKUP(A222,Equipamentos_base!A:K,6,"FALSO"))</f>
        <v>0</v>
      </c>
      <c r="G222" s="326">
        <f>IF(A222="","",VLOOKUP(A222,Equipamentos_base!A:K,7,"FALSO"))</f>
        <v>0</v>
      </c>
      <c r="H222" s="326">
        <f>IF(A222="","",VLOOKUP(A222,Equipamentos_base!A:K,8,"FALSO"))</f>
        <v>0</v>
      </c>
      <c r="I222" s="326">
        <f>IF(A222="","",VLOOKUP(A222,Equipamentos_base!A:K,9,"FALSO"))</f>
        <v>0</v>
      </c>
      <c r="J222" s="327" t="s">
        <v>932</v>
      </c>
      <c r="K222" s="327" t="s">
        <v>932</v>
      </c>
      <c r="L222" s="316" t="str">
        <f>IF(J222="","",VLOOKUP(A222,Equipamentos_base!A:K,10,"FALSO"))</f>
        <v/>
      </c>
      <c r="M222" s="316" t="str">
        <f>IF(J222="","",VLOOKUP(A222,Equipamentos_base!A:K,11,"FALSO"))</f>
        <v/>
      </c>
    </row>
    <row r="223" s="316" customFormat="1" spans="1:13">
      <c r="A223" s="324" t="s">
        <v>15972</v>
      </c>
      <c r="B223" s="325" t="str">
        <f>IF(A223="","",VLOOKUP(A223,Equipamentos_base!A:K,2,"FALSO"))</f>
        <v>Caminhão tanque com capacidade de 6.000 l - 136 kW</v>
      </c>
      <c r="C223" s="326">
        <f>IF(A223="","",VLOOKUP(A223,Equipamentos_base!A:K,3,"FALSO"))</f>
        <v>0</v>
      </c>
      <c r="D223" s="326">
        <f>IF(A223="","",VLOOKUP(A223,Equipamentos_base!A:K,4,"FALSO"))</f>
        <v>0</v>
      </c>
      <c r="E223" s="326">
        <f>IF(A223="","",VLOOKUP(A223,Equipamentos_base!A:K,5,"FALSO"))</f>
        <v>0</v>
      </c>
      <c r="F223" s="326">
        <f>IF(A223="","",VLOOKUP(A223,Equipamentos_base!A:K,6,"FALSO"))</f>
        <v>0</v>
      </c>
      <c r="G223" s="326">
        <f>IF(A223="","",VLOOKUP(A223,Equipamentos_base!A:K,7,"FALSO"))</f>
        <v>0</v>
      </c>
      <c r="H223" s="326">
        <f>IF(A223="","",VLOOKUP(A223,Equipamentos_base!A:K,8,"FALSO"))</f>
        <v>0</v>
      </c>
      <c r="I223" s="326">
        <f>IF(A223="","",VLOOKUP(A223,Equipamentos_base!A:K,9,"FALSO"))</f>
        <v>0</v>
      </c>
      <c r="J223" s="327">
        <v>283.0334</v>
      </c>
      <c r="K223" s="327">
        <v>85.4833</v>
      </c>
      <c r="L223" s="316">
        <f>IF(J223="","",VLOOKUP(A223,Equipamentos_base!A:K,10,"FALSO"))</f>
        <v>283.0334</v>
      </c>
      <c r="M223" s="316">
        <f>IF(J223="","",VLOOKUP(A223,Equipamentos_base!A:K,11,"FALSO"))</f>
        <v>85.4833</v>
      </c>
    </row>
    <row r="224" s="316" customFormat="1" hidden="1" spans="1:13">
      <c r="A224" s="324" t="s">
        <v>15973</v>
      </c>
      <c r="B224" s="325" t="str">
        <f>IF(A224="","",VLOOKUP(A224,Equipamentos_base!A:K,2,"FALSO"))</f>
        <v>Embarcação rebocadora - 2 x 268 kW</v>
      </c>
      <c r="C224" s="326">
        <f>IF(A224="","",VLOOKUP(A224,Equipamentos_base!A:K,3,"FALSO"))</f>
        <v>1131671.664</v>
      </c>
      <c r="D224" s="326">
        <f>IF(A224="","",VLOOKUP(A224,Equipamentos_base!A:K,4,"FALSO"))</f>
        <v>12.9541</v>
      </c>
      <c r="E224" s="326">
        <f>IF(A224="","",VLOOKUP(A224,Equipamentos_base!A:K,5,"FALSO"))</f>
        <v>6.5052</v>
      </c>
      <c r="F224" s="326">
        <f>IF(A224="","",VLOOKUP(A224,Equipamentos_base!A:K,6,"FALSO"))</f>
        <v>0</v>
      </c>
      <c r="G224" s="326">
        <f>IF(A224="","",VLOOKUP(A224,Equipamentos_base!A:K,7,"FALSO"))</f>
        <v>28.7869</v>
      </c>
      <c r="H224" s="326">
        <f>IF(A224="","",VLOOKUP(A224,Equipamentos_base!A:K,8,"FALSO"))</f>
        <v>565.2462</v>
      </c>
      <c r="I224" s="326">
        <f>IF(A224="","",VLOOKUP(A224,Equipamentos_base!A:K,9,"FALSO"))</f>
        <v>136.0494</v>
      </c>
      <c r="J224" s="327" t="s">
        <v>932</v>
      </c>
      <c r="K224" s="327" t="s">
        <v>932</v>
      </c>
      <c r="L224" s="316" t="str">
        <f>IF(J224="","",VLOOKUP(A224,Equipamentos_base!A:K,10,"FALSO"))</f>
        <v/>
      </c>
      <c r="M224" s="316" t="str">
        <f>IF(J224="","",VLOOKUP(A224,Equipamentos_base!A:K,11,"FALSO"))</f>
        <v/>
      </c>
    </row>
    <row r="225" s="316" customFormat="1" hidden="1" spans="1:13">
      <c r="A225" s="324" t="s">
        <v>15974</v>
      </c>
      <c r="B225" s="325" t="str">
        <f>IF(A225="","",VLOOKUP(A225,Equipamentos_base!A:K,2,"FALSO"))</f>
        <v>Conjunto de britagem para rachão com capacidade de 80 m³/h - 224 kW</v>
      </c>
      <c r="C225" s="326">
        <f>IF(A225="","",VLOOKUP(A225,Equipamentos_base!A:K,3,"FALSO"))</f>
        <v>2395364.0151</v>
      </c>
      <c r="D225" s="326">
        <f>IF(A225="","",VLOOKUP(A225,Equipamentos_base!A:K,4,"FALSO"))</f>
        <v>127.7527</v>
      </c>
      <c r="E225" s="326">
        <f>IF(A225="","",VLOOKUP(A225,Equipamentos_base!A:K,5,"FALSO"))</f>
        <v>41.875</v>
      </c>
      <c r="F225" s="326">
        <f>IF(A225="","",VLOOKUP(A225,Equipamentos_base!A:K,6,"FALSO"))</f>
        <v>0</v>
      </c>
      <c r="G225" s="326">
        <f>IF(A225="","",VLOOKUP(A225,Equipamentos_base!A:K,7,"FALSO"))</f>
        <v>95.8146</v>
      </c>
      <c r="H225" s="326">
        <f>IF(A225="","",VLOOKUP(A225,Equipamentos_base!A:K,8,"FALSO"))</f>
        <v>0</v>
      </c>
      <c r="I225" s="326">
        <f>IF(A225="","",VLOOKUP(A225,Equipamentos_base!A:K,9,"FALSO"))</f>
        <v>45.2393</v>
      </c>
      <c r="J225" s="327" t="s">
        <v>932</v>
      </c>
      <c r="K225" s="327" t="s">
        <v>932</v>
      </c>
      <c r="L225" s="316" t="str">
        <f>IF(J225="","",VLOOKUP(A225,Equipamentos_base!A:K,10,"FALSO"))</f>
        <v/>
      </c>
      <c r="M225" s="316" t="str">
        <f>IF(J225="","",VLOOKUP(A225,Equipamentos_base!A:K,11,"FALSO"))</f>
        <v/>
      </c>
    </row>
    <row r="226" s="316" customFormat="1" hidden="1" spans="1:13">
      <c r="A226" s="324" t="s">
        <v>15975</v>
      </c>
      <c r="B226" s="325" t="str">
        <f>IF(A226="","",VLOOKUP(A226,Equipamentos_base!A:K,2,"FALSO"))</f>
        <v>Draga de sucção para extração de areia com tubo de descarga de 150 mm - 100 kW</v>
      </c>
      <c r="C226" s="326">
        <f>IF(A226="","",VLOOKUP(A226,Equipamentos_base!A:K,3,"FALSO"))</f>
        <v>630412.1005</v>
      </c>
      <c r="D226" s="326">
        <f>IF(A226="","",VLOOKUP(A226,Equipamentos_base!A:K,4,"FALSO"))</f>
        <v>13.5088</v>
      </c>
      <c r="E226" s="326">
        <f>IF(A226="","",VLOOKUP(A226,Equipamentos_base!A:K,5,"FALSO"))</f>
        <v>5.3251</v>
      </c>
      <c r="F226" s="326">
        <f>IF(A226="","",VLOOKUP(A226,Equipamentos_base!A:K,6,"FALSO"))</f>
        <v>0</v>
      </c>
      <c r="G226" s="326">
        <f>IF(A226="","",VLOOKUP(A226,Equipamentos_base!A:K,7,"FALSO"))</f>
        <v>30.0196</v>
      </c>
      <c r="H226" s="326">
        <f>IF(A226="","",VLOOKUP(A226,Equipamentos_base!A:K,8,"FALSO"))</f>
        <v>83.1</v>
      </c>
      <c r="I226" s="326">
        <f>IF(A226="","",VLOOKUP(A226,Equipamentos_base!A:K,9,"FALSO"))</f>
        <v>34.3199</v>
      </c>
      <c r="J226" s="327" t="s">
        <v>932</v>
      </c>
      <c r="K226" s="327" t="s">
        <v>932</v>
      </c>
      <c r="L226" s="316" t="str">
        <f>IF(J226="","",VLOOKUP(A226,Equipamentos_base!A:K,10,"FALSO"))</f>
        <v/>
      </c>
      <c r="M226" s="316" t="str">
        <f>IF(J226="","",VLOOKUP(A226,Equipamentos_base!A:K,11,"FALSO"))</f>
        <v/>
      </c>
    </row>
    <row r="227" s="316" customFormat="1" hidden="1" spans="1:13">
      <c r="A227" s="324" t="s">
        <v>15976</v>
      </c>
      <c r="B227" s="325" t="str">
        <f>IF(A227="","",VLOOKUP(A227,Equipamentos_base!A:K,2,"FALSO"))</f>
        <v>Conjunto de britagem com capacidade de 80 m³/h - 313 kW</v>
      </c>
      <c r="C227" s="326">
        <f>IF(A227="","",VLOOKUP(A227,Equipamentos_base!A:K,3,"FALSO"))</f>
        <v>8679892.5092</v>
      </c>
      <c r="D227" s="326">
        <f>IF(A227="","",VLOOKUP(A227,Equipamentos_base!A:K,4,"FALSO"))</f>
        <v>462.9276</v>
      </c>
      <c r="E227" s="326">
        <f>IF(A227="","",VLOOKUP(A227,Equipamentos_base!A:K,5,"FALSO"))</f>
        <v>151.739</v>
      </c>
      <c r="F227" s="326">
        <f>IF(A227="","",VLOOKUP(A227,Equipamentos_base!A:K,6,"FALSO"))</f>
        <v>0</v>
      </c>
      <c r="G227" s="326">
        <f>IF(A227="","",VLOOKUP(A227,Equipamentos_base!A:K,7,"FALSO"))</f>
        <v>347.1957</v>
      </c>
      <c r="H227" s="326">
        <f>IF(A227="","",VLOOKUP(A227,Equipamentos_base!A:K,8,"FALSO"))</f>
        <v>0</v>
      </c>
      <c r="I227" s="326">
        <f>IF(A227="","",VLOOKUP(A227,Equipamentos_base!A:K,9,"FALSO"))</f>
        <v>45.2393</v>
      </c>
      <c r="J227" s="327" t="s">
        <v>932</v>
      </c>
      <c r="K227" s="327" t="s">
        <v>932</v>
      </c>
      <c r="L227" s="316" t="str">
        <f>IF(J227="","",VLOOKUP(A227,Equipamentos_base!A:K,10,"FALSO"))</f>
        <v/>
      </c>
      <c r="M227" s="316" t="str">
        <f>IF(J227="","",VLOOKUP(A227,Equipamentos_base!A:K,11,"FALSO"))</f>
        <v/>
      </c>
    </row>
    <row r="228" s="316" customFormat="1" hidden="1" spans="1:13">
      <c r="A228" s="324" t="s">
        <v>15977</v>
      </c>
      <c r="B228" s="325" t="str">
        <f>IF(A228="","",VLOOKUP(A228,Equipamentos_base!A:K,2,"FALSO"))</f>
        <v>Plataforma flutuante montada na obra de 12 x 24 x 1,8 m com capacidade de 150 t</v>
      </c>
      <c r="C228" s="326">
        <f>IF(A228="","",VLOOKUP(A228,Equipamentos_base!A:K,3,"FALSO"))</f>
        <v>690395.1986</v>
      </c>
      <c r="D228" s="326">
        <f>IF(A228="","",VLOOKUP(A228,Equipamentos_base!A:K,4,"FALSO"))</f>
        <v>7.9029</v>
      </c>
      <c r="E228" s="326">
        <f>IF(A228="","",VLOOKUP(A228,Equipamentos_base!A:K,5,"FALSO"))</f>
        <v>3.9686</v>
      </c>
      <c r="F228" s="326">
        <f>IF(A228="","",VLOOKUP(A228,Equipamentos_base!A:K,6,"FALSO"))</f>
        <v>0</v>
      </c>
      <c r="G228" s="326">
        <f>IF(A228="","",VLOOKUP(A228,Equipamentos_base!A:K,7,"FALSO"))</f>
        <v>13.1715</v>
      </c>
      <c r="H228" s="326">
        <f>IF(A228="","",VLOOKUP(A228,Equipamentos_base!A:K,8,"FALSO"))</f>
        <v>0</v>
      </c>
      <c r="I228" s="326">
        <f>IF(A228="","",VLOOKUP(A228,Equipamentos_base!A:K,9,"FALSO"))</f>
        <v>60.0832</v>
      </c>
      <c r="J228" s="327" t="s">
        <v>932</v>
      </c>
      <c r="K228" s="327" t="s">
        <v>932</v>
      </c>
      <c r="L228" s="316" t="str">
        <f>IF(J228="","",VLOOKUP(A228,Equipamentos_base!A:K,10,"FALSO"))</f>
        <v/>
      </c>
      <c r="M228" s="316" t="str">
        <f>IF(J228="","",VLOOKUP(A228,Equipamentos_base!A:K,11,"FALSO"))</f>
        <v/>
      </c>
    </row>
    <row r="229" s="316" customFormat="1" hidden="1" spans="1:13">
      <c r="A229" s="324" t="s">
        <v>15978</v>
      </c>
      <c r="B229" s="325" t="str">
        <f>IF(A229="","",VLOOKUP(A229,Equipamentos_base!A:K,2,"FALSO"))</f>
        <v>Guindaste móvel sobre esteiras com pinça com capacidade de 40 t - 186 kW</v>
      </c>
      <c r="C229" s="326">
        <f>IF(A229="","",VLOOKUP(A229,Equipamentos_base!A:K,3,"FALSO"))</f>
        <v>7777336.8714</v>
      </c>
      <c r="D229" s="326">
        <f>IF(A229="","",VLOOKUP(A229,Equipamentos_base!A:K,4,"FALSO"))</f>
        <v>418.7797</v>
      </c>
      <c r="E229" s="326">
        <f>IF(A229="","",VLOOKUP(A229,Equipamentos_base!A:K,5,"FALSO"))</f>
        <v>138.4216</v>
      </c>
      <c r="F229" s="326">
        <f>IF(A229="","",VLOOKUP(A229,Equipamentos_base!A:K,6,"FALSO"))</f>
        <v>0</v>
      </c>
      <c r="G229" s="326">
        <f>IF(A229="","",VLOOKUP(A229,Equipamentos_base!A:K,7,"FALSO"))</f>
        <v>598.2567</v>
      </c>
      <c r="H229" s="326">
        <f>IF(A229="","",VLOOKUP(A229,Equipamentos_base!A:K,8,"FALSO"))</f>
        <v>51.522</v>
      </c>
      <c r="I229" s="326">
        <f>IF(A229="","",VLOOKUP(A229,Equipamentos_base!A:K,9,"FALSO"))</f>
        <v>45.2393</v>
      </c>
      <c r="J229" s="327" t="s">
        <v>932</v>
      </c>
      <c r="K229" s="327" t="s">
        <v>932</v>
      </c>
      <c r="L229" s="316" t="str">
        <f>IF(J229="","",VLOOKUP(A229,Equipamentos_base!A:K,10,"FALSO"))</f>
        <v/>
      </c>
      <c r="M229" s="316" t="str">
        <f>IF(J229="","",VLOOKUP(A229,Equipamentos_base!A:K,11,"FALSO"))</f>
        <v/>
      </c>
    </row>
    <row r="230" s="316" customFormat="1" hidden="1" spans="1:13">
      <c r="A230" s="324" t="s">
        <v>15979</v>
      </c>
      <c r="B230" s="325" t="str">
        <f>IF(A230="","",VLOOKUP(A230,Equipamentos_base!A:K,2,"FALSO"))</f>
        <v>Bomba com capacidade de 136 m³/h e câmara de vácuo - 5,60 kW</v>
      </c>
      <c r="C230" s="326">
        <f>IF(A230="","",VLOOKUP(A230,Equipamentos_base!A:K,3,"FALSO"))</f>
        <v>11870.3226</v>
      </c>
      <c r="D230" s="326">
        <f>IF(A230="","",VLOOKUP(A230,Equipamentos_base!A:K,4,"FALSO"))</f>
        <v>0.9496</v>
      </c>
      <c r="E230" s="326">
        <f>IF(A230="","",VLOOKUP(A230,Equipamentos_base!A:K,5,"FALSO"))</f>
        <v>0.2197</v>
      </c>
      <c r="F230" s="326">
        <f>IF(A230="","",VLOOKUP(A230,Equipamentos_base!A:K,6,"FALSO"))</f>
        <v>0</v>
      </c>
      <c r="G230" s="326">
        <f>IF(A230="","",VLOOKUP(A230,Equipamentos_base!A:K,7,"FALSO"))</f>
        <v>0.8309</v>
      </c>
      <c r="H230" s="326">
        <f>IF(A230="","",VLOOKUP(A230,Equipamentos_base!A:K,8,"FALSO"))</f>
        <v>0</v>
      </c>
      <c r="I230" s="326">
        <f>IF(A230="","",VLOOKUP(A230,Equipamentos_base!A:K,9,"FALSO"))</f>
        <v>0</v>
      </c>
      <c r="J230" s="327" t="s">
        <v>932</v>
      </c>
      <c r="K230" s="327" t="s">
        <v>932</v>
      </c>
      <c r="L230" s="316" t="str">
        <f>IF(J230="","",VLOOKUP(A230,Equipamentos_base!A:K,10,"FALSO"))</f>
        <v/>
      </c>
      <c r="M230" s="316" t="str">
        <f>IF(J230="","",VLOOKUP(A230,Equipamentos_base!A:K,11,"FALSO"))</f>
        <v/>
      </c>
    </row>
    <row r="231" s="316" customFormat="1" hidden="1" spans="1:13">
      <c r="A231" s="324" t="s">
        <v>15980</v>
      </c>
      <c r="B231" s="325" t="str">
        <f>IF(A231="","",VLOOKUP(A231,Equipamentos_base!A:K,2,"FALSO"))</f>
        <v>Usina misturadora de solos com capacidade de 300 t/h - 44 kW</v>
      </c>
      <c r="C231" s="326">
        <f>IF(A231="","",VLOOKUP(A231,Equipamentos_base!A:K,3,"FALSO"))</f>
        <v>1630244.2039</v>
      </c>
      <c r="D231" s="326">
        <f>IF(A231="","",VLOOKUP(A231,Equipamentos_base!A:K,4,"FALSO"))</f>
        <v>163.0244</v>
      </c>
      <c r="E231" s="326">
        <f>IF(A231="","",VLOOKUP(A231,Equipamentos_base!A:K,5,"FALSO"))</f>
        <v>31.4331</v>
      </c>
      <c r="F231" s="326">
        <f>IF(A231="","",VLOOKUP(A231,Equipamentos_base!A:K,6,"FALSO"))</f>
        <v>0</v>
      </c>
      <c r="G231" s="326">
        <f>IF(A231="","",VLOOKUP(A231,Equipamentos_base!A:K,7,"FALSO"))</f>
        <v>142.6464</v>
      </c>
      <c r="H231" s="326">
        <f>IF(A231="","",VLOOKUP(A231,Equipamentos_base!A:K,8,"FALSO"))</f>
        <v>0</v>
      </c>
      <c r="I231" s="326">
        <f>IF(A231="","",VLOOKUP(A231,Equipamentos_base!A:K,9,"FALSO"))</f>
        <v>33.7544</v>
      </c>
      <c r="J231" s="327" t="s">
        <v>932</v>
      </c>
      <c r="K231" s="327" t="s">
        <v>932</v>
      </c>
      <c r="L231" s="316" t="str">
        <f>IF(J231="","",VLOOKUP(A231,Equipamentos_base!A:K,10,"FALSO"))</f>
        <v/>
      </c>
      <c r="M231" s="316" t="str">
        <f>IF(J231="","",VLOOKUP(A231,Equipamentos_base!A:K,11,"FALSO"))</f>
        <v/>
      </c>
    </row>
    <row r="232" s="316" customFormat="1" hidden="1" spans="1:13">
      <c r="A232" s="324" t="s">
        <v>15981</v>
      </c>
      <c r="B232" s="325" t="str">
        <f>IF(A232="","",VLOOKUP(A232,Equipamentos_base!A:K,2,"FALSO"))</f>
        <v>Usina misturadora de pré-misturado a frio com capacidade de 60 t/h - 23,50 kW</v>
      </c>
      <c r="C232" s="326">
        <f>IF(A232="","",VLOOKUP(A232,Equipamentos_base!A:K,3,"FALSO"))</f>
        <v>232489.0576</v>
      </c>
      <c r="D232" s="326">
        <f>IF(A232="","",VLOOKUP(A232,Equipamentos_base!A:K,4,"FALSO"))</f>
        <v>23.2489</v>
      </c>
      <c r="E232" s="326">
        <f>IF(A232="","",VLOOKUP(A232,Equipamentos_base!A:K,5,"FALSO"))</f>
        <v>4.4827</v>
      </c>
      <c r="F232" s="326">
        <f>IF(A232="","",VLOOKUP(A232,Equipamentos_base!A:K,6,"FALSO"))</f>
        <v>0</v>
      </c>
      <c r="G232" s="326">
        <f>IF(A232="","",VLOOKUP(A232,Equipamentos_base!A:K,7,"FALSO"))</f>
        <v>20.3428</v>
      </c>
      <c r="H232" s="326">
        <f>IF(A232="","",VLOOKUP(A232,Equipamentos_base!A:K,8,"FALSO"))</f>
        <v>0</v>
      </c>
      <c r="I232" s="326">
        <f>IF(A232="","",VLOOKUP(A232,Equipamentos_base!A:K,9,"FALSO"))</f>
        <v>33.7544</v>
      </c>
      <c r="J232" s="327" t="s">
        <v>932</v>
      </c>
      <c r="K232" s="327" t="s">
        <v>932</v>
      </c>
      <c r="L232" s="316" t="str">
        <f>IF(J232="","",VLOOKUP(A232,Equipamentos_base!A:K,10,"FALSO"))</f>
        <v/>
      </c>
      <c r="M232" s="316" t="str">
        <f>IF(J232="","",VLOOKUP(A232,Equipamentos_base!A:K,11,"FALSO"))</f>
        <v/>
      </c>
    </row>
    <row r="233" s="316" customFormat="1" hidden="1" spans="1:13">
      <c r="A233" s="324" t="s">
        <v>15982</v>
      </c>
      <c r="B233" s="325" t="str">
        <f>IF(A233="","",VLOOKUP(A233,Equipamentos_base!A:K,2,"FALSO"))</f>
        <v>Batelão autopropelido com capacidade de 300 m³ - 224 kW</v>
      </c>
      <c r="C233" s="326">
        <f>IF(A233="","",VLOOKUP(A233,Equipamentos_base!A:K,3,"FALSO"))</f>
        <v>23331156.6267</v>
      </c>
      <c r="D233" s="326">
        <f>IF(A233="","",VLOOKUP(A233,Equipamentos_base!A:K,4,"FALSO"))</f>
        <v>301.7792</v>
      </c>
      <c r="E233" s="326">
        <f>IF(A233="","",VLOOKUP(A233,Equipamentos_base!A:K,5,"FALSO"))</f>
        <v>135.3037</v>
      </c>
      <c r="F233" s="326">
        <f>IF(A233="","",VLOOKUP(A233,Equipamentos_base!A:K,6,"FALSO"))</f>
        <v>0</v>
      </c>
      <c r="G233" s="326">
        <f>IF(A233="","",VLOOKUP(A233,Equipamentos_base!A:K,7,"FALSO"))</f>
        <v>670.6205</v>
      </c>
      <c r="H233" s="326">
        <f>IF(A233="","",VLOOKUP(A233,Equipamentos_base!A:K,8,"FALSO"))</f>
        <v>74.4576</v>
      </c>
      <c r="I233" s="326">
        <f>IF(A233="","",VLOOKUP(A233,Equipamentos_base!A:K,9,"FALSO"))</f>
        <v>104.3834</v>
      </c>
      <c r="J233" s="327" t="s">
        <v>932</v>
      </c>
      <c r="K233" s="327" t="s">
        <v>932</v>
      </c>
      <c r="L233" s="316" t="str">
        <f>IF(J233="","",VLOOKUP(A233,Equipamentos_base!A:K,10,"FALSO"))</f>
        <v/>
      </c>
      <c r="M233" s="316" t="str">
        <f>IF(J233="","",VLOOKUP(A233,Equipamentos_base!A:K,11,"FALSO"))</f>
        <v/>
      </c>
    </row>
    <row r="234" s="316" customFormat="1" hidden="1" spans="1:13">
      <c r="A234" s="324" t="s">
        <v>15983</v>
      </c>
      <c r="B234" s="325" t="str">
        <f>IF(A234="","",VLOOKUP(A234,Equipamentos_base!A:K,2,"FALSO"))</f>
        <v>Batelão autopropelido com capacidade de 500 m³ - 373 kW</v>
      </c>
      <c r="C234" s="326">
        <f>IF(A234="","",VLOOKUP(A234,Equipamentos_base!A:K,3,"FALSO"))</f>
        <v>28621866.0007</v>
      </c>
      <c r="D234" s="326">
        <f>IF(A234="","",VLOOKUP(A234,Equipamentos_base!A:K,4,"FALSO"))</f>
        <v>370.2125</v>
      </c>
      <c r="E234" s="326">
        <f>IF(A234="","",VLOOKUP(A234,Equipamentos_base!A:K,5,"FALSO"))</f>
        <v>165.986</v>
      </c>
      <c r="F234" s="326">
        <f>IF(A234="","",VLOOKUP(A234,Equipamentos_base!A:K,6,"FALSO"))</f>
        <v>0</v>
      </c>
      <c r="G234" s="326">
        <f>IF(A234="","",VLOOKUP(A234,Equipamentos_base!A:K,7,"FALSO"))</f>
        <v>822.6944</v>
      </c>
      <c r="H234" s="326">
        <f>IF(A234="","",VLOOKUP(A234,Equipamentos_base!A:K,8,"FALSO"))</f>
        <v>123.9852</v>
      </c>
      <c r="I234" s="326">
        <f>IF(A234="","",VLOOKUP(A234,Equipamentos_base!A:K,9,"FALSO"))</f>
        <v>104.3834</v>
      </c>
      <c r="J234" s="327" t="s">
        <v>932</v>
      </c>
      <c r="K234" s="327" t="s">
        <v>932</v>
      </c>
      <c r="L234" s="316" t="str">
        <f>IF(J234="","",VLOOKUP(A234,Equipamentos_base!A:K,10,"FALSO"))</f>
        <v/>
      </c>
      <c r="M234" s="316" t="str">
        <f>IF(J234="","",VLOOKUP(A234,Equipamentos_base!A:K,11,"FALSO"))</f>
        <v/>
      </c>
    </row>
    <row r="235" s="316" customFormat="1" hidden="1" spans="1:13">
      <c r="A235" s="324" t="s">
        <v>15984</v>
      </c>
      <c r="B235" s="325" t="str">
        <f>IF(A235="","",VLOOKUP(A235,Equipamentos_base!A:K,2,"FALSO"))</f>
        <v>Pontão flutuante de 15 x 30 x 1,8 m com capacidade de 500 t</v>
      </c>
      <c r="C235" s="326">
        <f>IF(A235="","",VLOOKUP(A235,Equipamentos_base!A:K,3,"FALSO"))</f>
        <v>3407434.6389</v>
      </c>
      <c r="D235" s="326">
        <f>IF(A235="","",VLOOKUP(A235,Equipamentos_base!A:K,4,"FALSO"))</f>
        <v>39.0045</v>
      </c>
      <c r="E235" s="326">
        <f>IF(A235="","",VLOOKUP(A235,Equipamentos_base!A:K,5,"FALSO"))</f>
        <v>19.5869</v>
      </c>
      <c r="F235" s="326">
        <f>IF(A235="","",VLOOKUP(A235,Equipamentos_base!A:K,6,"FALSO"))</f>
        <v>0</v>
      </c>
      <c r="G235" s="326">
        <f>IF(A235="","",VLOOKUP(A235,Equipamentos_base!A:K,7,"FALSO"))</f>
        <v>65.0075</v>
      </c>
      <c r="H235" s="326">
        <f>IF(A235="","",VLOOKUP(A235,Equipamentos_base!A:K,8,"FALSO"))</f>
        <v>0</v>
      </c>
      <c r="I235" s="326">
        <f>IF(A235="","",VLOOKUP(A235,Equipamentos_base!A:K,9,"FALSO"))</f>
        <v>30.0416</v>
      </c>
      <c r="J235" s="327" t="s">
        <v>932</v>
      </c>
      <c r="K235" s="327" t="s">
        <v>932</v>
      </c>
      <c r="L235" s="316" t="str">
        <f>IF(J235="","",VLOOKUP(A235,Equipamentos_base!A:K,10,"FALSO"))</f>
        <v/>
      </c>
      <c r="M235" s="316" t="str">
        <f>IF(J235="","",VLOOKUP(A235,Equipamentos_base!A:K,11,"FALSO"))</f>
        <v/>
      </c>
    </row>
    <row r="236" s="316" customFormat="1" ht="30" hidden="1" spans="1:13">
      <c r="A236" s="324" t="s">
        <v>15985</v>
      </c>
      <c r="B236" s="325" t="str">
        <f>IF(A236="","",VLOOKUP(A236,Equipamentos_base!A:K,2,"FALSO"))</f>
        <v>Bomba de injeção de argamassa e nata com capacidade de 1,08 m³/h (18 l/min) e misturador com tambor de 0,100 m³ - 6,20 kW</v>
      </c>
      <c r="C236" s="326">
        <f>IF(A236="","",VLOOKUP(A236,Equipamentos_base!A:K,3,"FALSO"))</f>
        <v>55346.0636</v>
      </c>
      <c r="D236" s="326">
        <f>IF(A236="","",VLOOKUP(A236,Equipamentos_base!A:K,4,"FALSO"))</f>
        <v>5.5346</v>
      </c>
      <c r="E236" s="326">
        <f>IF(A236="","",VLOOKUP(A236,Equipamentos_base!A:K,5,"FALSO"))</f>
        <v>1.0671</v>
      </c>
      <c r="F236" s="326">
        <f>IF(A236="","",VLOOKUP(A236,Equipamentos_base!A:K,6,"FALSO"))</f>
        <v>0</v>
      </c>
      <c r="G236" s="326">
        <f>IF(A236="","",VLOOKUP(A236,Equipamentos_base!A:K,7,"FALSO"))</f>
        <v>5.5346</v>
      </c>
      <c r="H236" s="326">
        <f>IF(A236="","",VLOOKUP(A236,Equipamentos_base!A:K,8,"FALSO"))</f>
        <v>0</v>
      </c>
      <c r="I236" s="326">
        <f>IF(A236="","",VLOOKUP(A236,Equipamentos_base!A:K,9,"FALSO"))</f>
        <v>26.5829</v>
      </c>
      <c r="J236" s="327" t="s">
        <v>932</v>
      </c>
      <c r="K236" s="327" t="s">
        <v>932</v>
      </c>
      <c r="L236" s="316" t="str">
        <f>IF(J236="","",VLOOKUP(A236,Equipamentos_base!A:K,10,"FALSO"))</f>
        <v/>
      </c>
      <c r="M236" s="316" t="str">
        <f>IF(J236="","",VLOOKUP(A236,Equipamentos_base!A:K,11,"FALSO"))</f>
        <v/>
      </c>
    </row>
    <row r="237" s="316" customFormat="1" spans="1:13">
      <c r="A237" s="324" t="s">
        <v>14303</v>
      </c>
      <c r="B237" s="325" t="str">
        <f>IF(A237="","",VLOOKUP(A237,Equipamentos_base!A:K,2,"FALSO"))</f>
        <v>Máquina de bancada universal para corte de chapa - 1,50 kW</v>
      </c>
      <c r="C237" s="326">
        <f>IF(A237="","",VLOOKUP(A237,Equipamentos_base!A:K,3,"FALSO"))</f>
        <v>96053.346</v>
      </c>
      <c r="D237" s="326">
        <f>IF(A237="","",VLOOKUP(A237,Equipamentos_base!A:K,4,"FALSO"))</f>
        <v>5.4888</v>
      </c>
      <c r="E237" s="326">
        <f>IF(A237="","",VLOOKUP(A237,Equipamentos_base!A:K,5,"FALSO"))</f>
        <v>1.6933</v>
      </c>
      <c r="F237" s="326">
        <f>IF(A237="","",VLOOKUP(A237,Equipamentos_base!A:K,6,"FALSO"))</f>
        <v>0</v>
      </c>
      <c r="G237" s="326">
        <f>IF(A237="","",VLOOKUP(A237,Equipamentos_base!A:K,7,"FALSO"))</f>
        <v>4.1166</v>
      </c>
      <c r="H237" s="326">
        <f>IF(A237="","",VLOOKUP(A237,Equipamentos_base!A:K,8,"FALSO"))</f>
        <v>0</v>
      </c>
      <c r="I237" s="326">
        <f>IF(A237="","",VLOOKUP(A237,Equipamentos_base!A:K,9,"FALSO"))</f>
        <v>0</v>
      </c>
      <c r="J237" s="327">
        <v>11.2987</v>
      </c>
      <c r="K237" s="327">
        <v>7.1821</v>
      </c>
      <c r="L237" s="316">
        <f>IF(J237="","",VLOOKUP(A237,Equipamentos_base!A:K,10,"FALSO"))</f>
        <v>11.2987</v>
      </c>
      <c r="M237" s="316">
        <f>IF(J237="","",VLOOKUP(A237,Equipamentos_base!A:K,11,"FALSO"))</f>
        <v>7.1821</v>
      </c>
    </row>
    <row r="238" s="316" customFormat="1" spans="1:13">
      <c r="A238" s="324" t="s">
        <v>14301</v>
      </c>
      <c r="B238" s="325" t="str">
        <f>IF(A238="","",VLOOKUP(A238,Equipamentos_base!A:K,2,"FALSO"))</f>
        <v>Máquina de bancada guilhotina - 4,00 kW</v>
      </c>
      <c r="C238" s="326">
        <f>IF(A238="","",VLOOKUP(A238,Equipamentos_base!A:K,3,"FALSO"))</f>
        <v>125938.0454</v>
      </c>
      <c r="D238" s="326">
        <f>IF(A238="","",VLOOKUP(A238,Equipamentos_base!A:K,4,"FALSO"))</f>
        <v>7.1965</v>
      </c>
      <c r="E238" s="326">
        <f>IF(A238="","",VLOOKUP(A238,Equipamentos_base!A:K,5,"FALSO"))</f>
        <v>2.2201</v>
      </c>
      <c r="F238" s="326">
        <f>IF(A238="","",VLOOKUP(A238,Equipamentos_base!A:K,6,"FALSO"))</f>
        <v>0</v>
      </c>
      <c r="G238" s="326">
        <f>IF(A238="","",VLOOKUP(A238,Equipamentos_base!A:K,7,"FALSO"))</f>
        <v>5.3973</v>
      </c>
      <c r="H238" s="326">
        <f>IF(A238="","",VLOOKUP(A238,Equipamentos_base!A:K,8,"FALSO"))</f>
        <v>0</v>
      </c>
      <c r="I238" s="326">
        <f>IF(A238="","",VLOOKUP(A238,Equipamentos_base!A:K,9,"FALSO"))</f>
        <v>0</v>
      </c>
      <c r="J238" s="327">
        <v>14.8139</v>
      </c>
      <c r="K238" s="327">
        <v>9.4166</v>
      </c>
      <c r="L238" s="316">
        <f>IF(J238="","",VLOOKUP(A238,Equipamentos_base!A:K,10,"FALSO"))</f>
        <v>14.8139</v>
      </c>
      <c r="M238" s="316">
        <f>IF(J238="","",VLOOKUP(A238,Equipamentos_base!A:K,11,"FALSO"))</f>
        <v>9.4166</v>
      </c>
    </row>
    <row r="239" s="316" customFormat="1" hidden="1" spans="1:13">
      <c r="A239" s="324" t="s">
        <v>15986</v>
      </c>
      <c r="B239" s="325" t="str">
        <f>IF(A239="","",VLOOKUP(A239,Equipamentos_base!A:K,2,"FALSO"))</f>
        <v>Draga hopper com capacidade de 10.000 m³</v>
      </c>
      <c r="C239" s="326">
        <f>IF(A239="","",VLOOKUP(A239,Equipamentos_base!A:K,3,"FALSO"))</f>
        <v>1090139809.9388</v>
      </c>
      <c r="D239" s="326">
        <f>IF(A239="","",VLOOKUP(A239,Equipamentos_base!A:K,4,"FALSO"))</f>
        <v>9828.8716</v>
      </c>
      <c r="E239" s="326">
        <f>IF(A239="","",VLOOKUP(A239,Equipamentos_base!A:K,5,"FALSO"))</f>
        <v>6175.5947</v>
      </c>
      <c r="F239" s="326">
        <f>IF(A239="","",VLOOKUP(A239,Equipamentos_base!A:K,6,"FALSO"))</f>
        <v>0</v>
      </c>
      <c r="G239" s="326">
        <f>IF(A239="","",VLOOKUP(A239,Equipamentos_base!A:K,7,"FALSO"))</f>
        <v>21841.9369</v>
      </c>
      <c r="H239" s="326">
        <f>IF(A239="","",VLOOKUP(A239,Equipamentos_base!A:K,8,"FALSO"))</f>
        <v>5451.36</v>
      </c>
      <c r="I239" s="326">
        <f>IF(A239="","",VLOOKUP(A239,Equipamentos_base!A:K,9,"FALSO"))</f>
        <v>555.8269</v>
      </c>
      <c r="J239" s="327" t="s">
        <v>932</v>
      </c>
      <c r="K239" s="327" t="s">
        <v>932</v>
      </c>
      <c r="L239" s="316" t="str">
        <f>IF(J239="","",VLOOKUP(A239,Equipamentos_base!A:K,10,"FALSO"))</f>
        <v/>
      </c>
      <c r="M239" s="316" t="str">
        <f>IF(J239="","",VLOOKUP(A239,Equipamentos_base!A:K,11,"FALSO"))</f>
        <v/>
      </c>
    </row>
    <row r="240" s="316" customFormat="1" hidden="1" spans="1:13">
      <c r="A240" s="324" t="s">
        <v>15987</v>
      </c>
      <c r="B240" s="325" t="str">
        <f>IF(A240="","",VLOOKUP(A240,Equipamentos_base!A:K,2,"FALSO"))</f>
        <v>Draga hopper com capacidade de 15.000 m³</v>
      </c>
      <c r="C240" s="326">
        <f>IF(A240="","",VLOOKUP(A240,Equipamentos_base!A:K,3,"FALSO"))</f>
        <v>1529801455.7014</v>
      </c>
      <c r="D240" s="326">
        <f>IF(A240="","",VLOOKUP(A240,Equipamentos_base!A:K,4,"FALSO"))</f>
        <v>13792.93</v>
      </c>
      <c r="E240" s="326">
        <f>IF(A240="","",VLOOKUP(A240,Equipamentos_base!A:K,5,"FALSO"))</f>
        <v>8666.2589</v>
      </c>
      <c r="F240" s="326">
        <f>IF(A240="","",VLOOKUP(A240,Equipamentos_base!A:K,6,"FALSO"))</f>
        <v>0</v>
      </c>
      <c r="G240" s="326">
        <f>IF(A240="","",VLOOKUP(A240,Equipamentos_base!A:K,7,"FALSO"))</f>
        <v>30650.9556</v>
      </c>
      <c r="H240" s="326">
        <f>IF(A240="","",VLOOKUP(A240,Equipamentos_base!A:K,8,"FALSO"))</f>
        <v>7844.64</v>
      </c>
      <c r="I240" s="326">
        <f>IF(A240="","",VLOOKUP(A240,Equipamentos_base!A:K,9,"FALSO"))</f>
        <v>586.112</v>
      </c>
      <c r="J240" s="327" t="s">
        <v>932</v>
      </c>
      <c r="K240" s="327" t="s">
        <v>932</v>
      </c>
      <c r="L240" s="316" t="str">
        <f>IF(J240="","",VLOOKUP(A240,Equipamentos_base!A:K,10,"FALSO"))</f>
        <v/>
      </c>
      <c r="M240" s="316" t="str">
        <f>IF(J240="","",VLOOKUP(A240,Equipamentos_base!A:K,11,"FALSO"))</f>
        <v/>
      </c>
    </row>
    <row r="241" s="316" customFormat="1" hidden="1" spans="1:13">
      <c r="A241" s="324" t="s">
        <v>15988</v>
      </c>
      <c r="B241" s="325" t="str">
        <f>IF(A241="","",VLOOKUP(A241,Equipamentos_base!A:K,2,"FALSO"))</f>
        <v>Draga hopper com capacidade de 20.000 m³</v>
      </c>
      <c r="C241" s="326">
        <f>IF(A241="","",VLOOKUP(A241,Equipamentos_base!A:K,3,"FALSO"))</f>
        <v>1969463101.4639</v>
      </c>
      <c r="D241" s="326">
        <f>IF(A241="","",VLOOKUP(A241,Equipamentos_base!A:K,4,"FALSO"))</f>
        <v>17756.9884</v>
      </c>
      <c r="E241" s="326">
        <f>IF(A241="","",VLOOKUP(A241,Equipamentos_base!A:K,5,"FALSO"))</f>
        <v>11156.923</v>
      </c>
      <c r="F241" s="326">
        <f>IF(A241="","",VLOOKUP(A241,Equipamentos_base!A:K,6,"FALSO"))</f>
        <v>0</v>
      </c>
      <c r="G241" s="326">
        <f>IF(A241="","",VLOOKUP(A241,Equipamentos_base!A:K,7,"FALSO"))</f>
        <v>39459.9743</v>
      </c>
      <c r="H241" s="326">
        <f>IF(A241="","",VLOOKUP(A241,Equipamentos_base!A:K,8,"FALSO"))</f>
        <v>10304.4</v>
      </c>
      <c r="I241" s="326">
        <f>IF(A241="","",VLOOKUP(A241,Equipamentos_base!A:K,9,"FALSO"))</f>
        <v>616.1536</v>
      </c>
      <c r="J241" s="327" t="s">
        <v>932</v>
      </c>
      <c r="K241" s="327" t="s">
        <v>932</v>
      </c>
      <c r="L241" s="316" t="str">
        <f>IF(J241="","",VLOOKUP(A241,Equipamentos_base!A:K,10,"FALSO"))</f>
        <v/>
      </c>
      <c r="M241" s="316" t="str">
        <f>IF(J241="","",VLOOKUP(A241,Equipamentos_base!A:K,11,"FALSO"))</f>
        <v/>
      </c>
    </row>
    <row r="242" s="316" customFormat="1" hidden="1" spans="1:13">
      <c r="A242" s="324" t="s">
        <v>15989</v>
      </c>
      <c r="B242" s="325" t="str">
        <f>IF(A242="","",VLOOKUP(A242,Equipamentos_base!A:K,2,"FALSO"))</f>
        <v>Fábrica de pré-moldado de concreto para balizador - 2,20 kW</v>
      </c>
      <c r="C242" s="326">
        <f>IF(A242="","",VLOOKUP(A242,Equipamentos_base!A:K,3,"FALSO"))</f>
        <v>14581.9128</v>
      </c>
      <c r="D242" s="326">
        <f>IF(A242="","",VLOOKUP(A242,Equipamentos_base!A:K,4,"FALSO"))</f>
        <v>1.9443</v>
      </c>
      <c r="E242" s="326">
        <f>IF(A242="","",VLOOKUP(A242,Equipamentos_base!A:K,5,"FALSO"))</f>
        <v>0.2999</v>
      </c>
      <c r="F242" s="326">
        <f>IF(A242="","",VLOOKUP(A242,Equipamentos_base!A:K,6,"FALSO"))</f>
        <v>0</v>
      </c>
      <c r="G242" s="326">
        <f>IF(A242="","",VLOOKUP(A242,Equipamentos_base!A:K,7,"FALSO"))</f>
        <v>1.4582</v>
      </c>
      <c r="H242" s="326">
        <f>IF(A242="","",VLOOKUP(A242,Equipamentos_base!A:K,8,"FALSO"))</f>
        <v>0</v>
      </c>
      <c r="I242" s="326">
        <f>IF(A242="","",VLOOKUP(A242,Equipamentos_base!A:K,9,"FALSO"))</f>
        <v>0</v>
      </c>
      <c r="J242" s="327" t="s">
        <v>932</v>
      </c>
      <c r="K242" s="327" t="s">
        <v>932</v>
      </c>
      <c r="L242" s="316" t="str">
        <f>IF(J242="","",VLOOKUP(A242,Equipamentos_base!A:K,10,"FALSO"))</f>
        <v/>
      </c>
      <c r="M242" s="316" t="str">
        <f>IF(J242="","",VLOOKUP(A242,Equipamentos_base!A:K,11,"FALSO"))</f>
        <v/>
      </c>
    </row>
    <row r="243" s="316" customFormat="1" spans="1:13">
      <c r="A243" s="324" t="s">
        <v>1062</v>
      </c>
      <c r="B243" s="325" t="str">
        <f>IF(A243="","",VLOOKUP(A243,Equipamentos_base!A:K,2,"FALSO"))</f>
        <v>Bomba submersível com capacidade de 75 m³/h - 3,6 kW</v>
      </c>
      <c r="C243" s="326">
        <f>IF(A243="","",VLOOKUP(A243,Equipamentos_base!A:K,3,"FALSO"))</f>
        <v>7147.329</v>
      </c>
      <c r="D243" s="326">
        <f>IF(A243="","",VLOOKUP(A243,Equipamentos_base!A:K,4,"FALSO"))</f>
        <v>0.7147</v>
      </c>
      <c r="E243" s="326">
        <f>IF(A243="","",VLOOKUP(A243,Equipamentos_base!A:K,5,"FALSO"))</f>
        <v>0.1378</v>
      </c>
      <c r="F243" s="326">
        <f>IF(A243="","",VLOOKUP(A243,Equipamentos_base!A:K,6,"FALSO"))</f>
        <v>0</v>
      </c>
      <c r="G243" s="326">
        <f>IF(A243="","",VLOOKUP(A243,Equipamentos_base!A:K,7,"FALSO"))</f>
        <v>0.6254</v>
      </c>
      <c r="H243" s="326">
        <f>IF(A243="","",VLOOKUP(A243,Equipamentos_base!A:K,8,"FALSO"))</f>
        <v>0</v>
      </c>
      <c r="I243" s="326">
        <f>IF(A243="","",VLOOKUP(A243,Equipamentos_base!A:K,9,"FALSO"))</f>
        <v>0</v>
      </c>
      <c r="J243" s="327">
        <v>1.4779</v>
      </c>
      <c r="K243" s="327">
        <v>0.8525</v>
      </c>
      <c r="L243" s="316">
        <f>IF(J243="","",VLOOKUP(A243,Equipamentos_base!A:K,10,"FALSO"))</f>
        <v>1.4779</v>
      </c>
      <c r="M243" s="316">
        <f>IF(J243="","",VLOOKUP(A243,Equipamentos_base!A:K,11,"FALSO"))</f>
        <v>0.8525</v>
      </c>
    </row>
    <row r="244" s="316" customFormat="1" hidden="1" spans="1:13">
      <c r="A244" s="324" t="s">
        <v>15990</v>
      </c>
      <c r="B244" s="325" t="str">
        <f>IF(A244="","",VLOOKUP(A244,Equipamentos_base!A:K,2,"FALSO"))</f>
        <v>Bomba para concreto projetado via seca com capacidade de 6 m³/h - 7,5 kW</v>
      </c>
      <c r="C244" s="326">
        <f>IF(A244="","",VLOOKUP(A244,Equipamentos_base!A:K,3,"FALSO"))</f>
        <v>321961.7563</v>
      </c>
      <c r="D244" s="326">
        <f>IF(A244="","",VLOOKUP(A244,Equipamentos_base!A:K,4,"FALSO"))</f>
        <v>36.7956</v>
      </c>
      <c r="E244" s="326">
        <f>IF(A244="","",VLOOKUP(A244,Equipamentos_base!A:K,5,"FALSO"))</f>
        <v>6.3852</v>
      </c>
      <c r="F244" s="326">
        <f>IF(A244="","",VLOOKUP(A244,Equipamentos_base!A:K,6,"FALSO"))</f>
        <v>0</v>
      </c>
      <c r="G244" s="326">
        <f>IF(A244="","",VLOOKUP(A244,Equipamentos_base!A:K,7,"FALSO"))</f>
        <v>32.1962</v>
      </c>
      <c r="H244" s="326">
        <f>IF(A244="","",VLOOKUP(A244,Equipamentos_base!A:K,8,"FALSO"))</f>
        <v>0</v>
      </c>
      <c r="I244" s="326">
        <f>IF(A244="","",VLOOKUP(A244,Equipamentos_base!A:K,9,"FALSO"))</f>
        <v>45.2393</v>
      </c>
      <c r="J244" s="332" t="s">
        <v>932</v>
      </c>
      <c r="K244" s="332" t="s">
        <v>932</v>
      </c>
      <c r="L244" s="316" t="str">
        <f>IF(J244="","",VLOOKUP(A244,Equipamentos_base!A:K,10,"FALSO"))</f>
        <v/>
      </c>
      <c r="M244" s="316" t="str">
        <f>IF(J244="","",VLOOKUP(A244,Equipamentos_base!A:K,11,"FALSO"))</f>
        <v/>
      </c>
    </row>
    <row r="245" s="316" customFormat="1" ht="30" hidden="1" spans="1:13">
      <c r="A245" s="324" t="s">
        <v>15991</v>
      </c>
      <c r="B245" s="325" t="str">
        <f>IF(A245="","",VLOOKUP(A245,Equipamentos_base!A:K,2,"FALSO"))</f>
        <v>Conjunto vibratório para tubos de concreto com encaixe PB e 3 jogos de fôrmas - D = 0,20 m - 2,20 kW</v>
      </c>
      <c r="C245" s="326">
        <f>IF(A245="","",VLOOKUP(A245,Equipamentos_base!A:K,3,"FALSO"))</f>
        <v>47791.9228</v>
      </c>
      <c r="D245" s="326">
        <f>IF(A245="","",VLOOKUP(A245,Equipamentos_base!A:K,4,"FALSO"))</f>
        <v>6.3723</v>
      </c>
      <c r="E245" s="326">
        <f>IF(A245="","",VLOOKUP(A245,Equipamentos_base!A:K,5,"FALSO"))</f>
        <v>0.9829</v>
      </c>
      <c r="F245" s="326">
        <f>IF(A245="","",VLOOKUP(A245,Equipamentos_base!A:K,6,"FALSO"))</f>
        <v>0</v>
      </c>
      <c r="G245" s="326">
        <f>IF(A245="","",VLOOKUP(A245,Equipamentos_base!A:K,7,"FALSO"))</f>
        <v>4.7792</v>
      </c>
      <c r="H245" s="326">
        <f>IF(A245="","",VLOOKUP(A245,Equipamentos_base!A:K,8,"FALSO"))</f>
        <v>0</v>
      </c>
      <c r="I245" s="326">
        <f>IF(A245="","",VLOOKUP(A245,Equipamentos_base!A:K,9,"FALSO"))</f>
        <v>0</v>
      </c>
      <c r="J245" s="327" t="s">
        <v>932</v>
      </c>
      <c r="K245" s="327" t="s">
        <v>932</v>
      </c>
      <c r="L245" s="316" t="str">
        <f>IF(J245="","",VLOOKUP(A245,Equipamentos_base!A:K,10,"FALSO"))</f>
        <v/>
      </c>
      <c r="M245" s="316" t="str">
        <f>IF(J245="","",VLOOKUP(A245,Equipamentos_base!A:K,11,"FALSO"))</f>
        <v/>
      </c>
    </row>
    <row r="246" s="316" customFormat="1" ht="30" hidden="1" spans="1:13">
      <c r="A246" s="324" t="s">
        <v>15992</v>
      </c>
      <c r="B246" s="325" t="str">
        <f>IF(A246="","",VLOOKUP(A246,Equipamentos_base!A:K,2,"FALSO"))</f>
        <v>Conjunto vibratório para tubos de concreto com encaixe PB e 3 jogos de fôrmas - D = 0,30 m - 2,20 kW</v>
      </c>
      <c r="C246" s="326">
        <f>IF(A246="","",VLOOKUP(A246,Equipamentos_base!A:K,3,"FALSO"))</f>
        <v>55195.9754</v>
      </c>
      <c r="D246" s="326">
        <f>IF(A246="","",VLOOKUP(A246,Equipamentos_base!A:K,4,"FALSO"))</f>
        <v>7.3595</v>
      </c>
      <c r="E246" s="326">
        <f>IF(A246="","",VLOOKUP(A246,Equipamentos_base!A:K,5,"FALSO"))</f>
        <v>1.1352</v>
      </c>
      <c r="F246" s="326">
        <f>IF(A246="","",VLOOKUP(A246,Equipamentos_base!A:K,6,"FALSO"))</f>
        <v>0</v>
      </c>
      <c r="G246" s="326">
        <f>IF(A246="","",VLOOKUP(A246,Equipamentos_base!A:K,7,"FALSO"))</f>
        <v>5.5196</v>
      </c>
      <c r="H246" s="326">
        <f>IF(A246="","",VLOOKUP(A246,Equipamentos_base!A:K,8,"FALSO"))</f>
        <v>0</v>
      </c>
      <c r="I246" s="326">
        <f>IF(A246="","",VLOOKUP(A246,Equipamentos_base!A:K,9,"FALSO"))</f>
        <v>0</v>
      </c>
      <c r="J246" s="327" t="s">
        <v>932</v>
      </c>
      <c r="K246" s="327" t="s">
        <v>932</v>
      </c>
      <c r="L246" s="316" t="str">
        <f>IF(J246="","",VLOOKUP(A246,Equipamentos_base!A:K,10,"FALSO"))</f>
        <v/>
      </c>
      <c r="M246" s="316" t="str">
        <f>IF(J246="","",VLOOKUP(A246,Equipamentos_base!A:K,11,"FALSO"))</f>
        <v/>
      </c>
    </row>
    <row r="247" s="316" customFormat="1" ht="30" hidden="1" spans="1:13">
      <c r="A247" s="324" t="s">
        <v>15993</v>
      </c>
      <c r="B247" s="325" t="str">
        <f>IF(A247="","",VLOOKUP(A247,Equipamentos_base!A:K,2,"FALSO"))</f>
        <v>Conjunto vibratório para tubos de concreto com encaixe PB e 3 jogos de fôrmas - D = 0,40 m - 2,20 kW</v>
      </c>
      <c r="C247" s="326">
        <f>IF(A247="","",VLOOKUP(A247,Equipamentos_base!A:K,3,"FALSO"))</f>
        <v>60967.9519</v>
      </c>
      <c r="D247" s="326">
        <f>IF(A247="","",VLOOKUP(A247,Equipamentos_base!A:K,4,"FALSO"))</f>
        <v>8.1291</v>
      </c>
      <c r="E247" s="326">
        <f>IF(A247="","",VLOOKUP(A247,Equipamentos_base!A:K,5,"FALSO"))</f>
        <v>1.2539</v>
      </c>
      <c r="F247" s="326">
        <f>IF(A247="","",VLOOKUP(A247,Equipamentos_base!A:K,6,"FALSO"))</f>
        <v>0</v>
      </c>
      <c r="G247" s="326">
        <f>IF(A247="","",VLOOKUP(A247,Equipamentos_base!A:K,7,"FALSO"))</f>
        <v>6.0968</v>
      </c>
      <c r="H247" s="326">
        <f>IF(A247="","",VLOOKUP(A247,Equipamentos_base!A:K,8,"FALSO"))</f>
        <v>0</v>
      </c>
      <c r="I247" s="326">
        <f>IF(A247="","",VLOOKUP(A247,Equipamentos_base!A:K,9,"FALSO"))</f>
        <v>0</v>
      </c>
      <c r="J247" s="327" t="s">
        <v>932</v>
      </c>
      <c r="K247" s="327" t="s">
        <v>932</v>
      </c>
      <c r="L247" s="316" t="str">
        <f>IF(J247="","",VLOOKUP(A247,Equipamentos_base!A:K,10,"FALSO"))</f>
        <v/>
      </c>
      <c r="M247" s="316" t="str">
        <f>IF(J247="","",VLOOKUP(A247,Equipamentos_base!A:K,11,"FALSO"))</f>
        <v/>
      </c>
    </row>
    <row r="248" s="316" customFormat="1" hidden="1" spans="1:13">
      <c r="A248" s="324" t="s">
        <v>15994</v>
      </c>
      <c r="B248" s="325" t="str">
        <f>IF(A248="","",VLOOKUP(A248,Equipamentos_base!A:K,2,"FALSO"))</f>
        <v>Draga de sucção e recalque com potência da bomba de 294 kW e cortador de 30 kW</v>
      </c>
      <c r="C248" s="326">
        <f>IF(A248="","",VLOOKUP(A248,Equipamentos_base!A:K,3,"FALSO"))</f>
        <v>7988393.2616</v>
      </c>
      <c r="D248" s="326">
        <f>IF(A248="","",VLOOKUP(A248,Equipamentos_base!A:K,4,"FALSO"))</f>
        <v>91.4422</v>
      </c>
      <c r="E248" s="326">
        <f>IF(A248="","",VLOOKUP(A248,Equipamentos_base!A:K,5,"FALSO"))</f>
        <v>45.9195</v>
      </c>
      <c r="F248" s="326">
        <f>IF(A248="","",VLOOKUP(A248,Equipamentos_base!A:K,6,"FALSO"))</f>
        <v>0</v>
      </c>
      <c r="G248" s="326">
        <f>IF(A248="","",VLOOKUP(A248,Equipamentos_base!A:K,7,"FALSO"))</f>
        <v>203.205</v>
      </c>
      <c r="H248" s="326">
        <f>IF(A248="","",VLOOKUP(A248,Equipamentos_base!A:K,8,"FALSO"))</f>
        <v>244.314</v>
      </c>
      <c r="I248" s="326">
        <f>IF(A248="","",VLOOKUP(A248,Equipamentos_base!A:K,9,"FALSO"))</f>
        <v>64.3615</v>
      </c>
      <c r="J248" s="327" t="s">
        <v>932</v>
      </c>
      <c r="K248" s="327" t="s">
        <v>932</v>
      </c>
      <c r="L248" s="316" t="str">
        <f>IF(J248="","",VLOOKUP(A248,Equipamentos_base!A:K,10,"FALSO"))</f>
        <v/>
      </c>
      <c r="M248" s="316" t="str">
        <f>IF(J248="","",VLOOKUP(A248,Equipamentos_base!A:K,11,"FALSO"))</f>
        <v/>
      </c>
    </row>
    <row r="249" s="316" customFormat="1" hidden="1" spans="1:13">
      <c r="A249" s="324" t="s">
        <v>15995</v>
      </c>
      <c r="B249" s="325" t="str">
        <f>IF(A249="","",VLOOKUP(A249,Equipamentos_base!A:K,2,"FALSO"))</f>
        <v>Draga de sucção e recalque com potência da bomba de 483 kW e cortador de 55 kW</v>
      </c>
      <c r="C249" s="326">
        <f>IF(A249="","",VLOOKUP(A249,Equipamentos_base!A:K,3,"FALSO"))</f>
        <v>13380237.5675</v>
      </c>
      <c r="D249" s="326">
        <f>IF(A249="","",VLOOKUP(A249,Equipamentos_base!A:K,4,"FALSO"))</f>
        <v>153.1621</v>
      </c>
      <c r="E249" s="326">
        <f>IF(A249="","",VLOOKUP(A249,Equipamentos_base!A:K,5,"FALSO"))</f>
        <v>76.9133</v>
      </c>
      <c r="F249" s="326">
        <f>IF(A249="","",VLOOKUP(A249,Equipamentos_base!A:K,6,"FALSO"))</f>
        <v>0</v>
      </c>
      <c r="G249" s="326">
        <f>IF(A249="","",VLOOKUP(A249,Equipamentos_base!A:K,7,"FALSO"))</f>
        <v>340.3601</v>
      </c>
      <c r="H249" s="326">
        <f>IF(A249="","",VLOOKUP(A249,Equipamentos_base!A:K,8,"FALSO"))</f>
        <v>401.373</v>
      </c>
      <c r="I249" s="326">
        <f>IF(A249="","",VLOOKUP(A249,Equipamentos_base!A:K,9,"FALSO"))</f>
        <v>64.3615</v>
      </c>
      <c r="J249" s="327" t="s">
        <v>932</v>
      </c>
      <c r="K249" s="327" t="s">
        <v>932</v>
      </c>
      <c r="L249" s="316" t="str">
        <f>IF(J249="","",VLOOKUP(A249,Equipamentos_base!A:K,10,"FALSO"))</f>
        <v/>
      </c>
      <c r="M249" s="316" t="str">
        <f>IF(J249="","",VLOOKUP(A249,Equipamentos_base!A:K,11,"FALSO"))</f>
        <v/>
      </c>
    </row>
    <row r="250" s="316" customFormat="1" hidden="1" spans="1:13">
      <c r="A250" s="324" t="s">
        <v>15996</v>
      </c>
      <c r="B250" s="325" t="str">
        <f>IF(A250="","",VLOOKUP(A250,Equipamentos_base!A:K,2,"FALSO"))</f>
        <v>Draga de sucção e recalque com potência da bomba de 746 kW e cortador de 110 kW</v>
      </c>
      <c r="C250" s="326">
        <f>IF(A250="","",VLOOKUP(A250,Equipamentos_base!A:K,3,"FALSO"))</f>
        <v>25018571.4967</v>
      </c>
      <c r="D250" s="326">
        <f>IF(A250="","",VLOOKUP(A250,Equipamentos_base!A:K,4,"FALSO"))</f>
        <v>286.3847</v>
      </c>
      <c r="E250" s="326">
        <f>IF(A250="","",VLOOKUP(A250,Equipamentos_base!A:K,5,"FALSO"))</f>
        <v>143.8137</v>
      </c>
      <c r="F250" s="326">
        <f>IF(A250="","",VLOOKUP(A250,Equipamentos_base!A:K,6,"FALSO"))</f>
        <v>0</v>
      </c>
      <c r="G250" s="326">
        <f>IF(A250="","",VLOOKUP(A250,Equipamentos_base!A:K,7,"FALSO"))</f>
        <v>636.4105</v>
      </c>
      <c r="H250" s="326">
        <f>IF(A250="","",VLOOKUP(A250,Equipamentos_base!A:K,8,"FALSO"))</f>
        <v>619.926</v>
      </c>
      <c r="I250" s="326">
        <f>IF(A250="","",VLOOKUP(A250,Equipamentos_base!A:K,9,"FALSO"))</f>
        <v>94.4031</v>
      </c>
      <c r="J250" s="327" t="s">
        <v>932</v>
      </c>
      <c r="K250" s="327" t="s">
        <v>932</v>
      </c>
      <c r="L250" s="316" t="str">
        <f>IF(J250="","",VLOOKUP(A250,Equipamentos_base!A:K,10,"FALSO"))</f>
        <v/>
      </c>
      <c r="M250" s="316" t="str">
        <f>IF(J250="","",VLOOKUP(A250,Equipamentos_base!A:K,11,"FALSO"))</f>
        <v/>
      </c>
    </row>
    <row r="251" s="316" customFormat="1" hidden="1" spans="1:13">
      <c r="A251" s="324" t="s">
        <v>15997</v>
      </c>
      <c r="B251" s="325" t="str">
        <f>IF(A251="","",VLOOKUP(A251,Equipamentos_base!A:K,2,"FALSO"))</f>
        <v>Draga de sucção e recalque com potência da bomba de 1.350 kW e cortador de 170 kW</v>
      </c>
      <c r="C251" s="326">
        <f>IF(A251="","",VLOOKUP(A251,Equipamentos_base!A:K,3,"FALSO"))</f>
        <v>38195436.1879</v>
      </c>
      <c r="D251" s="326">
        <f>IF(A251="","",VLOOKUP(A251,Equipamentos_base!A:K,4,"FALSO"))</f>
        <v>437.2188</v>
      </c>
      <c r="E251" s="326">
        <f>IF(A251="","",VLOOKUP(A251,Equipamentos_base!A:K,5,"FALSO"))</f>
        <v>219.5579</v>
      </c>
      <c r="F251" s="326">
        <f>IF(A251="","",VLOOKUP(A251,Equipamentos_base!A:K,6,"FALSO"))</f>
        <v>0</v>
      </c>
      <c r="G251" s="326">
        <f>IF(A251="","",VLOOKUP(A251,Equipamentos_base!A:K,7,"FALSO"))</f>
        <v>971.5974</v>
      </c>
      <c r="H251" s="326">
        <f>IF(A251="","",VLOOKUP(A251,Equipamentos_base!A:K,8,"FALSO"))</f>
        <v>1121.85</v>
      </c>
      <c r="I251" s="326">
        <f>IF(A251="","",VLOOKUP(A251,Equipamentos_base!A:K,9,"FALSO"))</f>
        <v>94.4031</v>
      </c>
      <c r="J251" s="327" t="s">
        <v>932</v>
      </c>
      <c r="K251" s="327" t="s">
        <v>932</v>
      </c>
      <c r="L251" s="316" t="str">
        <f>IF(J251="","",VLOOKUP(A251,Equipamentos_base!A:K,10,"FALSO"))</f>
        <v/>
      </c>
      <c r="M251" s="316" t="str">
        <f>IF(J251="","",VLOOKUP(A251,Equipamentos_base!A:K,11,"FALSO"))</f>
        <v/>
      </c>
    </row>
    <row r="252" s="316" customFormat="1" hidden="1" spans="1:13">
      <c r="A252" s="324" t="s">
        <v>15998</v>
      </c>
      <c r="B252" s="325" t="str">
        <f>IF(A252="","",VLOOKUP(A252,Equipamentos_base!A:K,2,"FALSO"))</f>
        <v>Embarcação hotel com capacidade para 30 pessoas - 2 x 112 kW</v>
      </c>
      <c r="C252" s="326">
        <f>IF(A252="","",VLOOKUP(A252,Equipamentos_base!A:K,3,"FALSO"))</f>
        <v>4011492.2456</v>
      </c>
      <c r="D252" s="326">
        <f>IF(A252="","",VLOOKUP(A252,Equipamentos_base!A:K,4,"FALSO"))</f>
        <v>45.9191</v>
      </c>
      <c r="E252" s="326">
        <f>IF(A252="","",VLOOKUP(A252,Equipamentos_base!A:K,5,"FALSO"))</f>
        <v>18.7621</v>
      </c>
      <c r="F252" s="326">
        <f>IF(A252="","",VLOOKUP(A252,Equipamentos_base!A:K,6,"FALSO"))</f>
        <v>0</v>
      </c>
      <c r="G252" s="326">
        <f>IF(A252="","",VLOOKUP(A252,Equipamentos_base!A:K,7,"FALSO"))</f>
        <v>102.0424</v>
      </c>
      <c r="H252" s="326">
        <f>IF(A252="","",VLOOKUP(A252,Equipamentos_base!A:K,8,"FALSO"))</f>
        <v>235.7824</v>
      </c>
      <c r="I252" s="326">
        <f>IF(A252="","",VLOOKUP(A252,Equipamentos_base!A:K,9,"FALSO"))</f>
        <v>136.0494</v>
      </c>
      <c r="J252" s="327" t="s">
        <v>932</v>
      </c>
      <c r="K252" s="327" t="s">
        <v>932</v>
      </c>
      <c r="L252" s="316" t="str">
        <f>IF(J252="","",VLOOKUP(A252,Equipamentos_base!A:K,10,"FALSO"))</f>
        <v/>
      </c>
      <c r="M252" s="316" t="str">
        <f>IF(J252="","",VLOOKUP(A252,Equipamentos_base!A:K,11,"FALSO"))</f>
        <v/>
      </c>
    </row>
    <row r="253" s="316" customFormat="1" spans="1:13">
      <c r="A253" s="324" t="s">
        <v>15999</v>
      </c>
      <c r="B253" s="325" t="str">
        <f>IF(A253="","",VLOOKUP(A253,Equipamentos_base!A:K,2,"FALSO"))</f>
        <v>Compressor de ar portátil de 33,51 l/s (71 PCM) - 14 kW</v>
      </c>
      <c r="C253" s="326">
        <f>IF(A253="","",VLOOKUP(A253,Equipamentos_base!A:K,3,"FALSO"))</f>
        <v>105983.9083</v>
      </c>
      <c r="D253" s="326">
        <f>IF(A253="","",VLOOKUP(A253,Equipamentos_base!A:K,4,"FALSO"))</f>
        <v>8.4787</v>
      </c>
      <c r="E253" s="326">
        <f>IF(A253="","",VLOOKUP(A253,Equipamentos_base!A:K,5,"FALSO"))</f>
        <v>1.9618</v>
      </c>
      <c r="F253" s="326">
        <f>IF(A253="","",VLOOKUP(A253,Equipamentos_base!A:K,6,"FALSO"))</f>
        <v>0</v>
      </c>
      <c r="G253" s="326">
        <f>IF(A253="","",VLOOKUP(A253,Equipamentos_base!A:K,7,"FALSO"))</f>
        <v>8.4787</v>
      </c>
      <c r="H253" s="326">
        <f>IF(A253="","",VLOOKUP(A253,Equipamentos_base!A:K,8,"FALSO"))</f>
        <v>13.1852</v>
      </c>
      <c r="I253" s="326">
        <f>IF(A253="","",VLOOKUP(A253,Equipamentos_base!A:K,9,"FALSO"))</f>
        <v>0</v>
      </c>
      <c r="J253" s="327">
        <v>32.1044</v>
      </c>
      <c r="K253" s="327">
        <v>10.4405</v>
      </c>
      <c r="L253" s="316">
        <f>IF(J253="","",VLOOKUP(A253,Equipamentos_base!A:K,10,"FALSO"))</f>
        <v>32.1044</v>
      </c>
      <c r="M253" s="316">
        <f>IF(J253="","",VLOOKUP(A253,Equipamentos_base!A:K,11,"FALSO"))</f>
        <v>10.4405</v>
      </c>
    </row>
    <row r="254" s="316" customFormat="1" hidden="1" spans="1:13">
      <c r="A254" s="324" t="s">
        <v>16000</v>
      </c>
      <c r="B254" s="325" t="str">
        <f>IF(A254="","",VLOOKUP(A254,Equipamentos_base!A:K,2,"FALSO"))</f>
        <v>Compressor de ar portátil de 75,04 l/s (159 PCM) - 33 kW</v>
      </c>
      <c r="C254" s="326">
        <f>IF(A254="","",VLOOKUP(A254,Equipamentos_base!A:K,3,"FALSO"))</f>
        <v>151079.5465</v>
      </c>
      <c r="D254" s="326">
        <f>IF(A254="","",VLOOKUP(A254,Equipamentos_base!A:K,4,"FALSO"))</f>
        <v>12.0864</v>
      </c>
      <c r="E254" s="326">
        <f>IF(A254="","",VLOOKUP(A254,Equipamentos_base!A:K,5,"FALSO"))</f>
        <v>2.7965</v>
      </c>
      <c r="F254" s="326">
        <f>IF(A254="","",VLOOKUP(A254,Equipamentos_base!A:K,6,"FALSO"))</f>
        <v>0</v>
      </c>
      <c r="G254" s="326">
        <f>IF(A254="","",VLOOKUP(A254,Equipamentos_base!A:K,7,"FALSO"))</f>
        <v>12.0864</v>
      </c>
      <c r="H254" s="326">
        <f>IF(A254="","",VLOOKUP(A254,Equipamentos_base!A:K,8,"FALSO"))</f>
        <v>31.0794</v>
      </c>
      <c r="I254" s="326">
        <f>IF(A254="","",VLOOKUP(A254,Equipamentos_base!A:K,9,"FALSO"))</f>
        <v>0</v>
      </c>
      <c r="J254" s="327" t="s">
        <v>932</v>
      </c>
      <c r="K254" s="327" t="s">
        <v>932</v>
      </c>
      <c r="L254" s="316" t="str">
        <f>IF(J254="","",VLOOKUP(A254,Equipamentos_base!A:K,10,"FALSO"))</f>
        <v/>
      </c>
      <c r="M254" s="316" t="str">
        <f>IF(J254="","",VLOOKUP(A254,Equipamentos_base!A:K,11,"FALSO"))</f>
        <v/>
      </c>
    </row>
    <row r="255" s="316" customFormat="1" hidden="1" spans="1:13">
      <c r="A255" s="324" t="s">
        <v>16001</v>
      </c>
      <c r="B255" s="325" t="str">
        <f>IF(A255="","",VLOOKUP(A255,Equipamentos_base!A:K,2,"FALSO"))</f>
        <v>Perfuratriz hidráulica sobre esteiras para estaca raiz - 56 kW</v>
      </c>
      <c r="C255" s="326">
        <f>IF(A255="","",VLOOKUP(A255,Equipamentos_base!A:K,3,"FALSO"))</f>
        <v>1822041.6906</v>
      </c>
      <c r="D255" s="326">
        <f>IF(A255="","",VLOOKUP(A255,Equipamentos_base!A:K,4,"FALSO"))</f>
        <v>145.7633</v>
      </c>
      <c r="E255" s="326">
        <f>IF(A255="","",VLOOKUP(A255,Equipamentos_base!A:K,5,"FALSO"))</f>
        <v>33.726</v>
      </c>
      <c r="F255" s="326">
        <f>IF(A255="","",VLOOKUP(A255,Equipamentos_base!A:K,6,"FALSO"))</f>
        <v>0</v>
      </c>
      <c r="G255" s="326">
        <f>IF(A255="","",VLOOKUP(A255,Equipamentos_base!A:K,7,"FALSO"))</f>
        <v>145.7633</v>
      </c>
      <c r="H255" s="326">
        <f>IF(A255="","",VLOOKUP(A255,Equipamentos_base!A:K,8,"FALSO"))</f>
        <v>31.024</v>
      </c>
      <c r="I255" s="326">
        <f>IF(A255="","",VLOOKUP(A255,Equipamentos_base!A:K,9,"FALSO"))</f>
        <v>33.7544</v>
      </c>
      <c r="J255" s="327" t="s">
        <v>932</v>
      </c>
      <c r="K255" s="327" t="s">
        <v>932</v>
      </c>
      <c r="L255" s="316" t="str">
        <f>IF(J255="","",VLOOKUP(A255,Equipamentos_base!A:K,10,"FALSO"))</f>
        <v/>
      </c>
      <c r="M255" s="316" t="str">
        <f>IF(J255="","",VLOOKUP(A255,Equipamentos_base!A:K,11,"FALSO"))</f>
        <v/>
      </c>
    </row>
    <row r="256" s="316" customFormat="1" ht="30" hidden="1" spans="1:13">
      <c r="A256" s="324" t="s">
        <v>16002</v>
      </c>
      <c r="B256" s="325" t="str">
        <f>IF(A256="","",VLOOKUP(A256,Equipamentos_base!A:K,2,"FALSO"))</f>
        <v>Equipamento para pintura a ar comprimido de pistola com caneca com capacidade de 1.000 ml e compressor de 1,50 kW</v>
      </c>
      <c r="C256" s="326">
        <f>IF(A256="","",VLOOKUP(A256,Equipamentos_base!A:K,3,"FALSO"))</f>
        <v>3068.7284</v>
      </c>
      <c r="D256" s="326">
        <f>IF(A256="","",VLOOKUP(A256,Equipamentos_base!A:K,4,"FALSO"))</f>
        <v>0.2762</v>
      </c>
      <c r="E256" s="326">
        <f>IF(A256="","",VLOOKUP(A256,Equipamentos_base!A:K,5,"FALSO"))</f>
        <v>0.0568</v>
      </c>
      <c r="F256" s="326">
        <f>IF(A256="","",VLOOKUP(A256,Equipamentos_base!A:K,6,"FALSO"))</f>
        <v>0</v>
      </c>
      <c r="G256" s="326">
        <f>IF(A256="","",VLOOKUP(A256,Equipamentos_base!A:K,7,"FALSO"))</f>
        <v>0.1534</v>
      </c>
      <c r="H256" s="326">
        <f>IF(A256="","",VLOOKUP(A256,Equipamentos_base!A:K,8,"FALSO"))</f>
        <v>0</v>
      </c>
      <c r="I256" s="326">
        <f>IF(A256="","",VLOOKUP(A256,Equipamentos_base!A:K,9,"FALSO"))</f>
        <v>0</v>
      </c>
      <c r="J256" s="327" t="s">
        <v>932</v>
      </c>
      <c r="K256" s="327" t="s">
        <v>932</v>
      </c>
      <c r="L256" s="316" t="str">
        <f>IF(J256="","",VLOOKUP(A256,Equipamentos_base!A:K,10,"FALSO"))</f>
        <v/>
      </c>
      <c r="M256" s="316" t="str">
        <f>IF(J256="","",VLOOKUP(A256,Equipamentos_base!A:K,11,"FALSO"))</f>
        <v/>
      </c>
    </row>
    <row r="257" s="316" customFormat="1" spans="1:13">
      <c r="A257" s="324" t="s">
        <v>1088</v>
      </c>
      <c r="B257" s="325" t="str">
        <f>IF(A257="","",VLOOKUP(A257,Equipamentos_base!A:K,2,"FALSO"))</f>
        <v>Caminhão demarcador de faixas com sistema de pintura a frio - 28 kW/129 kW</v>
      </c>
      <c r="C257" s="326">
        <f>IF(A257="","",VLOOKUP(A257,Equipamentos_base!A:K,3,"FALSO"))</f>
        <v>0</v>
      </c>
      <c r="D257" s="326">
        <f>IF(A257="","",VLOOKUP(A257,Equipamentos_base!A:K,4,"FALSO"))</f>
        <v>0</v>
      </c>
      <c r="E257" s="326">
        <f>IF(A257="","",VLOOKUP(A257,Equipamentos_base!A:K,5,"FALSO"))</f>
        <v>0</v>
      </c>
      <c r="F257" s="326">
        <f>IF(A257="","",VLOOKUP(A257,Equipamentos_base!A:K,6,"FALSO"))</f>
        <v>0</v>
      </c>
      <c r="G257" s="326">
        <f>IF(A257="","",VLOOKUP(A257,Equipamentos_base!A:K,7,"FALSO"))</f>
        <v>0</v>
      </c>
      <c r="H257" s="326">
        <f>IF(A257="","",VLOOKUP(A257,Equipamentos_base!A:K,8,"FALSO"))</f>
        <v>0</v>
      </c>
      <c r="I257" s="326">
        <f>IF(A257="","",VLOOKUP(A257,Equipamentos_base!A:K,9,"FALSO"))</f>
        <v>0</v>
      </c>
      <c r="J257" s="327">
        <v>460.2465</v>
      </c>
      <c r="K257" s="327">
        <v>186.5849</v>
      </c>
      <c r="L257" s="316">
        <f>IF(J257="","",VLOOKUP(A257,Equipamentos_base!A:K,10,"FALSO"))</f>
        <v>460.2465</v>
      </c>
      <c r="M257" s="316">
        <f>IF(J257="","",VLOOKUP(A257,Equipamentos_base!A:K,11,"FALSO"))</f>
        <v>186.5849</v>
      </c>
    </row>
    <row r="258" s="316" customFormat="1" ht="30" hidden="1" spans="1:13">
      <c r="A258" s="324" t="s">
        <v>16003</v>
      </c>
      <c r="B258" s="325" t="str">
        <f>IF(A258="","",VLOOKUP(A258,Equipamentos_base!A:K,2,"FALSO"))</f>
        <v>Caminhão demarcador de faixas com sistema de pintura a quente - 5 kW/30,10 kW/136 kW</v>
      </c>
      <c r="C258" s="326">
        <f>IF(A258="","",VLOOKUP(A258,Equipamentos_base!A:K,3,"FALSO"))</f>
        <v>0</v>
      </c>
      <c r="D258" s="326">
        <f>IF(A258="","",VLOOKUP(A258,Equipamentos_base!A:K,4,"FALSO"))</f>
        <v>0</v>
      </c>
      <c r="E258" s="326">
        <f>IF(A258="","",VLOOKUP(A258,Equipamentos_base!A:K,5,"FALSO"))</f>
        <v>0</v>
      </c>
      <c r="F258" s="326">
        <f>IF(A258="","",VLOOKUP(A258,Equipamentos_base!A:K,6,"FALSO"))</f>
        <v>0</v>
      </c>
      <c r="G258" s="326">
        <f>IF(A258="","",VLOOKUP(A258,Equipamentos_base!A:K,7,"FALSO"))</f>
        <v>0</v>
      </c>
      <c r="H258" s="326">
        <f>IF(A258="","",VLOOKUP(A258,Equipamentos_base!A:K,8,"FALSO"))</f>
        <v>0</v>
      </c>
      <c r="I258" s="326">
        <f>IF(A258="","",VLOOKUP(A258,Equipamentos_base!A:K,9,"FALSO"))</f>
        <v>0</v>
      </c>
      <c r="J258" s="327" t="s">
        <v>932</v>
      </c>
      <c r="K258" s="327" t="s">
        <v>932</v>
      </c>
      <c r="L258" s="316" t="str">
        <f>IF(J258="","",VLOOKUP(A258,Equipamentos_base!A:K,10,"FALSO"))</f>
        <v/>
      </c>
      <c r="M258" s="316" t="str">
        <f>IF(J258="","",VLOOKUP(A258,Equipamentos_base!A:K,11,"FALSO"))</f>
        <v/>
      </c>
    </row>
    <row r="259" s="316" customFormat="1" spans="1:13">
      <c r="A259" s="324" t="s">
        <v>16004</v>
      </c>
      <c r="B259" s="325" t="str">
        <f>IF(A259="","",VLOOKUP(A259,Equipamentos_base!A:K,2,"FALSO"))</f>
        <v>Compressor de ar portátil de 58,52 l/s (124 PCM) - 27 kW</v>
      </c>
      <c r="C259" s="326">
        <f>IF(A259="","",VLOOKUP(A259,Equipamentos_base!A:K,3,"FALSO"))</f>
        <v>140167.0063</v>
      </c>
      <c r="D259" s="326">
        <f>IF(A259="","",VLOOKUP(A259,Equipamentos_base!A:K,4,"FALSO"))</f>
        <v>11.2134</v>
      </c>
      <c r="E259" s="326">
        <f>IF(A259="","",VLOOKUP(A259,Equipamentos_base!A:K,5,"FALSO"))</f>
        <v>2.5945</v>
      </c>
      <c r="F259" s="326">
        <f>IF(A259="","",VLOOKUP(A259,Equipamentos_base!A:K,6,"FALSO"))</f>
        <v>0</v>
      </c>
      <c r="G259" s="326">
        <f>IF(A259="","",VLOOKUP(A259,Equipamentos_base!A:K,7,"FALSO"))</f>
        <v>11.2134</v>
      </c>
      <c r="H259" s="326">
        <f>IF(A259="","",VLOOKUP(A259,Equipamentos_base!A:K,8,"FALSO"))</f>
        <v>25.4286</v>
      </c>
      <c r="I259" s="326">
        <f>IF(A259="","",VLOOKUP(A259,Equipamentos_base!A:K,9,"FALSO"))</f>
        <v>0</v>
      </c>
      <c r="J259" s="327">
        <v>50.4499</v>
      </c>
      <c r="K259" s="327">
        <v>13.8079</v>
      </c>
      <c r="L259" s="316">
        <f>IF(J259="","",VLOOKUP(A259,Equipamentos_base!A:K,10,"FALSO"))</f>
        <v>50.4499</v>
      </c>
      <c r="M259" s="316">
        <f>IF(J259="","",VLOOKUP(A259,Equipamentos_base!A:K,11,"FALSO"))</f>
        <v>13.8079</v>
      </c>
    </row>
    <row r="260" s="316" customFormat="1" spans="1:13">
      <c r="A260" s="324" t="s">
        <v>1078</v>
      </c>
      <c r="B260" s="325" t="str">
        <f>IF(A260="","",VLOOKUP(A260,Equipamentos_base!A:K,2,"FALSO"))</f>
        <v>Compactador manual com soquete vibratório - 4,10 kW</v>
      </c>
      <c r="C260" s="326">
        <f>IF(A260="","",VLOOKUP(A260,Equipamentos_base!A:K,3,"FALSO"))</f>
        <v>12427.5144</v>
      </c>
      <c r="D260" s="326">
        <f>IF(A260="","",VLOOKUP(A260,Equipamentos_base!A:K,4,"FALSO"))</f>
        <v>2.4855</v>
      </c>
      <c r="E260" s="326">
        <f>IF(A260="","",VLOOKUP(A260,Equipamentos_base!A:K,5,"FALSO"))</f>
        <v>0.2875</v>
      </c>
      <c r="F260" s="326">
        <f>IF(A260="","",VLOOKUP(A260,Equipamentos_base!A:K,6,"FALSO"))</f>
        <v>0</v>
      </c>
      <c r="G260" s="326">
        <f>IF(A260="","",VLOOKUP(A260,Equipamentos_base!A:K,7,"FALSO"))</f>
        <v>2.4855</v>
      </c>
      <c r="H260" s="326">
        <f>IF(A260="","",VLOOKUP(A260,Equipamentos_base!A:K,8,"FALSO"))</f>
        <v>7.5625</v>
      </c>
      <c r="I260" s="326">
        <f>IF(A260="","",VLOOKUP(A260,Equipamentos_base!A:K,9,"FALSO"))</f>
        <v>0</v>
      </c>
      <c r="J260" s="327">
        <v>12.821</v>
      </c>
      <c r="K260" s="327">
        <v>2.773</v>
      </c>
      <c r="L260" s="316">
        <f>IF(J260="","",VLOOKUP(A260,Equipamentos_base!A:K,10,"FALSO"))</f>
        <v>12.821</v>
      </c>
      <c r="M260" s="316">
        <f>IF(J260="","",VLOOKUP(A260,Equipamentos_base!A:K,11,"FALSO"))</f>
        <v>2.773</v>
      </c>
    </row>
    <row r="261" s="316" customFormat="1" hidden="1" spans="1:13">
      <c r="A261" s="324" t="s">
        <v>16005</v>
      </c>
      <c r="B261" s="325" t="str">
        <f>IF(A261="","",VLOOKUP(A261,Equipamentos_base!A:K,2,"FALSO"))</f>
        <v>Compressor de ar portátil de 422,86 l/s (896 PCM) - 213 kW</v>
      </c>
      <c r="C261" s="326">
        <f>IF(A261="","",VLOOKUP(A261,Equipamentos_base!A:K,3,"FALSO"))</f>
        <v>800993.8769</v>
      </c>
      <c r="D261" s="326">
        <f>IF(A261="","",VLOOKUP(A261,Equipamentos_base!A:K,4,"FALSO"))</f>
        <v>64.0795</v>
      </c>
      <c r="E261" s="326">
        <f>IF(A261="","",VLOOKUP(A261,Equipamentos_base!A:K,5,"FALSO"))</f>
        <v>14.8264</v>
      </c>
      <c r="F261" s="326">
        <f>IF(A261="","",VLOOKUP(A261,Equipamentos_base!A:K,6,"FALSO"))</f>
        <v>0</v>
      </c>
      <c r="G261" s="326">
        <f>IF(A261="","",VLOOKUP(A261,Equipamentos_base!A:K,7,"FALSO"))</f>
        <v>64.0795</v>
      </c>
      <c r="H261" s="326">
        <f>IF(A261="","",VLOOKUP(A261,Equipamentos_base!A:K,8,"FALSO"))</f>
        <v>200.6034</v>
      </c>
      <c r="I261" s="326">
        <f>IF(A261="","",VLOOKUP(A261,Equipamentos_base!A:K,9,"FALSO"))</f>
        <v>0</v>
      </c>
      <c r="J261" s="327" t="s">
        <v>932</v>
      </c>
      <c r="K261" s="327" t="s">
        <v>932</v>
      </c>
      <c r="L261" s="316" t="str">
        <f>IF(J261="","",VLOOKUP(A261,Equipamentos_base!A:K,10,"FALSO"))</f>
        <v/>
      </c>
      <c r="M261" s="316" t="str">
        <f>IF(J261="","",VLOOKUP(A261,Equipamentos_base!A:K,11,"FALSO"))</f>
        <v/>
      </c>
    </row>
    <row r="262" s="316" customFormat="1" hidden="1" spans="1:13">
      <c r="A262" s="324" t="s">
        <v>16006</v>
      </c>
      <c r="B262" s="325" t="str">
        <f>IF(A262="","",VLOOKUP(A262,Equipamentos_base!A:K,2,"FALSO"))</f>
        <v>Compressor de ar portátil de 94,39 l/s (200 PCM) - 36 kW</v>
      </c>
      <c r="C262" s="326">
        <f>IF(A262="","",VLOOKUP(A262,Equipamentos_base!A:K,3,"FALSO"))</f>
        <v>169885.5779</v>
      </c>
      <c r="D262" s="326">
        <f>IF(A262="","",VLOOKUP(A262,Equipamentos_base!A:K,4,"FALSO"))</f>
        <v>13.5908</v>
      </c>
      <c r="E262" s="326">
        <f>IF(A262="","",VLOOKUP(A262,Equipamentos_base!A:K,5,"FALSO"))</f>
        <v>3.1446</v>
      </c>
      <c r="F262" s="326">
        <f>IF(A262="","",VLOOKUP(A262,Equipamentos_base!A:K,6,"FALSO"))</f>
        <v>0</v>
      </c>
      <c r="G262" s="326">
        <f>IF(A262="","",VLOOKUP(A262,Equipamentos_base!A:K,7,"FALSO"))</f>
        <v>13.5908</v>
      </c>
      <c r="H262" s="326">
        <f>IF(A262="","",VLOOKUP(A262,Equipamentos_base!A:K,8,"FALSO"))</f>
        <v>33.9048</v>
      </c>
      <c r="I262" s="326">
        <f>IF(A262="","",VLOOKUP(A262,Equipamentos_base!A:K,9,"FALSO"))</f>
        <v>0</v>
      </c>
      <c r="J262" s="327" t="s">
        <v>932</v>
      </c>
      <c r="K262" s="327" t="s">
        <v>932</v>
      </c>
      <c r="L262" s="316" t="str">
        <f>IF(J262="","",VLOOKUP(A262,Equipamentos_base!A:K,10,"FALSO"))</f>
        <v/>
      </c>
      <c r="M262" s="316" t="str">
        <f>IF(J262="","",VLOOKUP(A262,Equipamentos_base!A:K,11,"FALSO"))</f>
        <v/>
      </c>
    </row>
    <row r="263" s="316" customFormat="1" hidden="1" spans="1:13">
      <c r="A263" s="324" t="s">
        <v>16007</v>
      </c>
      <c r="B263" s="325" t="str">
        <f>IF(A263="","",VLOOKUP(A263,Equipamentos_base!A:K,2,"FALSO"))</f>
        <v>Guindaste móvel sobre esteiras com Hammer Grab - 186 kW</v>
      </c>
      <c r="C263" s="326">
        <f>IF(A263="","",VLOOKUP(A263,Equipamentos_base!A:K,3,"FALSO"))</f>
        <v>3966969.366</v>
      </c>
      <c r="D263" s="326">
        <f>IF(A263="","",VLOOKUP(A263,Equipamentos_base!A:K,4,"FALSO"))</f>
        <v>185.1252</v>
      </c>
      <c r="E263" s="326">
        <f>IF(A263="","",VLOOKUP(A263,Equipamentos_base!A:K,5,"FALSO"))</f>
        <v>69.3492</v>
      </c>
      <c r="F263" s="326">
        <f>IF(A263="","",VLOOKUP(A263,Equipamentos_base!A:K,6,"FALSO"))</f>
        <v>0</v>
      </c>
      <c r="G263" s="326">
        <f>IF(A263="","",VLOOKUP(A263,Equipamentos_base!A:K,7,"FALSO"))</f>
        <v>264.4646</v>
      </c>
      <c r="H263" s="326">
        <f>IF(A263="","",VLOOKUP(A263,Equipamentos_base!A:K,8,"FALSO"))</f>
        <v>51.522</v>
      </c>
      <c r="I263" s="326">
        <f>IF(A263="","",VLOOKUP(A263,Equipamentos_base!A:K,9,"FALSO"))</f>
        <v>45.2393</v>
      </c>
      <c r="J263" s="327" t="s">
        <v>932</v>
      </c>
      <c r="K263" s="327" t="s">
        <v>932</v>
      </c>
      <c r="L263" s="316" t="str">
        <f>IF(J263="","",VLOOKUP(A263,Equipamentos_base!A:K,10,"FALSO"))</f>
        <v/>
      </c>
      <c r="M263" s="316" t="str">
        <f>IF(J263="","",VLOOKUP(A263,Equipamentos_base!A:K,11,"FALSO"))</f>
        <v/>
      </c>
    </row>
    <row r="264" s="316" customFormat="1" hidden="1" spans="1:13">
      <c r="A264" s="324" t="s">
        <v>16008</v>
      </c>
      <c r="B264" s="325" t="str">
        <f>IF(A264="","",VLOOKUP(A264,Equipamentos_base!A:K,2,"FALSO"))</f>
        <v>Compressor de ar portátil de 540,85 l/s (1.146 PCM) - 331,10 kW</v>
      </c>
      <c r="C264" s="326">
        <f>IF(A264="","",VLOOKUP(A264,Equipamentos_base!A:K,3,"FALSO"))</f>
        <v>942478.3995</v>
      </c>
      <c r="D264" s="326">
        <f>IF(A264="","",VLOOKUP(A264,Equipamentos_base!A:K,4,"FALSO"))</f>
        <v>75.3983</v>
      </c>
      <c r="E264" s="326">
        <f>IF(A264="","",VLOOKUP(A264,Equipamentos_base!A:K,5,"FALSO"))</f>
        <v>17.4453</v>
      </c>
      <c r="F264" s="326">
        <f>IF(A264="","",VLOOKUP(A264,Equipamentos_base!A:K,6,"FALSO"))</f>
        <v>0</v>
      </c>
      <c r="G264" s="326">
        <f>IF(A264="","",VLOOKUP(A264,Equipamentos_base!A:K,7,"FALSO"))</f>
        <v>75.3983</v>
      </c>
      <c r="H264" s="326">
        <f>IF(A264="","",VLOOKUP(A264,Equipamentos_base!A:K,8,"FALSO"))</f>
        <v>311.83</v>
      </c>
      <c r="I264" s="326">
        <f>IF(A264="","",VLOOKUP(A264,Equipamentos_base!A:K,9,"FALSO"))</f>
        <v>0</v>
      </c>
      <c r="J264" s="327" t="s">
        <v>932</v>
      </c>
      <c r="K264" s="327" t="s">
        <v>932</v>
      </c>
      <c r="L264" s="316" t="str">
        <f>IF(J264="","",VLOOKUP(A264,Equipamentos_base!A:K,10,"FALSO"))</f>
        <v/>
      </c>
      <c r="M264" s="316" t="str">
        <f>IF(J264="","",VLOOKUP(A264,Equipamentos_base!A:K,11,"FALSO"))</f>
        <v/>
      </c>
    </row>
    <row r="265" s="316" customFormat="1" hidden="1" spans="1:13">
      <c r="A265" s="324" t="s">
        <v>16009</v>
      </c>
      <c r="B265" s="325" t="str">
        <f>IF(A265="","",VLOOKUP(A265,Equipamentos_base!A:K,2,"FALSO"))</f>
        <v>Guindaste móvel sobre esteiras com trado para escavação em solos - 186 kW</v>
      </c>
      <c r="C265" s="326">
        <f>IF(A265="","",VLOOKUP(A265,Equipamentos_base!A:K,3,"FALSO"))</f>
        <v>5998124.176</v>
      </c>
      <c r="D265" s="326">
        <f>IF(A265="","",VLOOKUP(A265,Equipamentos_base!A:K,4,"FALSO"))</f>
        <v>322.9759</v>
      </c>
      <c r="E265" s="326">
        <f>IF(A265="","",VLOOKUP(A265,Equipamentos_base!A:K,5,"FALSO"))</f>
        <v>106.7551</v>
      </c>
      <c r="F265" s="326">
        <f>IF(A265="","",VLOOKUP(A265,Equipamentos_base!A:K,6,"FALSO"))</f>
        <v>0</v>
      </c>
      <c r="G265" s="326">
        <f>IF(A265="","",VLOOKUP(A265,Equipamentos_base!A:K,7,"FALSO"))</f>
        <v>461.3942</v>
      </c>
      <c r="H265" s="326">
        <f>IF(A265="","",VLOOKUP(A265,Equipamentos_base!A:K,8,"FALSO"))</f>
        <v>51.522</v>
      </c>
      <c r="I265" s="326">
        <f>IF(A265="","",VLOOKUP(A265,Equipamentos_base!A:K,9,"FALSO"))</f>
        <v>45.2393</v>
      </c>
      <c r="J265" s="327" t="s">
        <v>932</v>
      </c>
      <c r="K265" s="327" t="s">
        <v>932</v>
      </c>
      <c r="L265" s="316" t="str">
        <f>IF(J265="","",VLOOKUP(A265,Equipamentos_base!A:K,10,"FALSO"))</f>
        <v/>
      </c>
      <c r="M265" s="316" t="str">
        <f>IF(J265="","",VLOOKUP(A265,Equipamentos_base!A:K,11,"FALSO"))</f>
        <v/>
      </c>
    </row>
    <row r="266" s="316" customFormat="1" hidden="1" spans="1:13">
      <c r="A266" s="324" t="s">
        <v>16010</v>
      </c>
      <c r="B266" s="325" t="str">
        <f>IF(A266="","",VLOOKUP(A266,Equipamentos_base!A:K,2,"FALSO"))</f>
        <v>Guindaste móvel sobre esteiras com trado com bits escavação em rocha - 186 kW</v>
      </c>
      <c r="C266" s="326">
        <f>IF(A266="","",VLOOKUP(A266,Equipamentos_base!A:K,3,"FALSO"))</f>
        <v>5998124.176</v>
      </c>
      <c r="D266" s="326">
        <f>IF(A266="","",VLOOKUP(A266,Equipamentos_base!A:K,4,"FALSO"))</f>
        <v>322.9759</v>
      </c>
      <c r="E266" s="326">
        <f>IF(A266="","",VLOOKUP(A266,Equipamentos_base!A:K,5,"FALSO"))</f>
        <v>106.7551</v>
      </c>
      <c r="F266" s="326">
        <f>IF(A266="","",VLOOKUP(A266,Equipamentos_base!A:K,6,"FALSO"))</f>
        <v>0</v>
      </c>
      <c r="G266" s="326">
        <f>IF(A266="","",VLOOKUP(A266,Equipamentos_base!A:K,7,"FALSO"))</f>
        <v>461.3942</v>
      </c>
      <c r="H266" s="326">
        <f>IF(A266="","",VLOOKUP(A266,Equipamentos_base!A:K,8,"FALSO"))</f>
        <v>51.522</v>
      </c>
      <c r="I266" s="326">
        <f>IF(A266="","",VLOOKUP(A266,Equipamentos_base!A:K,9,"FALSO"))</f>
        <v>45.2393</v>
      </c>
      <c r="J266" s="327" t="s">
        <v>932</v>
      </c>
      <c r="K266" s="327" t="s">
        <v>932</v>
      </c>
      <c r="L266" s="316" t="str">
        <f>IF(J266="","",VLOOKUP(A266,Equipamentos_base!A:K,10,"FALSO"))</f>
        <v/>
      </c>
      <c r="M266" s="316" t="str">
        <f>IF(J266="","",VLOOKUP(A266,Equipamentos_base!A:K,11,"FALSO"))</f>
        <v/>
      </c>
    </row>
    <row r="267" s="316" customFormat="1" hidden="1" spans="1:13">
      <c r="A267" s="324" t="s">
        <v>16011</v>
      </c>
      <c r="B267" s="325" t="str">
        <f>IF(A267="","",VLOOKUP(A267,Equipamentos_base!A:K,2,"FALSO"))</f>
        <v>Guindaste móvel sobre esteiras com caçamba para escavação em solos - 186 kW</v>
      </c>
      <c r="C267" s="326">
        <f>IF(A267="","",VLOOKUP(A267,Equipamentos_base!A:K,3,"FALSO"))</f>
        <v>5980839.4637</v>
      </c>
      <c r="D267" s="326">
        <f>IF(A267="","",VLOOKUP(A267,Equipamentos_base!A:K,4,"FALSO"))</f>
        <v>322.0452</v>
      </c>
      <c r="E267" s="326">
        <f>IF(A267="","",VLOOKUP(A267,Equipamentos_base!A:K,5,"FALSO"))</f>
        <v>106.4474</v>
      </c>
      <c r="F267" s="326">
        <f>IF(A267="","",VLOOKUP(A267,Equipamentos_base!A:K,6,"FALSO"))</f>
        <v>0</v>
      </c>
      <c r="G267" s="326">
        <f>IF(A267="","",VLOOKUP(A267,Equipamentos_base!A:K,7,"FALSO"))</f>
        <v>460.0646</v>
      </c>
      <c r="H267" s="326">
        <f>IF(A267="","",VLOOKUP(A267,Equipamentos_base!A:K,8,"FALSO"))</f>
        <v>51.522</v>
      </c>
      <c r="I267" s="326">
        <f>IF(A267="","",VLOOKUP(A267,Equipamentos_base!A:K,9,"FALSO"))</f>
        <v>45.2393</v>
      </c>
      <c r="J267" s="327" t="s">
        <v>932</v>
      </c>
      <c r="K267" s="327" t="s">
        <v>932</v>
      </c>
      <c r="L267" s="316" t="str">
        <f>IF(J267="","",VLOOKUP(A267,Equipamentos_base!A:K,10,"FALSO"))</f>
        <v/>
      </c>
      <c r="M267" s="316" t="str">
        <f>IF(J267="","",VLOOKUP(A267,Equipamentos_base!A:K,11,"FALSO"))</f>
        <v/>
      </c>
    </row>
    <row r="268" s="316" customFormat="1" hidden="1" spans="1:13">
      <c r="A268" s="324" t="s">
        <v>16012</v>
      </c>
      <c r="B268" s="325" t="str">
        <f>IF(A268="","",VLOOKUP(A268,Equipamentos_base!A:K,2,"FALSO"))</f>
        <v>Guindaste móvel sobre esteiras com caçamba para escavação em rocha - 186 kW</v>
      </c>
      <c r="C268" s="326">
        <f>IF(A268="","",VLOOKUP(A268,Equipamentos_base!A:K,3,"FALSO"))</f>
        <v>5980839.4637</v>
      </c>
      <c r="D268" s="326">
        <f>IF(A268="","",VLOOKUP(A268,Equipamentos_base!A:K,4,"FALSO"))</f>
        <v>322.0452</v>
      </c>
      <c r="E268" s="326">
        <f>IF(A268="","",VLOOKUP(A268,Equipamentos_base!A:K,5,"FALSO"))</f>
        <v>106.4474</v>
      </c>
      <c r="F268" s="326">
        <f>IF(A268="","",VLOOKUP(A268,Equipamentos_base!A:K,6,"FALSO"))</f>
        <v>0</v>
      </c>
      <c r="G268" s="326">
        <f>IF(A268="","",VLOOKUP(A268,Equipamentos_base!A:K,7,"FALSO"))</f>
        <v>460.0646</v>
      </c>
      <c r="H268" s="326">
        <f>IF(A268="","",VLOOKUP(A268,Equipamentos_base!A:K,8,"FALSO"))</f>
        <v>51.522</v>
      </c>
      <c r="I268" s="326">
        <f>IF(A268="","",VLOOKUP(A268,Equipamentos_base!A:K,9,"FALSO"))</f>
        <v>45.2393</v>
      </c>
      <c r="J268" s="327" t="s">
        <v>932</v>
      </c>
      <c r="K268" s="327" t="s">
        <v>932</v>
      </c>
      <c r="L268" s="316" t="str">
        <f>IF(J268="","",VLOOKUP(A268,Equipamentos_base!A:K,10,"FALSO"))</f>
        <v/>
      </c>
      <c r="M268" s="316" t="str">
        <f>IF(J268="","",VLOOKUP(A268,Equipamentos_base!A:K,11,"FALSO"))</f>
        <v/>
      </c>
    </row>
    <row r="269" s="316" customFormat="1" spans="1:13">
      <c r="A269" s="324" t="s">
        <v>16013</v>
      </c>
      <c r="B269" s="325" t="str">
        <f>IF(A269="","",VLOOKUP(A269,Equipamentos_base!A:K,2,"FALSO"))</f>
        <v>Guindaste móvel sobre esteiras com capacidade de 40 t - 186 kW</v>
      </c>
      <c r="C269" s="326">
        <f>IF(A269="","",VLOOKUP(A269,Equipamentos_base!A:K,3,"FALSO"))</f>
        <v>3646590.9523</v>
      </c>
      <c r="D269" s="326">
        <f>IF(A269="","",VLOOKUP(A269,Equipamentos_base!A:K,4,"FALSO"))</f>
        <v>141.8119</v>
      </c>
      <c r="E269" s="326">
        <f>IF(A269="","",VLOOKUP(A269,Equipamentos_base!A:K,5,"FALSO"))</f>
        <v>62.4985</v>
      </c>
      <c r="F269" s="326">
        <f>IF(A269="","",VLOOKUP(A269,Equipamentos_base!A:K,6,"FALSO"))</f>
        <v>0</v>
      </c>
      <c r="G269" s="326">
        <f>IF(A269="","",VLOOKUP(A269,Equipamentos_base!A:K,7,"FALSO"))</f>
        <v>202.5884</v>
      </c>
      <c r="H269" s="326">
        <f>IF(A269="","",VLOOKUP(A269,Equipamentos_base!A:K,8,"FALSO"))</f>
        <v>51.522</v>
      </c>
      <c r="I269" s="326">
        <f>IF(A269="","",VLOOKUP(A269,Equipamentos_base!A:K,9,"FALSO"))</f>
        <v>45.2393</v>
      </c>
      <c r="J269" s="316">
        <v>503.6601</v>
      </c>
      <c r="K269" s="316">
        <v>249.5497</v>
      </c>
      <c r="L269" s="316">
        <f>IF(J269="","",VLOOKUP(A269,Equipamentos_base!A:K,10,"FALSO"))</f>
        <v>503.6601</v>
      </c>
      <c r="M269" s="316">
        <f>IF(J269="","",VLOOKUP(A269,Equipamentos_base!A:K,11,"FALSO"))</f>
        <v>249.5497</v>
      </c>
    </row>
    <row r="270" s="316" customFormat="1" hidden="1" spans="1:13">
      <c r="A270" s="324" t="s">
        <v>16014</v>
      </c>
      <c r="B270" s="325" t="str">
        <f>IF(A270="","",VLOOKUP(A270,Equipamentos_base!A:K,2,"FALSO"))</f>
        <v>Compressor de ar portátil de 89,67 l/s (190 PCM) - 36 kW</v>
      </c>
      <c r="C270" s="326">
        <f>IF(A270="","",VLOOKUP(A270,Equipamentos_base!A:K,3,"FALSO"))</f>
        <v>165701.3399</v>
      </c>
      <c r="D270" s="326">
        <f>IF(A270="","",VLOOKUP(A270,Equipamentos_base!A:K,4,"FALSO"))</f>
        <v>13.2561</v>
      </c>
      <c r="E270" s="326">
        <f>IF(A270="","",VLOOKUP(A270,Equipamentos_base!A:K,5,"FALSO"))</f>
        <v>3.0671</v>
      </c>
      <c r="F270" s="326">
        <f>IF(A270="","",VLOOKUP(A270,Equipamentos_base!A:K,6,"FALSO"))</f>
        <v>0</v>
      </c>
      <c r="G270" s="326">
        <f>IF(A270="","",VLOOKUP(A270,Equipamentos_base!A:K,7,"FALSO"))</f>
        <v>13.2561</v>
      </c>
      <c r="H270" s="326">
        <f>IF(A270="","",VLOOKUP(A270,Equipamentos_base!A:K,8,"FALSO"))</f>
        <v>33.9048</v>
      </c>
      <c r="I270" s="326">
        <f>IF(A270="","",VLOOKUP(A270,Equipamentos_base!A:K,9,"FALSO"))</f>
        <v>0</v>
      </c>
      <c r="J270" s="327" t="s">
        <v>932</v>
      </c>
      <c r="K270" s="327" t="s">
        <v>932</v>
      </c>
      <c r="L270" s="316" t="str">
        <f>IF(J270="","",VLOOKUP(A270,Equipamentos_base!A:K,10,"FALSO"))</f>
        <v/>
      </c>
      <c r="M270" s="316" t="str">
        <f>IF(J270="","",VLOOKUP(A270,Equipamentos_base!A:K,11,"FALSO"))</f>
        <v/>
      </c>
    </row>
    <row r="271" s="316" customFormat="1" spans="1:13">
      <c r="A271" s="324" t="s">
        <v>16015</v>
      </c>
      <c r="B271" s="325" t="str">
        <f>IF(A271="","",VLOOKUP(A271,Equipamentos_base!A:K,2,"FALSO"))</f>
        <v>Equipamento para solda e corte com oxiacetileno</v>
      </c>
      <c r="C271" s="326">
        <f>IF(A271="","",VLOOKUP(A271,Equipamentos_base!A:K,3,"FALSO"))</f>
        <v>2835.7757</v>
      </c>
      <c r="D271" s="326">
        <f>IF(A271="","",VLOOKUP(A271,Equipamentos_base!A:K,4,"FALSO"))</f>
        <v>0.3781</v>
      </c>
      <c r="E271" s="326">
        <f>IF(A271="","",VLOOKUP(A271,Equipamentos_base!A:K,5,"FALSO"))</f>
        <v>0.0583</v>
      </c>
      <c r="F271" s="326">
        <f>IF(A271="","",VLOOKUP(A271,Equipamentos_base!A:K,6,"FALSO"))</f>
        <v>0</v>
      </c>
      <c r="G271" s="326">
        <f>IF(A271="","",VLOOKUP(A271,Equipamentos_base!A:K,7,"FALSO"))</f>
        <v>0.3781</v>
      </c>
      <c r="H271" s="326">
        <f>IF(A271="","",VLOOKUP(A271,Equipamentos_base!A:K,8,"FALSO"))</f>
        <v>0</v>
      </c>
      <c r="I271" s="326">
        <f>IF(A271="","",VLOOKUP(A271,Equipamentos_base!A:K,9,"FALSO"))</f>
        <v>0</v>
      </c>
      <c r="J271" s="327">
        <v>0.8145</v>
      </c>
      <c r="K271" s="327">
        <v>0.4364</v>
      </c>
      <c r="L271" s="316">
        <f>IF(J271="","",VLOOKUP(A271,Equipamentos_base!A:K,10,"FALSO"))</f>
        <v>0.8145</v>
      </c>
      <c r="M271" s="316">
        <f>IF(J271="","",VLOOKUP(A271,Equipamentos_base!A:K,11,"FALSO"))</f>
        <v>0.4364</v>
      </c>
    </row>
    <row r="272" s="316" customFormat="1" hidden="1" spans="1:13">
      <c r="A272" s="324" t="s">
        <v>16016</v>
      </c>
      <c r="B272" s="325" t="e">
        <f>IF(A272="","",VLOOKUP(A272,Equipamentos_base!A:K,2,"FALSO"))</f>
        <v>#N/A</v>
      </c>
      <c r="C272" s="326" t="e">
        <f>IF(A272="","",VLOOKUP(A272,Equipamentos_base!A:K,3,"FALSO"))</f>
        <v>#N/A</v>
      </c>
      <c r="D272" s="326" t="e">
        <f>IF(A272="","",VLOOKUP(A272,Equipamentos_base!A:K,4,"FALSO"))</f>
        <v>#N/A</v>
      </c>
      <c r="E272" s="326" t="e">
        <f>IF(A272="","",VLOOKUP(A272,Equipamentos_base!A:K,5,"FALSO"))</f>
        <v>#N/A</v>
      </c>
      <c r="F272" s="326" t="e">
        <f>IF(A272="","",VLOOKUP(A272,Equipamentos_base!A:K,6,"FALSO"))</f>
        <v>#N/A</v>
      </c>
      <c r="G272" s="326" t="e">
        <f>IF(A272="","",VLOOKUP(A272,Equipamentos_base!A:K,7,"FALSO"))</f>
        <v>#N/A</v>
      </c>
      <c r="H272" s="326" t="e">
        <f>IF(A272="","",VLOOKUP(A272,Equipamentos_base!A:K,8,"FALSO"))</f>
        <v>#N/A</v>
      </c>
      <c r="I272" s="326" t="e">
        <f>IF(A272="","",VLOOKUP(A272,Equipamentos_base!A:K,9,"FALSO"))</f>
        <v>#N/A</v>
      </c>
      <c r="J272" s="327" t="s">
        <v>932</v>
      </c>
      <c r="K272" s="327" t="s">
        <v>932</v>
      </c>
      <c r="L272" s="316" t="str">
        <f>IF(J272="","",VLOOKUP(A272,Equipamentos_base!A:K,10,"FALSO"))</f>
        <v/>
      </c>
      <c r="M272" s="316" t="str">
        <f>IF(J272="","",VLOOKUP(A272,Equipamentos_base!A:K,11,"FALSO"))</f>
        <v/>
      </c>
    </row>
    <row r="273" s="316" customFormat="1" hidden="1" spans="1:13">
      <c r="A273" s="324" t="s">
        <v>16017</v>
      </c>
      <c r="B273" s="325" t="str">
        <f>IF(A273="","",VLOOKUP(A273,Equipamentos_base!A:K,2,"FALSO"))</f>
        <v>Guindaste móvel sobre esteiras com capacidade de 80 t - 212 kW</v>
      </c>
      <c r="C273" s="326">
        <f>IF(A273="","",VLOOKUP(A273,Equipamentos_base!A:K,3,"FALSO"))</f>
        <v>6541825.5122</v>
      </c>
      <c r="D273" s="326">
        <f>IF(A273="","",VLOOKUP(A273,Equipamentos_base!A:K,4,"FALSO"))</f>
        <v>228.9639</v>
      </c>
      <c r="E273" s="326">
        <f>IF(A273="","",VLOOKUP(A273,Equipamentos_base!A:K,5,"FALSO"))</f>
        <v>110.9984</v>
      </c>
      <c r="F273" s="326">
        <f>IF(A273="","",VLOOKUP(A273,Equipamentos_base!A:K,6,"FALSO"))</f>
        <v>0</v>
      </c>
      <c r="G273" s="326">
        <f>IF(A273="","",VLOOKUP(A273,Equipamentos_base!A:K,7,"FALSO"))</f>
        <v>327.0913</v>
      </c>
      <c r="H273" s="326">
        <f>IF(A273="","",VLOOKUP(A273,Equipamentos_base!A:K,8,"FALSO"))</f>
        <v>58.724</v>
      </c>
      <c r="I273" s="326">
        <f>IF(A273="","",VLOOKUP(A273,Equipamentos_base!A:K,9,"FALSO"))</f>
        <v>45.2393</v>
      </c>
      <c r="J273" s="327" t="s">
        <v>932</v>
      </c>
      <c r="K273" s="327" t="s">
        <v>932</v>
      </c>
      <c r="L273" s="316" t="str">
        <f>IF(J273="","",VLOOKUP(A273,Equipamentos_base!A:K,10,"FALSO"))</f>
        <v/>
      </c>
      <c r="M273" s="316" t="str">
        <f>IF(J273="","",VLOOKUP(A273,Equipamentos_base!A:K,11,"FALSO"))</f>
        <v/>
      </c>
    </row>
    <row r="274" s="316" customFormat="1" spans="1:13">
      <c r="A274" s="324" t="s">
        <v>1103</v>
      </c>
      <c r="B274" s="325" t="str">
        <f>IF(A274="","",VLOOKUP(A274,Equipamentos_base!A:K,2,"FALSO"))</f>
        <v>Cavalo mecânico com semirreboque com capacidade de 20 t - 276 kW</v>
      </c>
      <c r="C274" s="326">
        <f>IF(A274="","",VLOOKUP(A274,Equipamentos_base!A:K,3,"FALSO"))</f>
        <v>0</v>
      </c>
      <c r="D274" s="326">
        <f>IF(A274="","",VLOOKUP(A274,Equipamentos_base!A:K,4,"FALSO"))</f>
        <v>0</v>
      </c>
      <c r="E274" s="326">
        <f>IF(A274="","",VLOOKUP(A274,Equipamentos_base!A:K,5,"FALSO"))</f>
        <v>0</v>
      </c>
      <c r="F274" s="326">
        <f>IF(A274="","",VLOOKUP(A274,Equipamentos_base!A:K,6,"FALSO"))</f>
        <v>0</v>
      </c>
      <c r="G274" s="326">
        <f>IF(A274="","",VLOOKUP(A274,Equipamentos_base!A:K,7,"FALSO"))</f>
        <v>0</v>
      </c>
      <c r="H274" s="326">
        <f>IF(A274="","",VLOOKUP(A274,Equipamentos_base!A:K,8,"FALSO"))</f>
        <v>0</v>
      </c>
      <c r="I274" s="326">
        <f>IF(A274="","",VLOOKUP(A274,Equipamentos_base!A:K,9,"FALSO"))</f>
        <v>0</v>
      </c>
      <c r="J274" s="327">
        <v>430.6894</v>
      </c>
      <c r="K274" s="327">
        <v>128.9857</v>
      </c>
      <c r="L274" s="316">
        <f>IF(J274="","",VLOOKUP(A274,Equipamentos_base!A:K,10,"FALSO"))</f>
        <v>430.6894</v>
      </c>
      <c r="M274" s="316">
        <f>IF(J274="","",VLOOKUP(A274,Equipamentos_base!A:K,11,"FALSO"))</f>
        <v>128.9857</v>
      </c>
    </row>
    <row r="275" s="316" customFormat="1" spans="1:13">
      <c r="A275" s="324" t="s">
        <v>1104</v>
      </c>
      <c r="B275" s="325" t="str">
        <f>IF(A275="","",VLOOKUP(A275,Equipamentos_base!A:K,2,"FALSO"))</f>
        <v>Cavalo mecânico com semirreboque com capacidade de 32 t - 302 kW</v>
      </c>
      <c r="C275" s="326">
        <f>IF(A275="","",VLOOKUP(A275,Equipamentos_base!A:K,3,"FALSO"))</f>
        <v>0</v>
      </c>
      <c r="D275" s="326">
        <f>IF(A275="","",VLOOKUP(A275,Equipamentos_base!A:K,4,"FALSO"))</f>
        <v>0</v>
      </c>
      <c r="E275" s="326">
        <f>IF(A275="","",VLOOKUP(A275,Equipamentos_base!A:K,5,"FALSO"))</f>
        <v>0</v>
      </c>
      <c r="F275" s="326">
        <f>IF(A275="","",VLOOKUP(A275,Equipamentos_base!A:K,6,"FALSO"))</f>
        <v>0</v>
      </c>
      <c r="G275" s="326">
        <f>IF(A275="","",VLOOKUP(A275,Equipamentos_base!A:K,7,"FALSO"))</f>
        <v>0</v>
      </c>
      <c r="H275" s="326">
        <f>IF(A275="","",VLOOKUP(A275,Equipamentos_base!A:K,8,"FALSO"))</f>
        <v>0</v>
      </c>
      <c r="I275" s="326">
        <f>IF(A275="","",VLOOKUP(A275,Equipamentos_base!A:K,9,"FALSO"))</f>
        <v>0</v>
      </c>
      <c r="J275" s="327">
        <v>478.0725</v>
      </c>
      <c r="K275" s="327">
        <v>142.8167</v>
      </c>
      <c r="L275" s="316">
        <f>IF(J275="","",VLOOKUP(A275,Equipamentos_base!A:K,10,"FALSO"))</f>
        <v>478.0725</v>
      </c>
      <c r="M275" s="316">
        <f>IF(J275="","",VLOOKUP(A275,Equipamentos_base!A:K,11,"FALSO"))</f>
        <v>142.8167</v>
      </c>
    </row>
    <row r="276" s="316" customFormat="1" spans="1:13">
      <c r="A276" s="324" t="s">
        <v>1056</v>
      </c>
      <c r="B276" s="325" t="str">
        <f>IF(A276="","",VLOOKUP(A276,Equipamentos_base!A:K,2,"FALSO"))</f>
        <v>Caminhão basculante com capacidade de 14 m³ - 210 kW</v>
      </c>
      <c r="C276" s="326">
        <f>IF(A276="","",VLOOKUP(A276,Equipamentos_base!A:K,3,"FALSO"))</f>
        <v>0</v>
      </c>
      <c r="D276" s="326">
        <f>IF(A276="","",VLOOKUP(A276,Equipamentos_base!A:K,4,"FALSO"))</f>
        <v>0</v>
      </c>
      <c r="E276" s="326">
        <f>IF(A276="","",VLOOKUP(A276,Equipamentos_base!A:K,5,"FALSO"))</f>
        <v>0</v>
      </c>
      <c r="F276" s="326">
        <f>IF(A276="","",VLOOKUP(A276,Equipamentos_base!A:K,6,"FALSO"))</f>
        <v>0</v>
      </c>
      <c r="G276" s="326">
        <f>IF(A276="","",VLOOKUP(A276,Equipamentos_base!A:K,7,"FALSO"))</f>
        <v>0</v>
      </c>
      <c r="H276" s="326">
        <f>IF(A276="","",VLOOKUP(A276,Equipamentos_base!A:K,8,"FALSO"))</f>
        <v>0</v>
      </c>
      <c r="I276" s="326">
        <f>IF(A276="","",VLOOKUP(A276,Equipamentos_base!A:K,9,"FALSO"))</f>
        <v>0</v>
      </c>
      <c r="J276" s="327">
        <v>326.8179</v>
      </c>
      <c r="K276" s="327">
        <v>98.1376</v>
      </c>
      <c r="L276" s="316">
        <f>IF(J276="","",VLOOKUP(A276,Equipamentos_base!A:K,10,"FALSO"))</f>
        <v>326.8179</v>
      </c>
      <c r="M276" s="316">
        <f>IF(J276="","",VLOOKUP(A276,Equipamentos_base!A:K,11,"FALSO"))</f>
        <v>98.1376</v>
      </c>
    </row>
    <row r="277" s="316" customFormat="1" hidden="1" spans="1:13">
      <c r="A277" s="324" t="s">
        <v>16018</v>
      </c>
      <c r="B277" s="325" t="str">
        <f>IF(A277="","",VLOOKUP(A277,Equipamentos_base!A:K,2,"FALSO"))</f>
        <v>Mesa vibratória - 2,20 kW</v>
      </c>
      <c r="C277" s="326">
        <f>IF(A277="","",VLOOKUP(A277,Equipamentos_base!A:K,3,"FALSO"))</f>
        <v>13914.4535</v>
      </c>
      <c r="D277" s="326">
        <f>IF(A277="","",VLOOKUP(A277,Equipamentos_base!A:K,4,"FALSO"))</f>
        <v>1.8553</v>
      </c>
      <c r="E277" s="326">
        <f>IF(A277="","",VLOOKUP(A277,Equipamentos_base!A:K,5,"FALSO"))</f>
        <v>0.2862</v>
      </c>
      <c r="F277" s="326">
        <f>IF(A277="","",VLOOKUP(A277,Equipamentos_base!A:K,6,"FALSO"))</f>
        <v>0</v>
      </c>
      <c r="G277" s="326">
        <f>IF(A277="","",VLOOKUP(A277,Equipamentos_base!A:K,7,"FALSO"))</f>
        <v>1.3914</v>
      </c>
      <c r="H277" s="326">
        <f>IF(A277="","",VLOOKUP(A277,Equipamentos_base!A:K,8,"FALSO"))</f>
        <v>0</v>
      </c>
      <c r="I277" s="326">
        <f>IF(A277="","",VLOOKUP(A277,Equipamentos_base!A:K,9,"FALSO"))</f>
        <v>0</v>
      </c>
      <c r="J277" s="327" t="s">
        <v>932</v>
      </c>
      <c r="K277" s="327" t="s">
        <v>932</v>
      </c>
      <c r="L277" s="316" t="str">
        <f>IF(J277="","",VLOOKUP(A277,Equipamentos_base!A:K,10,"FALSO"))</f>
        <v/>
      </c>
      <c r="M277" s="316" t="str">
        <f>IF(J277="","",VLOOKUP(A277,Equipamentos_base!A:K,11,"FALSO"))</f>
        <v/>
      </c>
    </row>
    <row r="278" s="316" customFormat="1" spans="1:13">
      <c r="A278" s="324" t="s">
        <v>16019</v>
      </c>
      <c r="B278" s="325" t="str">
        <f>IF(A278="","",VLOOKUP(A278,Equipamentos_base!A:K,2,"FALSO"))</f>
        <v>Caminhão tanque com capacidade de 8.000 l - 136 kW</v>
      </c>
      <c r="C278" s="326">
        <f>IF(A278="","",VLOOKUP(A278,Equipamentos_base!A:K,3,"FALSO"))</f>
        <v>0</v>
      </c>
      <c r="D278" s="326">
        <f>IF(A278="","",VLOOKUP(A278,Equipamentos_base!A:K,4,"FALSO"))</f>
        <v>0</v>
      </c>
      <c r="E278" s="326">
        <f>IF(A278="","",VLOOKUP(A278,Equipamentos_base!A:K,5,"FALSO"))</f>
        <v>0</v>
      </c>
      <c r="F278" s="326">
        <f>IF(A278="","",VLOOKUP(A278,Equipamentos_base!A:K,6,"FALSO"))</f>
        <v>0</v>
      </c>
      <c r="G278" s="326">
        <f>IF(A278="","",VLOOKUP(A278,Equipamentos_base!A:K,7,"FALSO"))</f>
        <v>0</v>
      </c>
      <c r="H278" s="326">
        <f>IF(A278="","",VLOOKUP(A278,Equipamentos_base!A:K,8,"FALSO"))</f>
        <v>0</v>
      </c>
      <c r="I278" s="326">
        <f>IF(A278="","",VLOOKUP(A278,Equipamentos_base!A:K,9,"FALSO"))</f>
        <v>0</v>
      </c>
      <c r="J278" s="327">
        <v>288.8265</v>
      </c>
      <c r="K278" s="327">
        <v>88.3595</v>
      </c>
      <c r="L278" s="316">
        <f>IF(J278="","",VLOOKUP(A278,Equipamentos_base!A:K,10,"FALSO"))</f>
        <v>288.8265</v>
      </c>
      <c r="M278" s="316">
        <f>IF(J278="","",VLOOKUP(A278,Equipamentos_base!A:K,11,"FALSO"))</f>
        <v>88.3595</v>
      </c>
    </row>
    <row r="279" s="316" customFormat="1" ht="30" hidden="1" spans="1:13">
      <c r="A279" s="324" t="s">
        <v>16020</v>
      </c>
      <c r="B279" s="325" t="str">
        <f>IF(A279="","",VLOOKUP(A279,Equipamentos_base!A:K,2,"FALSO"))</f>
        <v>Usina móvel de lama asfáltica ou microrrevestimento com cavalo mecânico com capacidade de 12 m³ - 95,6 kW/276 kW</v>
      </c>
      <c r="C279" s="326">
        <f>IF(A279="","",VLOOKUP(A279,Equipamentos_base!A:K,3,"FALSO"))</f>
        <v>0</v>
      </c>
      <c r="D279" s="326">
        <f>IF(A279="","",VLOOKUP(A279,Equipamentos_base!A:K,4,"FALSO"))</f>
        <v>0</v>
      </c>
      <c r="E279" s="326">
        <f>IF(A279="","",VLOOKUP(A279,Equipamentos_base!A:K,5,"FALSO"))</f>
        <v>0</v>
      </c>
      <c r="F279" s="326">
        <f>IF(A279="","",VLOOKUP(A279,Equipamentos_base!A:K,6,"FALSO"))</f>
        <v>0</v>
      </c>
      <c r="G279" s="326">
        <f>IF(A279="","",VLOOKUP(A279,Equipamentos_base!A:K,7,"FALSO"))</f>
        <v>0</v>
      </c>
      <c r="H279" s="326">
        <f>IF(A279="","",VLOOKUP(A279,Equipamentos_base!A:K,8,"FALSO"))</f>
        <v>0</v>
      </c>
      <c r="I279" s="326">
        <f>IF(A279="","",VLOOKUP(A279,Equipamentos_base!A:K,9,"FALSO"))</f>
        <v>0</v>
      </c>
      <c r="J279" s="327" t="s">
        <v>932</v>
      </c>
      <c r="K279" s="327" t="s">
        <v>932</v>
      </c>
      <c r="L279" s="316" t="str">
        <f>IF(J279="","",VLOOKUP(A279,Equipamentos_base!A:K,10,"FALSO"))</f>
        <v/>
      </c>
      <c r="M279" s="316" t="str">
        <f>IF(J279="","",VLOOKUP(A279,Equipamentos_base!A:K,11,"FALSO"))</f>
        <v/>
      </c>
    </row>
    <row r="280" s="316" customFormat="1" hidden="1" spans="1:13">
      <c r="A280" s="324" t="s">
        <v>16021</v>
      </c>
      <c r="B280" s="325" t="str">
        <f>IF(A280="","",VLOOKUP(A280,Equipamentos_base!A:K,2,"FALSO"))</f>
        <v>Compressor de ar portátil de 363,87 l/s (771 PCM) - 158,13 kW</v>
      </c>
      <c r="C280" s="326">
        <f>IF(A280="","",VLOOKUP(A280,Equipamentos_base!A:K,3,"FALSO"))</f>
        <v>555349.2346</v>
      </c>
      <c r="D280" s="326">
        <f>IF(A280="","",VLOOKUP(A280,Equipamentos_base!A:K,4,"FALSO"))</f>
        <v>44.4279</v>
      </c>
      <c r="E280" s="326">
        <f>IF(A280="","",VLOOKUP(A280,Equipamentos_base!A:K,5,"FALSO"))</f>
        <v>10.2795</v>
      </c>
      <c r="F280" s="326">
        <f>IF(A280="","",VLOOKUP(A280,Equipamentos_base!A:K,6,"FALSO"))</f>
        <v>0</v>
      </c>
      <c r="G280" s="326">
        <f>IF(A280="","",VLOOKUP(A280,Equipamentos_base!A:K,7,"FALSO"))</f>
        <v>44.4279</v>
      </c>
      <c r="H280" s="326">
        <f>IF(A280="","",VLOOKUP(A280,Equipamentos_base!A:K,8,"FALSO"))</f>
        <v>148.9268</v>
      </c>
      <c r="I280" s="326">
        <f>IF(A280="","",VLOOKUP(A280,Equipamentos_base!A:K,9,"FALSO"))</f>
        <v>0</v>
      </c>
      <c r="J280" s="332" t="s">
        <v>932</v>
      </c>
      <c r="K280" s="332" t="s">
        <v>932</v>
      </c>
      <c r="L280" s="316" t="str">
        <f>IF(J280="","",VLOOKUP(A280,Equipamentos_base!A:K,10,"FALSO"))</f>
        <v/>
      </c>
      <c r="M280" s="316" t="str">
        <f>IF(J280="","",VLOOKUP(A280,Equipamentos_base!A:K,11,"FALSO"))</f>
        <v/>
      </c>
    </row>
    <row r="281" s="316" customFormat="1" spans="1:13">
      <c r="A281" s="324" t="s">
        <v>16022</v>
      </c>
      <c r="B281" s="325" t="str">
        <f>IF(A281="","",VLOOKUP(A281,Equipamentos_base!A:K,2,"FALSO"))</f>
        <v>Caminhão basculante para rocha com capacidade de 12 m³ - 210 kW</v>
      </c>
      <c r="C281" s="326">
        <f>IF(A281="","",VLOOKUP(A281,Equipamentos_base!A:K,3,"FALSO"))</f>
        <v>0</v>
      </c>
      <c r="D281" s="326">
        <f>IF(A281="","",VLOOKUP(A281,Equipamentos_base!A:K,4,"FALSO"))</f>
        <v>0</v>
      </c>
      <c r="E281" s="326">
        <f>IF(A281="","",VLOOKUP(A281,Equipamentos_base!A:K,5,"FALSO"))</f>
        <v>0</v>
      </c>
      <c r="F281" s="326">
        <f>IF(A281="","",VLOOKUP(A281,Equipamentos_base!A:K,6,"FALSO"))</f>
        <v>0</v>
      </c>
      <c r="G281" s="326">
        <f>IF(A281="","",VLOOKUP(A281,Equipamentos_base!A:K,7,"FALSO"))</f>
        <v>0</v>
      </c>
      <c r="H281" s="326">
        <f>IF(A281="","",VLOOKUP(A281,Equipamentos_base!A:K,8,"FALSO"))</f>
        <v>0</v>
      </c>
      <c r="I281" s="326">
        <f>IF(A281="","",VLOOKUP(A281,Equipamentos_base!A:K,9,"FALSO"))</f>
        <v>0</v>
      </c>
      <c r="J281" s="327">
        <v>349.6807</v>
      </c>
      <c r="K281" s="327">
        <v>109.6348</v>
      </c>
      <c r="L281" s="316">
        <f>IF(J281="","",VLOOKUP(A281,Equipamentos_base!A:K,10,"FALSO"))</f>
        <v>349.6807</v>
      </c>
      <c r="M281" s="316">
        <f>IF(J281="","",VLOOKUP(A281,Equipamentos_base!A:K,11,"FALSO"))</f>
        <v>109.6348</v>
      </c>
    </row>
    <row r="282" s="316" customFormat="1" spans="1:13">
      <c r="A282" s="324" t="s">
        <v>14285</v>
      </c>
      <c r="B282" s="325" t="str">
        <f>IF(A282="","",VLOOKUP(A282,Equipamentos_base!A:K,2,"FALSO"))</f>
        <v>Martelete perfurador/rompedor elétrico - 1,50 kW</v>
      </c>
      <c r="C282" s="326">
        <f>IF(A282="","",VLOOKUP(A282,Equipamentos_base!A:K,3,"FALSO"))</f>
        <v>7835.5126</v>
      </c>
      <c r="D282" s="326">
        <f>IF(A282="","",VLOOKUP(A282,Equipamentos_base!A:K,4,"FALSO"))</f>
        <v>1.0447</v>
      </c>
      <c r="E282" s="326">
        <f>IF(A282="","",VLOOKUP(A282,Equipamentos_base!A:K,5,"FALSO"))</f>
        <v>0.1612</v>
      </c>
      <c r="F282" s="326">
        <f>IF(A282="","",VLOOKUP(A282,Equipamentos_base!A:K,6,"FALSO"))</f>
        <v>0</v>
      </c>
      <c r="G282" s="326">
        <f>IF(A282="","",VLOOKUP(A282,Equipamentos_base!A:K,7,"FALSO"))</f>
        <v>1.0447</v>
      </c>
      <c r="H282" s="326">
        <f>IF(A282="","",VLOOKUP(A282,Equipamentos_base!A:K,8,"FALSO"))</f>
        <v>0</v>
      </c>
      <c r="I282" s="326">
        <f>IF(A282="","",VLOOKUP(A282,Equipamentos_base!A:K,9,"FALSO"))</f>
        <v>0</v>
      </c>
      <c r="J282" s="327">
        <v>2.2506</v>
      </c>
      <c r="K282" s="327">
        <v>1.2059</v>
      </c>
      <c r="L282" s="316">
        <f>IF(J282="","",VLOOKUP(A282,Equipamentos_base!A:K,10,"FALSO"))</f>
        <v>2.2506</v>
      </c>
      <c r="M282" s="316">
        <f>IF(J282="","",VLOOKUP(A282,Equipamentos_base!A:K,11,"FALSO"))</f>
        <v>1.2059</v>
      </c>
    </row>
    <row r="283" s="316" customFormat="1" hidden="1" spans="1:13">
      <c r="A283" s="324" t="s">
        <v>16023</v>
      </c>
      <c r="B283" s="325" t="str">
        <f>IF(A283="","",VLOOKUP(A283,Equipamentos_base!A:K,2,"FALSO"))</f>
        <v>Martelete perfurador/rompedor a ar comprimido de 10 kg com capacidade de 1.800 gpm</v>
      </c>
      <c r="C283" s="326">
        <f>IF(A283="","",VLOOKUP(A283,Equipamentos_base!A:K,3,"FALSO"))</f>
        <v>15266.7742</v>
      </c>
      <c r="D283" s="326">
        <f>IF(A283="","",VLOOKUP(A283,Equipamentos_base!A:K,4,"FALSO"))</f>
        <v>2.0356</v>
      </c>
      <c r="E283" s="326">
        <f>IF(A283="","",VLOOKUP(A283,Equipamentos_base!A:K,5,"FALSO"))</f>
        <v>0.314</v>
      </c>
      <c r="F283" s="326">
        <f>IF(A283="","",VLOOKUP(A283,Equipamentos_base!A:K,6,"FALSO"))</f>
        <v>0</v>
      </c>
      <c r="G283" s="326">
        <f>IF(A283="","",VLOOKUP(A283,Equipamentos_base!A:K,7,"FALSO"))</f>
        <v>2.0356</v>
      </c>
      <c r="H283" s="326">
        <f>IF(A283="","",VLOOKUP(A283,Equipamentos_base!A:K,8,"FALSO"))</f>
        <v>0</v>
      </c>
      <c r="I283" s="326">
        <f>IF(A283="","",VLOOKUP(A283,Equipamentos_base!A:K,9,"FALSO"))</f>
        <v>26.5829</v>
      </c>
      <c r="J283" s="327" t="s">
        <v>932</v>
      </c>
      <c r="K283" s="327" t="s">
        <v>932</v>
      </c>
      <c r="L283" s="316" t="str">
        <f>IF(J283="","",VLOOKUP(A283,Equipamentos_base!A:K,10,"FALSO"))</f>
        <v/>
      </c>
      <c r="M283" s="316" t="str">
        <f>IF(J283="","",VLOOKUP(A283,Equipamentos_base!A:K,11,"FALSO"))</f>
        <v/>
      </c>
    </row>
    <row r="284" s="316" customFormat="1" hidden="1" spans="1:13">
      <c r="A284" s="324" t="s">
        <v>16024</v>
      </c>
      <c r="B284" s="325" t="str">
        <f>IF(A284="","",VLOOKUP(A284,Equipamentos_base!A:K,2,"FALSO"))</f>
        <v>Fresadora a frio - 455 kW</v>
      </c>
      <c r="C284" s="326">
        <f>IF(A284="","",VLOOKUP(A284,Equipamentos_base!A:K,3,"FALSO"))</f>
        <v>8600757.1072</v>
      </c>
      <c r="D284" s="326">
        <f>IF(A284="","",VLOOKUP(A284,Equipamentos_base!A:K,4,"FALSO"))</f>
        <v>1003.4217</v>
      </c>
      <c r="E284" s="326">
        <f>IF(A284="","",VLOOKUP(A284,Equipamentos_base!A:K,5,"FALSO"))</f>
        <v>176.8889</v>
      </c>
      <c r="F284" s="326">
        <f>IF(A284="","",VLOOKUP(A284,Equipamentos_base!A:K,6,"FALSO"))</f>
        <v>0</v>
      </c>
      <c r="G284" s="326">
        <f>IF(A284="","",VLOOKUP(A284,Equipamentos_base!A:K,7,"FALSO"))</f>
        <v>1433.4595</v>
      </c>
      <c r="H284" s="326">
        <f>IF(A284="","",VLOOKUP(A284,Equipamentos_base!A:K,8,"FALSO"))</f>
        <v>453.726</v>
      </c>
      <c r="I284" s="326">
        <f>IF(A284="","",VLOOKUP(A284,Equipamentos_base!A:K,9,"FALSO"))</f>
        <v>45.2393</v>
      </c>
      <c r="J284" s="327" t="s">
        <v>932</v>
      </c>
      <c r="K284" s="327" t="s">
        <v>932</v>
      </c>
      <c r="L284" s="316" t="str">
        <f>IF(J284="","",VLOOKUP(A284,Equipamentos_base!A:K,10,"FALSO"))</f>
        <v/>
      </c>
      <c r="M284" s="316" t="str">
        <f>IF(J284="","",VLOOKUP(A284,Equipamentos_base!A:K,11,"FALSO"))</f>
        <v/>
      </c>
    </row>
    <row r="285" s="316" customFormat="1" ht="30" hidden="1" spans="1:13">
      <c r="A285" s="324" t="s">
        <v>16025</v>
      </c>
      <c r="B285" s="325" t="str">
        <f>IF(A285="","",VLOOKUP(A285,Equipamentos_base!A:K,2,"FALSO"))</f>
        <v>Cavalo mecânico com dois reboques hidropneumáticos de 5 e 4 eixos e mesas de giro com capacidade de 130 t - 440 kW</v>
      </c>
      <c r="C285" s="326">
        <f>IF(A285="","",VLOOKUP(A285,Equipamentos_base!A:K,3,"FALSO"))</f>
        <v>0</v>
      </c>
      <c r="D285" s="326">
        <f>IF(A285="","",VLOOKUP(A285,Equipamentos_base!A:K,4,"FALSO"))</f>
        <v>0</v>
      </c>
      <c r="E285" s="326">
        <f>IF(A285="","",VLOOKUP(A285,Equipamentos_base!A:K,5,"FALSO"))</f>
        <v>0</v>
      </c>
      <c r="F285" s="326">
        <f>IF(A285="","",VLOOKUP(A285,Equipamentos_base!A:K,6,"FALSO"))</f>
        <v>0</v>
      </c>
      <c r="G285" s="326">
        <f>IF(A285="","",VLOOKUP(A285,Equipamentos_base!A:K,7,"FALSO"))</f>
        <v>0</v>
      </c>
      <c r="H285" s="326">
        <f>IF(A285="","",VLOOKUP(A285,Equipamentos_base!A:K,8,"FALSO"))</f>
        <v>0</v>
      </c>
      <c r="I285" s="326">
        <f>IF(A285="","",VLOOKUP(A285,Equipamentos_base!A:K,9,"FALSO"))</f>
        <v>0</v>
      </c>
      <c r="J285" s="327" t="s">
        <v>932</v>
      </c>
      <c r="K285" s="327" t="s">
        <v>932</v>
      </c>
      <c r="L285" s="316" t="str">
        <f>IF(J285="","",VLOOKUP(A285,Equipamentos_base!A:K,10,"FALSO"))</f>
        <v/>
      </c>
      <c r="M285" s="316" t="str">
        <f>IF(J285="","",VLOOKUP(A285,Equipamentos_base!A:K,11,"FALSO"))</f>
        <v/>
      </c>
    </row>
    <row r="286" s="316" customFormat="1" hidden="1" spans="1:13">
      <c r="A286" s="324" t="s">
        <v>16026</v>
      </c>
      <c r="B286" s="325" t="str">
        <f>IF(A286="","",VLOOKUP(A286,Equipamentos_base!A:K,2,"FALSO"))</f>
        <v>Caminhão tanque com capacidade de 13.000 l - 188 kW</v>
      </c>
      <c r="C286" s="326">
        <f>IF(A286="","",VLOOKUP(A286,Equipamentos_base!A:K,3,"FALSO"))</f>
        <v>0</v>
      </c>
      <c r="D286" s="326">
        <f>IF(A286="","",VLOOKUP(A286,Equipamentos_base!A:K,4,"FALSO"))</f>
        <v>0</v>
      </c>
      <c r="E286" s="326">
        <f>IF(A286="","",VLOOKUP(A286,Equipamentos_base!A:K,5,"FALSO"))</f>
        <v>0</v>
      </c>
      <c r="F286" s="326">
        <f>IF(A286="","",VLOOKUP(A286,Equipamentos_base!A:K,6,"FALSO"))</f>
        <v>0</v>
      </c>
      <c r="G286" s="326">
        <f>IF(A286="","",VLOOKUP(A286,Equipamentos_base!A:K,7,"FALSO"))</f>
        <v>0</v>
      </c>
      <c r="H286" s="326">
        <f>IF(A286="","",VLOOKUP(A286,Equipamentos_base!A:K,8,"FALSO"))</f>
        <v>0</v>
      </c>
      <c r="I286" s="326">
        <f>IF(A286="","",VLOOKUP(A286,Equipamentos_base!A:K,9,"FALSO"))</f>
        <v>0</v>
      </c>
      <c r="J286" s="327" t="s">
        <v>932</v>
      </c>
      <c r="K286" s="327" t="s">
        <v>932</v>
      </c>
      <c r="L286" s="316" t="str">
        <f>IF(J286="","",VLOOKUP(A286,Equipamentos_base!A:K,10,"FALSO"))</f>
        <v/>
      </c>
      <c r="M286" s="316" t="str">
        <f>IF(J286="","",VLOOKUP(A286,Equipamentos_base!A:K,11,"FALSO"))</f>
        <v/>
      </c>
    </row>
    <row r="287" s="316" customFormat="1" spans="1:13">
      <c r="A287" s="324" t="s">
        <v>16027</v>
      </c>
      <c r="B287" s="325" t="str">
        <f>IF(A287="","",VLOOKUP(A287,Equipamentos_base!A:K,2,"FALSO"))</f>
        <v>Rolo compactador liso tandem vibratório autopropelido de 10,4 t - 82 kW</v>
      </c>
      <c r="C287" s="326">
        <f>IF(A287="","",VLOOKUP(A287,Equipamentos_base!A:K,3,"FALSO"))</f>
        <v>862252.9024</v>
      </c>
      <c r="D287" s="326">
        <f>IF(A287="","",VLOOKUP(A287,Equipamentos_base!A:K,4,"FALSO"))</f>
        <v>86.2253</v>
      </c>
      <c r="E287" s="326">
        <f>IF(A287="","",VLOOKUP(A287,Equipamentos_base!A:K,5,"FALSO"))</f>
        <v>16.6253</v>
      </c>
      <c r="F287" s="326">
        <f>IF(A287="","",VLOOKUP(A287,Equipamentos_base!A:K,6,"FALSO"))</f>
        <v>0</v>
      </c>
      <c r="G287" s="326">
        <f>IF(A287="","",VLOOKUP(A287,Equipamentos_base!A:K,7,"FALSO"))</f>
        <v>86.2253</v>
      </c>
      <c r="H287" s="326">
        <f>IF(A287="","",VLOOKUP(A287,Equipamentos_base!A:K,8,"FALSO"))</f>
        <v>122.6556</v>
      </c>
      <c r="I287" s="326">
        <f>IF(A287="","",VLOOKUP(A287,Equipamentos_base!A:K,9,"FALSO"))</f>
        <v>33.7544</v>
      </c>
      <c r="J287" s="327">
        <v>345.4859</v>
      </c>
      <c r="K287" s="327">
        <v>136.605</v>
      </c>
      <c r="L287" s="316">
        <f>IF(J287="","",VLOOKUP(A287,Equipamentos_base!A:K,10,"FALSO"))</f>
        <v>345.4859</v>
      </c>
      <c r="M287" s="316">
        <f>IF(J287="","",VLOOKUP(A287,Equipamentos_base!A:K,11,"FALSO"))</f>
        <v>136.605</v>
      </c>
    </row>
    <row r="288" s="316" customFormat="1" hidden="1" spans="1:13">
      <c r="A288" s="324" t="s">
        <v>16028</v>
      </c>
      <c r="B288" s="325" t="str">
        <f>IF(A288="","",VLOOKUP(A288,Equipamentos_base!A:K,2,"FALSO"))</f>
        <v>Rolo compactador liso tandem vibratório autopropelido de 1,6 t - 18 kW</v>
      </c>
      <c r="C288" s="326">
        <f>IF(A288="","",VLOOKUP(A288,Equipamentos_base!A:K,3,"FALSO"))</f>
        <v>295644.9948</v>
      </c>
      <c r="D288" s="326">
        <f>IF(A288="","",VLOOKUP(A288,Equipamentos_base!A:K,4,"FALSO"))</f>
        <v>29.5645</v>
      </c>
      <c r="E288" s="326">
        <f>IF(A288="","",VLOOKUP(A288,Equipamentos_base!A:K,5,"FALSO"))</f>
        <v>5.7004</v>
      </c>
      <c r="F288" s="326">
        <f>IF(A288="","",VLOOKUP(A288,Equipamentos_base!A:K,6,"FALSO"))</f>
        <v>0</v>
      </c>
      <c r="G288" s="326">
        <f>IF(A288="","",VLOOKUP(A288,Equipamentos_base!A:K,7,"FALSO"))</f>
        <v>29.5645</v>
      </c>
      <c r="H288" s="326">
        <f>IF(A288="","",VLOOKUP(A288,Equipamentos_base!A:K,8,"FALSO"))</f>
        <v>26.9244</v>
      </c>
      <c r="I288" s="326">
        <f>IF(A288="","",VLOOKUP(A288,Equipamentos_base!A:K,9,"FALSO"))</f>
        <v>33.7544</v>
      </c>
      <c r="J288" s="327" t="s">
        <v>932</v>
      </c>
      <c r="K288" s="327" t="s">
        <v>932</v>
      </c>
      <c r="L288" s="316" t="str">
        <f>IF(J288="","",VLOOKUP(A288,Equipamentos_base!A:K,10,"FALSO"))</f>
        <v/>
      </c>
      <c r="M288" s="316" t="str">
        <f>IF(J288="","",VLOOKUP(A288,Equipamentos_base!A:K,11,"FALSO"))</f>
        <v/>
      </c>
    </row>
    <row r="289" s="316" customFormat="1" hidden="1" spans="1:13">
      <c r="A289" s="324" t="s">
        <v>16029</v>
      </c>
      <c r="B289" s="325" t="str">
        <f>IF(A289="","",VLOOKUP(A289,Equipamentos_base!A:K,2,"FALSO"))</f>
        <v>Veículo leve picape média 4 x 4 com cabine dupla com capacidade de 1,10 t - 152,25 kW</v>
      </c>
      <c r="C289" s="326">
        <f>IF(A289="","",VLOOKUP(A289,Equipamentos_base!A:K,3,"FALSO"))</f>
        <v>279154.8734</v>
      </c>
      <c r="D289" s="326">
        <f>IF(A289="","",VLOOKUP(A289,Equipamentos_base!A:K,4,"FALSO"))</f>
        <v>16.7493</v>
      </c>
      <c r="E289" s="326">
        <f>IF(A289="","",VLOOKUP(A289,Equipamentos_base!A:K,5,"FALSO"))</f>
        <v>5.1672</v>
      </c>
      <c r="F289" s="326">
        <f>IF(A289="","",VLOOKUP(A289,Equipamentos_base!A:K,6,"FALSO"))</f>
        <v>2.0937</v>
      </c>
      <c r="G289" s="326">
        <f>IF(A289="","",VLOOKUP(A289,Equipamentos_base!A:K,7,"FALSO"))</f>
        <v>16.7493</v>
      </c>
      <c r="H289" s="326">
        <f>IF(A289="","",VLOOKUP(A289,Equipamentos_base!A:K,8,"FALSO"))</f>
        <v>42.1733</v>
      </c>
      <c r="I289" s="326">
        <f>IF(A289="","",VLOOKUP(A289,Equipamentos_base!A:K,9,"FALSO"))</f>
        <v>32.3437</v>
      </c>
      <c r="J289" s="327" t="s">
        <v>932</v>
      </c>
      <c r="K289" s="327" t="s">
        <v>932</v>
      </c>
      <c r="L289" s="316" t="str">
        <f>IF(J289="","",VLOOKUP(A289,Equipamentos_base!A:K,10,"FALSO"))</f>
        <v/>
      </c>
      <c r="M289" s="316" t="str">
        <f>IF(J289="","",VLOOKUP(A289,Equipamentos_base!A:K,11,"FALSO"))</f>
        <v/>
      </c>
    </row>
    <row r="290" s="316" customFormat="1" spans="1:13">
      <c r="A290" s="324" t="s">
        <v>16030</v>
      </c>
      <c r="B290" s="325" t="str">
        <f>IF(A290="","",VLOOKUP(A290,Equipamentos_base!A:K,2,"FALSO"))</f>
        <v>Rolo compactador pé de carneiro vibratório autopropelido por pneus de 11,6 t - 82 kW</v>
      </c>
      <c r="C290" s="326">
        <f>IF(A290="","",VLOOKUP(A290,Equipamentos_base!A:K,3,"FALSO"))</f>
        <v>734278.0606</v>
      </c>
      <c r="D290" s="326">
        <f>IF(A290="","",VLOOKUP(A290,Equipamentos_base!A:K,4,"FALSO"))</f>
        <v>58.7422</v>
      </c>
      <c r="E290" s="326">
        <f>IF(A290="","",VLOOKUP(A290,Equipamentos_base!A:K,5,"FALSO"))</f>
        <v>13.5915</v>
      </c>
      <c r="F290" s="326">
        <f>IF(A290="","",VLOOKUP(A290,Equipamentos_base!A:K,6,"FALSO"))</f>
        <v>0</v>
      </c>
      <c r="G290" s="326">
        <f>IF(A290="","",VLOOKUP(A290,Equipamentos_base!A:K,7,"FALSO"))</f>
        <v>58.7422</v>
      </c>
      <c r="H290" s="326">
        <f>IF(A290="","",VLOOKUP(A290,Equipamentos_base!A:K,8,"FALSO"))</f>
        <v>72.6848</v>
      </c>
      <c r="I290" s="326">
        <f>IF(A290="","",VLOOKUP(A290,Equipamentos_base!A:K,9,"FALSO"))</f>
        <v>33.7544</v>
      </c>
      <c r="J290" s="327">
        <v>237.5151</v>
      </c>
      <c r="K290" s="327">
        <v>106.0881</v>
      </c>
      <c r="L290" s="316">
        <f>IF(J290="","",VLOOKUP(A290,Equipamentos_base!A:K,10,"FALSO"))</f>
        <v>237.5151</v>
      </c>
      <c r="M290" s="316">
        <f>IF(J290="","",VLOOKUP(A290,Equipamentos_base!A:K,11,"FALSO"))</f>
        <v>106.0881</v>
      </c>
    </row>
    <row r="291" s="316" customFormat="1" spans="1:13">
      <c r="A291" s="324" t="s">
        <v>14317</v>
      </c>
      <c r="B291" s="325" t="str">
        <f>IF(A291="","",VLOOKUP(A291,Equipamentos_base!A:K,2,"FALSO"))</f>
        <v>Caminhão guindauto com capacidade de elevação de 6,2 t e carroceria de 7 t - 136 kW</v>
      </c>
      <c r="C291" s="326">
        <f>IF(A291="","",VLOOKUP(A291,Equipamentos_base!A:K,3,"FALSO"))</f>
        <v>0</v>
      </c>
      <c r="D291" s="326">
        <f>IF(A291="","",VLOOKUP(A291,Equipamentos_base!A:K,4,"FALSO"))</f>
        <v>0</v>
      </c>
      <c r="E291" s="326">
        <f>IF(A291="","",VLOOKUP(A291,Equipamentos_base!A:K,5,"FALSO"))</f>
        <v>0</v>
      </c>
      <c r="F291" s="326">
        <f>IF(A291="","",VLOOKUP(A291,Equipamentos_base!A:K,6,"FALSO"))</f>
        <v>0</v>
      </c>
      <c r="G291" s="326">
        <f>IF(A291="","",VLOOKUP(A291,Equipamentos_base!A:K,7,"FALSO"))</f>
        <v>0</v>
      </c>
      <c r="H291" s="326">
        <f>IF(A291="","",VLOOKUP(A291,Equipamentos_base!A:K,8,"FALSO"))</f>
        <v>0</v>
      </c>
      <c r="I291" s="326">
        <f>IF(A291="","",VLOOKUP(A291,Equipamentos_base!A:K,9,"FALSO"))</f>
        <v>0</v>
      </c>
      <c r="J291" s="327">
        <v>329.5576</v>
      </c>
      <c r="K291" s="327">
        <v>115.2184</v>
      </c>
      <c r="L291" s="316">
        <f>IF(J291="","",VLOOKUP(A291,Equipamentos_base!A:K,10,"FALSO"))</f>
        <v>329.5576</v>
      </c>
      <c r="M291" s="316">
        <f>IF(J291="","",VLOOKUP(A291,Equipamentos_base!A:K,11,"FALSO"))</f>
        <v>115.2184</v>
      </c>
    </row>
    <row r="292" s="316" customFormat="1" spans="1:13">
      <c r="A292" s="324" t="s">
        <v>1086</v>
      </c>
      <c r="B292" s="325" t="str">
        <f>IF(A292="","",VLOOKUP(A292,Equipamentos_base!A:K,2,"FALSO"))</f>
        <v>Caminhão carroceria com capacidade de 5 t - 120 kW</v>
      </c>
      <c r="C292" s="326">
        <f>IF(A292="","",VLOOKUP(A292,Equipamentos_base!A:K,3,"FALSO"))</f>
        <v>0</v>
      </c>
      <c r="D292" s="326">
        <f>IF(A292="","",VLOOKUP(A292,Equipamentos_base!A:K,4,"FALSO"))</f>
        <v>0</v>
      </c>
      <c r="E292" s="326">
        <f>IF(A292="","",VLOOKUP(A292,Equipamentos_base!A:K,5,"FALSO"))</f>
        <v>0</v>
      </c>
      <c r="F292" s="326">
        <f>IF(A292="","",VLOOKUP(A292,Equipamentos_base!A:K,6,"FALSO"))</f>
        <v>0</v>
      </c>
      <c r="G292" s="326">
        <f>IF(A292="","",VLOOKUP(A292,Equipamentos_base!A:K,7,"FALSO"))</f>
        <v>0</v>
      </c>
      <c r="H292" s="326">
        <f>IF(A292="","",VLOOKUP(A292,Equipamentos_base!A:K,8,"FALSO"))</f>
        <v>0</v>
      </c>
      <c r="I292" s="326">
        <f>IF(A292="","",VLOOKUP(A292,Equipamentos_base!A:K,9,"FALSO"))</f>
        <v>0</v>
      </c>
      <c r="J292" s="327">
        <v>174.0453</v>
      </c>
      <c r="K292" s="327">
        <v>68.9883</v>
      </c>
      <c r="L292" s="316">
        <f>IF(J292="","",VLOOKUP(A292,Equipamentos_base!A:K,10,"FALSO"))</f>
        <v>174.0453</v>
      </c>
      <c r="M292" s="316">
        <f>IF(J292="","",VLOOKUP(A292,Equipamentos_base!A:K,11,"FALSO"))</f>
        <v>68.9883</v>
      </c>
    </row>
    <row r="293" s="316" customFormat="1" spans="1:13">
      <c r="A293" s="324" t="s">
        <v>16031</v>
      </c>
      <c r="B293" s="325" t="str">
        <f>IF(A293="","",VLOOKUP(A293,Equipamentos_base!A:K,2,"FALSO"))</f>
        <v>Usina de asfalto a quente gravimétrica com capacidade de 100/140 t/h - 260 kW</v>
      </c>
      <c r="C293" s="326">
        <f>IF(A293="","",VLOOKUP(A293,Equipamentos_base!A:K,3,"FALSO"))</f>
        <v>8216804.7839</v>
      </c>
      <c r="D293" s="326">
        <f>IF(A293="","",VLOOKUP(A293,Equipamentos_base!A:K,4,"FALSO"))</f>
        <v>718.9704</v>
      </c>
      <c r="E293" s="326">
        <f>IF(A293="","",VLOOKUP(A293,Equipamentos_base!A:K,5,"FALSO"))</f>
        <v>158.4303</v>
      </c>
      <c r="F293" s="326">
        <f>IF(A293="","",VLOOKUP(A293,Equipamentos_base!A:K,6,"FALSO"))</f>
        <v>0</v>
      </c>
      <c r="G293" s="326">
        <f>IF(A293="","",VLOOKUP(A293,Equipamentos_base!A:K,7,"FALSO"))</f>
        <v>924.3905</v>
      </c>
      <c r="H293" s="326">
        <f>IF(A293="","",VLOOKUP(A293,Equipamentos_base!A:K,8,"FALSO"))</f>
        <v>0</v>
      </c>
      <c r="I293" s="326">
        <f>IF(A293="","",VLOOKUP(A293,Equipamentos_base!A:K,9,"FALSO"))</f>
        <v>45.2393</v>
      </c>
      <c r="J293" s="327">
        <v>1847.0305</v>
      </c>
      <c r="K293" s="327">
        <v>922.64</v>
      </c>
      <c r="L293" s="316">
        <f>IF(J293="","",VLOOKUP(A293,Equipamentos_base!A:K,10,"FALSO"))</f>
        <v>1847.0305</v>
      </c>
      <c r="M293" s="316">
        <f>IF(J293="","",VLOOKUP(A293,Equipamentos_base!A:K,11,"FALSO"))</f>
        <v>922.64</v>
      </c>
    </row>
    <row r="294" s="316" customFormat="1" ht="30" hidden="1" spans="1:13">
      <c r="A294" s="324" t="s">
        <v>16032</v>
      </c>
      <c r="B294" s="325" t="str">
        <f>IF(A294="","",VLOOKUP(A294,Equipamentos_base!A:K,2,"FALSO"))</f>
        <v>Caminhão guindauto com cesto aéreo simples e capacidade de elevação de 5,7 t e carroceria de 8,5 t - 136 kW</v>
      </c>
      <c r="C294" s="326">
        <f>IF(A294="","",VLOOKUP(A294,Equipamentos_base!A:K,3,"FALSO"))</f>
        <v>0</v>
      </c>
      <c r="D294" s="326">
        <f>IF(A294="","",VLOOKUP(A294,Equipamentos_base!A:K,4,"FALSO"))</f>
        <v>0</v>
      </c>
      <c r="E294" s="326">
        <f>IF(A294="","",VLOOKUP(A294,Equipamentos_base!A:K,5,"FALSO"))</f>
        <v>0</v>
      </c>
      <c r="F294" s="326">
        <f>IF(A294="","",VLOOKUP(A294,Equipamentos_base!A:K,6,"FALSO"))</f>
        <v>0</v>
      </c>
      <c r="G294" s="326">
        <f>IF(A294="","",VLOOKUP(A294,Equipamentos_base!A:K,7,"FALSO"))</f>
        <v>0</v>
      </c>
      <c r="H294" s="326">
        <f>IF(A294="","",VLOOKUP(A294,Equipamentos_base!A:K,8,"FALSO"))</f>
        <v>0</v>
      </c>
      <c r="I294" s="326">
        <f>IF(A294="","",VLOOKUP(A294,Equipamentos_base!A:K,9,"FALSO"))</f>
        <v>0</v>
      </c>
      <c r="J294" s="327" t="s">
        <v>932</v>
      </c>
      <c r="K294" s="327" t="s">
        <v>932</v>
      </c>
      <c r="L294" s="316" t="str">
        <f>IF(J294="","",VLOOKUP(A294,Equipamentos_base!A:K,10,"FALSO"))</f>
        <v/>
      </c>
      <c r="M294" s="316" t="str">
        <f>IF(J294="","",VLOOKUP(A294,Equipamentos_base!A:K,11,"FALSO"))</f>
        <v/>
      </c>
    </row>
    <row r="295" s="316" customFormat="1" hidden="1" spans="1:13">
      <c r="A295" s="324" t="s">
        <v>16033</v>
      </c>
      <c r="B295" s="325" t="str">
        <f>IF(A295="","",VLOOKUP(A295,Equipamentos_base!A:K,2,"FALSO"))</f>
        <v>Guincho tracionador de cordoalhas - 7,50 kW</v>
      </c>
      <c r="C295" s="326">
        <f>IF(A295="","",VLOOKUP(A295,Equipamentos_base!A:K,3,"FALSO"))</f>
        <v>398179.2109</v>
      </c>
      <c r="D295" s="326">
        <f>IF(A295="","",VLOOKUP(A295,Equipamentos_base!A:K,4,"FALSO"))</f>
        <v>35.3937</v>
      </c>
      <c r="E295" s="326">
        <f>IF(A295="","",VLOOKUP(A295,Equipamentos_base!A:K,5,"FALSO"))</f>
        <v>7.5068</v>
      </c>
      <c r="F295" s="326">
        <f>IF(A295="","",VLOOKUP(A295,Equipamentos_base!A:K,6,"FALSO"))</f>
        <v>0</v>
      </c>
      <c r="G295" s="326">
        <f>IF(A295="","",VLOOKUP(A295,Equipamentos_base!A:K,7,"FALSO"))</f>
        <v>22.1211</v>
      </c>
      <c r="H295" s="326">
        <f>IF(A295="","",VLOOKUP(A295,Equipamentos_base!A:K,8,"FALSO"))</f>
        <v>0</v>
      </c>
      <c r="I295" s="326">
        <f>IF(A295="","",VLOOKUP(A295,Equipamentos_base!A:K,9,"FALSO"))</f>
        <v>26.5829</v>
      </c>
      <c r="J295" s="327" t="s">
        <v>932</v>
      </c>
      <c r="K295" s="327" t="s">
        <v>932</v>
      </c>
      <c r="L295" s="316" t="str">
        <f>IF(J295="","",VLOOKUP(A295,Equipamentos_base!A:K,10,"FALSO"))</f>
        <v/>
      </c>
      <c r="M295" s="316" t="str">
        <f>IF(J295="","",VLOOKUP(A295,Equipamentos_base!A:K,11,"FALSO"))</f>
        <v/>
      </c>
    </row>
    <row r="296" s="316" customFormat="1" hidden="1" spans="1:13">
      <c r="A296" s="324" t="s">
        <v>16034</v>
      </c>
      <c r="B296" s="325" t="str">
        <f>IF(A296="","",VLOOKUP(A296,Equipamentos_base!A:K,2,"FALSO"))</f>
        <v>Caldeira para aquecimento e injeção de cera - 1 kW</v>
      </c>
      <c r="C296" s="326">
        <f>IF(A296="","",VLOOKUP(A296,Equipamentos_base!A:K,3,"FALSO"))</f>
        <v>121588.155</v>
      </c>
      <c r="D296" s="326">
        <f>IF(A296="","",VLOOKUP(A296,Equipamentos_base!A:K,4,"FALSO"))</f>
        <v>18.2382</v>
      </c>
      <c r="E296" s="326">
        <f>IF(A296="","",VLOOKUP(A296,Equipamentos_base!A:K,5,"FALSO"))</f>
        <v>2.5007</v>
      </c>
      <c r="F296" s="326">
        <f>IF(A296="","",VLOOKUP(A296,Equipamentos_base!A:K,6,"FALSO"))</f>
        <v>0</v>
      </c>
      <c r="G296" s="326">
        <f>IF(A296="","",VLOOKUP(A296,Equipamentos_base!A:K,7,"FALSO"))</f>
        <v>6.0794</v>
      </c>
      <c r="H296" s="326">
        <f>IF(A296="","",VLOOKUP(A296,Equipamentos_base!A:K,8,"FALSO"))</f>
        <v>0</v>
      </c>
      <c r="I296" s="326">
        <f>IF(A296="","",VLOOKUP(A296,Equipamentos_base!A:K,9,"FALSO"))</f>
        <v>26.5829</v>
      </c>
      <c r="J296" s="327" t="s">
        <v>932</v>
      </c>
      <c r="K296" s="327" t="s">
        <v>932</v>
      </c>
      <c r="L296" s="316" t="str">
        <f>IF(J296="","",VLOOKUP(A296,Equipamentos_base!A:K,10,"FALSO"))</f>
        <v/>
      </c>
      <c r="M296" s="316" t="str">
        <f>IF(J296="","",VLOOKUP(A296,Equipamentos_base!A:K,11,"FALSO"))</f>
        <v/>
      </c>
    </row>
    <row r="297" s="316" customFormat="1" hidden="1" spans="1:13">
      <c r="A297" s="324" t="s">
        <v>16035</v>
      </c>
      <c r="B297" s="325" t="str">
        <f>IF(A297="","",VLOOKUP(A297,Equipamentos_base!A:K,2,"FALSO"))</f>
        <v>Caminhão demarcador de faixas com sistema de pintura Spray - 129 kW</v>
      </c>
      <c r="C297" s="326">
        <f>IF(A297="","",VLOOKUP(A297,Equipamentos_base!A:K,3,"FALSO"))</f>
        <v>0</v>
      </c>
      <c r="D297" s="326">
        <f>IF(A297="","",VLOOKUP(A297,Equipamentos_base!A:K,4,"FALSO"))</f>
        <v>0</v>
      </c>
      <c r="E297" s="326">
        <f>IF(A297="","",VLOOKUP(A297,Equipamentos_base!A:K,5,"FALSO"))</f>
        <v>0</v>
      </c>
      <c r="F297" s="326">
        <f>IF(A297="","",VLOOKUP(A297,Equipamentos_base!A:K,6,"FALSO"))</f>
        <v>0</v>
      </c>
      <c r="G297" s="326">
        <f>IF(A297="","",VLOOKUP(A297,Equipamentos_base!A:K,7,"FALSO"))</f>
        <v>0</v>
      </c>
      <c r="H297" s="326">
        <f>IF(A297="","",VLOOKUP(A297,Equipamentos_base!A:K,8,"FALSO"))</f>
        <v>0</v>
      </c>
      <c r="I297" s="326">
        <f>IF(A297="","",VLOOKUP(A297,Equipamentos_base!A:K,9,"FALSO"))</f>
        <v>0</v>
      </c>
      <c r="J297" s="327" t="s">
        <v>932</v>
      </c>
      <c r="K297" s="327" t="s">
        <v>932</v>
      </c>
      <c r="L297" s="316" t="str">
        <f>IF(J297="","",VLOOKUP(A297,Equipamentos_base!A:K,10,"FALSO"))</f>
        <v/>
      </c>
      <c r="M297" s="316" t="str">
        <f>IF(J297="","",VLOOKUP(A297,Equipamentos_base!A:K,11,"FALSO"))</f>
        <v/>
      </c>
    </row>
    <row r="298" s="316" customFormat="1" hidden="1" spans="1:13">
      <c r="A298" s="324" t="s">
        <v>16036</v>
      </c>
      <c r="B298" s="325" t="str">
        <f>IF(A298="","",VLOOKUP(A298,Equipamentos_base!A:K,2,"FALSO"))</f>
        <v>Misturador de argamassa de alta turbulência com capacidade de 220 l - 13 kW</v>
      </c>
      <c r="C298" s="326">
        <f>IF(A298="","",VLOOKUP(A298,Equipamentos_base!A:K,3,"FALSO"))</f>
        <v>35726.2603</v>
      </c>
      <c r="D298" s="326">
        <f>IF(A298="","",VLOOKUP(A298,Equipamentos_base!A:K,4,"FALSO"))</f>
        <v>5.7162</v>
      </c>
      <c r="E298" s="326">
        <f>IF(A298="","",VLOOKUP(A298,Equipamentos_base!A:K,5,"FALSO"))</f>
        <v>0.7715</v>
      </c>
      <c r="F298" s="326">
        <f>IF(A298="","",VLOOKUP(A298,Equipamentos_base!A:K,6,"FALSO"))</f>
        <v>0</v>
      </c>
      <c r="G298" s="326">
        <f>IF(A298="","",VLOOKUP(A298,Equipamentos_base!A:K,7,"FALSO"))</f>
        <v>5.0017</v>
      </c>
      <c r="H298" s="326">
        <f>IF(A298="","",VLOOKUP(A298,Equipamentos_base!A:K,8,"FALSO"))</f>
        <v>0</v>
      </c>
      <c r="I298" s="326">
        <f>IF(A298="","",VLOOKUP(A298,Equipamentos_base!A:K,9,"FALSO"))</f>
        <v>26.5829</v>
      </c>
      <c r="J298" s="327" t="s">
        <v>932</v>
      </c>
      <c r="K298" s="327" t="s">
        <v>932</v>
      </c>
      <c r="L298" s="316" t="str">
        <f>IF(J298="","",VLOOKUP(A298,Equipamentos_base!A:K,10,"FALSO"))</f>
        <v/>
      </c>
      <c r="M298" s="316" t="str">
        <f>IF(J298="","",VLOOKUP(A298,Equipamentos_base!A:K,11,"FALSO"))</f>
        <v/>
      </c>
    </row>
    <row r="299" s="316" customFormat="1" hidden="1" spans="1:13">
      <c r="A299" s="324" t="s">
        <v>16037</v>
      </c>
      <c r="B299" s="325" t="str">
        <f>IF(A299="","",VLOOKUP(A299,Equipamentos_base!A:K,2,"FALSO"))</f>
        <v>Minicarregadeira de pneus com vassoura de 1,68 m - 45,50 kW</v>
      </c>
      <c r="C299" s="326">
        <f>IF(A299="","",VLOOKUP(A299,Equipamentos_base!A:K,3,"FALSO"))</f>
        <v>423708.9212</v>
      </c>
      <c r="D299" s="326">
        <f>IF(A299="","",VLOOKUP(A299,Equipamentos_base!A:K,4,"FALSO"))</f>
        <v>37.0745</v>
      </c>
      <c r="E299" s="326">
        <f>IF(A299="","",VLOOKUP(A299,Equipamentos_base!A:K,5,"FALSO"))</f>
        <v>8.1696</v>
      </c>
      <c r="F299" s="326">
        <f>IF(A299="","",VLOOKUP(A299,Equipamentos_base!A:K,6,"FALSO"))</f>
        <v>0</v>
      </c>
      <c r="G299" s="326">
        <f>IF(A299="","",VLOOKUP(A299,Equipamentos_base!A:K,7,"FALSO"))</f>
        <v>37.0745</v>
      </c>
      <c r="H299" s="326">
        <f>IF(A299="","",VLOOKUP(A299,Equipamentos_base!A:K,8,"FALSO"))</f>
        <v>63.0175</v>
      </c>
      <c r="I299" s="326">
        <f>IF(A299="","",VLOOKUP(A299,Equipamentos_base!A:K,9,"FALSO"))</f>
        <v>33.7544</v>
      </c>
      <c r="J299" s="327" t="s">
        <v>932</v>
      </c>
      <c r="K299" s="327" t="s">
        <v>932</v>
      </c>
      <c r="L299" s="316" t="str">
        <f>IF(J299="","",VLOOKUP(A299,Equipamentos_base!A:K,10,"FALSO"))</f>
        <v/>
      </c>
      <c r="M299" s="316" t="str">
        <f>IF(J299="","",VLOOKUP(A299,Equipamentos_base!A:K,11,"FALSO"))</f>
        <v/>
      </c>
    </row>
    <row r="300" s="316" customFormat="1" hidden="1" spans="1:13">
      <c r="A300" s="324" t="s">
        <v>16038</v>
      </c>
      <c r="B300" s="325" t="str">
        <f>IF(A300="","",VLOOKUP(A300,Equipamentos_base!A:K,2,"FALSO"))</f>
        <v>Fresadora a frio - 155 kW</v>
      </c>
      <c r="C300" s="326">
        <f>IF(A300="","",VLOOKUP(A300,Equipamentos_base!A:K,3,"FALSO"))</f>
        <v>4096729.6829</v>
      </c>
      <c r="D300" s="326">
        <f>IF(A300="","",VLOOKUP(A300,Equipamentos_base!A:K,4,"FALSO"))</f>
        <v>477.9518</v>
      </c>
      <c r="E300" s="326">
        <f>IF(A300="","",VLOOKUP(A300,Equipamentos_base!A:K,5,"FALSO"))</f>
        <v>84.2561</v>
      </c>
      <c r="F300" s="326">
        <f>IF(A300="","",VLOOKUP(A300,Equipamentos_base!A:K,6,"FALSO"))</f>
        <v>0</v>
      </c>
      <c r="G300" s="326">
        <f>IF(A300="","",VLOOKUP(A300,Equipamentos_base!A:K,7,"FALSO"))</f>
        <v>682.7883</v>
      </c>
      <c r="H300" s="326">
        <f>IF(A300="","",VLOOKUP(A300,Equipamentos_base!A:K,8,"FALSO"))</f>
        <v>154.566</v>
      </c>
      <c r="I300" s="326">
        <f>IF(A300="","",VLOOKUP(A300,Equipamentos_base!A:K,9,"FALSO"))</f>
        <v>45.2393</v>
      </c>
      <c r="J300" s="327" t="s">
        <v>932</v>
      </c>
      <c r="K300" s="327" t="s">
        <v>932</v>
      </c>
      <c r="L300" s="316" t="str">
        <f>IF(J300="","",VLOOKUP(A300,Equipamentos_base!A:K,10,"FALSO"))</f>
        <v/>
      </c>
      <c r="M300" s="316" t="str">
        <f>IF(J300="","",VLOOKUP(A300,Equipamentos_base!A:K,11,"FALSO"))</f>
        <v/>
      </c>
    </row>
    <row r="301" s="316" customFormat="1" hidden="1" spans="1:13">
      <c r="A301" s="324" t="s">
        <v>16039</v>
      </c>
      <c r="B301" s="325" t="str">
        <f>IF(A301="","",VLOOKUP(A301,Equipamentos_base!A:K,2,"FALSO"))</f>
        <v>Jateador pressurizado multiabrasivo com capacidade de 280 l</v>
      </c>
      <c r="C301" s="326">
        <f>IF(A301="","",VLOOKUP(A301,Equipamentos_base!A:K,3,"FALSO"))</f>
        <v>28770.5529</v>
      </c>
      <c r="D301" s="326">
        <f>IF(A301="","",VLOOKUP(A301,Equipamentos_base!A:K,4,"FALSO"))</f>
        <v>2.5893</v>
      </c>
      <c r="E301" s="326">
        <f>IF(A301="","",VLOOKUP(A301,Equipamentos_base!A:K,5,"FALSO"))</f>
        <v>0.5325</v>
      </c>
      <c r="F301" s="326">
        <f>IF(A301="","",VLOOKUP(A301,Equipamentos_base!A:K,6,"FALSO"))</f>
        <v>0</v>
      </c>
      <c r="G301" s="326">
        <f>IF(A301="","",VLOOKUP(A301,Equipamentos_base!A:K,7,"FALSO"))</f>
        <v>2.5893</v>
      </c>
      <c r="H301" s="326">
        <f>IF(A301="","",VLOOKUP(A301,Equipamentos_base!A:K,8,"FALSO"))</f>
        <v>0</v>
      </c>
      <c r="I301" s="326">
        <f>IF(A301="","",VLOOKUP(A301,Equipamentos_base!A:K,9,"FALSO"))</f>
        <v>26.5829</v>
      </c>
      <c r="J301" s="327" t="s">
        <v>932</v>
      </c>
      <c r="K301" s="327" t="s">
        <v>932</v>
      </c>
      <c r="L301" s="316" t="str">
        <f>IF(J301="","",VLOOKUP(A301,Equipamentos_base!A:K,10,"FALSO"))</f>
        <v/>
      </c>
      <c r="M301" s="316" t="str">
        <f>IF(J301="","",VLOOKUP(A301,Equipamentos_base!A:K,11,"FALSO"))</f>
        <v/>
      </c>
    </row>
    <row r="302" s="316" customFormat="1" hidden="1" spans="1:13">
      <c r="A302" s="324" t="s">
        <v>16040</v>
      </c>
      <c r="B302" s="325" t="str">
        <f>IF(A302="","",VLOOKUP(A302,Equipamentos_base!A:K,2,"FALSO"))</f>
        <v>Fábrica de pré-moldado de concreto para mourão - 2,20 kW</v>
      </c>
      <c r="C302" s="326">
        <f>IF(A302="","",VLOOKUP(A302,Equipamentos_base!A:K,3,"FALSO"))</f>
        <v>14581.9128</v>
      </c>
      <c r="D302" s="326">
        <f>IF(A302="","",VLOOKUP(A302,Equipamentos_base!A:K,4,"FALSO"))</f>
        <v>1.9443</v>
      </c>
      <c r="E302" s="326">
        <f>IF(A302="","",VLOOKUP(A302,Equipamentos_base!A:K,5,"FALSO"))</f>
        <v>0.2999</v>
      </c>
      <c r="F302" s="326">
        <f>IF(A302="","",VLOOKUP(A302,Equipamentos_base!A:K,6,"FALSO"))</f>
        <v>0</v>
      </c>
      <c r="G302" s="326">
        <f>IF(A302="","",VLOOKUP(A302,Equipamentos_base!A:K,7,"FALSO"))</f>
        <v>1.4582</v>
      </c>
      <c r="H302" s="326">
        <f>IF(A302="","",VLOOKUP(A302,Equipamentos_base!A:K,8,"FALSO"))</f>
        <v>0</v>
      </c>
      <c r="I302" s="326">
        <f>IF(A302="","",VLOOKUP(A302,Equipamentos_base!A:K,9,"FALSO"))</f>
        <v>0</v>
      </c>
      <c r="J302" s="327" t="s">
        <v>932</v>
      </c>
      <c r="K302" s="327" t="s">
        <v>932</v>
      </c>
      <c r="L302" s="316" t="str">
        <f>IF(J302="","",VLOOKUP(A302,Equipamentos_base!A:K,10,"FALSO"))</f>
        <v/>
      </c>
      <c r="M302" s="316" t="str">
        <f>IF(J302="","",VLOOKUP(A302,Equipamentos_base!A:K,11,"FALSO"))</f>
        <v/>
      </c>
    </row>
    <row r="303" s="316" customFormat="1" hidden="1" spans="1:13">
      <c r="A303" s="324" t="s">
        <v>16041</v>
      </c>
      <c r="B303" s="325" t="str">
        <f>IF(A303="","",VLOOKUP(A303,Equipamentos_base!A:K,2,"FALSO"))</f>
        <v>Batelão sem propulsão montado na obra com capacidade de 66 m³</v>
      </c>
      <c r="C303" s="326">
        <f>IF(A303="","",VLOOKUP(A303,Equipamentos_base!A:K,3,"FALSO"))</f>
        <v>230837.3357</v>
      </c>
      <c r="D303" s="326">
        <f>IF(A303="","",VLOOKUP(A303,Equipamentos_base!A:K,4,"FALSO"))</f>
        <v>9.893</v>
      </c>
      <c r="E303" s="326">
        <f>IF(A303="","",VLOOKUP(A303,Equipamentos_base!A:K,5,"FALSO"))</f>
        <v>3.8998</v>
      </c>
      <c r="F303" s="326">
        <f>IF(A303="","",VLOOKUP(A303,Equipamentos_base!A:K,6,"FALSO"))</f>
        <v>0</v>
      </c>
      <c r="G303" s="326">
        <f>IF(A303="","",VLOOKUP(A303,Equipamentos_base!A:K,7,"FALSO"))</f>
        <v>16.4884</v>
      </c>
      <c r="H303" s="326">
        <f>IF(A303="","",VLOOKUP(A303,Equipamentos_base!A:K,8,"FALSO"))</f>
        <v>0</v>
      </c>
      <c r="I303" s="326">
        <f>IF(A303="","",VLOOKUP(A303,Equipamentos_base!A:K,9,"FALSO"))</f>
        <v>30.0416</v>
      </c>
      <c r="J303" s="327" t="s">
        <v>932</v>
      </c>
      <c r="K303" s="327" t="s">
        <v>932</v>
      </c>
      <c r="L303" s="316" t="str">
        <f>IF(J303="","",VLOOKUP(A303,Equipamentos_base!A:K,10,"FALSO"))</f>
        <v/>
      </c>
      <c r="M303" s="316" t="str">
        <f>IF(J303="","",VLOOKUP(A303,Equipamentos_base!A:K,11,"FALSO"))</f>
        <v/>
      </c>
    </row>
    <row r="304" s="316" customFormat="1" hidden="1" spans="1:13">
      <c r="A304" s="324" t="s">
        <v>16042</v>
      </c>
      <c r="B304" s="325" t="str">
        <f>IF(A304="","",VLOOKUP(A304,Equipamentos_base!A:K,2,"FALSO"))</f>
        <v>Misturador de lama bentonítica - 4 kW</v>
      </c>
      <c r="C304" s="326">
        <f>IF(A304="","",VLOOKUP(A304,Equipamentos_base!A:K,3,"FALSO"))</f>
        <v>18469.6453</v>
      </c>
      <c r="D304" s="326">
        <f>IF(A304="","",VLOOKUP(A304,Equipamentos_base!A:K,4,"FALSO"))</f>
        <v>2.9551</v>
      </c>
      <c r="E304" s="326">
        <f>IF(A304="","",VLOOKUP(A304,Equipamentos_base!A:K,5,"FALSO"))</f>
        <v>0.3989</v>
      </c>
      <c r="F304" s="326">
        <f>IF(A304="","",VLOOKUP(A304,Equipamentos_base!A:K,6,"FALSO"))</f>
        <v>0</v>
      </c>
      <c r="G304" s="326">
        <f>IF(A304="","",VLOOKUP(A304,Equipamentos_base!A:K,7,"FALSO"))</f>
        <v>2.5858</v>
      </c>
      <c r="H304" s="326">
        <f>IF(A304="","",VLOOKUP(A304,Equipamentos_base!A:K,8,"FALSO"))</f>
        <v>0</v>
      </c>
      <c r="I304" s="326">
        <f>IF(A304="","",VLOOKUP(A304,Equipamentos_base!A:K,9,"FALSO"))</f>
        <v>26.5829</v>
      </c>
      <c r="J304" s="327" t="s">
        <v>932</v>
      </c>
      <c r="K304" s="327" t="s">
        <v>932</v>
      </c>
      <c r="L304" s="316" t="str">
        <f>IF(J304="","",VLOOKUP(A304,Equipamentos_base!A:K,10,"FALSO"))</f>
        <v/>
      </c>
      <c r="M304" s="316" t="str">
        <f>IF(J304="","",VLOOKUP(A304,Equipamentos_base!A:K,11,"FALSO"))</f>
        <v/>
      </c>
    </row>
    <row r="305" s="316" customFormat="1" ht="30" spans="1:13">
      <c r="A305" s="324" t="s">
        <v>16043</v>
      </c>
      <c r="B305" s="325" t="str">
        <f>IF(A305="","",VLOOKUP(A305,Equipamentos_base!A:K,2,"FALSO"))</f>
        <v>Martelete perfurador/rompedor a ar comprimido de 28 kg para concreto com capacidade de 1.230 gpm</v>
      </c>
      <c r="C305" s="326">
        <f>IF(A305="","",VLOOKUP(A305,Equipamentos_base!A:K,3,"FALSO"))</f>
        <v>16991.7132</v>
      </c>
      <c r="D305" s="326">
        <f>IF(A305="","",VLOOKUP(A305,Equipamentos_base!A:K,4,"FALSO"))</f>
        <v>2.2656</v>
      </c>
      <c r="E305" s="326">
        <f>IF(A305="","",VLOOKUP(A305,Equipamentos_base!A:K,5,"FALSO"))</f>
        <v>0.3495</v>
      </c>
      <c r="F305" s="326">
        <f>IF(A305="","",VLOOKUP(A305,Equipamentos_base!A:K,6,"FALSO"))</f>
        <v>0</v>
      </c>
      <c r="G305" s="326">
        <f>IF(A305="","",VLOOKUP(A305,Equipamentos_base!A:K,7,"FALSO"))</f>
        <v>2.2656</v>
      </c>
      <c r="H305" s="326">
        <f>IF(A305="","",VLOOKUP(A305,Equipamentos_base!A:K,8,"FALSO"))</f>
        <v>0</v>
      </c>
      <c r="I305" s="326">
        <f>IF(A305="","",VLOOKUP(A305,Equipamentos_base!A:K,9,"FALSO"))</f>
        <v>26.5829</v>
      </c>
      <c r="J305" s="327">
        <v>31.4636</v>
      </c>
      <c r="K305" s="327">
        <v>29.198</v>
      </c>
      <c r="L305" s="316">
        <f>IF(J305="","",VLOOKUP(A305,Equipamentos_base!A:K,10,"FALSO"))</f>
        <v>31.4636</v>
      </c>
      <c r="M305" s="316">
        <f>IF(J305="","",VLOOKUP(A305,Equipamentos_base!A:K,11,"FALSO"))</f>
        <v>29.198</v>
      </c>
    </row>
    <row r="306" s="316" customFormat="1" hidden="1" spans="1:13">
      <c r="A306" s="324" t="s">
        <v>16044</v>
      </c>
      <c r="B306" s="325" t="str">
        <f>IF(A306="","",VLOOKUP(A306,Equipamentos_base!A:K,2,"FALSO"))</f>
        <v>Desarenador - 15 kW</v>
      </c>
      <c r="C306" s="326">
        <f>IF(A306="","",VLOOKUP(A306,Equipamentos_base!A:K,3,"FALSO"))</f>
        <v>14330.5955</v>
      </c>
      <c r="D306" s="326">
        <f>IF(A306="","",VLOOKUP(A306,Equipamentos_base!A:K,4,"FALSO"))</f>
        <v>1.1464</v>
      </c>
      <c r="E306" s="326">
        <f>IF(A306="","",VLOOKUP(A306,Equipamentos_base!A:K,5,"FALSO"))</f>
        <v>0.2653</v>
      </c>
      <c r="F306" s="326">
        <f>IF(A306="","",VLOOKUP(A306,Equipamentos_base!A:K,6,"FALSO"))</f>
        <v>0</v>
      </c>
      <c r="G306" s="326">
        <f>IF(A306="","",VLOOKUP(A306,Equipamentos_base!A:K,7,"FALSO"))</f>
        <v>1.1464</v>
      </c>
      <c r="H306" s="326">
        <f>IF(A306="","",VLOOKUP(A306,Equipamentos_base!A:K,8,"FALSO"))</f>
        <v>0</v>
      </c>
      <c r="I306" s="326">
        <f>IF(A306="","",VLOOKUP(A306,Equipamentos_base!A:K,9,"FALSO"))</f>
        <v>26.5829</v>
      </c>
      <c r="J306" s="327" t="s">
        <v>932</v>
      </c>
      <c r="K306" s="327" t="s">
        <v>932</v>
      </c>
      <c r="L306" s="316" t="str">
        <f>IF(J306="","",VLOOKUP(A306,Equipamentos_base!A:K,10,"FALSO"))</f>
        <v/>
      </c>
      <c r="M306" s="316" t="str">
        <f>IF(J306="","",VLOOKUP(A306,Equipamentos_base!A:K,11,"FALSO"))</f>
        <v/>
      </c>
    </row>
    <row r="307" s="316" customFormat="1" hidden="1" spans="1:13">
      <c r="A307" s="324" t="s">
        <v>16045</v>
      </c>
      <c r="B307" s="325" t="str">
        <f>IF(A307="","",VLOOKUP(A307,Equipamentos_base!A:K,2,"FALSO"))</f>
        <v>Microtrator com roçadeira - 10 kW</v>
      </c>
      <c r="C307" s="326">
        <f>IF(A307="","",VLOOKUP(A307,Equipamentos_base!A:K,3,"FALSO"))</f>
        <v>54381.5157</v>
      </c>
      <c r="D307" s="326">
        <f>IF(A307="","",VLOOKUP(A307,Equipamentos_base!A:K,4,"FALSO"))</f>
        <v>5.4382</v>
      </c>
      <c r="E307" s="326">
        <f>IF(A307="","",VLOOKUP(A307,Equipamentos_base!A:K,5,"FALSO"))</f>
        <v>1.0485</v>
      </c>
      <c r="F307" s="326">
        <f>IF(A307="","",VLOOKUP(A307,Equipamentos_base!A:K,6,"FALSO"))</f>
        <v>0</v>
      </c>
      <c r="G307" s="326">
        <f>IF(A307="","",VLOOKUP(A307,Equipamentos_base!A:K,7,"FALSO"))</f>
        <v>4.7584</v>
      </c>
      <c r="H307" s="326">
        <f>IF(A307="","",VLOOKUP(A307,Equipamentos_base!A:K,8,"FALSO"))</f>
        <v>8.31</v>
      </c>
      <c r="I307" s="326">
        <f>IF(A307="","",VLOOKUP(A307,Equipamentos_base!A:K,9,"FALSO"))</f>
        <v>26.5829</v>
      </c>
      <c r="J307" s="327" t="s">
        <v>932</v>
      </c>
      <c r="K307" s="327" t="s">
        <v>932</v>
      </c>
      <c r="L307" s="316" t="str">
        <f>IF(J307="","",VLOOKUP(A307,Equipamentos_base!A:K,10,"FALSO"))</f>
        <v/>
      </c>
      <c r="M307" s="316" t="str">
        <f>IF(J307="","",VLOOKUP(A307,Equipamentos_base!A:K,11,"FALSO"))</f>
        <v/>
      </c>
    </row>
    <row r="308" s="316" customFormat="1" hidden="1" spans="1:13">
      <c r="A308" s="324" t="s">
        <v>16046</v>
      </c>
      <c r="B308" s="325" t="str">
        <f>IF(A308="","",VLOOKUP(A308,Equipamentos_base!A:K,2,"FALSO"))</f>
        <v>Socadora automática de linha - 253 kW</v>
      </c>
      <c r="C308" s="326">
        <f>IF(A308="","",VLOOKUP(A308,Equipamentos_base!A:K,3,"FALSO"))</f>
        <v>38173889.0564</v>
      </c>
      <c r="D308" s="326">
        <f>IF(A308="","",VLOOKUP(A308,Equipamentos_base!A:K,4,"FALSO"))</f>
        <v>1526.9556</v>
      </c>
      <c r="E308" s="326">
        <f>IF(A308="","",VLOOKUP(A308,Equipamentos_base!A:K,5,"FALSO"))</f>
        <v>647.7155</v>
      </c>
      <c r="F308" s="326">
        <f>IF(A308="","",VLOOKUP(A308,Equipamentos_base!A:K,6,"FALSO"))</f>
        <v>0</v>
      </c>
      <c r="G308" s="326">
        <f>IF(A308="","",VLOOKUP(A308,Equipamentos_base!A:K,7,"FALSO"))</f>
        <v>1526.9556</v>
      </c>
      <c r="H308" s="326">
        <f>IF(A308="","",VLOOKUP(A308,Equipamentos_base!A:K,8,"FALSO"))</f>
        <v>168.1944</v>
      </c>
      <c r="I308" s="326">
        <f>IF(A308="","",VLOOKUP(A308,Equipamentos_base!A:K,9,"FALSO"))</f>
        <v>90.4786</v>
      </c>
      <c r="J308" s="327" t="s">
        <v>932</v>
      </c>
      <c r="K308" s="327" t="s">
        <v>932</v>
      </c>
      <c r="L308" s="316" t="str">
        <f>IF(J308="","",VLOOKUP(A308,Equipamentos_base!A:K,10,"FALSO"))</f>
        <v/>
      </c>
      <c r="M308" s="316" t="str">
        <f>IF(J308="","",VLOOKUP(A308,Equipamentos_base!A:K,11,"FALSO"))</f>
        <v/>
      </c>
    </row>
    <row r="309" s="316" customFormat="1" hidden="1" spans="1:13">
      <c r="A309" s="324" t="s">
        <v>16047</v>
      </c>
      <c r="B309" s="325" t="str">
        <f>IF(A309="","",VLOOKUP(A309,Equipamentos_base!A:K,2,"FALSO"))</f>
        <v>Reguladora e distribuidora de lastro - 300 kW</v>
      </c>
      <c r="C309" s="326">
        <f>IF(A309="","",VLOOKUP(A309,Equipamentos_base!A:K,3,"FALSO"))</f>
        <v>16732985.6216</v>
      </c>
      <c r="D309" s="326">
        <f>IF(A309="","",VLOOKUP(A309,Equipamentos_base!A:K,4,"FALSO"))</f>
        <v>669.3194</v>
      </c>
      <c r="E309" s="326">
        <f>IF(A309="","",VLOOKUP(A309,Equipamentos_base!A:K,5,"FALSO"))</f>
        <v>283.9169</v>
      </c>
      <c r="F309" s="326">
        <f>IF(A309="","",VLOOKUP(A309,Equipamentos_base!A:K,6,"FALSO"))</f>
        <v>0</v>
      </c>
      <c r="G309" s="326">
        <f>IF(A309="","",VLOOKUP(A309,Equipamentos_base!A:K,7,"FALSO"))</f>
        <v>669.3194</v>
      </c>
      <c r="H309" s="326">
        <f>IF(A309="","",VLOOKUP(A309,Equipamentos_base!A:K,8,"FALSO"))</f>
        <v>199.44</v>
      </c>
      <c r="I309" s="326">
        <f>IF(A309="","",VLOOKUP(A309,Equipamentos_base!A:K,9,"FALSO"))</f>
        <v>90.4786</v>
      </c>
      <c r="J309" s="327" t="s">
        <v>932</v>
      </c>
      <c r="K309" s="327" t="s">
        <v>932</v>
      </c>
      <c r="L309" s="316" t="str">
        <f>IF(J309="","",VLOOKUP(A309,Equipamentos_base!A:K,10,"FALSO"))</f>
        <v/>
      </c>
      <c r="M309" s="316" t="str">
        <f>IF(J309="","",VLOOKUP(A309,Equipamentos_base!A:K,11,"FALSO"))</f>
        <v/>
      </c>
    </row>
    <row r="310" s="316" customFormat="1" hidden="1" spans="1:13">
      <c r="A310" s="324" t="s">
        <v>16048</v>
      </c>
      <c r="B310" s="325" t="str">
        <f>IF(A310="","",VLOOKUP(A310,Equipamentos_base!A:K,2,"FALSO"))</f>
        <v>Bate-estaca com martelo hidráulico - 450 kW</v>
      </c>
      <c r="C310" s="326">
        <f>IF(A310="","",VLOOKUP(A310,Equipamentos_base!A:K,3,"FALSO"))</f>
        <v>3373995.4584</v>
      </c>
      <c r="D310" s="326">
        <f>IF(A310="","",VLOOKUP(A310,Equipamentos_base!A:K,4,"FALSO"))</f>
        <v>449.8661</v>
      </c>
      <c r="E310" s="326">
        <f>IF(A310="","",VLOOKUP(A310,Equipamentos_base!A:K,5,"FALSO"))</f>
        <v>69.3918</v>
      </c>
      <c r="F310" s="326">
        <f>IF(A310="","",VLOOKUP(A310,Equipamentos_base!A:K,6,"FALSO"))</f>
        <v>0</v>
      </c>
      <c r="G310" s="326">
        <f>IF(A310="","",VLOOKUP(A310,Equipamentos_base!A:K,7,"FALSO"))</f>
        <v>337.3995</v>
      </c>
      <c r="H310" s="326">
        <f>IF(A310="","",VLOOKUP(A310,Equipamentos_base!A:K,8,"FALSO"))</f>
        <v>324.09</v>
      </c>
      <c r="I310" s="326">
        <f>IF(A310="","",VLOOKUP(A310,Equipamentos_base!A:K,9,"FALSO"))</f>
        <v>33.7544</v>
      </c>
      <c r="J310" s="327" t="s">
        <v>932</v>
      </c>
      <c r="K310" s="327" t="s">
        <v>932</v>
      </c>
      <c r="L310" s="316" t="str">
        <f>IF(J310="","",VLOOKUP(A310,Equipamentos_base!A:K,10,"FALSO"))</f>
        <v/>
      </c>
      <c r="M310" s="316" t="str">
        <f>IF(J310="","",VLOOKUP(A310,Equipamentos_base!A:K,11,"FALSO"))</f>
        <v/>
      </c>
    </row>
    <row r="311" s="316" customFormat="1" hidden="1" spans="1:13">
      <c r="A311" s="324" t="s">
        <v>16049</v>
      </c>
      <c r="B311" s="325" t="str">
        <f>IF(A311="","",VLOOKUP(A311,Equipamentos_base!A:K,2,"FALSO"))</f>
        <v>Conjunto bomba e macaco hidráulico para protensão com capacidade de 590 kN - 3,70 kW</v>
      </c>
      <c r="C311" s="326">
        <f>IF(A311="","",VLOOKUP(A311,Equipamentos_base!A:K,3,"FALSO"))</f>
        <v>16237.3253</v>
      </c>
      <c r="D311" s="326">
        <f>IF(A311="","",VLOOKUP(A311,Equipamentos_base!A:K,4,"FALSO"))</f>
        <v>0.9278</v>
      </c>
      <c r="E311" s="326">
        <f>IF(A311="","",VLOOKUP(A311,Equipamentos_base!A:K,5,"FALSO"))</f>
        <v>0.2862</v>
      </c>
      <c r="F311" s="326">
        <f>IF(A311="","",VLOOKUP(A311,Equipamentos_base!A:K,6,"FALSO"))</f>
        <v>0</v>
      </c>
      <c r="G311" s="326">
        <f>IF(A311="","",VLOOKUP(A311,Equipamentos_base!A:K,7,"FALSO"))</f>
        <v>0.9278</v>
      </c>
      <c r="H311" s="326">
        <f>IF(A311="","",VLOOKUP(A311,Equipamentos_base!A:K,8,"FALSO"))</f>
        <v>0</v>
      </c>
      <c r="I311" s="326">
        <f>IF(A311="","",VLOOKUP(A311,Equipamentos_base!A:K,9,"FALSO"))</f>
        <v>45.2393</v>
      </c>
      <c r="J311" s="327" t="s">
        <v>932</v>
      </c>
      <c r="K311" s="327" t="s">
        <v>932</v>
      </c>
      <c r="L311" s="316" t="str">
        <f>IF(J311="","",VLOOKUP(A311,Equipamentos_base!A:K,10,"FALSO"))</f>
        <v/>
      </c>
      <c r="M311" s="316" t="str">
        <f>IF(J311="","",VLOOKUP(A311,Equipamentos_base!A:K,11,"FALSO"))</f>
        <v/>
      </c>
    </row>
    <row r="312" s="316" customFormat="1" spans="1:13">
      <c r="A312" s="324" t="s">
        <v>1082</v>
      </c>
      <c r="B312" s="325" t="str">
        <f>IF(A312="","",VLOOKUP(A312,Equipamentos_base!A:K,2,"FALSO"))</f>
        <v>Máquina policorte - 2,20 kW</v>
      </c>
      <c r="C312" s="326">
        <f>IF(A312="","",VLOOKUP(A312,Equipamentos_base!A:K,3,"FALSO"))</f>
        <v>1231.7537</v>
      </c>
      <c r="D312" s="326">
        <f>IF(A312="","",VLOOKUP(A312,Equipamentos_base!A:K,4,"FALSO"))</f>
        <v>0.1109</v>
      </c>
      <c r="E312" s="326">
        <f>IF(A312="","",VLOOKUP(A312,Equipamentos_base!A:K,5,"FALSO"))</f>
        <v>0.0228</v>
      </c>
      <c r="F312" s="326">
        <f>IF(A312="","",VLOOKUP(A312,Equipamentos_base!A:K,6,"FALSO"))</f>
        <v>0</v>
      </c>
      <c r="G312" s="326">
        <f>IF(A312="","",VLOOKUP(A312,Equipamentos_base!A:K,7,"FALSO"))</f>
        <v>0.0616</v>
      </c>
      <c r="H312" s="326">
        <f>IF(A312="","",VLOOKUP(A312,Equipamentos_base!A:K,8,"FALSO"))</f>
        <v>0</v>
      </c>
      <c r="I312" s="326">
        <f>IF(A312="","",VLOOKUP(A312,Equipamentos_base!A:K,9,"FALSO"))</f>
        <v>0</v>
      </c>
      <c r="J312" s="327">
        <v>0.1953</v>
      </c>
      <c r="K312" s="327">
        <v>0.1337</v>
      </c>
      <c r="L312" s="316">
        <f>IF(J312="","",VLOOKUP(A312,Equipamentos_base!A:K,10,"FALSO"))</f>
        <v>0.1953</v>
      </c>
      <c r="M312" s="316">
        <f>IF(J312="","",VLOOKUP(A312,Equipamentos_base!A:K,11,"FALSO"))</f>
        <v>0.1337</v>
      </c>
    </row>
    <row r="313" s="316" customFormat="1" hidden="1" spans="1:13">
      <c r="A313" s="324" t="s">
        <v>16050</v>
      </c>
      <c r="B313" s="325" t="str">
        <f>IF(A313="","",VLOOKUP(A313,Equipamentos_base!A:K,2,"FALSO"))</f>
        <v>Pórtico duplo de descarga e posicionamento de dormente - 89 kW</v>
      </c>
      <c r="C313" s="326">
        <f>IF(A313="","",VLOOKUP(A313,Equipamentos_base!A:K,3,"FALSO"))</f>
        <v>16585101.2366</v>
      </c>
      <c r="D313" s="326">
        <f>IF(A313="","",VLOOKUP(A313,Equipamentos_base!A:K,4,"FALSO"))</f>
        <v>663.404</v>
      </c>
      <c r="E313" s="326">
        <f>IF(A313="","",VLOOKUP(A313,Equipamentos_base!A:K,5,"FALSO"))</f>
        <v>281.4077</v>
      </c>
      <c r="F313" s="326">
        <f>IF(A313="","",VLOOKUP(A313,Equipamentos_base!A:K,6,"FALSO"))</f>
        <v>0</v>
      </c>
      <c r="G313" s="326">
        <f>IF(A313="","",VLOOKUP(A313,Equipamentos_base!A:K,7,"FALSO"))</f>
        <v>497.553</v>
      </c>
      <c r="H313" s="326">
        <f>IF(A313="","",VLOOKUP(A313,Equipamentos_base!A:K,8,"FALSO"))</f>
        <v>59.1672</v>
      </c>
      <c r="I313" s="326">
        <f>IF(A313="","",VLOOKUP(A313,Equipamentos_base!A:K,9,"FALSO"))</f>
        <v>90.4786</v>
      </c>
      <c r="J313" s="327" t="s">
        <v>932</v>
      </c>
      <c r="K313" s="327" t="s">
        <v>932</v>
      </c>
      <c r="L313" s="316" t="str">
        <f>IF(J313="","",VLOOKUP(A313,Equipamentos_base!A:K,10,"FALSO"))</f>
        <v/>
      </c>
      <c r="M313" s="316" t="str">
        <f>IF(J313="","",VLOOKUP(A313,Equipamentos_base!A:K,11,"FALSO"))</f>
        <v/>
      </c>
    </row>
    <row r="314" s="316" customFormat="1" spans="1:13">
      <c r="A314" s="324" t="s">
        <v>16051</v>
      </c>
      <c r="B314" s="325" t="str">
        <f>IF(A314="","",VLOOKUP(A314,Equipamentos_base!A:K,2,"FALSO"))</f>
        <v>Talha manual com capacidade de 3 t</v>
      </c>
      <c r="C314" s="326">
        <f>IF(A314="","",VLOOKUP(A314,Equipamentos_base!A:K,3,"FALSO"))</f>
        <v>8460.9977</v>
      </c>
      <c r="D314" s="326">
        <f>IF(A314="","",VLOOKUP(A314,Equipamentos_base!A:K,4,"FALSO"))</f>
        <v>0.7521</v>
      </c>
      <c r="E314" s="326">
        <f>IF(A314="","",VLOOKUP(A314,Equipamentos_base!A:K,5,"FALSO"))</f>
        <v>0.1595</v>
      </c>
      <c r="F314" s="326">
        <f>IF(A314="","",VLOOKUP(A314,Equipamentos_base!A:K,6,"FALSO"))</f>
        <v>0</v>
      </c>
      <c r="G314" s="326">
        <f>IF(A314="","",VLOOKUP(A314,Equipamentos_base!A:K,7,"FALSO"))</f>
        <v>0.4701</v>
      </c>
      <c r="H314" s="326">
        <f>IF(A314="","",VLOOKUP(A314,Equipamentos_base!A:K,8,"FALSO"))</f>
        <v>0</v>
      </c>
      <c r="I314" s="326">
        <f>IF(A314="","",VLOOKUP(A314,Equipamentos_base!A:K,9,"FALSO"))</f>
        <v>0</v>
      </c>
      <c r="J314" s="327">
        <v>1.3817</v>
      </c>
      <c r="K314" s="327">
        <v>0.9116</v>
      </c>
      <c r="L314" s="316">
        <f>IF(J314="","",VLOOKUP(A314,Equipamentos_base!A:K,10,"FALSO"))</f>
        <v>1.3817</v>
      </c>
      <c r="M314" s="316">
        <f>IF(J314="","",VLOOKUP(A314,Equipamentos_base!A:K,11,"FALSO"))</f>
        <v>0.9116</v>
      </c>
    </row>
    <row r="315" s="316" customFormat="1" hidden="1" spans="1:13">
      <c r="A315" s="324" t="s">
        <v>16052</v>
      </c>
      <c r="B315" s="325" t="str">
        <f>IF(A315="","",VLOOKUP(A315,Equipamentos_base!A:K,2,"FALSO"))</f>
        <v>Conjunto bomba e macaco hidráulico para protensão com capacidade de 250 kN - 3,70 kW</v>
      </c>
      <c r="C315" s="326">
        <f>IF(A315="","",VLOOKUP(A315,Equipamentos_base!A:K,3,"FALSO"))</f>
        <v>12832.7313</v>
      </c>
      <c r="D315" s="326">
        <f>IF(A315="","",VLOOKUP(A315,Equipamentos_base!A:K,4,"FALSO"))</f>
        <v>0.7333</v>
      </c>
      <c r="E315" s="326">
        <f>IF(A315="","",VLOOKUP(A315,Equipamentos_base!A:K,5,"FALSO"))</f>
        <v>0.2262</v>
      </c>
      <c r="F315" s="326">
        <f>IF(A315="","",VLOOKUP(A315,Equipamentos_base!A:K,6,"FALSO"))</f>
        <v>0</v>
      </c>
      <c r="G315" s="326">
        <f>IF(A315="","",VLOOKUP(A315,Equipamentos_base!A:K,7,"FALSO"))</f>
        <v>0.7333</v>
      </c>
      <c r="H315" s="326">
        <f>IF(A315="","",VLOOKUP(A315,Equipamentos_base!A:K,8,"FALSO"))</f>
        <v>0</v>
      </c>
      <c r="I315" s="326">
        <f>IF(A315="","",VLOOKUP(A315,Equipamentos_base!A:K,9,"FALSO"))</f>
        <v>45.2393</v>
      </c>
      <c r="J315" s="327" t="s">
        <v>932</v>
      </c>
      <c r="K315" s="327" t="s">
        <v>932</v>
      </c>
      <c r="L315" s="316" t="str">
        <f>IF(J315="","",VLOOKUP(A315,Equipamentos_base!A:K,10,"FALSO"))</f>
        <v/>
      </c>
      <c r="M315" s="316" t="str">
        <f>IF(J315="","",VLOOKUP(A315,Equipamentos_base!A:K,11,"FALSO"))</f>
        <v/>
      </c>
    </row>
    <row r="316" s="316" customFormat="1" spans="1:13">
      <c r="A316" s="324" t="s">
        <v>16053</v>
      </c>
      <c r="B316" s="325" t="str">
        <f>IF(A316="","",VLOOKUP(A316,Equipamentos_base!A:K,2,"FALSO"))</f>
        <v>Conjunto bomba e macaco hidráulico para protensão com capacidade de 1.150 kN - 5 kW</v>
      </c>
      <c r="C316" s="326">
        <f>IF(A316="","",VLOOKUP(A316,Equipamentos_base!A:K,3,"FALSO"))</f>
        <v>26712.965</v>
      </c>
      <c r="D316" s="326">
        <f>IF(A316="","",VLOOKUP(A316,Equipamentos_base!A:K,4,"FALSO"))</f>
        <v>1.5265</v>
      </c>
      <c r="E316" s="326">
        <f>IF(A316="","",VLOOKUP(A316,Equipamentos_base!A:K,5,"FALSO"))</f>
        <v>0.4709</v>
      </c>
      <c r="F316" s="326">
        <f>IF(A316="","",VLOOKUP(A316,Equipamentos_base!A:K,6,"FALSO"))</f>
        <v>0</v>
      </c>
      <c r="G316" s="326">
        <f>IF(A316="","",VLOOKUP(A316,Equipamentos_base!A:K,7,"FALSO"))</f>
        <v>1.5265</v>
      </c>
      <c r="H316" s="326">
        <f>IF(A316="","",VLOOKUP(A316,Equipamentos_base!A:K,8,"FALSO"))</f>
        <v>0</v>
      </c>
      <c r="I316" s="326">
        <f>IF(A316="","",VLOOKUP(A316,Equipamentos_base!A:K,9,"FALSO"))</f>
        <v>45.2393</v>
      </c>
      <c r="J316" s="327">
        <v>48.7632</v>
      </c>
      <c r="K316" s="327">
        <v>47.2367</v>
      </c>
      <c r="L316" s="316">
        <f>IF(J316="","",VLOOKUP(A316,Equipamentos_base!A:K,10,"FALSO"))</f>
        <v>48.7632</v>
      </c>
      <c r="M316" s="316">
        <f>IF(J316="","",VLOOKUP(A316,Equipamentos_base!A:K,11,"FALSO"))</f>
        <v>47.2367</v>
      </c>
    </row>
    <row r="317" s="316" customFormat="1" hidden="1" spans="1:13">
      <c r="A317" s="324" t="s">
        <v>16054</v>
      </c>
      <c r="B317" s="325" t="str">
        <f>IF(A317="","",VLOOKUP(A317,Equipamentos_base!A:K,2,"FALSO"))</f>
        <v>Conjunto bomba e macaco hidráulico para protensão com capacidade de 2.000 kN - 5 kW</v>
      </c>
      <c r="C317" s="326">
        <f>IF(A317="","",VLOOKUP(A317,Equipamentos_base!A:K,3,"FALSO"))</f>
        <v>42601.1624</v>
      </c>
      <c r="D317" s="326">
        <f>IF(A317="","",VLOOKUP(A317,Equipamentos_base!A:K,4,"FALSO"))</f>
        <v>2.4344</v>
      </c>
      <c r="E317" s="326">
        <f>IF(A317="","",VLOOKUP(A317,Equipamentos_base!A:K,5,"FALSO"))</f>
        <v>0.751</v>
      </c>
      <c r="F317" s="326">
        <f>IF(A317="","",VLOOKUP(A317,Equipamentos_base!A:K,6,"FALSO"))</f>
        <v>0</v>
      </c>
      <c r="G317" s="326">
        <f>IF(A317="","",VLOOKUP(A317,Equipamentos_base!A:K,7,"FALSO"))</f>
        <v>2.4344</v>
      </c>
      <c r="H317" s="326">
        <f>IF(A317="","",VLOOKUP(A317,Equipamentos_base!A:K,8,"FALSO"))</f>
        <v>0</v>
      </c>
      <c r="I317" s="326">
        <f>IF(A317="","",VLOOKUP(A317,Equipamentos_base!A:K,9,"FALSO"))</f>
        <v>45.2393</v>
      </c>
      <c r="J317" s="327" t="s">
        <v>932</v>
      </c>
      <c r="K317" s="327" t="s">
        <v>932</v>
      </c>
      <c r="L317" s="316" t="str">
        <f>IF(J317="","",VLOOKUP(A317,Equipamentos_base!A:K,10,"FALSO"))</f>
        <v/>
      </c>
      <c r="M317" s="316" t="str">
        <f>IF(J317="","",VLOOKUP(A317,Equipamentos_base!A:K,11,"FALSO"))</f>
        <v/>
      </c>
    </row>
    <row r="318" s="316" customFormat="1" hidden="1" spans="1:13">
      <c r="A318" s="324" t="s">
        <v>16055</v>
      </c>
      <c r="B318" s="325" t="str">
        <f>IF(A318="","",VLOOKUP(A318,Equipamentos_base!A:K,2,"FALSO"))</f>
        <v>Conjunto bomba e macaco hidráulico para protensão com capacidade de 2.500 kN - 7 kW</v>
      </c>
      <c r="C318" s="326">
        <f>IF(A318="","",VLOOKUP(A318,Equipamentos_base!A:K,3,"FALSO"))</f>
        <v>50283.3409</v>
      </c>
      <c r="D318" s="326">
        <f>IF(A318="","",VLOOKUP(A318,Equipamentos_base!A:K,4,"FALSO"))</f>
        <v>2.8733</v>
      </c>
      <c r="E318" s="326">
        <f>IF(A318="","",VLOOKUP(A318,Equipamentos_base!A:K,5,"FALSO"))</f>
        <v>0.8864</v>
      </c>
      <c r="F318" s="326">
        <f>IF(A318="","",VLOOKUP(A318,Equipamentos_base!A:K,6,"FALSO"))</f>
        <v>0</v>
      </c>
      <c r="G318" s="326">
        <f>IF(A318="","",VLOOKUP(A318,Equipamentos_base!A:K,7,"FALSO"))</f>
        <v>2.8733</v>
      </c>
      <c r="H318" s="326">
        <f>IF(A318="","",VLOOKUP(A318,Equipamentos_base!A:K,8,"FALSO"))</f>
        <v>0</v>
      </c>
      <c r="I318" s="326">
        <f>IF(A318="","",VLOOKUP(A318,Equipamentos_base!A:K,9,"FALSO"))</f>
        <v>45.2393</v>
      </c>
      <c r="J318" s="327" t="s">
        <v>932</v>
      </c>
      <c r="K318" s="327" t="s">
        <v>932</v>
      </c>
      <c r="L318" s="316" t="str">
        <f>IF(J318="","",VLOOKUP(A318,Equipamentos_base!A:K,10,"FALSO"))</f>
        <v/>
      </c>
      <c r="M318" s="316" t="str">
        <f>IF(J318="","",VLOOKUP(A318,Equipamentos_base!A:K,11,"FALSO"))</f>
        <v/>
      </c>
    </row>
    <row r="319" s="316" customFormat="1" spans="1:13">
      <c r="A319" s="324" t="s">
        <v>16056</v>
      </c>
      <c r="B319" s="325" t="str">
        <f>IF(A319="","",VLOOKUP(A319,Equipamentos_base!A:K,2,"FALSO"))</f>
        <v>Conjunto bomba e macaco hidráulico para protensão com capacidade de 4.000 kN - 10 kW</v>
      </c>
      <c r="C319" s="326">
        <f>IF(A319="","",VLOOKUP(A319,Equipamentos_base!A:K,3,"FALSO"))</f>
        <v>53775.2278</v>
      </c>
      <c r="D319" s="326">
        <f>IF(A319="","",VLOOKUP(A319,Equipamentos_base!A:K,4,"FALSO"))</f>
        <v>3.0729</v>
      </c>
      <c r="E319" s="326">
        <f>IF(A319="","",VLOOKUP(A319,Equipamentos_base!A:K,5,"FALSO"))</f>
        <v>0.948</v>
      </c>
      <c r="F319" s="326">
        <f>IF(A319="","",VLOOKUP(A319,Equipamentos_base!A:K,6,"FALSO"))</f>
        <v>0</v>
      </c>
      <c r="G319" s="326">
        <f>IF(A319="","",VLOOKUP(A319,Equipamentos_base!A:K,7,"FALSO"))</f>
        <v>3.0729</v>
      </c>
      <c r="H319" s="326">
        <f>IF(A319="","",VLOOKUP(A319,Equipamentos_base!A:K,8,"FALSO"))</f>
        <v>0</v>
      </c>
      <c r="I319" s="326">
        <f>IF(A319="","",VLOOKUP(A319,Equipamentos_base!A:K,9,"FALSO"))</f>
        <v>45.2393</v>
      </c>
      <c r="J319" s="327">
        <v>52.3331</v>
      </c>
      <c r="K319" s="327">
        <v>49.2602</v>
      </c>
      <c r="L319" s="316">
        <f>IF(J319="","",VLOOKUP(A319,Equipamentos_base!A:K,10,"FALSO"))</f>
        <v>52.3331</v>
      </c>
      <c r="M319" s="316">
        <f>IF(J319="","",VLOOKUP(A319,Equipamentos_base!A:K,11,"FALSO"))</f>
        <v>49.2602</v>
      </c>
    </row>
    <row r="320" s="316" customFormat="1" hidden="1" spans="1:13">
      <c r="A320" s="324" t="s">
        <v>16057</v>
      </c>
      <c r="B320" s="325" t="str">
        <f>IF(A320="","",VLOOKUP(A320,Equipamentos_base!A:K,2,"FALSO"))</f>
        <v>Conjunto bomba e macaco hidráulico para protensão com capacidade de 5.400 kN - 10 kW</v>
      </c>
      <c r="C320" s="326">
        <f>IF(A320="","",VLOOKUP(A320,Equipamentos_base!A:K,3,"FALSO"))</f>
        <v>57441.732</v>
      </c>
      <c r="D320" s="326">
        <f>IF(A320="","",VLOOKUP(A320,Equipamentos_base!A:K,4,"FALSO"))</f>
        <v>3.2824</v>
      </c>
      <c r="E320" s="326">
        <f>IF(A320="","",VLOOKUP(A320,Equipamentos_base!A:K,5,"FALSO"))</f>
        <v>1.0126</v>
      </c>
      <c r="F320" s="326">
        <f>IF(A320="","",VLOOKUP(A320,Equipamentos_base!A:K,6,"FALSO"))</f>
        <v>0</v>
      </c>
      <c r="G320" s="326">
        <f>IF(A320="","",VLOOKUP(A320,Equipamentos_base!A:K,7,"FALSO"))</f>
        <v>3.2824</v>
      </c>
      <c r="H320" s="326">
        <f>IF(A320="","",VLOOKUP(A320,Equipamentos_base!A:K,8,"FALSO"))</f>
        <v>0</v>
      </c>
      <c r="I320" s="326">
        <f>IF(A320="","",VLOOKUP(A320,Equipamentos_base!A:K,9,"FALSO"))</f>
        <v>45.2393</v>
      </c>
      <c r="J320" s="327" t="s">
        <v>932</v>
      </c>
      <c r="K320" s="327" t="s">
        <v>932</v>
      </c>
      <c r="L320" s="316" t="str">
        <f>IF(J320="","",VLOOKUP(A320,Equipamentos_base!A:K,10,"FALSO"))</f>
        <v/>
      </c>
      <c r="M320" s="316" t="str">
        <f>IF(J320="","",VLOOKUP(A320,Equipamentos_base!A:K,11,"FALSO"))</f>
        <v/>
      </c>
    </row>
    <row r="321" s="316" customFormat="1" hidden="1" spans="1:13">
      <c r="A321" s="324" t="s">
        <v>16058</v>
      </c>
      <c r="B321" s="325" t="str">
        <f>IF(A321="","",VLOOKUP(A321,Equipamentos_base!A:K,2,"FALSO"))</f>
        <v>Bate-estaca Strauss - 15 kW</v>
      </c>
      <c r="C321" s="326">
        <f>IF(A321="","",VLOOKUP(A321,Equipamentos_base!A:K,3,"FALSO"))</f>
        <v>125474.1249</v>
      </c>
      <c r="D321" s="326">
        <f>IF(A321="","",VLOOKUP(A321,Equipamentos_base!A:K,4,"FALSO"))</f>
        <v>16.7299</v>
      </c>
      <c r="E321" s="326">
        <f>IF(A321="","",VLOOKUP(A321,Equipamentos_base!A:K,5,"FALSO"))</f>
        <v>2.5806</v>
      </c>
      <c r="F321" s="326">
        <f>IF(A321="","",VLOOKUP(A321,Equipamentos_base!A:K,6,"FALSO"))</f>
        <v>0</v>
      </c>
      <c r="G321" s="326">
        <f>IF(A321="","",VLOOKUP(A321,Equipamentos_base!A:K,7,"FALSO"))</f>
        <v>12.5474</v>
      </c>
      <c r="H321" s="326">
        <f>IF(A321="","",VLOOKUP(A321,Equipamentos_base!A:K,8,"FALSO"))</f>
        <v>10.803</v>
      </c>
      <c r="I321" s="326">
        <f>IF(A321="","",VLOOKUP(A321,Equipamentos_base!A:K,9,"FALSO"))</f>
        <v>33.7544</v>
      </c>
      <c r="J321" s="327" t="s">
        <v>932</v>
      </c>
      <c r="K321" s="327" t="s">
        <v>932</v>
      </c>
      <c r="L321" s="316" t="str">
        <f>IF(J321="","",VLOOKUP(A321,Equipamentos_base!A:K,10,"FALSO"))</f>
        <v/>
      </c>
      <c r="M321" s="316" t="str">
        <f>IF(J321="","",VLOOKUP(A321,Equipamentos_base!A:K,11,"FALSO"))</f>
        <v/>
      </c>
    </row>
    <row r="322" s="316" customFormat="1" hidden="1" spans="1:13">
      <c r="A322" s="324" t="s">
        <v>16059</v>
      </c>
      <c r="B322" s="325" t="str">
        <f>IF(A322="","",VLOOKUP(A322,Equipamentos_base!A:K,2,"FALSO"))</f>
        <v>Posicionadora de trilhos - 7,40 kW</v>
      </c>
      <c r="C322" s="326">
        <f>IF(A322="","",VLOOKUP(A322,Equipamentos_base!A:K,3,"FALSO"))</f>
        <v>847203.0778</v>
      </c>
      <c r="D322" s="326">
        <f>IF(A322="","",VLOOKUP(A322,Equipamentos_base!A:K,4,"FALSO"))</f>
        <v>48.4116</v>
      </c>
      <c r="E322" s="326">
        <f>IF(A322="","",VLOOKUP(A322,Equipamentos_base!A:K,5,"FALSO"))</f>
        <v>14.935</v>
      </c>
      <c r="F322" s="326">
        <f>IF(A322="","",VLOOKUP(A322,Equipamentos_base!A:K,6,"FALSO"))</f>
        <v>0</v>
      </c>
      <c r="G322" s="326">
        <f>IF(A322="","",VLOOKUP(A322,Equipamentos_base!A:K,7,"FALSO"))</f>
        <v>42.3602</v>
      </c>
      <c r="H322" s="326">
        <f>IF(A322="","",VLOOKUP(A322,Equipamentos_base!A:K,8,"FALSO"))</f>
        <v>4.9195</v>
      </c>
      <c r="I322" s="326">
        <f>IF(A322="","",VLOOKUP(A322,Equipamentos_base!A:K,9,"FALSO"))</f>
        <v>0</v>
      </c>
      <c r="J322" s="327" t="s">
        <v>932</v>
      </c>
      <c r="K322" s="327" t="s">
        <v>932</v>
      </c>
      <c r="L322" s="316" t="str">
        <f>IF(J322="","",VLOOKUP(A322,Equipamentos_base!A:K,10,"FALSO"))</f>
        <v/>
      </c>
      <c r="M322" s="316" t="str">
        <f>IF(J322="","",VLOOKUP(A322,Equipamentos_base!A:K,11,"FALSO"))</f>
        <v/>
      </c>
    </row>
    <row r="323" s="316" customFormat="1" ht="30" hidden="1" spans="1:13">
      <c r="A323" s="324" t="s">
        <v>16060</v>
      </c>
      <c r="B323" s="325" t="str">
        <f>IF(A323="","",VLOOKUP(A323,Equipamentos_base!A:K,2,"FALSO"))</f>
        <v>Equipamento para pintura eletrostática com cabine simples de 5,50 kW e estufa de 2x120.000 kCal</v>
      </c>
      <c r="C323" s="326">
        <f>IF(A323="","",VLOOKUP(A323,Equipamentos_base!A:K,3,"FALSO"))</f>
        <v>124274.907</v>
      </c>
      <c r="D323" s="326">
        <f>IF(A323="","",VLOOKUP(A323,Equipamentos_base!A:K,4,"FALSO"))</f>
        <v>9.4686</v>
      </c>
      <c r="E323" s="326">
        <f>IF(A323="","",VLOOKUP(A323,Equipamentos_base!A:K,5,"FALSO"))</f>
        <v>2.2821</v>
      </c>
      <c r="F323" s="326">
        <f>IF(A323="","",VLOOKUP(A323,Equipamentos_base!A:K,6,"FALSO"))</f>
        <v>0</v>
      </c>
      <c r="G323" s="326">
        <f>IF(A323="","",VLOOKUP(A323,Equipamentos_base!A:K,7,"FALSO"))</f>
        <v>9.4686</v>
      </c>
      <c r="H323" s="326">
        <f>IF(A323="","",VLOOKUP(A323,Equipamentos_base!A:K,8,"FALSO"))</f>
        <v>0</v>
      </c>
      <c r="I323" s="326">
        <f>IF(A323="","",VLOOKUP(A323,Equipamentos_base!A:K,9,"FALSO"))</f>
        <v>0</v>
      </c>
      <c r="J323" s="327" t="s">
        <v>932</v>
      </c>
      <c r="K323" s="327" t="s">
        <v>932</v>
      </c>
      <c r="L323" s="316" t="str">
        <f>IF(J323="","",VLOOKUP(A323,Equipamentos_base!A:K,10,"FALSO"))</f>
        <v/>
      </c>
      <c r="M323" s="316" t="str">
        <f>IF(J323="","",VLOOKUP(A323,Equipamentos_base!A:K,11,"FALSO"))</f>
        <v/>
      </c>
    </row>
    <row r="324" s="316" customFormat="1" hidden="1" spans="1:13">
      <c r="A324" s="324" t="s">
        <v>16061</v>
      </c>
      <c r="B324" s="325" t="str">
        <f>IF(A324="","",VLOOKUP(A324,Equipamentos_base!A:K,2,"FALSO"))</f>
        <v>Grupo vibrador com gerador - 2,80 kW</v>
      </c>
      <c r="C324" s="326">
        <f>IF(A324="","",VLOOKUP(A324,Equipamentos_base!A:K,3,"FALSO"))</f>
        <v>88750.2797</v>
      </c>
      <c r="D324" s="326">
        <f>IF(A324="","",VLOOKUP(A324,Equipamentos_base!A:K,4,"FALSO"))</f>
        <v>12.425</v>
      </c>
      <c r="E324" s="326">
        <f>IF(A324="","",VLOOKUP(A324,Equipamentos_base!A:K,5,"FALSO"))</f>
        <v>1.9166</v>
      </c>
      <c r="F324" s="326">
        <f>IF(A324="","",VLOOKUP(A324,Equipamentos_base!A:K,6,"FALSO"))</f>
        <v>0</v>
      </c>
      <c r="G324" s="326">
        <f>IF(A324="","",VLOOKUP(A324,Equipamentos_base!A:K,7,"FALSO"))</f>
        <v>8.875</v>
      </c>
      <c r="H324" s="326">
        <f>IF(A324="","",VLOOKUP(A324,Equipamentos_base!A:K,8,"FALSO"))</f>
        <v>4.1317</v>
      </c>
      <c r="I324" s="326">
        <f>IF(A324="","",VLOOKUP(A324,Equipamentos_base!A:K,9,"FALSO"))</f>
        <v>0</v>
      </c>
      <c r="J324" s="327" t="s">
        <v>932</v>
      </c>
      <c r="K324" s="327" t="s">
        <v>932</v>
      </c>
      <c r="L324" s="316" t="str">
        <f>IF(J324="","",VLOOKUP(A324,Equipamentos_base!A:K,10,"FALSO"))</f>
        <v/>
      </c>
      <c r="M324" s="316" t="str">
        <f>IF(J324="","",VLOOKUP(A324,Equipamentos_base!A:K,11,"FALSO"))</f>
        <v/>
      </c>
    </row>
    <row r="325" s="316" customFormat="1" hidden="1" spans="1:13">
      <c r="A325" s="324" t="s">
        <v>16062</v>
      </c>
      <c r="B325" s="325" t="str">
        <f>IF(A325="","",VLOOKUP(A325,Equipamentos_base!A:K,2,"FALSO"))</f>
        <v>Máquina para furar dormente - 6,70 kW</v>
      </c>
      <c r="C325" s="326">
        <f>IF(A325="","",VLOOKUP(A325,Equipamentos_base!A:K,3,"FALSO"))</f>
        <v>75089.6756</v>
      </c>
      <c r="D325" s="326">
        <f>IF(A325="","",VLOOKUP(A325,Equipamentos_base!A:K,4,"FALSO"))</f>
        <v>6.0072</v>
      </c>
      <c r="E325" s="326">
        <f>IF(A325="","",VLOOKUP(A325,Equipamentos_base!A:K,5,"FALSO"))</f>
        <v>1.3899</v>
      </c>
      <c r="F325" s="326">
        <f>IF(A325="","",VLOOKUP(A325,Equipamentos_base!A:K,6,"FALSO"))</f>
        <v>0</v>
      </c>
      <c r="G325" s="326">
        <f>IF(A325="","",VLOOKUP(A325,Equipamentos_base!A:K,7,"FALSO"))</f>
        <v>6.0072</v>
      </c>
      <c r="H325" s="326">
        <f>IF(A325="","",VLOOKUP(A325,Equipamentos_base!A:K,8,"FALSO"))</f>
        <v>9.8865</v>
      </c>
      <c r="I325" s="326">
        <f>IF(A325="","",VLOOKUP(A325,Equipamentos_base!A:K,9,"FALSO"))</f>
        <v>0</v>
      </c>
      <c r="J325" s="327" t="s">
        <v>932</v>
      </c>
      <c r="K325" s="327" t="s">
        <v>932</v>
      </c>
      <c r="L325" s="316" t="str">
        <f>IF(J325="","",VLOOKUP(A325,Equipamentos_base!A:K,10,"FALSO"))</f>
        <v/>
      </c>
      <c r="M325" s="316" t="str">
        <f>IF(J325="","",VLOOKUP(A325,Equipamentos_base!A:K,11,"FALSO"))</f>
        <v/>
      </c>
    </row>
    <row r="326" s="316" customFormat="1" hidden="1" spans="1:13">
      <c r="A326" s="324" t="s">
        <v>16063</v>
      </c>
      <c r="B326" s="325" t="str">
        <f>IF(A326="","",VLOOKUP(A326,Equipamentos_base!A:K,2,"FALSO"))</f>
        <v>Máquina tirefonadora e parafusadora - 6,70 kW</v>
      </c>
      <c r="C326" s="326">
        <f>IF(A326="","",VLOOKUP(A326,Equipamentos_base!A:K,3,"FALSO"))</f>
        <v>88090.7196</v>
      </c>
      <c r="D326" s="326">
        <f>IF(A326="","",VLOOKUP(A326,Equipamentos_base!A:K,4,"FALSO"))</f>
        <v>7.0473</v>
      </c>
      <c r="E326" s="326">
        <f>IF(A326="","",VLOOKUP(A326,Equipamentos_base!A:K,5,"FALSO"))</f>
        <v>1.6306</v>
      </c>
      <c r="F326" s="326">
        <f>IF(A326="","",VLOOKUP(A326,Equipamentos_base!A:K,6,"FALSO"))</f>
        <v>0</v>
      </c>
      <c r="G326" s="326">
        <f>IF(A326="","",VLOOKUP(A326,Equipamentos_base!A:K,7,"FALSO"))</f>
        <v>7.0473</v>
      </c>
      <c r="H326" s="326">
        <f>IF(A326="","",VLOOKUP(A326,Equipamentos_base!A:K,8,"FALSO"))</f>
        <v>9.8865</v>
      </c>
      <c r="I326" s="326">
        <f>IF(A326="","",VLOOKUP(A326,Equipamentos_base!A:K,9,"FALSO"))</f>
        <v>0</v>
      </c>
      <c r="J326" s="327" t="s">
        <v>932</v>
      </c>
      <c r="K326" s="327" t="s">
        <v>932</v>
      </c>
      <c r="L326" s="316" t="str">
        <f>IF(J326="","",VLOOKUP(A326,Equipamentos_base!A:K,10,"FALSO"))</f>
        <v/>
      </c>
      <c r="M326" s="316" t="str">
        <f>IF(J326="","",VLOOKUP(A326,Equipamentos_base!A:K,11,"FALSO"))</f>
        <v/>
      </c>
    </row>
    <row r="327" s="316" customFormat="1" hidden="1" spans="1:13">
      <c r="A327" s="324" t="s">
        <v>16064</v>
      </c>
      <c r="B327" s="325" t="str">
        <f>IF(A327="","",VLOOKUP(A327,Equipamentos_base!A:K,2,"FALSO"))</f>
        <v>Bomba projetora de argamassa com capacidade de 2 m³/h - 5,50 kW</v>
      </c>
      <c r="C327" s="326">
        <f>IF(A327="","",VLOOKUP(A327,Equipamentos_base!A:K,3,"FALSO"))</f>
        <v>116793.4665</v>
      </c>
      <c r="D327" s="326">
        <f>IF(A327="","",VLOOKUP(A327,Equipamentos_base!A:K,4,"FALSO"))</f>
        <v>13.3478</v>
      </c>
      <c r="E327" s="326">
        <f>IF(A327="","",VLOOKUP(A327,Equipamentos_base!A:K,5,"FALSO"))</f>
        <v>2.3163</v>
      </c>
      <c r="F327" s="326">
        <f>IF(A327="","",VLOOKUP(A327,Equipamentos_base!A:K,6,"FALSO"))</f>
        <v>0</v>
      </c>
      <c r="G327" s="326">
        <f>IF(A327="","",VLOOKUP(A327,Equipamentos_base!A:K,7,"FALSO"))</f>
        <v>11.6793</v>
      </c>
      <c r="H327" s="326">
        <f>IF(A327="","",VLOOKUP(A327,Equipamentos_base!A:K,8,"FALSO"))</f>
        <v>0</v>
      </c>
      <c r="I327" s="326">
        <f>IF(A327="","",VLOOKUP(A327,Equipamentos_base!A:K,9,"FALSO"))</f>
        <v>26.5829</v>
      </c>
      <c r="J327" s="327" t="s">
        <v>932</v>
      </c>
      <c r="K327" s="327" t="s">
        <v>932</v>
      </c>
      <c r="L327" s="316" t="str">
        <f>IF(J327="","",VLOOKUP(A327,Equipamentos_base!A:K,10,"FALSO"))</f>
        <v/>
      </c>
      <c r="M327" s="316" t="str">
        <f>IF(J327="","",VLOOKUP(A327,Equipamentos_base!A:K,11,"FALSO"))</f>
        <v/>
      </c>
    </row>
    <row r="328" s="316" customFormat="1" hidden="1" spans="1:13">
      <c r="A328" s="324" t="s">
        <v>16065</v>
      </c>
      <c r="B328" s="325" t="str">
        <f>IF(A328="","",VLOOKUP(A328,Equipamentos_base!A:K,2,"FALSO"))</f>
        <v>Máquina para serrar trilho - 5,00 kW</v>
      </c>
      <c r="C328" s="326">
        <f>IF(A328="","",VLOOKUP(A328,Equipamentos_base!A:K,3,"FALSO"))</f>
        <v>36197.167</v>
      </c>
      <c r="D328" s="326">
        <f>IF(A328="","",VLOOKUP(A328,Equipamentos_base!A:K,4,"FALSO"))</f>
        <v>2.8958</v>
      </c>
      <c r="E328" s="326">
        <f>IF(A328="","",VLOOKUP(A328,Equipamentos_base!A:K,5,"FALSO"))</f>
        <v>0.67</v>
      </c>
      <c r="F328" s="326">
        <f>IF(A328="","",VLOOKUP(A328,Equipamentos_base!A:K,6,"FALSO"))</f>
        <v>0</v>
      </c>
      <c r="G328" s="326">
        <f>IF(A328="","",VLOOKUP(A328,Equipamentos_base!A:K,7,"FALSO"))</f>
        <v>2.8958</v>
      </c>
      <c r="H328" s="326">
        <f>IF(A328="","",VLOOKUP(A328,Equipamentos_base!A:K,8,"FALSO"))</f>
        <v>7.378</v>
      </c>
      <c r="I328" s="326">
        <f>IF(A328="","",VLOOKUP(A328,Equipamentos_base!A:K,9,"FALSO"))</f>
        <v>0</v>
      </c>
      <c r="J328" s="327" t="s">
        <v>932</v>
      </c>
      <c r="K328" s="327" t="s">
        <v>932</v>
      </c>
      <c r="L328" s="316" t="str">
        <f>IF(J328="","",VLOOKUP(A328,Equipamentos_base!A:K,10,"FALSO"))</f>
        <v/>
      </c>
      <c r="M328" s="316" t="str">
        <f>IF(J328="","",VLOOKUP(A328,Equipamentos_base!A:K,11,"FALSO"))</f>
        <v/>
      </c>
    </row>
    <row r="329" s="316" customFormat="1" hidden="1" spans="1:13">
      <c r="A329" s="324" t="s">
        <v>16066</v>
      </c>
      <c r="B329" s="325" t="str">
        <f>IF(A329="","",VLOOKUP(A329,Equipamentos_base!A:K,2,"FALSO"))</f>
        <v>Máquina para furar trilho - 1,20 kW</v>
      </c>
      <c r="C329" s="326">
        <f>IF(A329="","",VLOOKUP(A329,Equipamentos_base!A:K,3,"FALSO"))</f>
        <v>44986.1366</v>
      </c>
      <c r="D329" s="326">
        <f>IF(A329="","",VLOOKUP(A329,Equipamentos_base!A:K,4,"FALSO"))</f>
        <v>3.5989</v>
      </c>
      <c r="E329" s="326">
        <f>IF(A329="","",VLOOKUP(A329,Equipamentos_base!A:K,5,"FALSO"))</f>
        <v>0.8327</v>
      </c>
      <c r="F329" s="326">
        <f>IF(A329="","",VLOOKUP(A329,Equipamentos_base!A:K,6,"FALSO"))</f>
        <v>0</v>
      </c>
      <c r="G329" s="326">
        <f>IF(A329="","",VLOOKUP(A329,Equipamentos_base!A:K,7,"FALSO"))</f>
        <v>3.5989</v>
      </c>
      <c r="H329" s="326">
        <f>IF(A329="","",VLOOKUP(A329,Equipamentos_base!A:K,8,"FALSO"))</f>
        <v>1.7707</v>
      </c>
      <c r="I329" s="326">
        <f>IF(A329="","",VLOOKUP(A329,Equipamentos_base!A:K,9,"FALSO"))</f>
        <v>0</v>
      </c>
      <c r="J329" s="327" t="s">
        <v>932</v>
      </c>
      <c r="K329" s="327" t="s">
        <v>932</v>
      </c>
      <c r="L329" s="316" t="str">
        <f>IF(J329="","",VLOOKUP(A329,Equipamentos_base!A:K,10,"FALSO"))</f>
        <v/>
      </c>
      <c r="M329" s="316" t="str">
        <f>IF(J329="","",VLOOKUP(A329,Equipamentos_base!A:K,11,"FALSO"))</f>
        <v/>
      </c>
    </row>
    <row r="330" s="316" customFormat="1" hidden="1" spans="1:13">
      <c r="A330" s="324" t="s">
        <v>16067</v>
      </c>
      <c r="B330" s="325" t="str">
        <f>IF(A330="","",VLOOKUP(A330,Equipamentos_base!A:K,2,"FALSO"))</f>
        <v>Máquina de esmerilhar topo e lateral de boleto - 5,20 kW</v>
      </c>
      <c r="C330" s="326">
        <f>IF(A330="","",VLOOKUP(A330,Equipamentos_base!A:K,3,"FALSO"))</f>
        <v>79097.0065</v>
      </c>
      <c r="D330" s="326">
        <f>IF(A330="","",VLOOKUP(A330,Equipamentos_base!A:K,4,"FALSO"))</f>
        <v>6.3278</v>
      </c>
      <c r="E330" s="326">
        <f>IF(A330="","",VLOOKUP(A330,Equipamentos_base!A:K,5,"FALSO"))</f>
        <v>1.4641</v>
      </c>
      <c r="F330" s="326">
        <f>IF(A330="","",VLOOKUP(A330,Equipamentos_base!A:K,6,"FALSO"))</f>
        <v>0</v>
      </c>
      <c r="G330" s="326">
        <f>IF(A330="","",VLOOKUP(A330,Equipamentos_base!A:K,7,"FALSO"))</f>
        <v>6.3278</v>
      </c>
      <c r="H330" s="326">
        <f>IF(A330="","",VLOOKUP(A330,Equipamentos_base!A:K,8,"FALSO"))</f>
        <v>7.6731</v>
      </c>
      <c r="I330" s="326">
        <f>IF(A330="","",VLOOKUP(A330,Equipamentos_base!A:K,9,"FALSO"))</f>
        <v>0</v>
      </c>
      <c r="J330" s="327" t="s">
        <v>932</v>
      </c>
      <c r="K330" s="327" t="s">
        <v>932</v>
      </c>
      <c r="L330" s="316" t="str">
        <f>IF(J330="","",VLOOKUP(A330,Equipamentos_base!A:K,10,"FALSO"))</f>
        <v/>
      </c>
      <c r="M330" s="316" t="str">
        <f>IF(J330="","",VLOOKUP(A330,Equipamentos_base!A:K,11,"FALSO"))</f>
        <v/>
      </c>
    </row>
    <row r="331" s="316" customFormat="1" hidden="1" spans="1:13">
      <c r="A331" s="324" t="s">
        <v>16068</v>
      </c>
      <c r="B331" s="325" t="str">
        <f>IF(A331="","",VLOOKUP(A331,Equipamentos_base!A:K,2,"FALSO"))</f>
        <v>Trator agrícola sobre pneus com roçadeira de arraste e capacidade de 1,50 m - 77 kW</v>
      </c>
      <c r="C331" s="326">
        <f>IF(A331="","",VLOOKUP(A331,Equipamentos_base!A:K,3,"FALSO"))</f>
        <v>378897.6044</v>
      </c>
      <c r="D331" s="326">
        <f>IF(A331="","",VLOOKUP(A331,Equipamentos_base!A:K,4,"FALSO"))</f>
        <v>37.8898</v>
      </c>
      <c r="E331" s="326">
        <f>IF(A331="","",VLOOKUP(A331,Equipamentos_base!A:K,5,"FALSO"))</f>
        <v>7.3056</v>
      </c>
      <c r="F331" s="326">
        <f>IF(A331="","",VLOOKUP(A331,Equipamentos_base!A:K,6,"FALSO"))</f>
        <v>0</v>
      </c>
      <c r="G331" s="326">
        <f>IF(A331="","",VLOOKUP(A331,Equipamentos_base!A:K,7,"FALSO"))</f>
        <v>33.1535</v>
      </c>
      <c r="H331" s="326">
        <f>IF(A331="","",VLOOKUP(A331,Equipamentos_base!A:K,8,"FALSO"))</f>
        <v>76.7844</v>
      </c>
      <c r="I331" s="326">
        <f>IF(A331="","",VLOOKUP(A331,Equipamentos_base!A:K,9,"FALSO"))</f>
        <v>26.5829</v>
      </c>
      <c r="J331" s="327" t="s">
        <v>932</v>
      </c>
      <c r="K331" s="327" t="s">
        <v>932</v>
      </c>
      <c r="L331" s="316" t="str">
        <f>IF(J331="","",VLOOKUP(A331,Equipamentos_base!A:K,10,"FALSO"))</f>
        <v/>
      </c>
      <c r="M331" s="316" t="str">
        <f>IF(J331="","",VLOOKUP(A331,Equipamentos_base!A:K,11,"FALSO"))</f>
        <v/>
      </c>
    </row>
    <row r="332" s="316" customFormat="1" hidden="1" spans="1:13">
      <c r="A332" s="324" t="s">
        <v>16069</v>
      </c>
      <c r="B332" s="325" t="str">
        <f>IF(A332="","",VLOOKUP(A332,Equipamentos_base!A:K,2,"FALSO"))</f>
        <v>Conjunto bomba e prensa para luva de emenda de 25 mm</v>
      </c>
      <c r="C332" s="326">
        <f>IF(A332="","",VLOOKUP(A332,Equipamentos_base!A:K,3,"FALSO"))</f>
        <v>26096.0891</v>
      </c>
      <c r="D332" s="326">
        <f>IF(A332="","",VLOOKUP(A332,Equipamentos_base!A:K,4,"FALSO"))</f>
        <v>2.0877</v>
      </c>
      <c r="E332" s="326">
        <f>IF(A332="","",VLOOKUP(A332,Equipamentos_base!A:K,5,"FALSO"))</f>
        <v>0.483</v>
      </c>
      <c r="F332" s="326">
        <f>IF(A332="","",VLOOKUP(A332,Equipamentos_base!A:K,6,"FALSO"))</f>
        <v>0</v>
      </c>
      <c r="G332" s="326">
        <f>IF(A332="","",VLOOKUP(A332,Equipamentos_base!A:K,7,"FALSO"))</f>
        <v>1.3048</v>
      </c>
      <c r="H332" s="326">
        <f>IF(A332="","",VLOOKUP(A332,Equipamentos_base!A:K,8,"FALSO"))</f>
        <v>0</v>
      </c>
      <c r="I332" s="326">
        <f>IF(A332="","",VLOOKUP(A332,Equipamentos_base!A:K,9,"FALSO"))</f>
        <v>26.5829</v>
      </c>
      <c r="J332" s="327" t="s">
        <v>932</v>
      </c>
      <c r="K332" s="327" t="s">
        <v>932</v>
      </c>
      <c r="L332" s="316" t="str">
        <f>IF(J332="","",VLOOKUP(A332,Equipamentos_base!A:K,10,"FALSO"))</f>
        <v/>
      </c>
      <c r="M332" s="316" t="str">
        <f>IF(J332="","",VLOOKUP(A332,Equipamentos_base!A:K,11,"FALSO"))</f>
        <v/>
      </c>
    </row>
    <row r="333" s="316" customFormat="1" hidden="1" spans="1:13">
      <c r="A333" s="324" t="s">
        <v>16070</v>
      </c>
      <c r="B333" s="325" t="str">
        <f>IF(A333="","",VLOOKUP(A333,Equipamentos_base!A:K,2,"FALSO"))</f>
        <v>Conjunto bomba e prensa para luva de emenda de 32 mm</v>
      </c>
      <c r="C333" s="326">
        <f>IF(A333="","",VLOOKUP(A333,Equipamentos_base!A:K,3,"FALSO"))</f>
        <v>27400.8842</v>
      </c>
      <c r="D333" s="326">
        <f>IF(A333="","",VLOOKUP(A333,Equipamentos_base!A:K,4,"FALSO"))</f>
        <v>2.1921</v>
      </c>
      <c r="E333" s="326">
        <f>IF(A333="","",VLOOKUP(A333,Equipamentos_base!A:K,5,"FALSO"))</f>
        <v>0.5072</v>
      </c>
      <c r="F333" s="326">
        <f>IF(A333="","",VLOOKUP(A333,Equipamentos_base!A:K,6,"FALSO"))</f>
        <v>0</v>
      </c>
      <c r="G333" s="326">
        <f>IF(A333="","",VLOOKUP(A333,Equipamentos_base!A:K,7,"FALSO"))</f>
        <v>1.37</v>
      </c>
      <c r="H333" s="326">
        <f>IF(A333="","",VLOOKUP(A333,Equipamentos_base!A:K,8,"FALSO"))</f>
        <v>0</v>
      </c>
      <c r="I333" s="326">
        <f>IF(A333="","",VLOOKUP(A333,Equipamentos_base!A:K,9,"FALSO"))</f>
        <v>26.5829</v>
      </c>
      <c r="J333" s="327" t="s">
        <v>932</v>
      </c>
      <c r="K333" s="327" t="s">
        <v>932</v>
      </c>
      <c r="L333" s="316" t="str">
        <f>IF(J333="","",VLOOKUP(A333,Equipamentos_base!A:K,10,"FALSO"))</f>
        <v/>
      </c>
      <c r="M333" s="316" t="str">
        <f>IF(J333="","",VLOOKUP(A333,Equipamentos_base!A:K,11,"FALSO"))</f>
        <v/>
      </c>
    </row>
    <row r="334" s="316" customFormat="1" hidden="1" spans="1:13">
      <c r="A334" s="324" t="s">
        <v>16071</v>
      </c>
      <c r="B334" s="325" t="str">
        <f>IF(A334="","",VLOOKUP(A334,Equipamentos_base!A:K,2,"FALSO"))</f>
        <v>Rosqueadeira para rosca cônica - 0,75 kW</v>
      </c>
      <c r="C334" s="326">
        <f>IF(A334="","",VLOOKUP(A334,Equipamentos_base!A:K,3,"FALSO"))</f>
        <v>6034.0889</v>
      </c>
      <c r="D334" s="326">
        <f>IF(A334="","",VLOOKUP(A334,Equipamentos_base!A:K,4,"FALSO"))</f>
        <v>0.3448</v>
      </c>
      <c r="E334" s="326">
        <f>IF(A334="","",VLOOKUP(A334,Equipamentos_base!A:K,5,"FALSO"))</f>
        <v>0.1064</v>
      </c>
      <c r="F334" s="326">
        <f>IF(A334="","",VLOOKUP(A334,Equipamentos_base!A:K,6,"FALSO"))</f>
        <v>0</v>
      </c>
      <c r="G334" s="326">
        <f>IF(A334="","",VLOOKUP(A334,Equipamentos_base!A:K,7,"FALSO"))</f>
        <v>0.3448</v>
      </c>
      <c r="H334" s="326">
        <f>IF(A334="","",VLOOKUP(A334,Equipamentos_base!A:K,8,"FALSO"))</f>
        <v>0</v>
      </c>
      <c r="I334" s="326">
        <f>IF(A334="","",VLOOKUP(A334,Equipamentos_base!A:K,9,"FALSO"))</f>
        <v>26.5829</v>
      </c>
      <c r="J334" s="327" t="s">
        <v>932</v>
      </c>
      <c r="K334" s="327" t="s">
        <v>932</v>
      </c>
      <c r="L334" s="316" t="str">
        <f>IF(J334="","",VLOOKUP(A334,Equipamentos_base!A:K,10,"FALSO"))</f>
        <v/>
      </c>
      <c r="M334" s="316" t="str">
        <f>IF(J334="","",VLOOKUP(A334,Equipamentos_base!A:K,11,"FALSO"))</f>
        <v/>
      </c>
    </row>
    <row r="335" s="316" customFormat="1" hidden="1" spans="1:13">
      <c r="A335" s="324" t="s">
        <v>16072</v>
      </c>
      <c r="B335" s="325" t="str">
        <f>IF(A335="","",VLOOKUP(A335,Equipamentos_base!A:K,2,"FALSO"))</f>
        <v>Jateador portátil multiabrasivo com capacidade de 300 kg</v>
      </c>
      <c r="C335" s="326">
        <f>IF(A335="","",VLOOKUP(A335,Equipamentos_base!A:K,3,"FALSO"))</f>
        <v>9318.5017</v>
      </c>
      <c r="D335" s="326">
        <f>IF(A335="","",VLOOKUP(A335,Equipamentos_base!A:K,4,"FALSO"))</f>
        <v>0.8387</v>
      </c>
      <c r="E335" s="326">
        <f>IF(A335="","",VLOOKUP(A335,Equipamentos_base!A:K,5,"FALSO"))</f>
        <v>0.1725</v>
      </c>
      <c r="F335" s="326">
        <f>IF(A335="","",VLOOKUP(A335,Equipamentos_base!A:K,6,"FALSO"))</f>
        <v>0</v>
      </c>
      <c r="G335" s="326">
        <f>IF(A335="","",VLOOKUP(A335,Equipamentos_base!A:K,7,"FALSO"))</f>
        <v>0.8387</v>
      </c>
      <c r="H335" s="326">
        <f>IF(A335="","",VLOOKUP(A335,Equipamentos_base!A:K,8,"FALSO"))</f>
        <v>0</v>
      </c>
      <c r="I335" s="326">
        <f>IF(A335="","",VLOOKUP(A335,Equipamentos_base!A:K,9,"FALSO"))</f>
        <v>26.5829</v>
      </c>
      <c r="J335" s="327" t="s">
        <v>932</v>
      </c>
      <c r="K335" s="327" t="s">
        <v>932</v>
      </c>
      <c r="L335" s="316" t="str">
        <f>IF(J335="","",VLOOKUP(A335,Equipamentos_base!A:K,10,"FALSO"))</f>
        <v/>
      </c>
      <c r="M335" s="316" t="str">
        <f>IF(J335="","",VLOOKUP(A335,Equipamentos_base!A:K,11,"FALSO"))</f>
        <v/>
      </c>
    </row>
    <row r="336" s="316" customFormat="1" spans="1:13">
      <c r="A336" s="324" t="s">
        <v>14295</v>
      </c>
      <c r="B336" s="325" t="str">
        <f>IF(A336="","",VLOOKUP(A336,Equipamentos_base!A:K,2,"FALSO"))</f>
        <v>Grupo gerador - 23 kVA</v>
      </c>
      <c r="C336" s="326">
        <f>IF(A336="","",VLOOKUP(A336,Equipamentos_base!A:K,3,"FALSO"))</f>
        <v>88078.2694</v>
      </c>
      <c r="D336" s="326">
        <f>IF(A336="","",VLOOKUP(A336,Equipamentos_base!A:K,4,"FALSO"))</f>
        <v>6.1655</v>
      </c>
      <c r="E336" s="326">
        <f>IF(A336="","",VLOOKUP(A336,Equipamentos_base!A:K,5,"FALSO"))</f>
        <v>1.6303</v>
      </c>
      <c r="F336" s="326">
        <f>IF(A336="","",VLOOKUP(A336,Equipamentos_base!A:K,6,"FALSO"))</f>
        <v>0</v>
      </c>
      <c r="G336" s="326">
        <f>IF(A336="","",VLOOKUP(A336,Equipamentos_base!A:K,7,"FALSO"))</f>
        <v>4.4039</v>
      </c>
      <c r="H336" s="326">
        <f>IF(A336="","",VLOOKUP(A336,Equipamentos_base!A:K,8,"FALSO"))</f>
        <v>18.9468</v>
      </c>
      <c r="I336" s="326">
        <f>IF(A336="","",VLOOKUP(A336,Equipamentos_base!A:K,9,"FALSO"))</f>
        <v>0</v>
      </c>
      <c r="J336" s="327">
        <v>31.1465</v>
      </c>
      <c r="K336" s="327">
        <v>7.7958</v>
      </c>
      <c r="L336" s="316">
        <f>IF(J336="","",VLOOKUP(A336,Equipamentos_base!A:K,10,"FALSO"))</f>
        <v>31.1465</v>
      </c>
      <c r="M336" s="316">
        <f>IF(J336="","",VLOOKUP(A336,Equipamentos_base!A:K,11,"FALSO"))</f>
        <v>7.7958</v>
      </c>
    </row>
    <row r="337" s="316" customFormat="1" hidden="1" spans="1:13">
      <c r="A337" s="324" t="s">
        <v>16073</v>
      </c>
      <c r="B337" s="325" t="str">
        <f>IF(A337="","",VLOOKUP(A337,Equipamentos_base!A:K,2,"FALSO"))</f>
        <v>Bomba de alta pressão para jet grouting de até 45 MPa - 150 kW</v>
      </c>
      <c r="C337" s="326">
        <f>IF(A337="","",VLOOKUP(A337,Equipamentos_base!A:K,3,"FALSO"))</f>
        <v>1858880.3557</v>
      </c>
      <c r="D337" s="326">
        <f>IF(A337="","",VLOOKUP(A337,Equipamentos_base!A:K,4,"FALSO"))</f>
        <v>148.7104</v>
      </c>
      <c r="E337" s="326">
        <f>IF(A337="","",VLOOKUP(A337,Equipamentos_base!A:K,5,"FALSO"))</f>
        <v>34.4079</v>
      </c>
      <c r="F337" s="326">
        <f>IF(A337="","",VLOOKUP(A337,Equipamentos_base!A:K,6,"FALSO"))</f>
        <v>0</v>
      </c>
      <c r="G337" s="326">
        <f>IF(A337="","",VLOOKUP(A337,Equipamentos_base!A:K,7,"FALSO"))</f>
        <v>148.7104</v>
      </c>
      <c r="H337" s="326">
        <f>IF(A337="","",VLOOKUP(A337,Equipamentos_base!A:K,8,"FALSO"))</f>
        <v>157.89</v>
      </c>
      <c r="I337" s="326">
        <f>IF(A337="","",VLOOKUP(A337,Equipamentos_base!A:K,9,"FALSO"))</f>
        <v>26.5829</v>
      </c>
      <c r="J337" s="327" t="s">
        <v>932</v>
      </c>
      <c r="K337" s="327" t="s">
        <v>932</v>
      </c>
      <c r="L337" s="316" t="str">
        <f>IF(J337="","",VLOOKUP(A337,Equipamentos_base!A:K,10,"FALSO"))</f>
        <v/>
      </c>
      <c r="M337" s="316" t="str">
        <f>IF(J337="","",VLOOKUP(A337,Equipamentos_base!A:K,11,"FALSO"))</f>
        <v/>
      </c>
    </row>
    <row r="338" s="316" customFormat="1" spans="1:13">
      <c r="A338" s="324" t="s">
        <v>16074</v>
      </c>
      <c r="B338" s="325" t="str">
        <f>IF(A338="","",VLOOKUP(A338,Equipamentos_base!A:K,2,"FALSO"))</f>
        <v>Calandra para chapas de aço até 25 mm - 22 kW</v>
      </c>
      <c r="C338" s="326">
        <f>IF(A338="","",VLOOKUP(A338,Equipamentos_base!A:K,3,"FALSO"))</f>
        <v>1121091.0186</v>
      </c>
      <c r="D338" s="326">
        <f>IF(A338="","",VLOOKUP(A338,Equipamentos_base!A:K,4,"FALSO"))</f>
        <v>44.8436</v>
      </c>
      <c r="E338" s="326">
        <f>IF(A338="","",VLOOKUP(A338,Equipamentos_base!A:K,5,"FALSO"))</f>
        <v>19.0221</v>
      </c>
      <c r="F338" s="326">
        <f>IF(A338="","",VLOOKUP(A338,Equipamentos_base!A:K,6,"FALSO"))</f>
        <v>0</v>
      </c>
      <c r="G338" s="326">
        <f>IF(A338="","",VLOOKUP(A338,Equipamentos_base!A:K,7,"FALSO"))</f>
        <v>39.2382</v>
      </c>
      <c r="H338" s="326">
        <f>IF(A338="","",VLOOKUP(A338,Equipamentos_base!A:K,8,"FALSO"))</f>
        <v>0</v>
      </c>
      <c r="I338" s="326">
        <f>IF(A338="","",VLOOKUP(A338,Equipamentos_base!A:K,9,"FALSO"))</f>
        <v>26.5829</v>
      </c>
      <c r="J338" s="327">
        <v>129.6868</v>
      </c>
      <c r="K338" s="327">
        <v>90.4486</v>
      </c>
      <c r="L338" s="316">
        <f>IF(J338="","",VLOOKUP(A338,Equipamentos_base!A:K,10,"FALSO"))</f>
        <v>129.6868</v>
      </c>
      <c r="M338" s="316">
        <f>IF(J338="","",VLOOKUP(A338,Equipamentos_base!A:K,11,"FALSO"))</f>
        <v>90.4486</v>
      </c>
    </row>
    <row r="339" s="316" customFormat="1" hidden="1" spans="1:13">
      <c r="A339" s="324" t="s">
        <v>16075</v>
      </c>
      <c r="B339" s="325" t="str">
        <f>IF(A339="","",VLOOKUP(A339,Equipamentos_base!A:K,2,"FALSO"))</f>
        <v>Vibroacabadora de asfalto sobre pneus - 97 kW</v>
      </c>
      <c r="C339" s="326">
        <f>IF(A339="","",VLOOKUP(A339,Equipamentos_base!A:K,3,"FALSO"))</f>
        <v>1186134.412</v>
      </c>
      <c r="D339" s="326">
        <f>IF(A339="","",VLOOKUP(A339,Equipamentos_base!A:K,4,"FALSO"))</f>
        <v>118.6134</v>
      </c>
      <c r="E339" s="326">
        <f>IF(A339="","",VLOOKUP(A339,Equipamentos_base!A:K,5,"FALSO"))</f>
        <v>22.8702</v>
      </c>
      <c r="F339" s="326">
        <f>IF(A339="","",VLOOKUP(A339,Equipamentos_base!A:K,6,"FALSO"))</f>
        <v>0</v>
      </c>
      <c r="G339" s="326">
        <f>IF(A339="","",VLOOKUP(A339,Equipamentos_base!A:K,7,"FALSO"))</f>
        <v>133.4401</v>
      </c>
      <c r="H339" s="326">
        <f>IF(A339="","",VLOOKUP(A339,Equipamentos_base!A:K,8,"FALSO"))</f>
        <v>102.1022</v>
      </c>
      <c r="I339" s="326">
        <f>IF(A339="","",VLOOKUP(A339,Equipamentos_base!A:K,9,"FALSO"))</f>
        <v>45.2393</v>
      </c>
      <c r="J339" s="327" t="s">
        <v>932</v>
      </c>
      <c r="K339" s="327" t="s">
        <v>932</v>
      </c>
      <c r="L339" s="316" t="str">
        <f>IF(J339="","",VLOOKUP(A339,Equipamentos_base!A:K,10,"FALSO"))</f>
        <v/>
      </c>
      <c r="M339" s="316" t="str">
        <f>IF(J339="","",VLOOKUP(A339,Equipamentos_base!A:K,11,"FALSO"))</f>
        <v/>
      </c>
    </row>
    <row r="340" s="316" customFormat="1" hidden="1" spans="1:13">
      <c r="A340" s="324" t="s">
        <v>16076</v>
      </c>
      <c r="B340" s="325" t="str">
        <f>IF(A340="","",VLOOKUP(A340,Equipamentos_base!A:K,2,"FALSO"))</f>
        <v>Perfuratriz manual para coroa diamantada - 1,60 kW</v>
      </c>
      <c r="C340" s="326">
        <f>IF(A340="","",VLOOKUP(A340,Equipamentos_base!A:K,3,"FALSO"))</f>
        <v>21324.5776</v>
      </c>
      <c r="D340" s="326">
        <f>IF(A340="","",VLOOKUP(A340,Equipamentos_base!A:K,4,"FALSO"))</f>
        <v>2.8433</v>
      </c>
      <c r="E340" s="326">
        <f>IF(A340="","",VLOOKUP(A340,Equipamentos_base!A:K,5,"FALSO"))</f>
        <v>0.4386</v>
      </c>
      <c r="F340" s="326">
        <f>IF(A340="","",VLOOKUP(A340,Equipamentos_base!A:K,6,"FALSO"))</f>
        <v>0</v>
      </c>
      <c r="G340" s="326">
        <f>IF(A340="","",VLOOKUP(A340,Equipamentos_base!A:K,7,"FALSO"))</f>
        <v>2.8433</v>
      </c>
      <c r="H340" s="326">
        <f>IF(A340="","",VLOOKUP(A340,Equipamentos_base!A:K,8,"FALSO"))</f>
        <v>0</v>
      </c>
      <c r="I340" s="326">
        <f>IF(A340="","",VLOOKUP(A340,Equipamentos_base!A:K,9,"FALSO"))</f>
        <v>0</v>
      </c>
      <c r="J340" s="327" t="s">
        <v>932</v>
      </c>
      <c r="K340" s="327" t="s">
        <v>932</v>
      </c>
      <c r="L340" s="316" t="str">
        <f>IF(J340="","",VLOOKUP(A340,Equipamentos_base!A:K,10,"FALSO"))</f>
        <v/>
      </c>
      <c r="M340" s="316" t="str">
        <f>IF(J340="","",VLOOKUP(A340,Equipamentos_base!A:K,11,"FALSO"))</f>
        <v/>
      </c>
    </row>
    <row r="341" s="316" customFormat="1" spans="1:13">
      <c r="A341" s="324" t="s">
        <v>16077</v>
      </c>
      <c r="B341" s="325" t="str">
        <f>IF(A341="","",VLOOKUP(A341,Equipamentos_base!A:K,2,"FALSO"))</f>
        <v>Guincho de coluna com capacidade de 200 kg - 0,92 kW</v>
      </c>
      <c r="C341" s="326">
        <f>IF(A341="","",VLOOKUP(A341,Equipamentos_base!A:K,3,"FALSO"))</f>
        <v>5652.084</v>
      </c>
      <c r="D341" s="326">
        <f>IF(A341="","",VLOOKUP(A341,Equipamentos_base!A:K,4,"FALSO"))</f>
        <v>0.5024</v>
      </c>
      <c r="E341" s="326">
        <f>IF(A341="","",VLOOKUP(A341,Equipamentos_base!A:K,5,"FALSO"))</f>
        <v>0.1066</v>
      </c>
      <c r="F341" s="326">
        <f>IF(A341="","",VLOOKUP(A341,Equipamentos_base!A:K,6,"FALSO"))</f>
        <v>0</v>
      </c>
      <c r="G341" s="326">
        <f>IF(A341="","",VLOOKUP(A341,Equipamentos_base!A:K,7,"FALSO"))</f>
        <v>0.3768</v>
      </c>
      <c r="H341" s="326">
        <f>IF(A341="","",VLOOKUP(A341,Equipamentos_base!A:K,8,"FALSO"))</f>
        <v>0</v>
      </c>
      <c r="I341" s="326">
        <f>IF(A341="","",VLOOKUP(A341,Equipamentos_base!A:K,9,"FALSO"))</f>
        <v>0</v>
      </c>
      <c r="J341" s="327">
        <v>0.9858</v>
      </c>
      <c r="K341" s="327">
        <v>0.609</v>
      </c>
      <c r="L341" s="316">
        <f>IF(J341="","",VLOOKUP(A341,Equipamentos_base!A:K,10,"FALSO"))</f>
        <v>0.9858</v>
      </c>
      <c r="M341" s="316">
        <f>IF(J341="","",VLOOKUP(A341,Equipamentos_base!A:K,11,"FALSO"))</f>
        <v>0.609</v>
      </c>
    </row>
    <row r="342" s="316" customFormat="1" spans="1:13">
      <c r="A342" s="324" t="s">
        <v>16078</v>
      </c>
      <c r="B342" s="325" t="str">
        <f>IF(A342="","",VLOOKUP(A342,Equipamentos_base!A:K,2,"FALSO"))</f>
        <v>Rolo compactador de pneus autopropelido de 27 t - 85 kW</v>
      </c>
      <c r="C342" s="326">
        <f>IF(A342="","",VLOOKUP(A342,Equipamentos_base!A:K,3,"FALSO"))</f>
        <v>952703.2096</v>
      </c>
      <c r="D342" s="326">
        <f>IF(A342="","",VLOOKUP(A342,Equipamentos_base!A:K,4,"FALSO"))</f>
        <v>95.2703</v>
      </c>
      <c r="E342" s="326">
        <f>IF(A342="","",VLOOKUP(A342,Equipamentos_base!A:K,5,"FALSO"))</f>
        <v>18.3693</v>
      </c>
      <c r="F342" s="326">
        <f>IF(A342="","",VLOOKUP(A342,Equipamentos_base!A:K,6,"FALSO"))</f>
        <v>0</v>
      </c>
      <c r="G342" s="326">
        <f>IF(A342="","",VLOOKUP(A342,Equipamentos_base!A:K,7,"FALSO"))</f>
        <v>95.2703</v>
      </c>
      <c r="H342" s="326">
        <f>IF(A342="","",VLOOKUP(A342,Equipamentos_base!A:K,8,"FALSO"))</f>
        <v>61.217</v>
      </c>
      <c r="I342" s="326">
        <f>IF(A342="","",VLOOKUP(A342,Equipamentos_base!A:K,9,"FALSO"))</f>
        <v>33.7544</v>
      </c>
      <c r="J342" s="327">
        <v>303.8813</v>
      </c>
      <c r="K342" s="327">
        <v>147.394</v>
      </c>
      <c r="L342" s="316">
        <f>IF(J342="","",VLOOKUP(A342,Equipamentos_base!A:K,10,"FALSO"))</f>
        <v>303.8813</v>
      </c>
      <c r="M342" s="316">
        <f>IF(J342="","",VLOOKUP(A342,Equipamentos_base!A:K,11,"FALSO"))</f>
        <v>147.394</v>
      </c>
    </row>
    <row r="343" s="316" customFormat="1" spans="1:13">
      <c r="A343" s="324" t="s">
        <v>16079</v>
      </c>
      <c r="B343" s="325" t="str">
        <f>IF(A343="","",VLOOKUP(A343,Equipamentos_base!A:K,2,"FALSO"))</f>
        <v>Grupo gerador - 40 kVA</v>
      </c>
      <c r="C343" s="326">
        <f>IF(A343="","",VLOOKUP(A343,Equipamentos_base!A:K,3,"FALSO"))</f>
        <v>89813.7364</v>
      </c>
      <c r="D343" s="326">
        <f>IF(A343="","",VLOOKUP(A343,Equipamentos_base!A:K,4,"FALSO"))</f>
        <v>6.287</v>
      </c>
      <c r="E343" s="326">
        <f>IF(A343="","",VLOOKUP(A343,Equipamentos_base!A:K,5,"FALSO"))</f>
        <v>1.6625</v>
      </c>
      <c r="F343" s="326">
        <f>IF(A343="","",VLOOKUP(A343,Equipamentos_base!A:K,6,"FALSO"))</f>
        <v>0</v>
      </c>
      <c r="G343" s="326">
        <f>IF(A343="","",VLOOKUP(A343,Equipamentos_base!A:K,7,"FALSO"))</f>
        <v>4.4907</v>
      </c>
      <c r="H343" s="326">
        <f>IF(A343="","",VLOOKUP(A343,Equipamentos_base!A:K,8,"FALSO"))</f>
        <v>33.6832</v>
      </c>
      <c r="I343" s="326">
        <f>IF(A343="","",VLOOKUP(A343,Equipamentos_base!A:K,9,"FALSO"))</f>
        <v>0</v>
      </c>
      <c r="J343" s="327">
        <v>46.1234</v>
      </c>
      <c r="K343" s="327">
        <v>7.9495</v>
      </c>
      <c r="L343" s="316">
        <f>IF(J343="","",VLOOKUP(A343,Equipamentos_base!A:K,10,"FALSO"))</f>
        <v>46.1234</v>
      </c>
      <c r="M343" s="316">
        <f>IF(J343="","",VLOOKUP(A343,Equipamentos_base!A:K,11,"FALSO"))</f>
        <v>7.9495</v>
      </c>
    </row>
    <row r="344" s="316" customFormat="1" spans="1:13">
      <c r="A344" s="324" t="s">
        <v>1064</v>
      </c>
      <c r="B344" s="325" t="str">
        <f>IF(A344="","",VLOOKUP(A344,Equipamentos_base!A:K,2,"FALSO"))</f>
        <v>Grupo gerador - 7,2 kVA</v>
      </c>
      <c r="C344" s="326">
        <f>IF(A344="","",VLOOKUP(A344,Equipamentos_base!A:K,3,"FALSO"))</f>
        <v>6665.9387</v>
      </c>
      <c r="D344" s="326">
        <f>IF(A344="","",VLOOKUP(A344,Equipamentos_base!A:K,4,"FALSO"))</f>
        <v>0.5833</v>
      </c>
      <c r="E344" s="326">
        <f>IF(A344="","",VLOOKUP(A344,Equipamentos_base!A:K,5,"FALSO"))</f>
        <v>0.1285</v>
      </c>
      <c r="F344" s="326">
        <f>IF(A344="","",VLOOKUP(A344,Equipamentos_base!A:K,6,"FALSO"))</f>
        <v>0</v>
      </c>
      <c r="G344" s="326">
        <f>IF(A344="","",VLOOKUP(A344,Equipamentos_base!A:K,7,"FALSO"))</f>
        <v>0.4166</v>
      </c>
      <c r="H344" s="326">
        <f>IF(A344="","",VLOOKUP(A344,Equipamentos_base!A:K,8,"FALSO"))</f>
        <v>9.8654</v>
      </c>
      <c r="I344" s="326">
        <f>IF(A344="","",VLOOKUP(A344,Equipamentos_base!A:K,9,"FALSO"))</f>
        <v>0</v>
      </c>
      <c r="J344" s="327">
        <v>10.9938</v>
      </c>
      <c r="K344" s="327">
        <v>0.7118</v>
      </c>
      <c r="L344" s="316">
        <f>IF(J344="","",VLOOKUP(A344,Equipamentos_base!A:K,10,"FALSO"))</f>
        <v>10.9938</v>
      </c>
      <c r="M344" s="316">
        <f>IF(J344="","",VLOOKUP(A344,Equipamentos_base!A:K,11,"FALSO"))</f>
        <v>0.7118</v>
      </c>
    </row>
    <row r="345" s="316" customFormat="1" hidden="1" spans="1:13">
      <c r="A345" s="324" t="s">
        <v>16080</v>
      </c>
      <c r="B345" s="325" t="str">
        <f>IF(A345="","",VLOOKUP(A345,Equipamentos_base!A:K,2,"FALSO"))</f>
        <v>Prensa hidráulica para fabricação de blocos pré-moldados - 20 kW</v>
      </c>
      <c r="C345" s="326">
        <f>IF(A345="","",VLOOKUP(A345,Equipamentos_base!A:K,3,"FALSO"))</f>
        <v>691294.8583</v>
      </c>
      <c r="D345" s="326">
        <f>IF(A345="","",VLOOKUP(A345,Equipamentos_base!A:K,4,"FALSO"))</f>
        <v>46.9093</v>
      </c>
      <c r="E345" s="326">
        <f>IF(A345="","",VLOOKUP(A345,Equipamentos_base!A:K,5,"FALSO"))</f>
        <v>12.1865</v>
      </c>
      <c r="F345" s="326">
        <f>IF(A345="","",VLOOKUP(A345,Equipamentos_base!A:K,6,"FALSO"))</f>
        <v>0</v>
      </c>
      <c r="G345" s="326">
        <f>IF(A345="","",VLOOKUP(A345,Equipamentos_base!A:K,7,"FALSO"))</f>
        <v>39.5026</v>
      </c>
      <c r="H345" s="326">
        <f>IF(A345="","",VLOOKUP(A345,Equipamentos_base!A:K,8,"FALSO"))</f>
        <v>0</v>
      </c>
      <c r="I345" s="326">
        <f>IF(A345="","",VLOOKUP(A345,Equipamentos_base!A:K,9,"FALSO"))</f>
        <v>26.5829</v>
      </c>
      <c r="J345" s="327" t="s">
        <v>932</v>
      </c>
      <c r="K345" s="327" t="s">
        <v>932</v>
      </c>
      <c r="L345" s="316" t="str">
        <f>IF(J345="","",VLOOKUP(A345,Equipamentos_base!A:K,10,"FALSO"))</f>
        <v/>
      </c>
      <c r="M345" s="316" t="str">
        <f>IF(J345="","",VLOOKUP(A345,Equipamentos_base!A:K,11,"FALSO"))</f>
        <v/>
      </c>
    </row>
    <row r="346" s="316" customFormat="1" hidden="1" spans="1:13">
      <c r="A346" s="324" t="s">
        <v>16081</v>
      </c>
      <c r="B346" s="325" t="str">
        <f>IF(A346="","",VLOOKUP(A346,Equipamentos_base!A:K,2,"FALSO"))</f>
        <v>Compressor de ar portátil de 373,78 l/s (792 PCM) - 213,30 kW</v>
      </c>
      <c r="C346" s="326">
        <f>IF(A346="","",VLOOKUP(A346,Equipamentos_base!A:K,3,"FALSO"))</f>
        <v>604750.781</v>
      </c>
      <c r="D346" s="326">
        <f>IF(A346="","",VLOOKUP(A346,Equipamentos_base!A:K,4,"FALSO"))</f>
        <v>48.3801</v>
      </c>
      <c r="E346" s="326">
        <f>IF(A346="","",VLOOKUP(A346,Equipamentos_base!A:K,5,"FALSO"))</f>
        <v>11.1939</v>
      </c>
      <c r="F346" s="326">
        <f>IF(A346="","",VLOOKUP(A346,Equipamentos_base!A:K,6,"FALSO"))</f>
        <v>0</v>
      </c>
      <c r="G346" s="326">
        <f>IF(A346="","",VLOOKUP(A346,Equipamentos_base!A:K,7,"FALSO"))</f>
        <v>48.3801</v>
      </c>
      <c r="H346" s="326">
        <f>IF(A346="","",VLOOKUP(A346,Equipamentos_base!A:K,8,"FALSO"))</f>
        <v>200.8859</v>
      </c>
      <c r="I346" s="326">
        <f>IF(A346="","",VLOOKUP(A346,Equipamentos_base!A:K,9,"FALSO"))</f>
        <v>0</v>
      </c>
      <c r="J346" s="327" t="s">
        <v>932</v>
      </c>
      <c r="K346" s="327" t="s">
        <v>932</v>
      </c>
      <c r="L346" s="316" t="str">
        <f>IF(J346="","",VLOOKUP(A346,Equipamentos_base!A:K,10,"FALSO"))</f>
        <v/>
      </c>
      <c r="M346" s="316" t="str">
        <f>IF(J346="","",VLOOKUP(A346,Equipamentos_base!A:K,11,"FALSO"))</f>
        <v/>
      </c>
    </row>
    <row r="347" s="316" customFormat="1" hidden="1" spans="1:13">
      <c r="A347" s="324" t="s">
        <v>16082</v>
      </c>
      <c r="B347" s="325" t="str">
        <f>IF(A347="","",VLOOKUP(A347,Equipamentos_base!A:K,2,"FALSO"))</f>
        <v>Cunha hidráulica com três cilindros e acessórios com capacidade de 3.000 kN - 5,60 kW</v>
      </c>
      <c r="C347" s="326">
        <f>IF(A347="","",VLOOKUP(A347,Equipamentos_base!A:K,3,"FALSO"))</f>
        <v>283818.2597</v>
      </c>
      <c r="D347" s="326">
        <f>IF(A347="","",VLOOKUP(A347,Equipamentos_base!A:K,4,"FALSO"))</f>
        <v>37.8424</v>
      </c>
      <c r="E347" s="326">
        <f>IF(A347="","",VLOOKUP(A347,Equipamentos_base!A:K,5,"FALSO"))</f>
        <v>5.8372</v>
      </c>
      <c r="F347" s="326">
        <f>IF(A347="","",VLOOKUP(A347,Equipamentos_base!A:K,6,"FALSO"))</f>
        <v>0</v>
      </c>
      <c r="G347" s="326">
        <f>IF(A347="","",VLOOKUP(A347,Equipamentos_base!A:K,7,"FALSO"))</f>
        <v>37.8424</v>
      </c>
      <c r="H347" s="326">
        <f>IF(A347="","",VLOOKUP(A347,Equipamentos_base!A:K,8,"FALSO"))</f>
        <v>5.8946</v>
      </c>
      <c r="I347" s="326">
        <f>IF(A347="","",VLOOKUP(A347,Equipamentos_base!A:K,9,"FALSO"))</f>
        <v>26.5829</v>
      </c>
      <c r="J347" s="327" t="s">
        <v>932</v>
      </c>
      <c r="K347" s="327" t="s">
        <v>932</v>
      </c>
      <c r="L347" s="316" t="str">
        <f>IF(J347="","",VLOOKUP(A347,Equipamentos_base!A:K,10,"FALSO"))</f>
        <v/>
      </c>
      <c r="M347" s="316" t="str">
        <f>IF(J347="","",VLOOKUP(A347,Equipamentos_base!A:K,11,"FALSO"))</f>
        <v/>
      </c>
    </row>
    <row r="348" s="316" customFormat="1" hidden="1" spans="1:13">
      <c r="A348" s="324" t="s">
        <v>16083</v>
      </c>
      <c r="B348" s="325" t="str">
        <f>IF(A348="","",VLOOKUP(A348,Equipamentos_base!A:K,2,"FALSO"))</f>
        <v>Escavadeira hidráulica com martelo hidráulico de 1.700 kg - 103 kW</v>
      </c>
      <c r="C348" s="326">
        <f>IF(A348="","",VLOOKUP(A348,Equipamentos_base!A:K,3,"FALSO"))</f>
        <v>1926424.1712</v>
      </c>
      <c r="D348" s="326">
        <f>IF(A348="","",VLOOKUP(A348,Equipamentos_base!A:K,4,"FALSO"))</f>
        <v>220.1628</v>
      </c>
      <c r="E348" s="326">
        <f>IF(A348="","",VLOOKUP(A348,Equipamentos_base!A:K,5,"FALSO"))</f>
        <v>38.2051</v>
      </c>
      <c r="F348" s="326">
        <f>IF(A348="","",VLOOKUP(A348,Equipamentos_base!A:K,6,"FALSO"))</f>
        <v>0</v>
      </c>
      <c r="G348" s="326">
        <f>IF(A348="","",VLOOKUP(A348,Equipamentos_base!A:K,7,"FALSO"))</f>
        <v>275.2035</v>
      </c>
      <c r="H348" s="326">
        <f>IF(A348="","",VLOOKUP(A348,Equipamentos_base!A:K,8,"FALSO"))</f>
        <v>74.1806</v>
      </c>
      <c r="I348" s="326">
        <f>IF(A348="","",VLOOKUP(A348,Equipamentos_base!A:K,9,"FALSO"))</f>
        <v>33.7544</v>
      </c>
      <c r="J348" s="327" t="s">
        <v>932</v>
      </c>
      <c r="K348" s="327" t="s">
        <v>932</v>
      </c>
      <c r="L348" s="316" t="str">
        <f>IF(J348="","",VLOOKUP(A348,Equipamentos_base!A:K,10,"FALSO"))</f>
        <v/>
      </c>
      <c r="M348" s="316" t="str">
        <f>IF(J348="","",VLOOKUP(A348,Equipamentos_base!A:K,11,"FALSO"))</f>
        <v/>
      </c>
    </row>
    <row r="349" s="316" customFormat="1" spans="1:13">
      <c r="A349" s="324" t="s">
        <v>16084</v>
      </c>
      <c r="B349" s="325" t="str">
        <f>IF(A349="","",VLOOKUP(A349,Equipamentos_base!A:K,2,"FALSO"))</f>
        <v>Grupo gerador - 174 kVA</v>
      </c>
      <c r="C349" s="326">
        <f>IF(A349="","",VLOOKUP(A349,Equipamentos_base!A:K,3,"FALSO"))</f>
        <v>192136.0454</v>
      </c>
      <c r="D349" s="326">
        <f>IF(A349="","",VLOOKUP(A349,Equipamentos_base!A:K,4,"FALSO"))</f>
        <v>13.4495</v>
      </c>
      <c r="E349" s="326">
        <f>IF(A349="","",VLOOKUP(A349,Equipamentos_base!A:K,5,"FALSO"))</f>
        <v>3.5564</v>
      </c>
      <c r="F349" s="326">
        <f>IF(A349="","",VLOOKUP(A349,Equipamentos_base!A:K,6,"FALSO"))</f>
        <v>0</v>
      </c>
      <c r="G349" s="326">
        <f>IF(A349="","",VLOOKUP(A349,Equipamentos_base!A:K,7,"FALSO"))</f>
        <v>9.6068</v>
      </c>
      <c r="H349" s="326">
        <f>IF(A349="","",VLOOKUP(A349,Equipamentos_base!A:K,8,"FALSO"))</f>
        <v>146.3114</v>
      </c>
      <c r="I349" s="326">
        <f>IF(A349="","",VLOOKUP(A349,Equipamentos_base!A:K,9,"FALSO"))</f>
        <v>0</v>
      </c>
      <c r="J349" s="327">
        <v>172.9241</v>
      </c>
      <c r="K349" s="327">
        <v>17.0059</v>
      </c>
      <c r="L349" s="316">
        <f>IF(J349="","",VLOOKUP(A349,Equipamentos_base!A:K,10,"FALSO"))</f>
        <v>172.9241</v>
      </c>
      <c r="M349" s="316">
        <f>IF(J349="","",VLOOKUP(A349,Equipamentos_base!A:K,11,"FALSO"))</f>
        <v>17.0059</v>
      </c>
    </row>
    <row r="350" s="316" customFormat="1" hidden="1" spans="1:13">
      <c r="A350" s="324" t="s">
        <v>16085</v>
      </c>
      <c r="B350" s="325" t="str">
        <f>IF(A350="","",VLOOKUP(A350,Equipamentos_base!A:K,2,"FALSO"))</f>
        <v>Extrusora de barreira de concreto - 74 kW</v>
      </c>
      <c r="C350" s="326">
        <f>IF(A350="","",VLOOKUP(A350,Equipamentos_base!A:K,3,"FALSO"))</f>
        <v>5777680.459</v>
      </c>
      <c r="D350" s="326">
        <f>IF(A350="","",VLOOKUP(A350,Equipamentos_base!A:K,4,"FALSO"))</f>
        <v>404.4376</v>
      </c>
      <c r="E350" s="326">
        <f>IF(A350="","",VLOOKUP(A350,Equipamentos_base!A:K,5,"FALSO"))</f>
        <v>106.9449</v>
      </c>
      <c r="F350" s="326">
        <f>IF(A350="","",VLOOKUP(A350,Equipamentos_base!A:K,6,"FALSO"))</f>
        <v>0</v>
      </c>
      <c r="G350" s="326">
        <f>IF(A350="","",VLOOKUP(A350,Equipamentos_base!A:K,7,"FALSO"))</f>
        <v>519.9912</v>
      </c>
      <c r="H350" s="326">
        <f>IF(A350="","",VLOOKUP(A350,Equipamentos_base!A:K,8,"FALSO"))</f>
        <v>61.494</v>
      </c>
      <c r="I350" s="326">
        <f>IF(A350="","",VLOOKUP(A350,Equipamentos_base!A:K,9,"FALSO"))</f>
        <v>33.7544</v>
      </c>
      <c r="J350" s="327" t="s">
        <v>932</v>
      </c>
      <c r="K350" s="327" t="s">
        <v>932</v>
      </c>
      <c r="L350" s="316" t="str">
        <f>IF(J350="","",VLOOKUP(A350,Equipamentos_base!A:K,10,"FALSO"))</f>
        <v/>
      </c>
      <c r="M350" s="316" t="str">
        <f>IF(J350="","",VLOOKUP(A350,Equipamentos_base!A:K,11,"FALSO"))</f>
        <v/>
      </c>
    </row>
    <row r="351" s="316" customFormat="1" spans="1:13">
      <c r="A351" s="324" t="s">
        <v>16086</v>
      </c>
      <c r="B351" s="325" t="str">
        <f>IF(A351="","",VLOOKUP(A351,Equipamentos_base!A:K,2,"FALSO"))</f>
        <v>Grupo gerador - 338 kVA</v>
      </c>
      <c r="C351" s="326">
        <f>IF(A351="","",VLOOKUP(A351,Equipamentos_base!A:K,3,"FALSO"))</f>
        <v>256088.6909</v>
      </c>
      <c r="D351" s="326">
        <f>IF(A351="","",VLOOKUP(A351,Equipamentos_base!A:K,4,"FALSO"))</f>
        <v>17.9262</v>
      </c>
      <c r="E351" s="326">
        <f>IF(A351="","",VLOOKUP(A351,Equipamentos_base!A:K,5,"FALSO"))</f>
        <v>4.7402</v>
      </c>
      <c r="F351" s="326">
        <f>IF(A351="","",VLOOKUP(A351,Equipamentos_base!A:K,6,"FALSO"))</f>
        <v>0</v>
      </c>
      <c r="G351" s="326">
        <f>IF(A351="","",VLOOKUP(A351,Equipamentos_base!A:K,7,"FALSO"))</f>
        <v>12.8044</v>
      </c>
      <c r="H351" s="326">
        <f>IF(A351="","",VLOOKUP(A351,Equipamentos_base!A:K,8,"FALSO"))</f>
        <v>284.202</v>
      </c>
      <c r="I351" s="326">
        <f>IF(A351="","",VLOOKUP(A351,Equipamentos_base!A:K,9,"FALSO"))</f>
        <v>0</v>
      </c>
      <c r="J351" s="327">
        <v>319.6728</v>
      </c>
      <c r="K351" s="327">
        <v>22.6664</v>
      </c>
      <c r="L351" s="316">
        <f>IF(J351="","",VLOOKUP(A351,Equipamentos_base!A:K,10,"FALSO"))</f>
        <v>319.6728</v>
      </c>
      <c r="M351" s="316">
        <f>IF(J351="","",VLOOKUP(A351,Equipamentos_base!A:K,11,"FALSO"))</f>
        <v>22.6664</v>
      </c>
    </row>
    <row r="352" s="316" customFormat="1" spans="1:13">
      <c r="A352" s="324" t="s">
        <v>16087</v>
      </c>
      <c r="B352" s="325" t="str">
        <f>IF(A352="","",VLOOKUP(A352,Equipamentos_base!A:K,2,"FALSO"))</f>
        <v>Grupo gerador - 113 kVA</v>
      </c>
      <c r="C352" s="326">
        <f>IF(A352="","",VLOOKUP(A352,Equipamentos_base!A:K,3,"FALSO"))</f>
        <v>121887.2909</v>
      </c>
      <c r="D352" s="326">
        <f>IF(A352="","",VLOOKUP(A352,Equipamentos_base!A:K,4,"FALSO"))</f>
        <v>8.5321</v>
      </c>
      <c r="E352" s="326">
        <f>IF(A352="","",VLOOKUP(A352,Equipamentos_base!A:K,5,"FALSO"))</f>
        <v>2.2561</v>
      </c>
      <c r="F352" s="326">
        <f>IF(A352="","",VLOOKUP(A352,Equipamentos_base!A:K,6,"FALSO"))</f>
        <v>0</v>
      </c>
      <c r="G352" s="326">
        <f>IF(A352="","",VLOOKUP(A352,Equipamentos_base!A:K,7,"FALSO"))</f>
        <v>6.0944</v>
      </c>
      <c r="H352" s="326">
        <f>IF(A352="","",VLOOKUP(A352,Equipamentos_base!A:K,8,"FALSO"))</f>
        <v>94.734</v>
      </c>
      <c r="I352" s="326">
        <f>IF(A352="","",VLOOKUP(A352,Equipamentos_base!A:K,9,"FALSO"))</f>
        <v>0</v>
      </c>
      <c r="J352" s="327">
        <v>111.6166</v>
      </c>
      <c r="K352" s="327">
        <v>10.7882</v>
      </c>
      <c r="L352" s="316">
        <f>IF(J352="","",VLOOKUP(A352,Equipamentos_base!A:K,10,"FALSO"))</f>
        <v>111.6166</v>
      </c>
      <c r="M352" s="316">
        <f>IF(J352="","",VLOOKUP(A352,Equipamentos_base!A:K,11,"FALSO"))</f>
        <v>10.7882</v>
      </c>
    </row>
    <row r="353" s="316" customFormat="1" hidden="1" spans="1:13">
      <c r="A353" s="324" t="s">
        <v>16088</v>
      </c>
      <c r="B353" s="325" t="str">
        <f>IF(A353="","",VLOOKUP(A353,Equipamentos_base!A:K,2,"FALSO"))</f>
        <v>Misturador automático para grauteamento com capacidade de 20 m³/h - 7 kW</v>
      </c>
      <c r="C353" s="326">
        <f>IF(A353="","",VLOOKUP(A353,Equipamentos_base!A:K,3,"FALSO"))</f>
        <v>271302.9199</v>
      </c>
      <c r="D353" s="326">
        <f>IF(A353="","",VLOOKUP(A353,Equipamentos_base!A:K,4,"FALSO"))</f>
        <v>43.4085</v>
      </c>
      <c r="E353" s="326">
        <f>IF(A353="","",VLOOKUP(A353,Equipamentos_base!A:K,5,"FALSO"))</f>
        <v>5.8588</v>
      </c>
      <c r="F353" s="326">
        <f>IF(A353="","",VLOOKUP(A353,Equipamentos_base!A:K,6,"FALSO"))</f>
        <v>0</v>
      </c>
      <c r="G353" s="326">
        <f>IF(A353="","",VLOOKUP(A353,Equipamentos_base!A:K,7,"FALSO"))</f>
        <v>43.4085</v>
      </c>
      <c r="H353" s="326">
        <f>IF(A353="","",VLOOKUP(A353,Equipamentos_base!A:K,8,"FALSO"))</f>
        <v>7.3682</v>
      </c>
      <c r="I353" s="326">
        <f>IF(A353="","",VLOOKUP(A353,Equipamentos_base!A:K,9,"FALSO"))</f>
        <v>26.5829</v>
      </c>
      <c r="J353" s="327" t="s">
        <v>932</v>
      </c>
      <c r="K353" s="327" t="s">
        <v>932</v>
      </c>
      <c r="L353" s="316" t="str">
        <f>IF(J353="","",VLOOKUP(A353,Equipamentos_base!A:K,10,"FALSO"))</f>
        <v/>
      </c>
      <c r="M353" s="316" t="str">
        <f>IF(J353="","",VLOOKUP(A353,Equipamentos_base!A:K,11,"FALSO"))</f>
        <v/>
      </c>
    </row>
    <row r="354" s="316" customFormat="1" hidden="1" spans="1:13">
      <c r="A354" s="324" t="s">
        <v>16089</v>
      </c>
      <c r="B354" s="325" t="str">
        <f>IF(A354="","",VLOOKUP(A354,Equipamentos_base!A:K,2,"FALSO"))</f>
        <v>Misturador com bomba para grauteamento tipo Flex E ou similar - 25 kW</v>
      </c>
      <c r="C354" s="326">
        <f>IF(A354="","",VLOOKUP(A354,Equipamentos_base!A:K,3,"FALSO"))</f>
        <v>679246.3861</v>
      </c>
      <c r="D354" s="326">
        <f>IF(A354="","",VLOOKUP(A354,Equipamentos_base!A:K,4,"FALSO"))</f>
        <v>108.6794</v>
      </c>
      <c r="E354" s="326">
        <f>IF(A354="","",VLOOKUP(A354,Equipamentos_base!A:K,5,"FALSO"))</f>
        <v>14.6683</v>
      </c>
      <c r="F354" s="326">
        <f>IF(A354="","",VLOOKUP(A354,Equipamentos_base!A:K,6,"FALSO"))</f>
        <v>0</v>
      </c>
      <c r="G354" s="326">
        <f>IF(A354="","",VLOOKUP(A354,Equipamentos_base!A:K,7,"FALSO"))</f>
        <v>108.6794</v>
      </c>
      <c r="H354" s="326">
        <f>IF(A354="","",VLOOKUP(A354,Equipamentos_base!A:K,8,"FALSO"))</f>
        <v>0</v>
      </c>
      <c r="I354" s="326">
        <f>IF(A354="","",VLOOKUP(A354,Equipamentos_base!A:K,9,"FALSO"))</f>
        <v>26.5829</v>
      </c>
      <c r="J354" s="327" t="s">
        <v>932</v>
      </c>
      <c r="K354" s="327" t="s">
        <v>932</v>
      </c>
      <c r="L354" s="316" t="str">
        <f>IF(J354="","",VLOOKUP(A354,Equipamentos_base!A:K,10,"FALSO"))</f>
        <v/>
      </c>
      <c r="M354" s="316" t="str">
        <f>IF(J354="","",VLOOKUP(A354,Equipamentos_base!A:K,11,"FALSO"))</f>
        <v/>
      </c>
    </row>
    <row r="355" s="316" customFormat="1" hidden="1" spans="1:13">
      <c r="A355" s="324" t="s">
        <v>16090</v>
      </c>
      <c r="B355" s="325" t="str">
        <f>IF(A355="","",VLOOKUP(A355,Equipamentos_base!A:K,2,"FALSO"))</f>
        <v>Perfuratriz pneumática com avanço de coluna de 33,5 kg com capacidade de 2.280 gpm</v>
      </c>
      <c r="C355" s="326">
        <f>IF(A355="","",VLOOKUP(A355,Equipamentos_base!A:K,3,"FALSO"))</f>
        <v>54065.2087</v>
      </c>
      <c r="D355" s="326">
        <f>IF(A355="","",VLOOKUP(A355,Equipamentos_base!A:K,4,"FALSO"))</f>
        <v>7.2087</v>
      </c>
      <c r="E355" s="326">
        <f>IF(A355="","",VLOOKUP(A355,Equipamentos_base!A:K,5,"FALSO"))</f>
        <v>1.1119</v>
      </c>
      <c r="F355" s="326">
        <f>IF(A355="","",VLOOKUP(A355,Equipamentos_base!A:K,6,"FALSO"))</f>
        <v>0</v>
      </c>
      <c r="G355" s="326">
        <f>IF(A355="","",VLOOKUP(A355,Equipamentos_base!A:K,7,"FALSO"))</f>
        <v>7.2087</v>
      </c>
      <c r="H355" s="326">
        <f>IF(A355="","",VLOOKUP(A355,Equipamentos_base!A:K,8,"FALSO"))</f>
        <v>0</v>
      </c>
      <c r="I355" s="326">
        <f>IF(A355="","",VLOOKUP(A355,Equipamentos_base!A:K,9,"FALSO"))</f>
        <v>26.5829</v>
      </c>
      <c r="J355" s="327" t="s">
        <v>932</v>
      </c>
      <c r="K355" s="327" t="s">
        <v>932</v>
      </c>
      <c r="L355" s="316" t="str">
        <f>IF(J355="","",VLOOKUP(A355,Equipamentos_base!A:K,10,"FALSO"))</f>
        <v/>
      </c>
      <c r="M355" s="316" t="str">
        <f>IF(J355="","",VLOOKUP(A355,Equipamentos_base!A:K,11,"FALSO"))</f>
        <v/>
      </c>
    </row>
    <row r="356" s="316" customFormat="1" ht="30" hidden="1" spans="1:13">
      <c r="A356" s="324" t="s">
        <v>16091</v>
      </c>
      <c r="B356" s="325" t="str">
        <f>IF(A356="","",VLOOKUP(A356,Equipamentos_base!A:K,2,"FALSO"))</f>
        <v>Plataforma pantográfica montada em caminhão com capacidade de carga de 600 kg - 120 kW</v>
      </c>
      <c r="C356" s="326">
        <f>IF(A356="","",VLOOKUP(A356,Equipamentos_base!A:K,3,"FALSO"))</f>
        <v>0</v>
      </c>
      <c r="D356" s="326">
        <f>IF(A356="","",VLOOKUP(A356,Equipamentos_base!A:K,4,"FALSO"))</f>
        <v>0</v>
      </c>
      <c r="E356" s="326">
        <f>IF(A356="","",VLOOKUP(A356,Equipamentos_base!A:K,5,"FALSO"))</f>
        <v>0</v>
      </c>
      <c r="F356" s="326">
        <f>IF(A356="","",VLOOKUP(A356,Equipamentos_base!A:K,6,"FALSO"))</f>
        <v>0</v>
      </c>
      <c r="G356" s="326">
        <f>IF(A356="","",VLOOKUP(A356,Equipamentos_base!A:K,7,"FALSO"))</f>
        <v>0</v>
      </c>
      <c r="H356" s="326">
        <f>IF(A356="","",VLOOKUP(A356,Equipamentos_base!A:K,8,"FALSO"))</f>
        <v>0</v>
      </c>
      <c r="I356" s="326">
        <f>IF(A356="","",VLOOKUP(A356,Equipamentos_base!A:K,9,"FALSO"))</f>
        <v>0</v>
      </c>
      <c r="J356" s="327" t="s">
        <v>932</v>
      </c>
      <c r="K356" s="327" t="s">
        <v>932</v>
      </c>
      <c r="L356" s="316" t="str">
        <f>IF(J356="","",VLOOKUP(A356,Equipamentos_base!A:K,10,"FALSO"))</f>
        <v/>
      </c>
      <c r="M356" s="316" t="str">
        <f>IF(J356="","",VLOOKUP(A356,Equipamentos_base!A:K,11,"FALSO"))</f>
        <v/>
      </c>
    </row>
    <row r="357" s="316" customFormat="1" hidden="1" spans="1:13">
      <c r="A357" s="324" t="s">
        <v>16092</v>
      </c>
      <c r="B357" s="325" t="str">
        <f>IF(A357="","",VLOOKUP(A357,Equipamentos_base!A:K,2,"FALSO"))</f>
        <v>Plataforma autopropelida com alcance de 12 m com capacidade de 700 kg - 24 kW</v>
      </c>
      <c r="C357" s="326">
        <f>IF(A357="","",VLOOKUP(A357,Equipamentos_base!A:K,3,"FALSO"))</f>
        <v>661148.8018</v>
      </c>
      <c r="D357" s="326">
        <f>IF(A357="","",VLOOKUP(A357,Equipamentos_base!A:K,4,"FALSO"))</f>
        <v>66.1149</v>
      </c>
      <c r="E357" s="326">
        <f>IF(A357="","",VLOOKUP(A357,Equipamentos_base!A:K,5,"FALSO"))</f>
        <v>12.7478</v>
      </c>
      <c r="F357" s="326">
        <f>IF(A357="","",VLOOKUP(A357,Equipamentos_base!A:K,6,"FALSO"))</f>
        <v>0</v>
      </c>
      <c r="G357" s="326">
        <f>IF(A357="","",VLOOKUP(A357,Equipamentos_base!A:K,7,"FALSO"))</f>
        <v>66.1149</v>
      </c>
      <c r="H357" s="326">
        <f>IF(A357="","",VLOOKUP(A357,Equipamentos_base!A:K,8,"FALSO"))</f>
        <v>19.944</v>
      </c>
      <c r="I357" s="326">
        <f>IF(A357="","",VLOOKUP(A357,Equipamentos_base!A:K,9,"FALSO"))</f>
        <v>26.5829</v>
      </c>
      <c r="J357" s="327" t="s">
        <v>932</v>
      </c>
      <c r="K357" s="327" t="s">
        <v>932</v>
      </c>
      <c r="L357" s="316" t="str">
        <f>IF(J357="","",VLOOKUP(A357,Equipamentos_base!A:K,10,"FALSO"))</f>
        <v/>
      </c>
      <c r="M357" s="316" t="str">
        <f>IF(J357="","",VLOOKUP(A357,Equipamentos_base!A:K,11,"FALSO"))</f>
        <v/>
      </c>
    </row>
    <row r="358" s="316" customFormat="1" hidden="1" spans="1:13">
      <c r="A358" s="324" t="s">
        <v>16093</v>
      </c>
      <c r="B358" s="325" t="str">
        <f>IF(A358="","",VLOOKUP(A358,Equipamentos_base!A:K,2,"FALSO"))</f>
        <v>Guindaste móvel sobre pneus com 2 eixos com capacidade máxima de 55 t - 186 kW</v>
      </c>
      <c r="C358" s="326">
        <f>IF(A358="","",VLOOKUP(A358,Equipamentos_base!A:K,3,"FALSO"))</f>
        <v>2988955.9389</v>
      </c>
      <c r="D358" s="326">
        <f>IF(A358="","",VLOOKUP(A358,Equipamentos_base!A:K,4,"FALSO"))</f>
        <v>149.4478</v>
      </c>
      <c r="E358" s="326">
        <f>IF(A358="","",VLOOKUP(A358,Equipamentos_base!A:K,5,"FALSO"))</f>
        <v>52.691</v>
      </c>
      <c r="F358" s="326">
        <f>IF(A358="","",VLOOKUP(A358,Equipamentos_base!A:K,6,"FALSO"))</f>
        <v>21.3497</v>
      </c>
      <c r="G358" s="326">
        <f>IF(A358="","",VLOOKUP(A358,Equipamentos_base!A:K,7,"FALSO"))</f>
        <v>192.1472</v>
      </c>
      <c r="H358" s="326">
        <f>IF(A358="","",VLOOKUP(A358,Equipamentos_base!A:K,8,"FALSO"))</f>
        <v>51.522</v>
      </c>
      <c r="I358" s="326">
        <f>IF(A358="","",VLOOKUP(A358,Equipamentos_base!A:K,9,"FALSO"))</f>
        <v>38.1454</v>
      </c>
      <c r="J358" s="327" t="s">
        <v>932</v>
      </c>
      <c r="K358" s="327" t="s">
        <v>932</v>
      </c>
      <c r="L358" s="316" t="str">
        <f>IF(J358="","",VLOOKUP(A358,Equipamentos_base!A:K,10,"FALSO"))</f>
        <v/>
      </c>
      <c r="M358" s="316" t="str">
        <f>IF(J358="","",VLOOKUP(A358,Equipamentos_base!A:K,11,"FALSO"))</f>
        <v/>
      </c>
    </row>
    <row r="359" s="316" customFormat="1" ht="30" hidden="1" spans="1:13">
      <c r="A359" s="324" t="s">
        <v>16094</v>
      </c>
      <c r="B359" s="325" t="str">
        <f>IF(A359="","",VLOOKUP(A359,Equipamentos_base!A:K,2,"FALSO"))</f>
        <v>Bomba para concreto com lança montada sobre chassi com capacidade de 50 m³/h - 136 kW</v>
      </c>
      <c r="C359" s="326">
        <f>IF(A359="","",VLOOKUP(A359,Equipamentos_base!A:K,3,"FALSO"))</f>
        <v>0</v>
      </c>
      <c r="D359" s="326">
        <f>IF(A359="","",VLOOKUP(A359,Equipamentos_base!A:K,4,"FALSO"))</f>
        <v>0</v>
      </c>
      <c r="E359" s="326">
        <f>IF(A359="","",VLOOKUP(A359,Equipamentos_base!A:K,5,"FALSO"))</f>
        <v>0</v>
      </c>
      <c r="F359" s="326">
        <f>IF(A359="","",VLOOKUP(A359,Equipamentos_base!A:K,6,"FALSO"))</f>
        <v>0</v>
      </c>
      <c r="G359" s="326">
        <f>IF(A359="","",VLOOKUP(A359,Equipamentos_base!A:K,7,"FALSO"))</f>
        <v>0</v>
      </c>
      <c r="H359" s="326">
        <f>IF(A359="","",VLOOKUP(A359,Equipamentos_base!A:K,8,"FALSO"))</f>
        <v>0</v>
      </c>
      <c r="I359" s="326">
        <f>IF(A359="","",VLOOKUP(A359,Equipamentos_base!A:K,9,"FALSO"))</f>
        <v>0</v>
      </c>
      <c r="J359" s="327" t="s">
        <v>932</v>
      </c>
      <c r="K359" s="327" t="s">
        <v>932</v>
      </c>
      <c r="L359" s="316" t="str">
        <f>IF(J359="","",VLOOKUP(A359,Equipamentos_base!A:K,10,"FALSO"))</f>
        <v/>
      </c>
      <c r="M359" s="316" t="str">
        <f>IF(J359="","",VLOOKUP(A359,Equipamentos_base!A:K,11,"FALSO"))</f>
        <v/>
      </c>
    </row>
    <row r="360" s="316" customFormat="1" hidden="1" spans="1:13">
      <c r="A360" s="324" t="s">
        <v>16095</v>
      </c>
      <c r="B360" s="325" t="str">
        <f>IF(A360="","",VLOOKUP(A360,Equipamentos_base!A:K,2,"FALSO"))</f>
        <v>Misturador de argamassa com capacidade de 0,250 m³ - 3,70 kW</v>
      </c>
      <c r="C360" s="326">
        <f>IF(A360="","",VLOOKUP(A360,Equipamentos_base!A:K,3,"FALSO"))</f>
        <v>25105.7727</v>
      </c>
      <c r="D360" s="326">
        <f>IF(A360="","",VLOOKUP(A360,Equipamentos_base!A:K,4,"FALSO"))</f>
        <v>4.0169</v>
      </c>
      <c r="E360" s="326">
        <f>IF(A360="","",VLOOKUP(A360,Equipamentos_base!A:K,5,"FALSO"))</f>
        <v>0.5422</v>
      </c>
      <c r="F360" s="326">
        <f>IF(A360="","",VLOOKUP(A360,Equipamentos_base!A:K,6,"FALSO"))</f>
        <v>0</v>
      </c>
      <c r="G360" s="326">
        <f>IF(A360="","",VLOOKUP(A360,Equipamentos_base!A:K,7,"FALSO"))</f>
        <v>4.0169</v>
      </c>
      <c r="H360" s="326">
        <f>IF(A360="","",VLOOKUP(A360,Equipamentos_base!A:K,8,"FALSO"))</f>
        <v>3.8946</v>
      </c>
      <c r="I360" s="326">
        <f>IF(A360="","",VLOOKUP(A360,Equipamentos_base!A:K,9,"FALSO"))</f>
        <v>26.5829</v>
      </c>
      <c r="J360" s="327" t="s">
        <v>932</v>
      </c>
      <c r="K360" s="327" t="s">
        <v>932</v>
      </c>
      <c r="L360" s="316" t="str">
        <f>IF(J360="","",VLOOKUP(A360,Equipamentos_base!A:K,10,"FALSO"))</f>
        <v/>
      </c>
      <c r="M360" s="316" t="str">
        <f>IF(J360="","",VLOOKUP(A360,Equipamentos_base!A:K,11,"FALSO"))</f>
        <v/>
      </c>
    </row>
    <row r="361" s="316" customFormat="1" hidden="1" spans="1:13">
      <c r="A361" s="324" t="s">
        <v>16096</v>
      </c>
      <c r="B361" s="325" t="str">
        <f>IF(A361="","",VLOOKUP(A361,Equipamentos_base!A:K,2,"FALSO"))</f>
        <v>Carro manual modelo plataforma de 150 x 80 cm com capacidade de 800 kg</v>
      </c>
      <c r="C361" s="326">
        <f>IF(A361="","",VLOOKUP(A361,Equipamentos_base!A:K,3,"FALSO"))</f>
        <v>1461.3485</v>
      </c>
      <c r="D361" s="326">
        <f>IF(A361="","",VLOOKUP(A361,Equipamentos_base!A:K,4,"FALSO"))</f>
        <v>0.263</v>
      </c>
      <c r="E361" s="326">
        <f>IF(A361="","",VLOOKUP(A361,Equipamentos_base!A:K,5,"FALSO"))</f>
        <v>0.0316</v>
      </c>
      <c r="F361" s="326">
        <f>IF(A361="","",VLOOKUP(A361,Equipamentos_base!A:K,6,"FALSO"))</f>
        <v>0</v>
      </c>
      <c r="G361" s="326">
        <f>IF(A361="","",VLOOKUP(A361,Equipamentos_base!A:K,7,"FALSO"))</f>
        <v>0.1461</v>
      </c>
      <c r="H361" s="326">
        <f>IF(A361="","",VLOOKUP(A361,Equipamentos_base!A:K,8,"FALSO"))</f>
        <v>0</v>
      </c>
      <c r="I361" s="326">
        <f>IF(A361="","",VLOOKUP(A361,Equipamentos_base!A:K,9,"FALSO"))</f>
        <v>0</v>
      </c>
      <c r="J361" s="327" t="s">
        <v>932</v>
      </c>
      <c r="K361" s="327" t="s">
        <v>932</v>
      </c>
      <c r="L361" s="316" t="str">
        <f>IF(J361="","",VLOOKUP(A361,Equipamentos_base!A:K,10,"FALSO"))</f>
        <v/>
      </c>
      <c r="M361" s="316" t="str">
        <f>IF(J361="","",VLOOKUP(A361,Equipamentos_base!A:K,11,"FALSO"))</f>
        <v/>
      </c>
    </row>
    <row r="362" s="316" customFormat="1" hidden="1" spans="1:13">
      <c r="A362" s="324" t="s">
        <v>16097</v>
      </c>
      <c r="B362" s="325" t="str">
        <f>IF(A362="","",VLOOKUP(A362,Equipamentos_base!A:K,2,"FALSO"))</f>
        <v>Bomba para concreto projetado via úmida com capacidade de 10 m³/h - 14,70 kW</v>
      </c>
      <c r="C362" s="326">
        <f>IF(A362="","",VLOOKUP(A362,Equipamentos_base!A:K,3,"FALSO"))</f>
        <v>407215.6903</v>
      </c>
      <c r="D362" s="326">
        <f>IF(A362="","",VLOOKUP(A362,Equipamentos_base!A:K,4,"FALSO"))</f>
        <v>46.5389</v>
      </c>
      <c r="E362" s="326">
        <f>IF(A362="","",VLOOKUP(A362,Equipamentos_base!A:K,5,"FALSO"))</f>
        <v>8.076</v>
      </c>
      <c r="F362" s="326">
        <f>IF(A362="","",VLOOKUP(A362,Equipamentos_base!A:K,6,"FALSO"))</f>
        <v>0</v>
      </c>
      <c r="G362" s="326">
        <f>IF(A362="","",VLOOKUP(A362,Equipamentos_base!A:K,7,"FALSO"))</f>
        <v>46.5389</v>
      </c>
      <c r="H362" s="326">
        <f>IF(A362="","",VLOOKUP(A362,Equipamentos_base!A:K,8,"FALSO"))</f>
        <v>15.4732</v>
      </c>
      <c r="I362" s="326">
        <f>IF(A362="","",VLOOKUP(A362,Equipamentos_base!A:K,9,"FALSO"))</f>
        <v>45.2393</v>
      </c>
      <c r="J362" s="327" t="s">
        <v>932</v>
      </c>
      <c r="K362" s="327" t="s">
        <v>932</v>
      </c>
      <c r="L362" s="316" t="str">
        <f>IF(J362="","",VLOOKUP(A362,Equipamentos_base!A:K,10,"FALSO"))</f>
        <v/>
      </c>
      <c r="M362" s="316" t="str">
        <f>IF(J362="","",VLOOKUP(A362,Equipamentos_base!A:K,11,"FALSO"))</f>
        <v/>
      </c>
    </row>
    <row r="363" s="316" customFormat="1" hidden="1" spans="1:13">
      <c r="A363" s="324" t="s">
        <v>16098</v>
      </c>
      <c r="B363" s="325" t="str">
        <f>IF(A363="","",VLOOKUP(A363,Equipamentos_base!A:K,2,"FALSO"))</f>
        <v>Caminhão para hidrossemeadura com capacidade de 7.500 l - 77,2 kW/235 kW</v>
      </c>
      <c r="C363" s="326">
        <f>IF(A363="","",VLOOKUP(A363,Equipamentos_base!A:K,3,"FALSO"))</f>
        <v>0</v>
      </c>
      <c r="D363" s="326">
        <f>IF(A363="","",VLOOKUP(A363,Equipamentos_base!A:K,4,"FALSO"))</f>
        <v>0</v>
      </c>
      <c r="E363" s="326">
        <f>IF(A363="","",VLOOKUP(A363,Equipamentos_base!A:K,5,"FALSO"))</f>
        <v>0</v>
      </c>
      <c r="F363" s="326">
        <f>IF(A363="","",VLOOKUP(A363,Equipamentos_base!A:K,6,"FALSO"))</f>
        <v>0</v>
      </c>
      <c r="G363" s="326">
        <f>IF(A363="","",VLOOKUP(A363,Equipamentos_base!A:K,7,"FALSO"))</f>
        <v>0</v>
      </c>
      <c r="H363" s="326">
        <f>IF(A363="","",VLOOKUP(A363,Equipamentos_base!A:K,8,"FALSO"))</f>
        <v>0</v>
      </c>
      <c r="I363" s="326">
        <f>IF(A363="","",VLOOKUP(A363,Equipamentos_base!A:K,9,"FALSO"))</f>
        <v>0</v>
      </c>
      <c r="J363" s="327" t="s">
        <v>932</v>
      </c>
      <c r="K363" s="327" t="s">
        <v>932</v>
      </c>
      <c r="L363" s="316" t="str">
        <f>IF(J363="","",VLOOKUP(A363,Equipamentos_base!A:K,10,"FALSO"))</f>
        <v/>
      </c>
      <c r="M363" s="316" t="str">
        <f>IF(J363="","",VLOOKUP(A363,Equipamentos_base!A:K,11,"FALSO"))</f>
        <v/>
      </c>
    </row>
    <row r="364" s="316" customFormat="1" ht="30" hidden="1" spans="1:13">
      <c r="A364" s="324" t="s">
        <v>16099</v>
      </c>
      <c r="B364" s="325" t="str">
        <f>IF(A364="","",VLOOKUP(A364,Equipamentos_base!A:K,2,"FALSO"))</f>
        <v>Robot para concreto projetado com capacidade de 30 m³/h - 70 kW - com compressor diesel</v>
      </c>
      <c r="C364" s="326">
        <f>IF(A364="","",VLOOKUP(A364,Equipamentos_base!A:K,3,"FALSO"))</f>
        <v>5529028.3639</v>
      </c>
      <c r="D364" s="326">
        <f>IF(A364="","",VLOOKUP(A364,Equipamentos_base!A:K,4,"FALSO"))</f>
        <v>631.889</v>
      </c>
      <c r="E364" s="326">
        <f>IF(A364="","",VLOOKUP(A364,Equipamentos_base!A:K,5,"FALSO"))</f>
        <v>109.6525</v>
      </c>
      <c r="F364" s="326">
        <f>IF(A364="","",VLOOKUP(A364,Equipamentos_base!A:K,6,"FALSO"))</f>
        <v>0</v>
      </c>
      <c r="G364" s="326">
        <f>IF(A364="","",VLOOKUP(A364,Equipamentos_base!A:K,7,"FALSO"))</f>
        <v>631.889</v>
      </c>
      <c r="H364" s="326">
        <f>IF(A364="","",VLOOKUP(A364,Equipamentos_base!A:K,8,"FALSO"))</f>
        <v>73.682</v>
      </c>
      <c r="I364" s="326">
        <f>IF(A364="","",VLOOKUP(A364,Equipamentos_base!A:K,9,"FALSO"))</f>
        <v>45.2393</v>
      </c>
      <c r="J364" s="327" t="s">
        <v>932</v>
      </c>
      <c r="K364" s="327" t="s">
        <v>932</v>
      </c>
      <c r="L364" s="316" t="str">
        <f>IF(J364="","",VLOOKUP(A364,Equipamentos_base!A:K,10,"FALSO"))</f>
        <v/>
      </c>
      <c r="M364" s="316" t="str">
        <f>IF(J364="","",VLOOKUP(A364,Equipamentos_base!A:K,11,"FALSO"))</f>
        <v/>
      </c>
    </row>
    <row r="365" s="316" customFormat="1" ht="30" hidden="1" spans="1:13">
      <c r="A365" s="324" t="s">
        <v>16100</v>
      </c>
      <c r="B365" s="325" t="str">
        <f>IF(A365="","",VLOOKUP(A365,Equipamentos_base!A:K,2,"FALSO"))</f>
        <v>Perfuratriz de superfície sobre pneus com martelo de topo e controle remoto via rádio - 60 kW</v>
      </c>
      <c r="C365" s="326">
        <f>IF(A365="","",VLOOKUP(A365,Equipamentos_base!A:K,3,"FALSO"))</f>
        <v>2258063.8439</v>
      </c>
      <c r="D365" s="326">
        <f>IF(A365="","",VLOOKUP(A365,Equipamentos_base!A:K,4,"FALSO"))</f>
        <v>180.6451</v>
      </c>
      <c r="E365" s="326">
        <f>IF(A365="","",VLOOKUP(A365,Equipamentos_base!A:K,5,"FALSO"))</f>
        <v>41.7968</v>
      </c>
      <c r="F365" s="326">
        <f>IF(A365="","",VLOOKUP(A365,Equipamentos_base!A:K,6,"FALSO"))</f>
        <v>0</v>
      </c>
      <c r="G365" s="326">
        <f>IF(A365="","",VLOOKUP(A365,Equipamentos_base!A:K,7,"FALSO"))</f>
        <v>180.6451</v>
      </c>
      <c r="H365" s="326">
        <f>IF(A365="","",VLOOKUP(A365,Equipamentos_base!A:K,8,"FALSO"))</f>
        <v>49.86</v>
      </c>
      <c r="I365" s="326">
        <f>IF(A365="","",VLOOKUP(A365,Equipamentos_base!A:K,9,"FALSO"))</f>
        <v>33.7544</v>
      </c>
      <c r="J365" s="327" t="s">
        <v>932</v>
      </c>
      <c r="K365" s="327" t="s">
        <v>932</v>
      </c>
      <c r="L365" s="316" t="str">
        <f>IF(J365="","",VLOOKUP(A365,Equipamentos_base!A:K,10,"FALSO"))</f>
        <v/>
      </c>
      <c r="M365" s="316" t="str">
        <f>IF(J365="","",VLOOKUP(A365,Equipamentos_base!A:K,11,"FALSO"))</f>
        <v/>
      </c>
    </row>
    <row r="366" s="316" customFormat="1" hidden="1" spans="1:13">
      <c r="A366" s="324" t="s">
        <v>16101</v>
      </c>
      <c r="B366" s="325" t="str">
        <f>IF(A366="","",VLOOKUP(A366,Equipamentos_base!A:K,2,"FALSO"))</f>
        <v>Jumbo eletro-hidráulico com 3 braços - 155 kW/237 kW</v>
      </c>
      <c r="C366" s="326">
        <f>IF(A366="","",VLOOKUP(A366,Equipamentos_base!A:K,3,"FALSO"))</f>
        <v>14377852.8738</v>
      </c>
      <c r="D366" s="326">
        <f>IF(A366="","",VLOOKUP(A366,Equipamentos_base!A:K,4,"FALSO"))</f>
        <v>821.5916</v>
      </c>
      <c r="E366" s="326">
        <f>IF(A366="","",VLOOKUP(A366,Equipamentos_base!A:K,5,"FALSO"))</f>
        <v>253.461</v>
      </c>
      <c r="F366" s="326">
        <f>IF(A366="","",VLOOKUP(A366,Equipamentos_base!A:K,6,"FALSO"))</f>
        <v>0</v>
      </c>
      <c r="G366" s="326">
        <f>IF(A366="","",VLOOKUP(A366,Equipamentos_base!A:K,7,"FALSO"))</f>
        <v>1026.9895</v>
      </c>
      <c r="H366" s="326">
        <f>IF(A366="","",VLOOKUP(A366,Equipamentos_base!A:K,8,"FALSO"))</f>
        <v>180.327</v>
      </c>
      <c r="I366" s="326">
        <f>IF(A366="","",VLOOKUP(A366,Equipamentos_base!A:K,9,"FALSO"))</f>
        <v>45.2393</v>
      </c>
      <c r="J366" s="327" t="s">
        <v>932</v>
      </c>
      <c r="K366" s="327" t="s">
        <v>932</v>
      </c>
      <c r="L366" s="316" t="str">
        <f>IF(J366="","",VLOOKUP(A366,Equipamentos_base!A:K,10,"FALSO"))</f>
        <v/>
      </c>
      <c r="M366" s="316" t="str">
        <f>IF(J366="","",VLOOKUP(A366,Equipamentos_base!A:K,11,"FALSO"))</f>
        <v/>
      </c>
    </row>
    <row r="367" s="316" customFormat="1" hidden="1" spans="1:13">
      <c r="A367" s="324" t="s">
        <v>16102</v>
      </c>
      <c r="B367" s="325" t="str">
        <f>IF(A367="","",VLOOKUP(A367,Equipamentos_base!A:K,2,"FALSO"))</f>
        <v>Perfuratriz hidráulica rotopercussiva - 123 kW</v>
      </c>
      <c r="C367" s="326">
        <f>IF(A367="","",VLOOKUP(A367,Equipamentos_base!A:K,3,"FALSO"))</f>
        <v>2430376.9498</v>
      </c>
      <c r="D367" s="326">
        <f>IF(A367="","",VLOOKUP(A367,Equipamentos_base!A:K,4,"FALSO"))</f>
        <v>194.4302</v>
      </c>
      <c r="E367" s="326">
        <f>IF(A367="","",VLOOKUP(A367,Equipamentos_base!A:K,5,"FALSO"))</f>
        <v>44.9863</v>
      </c>
      <c r="F367" s="326">
        <f>IF(A367="","",VLOOKUP(A367,Equipamentos_base!A:K,6,"FALSO"))</f>
        <v>0</v>
      </c>
      <c r="G367" s="326">
        <f>IF(A367="","",VLOOKUP(A367,Equipamentos_base!A:K,7,"FALSO"))</f>
        <v>194.4302</v>
      </c>
      <c r="H367" s="326">
        <f>IF(A367="","",VLOOKUP(A367,Equipamentos_base!A:K,8,"FALSO"))</f>
        <v>102.213</v>
      </c>
      <c r="I367" s="326">
        <f>IF(A367="","",VLOOKUP(A367,Equipamentos_base!A:K,9,"FALSO"))</f>
        <v>33.7544</v>
      </c>
      <c r="J367" s="327" t="s">
        <v>932</v>
      </c>
      <c r="K367" s="327" t="s">
        <v>932</v>
      </c>
      <c r="L367" s="316" t="str">
        <f>IF(J367="","",VLOOKUP(A367,Equipamentos_base!A:K,10,"FALSO"))</f>
        <v/>
      </c>
      <c r="M367" s="316" t="str">
        <f>IF(J367="","",VLOOKUP(A367,Equipamentos_base!A:K,11,"FALSO"))</f>
        <v/>
      </c>
    </row>
  </sheetData>
  <autoFilter xmlns:etc="http://www.wps.cn/officeDocument/2017/etCustomData" ref="A4:M367" etc:filterBottomFollowUsedRange="0">
    <filterColumn colId="9">
      <customFilters>
        <customFilter operator="notEqual" val=""/>
      </customFilters>
    </filterColumn>
    <extLst/>
  </autoFilter>
  <conditionalFormatting sqref="J5:K13;J368:K1048576">
    <cfRule type="cellIs" dxfId="2" priority="4" operator="greaterThan">
      <formula>0</formula>
    </cfRule>
  </conditionalFormatting>
  <printOptions horizontalCentered="1"/>
  <pageMargins left="0.393700787401575" right="0.393700787401575" top="0.393700787401575" bottom="0.590551181102362" header="0" footer="0.118110236220472"/>
  <pageSetup paperSize="9" scale="78" fitToHeight="2" orientation="portrait"/>
  <headerFooter>
    <oddFooter>&amp;L&amp;G&amp;R&amp;9Projeto Executivo de Engenharia, Estudos e
Orçamentos para a Construção de Ponte Rodoviária
em Concreto Armado - Rodovia Vicinal</oddFooter>
  </headerFooter>
  <colBreaks count="1" manualBreakCount="1">
    <brk id="11" max="1048575" man="1"/>
  </colBreaks>
  <drawing r:id="rId1"/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B4:H88"/>
  <sheetViews>
    <sheetView showGridLines="0" view="pageBreakPreview" zoomScaleNormal="100" workbookViewId="0">
      <selection activeCell="A1" sqref="A1"/>
    </sheetView>
  </sheetViews>
  <sheetFormatPr defaultColWidth="9.1047619047619" defaultRowHeight="15" outlineLevelCol="7"/>
  <cols>
    <col min="1" max="1" width="3.66666666666667" customWidth="1"/>
    <col min="2" max="2" width="14" customWidth="1"/>
    <col min="3" max="3" width="30" customWidth="1"/>
    <col min="4" max="4" width="14" customWidth="1"/>
    <col min="5" max="5" width="3.66666666666667" customWidth="1"/>
    <col min="6" max="6" width="14" customWidth="1"/>
    <col min="7" max="7" width="30" customWidth="1"/>
    <col min="8" max="8" width="14" customWidth="1"/>
    <col min="9" max="9" width="3.66666666666667" customWidth="1"/>
  </cols>
  <sheetData>
    <row r="4" ht="25.5" customHeight="1" spans="2:8">
      <c r="B4" s="300" t="s">
        <v>16103</v>
      </c>
      <c r="C4" s="300"/>
      <c r="D4" s="300"/>
      <c r="F4" s="301" t="s">
        <v>16104</v>
      </c>
      <c r="G4" s="301"/>
      <c r="H4" s="301"/>
    </row>
    <row r="5" ht="6" customHeight="1" spans="2:8">
      <c r="B5" s="302"/>
      <c r="C5" s="302"/>
      <c r="D5" s="302"/>
      <c r="F5" s="302"/>
      <c r="G5" s="302"/>
      <c r="H5" s="302"/>
    </row>
    <row r="6" ht="12" customHeight="1" spans="2:8">
      <c r="B6" s="303" t="str">
        <f>CONCATENATE("Materiais - ",D22,"%")</f>
        <v>Materiais - 15,27%</v>
      </c>
      <c r="C6" s="303"/>
      <c r="D6" s="303"/>
      <c r="F6" s="303" t="str">
        <f>CONCATENATE("Serviços - ",H22,"%")</f>
        <v>Serviços - 23,91%</v>
      </c>
      <c r="G6" s="303"/>
      <c r="H6" s="303"/>
    </row>
    <row r="7" ht="12.6" customHeight="1" spans="2:8">
      <c r="B7" s="303" t="s">
        <v>16105</v>
      </c>
      <c r="C7" s="303"/>
      <c r="D7" s="303"/>
      <c r="F7" s="303" t="s">
        <v>16105</v>
      </c>
      <c r="G7" s="303"/>
      <c r="H7" s="303"/>
    </row>
    <row r="8" ht="6" customHeight="1"/>
    <row r="9" customHeight="1" spans="2:8">
      <c r="B9" s="304" t="s">
        <v>16106</v>
      </c>
      <c r="C9" s="304" t="s">
        <v>16107</v>
      </c>
      <c r="D9" s="304" t="s">
        <v>16108</v>
      </c>
      <c r="E9" s="305"/>
      <c r="F9" s="304" t="s">
        <v>16106</v>
      </c>
      <c r="G9" s="304" t="s">
        <v>16107</v>
      </c>
      <c r="H9" s="304" t="s">
        <v>16108</v>
      </c>
    </row>
    <row r="10" spans="2:8">
      <c r="B10" s="304"/>
      <c r="C10" s="304"/>
      <c r="D10" s="304"/>
      <c r="E10" s="305"/>
      <c r="F10" s="304"/>
      <c r="G10" s="304"/>
      <c r="H10" s="304"/>
    </row>
    <row r="11" spans="2:8">
      <c r="B11" s="306" t="s">
        <v>16109</v>
      </c>
      <c r="C11" s="307" t="s">
        <v>16110</v>
      </c>
      <c r="D11" s="308">
        <v>0.48</v>
      </c>
      <c r="E11" s="305"/>
      <c r="F11" s="306" t="s">
        <v>16109</v>
      </c>
      <c r="G11" s="307" t="s">
        <v>16110</v>
      </c>
      <c r="H11" s="308">
        <v>0.32</v>
      </c>
    </row>
    <row r="12" spans="2:8">
      <c r="B12" s="306"/>
      <c r="C12" s="307" t="s">
        <v>16111</v>
      </c>
      <c r="D12" s="308">
        <v>0.85</v>
      </c>
      <c r="E12" s="305"/>
      <c r="F12" s="306"/>
      <c r="G12" s="307" t="s">
        <v>16111</v>
      </c>
      <c r="H12" s="308">
        <v>0.5</v>
      </c>
    </row>
    <row r="13" hidden="1" spans="2:8">
      <c r="B13" s="306"/>
      <c r="C13" s="309" t="s">
        <v>16112</v>
      </c>
      <c r="D13" s="310">
        <f>SUM(D11:D12)</f>
        <v>1.33</v>
      </c>
      <c r="E13" s="305"/>
      <c r="F13" s="306"/>
      <c r="G13" s="309" t="s">
        <v>16112</v>
      </c>
      <c r="H13" s="310">
        <f>SUM(H11:H12)</f>
        <v>0.82</v>
      </c>
    </row>
    <row r="14" spans="2:8">
      <c r="B14" s="311" t="s">
        <v>16113</v>
      </c>
      <c r="C14" s="309" t="s">
        <v>16114</v>
      </c>
      <c r="D14" s="310">
        <v>0.85</v>
      </c>
      <c r="E14" s="305"/>
      <c r="F14" s="311" t="s">
        <v>16113</v>
      </c>
      <c r="G14" s="309" t="s">
        <v>16114</v>
      </c>
      <c r="H14" s="310">
        <v>1.02</v>
      </c>
    </row>
    <row r="15" spans="2:8">
      <c r="B15" s="311" t="s">
        <v>16115</v>
      </c>
      <c r="C15" s="309" t="s">
        <v>16116</v>
      </c>
      <c r="D15" s="310">
        <v>3.45</v>
      </c>
      <c r="E15" s="305"/>
      <c r="F15" s="311" t="s">
        <v>16115</v>
      </c>
      <c r="G15" s="309" t="s">
        <v>16116</v>
      </c>
      <c r="H15" s="310">
        <v>3.8</v>
      </c>
    </row>
    <row r="16" spans="2:8">
      <c r="B16" s="311" t="s">
        <v>16117</v>
      </c>
      <c r="C16" s="309" t="s">
        <v>16118</v>
      </c>
      <c r="D16" s="310">
        <v>5.11</v>
      </c>
      <c r="E16" s="305"/>
      <c r="F16" s="311" t="s">
        <v>16117</v>
      </c>
      <c r="G16" s="309" t="s">
        <v>16118</v>
      </c>
      <c r="H16" s="310">
        <v>7.1</v>
      </c>
    </row>
    <row r="17" spans="2:8">
      <c r="B17" s="306" t="s">
        <v>16119</v>
      </c>
      <c r="C17" s="307" t="s">
        <v>16120</v>
      </c>
      <c r="D17" s="308">
        <v>0.65</v>
      </c>
      <c r="E17" s="305"/>
      <c r="F17" s="306" t="s">
        <v>16119</v>
      </c>
      <c r="G17" s="307" t="s">
        <v>16120</v>
      </c>
      <c r="H17" s="308">
        <v>0.65</v>
      </c>
    </row>
    <row r="18" spans="2:8">
      <c r="B18" s="306"/>
      <c r="C18" s="307" t="s">
        <v>16121</v>
      </c>
      <c r="D18" s="308">
        <v>3</v>
      </c>
      <c r="F18" s="306"/>
      <c r="G18" s="307" t="s">
        <v>16121</v>
      </c>
      <c r="H18" s="308">
        <v>3</v>
      </c>
    </row>
    <row r="19" spans="2:8">
      <c r="B19" s="306"/>
      <c r="C19" s="307" t="s">
        <v>16122</v>
      </c>
      <c r="D19" s="308">
        <v>0</v>
      </c>
      <c r="F19" s="306"/>
      <c r="G19" s="307" t="s">
        <v>16122</v>
      </c>
      <c r="H19" s="308">
        <v>5</v>
      </c>
    </row>
    <row r="20" spans="2:8">
      <c r="B20" s="306"/>
      <c r="C20" s="307" t="s">
        <v>16123</v>
      </c>
      <c r="D20" s="308">
        <v>0</v>
      </c>
      <c r="F20" s="306"/>
      <c r="G20" s="307" t="s">
        <v>16123</v>
      </c>
      <c r="H20" s="308">
        <v>0</v>
      </c>
    </row>
    <row r="21" spans="2:8">
      <c r="B21" s="306"/>
      <c r="C21" s="309" t="s">
        <v>16124</v>
      </c>
      <c r="D21" s="310">
        <f>SUM(D17:D20)</f>
        <v>3.65</v>
      </c>
      <c r="F21" s="306"/>
      <c r="G21" s="309" t="s">
        <v>16124</v>
      </c>
      <c r="H21" s="310">
        <f>SUM(H17:H20)</f>
        <v>8.65</v>
      </c>
    </row>
    <row r="22" spans="2:8">
      <c r="B22" s="312" t="s">
        <v>16125</v>
      </c>
      <c r="C22" s="313" t="s">
        <v>16126</v>
      </c>
      <c r="D22" s="314">
        <f>TRUNC((((((1+D15*0.01+D13*0.01)*(1+D14*0.01)*(1+D16*0.01))/(1-D21*0.01))-1)*100),2)</f>
        <v>15.27</v>
      </c>
      <c r="E22" s="305"/>
      <c r="F22" s="312" t="s">
        <v>16125</v>
      </c>
      <c r="G22" s="313" t="s">
        <v>16126</v>
      </c>
      <c r="H22" s="314">
        <f>ROUND((((((1+H15*0.01+H13*0.01)*(1+H14*0.01)*(1+H16*0.01))/(1-H21*0.01))-1)*100),2)</f>
        <v>23.91</v>
      </c>
    </row>
    <row r="29" spans="2:8">
      <c r="B29" s="315" t="s">
        <v>16127</v>
      </c>
      <c r="F29" s="315" t="s">
        <v>16127</v>
      </c>
    </row>
    <row r="30" spans="2:8">
      <c r="B30" s="315" t="s">
        <v>16128</v>
      </c>
      <c r="F30" s="315" t="s">
        <v>16128</v>
      </c>
    </row>
    <row r="31" spans="2:8">
      <c r="B31" s="315" t="s">
        <v>16129</v>
      </c>
      <c r="F31" s="315" t="s">
        <v>16129</v>
      </c>
    </row>
    <row r="32" spans="2:8">
      <c r="B32" s="315" t="s">
        <v>16130</v>
      </c>
      <c r="F32" s="315" t="s">
        <v>16130</v>
      </c>
    </row>
    <row r="33" spans="2:6">
      <c r="B33" s="315" t="s">
        <v>16131</v>
      </c>
      <c r="F33" s="315" t="s">
        <v>16131</v>
      </c>
    </row>
    <row r="34" spans="2:6">
      <c r="B34" s="315" t="s">
        <v>16132</v>
      </c>
      <c r="F34" s="315" t="s">
        <v>16132</v>
      </c>
    </row>
    <row r="39" ht="25.5" customHeight="1"/>
    <row r="42" spans="2:6">
      <c r="E42" s="305"/>
    </row>
    <row r="43" spans="2:6">
      <c r="E43" s="305"/>
    </row>
    <row r="44" spans="2:6">
      <c r="E44" s="305"/>
    </row>
    <row r="45" spans="2:6">
      <c r="E45" s="305"/>
    </row>
    <row r="46" spans="2:6">
      <c r="E46" s="305"/>
    </row>
    <row r="47" spans="2:6">
      <c r="E47" s="305"/>
    </row>
    <row r="48" spans="2:6">
      <c r="E48" s="305"/>
    </row>
    <row r="49" spans="5:5">
      <c r="E49" s="305"/>
    </row>
    <row r="50" spans="5:5">
      <c r="E50" s="305"/>
    </row>
    <row r="55" spans="5:5">
      <c r="E55" s="305"/>
    </row>
    <row r="68" spans="2:5">
      <c r="B68" s="315"/>
    </row>
    <row r="69" spans="2:5">
      <c r="B69" s="315"/>
    </row>
    <row r="70" spans="2:5">
      <c r="B70" s="315"/>
    </row>
    <row r="72" ht="25.5" customHeight="1"/>
    <row r="75" spans="2:5">
      <c r="E75" s="305"/>
    </row>
    <row r="76" spans="2:5">
      <c r="E76" s="305"/>
    </row>
    <row r="77" spans="2:5">
      <c r="E77" s="305"/>
    </row>
    <row r="78" spans="2:5">
      <c r="E78" s="305"/>
    </row>
    <row r="79" spans="2:5">
      <c r="E79" s="305"/>
    </row>
    <row r="80" spans="2:5">
      <c r="E80" s="305"/>
    </row>
    <row r="81" spans="5:5">
      <c r="E81" s="305"/>
    </row>
    <row r="82" spans="5:5">
      <c r="E82" s="305"/>
    </row>
    <row r="83" spans="5:5">
      <c r="E83" s="305"/>
    </row>
    <row r="88" spans="5:5">
      <c r="E88" s="305"/>
    </row>
  </sheetData>
  <mergeCells count="16">
    <mergeCell ref="B4:D4"/>
    <mergeCell ref="F4:H4"/>
    <mergeCell ref="B6:D6"/>
    <mergeCell ref="F6:H6"/>
    <mergeCell ref="B7:D7"/>
    <mergeCell ref="F7:H7"/>
    <mergeCell ref="B9:B10"/>
    <mergeCell ref="B11:B13"/>
    <mergeCell ref="B17:B21"/>
    <mergeCell ref="C9:C10"/>
    <mergeCell ref="D9:D10"/>
    <mergeCell ref="F9:F10"/>
    <mergeCell ref="F11:F13"/>
    <mergeCell ref="F17:F21"/>
    <mergeCell ref="G9:G10"/>
    <mergeCell ref="H9:H10"/>
  </mergeCells>
  <printOptions horizontalCentered="1"/>
  <pageMargins left="0.393700787401575" right="0.393700787401575" top="0.393700787401575" bottom="0.590551181102362" header="0" footer="0.118110236220472"/>
  <pageSetup paperSize="9" scale="75" orientation="portrait"/>
  <headerFooter>
    <oddFooter>&amp;L&amp;G&amp;R&amp;9Projeto Executivo de Engenharia, Estudos e
Orçamentos para a Construção de Ponte Rodoviária
em Concreto Armado - Rodovia Vicinal</oddFooter>
  </headerFooter>
  <drawing r:id="rId1"/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A1:BT63"/>
  <sheetViews>
    <sheetView showGridLines="0" view="pageBreakPreview" zoomScale="145" zoomScaleNormal="150" workbookViewId="0">
      <selection activeCell="A1" sqref="A1"/>
    </sheetView>
  </sheetViews>
  <sheetFormatPr defaultColWidth="9" defaultRowHeight="15"/>
  <cols>
    <col min="1" max="30" width="2.1047619047619" customWidth="1"/>
    <col min="31" max="33" width="2.33333333333333" customWidth="1"/>
    <col min="34" max="42" width="2.1047619047619" customWidth="1"/>
    <col min="43" max="45" width="2.33333333333333" customWidth="1"/>
    <col min="46" max="51" width="2.1047619047619" customWidth="1"/>
    <col min="52" max="54" width="2.1047619047619" style="38" customWidth="1"/>
    <col min="55" max="66" width="2.1047619047619" customWidth="1"/>
    <col min="67" max="69" width="2.33333333333333" customWidth="1"/>
    <col min="70" max="70" width="9.33333333333333" customWidth="1"/>
  </cols>
  <sheetData>
    <row r="1" s="29" customFormat="1" ht="12.6" customHeight="1" spans="1:69">
      <c r="AZ1" s="39"/>
      <c r="BA1" s="39"/>
      <c r="BB1" s="39"/>
    </row>
    <row r="2" s="29" customFormat="1" ht="12.6" customHeight="1" spans="1:69">
      <c r="AZ2" s="39"/>
      <c r="BA2" s="39"/>
      <c r="BB2" s="39"/>
    </row>
    <row r="3" s="29" customFormat="1" ht="12.6" customHeight="1" spans="1:69">
      <c r="AZ3" s="39"/>
      <c r="BA3" s="39"/>
      <c r="BB3" s="39"/>
    </row>
    <row r="4" spans="1:69">
      <c r="A4" s="40" t="s">
        <v>17</v>
      </c>
      <c r="B4" s="41"/>
      <c r="C4" s="41"/>
      <c r="D4" s="41"/>
      <c r="E4" s="41"/>
      <c r="F4" s="41"/>
      <c r="G4" s="41"/>
      <c r="H4" s="41"/>
      <c r="I4" s="42" t="str">
        <f>Dados!I4</f>
        <v>CONSTRUÇÃO DE PONTE RODOVIÁRIA EM CONCRETO ARMADO</v>
      </c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3"/>
    </row>
    <row r="5" spans="1:69">
      <c r="A5" s="44" t="str">
        <f>Dados!A5</f>
        <v>MUNICÍPIO:</v>
      </c>
      <c r="B5" s="45"/>
      <c r="C5" s="45"/>
      <c r="D5" s="45"/>
      <c r="E5" s="45"/>
      <c r="F5" s="45"/>
      <c r="G5" s="45"/>
      <c r="H5" s="45"/>
      <c r="I5" s="46" t="str">
        <f>Dados!I5</f>
        <v>DEODÁPOLIS/MS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7"/>
    </row>
    <row r="6" spans="1:69">
      <c r="A6" s="44" t="str">
        <f>Dados!A6</f>
        <v>RODOVIA/ESTRADA:</v>
      </c>
      <c r="B6" s="45"/>
      <c r="C6" s="45"/>
      <c r="D6" s="45"/>
      <c r="E6" s="45"/>
      <c r="F6" s="45"/>
      <c r="G6" s="45"/>
      <c r="H6" s="45"/>
      <c r="I6" s="46" t="str">
        <f>Dados!I6</f>
        <v>ESTRADA VICINAL 14ª LINHA (LADO NASCENTE)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7"/>
    </row>
    <row r="7" spans="1:69">
      <c r="A7" s="44" t="str">
        <f>Dados!A7</f>
        <v>LOCAL:</v>
      </c>
      <c r="B7" s="45"/>
      <c r="C7" s="45"/>
      <c r="D7" s="45"/>
      <c r="E7" s="45"/>
      <c r="F7" s="45"/>
      <c r="G7" s="45"/>
      <c r="H7" s="45"/>
      <c r="I7" s="46" t="str">
        <f>Dados!I7</f>
        <v>PONTE SOBRE O CÓRREGO IRETAN</v>
      </c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7"/>
    </row>
    <row r="8" spans="1:69">
      <c r="A8" s="44" t="str">
        <f>Dados!A8</f>
        <v>COORDENADAS:</v>
      </c>
      <c r="B8" s="45"/>
      <c r="C8" s="45"/>
      <c r="D8" s="45"/>
      <c r="E8" s="45"/>
      <c r="F8" s="45"/>
      <c r="G8" s="45"/>
      <c r="H8" s="45"/>
      <c r="I8" s="48" t="str">
        <f>Dados!I8</f>
        <v>22°14'28.18"S, 54º04'37.28"O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50"/>
      <c r="BA8" s="50"/>
      <c r="BB8" s="50"/>
      <c r="BC8" s="46"/>
      <c r="BD8" s="46"/>
      <c r="BE8" s="46"/>
      <c r="BF8" s="46"/>
      <c r="BG8" s="45" t="s">
        <v>6</v>
      </c>
      <c r="BH8" s="45"/>
      <c r="BI8" s="45"/>
      <c r="BJ8" s="45"/>
      <c r="BK8" s="45"/>
      <c r="BL8" s="45"/>
      <c r="BM8" s="45"/>
      <c r="BN8" s="51">
        <f>Dados!AO8</f>
        <v>90</v>
      </c>
      <c r="BO8" s="51"/>
      <c r="BP8" s="52" t="s">
        <v>7</v>
      </c>
      <c r="BQ8" s="53"/>
    </row>
    <row r="9" spans="1:69">
      <c r="A9" s="44" t="str">
        <f>Dados!A9</f>
        <v>COMPRIMENTO:</v>
      </c>
      <c r="B9" s="45"/>
      <c r="C9" s="45"/>
      <c r="D9" s="45"/>
      <c r="E9" s="45"/>
      <c r="F9" s="45"/>
      <c r="G9" s="45"/>
      <c r="H9" s="45"/>
      <c r="I9" s="54">
        <f>Dados!I9</f>
        <v>15</v>
      </c>
      <c r="J9" s="54"/>
      <c r="K9" s="52" t="s">
        <v>9</v>
      </c>
      <c r="L9" s="52"/>
      <c r="M9" s="55"/>
      <c r="N9" s="55"/>
      <c r="BQ9" s="56"/>
    </row>
    <row r="10" spans="1:69">
      <c r="A10" s="44" t="str">
        <f>Dados!A10</f>
        <v>LARGURA:</v>
      </c>
      <c r="B10" s="45"/>
      <c r="C10" s="45"/>
      <c r="D10" s="45"/>
      <c r="E10" s="45"/>
      <c r="F10" s="45"/>
      <c r="G10" s="45"/>
      <c r="H10" s="45"/>
      <c r="I10" s="54">
        <f>Dados!I10</f>
        <v>6</v>
      </c>
      <c r="J10" s="54"/>
      <c r="K10" s="52" t="s">
        <v>9</v>
      </c>
      <c r="L10" s="52"/>
      <c r="M10" s="55"/>
      <c r="N10" s="55"/>
      <c r="BQ10" s="56"/>
    </row>
    <row r="11" spans="1:69">
      <c r="A11" s="44" t="s">
        <v>11</v>
      </c>
      <c r="B11" s="45"/>
      <c r="C11" s="45"/>
      <c r="D11" s="45"/>
      <c r="E11" s="45"/>
      <c r="F11" s="45"/>
      <c r="G11" s="45"/>
      <c r="H11" s="45"/>
      <c r="I11" s="45" t="s">
        <v>24</v>
      </c>
      <c r="J11" s="45"/>
      <c r="K11" s="45"/>
      <c r="L11" s="57">
        <f>Dados!L11</f>
        <v>0.1527</v>
      </c>
      <c r="M11" s="57"/>
      <c r="N11" s="57"/>
      <c r="O11" s="45" t="s">
        <v>13</v>
      </c>
      <c r="P11" s="45"/>
      <c r="Q11" s="45"/>
      <c r="R11" s="57">
        <f>Dados!R11</f>
        <v>0.2391</v>
      </c>
      <c r="S11" s="57"/>
      <c r="T11" s="57"/>
      <c r="BG11" s="45" t="s">
        <v>14</v>
      </c>
      <c r="BH11" s="45"/>
      <c r="BI11" s="45"/>
      <c r="BJ11" s="45"/>
      <c r="BK11" s="45"/>
      <c r="BL11" s="45"/>
      <c r="BM11" s="45"/>
      <c r="BN11" s="58">
        <f>Dados!AO11</f>
        <v>120</v>
      </c>
      <c r="BO11" s="58"/>
      <c r="BP11" s="52" t="s">
        <v>15</v>
      </c>
      <c r="BQ11" s="53"/>
    </row>
    <row r="12" spans="1:69">
      <c r="A12" s="59" t="s">
        <v>16</v>
      </c>
      <c r="B12" s="60"/>
      <c r="C12" s="60"/>
      <c r="D12" s="60"/>
      <c r="E12" s="60"/>
      <c r="F12" s="60"/>
      <c r="G12" s="60"/>
      <c r="H12" s="60"/>
      <c r="I12" s="61" t="str">
        <f>Dados!I12</f>
        <v>SEM DESONERAÇÃO SICRO (JANEIRO/2026)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 t="str">
        <f>Dados!U12</f>
        <v>NÃO DESONERADO SINAPI (JANEIRO/2026)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T12" s="62"/>
      <c r="AU12" s="62"/>
      <c r="AV12" s="62"/>
      <c r="AW12" s="62"/>
      <c r="AX12" s="62"/>
      <c r="AY12" s="62"/>
      <c r="AZ12" s="63"/>
      <c r="BA12" s="63"/>
      <c r="BB12" s="63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4"/>
    </row>
    <row r="13" spans="1:69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</row>
    <row r="14" spans="1:69">
      <c r="A14" s="66" t="s">
        <v>16133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8"/>
    </row>
    <row r="15" spans="1:69">
      <c r="A15" s="69" t="s">
        <v>31</v>
      </c>
      <c r="B15" s="69"/>
      <c r="C15" s="69" t="s">
        <v>633</v>
      </c>
      <c r="D15" s="69"/>
      <c r="E15" s="69"/>
      <c r="F15" s="69" t="s">
        <v>763</v>
      </c>
      <c r="G15" s="69"/>
      <c r="H15" s="69"/>
      <c r="I15" s="70" t="s">
        <v>635</v>
      </c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1" t="s">
        <v>879</v>
      </c>
      <c r="AC15" s="71"/>
      <c r="AD15" s="71"/>
      <c r="AE15" s="72" t="s">
        <v>16134</v>
      </c>
      <c r="AF15" s="72"/>
      <c r="AG15" s="72"/>
      <c r="AH15" s="66" t="s">
        <v>16135</v>
      </c>
      <c r="AI15" s="67"/>
      <c r="AJ15" s="67"/>
      <c r="AK15" s="67"/>
      <c r="AL15" s="67"/>
      <c r="AM15" s="67"/>
      <c r="AN15" s="67"/>
      <c r="AO15" s="67"/>
      <c r="AP15" s="68"/>
      <c r="AQ15" s="73" t="s">
        <v>16136</v>
      </c>
      <c r="AR15" s="74"/>
      <c r="AS15" s="75"/>
      <c r="AT15" s="76" t="s">
        <v>72</v>
      </c>
      <c r="AU15" s="77"/>
      <c r="AV15" s="77"/>
      <c r="AW15" s="77"/>
      <c r="AX15" s="77"/>
      <c r="AY15" s="77"/>
      <c r="AZ15" s="77"/>
      <c r="BA15" s="77"/>
      <c r="BB15" s="78"/>
      <c r="BC15" s="69" t="s">
        <v>16137</v>
      </c>
      <c r="BD15" s="69"/>
      <c r="BE15" s="69"/>
      <c r="BF15" s="69"/>
      <c r="BG15" s="69"/>
      <c r="BH15" s="69"/>
      <c r="BI15" s="69"/>
      <c r="BJ15" s="69"/>
      <c r="BK15" s="69"/>
      <c r="BL15" s="79" t="s">
        <v>16138</v>
      </c>
      <c r="BM15" s="79"/>
      <c r="BN15" s="80"/>
      <c r="BO15" s="79" t="s">
        <v>16139</v>
      </c>
      <c r="BP15" s="79"/>
      <c r="BQ15" s="80"/>
    </row>
    <row r="16" spans="1:69">
      <c r="A16" s="69"/>
      <c r="B16" s="69"/>
      <c r="C16" s="69"/>
      <c r="D16" s="69"/>
      <c r="E16" s="69"/>
      <c r="F16" s="69"/>
      <c r="G16" s="69"/>
      <c r="H16" s="69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1"/>
      <c r="AC16" s="71"/>
      <c r="AD16" s="71"/>
      <c r="AE16" s="72"/>
      <c r="AF16" s="72"/>
      <c r="AG16" s="72"/>
      <c r="AH16" s="81" t="s">
        <v>16140</v>
      </c>
      <c r="AI16" s="81"/>
      <c r="AJ16" s="82"/>
      <c r="AK16" s="76" t="s">
        <v>16141</v>
      </c>
      <c r="AL16" s="77"/>
      <c r="AM16" s="78"/>
      <c r="AN16" s="76" t="s">
        <v>16142</v>
      </c>
      <c r="AO16" s="77"/>
      <c r="AP16" s="78"/>
      <c r="AQ16" s="83"/>
      <c r="AR16" s="84"/>
      <c r="AS16" s="85"/>
      <c r="AT16" s="76" t="s">
        <v>14212</v>
      </c>
      <c r="AU16" s="77"/>
      <c r="AV16" s="78"/>
      <c r="AW16" s="76" t="s">
        <v>14213</v>
      </c>
      <c r="AX16" s="77"/>
      <c r="AY16" s="78"/>
      <c r="AZ16" s="86" t="s">
        <v>14214</v>
      </c>
      <c r="BA16" s="87"/>
      <c r="BB16" s="88"/>
      <c r="BC16" s="71" t="s">
        <v>14212</v>
      </c>
      <c r="BD16" s="71"/>
      <c r="BE16" s="71"/>
      <c r="BF16" s="71" t="s">
        <v>14213</v>
      </c>
      <c r="BG16" s="71"/>
      <c r="BH16" s="71"/>
      <c r="BI16" s="71" t="s">
        <v>14214</v>
      </c>
      <c r="BJ16" s="71"/>
      <c r="BK16" s="71"/>
      <c r="BL16" s="84"/>
      <c r="BM16" s="84"/>
      <c r="BN16" s="85"/>
      <c r="BO16" s="84"/>
      <c r="BP16" s="84"/>
      <c r="BQ16" s="85"/>
    </row>
    <row r="17" ht="17.4" customHeight="1" spans="1:71">
      <c r="A17" s="89"/>
      <c r="B17" s="90"/>
      <c r="C17" s="89"/>
      <c r="D17" s="91"/>
      <c r="E17" s="90"/>
      <c r="F17" s="69" t="s">
        <v>843</v>
      </c>
      <c r="G17" s="69"/>
      <c r="H17" s="69"/>
      <c r="I17" s="92" t="s">
        <v>844</v>
      </c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3" t="s">
        <v>101</v>
      </c>
      <c r="AC17" s="94"/>
      <c r="AD17" s="95"/>
      <c r="AE17" s="96"/>
      <c r="AF17" s="97"/>
      <c r="AG17" s="98"/>
      <c r="AH17" s="99">
        <f>VLOOKUP(AK17,$A$61:$Z$63,12,0)</f>
        <v>46023</v>
      </c>
      <c r="AI17" s="100"/>
      <c r="AJ17" s="101"/>
      <c r="AK17" s="93">
        <v>1</v>
      </c>
      <c r="AL17" s="94"/>
      <c r="AM17" s="95"/>
      <c r="AN17" s="102">
        <f>VLOOKUP(AK17,$A$61:$Z$63,15,0)</f>
        <v>99.99</v>
      </c>
      <c r="AO17" s="103"/>
      <c r="AP17" s="104"/>
      <c r="AQ17" s="96"/>
      <c r="AR17" s="97"/>
      <c r="AS17" s="98"/>
      <c r="AT17" s="105"/>
      <c r="AU17" s="106"/>
      <c r="AV17" s="107"/>
      <c r="AW17" s="105"/>
      <c r="AX17" s="106"/>
      <c r="AY17" s="107"/>
      <c r="AZ17" s="108"/>
      <c r="BA17" s="109"/>
      <c r="BB17" s="110"/>
      <c r="BC17" s="111"/>
      <c r="BD17" s="111"/>
      <c r="BE17" s="111"/>
      <c r="BF17" s="111"/>
      <c r="BG17" s="111"/>
      <c r="BH17" s="111"/>
      <c r="BI17" s="111"/>
      <c r="BJ17" s="111"/>
      <c r="BK17" s="111"/>
      <c r="BL17" s="96"/>
      <c r="BM17" s="97"/>
      <c r="BN17" s="98"/>
      <c r="BO17" s="96"/>
      <c r="BP17" s="97"/>
      <c r="BQ17" s="98"/>
    </row>
    <row r="18" s="30" customFormat="1" ht="16.95" customHeight="1" spans="1:71">
      <c r="A18" s="112"/>
      <c r="B18" s="113"/>
      <c r="C18" s="112"/>
      <c r="D18" s="114"/>
      <c r="E18" s="113"/>
      <c r="F18" s="112" t="s">
        <v>16143</v>
      </c>
      <c r="G18" s="114"/>
      <c r="H18" s="113"/>
      <c r="I18" s="115" t="s">
        <v>16144</v>
      </c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7"/>
      <c r="AB18" s="118" t="s">
        <v>101</v>
      </c>
      <c r="AC18" s="119"/>
      <c r="AD18" s="120"/>
      <c r="AE18" s="121">
        <v>6.4383</v>
      </c>
      <c r="AF18" s="122"/>
      <c r="AG18" s="123"/>
      <c r="AH18" s="124">
        <v>46149</v>
      </c>
      <c r="AI18" s="125"/>
      <c r="AJ18" s="126"/>
      <c r="AK18" s="118">
        <v>1</v>
      </c>
      <c r="AL18" s="119"/>
      <c r="AM18" s="120"/>
      <c r="AN18" s="127">
        <f>100.705*(100.705/100.122)*(100.705/100.122)</f>
        <v>101.881204012488</v>
      </c>
      <c r="AO18" s="128"/>
      <c r="AP18" s="129"/>
      <c r="AQ18" s="121">
        <f>AE18/(AN18/AN$17)</f>
        <v>6.31878689734655</v>
      </c>
      <c r="AR18" s="122"/>
      <c r="AS18" s="123"/>
      <c r="AT18" s="130">
        <v>7.2</v>
      </c>
      <c r="AU18" s="131"/>
      <c r="AV18" s="132"/>
      <c r="AW18" s="130">
        <v>0</v>
      </c>
      <c r="AX18" s="131"/>
      <c r="AY18" s="132"/>
      <c r="AZ18" s="130">
        <f>87.8-AT18</f>
        <v>80.6</v>
      </c>
      <c r="BA18" s="131"/>
      <c r="BB18" s="132"/>
      <c r="BC18" s="130">
        <v>1.11</v>
      </c>
      <c r="BD18" s="131"/>
      <c r="BE18" s="132"/>
      <c r="BF18" s="130">
        <v>0.89</v>
      </c>
      <c r="BG18" s="131"/>
      <c r="BH18" s="132"/>
      <c r="BI18" s="130">
        <v>0.73</v>
      </c>
      <c r="BJ18" s="131"/>
      <c r="BK18" s="132"/>
      <c r="BL18" s="121">
        <f>(AT18*BC18+AW18*BF18+AZ18*BI18)*(1/1000)</f>
        <v>0.06683</v>
      </c>
      <c r="BM18" s="122"/>
      <c r="BN18" s="123"/>
      <c r="BO18" s="121">
        <f>IF(AE18="","",AQ18+BL18)</f>
        <v>6.38561689734655</v>
      </c>
      <c r="BP18" s="122"/>
      <c r="BQ18" s="123"/>
      <c r="BR18" s="133"/>
      <c r="BS18" s="134"/>
    </row>
    <row r="19" s="31" customFormat="1" ht="16.95" customHeight="1" spans="1:71">
      <c r="A19" s="135"/>
      <c r="B19" s="136"/>
      <c r="C19" s="135"/>
      <c r="D19" s="137"/>
      <c r="E19" s="136"/>
      <c r="F19" s="112" t="s">
        <v>16145</v>
      </c>
      <c r="G19" s="114"/>
      <c r="H19" s="113"/>
      <c r="I19" s="138" t="s">
        <v>16146</v>
      </c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9" t="s">
        <v>101</v>
      </c>
      <c r="AC19" s="140"/>
      <c r="AD19" s="141"/>
      <c r="AE19" s="142">
        <v>7.5324</v>
      </c>
      <c r="AF19" s="143"/>
      <c r="AG19" s="144"/>
      <c r="AH19" s="124">
        <v>46149</v>
      </c>
      <c r="AI19" s="125"/>
      <c r="AJ19" s="126"/>
      <c r="AK19" s="118">
        <v>1</v>
      </c>
      <c r="AL19" s="119"/>
      <c r="AM19" s="120"/>
      <c r="AN19" s="127">
        <f>100.705*(100.705/100.122)*(100.705/100.122)</f>
        <v>101.881204012488</v>
      </c>
      <c r="AO19" s="128"/>
      <c r="AP19" s="129"/>
      <c r="AQ19" s="142">
        <f>AE19/(AN19/AN$17)</f>
        <v>7.39257729922078</v>
      </c>
      <c r="AR19" s="143"/>
      <c r="AS19" s="144"/>
      <c r="AT19" s="145">
        <v>0</v>
      </c>
      <c r="AU19" s="146"/>
      <c r="AV19" s="147"/>
      <c r="AW19" s="145">
        <v>0</v>
      </c>
      <c r="AX19" s="146"/>
      <c r="AY19" s="147"/>
      <c r="AZ19" s="148">
        <v>0</v>
      </c>
      <c r="BA19" s="149"/>
      <c r="BB19" s="150"/>
      <c r="BC19" s="151">
        <v>1.11</v>
      </c>
      <c r="BD19" s="151"/>
      <c r="BE19" s="151"/>
      <c r="BF19" s="151">
        <v>0.89</v>
      </c>
      <c r="BG19" s="151"/>
      <c r="BH19" s="151"/>
      <c r="BI19" s="151">
        <v>0.73</v>
      </c>
      <c r="BJ19" s="151"/>
      <c r="BK19" s="151"/>
      <c r="BL19" s="142">
        <f>(AT19*BC19+AW19*BF19+AZ19*BI19)*(1/1000)</f>
        <v>0</v>
      </c>
      <c r="BM19" s="143"/>
      <c r="BN19" s="144"/>
      <c r="BO19" s="142">
        <f>IF(AE19="","",AQ19+BL19)</f>
        <v>7.39257729922078</v>
      </c>
      <c r="BP19" s="143"/>
      <c r="BQ19" s="144"/>
      <c r="BR19" s="152"/>
      <c r="BS19" s="153"/>
    </row>
    <row r="20" s="31" customFormat="1" ht="16.95" customHeight="1" spans="1:71">
      <c r="A20" s="135"/>
      <c r="B20" s="136"/>
      <c r="C20" s="135"/>
      <c r="D20" s="137"/>
      <c r="E20" s="136"/>
      <c r="F20" s="112" t="s">
        <v>16143</v>
      </c>
      <c r="G20" s="114"/>
      <c r="H20" s="113"/>
      <c r="I20" s="138" t="s">
        <v>16147</v>
      </c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  <c r="AA20" s="138"/>
      <c r="AB20" s="139" t="s">
        <v>101</v>
      </c>
      <c r="AC20" s="140"/>
      <c r="AD20" s="141"/>
      <c r="AE20" s="142">
        <v>6.5257</v>
      </c>
      <c r="AF20" s="143"/>
      <c r="AG20" s="144"/>
      <c r="AH20" s="124">
        <v>46149</v>
      </c>
      <c r="AI20" s="125"/>
      <c r="AJ20" s="126"/>
      <c r="AK20" s="118">
        <v>1</v>
      </c>
      <c r="AL20" s="119"/>
      <c r="AM20" s="120"/>
      <c r="AN20" s="127">
        <f>100.705*(100.705/100.122)*(100.705/100.122)</f>
        <v>101.881204012488</v>
      </c>
      <c r="AO20" s="128"/>
      <c r="AP20" s="129"/>
      <c r="AQ20" s="142">
        <f>AE20/(AN20/AN$17)</f>
        <v>6.40456450553941</v>
      </c>
      <c r="AR20" s="143"/>
      <c r="AS20" s="144"/>
      <c r="AT20" s="145">
        <v>7.2</v>
      </c>
      <c r="AU20" s="146"/>
      <c r="AV20" s="147"/>
      <c r="AW20" s="145">
        <v>0</v>
      </c>
      <c r="AX20" s="146"/>
      <c r="AY20" s="147"/>
      <c r="AZ20" s="148">
        <f>256-AT20</f>
        <v>248.8</v>
      </c>
      <c r="BA20" s="149"/>
      <c r="BB20" s="150"/>
      <c r="BC20" s="151">
        <v>1.11</v>
      </c>
      <c r="BD20" s="151"/>
      <c r="BE20" s="151"/>
      <c r="BF20" s="151">
        <v>0.89</v>
      </c>
      <c r="BG20" s="151"/>
      <c r="BH20" s="151"/>
      <c r="BI20" s="151">
        <v>0.73</v>
      </c>
      <c r="BJ20" s="151"/>
      <c r="BK20" s="151"/>
      <c r="BL20" s="142">
        <f>(AT20*BC20+AW20*BF20+AZ20*BI20)*(1/1000)</f>
        <v>0.189616</v>
      </c>
      <c r="BM20" s="143"/>
      <c r="BN20" s="144"/>
      <c r="BO20" s="142">
        <f>IF(AE20="","",AQ20+BL20)</f>
        <v>6.59418050553941</v>
      </c>
      <c r="BP20" s="143"/>
      <c r="BQ20" s="144"/>
      <c r="BR20" s="152"/>
      <c r="BS20" s="153"/>
    </row>
    <row r="21" s="32" customFormat="1" ht="17.4" customHeight="1" spans="1:71">
      <c r="A21" s="154"/>
      <c r="B21" s="155"/>
      <c r="C21" s="156" t="s">
        <v>16148</v>
      </c>
      <c r="D21" s="157"/>
      <c r="E21" s="158"/>
      <c r="F21" s="159" t="s">
        <v>16149</v>
      </c>
      <c r="G21" s="159"/>
      <c r="H21" s="159"/>
      <c r="I21" s="160" t="s">
        <v>16150</v>
      </c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1" t="s">
        <v>101</v>
      </c>
      <c r="AC21" s="162"/>
      <c r="AD21" s="163"/>
      <c r="AE21" s="164">
        <f>MEDIAN(AE18:AG20)</f>
        <v>6.5257</v>
      </c>
      <c r="AF21" s="165"/>
      <c r="AG21" s="166"/>
      <c r="AH21" s="167">
        <f>MEDIAN(AH18:AJ20)</f>
        <v>46149</v>
      </c>
      <c r="AI21" s="168"/>
      <c r="AJ21" s="169"/>
      <c r="AK21" s="161">
        <f>AK20</f>
        <v>1</v>
      </c>
      <c r="AL21" s="162"/>
      <c r="AM21" s="163"/>
      <c r="AN21" s="170">
        <f>100.705*(100.705/100.122)*(100.705/100.122)</f>
        <v>101.881204012488</v>
      </c>
      <c r="AO21" s="171"/>
      <c r="AP21" s="172"/>
      <c r="AQ21" s="164">
        <f>AE21/(AN21/AN$17)</f>
        <v>6.40456450553941</v>
      </c>
      <c r="AR21" s="165"/>
      <c r="AS21" s="166"/>
      <c r="AT21" s="173">
        <f>MEDIAN(AT18:AV20)</f>
        <v>7.2</v>
      </c>
      <c r="AU21" s="174"/>
      <c r="AV21" s="175"/>
      <c r="AW21" s="173">
        <f>MEDIAN(AW18:AY20)</f>
        <v>0</v>
      </c>
      <c r="AX21" s="174"/>
      <c r="AY21" s="175"/>
      <c r="AZ21" s="173">
        <f>MEDIAN(AZ18:BB20)</f>
        <v>80.6</v>
      </c>
      <c r="BA21" s="174"/>
      <c r="BB21" s="175"/>
      <c r="BC21" s="176">
        <v>1.11</v>
      </c>
      <c r="BD21" s="176"/>
      <c r="BE21" s="176"/>
      <c r="BF21" s="176">
        <v>0.89</v>
      </c>
      <c r="BG21" s="176"/>
      <c r="BH21" s="176"/>
      <c r="BI21" s="176">
        <v>0.73</v>
      </c>
      <c r="BJ21" s="176"/>
      <c r="BK21" s="176"/>
      <c r="BL21" s="164">
        <f>(AT21*BC21+AW21*BF21+AZ21*BI21)*(1/1000)</f>
        <v>0.06683</v>
      </c>
      <c r="BM21" s="165"/>
      <c r="BN21" s="166"/>
      <c r="BO21" s="164">
        <f>IF(AE21="","",AQ21+BL21)</f>
        <v>6.47139450553941</v>
      </c>
      <c r="BP21" s="165"/>
      <c r="BQ21" s="166"/>
    </row>
    <row r="22" s="33" customFormat="1" ht="17.4" customHeight="1" spans="1:71">
      <c r="A22" s="112"/>
      <c r="B22" s="113"/>
      <c r="C22" s="112"/>
      <c r="D22" s="114"/>
      <c r="E22" s="113"/>
      <c r="F22" s="177"/>
      <c r="G22" s="177"/>
      <c r="H22" s="177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18"/>
      <c r="AC22" s="119"/>
      <c r="AD22" s="120"/>
      <c r="AE22" s="121"/>
      <c r="AF22" s="122"/>
      <c r="AG22" s="123"/>
      <c r="AH22" s="124"/>
      <c r="AI22" s="125"/>
      <c r="AJ22" s="126"/>
      <c r="AK22" s="118"/>
      <c r="AL22" s="119"/>
      <c r="AM22" s="120"/>
      <c r="AN22" s="127"/>
      <c r="AO22" s="128"/>
      <c r="AP22" s="129"/>
      <c r="AQ22" s="121"/>
      <c r="AR22" s="122"/>
      <c r="AS22" s="123"/>
      <c r="AT22" s="179"/>
      <c r="AU22" s="180"/>
      <c r="AV22" s="181"/>
      <c r="AW22" s="179"/>
      <c r="AX22" s="180"/>
      <c r="AY22" s="181"/>
      <c r="AZ22" s="182"/>
      <c r="BA22" s="183"/>
      <c r="BB22" s="184"/>
      <c r="BC22" s="185"/>
      <c r="BD22" s="185"/>
      <c r="BE22" s="185"/>
      <c r="BF22" s="185"/>
      <c r="BG22" s="185"/>
      <c r="BH22" s="185"/>
      <c r="BI22" s="185"/>
      <c r="BJ22" s="185"/>
      <c r="BK22" s="185"/>
      <c r="BL22" s="121"/>
      <c r="BM22" s="122"/>
      <c r="BN22" s="123"/>
      <c r="BO22" s="121"/>
      <c r="BP22" s="122"/>
      <c r="BQ22" s="123"/>
    </row>
    <row r="23" s="33" customFormat="1" ht="17.4" customHeight="1" spans="1:71">
      <c r="A23" s="186"/>
      <c r="B23" s="187"/>
      <c r="C23" s="186"/>
      <c r="D23" s="188"/>
      <c r="E23" s="187"/>
      <c r="F23" s="189" t="s">
        <v>851</v>
      </c>
      <c r="G23" s="189"/>
      <c r="H23" s="189"/>
      <c r="I23" s="190" t="s">
        <v>16151</v>
      </c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1" t="s">
        <v>99</v>
      </c>
      <c r="AC23" s="192"/>
      <c r="AD23" s="193"/>
      <c r="AE23" s="121"/>
      <c r="AF23" s="122"/>
      <c r="AG23" s="123"/>
      <c r="AH23" s="99">
        <f>VLOOKUP(AK23,$A$61:$Z$63,12,0)</f>
        <v>46023</v>
      </c>
      <c r="AI23" s="100"/>
      <c r="AJ23" s="101"/>
      <c r="AK23" s="93">
        <v>2</v>
      </c>
      <c r="AL23" s="94"/>
      <c r="AM23" s="95"/>
      <c r="AN23" s="102">
        <f>VLOOKUP(AK23,$A$61:$Z$63,15,0)</f>
        <v>503.558</v>
      </c>
      <c r="AO23" s="103"/>
      <c r="AP23" s="104"/>
      <c r="AQ23" s="121"/>
      <c r="AR23" s="122"/>
      <c r="AS23" s="123"/>
      <c r="AT23" s="179"/>
      <c r="AU23" s="180"/>
      <c r="AV23" s="181"/>
      <c r="AW23" s="179"/>
      <c r="AX23" s="180"/>
      <c r="AY23" s="181"/>
      <c r="AZ23" s="182"/>
      <c r="BA23" s="183"/>
      <c r="BB23" s="184"/>
      <c r="BC23" s="130"/>
      <c r="BD23" s="131"/>
      <c r="BE23" s="132"/>
      <c r="BF23" s="118"/>
      <c r="BG23" s="119"/>
      <c r="BH23" s="120"/>
      <c r="BI23" s="130"/>
      <c r="BJ23" s="131"/>
      <c r="BK23" s="132"/>
      <c r="BL23" s="130"/>
      <c r="BM23" s="131"/>
      <c r="BN23" s="132"/>
      <c r="BO23" s="130"/>
      <c r="BP23" s="131"/>
      <c r="BQ23" s="132"/>
    </row>
    <row r="24" s="31" customFormat="1" ht="16.95" customHeight="1" spans="1:71">
      <c r="A24" s="135"/>
      <c r="B24" s="136"/>
      <c r="C24" s="135"/>
      <c r="D24" s="137"/>
      <c r="E24" s="136"/>
      <c r="F24" s="112" t="s">
        <v>16143</v>
      </c>
      <c r="G24" s="114"/>
      <c r="H24" s="113"/>
      <c r="I24" s="138" t="s">
        <v>16152</v>
      </c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  <c r="AA24" s="138"/>
      <c r="AB24" s="139" t="s">
        <v>99</v>
      </c>
      <c r="AC24" s="140"/>
      <c r="AD24" s="141"/>
      <c r="AE24" s="142">
        <v>50</v>
      </c>
      <c r="AF24" s="143"/>
      <c r="AG24" s="144"/>
      <c r="AH24" s="194">
        <v>46149</v>
      </c>
      <c r="AI24" s="195"/>
      <c r="AJ24" s="196"/>
      <c r="AK24" s="139">
        <v>2</v>
      </c>
      <c r="AL24" s="140"/>
      <c r="AM24" s="141"/>
      <c r="AN24" s="197">
        <f>508.061*(508.061/503.391)*(508.061/503.391)</f>
        <v>517.531373850489</v>
      </c>
      <c r="AO24" s="198"/>
      <c r="AP24" s="199"/>
      <c r="AQ24" s="142">
        <f>AE24/(AN24/AN$23)</f>
        <v>48.6499974149851</v>
      </c>
      <c r="AR24" s="143"/>
      <c r="AS24" s="144"/>
      <c r="AT24" s="145">
        <v>7.2</v>
      </c>
      <c r="AU24" s="146"/>
      <c r="AV24" s="147"/>
      <c r="AW24" s="145">
        <v>0</v>
      </c>
      <c r="AX24" s="146"/>
      <c r="AY24" s="147"/>
      <c r="AZ24" s="148">
        <f>374-AT24</f>
        <v>366.8</v>
      </c>
      <c r="BA24" s="149"/>
      <c r="BB24" s="150"/>
      <c r="BC24" s="151">
        <v>1.28</v>
      </c>
      <c r="BD24" s="151"/>
      <c r="BE24" s="151"/>
      <c r="BF24" s="151">
        <v>1.02</v>
      </c>
      <c r="BG24" s="151"/>
      <c r="BH24" s="151"/>
      <c r="BI24" s="151">
        <v>0.84</v>
      </c>
      <c r="BJ24" s="151"/>
      <c r="BK24" s="151"/>
      <c r="BL24" s="142">
        <f>(AT24*BC24+AW24*BF24+AZ24*BI24)*1.5</f>
        <v>475.992</v>
      </c>
      <c r="BM24" s="143"/>
      <c r="BN24" s="144"/>
      <c r="BO24" s="142">
        <f>AQ24+BL24</f>
        <v>524.641997414985</v>
      </c>
      <c r="BP24" s="143"/>
      <c r="BQ24" s="144"/>
      <c r="BR24" s="152"/>
      <c r="BS24" s="153"/>
    </row>
    <row r="25" s="29" customFormat="1" ht="16.95" customHeight="1" spans="1:71">
      <c r="A25" s="200"/>
      <c r="B25" s="201"/>
      <c r="C25" s="200"/>
      <c r="D25" s="202"/>
      <c r="E25" s="201"/>
      <c r="F25" s="203" t="s">
        <v>16143</v>
      </c>
      <c r="G25" s="204"/>
      <c r="H25" s="205"/>
      <c r="I25" s="206" t="s">
        <v>16153</v>
      </c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/>
      <c r="AB25" s="207" t="s">
        <v>99</v>
      </c>
      <c r="AC25" s="208"/>
      <c r="AD25" s="209"/>
      <c r="AE25" s="210">
        <v>30</v>
      </c>
      <c r="AF25" s="211"/>
      <c r="AG25" s="212"/>
      <c r="AH25" s="194">
        <v>46149</v>
      </c>
      <c r="AI25" s="195"/>
      <c r="AJ25" s="196"/>
      <c r="AK25" s="139">
        <v>2</v>
      </c>
      <c r="AL25" s="140"/>
      <c r="AM25" s="141"/>
      <c r="AN25" s="197">
        <f>508.061*(508.061/503.391)*(508.061/503.391)</f>
        <v>517.531373850489</v>
      </c>
      <c r="AO25" s="198"/>
      <c r="AP25" s="199"/>
      <c r="AQ25" s="210">
        <f>AE25/(AN25/AN$23)</f>
        <v>29.1899984489911</v>
      </c>
      <c r="AR25" s="211"/>
      <c r="AS25" s="212"/>
      <c r="AT25" s="213">
        <v>7.2</v>
      </c>
      <c r="AU25" s="214"/>
      <c r="AV25" s="215"/>
      <c r="AW25" s="213">
        <v>0</v>
      </c>
      <c r="AX25" s="214"/>
      <c r="AY25" s="215"/>
      <c r="AZ25" s="216">
        <f>278-AT25</f>
        <v>270.8</v>
      </c>
      <c r="BA25" s="217"/>
      <c r="BB25" s="218"/>
      <c r="BC25" s="219">
        <v>1.28</v>
      </c>
      <c r="BD25" s="219"/>
      <c r="BE25" s="219"/>
      <c r="BF25" s="219">
        <v>1.02</v>
      </c>
      <c r="BG25" s="219"/>
      <c r="BH25" s="219"/>
      <c r="BI25" s="219">
        <v>0.84</v>
      </c>
      <c r="BJ25" s="219"/>
      <c r="BK25" s="219"/>
      <c r="BL25" s="210">
        <f>(AT25*BC25+AW25*BF25+AZ25*BI25)*1.5</f>
        <v>355.032</v>
      </c>
      <c r="BM25" s="211"/>
      <c r="BN25" s="212"/>
      <c r="BO25" s="210">
        <f>AQ25+BL25</f>
        <v>384.221998448991</v>
      </c>
      <c r="BP25" s="211"/>
      <c r="BQ25" s="212"/>
      <c r="BR25" s="220"/>
      <c r="BS25" s="221"/>
    </row>
    <row r="26" s="34" customFormat="1" ht="17.4" customHeight="1" spans="1:71">
      <c r="A26" s="112"/>
      <c r="B26" s="113"/>
      <c r="C26" s="112"/>
      <c r="D26" s="114"/>
      <c r="E26" s="113"/>
      <c r="F26" s="112" t="s">
        <v>16143</v>
      </c>
      <c r="G26" s="114"/>
      <c r="H26" s="113"/>
      <c r="I26" s="115" t="s">
        <v>16154</v>
      </c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7"/>
      <c r="AB26" s="118" t="s">
        <v>99</v>
      </c>
      <c r="AC26" s="119"/>
      <c r="AD26" s="120"/>
      <c r="AE26" s="121">
        <v>121</v>
      </c>
      <c r="AF26" s="122"/>
      <c r="AG26" s="123"/>
      <c r="AH26" s="194">
        <v>46149</v>
      </c>
      <c r="AI26" s="195"/>
      <c r="AJ26" s="196"/>
      <c r="AK26" s="139">
        <v>2</v>
      </c>
      <c r="AL26" s="140"/>
      <c r="AM26" s="141"/>
      <c r="AN26" s="197">
        <f>508.061*(508.061/503.391)*(508.061/503.391)</f>
        <v>517.531373850489</v>
      </c>
      <c r="AO26" s="198"/>
      <c r="AP26" s="199"/>
      <c r="AQ26" s="121">
        <f>AE26/(AN26/AN$23)</f>
        <v>117.732993744264</v>
      </c>
      <c r="AR26" s="122"/>
      <c r="AS26" s="123"/>
      <c r="AT26" s="130">
        <v>7.2</v>
      </c>
      <c r="AU26" s="131"/>
      <c r="AV26" s="132"/>
      <c r="AW26" s="130">
        <v>0</v>
      </c>
      <c r="AX26" s="131"/>
      <c r="AY26" s="132"/>
      <c r="AZ26" s="222">
        <f>276-AT26</f>
        <v>268.8</v>
      </c>
      <c r="BA26" s="223"/>
      <c r="BB26" s="224"/>
      <c r="BC26" s="130">
        <v>1.28</v>
      </c>
      <c r="BD26" s="131"/>
      <c r="BE26" s="132"/>
      <c r="BF26" s="130">
        <v>1.02</v>
      </c>
      <c r="BG26" s="131"/>
      <c r="BH26" s="132"/>
      <c r="BI26" s="130">
        <v>0.84</v>
      </c>
      <c r="BJ26" s="131"/>
      <c r="BK26" s="132"/>
      <c r="BL26" s="121">
        <f>(AT26*BC26+AW26*BF26+AZ26*BI26)*1.5</f>
        <v>352.512</v>
      </c>
      <c r="BM26" s="122"/>
      <c r="BN26" s="123"/>
      <c r="BO26" s="121">
        <f>AQ26+BL26</f>
        <v>470.244993744264</v>
      </c>
      <c r="BP26" s="122"/>
      <c r="BQ26" s="123"/>
    </row>
    <row r="27" s="34" customFormat="1" ht="17.4" customHeight="1" spans="1:71">
      <c r="A27" s="112"/>
      <c r="B27" s="113"/>
      <c r="C27" s="112"/>
      <c r="D27" s="114"/>
      <c r="E27" s="113"/>
      <c r="F27" s="112" t="s">
        <v>16143</v>
      </c>
      <c r="G27" s="114"/>
      <c r="H27" s="113"/>
      <c r="I27" s="115" t="s">
        <v>16155</v>
      </c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7"/>
      <c r="AB27" s="118" t="s">
        <v>99</v>
      </c>
      <c r="AC27" s="119"/>
      <c r="AD27" s="120"/>
      <c r="AE27" s="121">
        <f>40*1.5</f>
        <v>60</v>
      </c>
      <c r="AF27" s="122"/>
      <c r="AG27" s="123"/>
      <c r="AH27" s="194">
        <v>46149</v>
      </c>
      <c r="AI27" s="195"/>
      <c r="AJ27" s="196"/>
      <c r="AK27" s="139">
        <v>2</v>
      </c>
      <c r="AL27" s="140"/>
      <c r="AM27" s="141"/>
      <c r="AN27" s="197">
        <f>508.061*(508.061/503.391)*(508.061/503.391)</f>
        <v>517.531373850489</v>
      </c>
      <c r="AO27" s="198"/>
      <c r="AP27" s="199"/>
      <c r="AQ27" s="121">
        <f>AE27/(AN27/AN$23)</f>
        <v>58.3799968979822</v>
      </c>
      <c r="AR27" s="122"/>
      <c r="AS27" s="123"/>
      <c r="AT27" s="130">
        <v>7.2</v>
      </c>
      <c r="AU27" s="131"/>
      <c r="AV27" s="132"/>
      <c r="AW27" s="130">
        <v>0</v>
      </c>
      <c r="AX27" s="131"/>
      <c r="AY27" s="132"/>
      <c r="AZ27" s="222">
        <f>284-AT27</f>
        <v>276.8</v>
      </c>
      <c r="BA27" s="223"/>
      <c r="BB27" s="224"/>
      <c r="BC27" s="130">
        <v>1.28</v>
      </c>
      <c r="BD27" s="131"/>
      <c r="BE27" s="132"/>
      <c r="BF27" s="130">
        <v>1.02</v>
      </c>
      <c r="BG27" s="131"/>
      <c r="BH27" s="132"/>
      <c r="BI27" s="130">
        <v>0.84</v>
      </c>
      <c r="BJ27" s="131"/>
      <c r="BK27" s="132"/>
      <c r="BL27" s="121">
        <f>(AT27*BC27+AW27*BF27+AZ27*BI27)*1.5</f>
        <v>362.592</v>
      </c>
      <c r="BM27" s="122"/>
      <c r="BN27" s="123"/>
      <c r="BO27" s="121">
        <f>AQ27+BL27</f>
        <v>420.971996897982</v>
      </c>
      <c r="BP27" s="122"/>
      <c r="BQ27" s="123"/>
    </row>
    <row r="28" s="32" customFormat="1" ht="17.4" customHeight="1" spans="1:71">
      <c r="A28" s="154"/>
      <c r="B28" s="155"/>
      <c r="C28" s="156" t="s">
        <v>16148</v>
      </c>
      <c r="D28" s="157"/>
      <c r="E28" s="158"/>
      <c r="F28" s="159" t="s">
        <v>16149</v>
      </c>
      <c r="G28" s="159"/>
      <c r="H28" s="159"/>
      <c r="I28" s="160" t="s">
        <v>16150</v>
      </c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160"/>
      <c r="Z28" s="160"/>
      <c r="AA28" s="160"/>
      <c r="AB28" s="161" t="s">
        <v>101</v>
      </c>
      <c r="AC28" s="162"/>
      <c r="AD28" s="163"/>
      <c r="AE28" s="164">
        <f>MEDIAN(AE24:AG27)</f>
        <v>55</v>
      </c>
      <c r="AF28" s="165"/>
      <c r="AG28" s="166"/>
      <c r="AH28" s="167">
        <f>MEDIAN(AH24:AJ27)</f>
        <v>46149</v>
      </c>
      <c r="AI28" s="168"/>
      <c r="AJ28" s="169"/>
      <c r="AK28" s="161">
        <f>AK27</f>
        <v>2</v>
      </c>
      <c r="AL28" s="162"/>
      <c r="AM28" s="163"/>
      <c r="AN28" s="170">
        <f>508.061*(508.061/503.391)*(508.061/503.391)</f>
        <v>517.531373850489</v>
      </c>
      <c r="AO28" s="171"/>
      <c r="AP28" s="172"/>
      <c r="AQ28" s="164">
        <f>AE28/(AN28/AN$23)</f>
        <v>53.5149971564837</v>
      </c>
      <c r="AR28" s="165"/>
      <c r="AS28" s="166"/>
      <c r="AT28" s="173">
        <f>MEDIAN(AT24:AV27)</f>
        <v>7.2</v>
      </c>
      <c r="AU28" s="174"/>
      <c r="AV28" s="175"/>
      <c r="AW28" s="173">
        <f>MEDIAN(AW24:AY27)</f>
        <v>0</v>
      </c>
      <c r="AX28" s="174"/>
      <c r="AY28" s="175"/>
      <c r="AZ28" s="173">
        <f>MEDIAN(AZ24:BB27)</f>
        <v>273.8</v>
      </c>
      <c r="BA28" s="174"/>
      <c r="BB28" s="175"/>
      <c r="BC28" s="225">
        <v>1.28</v>
      </c>
      <c r="BD28" s="225"/>
      <c r="BE28" s="225"/>
      <c r="BF28" s="225">
        <v>1.02</v>
      </c>
      <c r="BG28" s="225"/>
      <c r="BH28" s="225"/>
      <c r="BI28" s="225">
        <v>0.84</v>
      </c>
      <c r="BJ28" s="225"/>
      <c r="BK28" s="225"/>
      <c r="BL28" s="226">
        <f>(AT28*BC28+AW28*BF28+AZ28*BI28)*1.5</f>
        <v>358.812</v>
      </c>
      <c r="BM28" s="227"/>
      <c r="BN28" s="228"/>
      <c r="BO28" s="164">
        <f>IF(AE28="","",AQ28+BL28)</f>
        <v>412.326997156484</v>
      </c>
      <c r="BP28" s="165"/>
      <c r="BQ28" s="166"/>
    </row>
    <row r="29" s="35" customFormat="1" ht="17.4" customHeight="1" spans="1:71">
      <c r="A29" s="229"/>
      <c r="B29" s="230"/>
      <c r="C29" s="229"/>
      <c r="D29" s="231"/>
      <c r="E29" s="230"/>
      <c r="F29" s="232"/>
      <c r="G29" s="232"/>
      <c r="H29" s="232"/>
      <c r="I29" s="233"/>
      <c r="J29" s="233"/>
      <c r="K29" s="233"/>
      <c r="L29" s="233"/>
      <c r="M29" s="233"/>
      <c r="N29" s="233"/>
      <c r="O29" s="233"/>
      <c r="P29" s="233"/>
      <c r="Q29" s="233"/>
      <c r="R29" s="233"/>
      <c r="S29" s="233"/>
      <c r="T29" s="233"/>
      <c r="U29" s="233"/>
      <c r="V29" s="233"/>
      <c r="W29" s="233"/>
      <c r="X29" s="233"/>
      <c r="Y29" s="233"/>
      <c r="Z29" s="233"/>
      <c r="AA29" s="233"/>
      <c r="AB29" s="234"/>
      <c r="AC29" s="235"/>
      <c r="AD29" s="236"/>
      <c r="AE29" s="237"/>
      <c r="AF29" s="238"/>
      <c r="AG29" s="239"/>
      <c r="AH29" s="240"/>
      <c r="AI29" s="241"/>
      <c r="AJ29" s="242"/>
      <c r="AK29" s="234"/>
      <c r="AL29" s="235"/>
      <c r="AM29" s="236"/>
      <c r="AN29" s="243"/>
      <c r="AO29" s="244"/>
      <c r="AP29" s="245"/>
      <c r="AQ29" s="237"/>
      <c r="AR29" s="238"/>
      <c r="AS29" s="239"/>
      <c r="AT29" s="179"/>
      <c r="AU29" s="180"/>
      <c r="AV29" s="181"/>
      <c r="AW29" s="130"/>
      <c r="AX29" s="131"/>
      <c r="AY29" s="132"/>
      <c r="AZ29" s="182"/>
      <c r="BA29" s="183"/>
      <c r="BB29" s="184"/>
      <c r="BC29" s="246"/>
      <c r="BD29" s="246"/>
      <c r="BE29" s="246"/>
      <c r="BF29" s="246"/>
      <c r="BG29" s="246"/>
      <c r="BH29" s="246"/>
      <c r="BI29" s="246"/>
      <c r="BJ29" s="246"/>
      <c r="BK29" s="246"/>
      <c r="BL29" s="237"/>
      <c r="BM29" s="238"/>
      <c r="BN29" s="239"/>
      <c r="BO29" s="237"/>
      <c r="BP29" s="238"/>
      <c r="BQ29" s="239"/>
    </row>
    <row r="30" s="33" customFormat="1" ht="17.4" customHeight="1" spans="1:71">
      <c r="A30" s="186"/>
      <c r="B30" s="187"/>
      <c r="C30" s="186"/>
      <c r="D30" s="188"/>
      <c r="E30" s="187"/>
      <c r="F30" s="189" t="s">
        <v>859</v>
      </c>
      <c r="G30" s="189"/>
      <c r="H30" s="189"/>
      <c r="I30" s="190" t="s">
        <v>16156</v>
      </c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1" t="s">
        <v>99</v>
      </c>
      <c r="AC30" s="192"/>
      <c r="AD30" s="193"/>
      <c r="AE30" s="121"/>
      <c r="AF30" s="122"/>
      <c r="AG30" s="123"/>
      <c r="AH30" s="99">
        <f>VLOOKUP(AK30,$A$61:$Z$63,12,0)</f>
        <v>46023</v>
      </c>
      <c r="AI30" s="100"/>
      <c r="AJ30" s="101"/>
      <c r="AK30" s="93">
        <v>2</v>
      </c>
      <c r="AL30" s="94"/>
      <c r="AM30" s="95"/>
      <c r="AN30" s="102">
        <f>VLOOKUP(AK30,$A$61:$Z$63,15,0)</f>
        <v>503.558</v>
      </c>
      <c r="AO30" s="103"/>
      <c r="AP30" s="104"/>
      <c r="AQ30" s="121"/>
      <c r="AR30" s="122"/>
      <c r="AS30" s="123"/>
      <c r="AT30" s="179"/>
      <c r="AU30" s="180"/>
      <c r="AV30" s="181"/>
      <c r="AW30" s="130"/>
      <c r="AX30" s="131"/>
      <c r="AY30" s="132"/>
      <c r="AZ30" s="182"/>
      <c r="BA30" s="183"/>
      <c r="BB30" s="184"/>
      <c r="BC30" s="130"/>
      <c r="BD30" s="131"/>
      <c r="BE30" s="132"/>
      <c r="BF30" s="118"/>
      <c r="BG30" s="119"/>
      <c r="BH30" s="120"/>
      <c r="BI30" s="130"/>
      <c r="BJ30" s="131"/>
      <c r="BK30" s="132"/>
      <c r="BL30" s="130"/>
      <c r="BM30" s="131"/>
      <c r="BN30" s="132"/>
      <c r="BO30" s="130"/>
      <c r="BP30" s="131"/>
      <c r="BQ30" s="132"/>
    </row>
    <row r="31" s="31" customFormat="1" ht="16.95" customHeight="1" spans="1:71">
      <c r="A31" s="135"/>
      <c r="B31" s="136"/>
      <c r="C31" s="135"/>
      <c r="D31" s="137"/>
      <c r="E31" s="136"/>
      <c r="F31" s="112" t="s">
        <v>16143</v>
      </c>
      <c r="G31" s="114"/>
      <c r="H31" s="113"/>
      <c r="I31" s="138" t="str">
        <f>I24</f>
        <v>AREEIRO SAARA - ANASTÁCIO/MS</v>
      </c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9" t="s">
        <v>99</v>
      </c>
      <c r="AC31" s="140"/>
      <c r="AD31" s="141"/>
      <c r="AE31" s="142">
        <v>180</v>
      </c>
      <c r="AF31" s="143"/>
      <c r="AG31" s="144"/>
      <c r="AH31" s="194">
        <f>AH24</f>
        <v>46149</v>
      </c>
      <c r="AI31" s="195"/>
      <c r="AJ31" s="196"/>
      <c r="AK31" s="139">
        <v>2</v>
      </c>
      <c r="AL31" s="140"/>
      <c r="AM31" s="141"/>
      <c r="AN31" s="197">
        <f>AN24</f>
        <v>517.531373850489</v>
      </c>
      <c r="AO31" s="198"/>
      <c r="AP31" s="199"/>
      <c r="AQ31" s="142">
        <f>AE31/(AN31/AN$30)</f>
        <v>175.139990693946</v>
      </c>
      <c r="AR31" s="143"/>
      <c r="AS31" s="144"/>
      <c r="AT31" s="145">
        <f>AT24</f>
        <v>7.2</v>
      </c>
      <c r="AU31" s="146"/>
      <c r="AV31" s="147"/>
      <c r="AW31" s="145">
        <f t="shared" ref="AW31" si="0">AW24</f>
        <v>0</v>
      </c>
      <c r="AX31" s="146"/>
      <c r="AY31" s="147"/>
      <c r="AZ31" s="145">
        <f t="shared" ref="AZ31" si="1">AZ24</f>
        <v>366.8</v>
      </c>
      <c r="BA31" s="146"/>
      <c r="BB31" s="147"/>
      <c r="BC31" s="151">
        <v>1.28</v>
      </c>
      <c r="BD31" s="151"/>
      <c r="BE31" s="151"/>
      <c r="BF31" s="151">
        <v>1.02</v>
      </c>
      <c r="BG31" s="151"/>
      <c r="BH31" s="151"/>
      <c r="BI31" s="151">
        <v>0.84</v>
      </c>
      <c r="BJ31" s="151"/>
      <c r="BK31" s="151"/>
      <c r="BL31" s="142">
        <f>(AT31*BC31+AW31*BF31+AZ31*BI31)*1.5</f>
        <v>475.992</v>
      </c>
      <c r="BM31" s="143"/>
      <c r="BN31" s="144"/>
      <c r="BO31" s="142">
        <f>AQ31+BL31</f>
        <v>651.131990693947</v>
      </c>
      <c r="BP31" s="143"/>
      <c r="BQ31" s="144"/>
      <c r="BR31" s="152"/>
      <c r="BS31" s="153"/>
    </row>
    <row r="32" s="34" customFormat="1" ht="17.4" customHeight="1" spans="1:71">
      <c r="A32" s="112"/>
      <c r="B32" s="113"/>
      <c r="C32" s="112"/>
      <c r="D32" s="114"/>
      <c r="E32" s="113"/>
      <c r="F32" s="112" t="s">
        <v>16143</v>
      </c>
      <c r="G32" s="114"/>
      <c r="H32" s="113"/>
      <c r="I32" s="115" t="str">
        <f>I26</f>
        <v>DISTRIBUIDORA DE AREIA TRÊS LAGOAS - CAMPO GRANDE/MS</v>
      </c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7"/>
      <c r="AB32" s="118" t="s">
        <v>99</v>
      </c>
      <c r="AC32" s="119"/>
      <c r="AD32" s="120"/>
      <c r="AE32" s="121">
        <v>143</v>
      </c>
      <c r="AF32" s="122"/>
      <c r="AG32" s="123"/>
      <c r="AH32" s="194">
        <f>AH26</f>
        <v>46149</v>
      </c>
      <c r="AI32" s="195"/>
      <c r="AJ32" s="196"/>
      <c r="AK32" s="139">
        <v>2</v>
      </c>
      <c r="AL32" s="140"/>
      <c r="AM32" s="141"/>
      <c r="AN32" s="197">
        <f>AN26</f>
        <v>517.531373850489</v>
      </c>
      <c r="AO32" s="198"/>
      <c r="AP32" s="199"/>
      <c r="AQ32" s="121">
        <f>AE32/(AN32/AN$23)</f>
        <v>139.138992606857</v>
      </c>
      <c r="AR32" s="122"/>
      <c r="AS32" s="123"/>
      <c r="AT32" s="130">
        <f>AT26</f>
        <v>7.2</v>
      </c>
      <c r="AU32" s="131"/>
      <c r="AV32" s="132"/>
      <c r="AW32" s="130">
        <f t="shared" ref="AW32:AW33" si="2">AW26</f>
        <v>0</v>
      </c>
      <c r="AX32" s="131"/>
      <c r="AY32" s="132"/>
      <c r="AZ32" s="130">
        <f t="shared" ref="AZ32:AZ33" si="3">AZ26</f>
        <v>268.8</v>
      </c>
      <c r="BA32" s="131"/>
      <c r="BB32" s="132"/>
      <c r="BC32" s="130">
        <v>1.28</v>
      </c>
      <c r="BD32" s="131"/>
      <c r="BE32" s="132"/>
      <c r="BF32" s="130">
        <v>1.02</v>
      </c>
      <c r="BG32" s="131"/>
      <c r="BH32" s="132"/>
      <c r="BI32" s="130">
        <v>0.84</v>
      </c>
      <c r="BJ32" s="131"/>
      <c r="BK32" s="132"/>
      <c r="BL32" s="121">
        <f>(AT32*BC32+AW32*BF32+AZ32*BI32)*1.5</f>
        <v>352.512</v>
      </c>
      <c r="BM32" s="122"/>
      <c r="BN32" s="123"/>
      <c r="BO32" s="121">
        <f>AQ32+BL32</f>
        <v>491.650992606857</v>
      </c>
      <c r="BP32" s="122"/>
      <c r="BQ32" s="123"/>
    </row>
    <row r="33" s="34" customFormat="1" ht="17.4" customHeight="1" spans="1:71">
      <c r="A33" s="112"/>
      <c r="B33" s="113"/>
      <c r="C33" s="112"/>
      <c r="D33" s="114"/>
      <c r="E33" s="113"/>
      <c r="F33" s="112" t="s">
        <v>16143</v>
      </c>
      <c r="G33" s="114"/>
      <c r="H33" s="113"/>
      <c r="I33" s="115" t="str">
        <f>I27</f>
        <v>PORTO DE AREIA RIBEIRO FILHO LTDA - PRESIDENTE EPITÁCIO/SP</v>
      </c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7"/>
      <c r="AB33" s="118" t="s">
        <v>99</v>
      </c>
      <c r="AC33" s="119"/>
      <c r="AD33" s="120"/>
      <c r="AE33" s="121">
        <f>94*1.5</f>
        <v>141</v>
      </c>
      <c r="AF33" s="122"/>
      <c r="AG33" s="123"/>
      <c r="AH33" s="194">
        <f>AH27</f>
        <v>46149</v>
      </c>
      <c r="AI33" s="195"/>
      <c r="AJ33" s="196"/>
      <c r="AK33" s="139">
        <v>2</v>
      </c>
      <c r="AL33" s="140"/>
      <c r="AM33" s="141"/>
      <c r="AN33" s="197">
        <f>AN27</f>
        <v>517.531373850489</v>
      </c>
      <c r="AO33" s="198"/>
      <c r="AP33" s="199"/>
      <c r="AQ33" s="121">
        <f>AE33/(AN33/AN$23)</f>
        <v>137.192992710258</v>
      </c>
      <c r="AR33" s="122"/>
      <c r="AS33" s="123"/>
      <c r="AT33" s="130">
        <f>AT27</f>
        <v>7.2</v>
      </c>
      <c r="AU33" s="131"/>
      <c r="AV33" s="132"/>
      <c r="AW33" s="130">
        <f t="shared" si="2"/>
        <v>0</v>
      </c>
      <c r="AX33" s="131"/>
      <c r="AY33" s="132"/>
      <c r="AZ33" s="130">
        <f t="shared" si="3"/>
        <v>276.8</v>
      </c>
      <c r="BA33" s="131"/>
      <c r="BB33" s="132"/>
      <c r="BC33" s="130">
        <v>1.28</v>
      </c>
      <c r="BD33" s="131"/>
      <c r="BE33" s="132"/>
      <c r="BF33" s="130">
        <v>1.02</v>
      </c>
      <c r="BG33" s="131"/>
      <c r="BH33" s="132"/>
      <c r="BI33" s="130">
        <v>0.84</v>
      </c>
      <c r="BJ33" s="131"/>
      <c r="BK33" s="132"/>
      <c r="BL33" s="121">
        <f>(AT33*BC33+AW33*BF33+AZ33*BI33)*1.5</f>
        <v>362.592</v>
      </c>
      <c r="BM33" s="122"/>
      <c r="BN33" s="123"/>
      <c r="BO33" s="121">
        <f>AQ33+BL33</f>
        <v>499.784992710258</v>
      </c>
      <c r="BP33" s="122"/>
      <c r="BQ33" s="123"/>
    </row>
    <row r="34" s="29" customFormat="1" ht="16.95" customHeight="1" spans="1:71">
      <c r="A34" s="200"/>
      <c r="B34" s="201"/>
      <c r="C34" s="200"/>
      <c r="D34" s="202"/>
      <c r="E34" s="201"/>
      <c r="F34" s="203" t="s">
        <v>16143</v>
      </c>
      <c r="G34" s="204"/>
      <c r="H34" s="205"/>
      <c r="I34" s="206" t="s">
        <v>16157</v>
      </c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  <c r="X34" s="206"/>
      <c r="Y34" s="206"/>
      <c r="Z34" s="206"/>
      <c r="AA34" s="206"/>
      <c r="AB34" s="207" t="s">
        <v>99</v>
      </c>
      <c r="AC34" s="208"/>
      <c r="AD34" s="209"/>
      <c r="AE34" s="210">
        <v>60</v>
      </c>
      <c r="AF34" s="211"/>
      <c r="AG34" s="212"/>
      <c r="AH34" s="194">
        <v>46149</v>
      </c>
      <c r="AI34" s="195"/>
      <c r="AJ34" s="196"/>
      <c r="AK34" s="139">
        <v>2</v>
      </c>
      <c r="AL34" s="140"/>
      <c r="AM34" s="141"/>
      <c r="AN34" s="197">
        <f>508.061*(508.061/503.391)*(508.061/503.391)</f>
        <v>517.531373850489</v>
      </c>
      <c r="AO34" s="198"/>
      <c r="AP34" s="199"/>
      <c r="AQ34" s="210">
        <f>AE34/(AN34/AN$30)</f>
        <v>58.3799968979822</v>
      </c>
      <c r="AR34" s="211"/>
      <c r="AS34" s="212"/>
      <c r="AT34" s="213">
        <v>11.2</v>
      </c>
      <c r="AU34" s="214"/>
      <c r="AV34" s="215"/>
      <c r="AW34" s="213">
        <v>0</v>
      </c>
      <c r="AX34" s="214"/>
      <c r="AY34" s="215"/>
      <c r="AZ34" s="213">
        <f>118-AT34</f>
        <v>106.8</v>
      </c>
      <c r="BA34" s="214"/>
      <c r="BB34" s="215"/>
      <c r="BC34" s="219">
        <v>1.28</v>
      </c>
      <c r="BD34" s="219"/>
      <c r="BE34" s="219"/>
      <c r="BF34" s="219">
        <v>1.02</v>
      </c>
      <c r="BG34" s="219"/>
      <c r="BH34" s="219"/>
      <c r="BI34" s="219">
        <v>0.84</v>
      </c>
      <c r="BJ34" s="219"/>
      <c r="BK34" s="219"/>
      <c r="BL34" s="210">
        <f>(AT34*BC34+AW34*BF34+AZ34*BI34)*1.5</f>
        <v>156.072</v>
      </c>
      <c r="BM34" s="211"/>
      <c r="BN34" s="212"/>
      <c r="BO34" s="210">
        <f>AQ34+BL34</f>
        <v>214.451996897982</v>
      </c>
      <c r="BP34" s="211"/>
      <c r="BQ34" s="212"/>
      <c r="BR34" s="220"/>
      <c r="BS34" s="221"/>
    </row>
    <row r="35" s="32" customFormat="1" ht="17.4" customHeight="1" spans="1:71">
      <c r="A35" s="154"/>
      <c r="B35" s="155"/>
      <c r="C35" s="156" t="s">
        <v>16148</v>
      </c>
      <c r="D35" s="157"/>
      <c r="E35" s="158"/>
      <c r="F35" s="159" t="s">
        <v>16149</v>
      </c>
      <c r="G35" s="159"/>
      <c r="H35" s="159"/>
      <c r="I35" s="160" t="s">
        <v>16150</v>
      </c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1" t="s">
        <v>101</v>
      </c>
      <c r="AC35" s="162"/>
      <c r="AD35" s="163"/>
      <c r="AE35" s="164">
        <f>MEDIAN(AE31:AG34)</f>
        <v>142</v>
      </c>
      <c r="AF35" s="165"/>
      <c r="AG35" s="166"/>
      <c r="AH35" s="167">
        <f>MEDIAN(AH31:AJ34)</f>
        <v>46149</v>
      </c>
      <c r="AI35" s="168"/>
      <c r="AJ35" s="169"/>
      <c r="AK35" s="161">
        <f>AK34</f>
        <v>2</v>
      </c>
      <c r="AL35" s="162"/>
      <c r="AM35" s="163"/>
      <c r="AN35" s="170">
        <f>508.061*(508.061/503.391)*(508.061/503.391)</f>
        <v>517.531373850489</v>
      </c>
      <c r="AO35" s="171"/>
      <c r="AP35" s="172"/>
      <c r="AQ35" s="164">
        <f>AE35/(AN35/AN$30)</f>
        <v>138.165992658558</v>
      </c>
      <c r="AR35" s="165"/>
      <c r="AS35" s="166"/>
      <c r="AT35" s="173">
        <f>MEDIAN(AT31:AV34)</f>
        <v>7.2</v>
      </c>
      <c r="AU35" s="174"/>
      <c r="AV35" s="175"/>
      <c r="AW35" s="173">
        <f>MEDIAN(AW31:AY34)</f>
        <v>0</v>
      </c>
      <c r="AX35" s="174"/>
      <c r="AY35" s="175"/>
      <c r="AZ35" s="173">
        <f>MEDIAN(AZ31:BB34)</f>
        <v>272.8</v>
      </c>
      <c r="BA35" s="174"/>
      <c r="BB35" s="175"/>
      <c r="BC35" s="225">
        <v>1.28</v>
      </c>
      <c r="BD35" s="225"/>
      <c r="BE35" s="225"/>
      <c r="BF35" s="225">
        <v>1.02</v>
      </c>
      <c r="BG35" s="225"/>
      <c r="BH35" s="225"/>
      <c r="BI35" s="225">
        <v>0.84</v>
      </c>
      <c r="BJ35" s="225"/>
      <c r="BK35" s="225"/>
      <c r="BL35" s="226">
        <f>(AT35*BC35+AW35*BF35+AZ35*BI35)*1.5</f>
        <v>357.552</v>
      </c>
      <c r="BM35" s="227"/>
      <c r="BN35" s="228"/>
      <c r="BO35" s="164">
        <f>IF(AE35="","",AQ35+BL35)</f>
        <v>495.717992658558</v>
      </c>
      <c r="BP35" s="165"/>
      <c r="BQ35" s="166"/>
    </row>
    <row r="36" s="36" customFormat="1" ht="17.4" customHeight="1" spans="1:71">
      <c r="A36" s="229"/>
      <c r="B36" s="230"/>
      <c r="C36" s="229"/>
      <c r="D36" s="231"/>
      <c r="E36" s="230"/>
      <c r="F36" s="232"/>
      <c r="G36" s="232"/>
      <c r="H36" s="232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4"/>
      <c r="AC36" s="235"/>
      <c r="AD36" s="236"/>
      <c r="AE36" s="237"/>
      <c r="AF36" s="238"/>
      <c r="AG36" s="239"/>
      <c r="AH36" s="240"/>
      <c r="AI36" s="241"/>
      <c r="AJ36" s="242"/>
      <c r="AK36" s="234"/>
      <c r="AL36" s="235"/>
      <c r="AM36" s="236"/>
      <c r="AN36" s="243"/>
      <c r="AO36" s="244"/>
      <c r="AP36" s="245"/>
      <c r="AQ36" s="237"/>
      <c r="AR36" s="238"/>
      <c r="AS36" s="239"/>
      <c r="AT36" s="179"/>
      <c r="AU36" s="180"/>
      <c r="AV36" s="181"/>
      <c r="AW36" s="130"/>
      <c r="AX36" s="131"/>
      <c r="AY36" s="132"/>
      <c r="AZ36" s="182"/>
      <c r="BA36" s="183"/>
      <c r="BB36" s="184"/>
      <c r="BC36" s="246"/>
      <c r="BD36" s="246"/>
      <c r="BE36" s="246"/>
      <c r="BF36" s="246"/>
      <c r="BG36" s="246"/>
      <c r="BH36" s="246"/>
      <c r="BI36" s="246"/>
      <c r="BJ36" s="246"/>
      <c r="BK36" s="246"/>
      <c r="BL36" s="237"/>
      <c r="BM36" s="238"/>
      <c r="BN36" s="239"/>
      <c r="BO36" s="237"/>
      <c r="BP36" s="238"/>
      <c r="BQ36" s="239"/>
    </row>
    <row r="37" s="33" customFormat="1" ht="17.4" customHeight="1" spans="1:71">
      <c r="A37" s="186"/>
      <c r="B37" s="187"/>
      <c r="C37" s="186"/>
      <c r="D37" s="188"/>
      <c r="E37" s="187"/>
      <c r="F37" s="189" t="s">
        <v>854</v>
      </c>
      <c r="G37" s="189"/>
      <c r="H37" s="189"/>
      <c r="I37" s="190" t="s">
        <v>16158</v>
      </c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1" t="s">
        <v>99</v>
      </c>
      <c r="AC37" s="192"/>
      <c r="AD37" s="193"/>
      <c r="AE37" s="121"/>
      <c r="AF37" s="122"/>
      <c r="AG37" s="123"/>
      <c r="AH37" s="99">
        <f>VLOOKUP(AK37,$A$61:$Z$63,12,0)</f>
        <v>46023</v>
      </c>
      <c r="AI37" s="100"/>
      <c r="AJ37" s="101"/>
      <c r="AK37" s="93">
        <v>2</v>
      </c>
      <c r="AL37" s="94"/>
      <c r="AM37" s="95"/>
      <c r="AN37" s="102">
        <f>VLOOKUP(AK37,$A$61:$Z$63,15,0)</f>
        <v>503.558</v>
      </c>
      <c r="AO37" s="103"/>
      <c r="AP37" s="104"/>
      <c r="AQ37" s="121"/>
      <c r="AR37" s="122"/>
      <c r="AS37" s="123"/>
      <c r="AT37" s="179"/>
      <c r="AU37" s="180"/>
      <c r="AV37" s="181"/>
      <c r="AW37" s="130"/>
      <c r="AX37" s="131"/>
      <c r="AY37" s="132"/>
      <c r="AZ37" s="182"/>
      <c r="BA37" s="183"/>
      <c r="BB37" s="184"/>
      <c r="BC37" s="130"/>
      <c r="BD37" s="131"/>
      <c r="BE37" s="132"/>
      <c r="BF37" s="118"/>
      <c r="BG37" s="119"/>
      <c r="BH37" s="120"/>
      <c r="BI37" s="130"/>
      <c r="BJ37" s="131"/>
      <c r="BK37" s="132"/>
      <c r="BL37" s="130"/>
      <c r="BM37" s="131"/>
      <c r="BN37" s="132"/>
      <c r="BO37" s="130"/>
      <c r="BP37" s="131"/>
      <c r="BQ37" s="132"/>
    </row>
    <row r="38" s="31" customFormat="1" ht="16.95" customHeight="1" spans="1:71">
      <c r="A38" s="135"/>
      <c r="B38" s="136"/>
      <c r="C38" s="135"/>
      <c r="D38" s="137"/>
      <c r="E38" s="136"/>
      <c r="F38" s="112" t="s">
        <v>16143</v>
      </c>
      <c r="G38" s="114"/>
      <c r="H38" s="113"/>
      <c r="I38" s="138" t="str">
        <f>I31</f>
        <v>AREEIRO SAARA - ANASTÁCIO/MS</v>
      </c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9" t="s">
        <v>99</v>
      </c>
      <c r="AC38" s="140"/>
      <c r="AD38" s="141"/>
      <c r="AE38" s="142">
        <v>180</v>
      </c>
      <c r="AF38" s="143"/>
      <c r="AG38" s="144"/>
      <c r="AH38" s="194">
        <f>AH31</f>
        <v>46149</v>
      </c>
      <c r="AI38" s="195"/>
      <c r="AJ38" s="196"/>
      <c r="AK38" s="139">
        <v>2</v>
      </c>
      <c r="AL38" s="140"/>
      <c r="AM38" s="141"/>
      <c r="AN38" s="197">
        <f>AN31</f>
        <v>517.531373850489</v>
      </c>
      <c r="AO38" s="198"/>
      <c r="AP38" s="199"/>
      <c r="AQ38" s="142">
        <f>AE38/(AN38/AN$37)</f>
        <v>175.139990693946</v>
      </c>
      <c r="AR38" s="143"/>
      <c r="AS38" s="144"/>
      <c r="AT38" s="145">
        <f>AT31</f>
        <v>7.2</v>
      </c>
      <c r="AU38" s="146"/>
      <c r="AV38" s="147"/>
      <c r="AW38" s="145">
        <f t="shared" ref="AW38:AZ41" si="4">AW31</f>
        <v>0</v>
      </c>
      <c r="AX38" s="146"/>
      <c r="AY38" s="147"/>
      <c r="AZ38" s="145">
        <f t="shared" ref="AZ38" si="5">AZ31</f>
        <v>366.8</v>
      </c>
      <c r="BA38" s="146"/>
      <c r="BB38" s="147"/>
      <c r="BC38" s="151">
        <v>1.28</v>
      </c>
      <c r="BD38" s="151"/>
      <c r="BE38" s="151"/>
      <c r="BF38" s="151">
        <v>1.02</v>
      </c>
      <c r="BG38" s="151"/>
      <c r="BH38" s="151"/>
      <c r="BI38" s="151">
        <v>0.84</v>
      </c>
      <c r="BJ38" s="151"/>
      <c r="BK38" s="151"/>
      <c r="BL38" s="142">
        <f>(AT38*BC38+AW38*BF38+AZ38*BI38)*1.5</f>
        <v>475.992</v>
      </c>
      <c r="BM38" s="143"/>
      <c r="BN38" s="144"/>
      <c r="BO38" s="142">
        <f>AQ38+BL38</f>
        <v>651.131990693947</v>
      </c>
      <c r="BP38" s="143"/>
      <c r="BQ38" s="144"/>
      <c r="BR38" s="152"/>
      <c r="BS38" s="153"/>
    </row>
    <row r="39" s="34" customFormat="1" ht="17.4" customHeight="1" spans="1:71">
      <c r="A39" s="112"/>
      <c r="B39" s="113"/>
      <c r="C39" s="112"/>
      <c r="D39" s="114"/>
      <c r="E39" s="113"/>
      <c r="F39" s="112" t="s">
        <v>16143</v>
      </c>
      <c r="G39" s="114"/>
      <c r="H39" s="113"/>
      <c r="I39" s="138" t="str">
        <f t="shared" ref="I39:I41" si="6">I32</f>
        <v>DISTRIBUIDORA DE AREIA TRÊS LAGOAS - CAMPO GRANDE/MS</v>
      </c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18" t="s">
        <v>99</v>
      </c>
      <c r="AC39" s="119"/>
      <c r="AD39" s="120"/>
      <c r="AE39" s="121">
        <v>145</v>
      </c>
      <c r="AF39" s="122"/>
      <c r="AG39" s="123"/>
      <c r="AH39" s="194">
        <f t="shared" ref="AH39:AH41" si="7">AH32</f>
        <v>46149</v>
      </c>
      <c r="AI39" s="195"/>
      <c r="AJ39" s="196"/>
      <c r="AK39" s="139">
        <v>2</v>
      </c>
      <c r="AL39" s="140"/>
      <c r="AM39" s="141"/>
      <c r="AN39" s="197">
        <f t="shared" ref="AN39:AN41" si="8">AN32</f>
        <v>517.531373850489</v>
      </c>
      <c r="AO39" s="198"/>
      <c r="AP39" s="199"/>
      <c r="AQ39" s="121">
        <f>AE39/(AN39/AN$23)</f>
        <v>141.084992503457</v>
      </c>
      <c r="AR39" s="122"/>
      <c r="AS39" s="123"/>
      <c r="AT39" s="145">
        <f t="shared" ref="AT39:AT41" si="9">AT32</f>
        <v>7.2</v>
      </c>
      <c r="AU39" s="146"/>
      <c r="AV39" s="147"/>
      <c r="AW39" s="145">
        <f t="shared" si="4"/>
        <v>0</v>
      </c>
      <c r="AX39" s="146"/>
      <c r="AY39" s="147"/>
      <c r="AZ39" s="145">
        <f t="shared" si="4"/>
        <v>268.8</v>
      </c>
      <c r="BA39" s="146"/>
      <c r="BB39" s="147"/>
      <c r="BC39" s="130">
        <v>1.28</v>
      </c>
      <c r="BD39" s="131"/>
      <c r="BE39" s="132"/>
      <c r="BF39" s="130">
        <v>1.02</v>
      </c>
      <c r="BG39" s="131"/>
      <c r="BH39" s="132"/>
      <c r="BI39" s="130">
        <v>0.84</v>
      </c>
      <c r="BJ39" s="131"/>
      <c r="BK39" s="132"/>
      <c r="BL39" s="121">
        <f>(AT39*BC39+AW39*BF39+AZ39*BI39)*1.5</f>
        <v>352.512</v>
      </c>
      <c r="BM39" s="122"/>
      <c r="BN39" s="123"/>
      <c r="BO39" s="121">
        <f>AQ39+BL39</f>
        <v>493.596992503457</v>
      </c>
      <c r="BP39" s="122"/>
      <c r="BQ39" s="123"/>
    </row>
    <row r="40" s="34" customFormat="1" ht="17.4" customHeight="1" spans="1:71">
      <c r="A40" s="112"/>
      <c r="B40" s="113"/>
      <c r="C40" s="112"/>
      <c r="D40" s="114"/>
      <c r="E40" s="113"/>
      <c r="F40" s="112" t="s">
        <v>16143</v>
      </c>
      <c r="G40" s="114"/>
      <c r="H40" s="113"/>
      <c r="I40" s="138" t="str">
        <f t="shared" si="6"/>
        <v>PORTO DE AREIA RIBEIRO FILHO LTDA - PRESIDENTE EPITÁCIO/SP</v>
      </c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  <c r="AA40" s="138"/>
      <c r="AB40" s="118" t="s">
        <v>99</v>
      </c>
      <c r="AC40" s="119"/>
      <c r="AD40" s="120"/>
      <c r="AE40" s="121">
        <f>94*1.5</f>
        <v>141</v>
      </c>
      <c r="AF40" s="122"/>
      <c r="AG40" s="123"/>
      <c r="AH40" s="194">
        <f t="shared" si="7"/>
        <v>46149</v>
      </c>
      <c r="AI40" s="195"/>
      <c r="AJ40" s="196"/>
      <c r="AK40" s="139">
        <v>2</v>
      </c>
      <c r="AL40" s="140"/>
      <c r="AM40" s="141"/>
      <c r="AN40" s="197">
        <f t="shared" si="8"/>
        <v>517.531373850489</v>
      </c>
      <c r="AO40" s="198"/>
      <c r="AP40" s="199"/>
      <c r="AQ40" s="121">
        <f>AE40/(AN40/AN$23)</f>
        <v>137.192992710258</v>
      </c>
      <c r="AR40" s="122"/>
      <c r="AS40" s="123"/>
      <c r="AT40" s="145">
        <f t="shared" si="9"/>
        <v>7.2</v>
      </c>
      <c r="AU40" s="146"/>
      <c r="AV40" s="147"/>
      <c r="AW40" s="145">
        <f t="shared" si="4"/>
        <v>0</v>
      </c>
      <c r="AX40" s="146"/>
      <c r="AY40" s="147"/>
      <c r="AZ40" s="145">
        <f t="shared" si="4"/>
        <v>276.8</v>
      </c>
      <c r="BA40" s="146"/>
      <c r="BB40" s="147"/>
      <c r="BC40" s="130">
        <v>1.28</v>
      </c>
      <c r="BD40" s="131"/>
      <c r="BE40" s="132"/>
      <c r="BF40" s="130">
        <v>1.02</v>
      </c>
      <c r="BG40" s="131"/>
      <c r="BH40" s="132"/>
      <c r="BI40" s="130">
        <v>0.84</v>
      </c>
      <c r="BJ40" s="131"/>
      <c r="BK40" s="132"/>
      <c r="BL40" s="121">
        <f>(AT40*BC40+AW40*BF40+AZ40*BI40)*1.5</f>
        <v>362.592</v>
      </c>
      <c r="BM40" s="122"/>
      <c r="BN40" s="123"/>
      <c r="BO40" s="121">
        <f>AQ40+BL40</f>
        <v>499.784992710258</v>
      </c>
      <c r="BP40" s="122"/>
      <c r="BQ40" s="123"/>
    </row>
    <row r="41" s="29" customFormat="1" ht="16.95" customHeight="1" spans="1:71">
      <c r="A41" s="200"/>
      <c r="B41" s="201"/>
      <c r="C41" s="200"/>
      <c r="D41" s="202"/>
      <c r="E41" s="201"/>
      <c r="F41" s="203" t="s">
        <v>16143</v>
      </c>
      <c r="G41" s="204"/>
      <c r="H41" s="205"/>
      <c r="I41" s="138" t="str">
        <f t="shared" si="6"/>
        <v>PEDREIRA ESTEIO - ITAPORÃ/MS</v>
      </c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207" t="s">
        <v>99</v>
      </c>
      <c r="AC41" s="208"/>
      <c r="AD41" s="209"/>
      <c r="AE41" s="210">
        <v>68</v>
      </c>
      <c r="AF41" s="211"/>
      <c r="AG41" s="212"/>
      <c r="AH41" s="194">
        <f t="shared" si="7"/>
        <v>46149</v>
      </c>
      <c r="AI41" s="195"/>
      <c r="AJ41" s="196"/>
      <c r="AK41" s="139">
        <v>2</v>
      </c>
      <c r="AL41" s="140"/>
      <c r="AM41" s="141"/>
      <c r="AN41" s="197">
        <f t="shared" si="8"/>
        <v>517.531373850489</v>
      </c>
      <c r="AO41" s="198"/>
      <c r="AP41" s="199"/>
      <c r="AQ41" s="210">
        <f>AE41/(AN41/AN$37)</f>
        <v>66.1639964843798</v>
      </c>
      <c r="AR41" s="211"/>
      <c r="AS41" s="212"/>
      <c r="AT41" s="145">
        <f t="shared" si="9"/>
        <v>11.2</v>
      </c>
      <c r="AU41" s="146"/>
      <c r="AV41" s="147"/>
      <c r="AW41" s="145">
        <f t="shared" si="4"/>
        <v>0</v>
      </c>
      <c r="AX41" s="146"/>
      <c r="AY41" s="147"/>
      <c r="AZ41" s="145">
        <f t="shared" si="4"/>
        <v>106.8</v>
      </c>
      <c r="BA41" s="146"/>
      <c r="BB41" s="147"/>
      <c r="BC41" s="219">
        <v>1.28</v>
      </c>
      <c r="BD41" s="219"/>
      <c r="BE41" s="219"/>
      <c r="BF41" s="219">
        <v>1.02</v>
      </c>
      <c r="BG41" s="219"/>
      <c r="BH41" s="219"/>
      <c r="BI41" s="219">
        <v>0.84</v>
      </c>
      <c r="BJ41" s="219"/>
      <c r="BK41" s="219"/>
      <c r="BL41" s="210">
        <f>(AT41*BC41+AW41*BF41+AZ41*BI41)*1.5</f>
        <v>156.072</v>
      </c>
      <c r="BM41" s="211"/>
      <c r="BN41" s="212"/>
      <c r="BO41" s="210">
        <f>AQ41+BL41</f>
        <v>222.23599648438</v>
      </c>
      <c r="BP41" s="211"/>
      <c r="BQ41" s="212"/>
      <c r="BR41" s="220"/>
      <c r="BS41" s="221"/>
    </row>
    <row r="42" s="32" customFormat="1" ht="17.4" customHeight="1" spans="1:71">
      <c r="A42" s="154"/>
      <c r="B42" s="155"/>
      <c r="C42" s="156" t="s">
        <v>16148</v>
      </c>
      <c r="D42" s="157"/>
      <c r="E42" s="158"/>
      <c r="F42" s="159" t="s">
        <v>16149</v>
      </c>
      <c r="G42" s="159"/>
      <c r="H42" s="159"/>
      <c r="I42" s="160" t="s">
        <v>16150</v>
      </c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1" t="s">
        <v>101</v>
      </c>
      <c r="AC42" s="162"/>
      <c r="AD42" s="163"/>
      <c r="AE42" s="164">
        <f>MEDIAN(AE38:AG41)</f>
        <v>143</v>
      </c>
      <c r="AF42" s="165"/>
      <c r="AG42" s="166"/>
      <c r="AH42" s="167">
        <f>MEDIAN(AH38:AJ41)</f>
        <v>46149</v>
      </c>
      <c r="AI42" s="168"/>
      <c r="AJ42" s="169"/>
      <c r="AK42" s="161">
        <f>AK41</f>
        <v>2</v>
      </c>
      <c r="AL42" s="162"/>
      <c r="AM42" s="163"/>
      <c r="AN42" s="170">
        <f>508.061*(508.061/503.391)*(508.061/503.391)</f>
        <v>517.531373850489</v>
      </c>
      <c r="AO42" s="171"/>
      <c r="AP42" s="172"/>
      <c r="AQ42" s="164">
        <f>AE42/(AN42/AN$37)</f>
        <v>139.138992606857</v>
      </c>
      <c r="AR42" s="165"/>
      <c r="AS42" s="166"/>
      <c r="AT42" s="173">
        <f>MEDIAN(AT38:AV41)</f>
        <v>7.2</v>
      </c>
      <c r="AU42" s="174"/>
      <c r="AV42" s="175"/>
      <c r="AW42" s="173">
        <f>MEDIAN(AW38:AY41)</f>
        <v>0</v>
      </c>
      <c r="AX42" s="174"/>
      <c r="AY42" s="175"/>
      <c r="AZ42" s="173">
        <f>MEDIAN(AZ38:BB41)</f>
        <v>272.8</v>
      </c>
      <c r="BA42" s="174"/>
      <c r="BB42" s="175"/>
      <c r="BC42" s="225">
        <v>1.28</v>
      </c>
      <c r="BD42" s="225"/>
      <c r="BE42" s="225"/>
      <c r="BF42" s="225">
        <v>1.02</v>
      </c>
      <c r="BG42" s="225"/>
      <c r="BH42" s="225"/>
      <c r="BI42" s="225">
        <v>0.84</v>
      </c>
      <c r="BJ42" s="225"/>
      <c r="BK42" s="225"/>
      <c r="BL42" s="226">
        <f>(AT42*BC42+AW42*BF42+AZ42*BI42)*1.5</f>
        <v>357.552</v>
      </c>
      <c r="BM42" s="227"/>
      <c r="BN42" s="228"/>
      <c r="BO42" s="164">
        <f>IF(AE42="","",AQ42+BL42)</f>
        <v>496.690992606858</v>
      </c>
      <c r="BP42" s="165"/>
      <c r="BQ42" s="166"/>
    </row>
    <row r="43" s="36" customFormat="1" ht="17.4" customHeight="1" spans="1:71">
      <c r="A43" s="229"/>
      <c r="B43" s="230"/>
      <c r="C43" s="229"/>
      <c r="D43" s="231"/>
      <c r="E43" s="230"/>
      <c r="F43" s="232"/>
      <c r="G43" s="232"/>
      <c r="H43" s="232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4"/>
      <c r="AC43" s="235"/>
      <c r="AD43" s="236"/>
      <c r="AE43" s="237"/>
      <c r="AF43" s="238"/>
      <c r="AG43" s="239"/>
      <c r="AH43" s="240"/>
      <c r="AI43" s="241"/>
      <c r="AJ43" s="242"/>
      <c r="AK43" s="234"/>
      <c r="AL43" s="235"/>
      <c r="AM43" s="236"/>
      <c r="AN43" s="243"/>
      <c r="AO43" s="244"/>
      <c r="AP43" s="245"/>
      <c r="AQ43" s="237"/>
      <c r="AR43" s="238"/>
      <c r="AS43" s="239"/>
      <c r="AT43" s="179"/>
      <c r="AU43" s="180"/>
      <c r="AV43" s="181"/>
      <c r="AW43" s="130"/>
      <c r="AX43" s="131"/>
      <c r="AY43" s="132"/>
      <c r="AZ43" s="182"/>
      <c r="BA43" s="183"/>
      <c r="BB43" s="184"/>
      <c r="BC43" s="246"/>
      <c r="BD43" s="246"/>
      <c r="BE43" s="246"/>
      <c r="BF43" s="246"/>
      <c r="BG43" s="246"/>
      <c r="BH43" s="246"/>
      <c r="BI43" s="246"/>
      <c r="BJ43" s="246"/>
      <c r="BK43" s="246"/>
      <c r="BL43" s="237"/>
      <c r="BM43" s="238"/>
      <c r="BN43" s="239"/>
      <c r="BO43" s="237"/>
      <c r="BP43" s="238"/>
      <c r="BQ43" s="239"/>
    </row>
    <row r="44" s="33" customFormat="1" ht="17.4" customHeight="1" spans="1:71">
      <c r="A44" s="186"/>
      <c r="B44" s="187"/>
      <c r="C44" s="186"/>
      <c r="D44" s="188"/>
      <c r="E44" s="187"/>
      <c r="F44" s="189" t="s">
        <v>836</v>
      </c>
      <c r="G44" s="189"/>
      <c r="H44" s="189"/>
      <c r="I44" s="190" t="s">
        <v>16159</v>
      </c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1" t="s">
        <v>101</v>
      </c>
      <c r="AC44" s="192"/>
      <c r="AD44" s="193"/>
      <c r="AE44" s="121"/>
      <c r="AF44" s="122"/>
      <c r="AG44" s="123"/>
      <c r="AH44" s="99">
        <f>VLOOKUP(AK44,$A$61:$Z$63,12,0)</f>
        <v>46023</v>
      </c>
      <c r="AI44" s="100"/>
      <c r="AJ44" s="101"/>
      <c r="AK44" s="93">
        <v>2</v>
      </c>
      <c r="AL44" s="94"/>
      <c r="AM44" s="95"/>
      <c r="AN44" s="102">
        <f>VLOOKUP(AK44,$A$61:$Z$63,15,0)</f>
        <v>503.558</v>
      </c>
      <c r="AO44" s="103"/>
      <c r="AP44" s="104"/>
      <c r="AQ44" s="121"/>
      <c r="AR44" s="122"/>
      <c r="AS44" s="123"/>
      <c r="AT44" s="179"/>
      <c r="AU44" s="180"/>
      <c r="AV44" s="181"/>
      <c r="AW44" s="130"/>
      <c r="AX44" s="131"/>
      <c r="AY44" s="132"/>
      <c r="AZ44" s="182"/>
      <c r="BA44" s="183"/>
      <c r="BB44" s="184"/>
      <c r="BC44" s="130"/>
      <c r="BD44" s="131"/>
      <c r="BE44" s="132"/>
      <c r="BF44" s="118"/>
      <c r="BG44" s="119"/>
      <c r="BH44" s="120"/>
      <c r="BI44" s="130"/>
      <c r="BJ44" s="131"/>
      <c r="BK44" s="132"/>
      <c r="BL44" s="130"/>
      <c r="BM44" s="131"/>
      <c r="BN44" s="132"/>
      <c r="BO44" s="130"/>
      <c r="BP44" s="131"/>
      <c r="BQ44" s="132"/>
    </row>
    <row r="45" s="31" customFormat="1" ht="17.4" customHeight="1" spans="1:71">
      <c r="A45" s="247"/>
      <c r="B45" s="248"/>
      <c r="C45" s="135"/>
      <c r="D45" s="137"/>
      <c r="E45" s="136"/>
      <c r="F45" s="249" t="s">
        <v>16145</v>
      </c>
      <c r="G45" s="249"/>
      <c r="H45" s="249"/>
      <c r="I45" s="250" t="s">
        <v>16160</v>
      </c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  <c r="AA45" s="252"/>
      <c r="AB45" s="139" t="s">
        <v>101</v>
      </c>
      <c r="AC45" s="140"/>
      <c r="AD45" s="141"/>
      <c r="AE45" s="210">
        <f>39.82/50</f>
        <v>0.7964</v>
      </c>
      <c r="AF45" s="211"/>
      <c r="AG45" s="212"/>
      <c r="AH45" s="194">
        <v>46149</v>
      </c>
      <c r="AI45" s="195"/>
      <c r="AJ45" s="196"/>
      <c r="AK45" s="139">
        <v>2</v>
      </c>
      <c r="AL45" s="140"/>
      <c r="AM45" s="141"/>
      <c r="AN45" s="197">
        <f>508.061*(508.061/503.391)*(508.061/503.391)</f>
        <v>517.531373850489</v>
      </c>
      <c r="AO45" s="198"/>
      <c r="AP45" s="199"/>
      <c r="AQ45" s="142">
        <f>AE45/(AN45/AN$44)</f>
        <v>0.774897158825883</v>
      </c>
      <c r="AR45" s="143"/>
      <c r="AS45" s="144"/>
      <c r="AT45" s="145">
        <v>0</v>
      </c>
      <c r="AU45" s="146"/>
      <c r="AV45" s="147"/>
      <c r="AW45" s="145">
        <v>0</v>
      </c>
      <c r="AX45" s="146"/>
      <c r="AY45" s="147"/>
      <c r="AZ45" s="148">
        <v>0</v>
      </c>
      <c r="BA45" s="149"/>
      <c r="BB45" s="150"/>
      <c r="BC45" s="151">
        <v>1.11</v>
      </c>
      <c r="BD45" s="151"/>
      <c r="BE45" s="151"/>
      <c r="BF45" s="151">
        <v>0.89</v>
      </c>
      <c r="BG45" s="151"/>
      <c r="BH45" s="151"/>
      <c r="BI45" s="151">
        <v>0.73</v>
      </c>
      <c r="BJ45" s="151"/>
      <c r="BK45" s="151"/>
      <c r="BL45" s="142">
        <f>(AT45*BC45+AW45*BF45+AZ45*BI45)*(1/1000)</f>
        <v>0</v>
      </c>
      <c r="BM45" s="143"/>
      <c r="BN45" s="144"/>
      <c r="BO45" s="142">
        <f>ROUND(AQ45+BL45,4)</f>
        <v>0.7749</v>
      </c>
      <c r="BP45" s="143"/>
      <c r="BQ45" s="144"/>
    </row>
    <row r="46" s="30" customFormat="1" ht="17.4" customHeight="1" spans="1:71">
      <c r="A46" s="112"/>
      <c r="B46" s="113"/>
      <c r="C46" s="112"/>
      <c r="D46" s="114"/>
      <c r="E46" s="113"/>
      <c r="F46" s="112" t="s">
        <v>16143</v>
      </c>
      <c r="G46" s="114"/>
      <c r="H46" s="113"/>
      <c r="I46" s="115" t="s">
        <v>16161</v>
      </c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7"/>
      <c r="AB46" s="118" t="s">
        <v>101</v>
      </c>
      <c r="AC46" s="119"/>
      <c r="AD46" s="120"/>
      <c r="AE46" s="121">
        <f>39.5/50</f>
        <v>0.79</v>
      </c>
      <c r="AF46" s="122"/>
      <c r="AG46" s="123"/>
      <c r="AH46" s="194">
        <v>46149</v>
      </c>
      <c r="AI46" s="195"/>
      <c r="AJ46" s="196"/>
      <c r="AK46" s="139">
        <v>2</v>
      </c>
      <c r="AL46" s="140"/>
      <c r="AM46" s="141"/>
      <c r="AN46" s="197">
        <f>508.061*(508.061/503.391)*(508.061/503.391)</f>
        <v>517.531373850489</v>
      </c>
      <c r="AO46" s="198"/>
      <c r="AP46" s="199"/>
      <c r="AQ46" s="121">
        <f>AE46/(AN46/AN$44)</f>
        <v>0.768669959156765</v>
      </c>
      <c r="AR46" s="122"/>
      <c r="AS46" s="123"/>
      <c r="AT46" s="130">
        <v>7.2</v>
      </c>
      <c r="AU46" s="131"/>
      <c r="AV46" s="132"/>
      <c r="AW46" s="130">
        <v>0</v>
      </c>
      <c r="AX46" s="131"/>
      <c r="AY46" s="132"/>
      <c r="AZ46" s="222">
        <f>278-AT46</f>
        <v>270.8</v>
      </c>
      <c r="BA46" s="223"/>
      <c r="BB46" s="224"/>
      <c r="BC46" s="185">
        <v>1.11</v>
      </c>
      <c r="BD46" s="185"/>
      <c r="BE46" s="185"/>
      <c r="BF46" s="185">
        <v>0.89</v>
      </c>
      <c r="BG46" s="185"/>
      <c r="BH46" s="185"/>
      <c r="BI46" s="185">
        <v>0.73</v>
      </c>
      <c r="BJ46" s="185"/>
      <c r="BK46" s="185"/>
      <c r="BL46" s="121">
        <f>(AT46*BC46+AW46*BF46+AZ46*BI46)*(1/1000)</f>
        <v>0.205676</v>
      </c>
      <c r="BM46" s="122"/>
      <c r="BN46" s="123"/>
      <c r="BO46" s="121">
        <f>AQ46+BL46</f>
        <v>0.974345959156765</v>
      </c>
      <c r="BP46" s="122"/>
      <c r="BQ46" s="123"/>
    </row>
    <row r="47" s="31" customFormat="1" ht="17.4" customHeight="1" spans="1:71">
      <c r="A47" s="247"/>
      <c r="B47" s="248"/>
      <c r="C47" s="247"/>
      <c r="D47" s="253"/>
      <c r="E47" s="248"/>
      <c r="F47" s="112" t="s">
        <v>16143</v>
      </c>
      <c r="G47" s="114"/>
      <c r="H47" s="113"/>
      <c r="I47" s="254" t="s">
        <v>16162</v>
      </c>
      <c r="J47" s="255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  <c r="AA47" s="256"/>
      <c r="AB47" s="139" t="s">
        <v>101</v>
      </c>
      <c r="AC47" s="140"/>
      <c r="AD47" s="141"/>
      <c r="AE47" s="142">
        <f>38.3/50</f>
        <v>0.766</v>
      </c>
      <c r="AF47" s="143"/>
      <c r="AG47" s="144"/>
      <c r="AH47" s="194">
        <v>46149</v>
      </c>
      <c r="AI47" s="195"/>
      <c r="AJ47" s="196"/>
      <c r="AK47" s="139">
        <v>2</v>
      </c>
      <c r="AL47" s="140"/>
      <c r="AM47" s="141"/>
      <c r="AN47" s="197">
        <f>508.061*(508.061/503.391)*(508.061/503.391)</f>
        <v>517.531373850489</v>
      </c>
      <c r="AO47" s="198"/>
      <c r="AP47" s="199"/>
      <c r="AQ47" s="142">
        <f>AE47/(AN47/AN$44)</f>
        <v>0.745317960397572</v>
      </c>
      <c r="AR47" s="143"/>
      <c r="AS47" s="144"/>
      <c r="AT47" s="145">
        <v>7.2</v>
      </c>
      <c r="AU47" s="146"/>
      <c r="AV47" s="147"/>
      <c r="AW47" s="145">
        <v>0</v>
      </c>
      <c r="AX47" s="146"/>
      <c r="AY47" s="147"/>
      <c r="AZ47" s="148">
        <f>277-AT47</f>
        <v>269.8</v>
      </c>
      <c r="BA47" s="149"/>
      <c r="BB47" s="150"/>
      <c r="BC47" s="151">
        <v>1.11</v>
      </c>
      <c r="BD47" s="151"/>
      <c r="BE47" s="151"/>
      <c r="BF47" s="151">
        <v>0.89</v>
      </c>
      <c r="BG47" s="151"/>
      <c r="BH47" s="151"/>
      <c r="BI47" s="151">
        <v>0.73</v>
      </c>
      <c r="BJ47" s="151"/>
      <c r="BK47" s="151"/>
      <c r="BL47" s="142">
        <f>(AT47*BC47+AW47*BF47+AZ47*BI47)*(1/1000)</f>
        <v>0.204946</v>
      </c>
      <c r="BM47" s="143"/>
      <c r="BN47" s="144"/>
      <c r="BO47" s="142">
        <f>AQ47+BL47</f>
        <v>0.950263960397572</v>
      </c>
      <c r="BP47" s="143"/>
      <c r="BQ47" s="144"/>
    </row>
    <row r="48" s="32" customFormat="1" ht="17.4" customHeight="1" spans="1:71">
      <c r="A48" s="154"/>
      <c r="B48" s="155"/>
      <c r="C48" s="156" t="s">
        <v>16148</v>
      </c>
      <c r="D48" s="157"/>
      <c r="E48" s="158"/>
      <c r="F48" s="159" t="s">
        <v>16149</v>
      </c>
      <c r="G48" s="159"/>
      <c r="H48" s="159"/>
      <c r="I48" s="160" t="s">
        <v>16150</v>
      </c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/>
      <c r="AB48" s="161" t="s">
        <v>101</v>
      </c>
      <c r="AC48" s="162"/>
      <c r="AD48" s="163"/>
      <c r="AE48" s="164">
        <f>MEDIAN(AE45:AG47)</f>
        <v>0.79</v>
      </c>
      <c r="AF48" s="165"/>
      <c r="AG48" s="166"/>
      <c r="AH48" s="167">
        <f>MEDIAN(AH45:AJ47)</f>
        <v>46149</v>
      </c>
      <c r="AI48" s="168"/>
      <c r="AJ48" s="169"/>
      <c r="AK48" s="161">
        <f>AK47</f>
        <v>2</v>
      </c>
      <c r="AL48" s="162"/>
      <c r="AM48" s="163"/>
      <c r="AN48" s="170">
        <f>508.061*(508.061/503.391)*(508.061/503.391)</f>
        <v>517.531373850489</v>
      </c>
      <c r="AO48" s="171"/>
      <c r="AP48" s="172"/>
      <c r="AQ48" s="164">
        <f>AE48/(AN48/AN$44)</f>
        <v>0.768669959156765</v>
      </c>
      <c r="AR48" s="165"/>
      <c r="AS48" s="166"/>
      <c r="AT48" s="173">
        <f>MEDIAN(AT45:AV47)</f>
        <v>7.2</v>
      </c>
      <c r="AU48" s="174"/>
      <c r="AV48" s="175"/>
      <c r="AW48" s="173">
        <f>MEDIAN(AW45:AY47)</f>
        <v>0</v>
      </c>
      <c r="AX48" s="174"/>
      <c r="AY48" s="175"/>
      <c r="AZ48" s="173">
        <f>MEDIAN(AZ45:BB47)</f>
        <v>269.8</v>
      </c>
      <c r="BA48" s="174"/>
      <c r="BB48" s="175"/>
      <c r="BC48" s="225">
        <v>1.11</v>
      </c>
      <c r="BD48" s="225"/>
      <c r="BE48" s="225"/>
      <c r="BF48" s="225">
        <v>0.89</v>
      </c>
      <c r="BG48" s="225"/>
      <c r="BH48" s="225"/>
      <c r="BI48" s="225">
        <v>0.73</v>
      </c>
      <c r="BJ48" s="225"/>
      <c r="BK48" s="225"/>
      <c r="BL48" s="164">
        <f>(AT48*BC48+AW48*BF48+AZ48*BI48)*(1/1000)</f>
        <v>0.204946</v>
      </c>
      <c r="BM48" s="165"/>
      <c r="BN48" s="166"/>
      <c r="BO48" s="164">
        <f>IF(AE48="","",AQ48+BL48)</f>
        <v>0.973615959156765</v>
      </c>
      <c r="BP48" s="165"/>
      <c r="BQ48" s="166"/>
    </row>
    <row r="49" s="36" customFormat="1" ht="17.4" customHeight="1" spans="1:72">
      <c r="A49" s="229"/>
      <c r="B49" s="230"/>
      <c r="C49" s="229"/>
      <c r="D49" s="231"/>
      <c r="E49" s="230"/>
      <c r="F49" s="229"/>
      <c r="G49" s="231"/>
      <c r="H49" s="230"/>
      <c r="I49" s="257"/>
      <c r="J49" s="258"/>
      <c r="K49" s="258"/>
      <c r="L49" s="258"/>
      <c r="M49" s="258"/>
      <c r="N49" s="258"/>
      <c r="O49" s="258"/>
      <c r="P49" s="258"/>
      <c r="Q49" s="258"/>
      <c r="R49" s="258"/>
      <c r="S49" s="258"/>
      <c r="T49" s="258"/>
      <c r="U49" s="258"/>
      <c r="V49" s="258"/>
      <c r="W49" s="258"/>
      <c r="X49" s="258"/>
      <c r="Y49" s="258"/>
      <c r="Z49" s="258"/>
      <c r="AA49" s="259"/>
      <c r="AB49" s="234"/>
      <c r="AC49" s="235"/>
      <c r="AD49" s="236"/>
      <c r="AE49" s="237"/>
      <c r="AF49" s="238"/>
      <c r="AG49" s="239"/>
      <c r="AH49" s="240"/>
      <c r="AI49" s="241"/>
      <c r="AJ49" s="242"/>
      <c r="AK49" s="234"/>
      <c r="AL49" s="235"/>
      <c r="AM49" s="236"/>
      <c r="AN49" s="243"/>
      <c r="AO49" s="244"/>
      <c r="AP49" s="245"/>
      <c r="AQ49" s="237"/>
      <c r="AR49" s="238"/>
      <c r="AS49" s="239"/>
      <c r="AT49" s="179"/>
      <c r="AU49" s="180"/>
      <c r="AV49" s="181"/>
      <c r="AW49" s="130"/>
      <c r="AX49" s="131"/>
      <c r="AY49" s="132"/>
      <c r="AZ49" s="182"/>
      <c r="BA49" s="183"/>
      <c r="BB49" s="184"/>
      <c r="BC49" s="179"/>
      <c r="BD49" s="180"/>
      <c r="BE49" s="181"/>
      <c r="BF49" s="179"/>
      <c r="BG49" s="180"/>
      <c r="BH49" s="181"/>
      <c r="BI49" s="179"/>
      <c r="BJ49" s="180"/>
      <c r="BK49" s="181"/>
      <c r="BL49" s="237"/>
      <c r="BM49" s="238"/>
      <c r="BN49" s="239"/>
      <c r="BO49" s="237"/>
      <c r="BP49" s="238"/>
      <c r="BQ49" s="239"/>
    </row>
    <row r="50" s="30" customFormat="1" ht="17.4" customHeight="1" spans="1:72">
      <c r="A50" s="112"/>
      <c r="B50" s="113"/>
      <c r="C50" s="112"/>
      <c r="D50" s="114"/>
      <c r="E50" s="113"/>
      <c r="F50" s="112" t="s">
        <v>14222</v>
      </c>
      <c r="G50" s="114"/>
      <c r="H50" s="113"/>
      <c r="I50" s="257" t="s">
        <v>16163</v>
      </c>
      <c r="J50" s="258"/>
      <c r="K50" s="258"/>
      <c r="L50" s="258"/>
      <c r="M50" s="258"/>
      <c r="N50" s="258"/>
      <c r="O50" s="258"/>
      <c r="P50" s="258"/>
      <c r="Q50" s="258"/>
      <c r="R50" s="258"/>
      <c r="S50" s="258"/>
      <c r="T50" s="258"/>
      <c r="U50" s="258"/>
      <c r="V50" s="258"/>
      <c r="W50" s="258"/>
      <c r="X50" s="258"/>
      <c r="Y50" s="258"/>
      <c r="Z50" s="258"/>
      <c r="AA50" s="259"/>
      <c r="AB50" s="191" t="s">
        <v>101</v>
      </c>
      <c r="AC50" s="192"/>
      <c r="AD50" s="193"/>
      <c r="AE50" s="121"/>
      <c r="AF50" s="122"/>
      <c r="AG50" s="123"/>
      <c r="AH50" s="99">
        <f>VLOOKUP(AK50,$A$61:$Z$63,12,0)</f>
        <v>46023</v>
      </c>
      <c r="AI50" s="100"/>
      <c r="AJ50" s="101"/>
      <c r="AK50" s="93">
        <v>1</v>
      </c>
      <c r="AL50" s="94"/>
      <c r="AM50" s="95"/>
      <c r="AN50" s="102">
        <f>VLOOKUP(AK50,$A$61:$Z$63,15,0)</f>
        <v>99.99</v>
      </c>
      <c r="AO50" s="103"/>
      <c r="AP50" s="104"/>
      <c r="AQ50" s="222"/>
      <c r="AR50" s="223"/>
      <c r="AS50" s="224"/>
      <c r="AT50" s="179"/>
      <c r="AU50" s="180"/>
      <c r="AV50" s="181"/>
      <c r="AW50" s="130"/>
      <c r="AX50" s="131"/>
      <c r="AY50" s="132"/>
      <c r="AZ50" s="182"/>
      <c r="BA50" s="183"/>
      <c r="BB50" s="184"/>
      <c r="BC50" s="130"/>
      <c r="BD50" s="131"/>
      <c r="BE50" s="132"/>
      <c r="BF50" s="130"/>
      <c r="BG50" s="131"/>
      <c r="BH50" s="132"/>
      <c r="BI50" s="130"/>
      <c r="BJ50" s="131"/>
      <c r="BK50" s="132"/>
      <c r="BL50" s="121"/>
      <c r="BM50" s="122"/>
      <c r="BN50" s="123"/>
      <c r="BO50" s="121"/>
      <c r="BP50" s="122"/>
      <c r="BQ50" s="123"/>
    </row>
    <row r="51" s="33" customFormat="1" ht="17.4" customHeight="1" spans="1:72">
      <c r="A51" s="247"/>
      <c r="B51" s="248"/>
      <c r="C51" s="135"/>
      <c r="D51" s="137"/>
      <c r="E51" s="136"/>
      <c r="F51" s="112" t="s">
        <v>16143</v>
      </c>
      <c r="G51" s="114"/>
      <c r="H51" s="113"/>
      <c r="I51" s="254" t="s">
        <v>16164</v>
      </c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U51" s="255"/>
      <c r="V51" s="255"/>
      <c r="W51" s="255"/>
      <c r="X51" s="255"/>
      <c r="Y51" s="255"/>
      <c r="Z51" s="255"/>
      <c r="AA51" s="256"/>
      <c r="AB51" s="139" t="s">
        <v>101</v>
      </c>
      <c r="AC51" s="140"/>
      <c r="AD51" s="141"/>
      <c r="AE51" s="260">
        <f>258.4/67.6</f>
        <v>3.82248520710059</v>
      </c>
      <c r="AF51" s="261"/>
      <c r="AG51" s="262"/>
      <c r="AH51" s="263">
        <v>46149</v>
      </c>
      <c r="AI51" s="264"/>
      <c r="AJ51" s="265"/>
      <c r="AK51" s="139">
        <v>1</v>
      </c>
      <c r="AL51" s="140"/>
      <c r="AM51" s="141"/>
      <c r="AN51" s="127">
        <f>100.705*(100.705/100.122)*(100.705/100.122)</f>
        <v>101.881204012488</v>
      </c>
      <c r="AO51" s="128"/>
      <c r="AP51" s="129"/>
      <c r="AQ51" s="260">
        <f>ROUND(AE51/(AN51/AN50),4)</f>
        <v>3.7515</v>
      </c>
      <c r="AR51" s="261"/>
      <c r="AS51" s="262"/>
      <c r="AT51" s="145">
        <v>7.2</v>
      </c>
      <c r="AU51" s="146"/>
      <c r="AV51" s="147"/>
      <c r="AW51" s="145">
        <v>0</v>
      </c>
      <c r="AX51" s="146"/>
      <c r="AY51" s="147"/>
      <c r="AZ51" s="148">
        <f>911-AT51</f>
        <v>903.8</v>
      </c>
      <c r="BA51" s="149"/>
      <c r="BB51" s="150"/>
      <c r="BC51" s="145">
        <v>2.07</v>
      </c>
      <c r="BD51" s="146"/>
      <c r="BE51" s="147"/>
      <c r="BF51" s="145">
        <v>1.66</v>
      </c>
      <c r="BG51" s="146"/>
      <c r="BH51" s="147"/>
      <c r="BI51" s="145">
        <v>1.36</v>
      </c>
      <c r="BJ51" s="146"/>
      <c r="BK51" s="147"/>
      <c r="BL51" s="142">
        <f>(AT51*BC51+AW51*BF51+AZ51*BI51)*(1/1000)</f>
        <v>1.244072</v>
      </c>
      <c r="BM51" s="143"/>
      <c r="BN51" s="144"/>
      <c r="BO51" s="260">
        <f>AQ51+BL51</f>
        <v>4.995572</v>
      </c>
      <c r="BP51" s="261"/>
      <c r="BQ51" s="262"/>
    </row>
    <row r="52" s="33" customFormat="1" ht="17.4" customHeight="1" spans="1:72">
      <c r="A52" s="247"/>
      <c r="B52" s="248"/>
      <c r="C52" s="135"/>
      <c r="D52" s="137"/>
      <c r="E52" s="136"/>
      <c r="F52" s="112" t="s">
        <v>16143</v>
      </c>
      <c r="G52" s="114"/>
      <c r="H52" s="113"/>
      <c r="I52" s="254" t="s">
        <v>16165</v>
      </c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6"/>
      <c r="AB52" s="139" t="s">
        <v>101</v>
      </c>
      <c r="AC52" s="140"/>
      <c r="AD52" s="141"/>
      <c r="AE52" s="260">
        <f>260/67.6</f>
        <v>3.84615384615385</v>
      </c>
      <c r="AF52" s="261"/>
      <c r="AG52" s="262"/>
      <c r="AH52" s="263">
        <v>46149</v>
      </c>
      <c r="AI52" s="264"/>
      <c r="AJ52" s="265"/>
      <c r="AK52" s="139">
        <v>1</v>
      </c>
      <c r="AL52" s="140"/>
      <c r="AM52" s="141"/>
      <c r="AN52" s="127">
        <f>100.705*(100.705/100.122)*(100.705/100.122)</f>
        <v>101.881204012488</v>
      </c>
      <c r="AO52" s="128"/>
      <c r="AP52" s="129"/>
      <c r="AQ52" s="260">
        <f>ROUND(AE52/(AN52/AN50),4)</f>
        <v>3.7748</v>
      </c>
      <c r="AR52" s="261"/>
      <c r="AS52" s="262"/>
      <c r="AT52" s="145">
        <v>7.2</v>
      </c>
      <c r="AU52" s="146"/>
      <c r="AV52" s="147"/>
      <c r="AW52" s="145">
        <v>0</v>
      </c>
      <c r="AX52" s="146"/>
      <c r="AY52" s="147"/>
      <c r="AZ52" s="148">
        <f>921-AT52</f>
        <v>913.8</v>
      </c>
      <c r="BA52" s="149"/>
      <c r="BB52" s="150"/>
      <c r="BC52" s="145">
        <v>2.07</v>
      </c>
      <c r="BD52" s="146"/>
      <c r="BE52" s="147"/>
      <c r="BF52" s="145">
        <v>1.66</v>
      </c>
      <c r="BG52" s="146"/>
      <c r="BH52" s="147"/>
      <c r="BI52" s="145">
        <v>1.36</v>
      </c>
      <c r="BJ52" s="146"/>
      <c r="BK52" s="147"/>
      <c r="BL52" s="142">
        <f>(AT52*BC52+AW52*BF52+AZ52*BI52)*(1/1000)</f>
        <v>1.257672</v>
      </c>
      <c r="BM52" s="143"/>
      <c r="BN52" s="144"/>
      <c r="BO52" s="260">
        <f>AQ52+BL52</f>
        <v>5.032472</v>
      </c>
      <c r="BP52" s="261"/>
      <c r="BQ52" s="262"/>
    </row>
    <row r="53" s="33" customFormat="1" ht="17.4" customHeight="1" spans="1:72">
      <c r="A53" s="247"/>
      <c r="B53" s="248"/>
      <c r="C53" s="135"/>
      <c r="D53" s="137"/>
      <c r="E53" s="136"/>
      <c r="F53" s="112" t="s">
        <v>16143</v>
      </c>
      <c r="G53" s="114"/>
      <c r="H53" s="113"/>
      <c r="I53" s="250" t="s">
        <v>16166</v>
      </c>
      <c r="J53" s="251"/>
      <c r="K53" s="251"/>
      <c r="L53" s="251"/>
      <c r="M53" s="251"/>
      <c r="N53" s="251"/>
      <c r="O53" s="251"/>
      <c r="P53" s="251"/>
      <c r="Q53" s="251"/>
      <c r="R53" s="251"/>
      <c r="S53" s="251"/>
      <c r="T53" s="251"/>
      <c r="U53" s="251"/>
      <c r="V53" s="251"/>
      <c r="W53" s="251"/>
      <c r="X53" s="251"/>
      <c r="Y53" s="251"/>
      <c r="Z53" s="251"/>
      <c r="AA53" s="252"/>
      <c r="AB53" s="139" t="s">
        <v>101</v>
      </c>
      <c r="AC53" s="140"/>
      <c r="AD53" s="141"/>
      <c r="AE53" s="266">
        <f>(188*1.1)/67.6</f>
        <v>3.05917159763314</v>
      </c>
      <c r="AF53" s="267"/>
      <c r="AG53" s="268"/>
      <c r="AH53" s="263">
        <v>46149</v>
      </c>
      <c r="AI53" s="264"/>
      <c r="AJ53" s="265"/>
      <c r="AK53" s="139">
        <v>1</v>
      </c>
      <c r="AL53" s="140"/>
      <c r="AM53" s="141"/>
      <c r="AN53" s="127">
        <f>100.705*(100.705/100.122)*(100.705/100.122)</f>
        <v>101.881204012488</v>
      </c>
      <c r="AO53" s="128"/>
      <c r="AP53" s="129"/>
      <c r="AQ53" s="260">
        <f>ROUND(AE53/(AN53/AN50),4)</f>
        <v>3.0024</v>
      </c>
      <c r="AR53" s="261"/>
      <c r="AS53" s="262"/>
      <c r="AT53" s="145">
        <v>7.2</v>
      </c>
      <c r="AU53" s="146"/>
      <c r="AV53" s="147"/>
      <c r="AW53" s="145">
        <v>0</v>
      </c>
      <c r="AX53" s="146"/>
      <c r="AY53" s="147"/>
      <c r="AZ53" s="148">
        <f>2504-AT53</f>
        <v>2496.8</v>
      </c>
      <c r="BA53" s="149"/>
      <c r="BB53" s="150"/>
      <c r="BC53" s="145">
        <v>2.07</v>
      </c>
      <c r="BD53" s="146"/>
      <c r="BE53" s="147"/>
      <c r="BF53" s="145">
        <v>1.66</v>
      </c>
      <c r="BG53" s="146"/>
      <c r="BH53" s="147"/>
      <c r="BI53" s="145">
        <v>1.36</v>
      </c>
      <c r="BJ53" s="146"/>
      <c r="BK53" s="147"/>
      <c r="BL53" s="142">
        <f>(AT53*BC53+AW53*BF53+AZ53*BI53)*(1/1000)</f>
        <v>3.410552</v>
      </c>
      <c r="BM53" s="143"/>
      <c r="BN53" s="144"/>
      <c r="BO53" s="260">
        <f>AQ53+BL53</f>
        <v>6.412952</v>
      </c>
      <c r="BP53" s="261"/>
      <c r="BQ53" s="262"/>
    </row>
    <row r="54" s="32" customFormat="1" ht="17.4" customHeight="1" spans="1:72">
      <c r="A54" s="154"/>
      <c r="B54" s="155"/>
      <c r="C54" s="156" t="s">
        <v>16148</v>
      </c>
      <c r="D54" s="157"/>
      <c r="E54" s="158"/>
      <c r="F54" s="159" t="s">
        <v>16149</v>
      </c>
      <c r="G54" s="159"/>
      <c r="H54" s="159"/>
      <c r="I54" s="160" t="s">
        <v>16150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1" t="s">
        <v>101</v>
      </c>
      <c r="AC54" s="162"/>
      <c r="AD54" s="163"/>
      <c r="AE54" s="164">
        <f>MEDIAN(AE51:AG53)</f>
        <v>3.82248520710059</v>
      </c>
      <c r="AF54" s="165"/>
      <c r="AG54" s="166"/>
      <c r="AH54" s="167">
        <f>MEDIAN(AH51:AJ53)</f>
        <v>46149</v>
      </c>
      <c r="AI54" s="168"/>
      <c r="AJ54" s="169"/>
      <c r="AK54" s="161">
        <f>AK53</f>
        <v>1</v>
      </c>
      <c r="AL54" s="162"/>
      <c r="AM54" s="163"/>
      <c r="AN54" s="170">
        <f>100.705*(100.705/100.122)*(100.705/100.122)</f>
        <v>101.881204012488</v>
      </c>
      <c r="AO54" s="171"/>
      <c r="AP54" s="172"/>
      <c r="AQ54" s="164">
        <f>AE54/(AN54/AN$50)</f>
        <v>3.75152904368051</v>
      </c>
      <c r="AR54" s="165"/>
      <c r="AS54" s="166"/>
      <c r="AT54" s="173">
        <f>MEDIAN(AT51:AV53)</f>
        <v>7.2</v>
      </c>
      <c r="AU54" s="174"/>
      <c r="AV54" s="175"/>
      <c r="AW54" s="173">
        <f>MEDIAN(AW51:AY53)</f>
        <v>0</v>
      </c>
      <c r="AX54" s="174"/>
      <c r="AY54" s="175"/>
      <c r="AZ54" s="173">
        <f>MEDIAN(AZ51:BB53)</f>
        <v>913.8</v>
      </c>
      <c r="BA54" s="174"/>
      <c r="BB54" s="175"/>
      <c r="BC54" s="225">
        <v>2.07</v>
      </c>
      <c r="BD54" s="225"/>
      <c r="BE54" s="225"/>
      <c r="BF54" s="225">
        <v>1.66</v>
      </c>
      <c r="BG54" s="225"/>
      <c r="BH54" s="225"/>
      <c r="BI54" s="225">
        <v>1.36</v>
      </c>
      <c r="BJ54" s="225"/>
      <c r="BK54" s="225"/>
      <c r="BL54" s="164">
        <f>(AT54*BC54+AW54*BF54+AZ54*BI54)*(1/1000)</f>
        <v>1.257672</v>
      </c>
      <c r="BM54" s="165"/>
      <c r="BN54" s="166"/>
      <c r="BO54" s="164">
        <f>IF(AE54="","",AQ54+BL54)</f>
        <v>5.00920104368051</v>
      </c>
      <c r="BP54" s="165"/>
      <c r="BQ54" s="166"/>
    </row>
    <row r="55" s="36" customFormat="1" ht="17.4" customHeight="1" spans="1:72">
      <c r="A55" s="229"/>
      <c r="B55" s="230"/>
      <c r="C55" s="229"/>
      <c r="D55" s="231"/>
      <c r="E55" s="230"/>
      <c r="F55" s="229"/>
      <c r="G55" s="231"/>
      <c r="H55" s="230"/>
      <c r="I55" s="269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70"/>
      <c r="Y55" s="270"/>
      <c r="Z55" s="270"/>
      <c r="AA55" s="271"/>
      <c r="AB55" s="234"/>
      <c r="AC55" s="235"/>
      <c r="AD55" s="236"/>
      <c r="AE55" s="237"/>
      <c r="AF55" s="238"/>
      <c r="AG55" s="239"/>
      <c r="AH55" s="240"/>
      <c r="AI55" s="241"/>
      <c r="AJ55" s="242"/>
      <c r="AK55" s="234"/>
      <c r="AL55" s="235"/>
      <c r="AM55" s="236"/>
      <c r="AN55" s="243"/>
      <c r="AO55" s="244"/>
      <c r="AP55" s="245"/>
      <c r="AQ55" s="237"/>
      <c r="AR55" s="238"/>
      <c r="AS55" s="239"/>
      <c r="AT55" s="179"/>
      <c r="AU55" s="180"/>
      <c r="AV55" s="181"/>
      <c r="AW55" s="130"/>
      <c r="AX55" s="131"/>
      <c r="AY55" s="132"/>
      <c r="AZ55" s="182"/>
      <c r="BA55" s="183"/>
      <c r="BB55" s="184"/>
      <c r="BC55" s="179"/>
      <c r="BD55" s="180"/>
      <c r="BE55" s="181"/>
      <c r="BF55" s="179"/>
      <c r="BG55" s="180"/>
      <c r="BH55" s="181"/>
      <c r="BI55" s="179"/>
      <c r="BJ55" s="180"/>
      <c r="BK55" s="181"/>
      <c r="BL55" s="237"/>
      <c r="BM55" s="238"/>
      <c r="BN55" s="239"/>
      <c r="BO55" s="237"/>
      <c r="BP55" s="238"/>
      <c r="BQ55" s="239"/>
      <c r="BR55" s="30"/>
      <c r="BS55" s="30"/>
      <c r="BT55" s="30"/>
    </row>
    <row r="56" s="33" customFormat="1" ht="17.4" customHeight="1" spans="1:72">
      <c r="A56" s="186"/>
      <c r="B56" s="187"/>
      <c r="C56" s="186"/>
      <c r="D56" s="188"/>
      <c r="E56" s="187"/>
      <c r="F56" s="189"/>
      <c r="G56" s="189"/>
      <c r="H56" s="189"/>
      <c r="I56" s="190" t="s">
        <v>16167</v>
      </c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1" t="s">
        <v>16168</v>
      </c>
      <c r="AC56" s="192"/>
      <c r="AD56" s="193"/>
      <c r="AE56" s="121"/>
      <c r="AF56" s="122"/>
      <c r="AG56" s="123"/>
      <c r="AH56" s="99">
        <f>VLOOKUP(AK56,$A$61:$Z$63,12,0)</f>
        <v>46023</v>
      </c>
      <c r="AI56" s="100"/>
      <c r="AJ56" s="101"/>
      <c r="AK56" s="93">
        <v>3</v>
      </c>
      <c r="AL56" s="94"/>
      <c r="AM56" s="95"/>
      <c r="AN56" s="272">
        <f>VLOOKUP(AK56,$A$61:$Z$63,15,0)</f>
        <v>1169.566</v>
      </c>
      <c r="AO56" s="273"/>
      <c r="AP56" s="274"/>
      <c r="AQ56" s="121"/>
      <c r="AR56" s="122"/>
      <c r="AS56" s="123"/>
      <c r="AT56" s="130"/>
      <c r="AU56" s="131"/>
      <c r="AV56" s="132"/>
      <c r="AW56" s="130"/>
      <c r="AX56" s="131"/>
      <c r="AY56" s="132"/>
      <c r="AZ56" s="222"/>
      <c r="BA56" s="223"/>
      <c r="BB56" s="224"/>
      <c r="BC56" s="130"/>
      <c r="BD56" s="131"/>
      <c r="BE56" s="132"/>
      <c r="BF56" s="118"/>
      <c r="BG56" s="119"/>
      <c r="BH56" s="120"/>
      <c r="BI56" s="130"/>
      <c r="BJ56" s="131"/>
      <c r="BK56" s="132"/>
      <c r="BL56" s="130"/>
      <c r="BM56" s="131"/>
      <c r="BN56" s="132"/>
      <c r="BO56" s="130"/>
      <c r="BP56" s="131"/>
      <c r="BQ56" s="132"/>
    </row>
    <row r="57" s="37" customFormat="1" ht="17.4" customHeight="1" spans="1:72">
      <c r="A57" s="154"/>
      <c r="B57" s="155"/>
      <c r="C57" s="154" t="s">
        <v>16148</v>
      </c>
      <c r="D57" s="275"/>
      <c r="E57" s="155"/>
      <c r="F57" s="276" t="s">
        <v>16149</v>
      </c>
      <c r="G57" s="276"/>
      <c r="H57" s="276"/>
      <c r="I57" s="277" t="s">
        <v>16169</v>
      </c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9"/>
      <c r="AB57" s="161" t="s">
        <v>16168</v>
      </c>
      <c r="AC57" s="162"/>
      <c r="AD57" s="163"/>
      <c r="AE57" s="164">
        <v>168.3</v>
      </c>
      <c r="AF57" s="165"/>
      <c r="AG57" s="166"/>
      <c r="AH57" s="167">
        <v>46149</v>
      </c>
      <c r="AI57" s="168"/>
      <c r="AJ57" s="169"/>
      <c r="AK57" s="161">
        <v>3</v>
      </c>
      <c r="AL57" s="162"/>
      <c r="AM57" s="163"/>
      <c r="AN57" s="280">
        <f>1173.042*(1173.042/1159.788)*(1173.042/1159.788)</f>
        <v>1200.0061291194</v>
      </c>
      <c r="AO57" s="281"/>
      <c r="AP57" s="282"/>
      <c r="AQ57" s="164">
        <f>AE57/(AN57/AN56)</f>
        <v>164.030793696401</v>
      </c>
      <c r="AR57" s="165"/>
      <c r="AS57" s="166"/>
      <c r="AT57" s="173">
        <v>0</v>
      </c>
      <c r="AU57" s="174"/>
      <c r="AV57" s="175"/>
      <c r="AW57" s="173">
        <v>0</v>
      </c>
      <c r="AX57" s="174"/>
      <c r="AY57" s="175"/>
      <c r="AZ57" s="283">
        <v>0</v>
      </c>
      <c r="BA57" s="284"/>
      <c r="BB57" s="285"/>
      <c r="BC57" s="176">
        <v>0</v>
      </c>
      <c r="BD57" s="176"/>
      <c r="BE57" s="176"/>
      <c r="BF57" s="176">
        <v>0</v>
      </c>
      <c r="BG57" s="176"/>
      <c r="BH57" s="176"/>
      <c r="BI57" s="176">
        <v>0</v>
      </c>
      <c r="BJ57" s="176"/>
      <c r="BK57" s="176"/>
      <c r="BL57" s="164">
        <f>(AT57*BC57+AW57*BF57+AZ57*BI57)*(1/1000)</f>
        <v>0</v>
      </c>
      <c r="BM57" s="165"/>
      <c r="BN57" s="166"/>
      <c r="BO57" s="164">
        <f>TRUNC(ROUNDUP(IF(AE57="","",AQ57+BL57),2),2)</f>
        <v>164.04</v>
      </c>
      <c r="BP57" s="165"/>
      <c r="BQ57" s="166"/>
    </row>
    <row r="58" spans="1:72">
      <c r="A58" s="286"/>
      <c r="B58" s="286"/>
      <c r="C58" s="286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39"/>
      <c r="BA58" s="39"/>
      <c r="BB58" s="3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</row>
    <row r="59" ht="21" customHeight="1" spans="1:72">
      <c r="A59" s="287" t="s">
        <v>16170</v>
      </c>
      <c r="B59" s="288"/>
      <c r="C59" s="288"/>
      <c r="D59" s="288"/>
      <c r="E59" s="288"/>
      <c r="F59" s="288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</row>
    <row r="60" ht="21" customHeight="1" spans="1:72">
      <c r="A60" s="290"/>
      <c r="B60" s="291"/>
      <c r="C60" s="292"/>
      <c r="D60" s="66" t="s">
        <v>24</v>
      </c>
      <c r="E60" s="67"/>
      <c r="F60" s="67"/>
      <c r="G60" s="67"/>
      <c r="H60" s="67"/>
      <c r="I60" s="67"/>
      <c r="J60" s="67"/>
      <c r="K60" s="68"/>
      <c r="L60" s="293" t="s">
        <v>16140</v>
      </c>
      <c r="M60" s="293"/>
      <c r="N60" s="293"/>
      <c r="O60" s="71" t="s">
        <v>16142</v>
      </c>
      <c r="P60" s="71"/>
      <c r="Q60" s="71"/>
      <c r="R60" s="66" t="s">
        <v>16171</v>
      </c>
      <c r="S60" s="67"/>
      <c r="T60" s="67"/>
      <c r="U60" s="67"/>
      <c r="V60" s="67"/>
      <c r="W60" s="67"/>
      <c r="X60" s="67"/>
      <c r="Y60" s="67"/>
      <c r="Z60" s="68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</row>
    <row r="61" ht="21" customHeight="1" spans="1:72">
      <c r="A61" s="189">
        <v>1</v>
      </c>
      <c r="B61" s="189"/>
      <c r="C61" s="189"/>
      <c r="D61" s="66" t="s">
        <v>16172</v>
      </c>
      <c r="E61" s="67"/>
      <c r="F61" s="67"/>
      <c r="G61" s="67"/>
      <c r="H61" s="67"/>
      <c r="I61" s="67"/>
      <c r="J61" s="67"/>
      <c r="K61" s="68"/>
      <c r="L61" s="294">
        <v>46023</v>
      </c>
      <c r="M61" s="294"/>
      <c r="N61" s="294"/>
      <c r="O61" s="295">
        <v>99.99</v>
      </c>
      <c r="P61" s="295"/>
      <c r="Q61" s="295"/>
      <c r="R61" s="296" t="s">
        <v>16173</v>
      </c>
      <c r="S61" s="297"/>
      <c r="T61" s="297"/>
      <c r="U61" s="297"/>
      <c r="V61" s="297"/>
      <c r="W61" s="297"/>
      <c r="X61" s="297"/>
      <c r="Y61" s="297"/>
      <c r="Z61" s="298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</row>
    <row r="62" ht="21" customHeight="1" spans="1:72">
      <c r="A62" s="189">
        <v>2</v>
      </c>
      <c r="B62" s="189"/>
      <c r="C62" s="189"/>
      <c r="D62" s="296" t="s">
        <v>16174</v>
      </c>
      <c r="E62" s="297"/>
      <c r="F62" s="297"/>
      <c r="G62" s="297"/>
      <c r="H62" s="297"/>
      <c r="I62" s="297"/>
      <c r="J62" s="297"/>
      <c r="K62" s="298"/>
      <c r="L62" s="294">
        <f>$L$61</f>
        <v>46023</v>
      </c>
      <c r="M62" s="294"/>
      <c r="N62" s="294"/>
      <c r="O62" s="295">
        <v>503.558</v>
      </c>
      <c r="P62" s="295"/>
      <c r="Q62" s="295"/>
      <c r="R62" s="296" t="s">
        <v>16175</v>
      </c>
      <c r="S62" s="297"/>
      <c r="T62" s="297"/>
      <c r="U62" s="297"/>
      <c r="V62" s="297"/>
      <c r="W62" s="297"/>
      <c r="X62" s="297"/>
      <c r="Y62" s="297"/>
      <c r="Z62" s="298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</row>
    <row r="63" ht="21" customHeight="1" spans="1:72">
      <c r="A63" s="189">
        <v>3</v>
      </c>
      <c r="B63" s="189"/>
      <c r="C63" s="189"/>
      <c r="D63" s="66" t="s">
        <v>16167</v>
      </c>
      <c r="E63" s="67"/>
      <c r="F63" s="67"/>
      <c r="G63" s="67"/>
      <c r="H63" s="67"/>
      <c r="I63" s="67"/>
      <c r="J63" s="67"/>
      <c r="K63" s="68"/>
      <c r="L63" s="294">
        <f>$L$61</f>
        <v>46023</v>
      </c>
      <c r="M63" s="294"/>
      <c r="N63" s="294"/>
      <c r="O63" s="299">
        <v>1169.566</v>
      </c>
      <c r="P63" s="299"/>
      <c r="Q63" s="299"/>
      <c r="R63" s="66" t="s">
        <v>16176</v>
      </c>
      <c r="S63" s="67"/>
      <c r="T63" s="67"/>
      <c r="U63" s="67"/>
      <c r="V63" s="67"/>
      <c r="W63" s="67"/>
      <c r="X63" s="67"/>
      <c r="Y63" s="67"/>
      <c r="Z63" s="68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</row>
  </sheetData>
  <mergeCells count="802">
    <mergeCell ref="A4:H4"/>
    <mergeCell ref="I4:BQ4"/>
    <mergeCell ref="A5:H5"/>
    <mergeCell ref="I5:BQ5"/>
    <mergeCell ref="A6:H6"/>
    <mergeCell ref="I6:BQ6"/>
    <mergeCell ref="A7:H7"/>
    <mergeCell ref="I7:BQ7"/>
    <mergeCell ref="A8:H8"/>
    <mergeCell ref="BG8:BM8"/>
    <mergeCell ref="BN8:BO8"/>
    <mergeCell ref="BP8:BQ8"/>
    <mergeCell ref="A9:H9"/>
    <mergeCell ref="I9:J9"/>
    <mergeCell ref="K9:L9"/>
    <mergeCell ref="A10:H10"/>
    <mergeCell ref="I10:J10"/>
    <mergeCell ref="K10:L10"/>
    <mergeCell ref="A11:H11"/>
    <mergeCell ref="I11:K11"/>
    <mergeCell ref="L11:N11"/>
    <mergeCell ref="O11:Q11"/>
    <mergeCell ref="R11:T11"/>
    <mergeCell ref="BG11:BM11"/>
    <mergeCell ref="BN11:BO11"/>
    <mergeCell ref="BP11:BQ11"/>
    <mergeCell ref="A12:H12"/>
    <mergeCell ref="I12:U12"/>
    <mergeCell ref="V12:AH12"/>
    <mergeCell ref="A13:BQ13"/>
    <mergeCell ref="A14:BQ14"/>
    <mergeCell ref="AH15:AP15"/>
    <mergeCell ref="AT15:BB15"/>
    <mergeCell ref="BC15:BK15"/>
    <mergeCell ref="AH16:AJ16"/>
    <mergeCell ref="AK16:AM16"/>
    <mergeCell ref="AN16:AP16"/>
    <mergeCell ref="AT16:AV16"/>
    <mergeCell ref="AW16:AY16"/>
    <mergeCell ref="AZ16:BB16"/>
    <mergeCell ref="BC16:BE16"/>
    <mergeCell ref="BF16:BH16"/>
    <mergeCell ref="BI16:BK16"/>
    <mergeCell ref="A17:B17"/>
    <mergeCell ref="C17:E17"/>
    <mergeCell ref="F17:H17"/>
    <mergeCell ref="I17:AA17"/>
    <mergeCell ref="AB17:AD17"/>
    <mergeCell ref="AE17:AG17"/>
    <mergeCell ref="AH17:AJ17"/>
    <mergeCell ref="AK17:AM17"/>
    <mergeCell ref="AN17:AP17"/>
    <mergeCell ref="AQ17:AS17"/>
    <mergeCell ref="AT17:AV17"/>
    <mergeCell ref="AW17:AY17"/>
    <mergeCell ref="AZ17:BB17"/>
    <mergeCell ref="BC17:BE17"/>
    <mergeCell ref="BF17:BH17"/>
    <mergeCell ref="BI17:BK17"/>
    <mergeCell ref="BL17:BN17"/>
    <mergeCell ref="BO17:BQ17"/>
    <mergeCell ref="A18:B18"/>
    <mergeCell ref="C18:E18"/>
    <mergeCell ref="F18:H18"/>
    <mergeCell ref="I18:AA18"/>
    <mergeCell ref="AB18:AD18"/>
    <mergeCell ref="AE18:AG18"/>
    <mergeCell ref="AH18:AJ18"/>
    <mergeCell ref="AK18:AM18"/>
    <mergeCell ref="AN18:AP18"/>
    <mergeCell ref="AQ18:AS18"/>
    <mergeCell ref="AT18:AV18"/>
    <mergeCell ref="AW18:AY18"/>
    <mergeCell ref="AZ18:BB18"/>
    <mergeCell ref="BC18:BE18"/>
    <mergeCell ref="BF18:BH18"/>
    <mergeCell ref="BI18:BK18"/>
    <mergeCell ref="BL18:BN18"/>
    <mergeCell ref="BO18:BQ18"/>
    <mergeCell ref="A19:B19"/>
    <mergeCell ref="C19:E19"/>
    <mergeCell ref="F19:H19"/>
    <mergeCell ref="I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Z19:BB19"/>
    <mergeCell ref="BC19:BE19"/>
    <mergeCell ref="BF19:BH19"/>
    <mergeCell ref="BI19:BK19"/>
    <mergeCell ref="BL19:BN19"/>
    <mergeCell ref="BO19:BQ19"/>
    <mergeCell ref="A20:B20"/>
    <mergeCell ref="C20:E20"/>
    <mergeCell ref="F20:H20"/>
    <mergeCell ref="I20:AA20"/>
    <mergeCell ref="AB20:AD20"/>
    <mergeCell ref="AE20:AG20"/>
    <mergeCell ref="AH20:AJ20"/>
    <mergeCell ref="AK20:AM20"/>
    <mergeCell ref="AN20:AP20"/>
    <mergeCell ref="AQ20:AS20"/>
    <mergeCell ref="AT20:AV20"/>
    <mergeCell ref="AW20:AY20"/>
    <mergeCell ref="AZ20:BB20"/>
    <mergeCell ref="BC20:BE20"/>
    <mergeCell ref="BF20:BH20"/>
    <mergeCell ref="BI20:BK20"/>
    <mergeCell ref="BL20:BN20"/>
    <mergeCell ref="BO20:BQ20"/>
    <mergeCell ref="A21:B21"/>
    <mergeCell ref="C21:E21"/>
    <mergeCell ref="F21:H21"/>
    <mergeCell ref="I21:AA21"/>
    <mergeCell ref="AB21:AD21"/>
    <mergeCell ref="AE21:AG21"/>
    <mergeCell ref="AH21:AJ21"/>
    <mergeCell ref="AK21:AM21"/>
    <mergeCell ref="AN21:AP21"/>
    <mergeCell ref="AQ21:AS21"/>
    <mergeCell ref="AT21:AV21"/>
    <mergeCell ref="AW21:AY21"/>
    <mergeCell ref="AZ21:BB21"/>
    <mergeCell ref="BC21:BE21"/>
    <mergeCell ref="BF21:BH21"/>
    <mergeCell ref="BI21:BK21"/>
    <mergeCell ref="BL21:BN21"/>
    <mergeCell ref="BO21:BQ21"/>
    <mergeCell ref="A22:B22"/>
    <mergeCell ref="C22:E22"/>
    <mergeCell ref="F22:H22"/>
    <mergeCell ref="I22:AA22"/>
    <mergeCell ref="AB22:AD22"/>
    <mergeCell ref="AE22:AG22"/>
    <mergeCell ref="AH22:AJ22"/>
    <mergeCell ref="AK22:AM22"/>
    <mergeCell ref="AN22:AP22"/>
    <mergeCell ref="AQ22:AS22"/>
    <mergeCell ref="AT22:AV22"/>
    <mergeCell ref="AW22:AY22"/>
    <mergeCell ref="AZ22:BB22"/>
    <mergeCell ref="BC22:BE22"/>
    <mergeCell ref="BF22:BH22"/>
    <mergeCell ref="BI22:BK22"/>
    <mergeCell ref="BL22:BN22"/>
    <mergeCell ref="BO22:BQ22"/>
    <mergeCell ref="A23:B23"/>
    <mergeCell ref="C23:E23"/>
    <mergeCell ref="F23:H23"/>
    <mergeCell ref="I23:AA23"/>
    <mergeCell ref="AB23:AD23"/>
    <mergeCell ref="AE23:AG23"/>
    <mergeCell ref="AH23:AJ23"/>
    <mergeCell ref="AK23:AM23"/>
    <mergeCell ref="AN23:AP23"/>
    <mergeCell ref="AQ23:AS23"/>
    <mergeCell ref="AT23:AV23"/>
    <mergeCell ref="AW23:AY23"/>
    <mergeCell ref="AZ23:BB23"/>
    <mergeCell ref="BC23:BE23"/>
    <mergeCell ref="BF23:BH23"/>
    <mergeCell ref="BI23:BK23"/>
    <mergeCell ref="BL23:BN23"/>
    <mergeCell ref="BO23:BQ23"/>
    <mergeCell ref="A24:B24"/>
    <mergeCell ref="C24:E24"/>
    <mergeCell ref="F24:H24"/>
    <mergeCell ref="I24:AA24"/>
    <mergeCell ref="AB24:AD24"/>
    <mergeCell ref="AE24:AG24"/>
    <mergeCell ref="AH24:AJ24"/>
    <mergeCell ref="AK24:AM24"/>
    <mergeCell ref="AN24:AP24"/>
    <mergeCell ref="AQ24:AS24"/>
    <mergeCell ref="AT24:AV24"/>
    <mergeCell ref="AW24:AY24"/>
    <mergeCell ref="AZ24:BB24"/>
    <mergeCell ref="BC24:BE24"/>
    <mergeCell ref="BF24:BH24"/>
    <mergeCell ref="BI24:BK24"/>
    <mergeCell ref="BL24:BN24"/>
    <mergeCell ref="BO24:BQ24"/>
    <mergeCell ref="A25:B25"/>
    <mergeCell ref="C25:E25"/>
    <mergeCell ref="F25:H25"/>
    <mergeCell ref="I25:AA25"/>
    <mergeCell ref="AB25:AD25"/>
    <mergeCell ref="AE25:AG25"/>
    <mergeCell ref="AH25:AJ25"/>
    <mergeCell ref="AK25:AM25"/>
    <mergeCell ref="AN25:AP25"/>
    <mergeCell ref="AQ25:AS25"/>
    <mergeCell ref="AT25:AV25"/>
    <mergeCell ref="AW25:AY25"/>
    <mergeCell ref="AZ25:BB25"/>
    <mergeCell ref="BC25:BE25"/>
    <mergeCell ref="BF25:BH25"/>
    <mergeCell ref="BI25:BK25"/>
    <mergeCell ref="BL25:BN25"/>
    <mergeCell ref="BO25:BQ25"/>
    <mergeCell ref="A26:B26"/>
    <mergeCell ref="C26:E26"/>
    <mergeCell ref="F26:H26"/>
    <mergeCell ref="I26:AA26"/>
    <mergeCell ref="AB26:AD26"/>
    <mergeCell ref="AE26:AG26"/>
    <mergeCell ref="AH26:AJ26"/>
    <mergeCell ref="AK26:AM26"/>
    <mergeCell ref="AN26:AP26"/>
    <mergeCell ref="AQ26:AS26"/>
    <mergeCell ref="AT26:AV26"/>
    <mergeCell ref="AW26:AY26"/>
    <mergeCell ref="AZ26:BB26"/>
    <mergeCell ref="BC26:BE26"/>
    <mergeCell ref="BF26:BH26"/>
    <mergeCell ref="BI26:BK26"/>
    <mergeCell ref="BL26:BN26"/>
    <mergeCell ref="BO26:BQ26"/>
    <mergeCell ref="A27:B27"/>
    <mergeCell ref="C27:E27"/>
    <mergeCell ref="F27:H27"/>
    <mergeCell ref="I27:AA27"/>
    <mergeCell ref="AB27:AD27"/>
    <mergeCell ref="AE27:AG27"/>
    <mergeCell ref="AH27:AJ27"/>
    <mergeCell ref="AK27:AM27"/>
    <mergeCell ref="AN27:AP27"/>
    <mergeCell ref="AQ27:AS27"/>
    <mergeCell ref="AT27:AV27"/>
    <mergeCell ref="AW27:AY27"/>
    <mergeCell ref="AZ27:BB27"/>
    <mergeCell ref="BC27:BE27"/>
    <mergeCell ref="BF27:BH27"/>
    <mergeCell ref="BI27:BK27"/>
    <mergeCell ref="BL27:BN27"/>
    <mergeCell ref="BO27:BQ27"/>
    <mergeCell ref="A28:B28"/>
    <mergeCell ref="C28:E28"/>
    <mergeCell ref="F28:H28"/>
    <mergeCell ref="I28:AA28"/>
    <mergeCell ref="AB28:AD28"/>
    <mergeCell ref="AE28:AG28"/>
    <mergeCell ref="AH28:AJ28"/>
    <mergeCell ref="AK28:AM28"/>
    <mergeCell ref="AN28:AP28"/>
    <mergeCell ref="AQ28:AS28"/>
    <mergeCell ref="AT28:AV28"/>
    <mergeCell ref="AW28:AY28"/>
    <mergeCell ref="AZ28:BB28"/>
    <mergeCell ref="BC28:BE28"/>
    <mergeCell ref="BF28:BH28"/>
    <mergeCell ref="BI28:BK28"/>
    <mergeCell ref="BL28:BN28"/>
    <mergeCell ref="BO28:BQ28"/>
    <mergeCell ref="A29:B29"/>
    <mergeCell ref="C29:E29"/>
    <mergeCell ref="F29:H29"/>
    <mergeCell ref="I29:AA29"/>
    <mergeCell ref="AB29:AD29"/>
    <mergeCell ref="AE29:AG29"/>
    <mergeCell ref="AH29:AJ29"/>
    <mergeCell ref="AK29:AM29"/>
    <mergeCell ref="AN29:AP29"/>
    <mergeCell ref="AQ29:AS29"/>
    <mergeCell ref="AT29:AV29"/>
    <mergeCell ref="AW29:AY29"/>
    <mergeCell ref="AZ29:BB29"/>
    <mergeCell ref="BC29:BE29"/>
    <mergeCell ref="BF29:BH29"/>
    <mergeCell ref="BI29:BK29"/>
    <mergeCell ref="BL29:BN29"/>
    <mergeCell ref="BO29:BQ29"/>
    <mergeCell ref="A30:B30"/>
    <mergeCell ref="C30:E30"/>
    <mergeCell ref="F30:H30"/>
    <mergeCell ref="I30:AA30"/>
    <mergeCell ref="AB30:AD30"/>
    <mergeCell ref="AE30:AG30"/>
    <mergeCell ref="AH30:AJ30"/>
    <mergeCell ref="AK30:AM30"/>
    <mergeCell ref="AN30:AP30"/>
    <mergeCell ref="AQ30:AS30"/>
    <mergeCell ref="AT30:AV30"/>
    <mergeCell ref="AW30:AY30"/>
    <mergeCell ref="AZ30:BB30"/>
    <mergeCell ref="BC30:BE30"/>
    <mergeCell ref="BF30:BH30"/>
    <mergeCell ref="BI30:BK30"/>
    <mergeCell ref="BL30:BN30"/>
    <mergeCell ref="BO30:BQ30"/>
    <mergeCell ref="A31:B31"/>
    <mergeCell ref="C31:E31"/>
    <mergeCell ref="F31:H31"/>
    <mergeCell ref="I31:AA31"/>
    <mergeCell ref="AB31:AD31"/>
    <mergeCell ref="AE31:AG31"/>
    <mergeCell ref="AH31:AJ31"/>
    <mergeCell ref="AK31:AM31"/>
    <mergeCell ref="AN31:AP31"/>
    <mergeCell ref="AQ31:AS31"/>
    <mergeCell ref="AT31:AV31"/>
    <mergeCell ref="AW31:AY31"/>
    <mergeCell ref="AZ31:BB31"/>
    <mergeCell ref="BC31:BE31"/>
    <mergeCell ref="BF31:BH31"/>
    <mergeCell ref="BI31:BK31"/>
    <mergeCell ref="BL31:BN31"/>
    <mergeCell ref="BO31:BQ31"/>
    <mergeCell ref="A32:B32"/>
    <mergeCell ref="C32:E32"/>
    <mergeCell ref="F32:H32"/>
    <mergeCell ref="I32:AA32"/>
    <mergeCell ref="AB32:AD32"/>
    <mergeCell ref="AE32:AG32"/>
    <mergeCell ref="AH32:AJ32"/>
    <mergeCell ref="AK32:AM32"/>
    <mergeCell ref="AN32:AP32"/>
    <mergeCell ref="AQ32:AS32"/>
    <mergeCell ref="AT32:AV32"/>
    <mergeCell ref="AW32:AY32"/>
    <mergeCell ref="AZ32:BB32"/>
    <mergeCell ref="BC32:BE32"/>
    <mergeCell ref="BF32:BH32"/>
    <mergeCell ref="BI32:BK32"/>
    <mergeCell ref="BL32:BN32"/>
    <mergeCell ref="BO32:BQ32"/>
    <mergeCell ref="A33:B33"/>
    <mergeCell ref="C33:E33"/>
    <mergeCell ref="F33:H33"/>
    <mergeCell ref="I33:AA33"/>
    <mergeCell ref="AB33:AD33"/>
    <mergeCell ref="AE33:AG33"/>
    <mergeCell ref="AH33:AJ33"/>
    <mergeCell ref="AK33:AM33"/>
    <mergeCell ref="AN33:AP33"/>
    <mergeCell ref="AQ33:AS33"/>
    <mergeCell ref="AT33:AV33"/>
    <mergeCell ref="AW33:AY33"/>
    <mergeCell ref="AZ33:BB33"/>
    <mergeCell ref="BC33:BE33"/>
    <mergeCell ref="BF33:BH33"/>
    <mergeCell ref="BI33:BK33"/>
    <mergeCell ref="BL33:BN33"/>
    <mergeCell ref="BO33:BQ33"/>
    <mergeCell ref="A34:B34"/>
    <mergeCell ref="C34:E34"/>
    <mergeCell ref="F34:H34"/>
    <mergeCell ref="I34:AA34"/>
    <mergeCell ref="AB34:AD34"/>
    <mergeCell ref="AE34:AG34"/>
    <mergeCell ref="AH34:AJ34"/>
    <mergeCell ref="AK34:AM34"/>
    <mergeCell ref="AN34:AP34"/>
    <mergeCell ref="AQ34:AS34"/>
    <mergeCell ref="AT34:AV34"/>
    <mergeCell ref="AW34:AY34"/>
    <mergeCell ref="AZ34:BB34"/>
    <mergeCell ref="BC34:BE34"/>
    <mergeCell ref="BF34:BH34"/>
    <mergeCell ref="BI34:BK34"/>
    <mergeCell ref="BL34:BN34"/>
    <mergeCell ref="BO34:BQ34"/>
    <mergeCell ref="A35:B35"/>
    <mergeCell ref="C35:E35"/>
    <mergeCell ref="F35:H35"/>
    <mergeCell ref="I35:AA35"/>
    <mergeCell ref="AB35:AD35"/>
    <mergeCell ref="AE35:AG35"/>
    <mergeCell ref="AH35:AJ35"/>
    <mergeCell ref="AK35:AM35"/>
    <mergeCell ref="AN35:AP35"/>
    <mergeCell ref="AQ35:AS35"/>
    <mergeCell ref="AT35:AV35"/>
    <mergeCell ref="AW35:AY35"/>
    <mergeCell ref="AZ35:BB35"/>
    <mergeCell ref="BC35:BE35"/>
    <mergeCell ref="BF35:BH35"/>
    <mergeCell ref="BI35:BK35"/>
    <mergeCell ref="BL35:BN35"/>
    <mergeCell ref="BO35:BQ35"/>
    <mergeCell ref="A36:B36"/>
    <mergeCell ref="C36:E36"/>
    <mergeCell ref="F36:H36"/>
    <mergeCell ref="I36:AA36"/>
    <mergeCell ref="AB36:AD36"/>
    <mergeCell ref="AE36:AG36"/>
    <mergeCell ref="AH36:AJ36"/>
    <mergeCell ref="AK36:AM36"/>
    <mergeCell ref="AN36:AP36"/>
    <mergeCell ref="AQ36:AS36"/>
    <mergeCell ref="AT36:AV36"/>
    <mergeCell ref="AW36:AY36"/>
    <mergeCell ref="AZ36:BB36"/>
    <mergeCell ref="BC36:BE36"/>
    <mergeCell ref="BF36:BH36"/>
    <mergeCell ref="BI36:BK36"/>
    <mergeCell ref="BL36:BN36"/>
    <mergeCell ref="BO36:BQ36"/>
    <mergeCell ref="A37:B37"/>
    <mergeCell ref="C37:E37"/>
    <mergeCell ref="F37:H37"/>
    <mergeCell ref="I37:AA37"/>
    <mergeCell ref="AB37:AD37"/>
    <mergeCell ref="AE37:AG37"/>
    <mergeCell ref="AH37:AJ37"/>
    <mergeCell ref="AK37:AM37"/>
    <mergeCell ref="AN37:AP37"/>
    <mergeCell ref="AQ37:AS37"/>
    <mergeCell ref="AT37:AV37"/>
    <mergeCell ref="AW37:AY37"/>
    <mergeCell ref="AZ37:BB37"/>
    <mergeCell ref="BC37:BE37"/>
    <mergeCell ref="BF37:BH37"/>
    <mergeCell ref="BI37:BK37"/>
    <mergeCell ref="BL37:BN37"/>
    <mergeCell ref="BO37:BQ37"/>
    <mergeCell ref="A38:B38"/>
    <mergeCell ref="C38:E38"/>
    <mergeCell ref="F38:H38"/>
    <mergeCell ref="I38:AA38"/>
    <mergeCell ref="AB38:AD38"/>
    <mergeCell ref="AE38:AG38"/>
    <mergeCell ref="AH38:AJ38"/>
    <mergeCell ref="AK38:AM38"/>
    <mergeCell ref="AN38:AP38"/>
    <mergeCell ref="AQ38:AS38"/>
    <mergeCell ref="AT38:AV38"/>
    <mergeCell ref="AW38:AY38"/>
    <mergeCell ref="AZ38:BB38"/>
    <mergeCell ref="BC38:BE38"/>
    <mergeCell ref="BF38:BH38"/>
    <mergeCell ref="BI38:BK38"/>
    <mergeCell ref="BL38:BN38"/>
    <mergeCell ref="BO38:BQ38"/>
    <mergeCell ref="A39:B39"/>
    <mergeCell ref="C39:E39"/>
    <mergeCell ref="F39:H39"/>
    <mergeCell ref="I39:AA39"/>
    <mergeCell ref="AB39:AD39"/>
    <mergeCell ref="AE39:AG39"/>
    <mergeCell ref="AH39:AJ39"/>
    <mergeCell ref="AK39:AM39"/>
    <mergeCell ref="AN39:AP39"/>
    <mergeCell ref="AQ39:AS39"/>
    <mergeCell ref="AT39:AV39"/>
    <mergeCell ref="AW39:AY39"/>
    <mergeCell ref="AZ39:BB39"/>
    <mergeCell ref="BC39:BE39"/>
    <mergeCell ref="BF39:BH39"/>
    <mergeCell ref="BI39:BK39"/>
    <mergeCell ref="BL39:BN39"/>
    <mergeCell ref="BO39:BQ39"/>
    <mergeCell ref="A40:B40"/>
    <mergeCell ref="C40:E40"/>
    <mergeCell ref="F40:H40"/>
    <mergeCell ref="I40:AA40"/>
    <mergeCell ref="AB40:AD40"/>
    <mergeCell ref="AE40:AG40"/>
    <mergeCell ref="AH40:AJ40"/>
    <mergeCell ref="AK40:AM40"/>
    <mergeCell ref="AN40:AP40"/>
    <mergeCell ref="AQ40:AS40"/>
    <mergeCell ref="AT40:AV40"/>
    <mergeCell ref="AW40:AY40"/>
    <mergeCell ref="AZ40:BB40"/>
    <mergeCell ref="BC40:BE40"/>
    <mergeCell ref="BF40:BH40"/>
    <mergeCell ref="BI40:BK40"/>
    <mergeCell ref="BL40:BN40"/>
    <mergeCell ref="BO40:BQ40"/>
    <mergeCell ref="A41:B41"/>
    <mergeCell ref="C41:E41"/>
    <mergeCell ref="F41:H41"/>
    <mergeCell ref="I41:AA41"/>
    <mergeCell ref="AB41:AD41"/>
    <mergeCell ref="AE41:AG41"/>
    <mergeCell ref="AH41:AJ41"/>
    <mergeCell ref="AK41:AM41"/>
    <mergeCell ref="AN41:AP41"/>
    <mergeCell ref="AQ41:AS41"/>
    <mergeCell ref="AT41:AV41"/>
    <mergeCell ref="AW41:AY41"/>
    <mergeCell ref="AZ41:BB41"/>
    <mergeCell ref="BC41:BE41"/>
    <mergeCell ref="BF41:BH41"/>
    <mergeCell ref="BI41:BK41"/>
    <mergeCell ref="BL41:BN41"/>
    <mergeCell ref="BO41:BQ41"/>
    <mergeCell ref="A42:B42"/>
    <mergeCell ref="C42:E42"/>
    <mergeCell ref="F42:H42"/>
    <mergeCell ref="I42:AA42"/>
    <mergeCell ref="AB42:AD42"/>
    <mergeCell ref="AE42:AG42"/>
    <mergeCell ref="AH42:AJ42"/>
    <mergeCell ref="AK42:AM42"/>
    <mergeCell ref="AN42:AP42"/>
    <mergeCell ref="AQ42:AS42"/>
    <mergeCell ref="AT42:AV42"/>
    <mergeCell ref="AW42:AY42"/>
    <mergeCell ref="AZ42:BB42"/>
    <mergeCell ref="BC42:BE42"/>
    <mergeCell ref="BF42:BH42"/>
    <mergeCell ref="BI42:BK42"/>
    <mergeCell ref="BL42:BN42"/>
    <mergeCell ref="BO42:BQ42"/>
    <mergeCell ref="A43:B43"/>
    <mergeCell ref="C43:E43"/>
    <mergeCell ref="F43:H43"/>
    <mergeCell ref="I43:AA43"/>
    <mergeCell ref="AB43:AD43"/>
    <mergeCell ref="AE43:AG43"/>
    <mergeCell ref="AH43:AJ43"/>
    <mergeCell ref="AK43:AM43"/>
    <mergeCell ref="AN43:AP43"/>
    <mergeCell ref="AQ43:AS43"/>
    <mergeCell ref="AT43:AV43"/>
    <mergeCell ref="AW43:AY43"/>
    <mergeCell ref="AZ43:BB43"/>
    <mergeCell ref="BC43:BE43"/>
    <mergeCell ref="BF43:BH43"/>
    <mergeCell ref="BI43:BK43"/>
    <mergeCell ref="BL43:BN43"/>
    <mergeCell ref="BO43:BQ43"/>
    <mergeCell ref="A44:B44"/>
    <mergeCell ref="C44:E44"/>
    <mergeCell ref="F44:H44"/>
    <mergeCell ref="I44:AA44"/>
    <mergeCell ref="AB44:AD44"/>
    <mergeCell ref="AE44:AG44"/>
    <mergeCell ref="AH44:AJ44"/>
    <mergeCell ref="AK44:AM44"/>
    <mergeCell ref="AN44:AP44"/>
    <mergeCell ref="AQ44:AS44"/>
    <mergeCell ref="AT44:AV44"/>
    <mergeCell ref="AW44:AY44"/>
    <mergeCell ref="AZ44:BB44"/>
    <mergeCell ref="BC44:BE44"/>
    <mergeCell ref="BF44:BH44"/>
    <mergeCell ref="BI44:BK44"/>
    <mergeCell ref="BL44:BN44"/>
    <mergeCell ref="BO44:BQ44"/>
    <mergeCell ref="A45:B45"/>
    <mergeCell ref="C45:E45"/>
    <mergeCell ref="F45:H45"/>
    <mergeCell ref="I45:AA45"/>
    <mergeCell ref="AB45:AD45"/>
    <mergeCell ref="AE45:AG45"/>
    <mergeCell ref="AH45:AJ45"/>
    <mergeCell ref="AK45:AM45"/>
    <mergeCell ref="AN45:AP45"/>
    <mergeCell ref="AQ45:AS45"/>
    <mergeCell ref="AT45:AV45"/>
    <mergeCell ref="AW45:AY45"/>
    <mergeCell ref="AZ45:BB45"/>
    <mergeCell ref="BC45:BE45"/>
    <mergeCell ref="BF45:BH45"/>
    <mergeCell ref="BI45:BK45"/>
    <mergeCell ref="BL45:BN45"/>
    <mergeCell ref="BO45:BQ45"/>
    <mergeCell ref="A46:B46"/>
    <mergeCell ref="C46:E46"/>
    <mergeCell ref="F46:H46"/>
    <mergeCell ref="I46:AA46"/>
    <mergeCell ref="AB46:AD46"/>
    <mergeCell ref="AE46:AG46"/>
    <mergeCell ref="AH46:AJ46"/>
    <mergeCell ref="AK46:AM46"/>
    <mergeCell ref="AN46:AP46"/>
    <mergeCell ref="AQ46:AS46"/>
    <mergeCell ref="AT46:AV46"/>
    <mergeCell ref="AW46:AY46"/>
    <mergeCell ref="AZ46:BB46"/>
    <mergeCell ref="BC46:BE46"/>
    <mergeCell ref="BF46:BH46"/>
    <mergeCell ref="BI46:BK46"/>
    <mergeCell ref="BL46:BN46"/>
    <mergeCell ref="BO46:BQ46"/>
    <mergeCell ref="A47:B47"/>
    <mergeCell ref="C47:E47"/>
    <mergeCell ref="F47:H47"/>
    <mergeCell ref="I47:AA47"/>
    <mergeCell ref="AB47:AD47"/>
    <mergeCell ref="AE47:AG47"/>
    <mergeCell ref="AH47:AJ47"/>
    <mergeCell ref="AK47:AM47"/>
    <mergeCell ref="AN47:AP47"/>
    <mergeCell ref="AQ47:AS47"/>
    <mergeCell ref="AT47:AV47"/>
    <mergeCell ref="AW47:AY47"/>
    <mergeCell ref="AZ47:BB47"/>
    <mergeCell ref="BC47:BE47"/>
    <mergeCell ref="BF47:BH47"/>
    <mergeCell ref="BI47:BK47"/>
    <mergeCell ref="BL47:BN47"/>
    <mergeCell ref="BO47:BQ47"/>
    <mergeCell ref="A48:B48"/>
    <mergeCell ref="C48:E48"/>
    <mergeCell ref="F48:H48"/>
    <mergeCell ref="I48:AA48"/>
    <mergeCell ref="AB48:AD48"/>
    <mergeCell ref="AE48:AG48"/>
    <mergeCell ref="AH48:AJ48"/>
    <mergeCell ref="AK48:AM48"/>
    <mergeCell ref="AN48:AP48"/>
    <mergeCell ref="AQ48:AS48"/>
    <mergeCell ref="AT48:AV48"/>
    <mergeCell ref="AW48:AY48"/>
    <mergeCell ref="AZ48:BB48"/>
    <mergeCell ref="BC48:BE48"/>
    <mergeCell ref="BF48:BH48"/>
    <mergeCell ref="BI48:BK48"/>
    <mergeCell ref="BL48:BN48"/>
    <mergeCell ref="BO48:BQ48"/>
    <mergeCell ref="A49:B49"/>
    <mergeCell ref="C49:E49"/>
    <mergeCell ref="F49:H49"/>
    <mergeCell ref="I49:AA49"/>
    <mergeCell ref="AB49:AD49"/>
    <mergeCell ref="AE49:AG49"/>
    <mergeCell ref="AH49:AJ49"/>
    <mergeCell ref="AK49:AM49"/>
    <mergeCell ref="AN49:AP49"/>
    <mergeCell ref="AQ49:AS49"/>
    <mergeCell ref="AT49:AV49"/>
    <mergeCell ref="AW49:AY49"/>
    <mergeCell ref="AZ49:BB49"/>
    <mergeCell ref="BC49:BE49"/>
    <mergeCell ref="BF49:BH49"/>
    <mergeCell ref="BI49:BK49"/>
    <mergeCell ref="BL49:BN49"/>
    <mergeCell ref="BO49:BQ49"/>
    <mergeCell ref="F50:H50"/>
    <mergeCell ref="I50:AA50"/>
    <mergeCell ref="AB50:AD50"/>
    <mergeCell ref="AE50:AG50"/>
    <mergeCell ref="AH50:AJ50"/>
    <mergeCell ref="AK50:AM50"/>
    <mergeCell ref="AN50:AP50"/>
    <mergeCell ref="BO50:BQ50"/>
    <mergeCell ref="A51:B51"/>
    <mergeCell ref="C51:E51"/>
    <mergeCell ref="F51:H51"/>
    <mergeCell ref="I51:AA51"/>
    <mergeCell ref="AB51:AD51"/>
    <mergeCell ref="AE51:AG51"/>
    <mergeCell ref="AH51:AJ51"/>
    <mergeCell ref="AK51:AM51"/>
    <mergeCell ref="AN51:AP51"/>
    <mergeCell ref="AQ51:AS51"/>
    <mergeCell ref="AT51:AV51"/>
    <mergeCell ref="AW51:AY51"/>
    <mergeCell ref="AZ51:BB51"/>
    <mergeCell ref="BC51:BE51"/>
    <mergeCell ref="BF51:BH51"/>
    <mergeCell ref="BI51:BK51"/>
    <mergeCell ref="BL51:BN51"/>
    <mergeCell ref="BO51:BQ51"/>
    <mergeCell ref="A52:B52"/>
    <mergeCell ref="C52:E52"/>
    <mergeCell ref="F52:H52"/>
    <mergeCell ref="I52:AA52"/>
    <mergeCell ref="AB52:AD52"/>
    <mergeCell ref="AE52:AG52"/>
    <mergeCell ref="AH52:AJ52"/>
    <mergeCell ref="AK52:AM52"/>
    <mergeCell ref="AN52:AP52"/>
    <mergeCell ref="AQ52:AS52"/>
    <mergeCell ref="AT52:AV52"/>
    <mergeCell ref="AW52:AY52"/>
    <mergeCell ref="AZ52:BB52"/>
    <mergeCell ref="BC52:BE52"/>
    <mergeCell ref="BF52:BH52"/>
    <mergeCell ref="BI52:BK52"/>
    <mergeCell ref="BL52:BN52"/>
    <mergeCell ref="BO52:BQ52"/>
    <mergeCell ref="A53:B53"/>
    <mergeCell ref="C53:E53"/>
    <mergeCell ref="F53:H53"/>
    <mergeCell ref="I53:AA53"/>
    <mergeCell ref="AB53:AD53"/>
    <mergeCell ref="AE53:AG53"/>
    <mergeCell ref="AH53:AJ53"/>
    <mergeCell ref="AK53:AM53"/>
    <mergeCell ref="AN53:AP53"/>
    <mergeCell ref="AQ53:AS53"/>
    <mergeCell ref="AT53:AV53"/>
    <mergeCell ref="AW53:AY53"/>
    <mergeCell ref="AZ53:BB53"/>
    <mergeCell ref="BC53:BE53"/>
    <mergeCell ref="BF53:BH53"/>
    <mergeCell ref="BI53:BK53"/>
    <mergeCell ref="BL53:BN53"/>
    <mergeCell ref="BO53:BQ53"/>
    <mergeCell ref="A54:B54"/>
    <mergeCell ref="C54:E54"/>
    <mergeCell ref="F54:H54"/>
    <mergeCell ref="I54:AA54"/>
    <mergeCell ref="AB54:AD54"/>
    <mergeCell ref="AE54:AG54"/>
    <mergeCell ref="AH54:AJ54"/>
    <mergeCell ref="AK54:AM54"/>
    <mergeCell ref="AN54:AP54"/>
    <mergeCell ref="AQ54:AS54"/>
    <mergeCell ref="AT54:AV54"/>
    <mergeCell ref="AW54:AY54"/>
    <mergeCell ref="AZ54:BB54"/>
    <mergeCell ref="BC54:BE54"/>
    <mergeCell ref="BF54:BH54"/>
    <mergeCell ref="BI54:BK54"/>
    <mergeCell ref="BL54:BN54"/>
    <mergeCell ref="BO54:BQ54"/>
    <mergeCell ref="A55:B55"/>
    <mergeCell ref="C55:E55"/>
    <mergeCell ref="F55:H55"/>
    <mergeCell ref="I55:AA55"/>
    <mergeCell ref="AB55:AD55"/>
    <mergeCell ref="AE55:AG55"/>
    <mergeCell ref="AH55:AJ55"/>
    <mergeCell ref="AK55:AM55"/>
    <mergeCell ref="AN55:AP55"/>
    <mergeCell ref="AQ55:AS55"/>
    <mergeCell ref="AT55:AV55"/>
    <mergeCell ref="AW55:AY55"/>
    <mergeCell ref="AZ55:BB55"/>
    <mergeCell ref="BC55:BE55"/>
    <mergeCell ref="BF55:BH55"/>
    <mergeCell ref="BI55:BK55"/>
    <mergeCell ref="BL55:BN55"/>
    <mergeCell ref="BO55:BQ55"/>
    <mergeCell ref="A56:B56"/>
    <mergeCell ref="C56:E56"/>
    <mergeCell ref="F56:H56"/>
    <mergeCell ref="I56:AA56"/>
    <mergeCell ref="AB56:AD56"/>
    <mergeCell ref="AE56:AG56"/>
    <mergeCell ref="AH56:AJ56"/>
    <mergeCell ref="AK56:AM56"/>
    <mergeCell ref="AN56:AP56"/>
    <mergeCell ref="AQ56:AS56"/>
    <mergeCell ref="AT56:AV56"/>
    <mergeCell ref="AW56:AY56"/>
    <mergeCell ref="AZ56:BB56"/>
    <mergeCell ref="BC56:BE56"/>
    <mergeCell ref="BF56:BH56"/>
    <mergeCell ref="BI56:BK56"/>
    <mergeCell ref="BL56:BN56"/>
    <mergeCell ref="BO56:BQ56"/>
    <mergeCell ref="A57:B57"/>
    <mergeCell ref="C57:E57"/>
    <mergeCell ref="F57:H57"/>
    <mergeCell ref="I57:AA57"/>
    <mergeCell ref="AB57:AD57"/>
    <mergeCell ref="AE57:AG57"/>
    <mergeCell ref="AH57:AJ57"/>
    <mergeCell ref="AK57:AM57"/>
    <mergeCell ref="AN57:AP57"/>
    <mergeCell ref="AQ57:AS57"/>
    <mergeCell ref="AT57:AV57"/>
    <mergeCell ref="AW57:AY57"/>
    <mergeCell ref="AZ57:BB57"/>
    <mergeCell ref="BC57:BE57"/>
    <mergeCell ref="BF57:BH57"/>
    <mergeCell ref="BI57:BK57"/>
    <mergeCell ref="BL57:BN57"/>
    <mergeCell ref="BO57:BQ57"/>
    <mergeCell ref="A58:C58"/>
    <mergeCell ref="A59:Z59"/>
    <mergeCell ref="A60:C60"/>
    <mergeCell ref="D60:K60"/>
    <mergeCell ref="L60:N60"/>
    <mergeCell ref="O60:Q60"/>
    <mergeCell ref="R60:Z60"/>
    <mergeCell ref="A61:C61"/>
    <mergeCell ref="D61:K61"/>
    <mergeCell ref="L61:N61"/>
    <mergeCell ref="O61:Q61"/>
    <mergeCell ref="R61:Z61"/>
    <mergeCell ref="A62:C62"/>
    <mergeCell ref="D62:K62"/>
    <mergeCell ref="L62:N62"/>
    <mergeCell ref="O62:Q62"/>
    <mergeCell ref="R62:Z62"/>
    <mergeCell ref="A63:C63"/>
    <mergeCell ref="D63:K63"/>
    <mergeCell ref="L63:N63"/>
    <mergeCell ref="O63:Q63"/>
    <mergeCell ref="R63:Z63"/>
    <mergeCell ref="AB15:AD16"/>
    <mergeCell ref="AE15:AG16"/>
    <mergeCell ref="AQ15:AS16"/>
    <mergeCell ref="BL15:BN16"/>
    <mergeCell ref="BO15:BQ16"/>
    <mergeCell ref="C15:E16"/>
    <mergeCell ref="F15:H16"/>
    <mergeCell ref="I15:AA16"/>
    <mergeCell ref="A15:B16"/>
  </mergeCells>
  <printOptions horizontalCentered="1"/>
  <pageMargins left="0.393700787401575" right="0.393700787401575" top="0.393700787401575" bottom="0.590551181102362" header="0.196850393700787" footer="0.118110236220472"/>
  <pageSetup paperSize="9" scale="94" fitToHeight="8" orientation="landscape"/>
  <headerFooter>
    <oddFooter>&amp;L&amp;G&amp;R&amp;9Projeto Executivo de Engenharia, Estudos e
Orçamentos para a Construção de Ponte Rodoviária
em Concreto Armado - Rodovia Vicinal</oddFooter>
  </headerFooter>
  <rowBreaks count="2" manualBreakCount="2">
    <brk id="35" max="68" man="1"/>
    <brk id="49" max="68" man="1"/>
  </rowBreaks>
  <drawing r:id="rId1"/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70C0"/>
  </sheetPr>
  <dimension ref="A1:D1694"/>
  <sheetViews>
    <sheetView zoomScale="115" zoomScaleNormal="115" workbookViewId="0">
      <selection activeCell="A40" sqref="$A40:$XFD40"/>
    </sheetView>
  </sheetViews>
  <sheetFormatPr defaultColWidth="9" defaultRowHeight="15" outlineLevelCol="3"/>
  <cols>
    <col min="1" max="1" width="10.1047619047619" customWidth="1"/>
    <col min="2" max="2" width="83.4380952380952" customWidth="1"/>
    <col min="3" max="3" width="10.1047619047619" customWidth="1"/>
    <col min="4" max="4" width="13.6666666666667" customWidth="1"/>
  </cols>
  <sheetData>
    <row r="1" ht="31.5" customHeight="1" spans="1:4">
      <c r="A1" s="25" t="s">
        <v>55</v>
      </c>
      <c r="B1" s="2" t="s">
        <v>56</v>
      </c>
      <c r="C1" s="26" t="s">
        <v>1123</v>
      </c>
      <c r="D1" s="3" t="s">
        <v>16177</v>
      </c>
    </row>
    <row r="2" ht="15.75" customHeight="1" spans="1:4">
      <c r="A2" s="27" t="s">
        <v>14325</v>
      </c>
      <c r="B2" s="5" t="s">
        <v>16178</v>
      </c>
      <c r="C2" s="27" t="s">
        <v>101</v>
      </c>
      <c r="D2" s="28">
        <v>7.6383</v>
      </c>
    </row>
    <row r="3" ht="15.75" customHeight="1" spans="1:4">
      <c r="A3" s="27" t="s">
        <v>843</v>
      </c>
      <c r="B3" s="5" t="s">
        <v>14219</v>
      </c>
      <c r="C3" s="27" t="s">
        <v>101</v>
      </c>
      <c r="D3" s="28">
        <v>7.2494</v>
      </c>
    </row>
    <row r="4" ht="15.75" customHeight="1" spans="1:4">
      <c r="A4" s="27" t="s">
        <v>14326</v>
      </c>
      <c r="B4" s="5" t="s">
        <v>16179</v>
      </c>
      <c r="C4" s="27" t="s">
        <v>99</v>
      </c>
      <c r="D4" s="28">
        <v>133.2528</v>
      </c>
    </row>
    <row r="5" ht="15.75" customHeight="1" spans="1:4">
      <c r="A5" s="27" t="s">
        <v>14327</v>
      </c>
      <c r="B5" s="5" t="s">
        <v>16180</v>
      </c>
      <c r="C5" s="27" t="s">
        <v>101</v>
      </c>
      <c r="D5" s="28">
        <v>27.5044</v>
      </c>
    </row>
    <row r="6" ht="15.75" customHeight="1" spans="1:4">
      <c r="A6" s="27" t="s">
        <v>14328</v>
      </c>
      <c r="B6" s="5" t="s">
        <v>16181</v>
      </c>
      <c r="C6" s="27" t="s">
        <v>101</v>
      </c>
      <c r="D6" s="28">
        <v>18.202</v>
      </c>
    </row>
    <row r="7" ht="15.75" customHeight="1" spans="1:4">
      <c r="A7" s="27" t="s">
        <v>14329</v>
      </c>
      <c r="B7" s="5" t="s">
        <v>16182</v>
      </c>
      <c r="C7" s="27" t="s">
        <v>14234</v>
      </c>
      <c r="D7" s="28">
        <v>4.0861</v>
      </c>
    </row>
    <row r="8" ht="15.75" customHeight="1" spans="1:4">
      <c r="A8" s="27" t="s">
        <v>14330</v>
      </c>
      <c r="B8" s="5" t="s">
        <v>16183</v>
      </c>
      <c r="C8" s="27" t="s">
        <v>101</v>
      </c>
      <c r="D8" s="28">
        <v>9.0226</v>
      </c>
    </row>
    <row r="9" ht="15.75" customHeight="1" spans="1:4">
      <c r="A9" s="27" t="s">
        <v>14331</v>
      </c>
      <c r="B9" s="5" t="s">
        <v>16184</v>
      </c>
      <c r="C9" s="27" t="s">
        <v>101</v>
      </c>
      <c r="D9" s="28">
        <v>13.7212</v>
      </c>
    </row>
    <row r="10" ht="15.75" customHeight="1" spans="1:4">
      <c r="A10" s="27" t="s">
        <v>14332</v>
      </c>
      <c r="B10" s="5" t="s">
        <v>16185</v>
      </c>
      <c r="C10" s="27" t="s">
        <v>101</v>
      </c>
      <c r="D10" s="28">
        <v>8.7764</v>
      </c>
    </row>
    <row r="11" ht="15.75" customHeight="1" spans="1:4">
      <c r="A11" s="27" t="s">
        <v>14333</v>
      </c>
      <c r="B11" s="5" t="s">
        <v>16186</v>
      </c>
      <c r="C11" s="27" t="s">
        <v>101</v>
      </c>
      <c r="D11" s="28">
        <v>2.0512</v>
      </c>
    </row>
    <row r="12" ht="15.75" customHeight="1" spans="1:4">
      <c r="A12" s="27" t="s">
        <v>14334</v>
      </c>
      <c r="B12" s="5" t="s">
        <v>16187</v>
      </c>
      <c r="C12" s="27" t="s">
        <v>101</v>
      </c>
      <c r="D12" s="28">
        <v>7.2494</v>
      </c>
    </row>
    <row r="13" ht="15.75" customHeight="1" spans="1:4">
      <c r="A13" s="27" t="s">
        <v>14263</v>
      </c>
      <c r="B13" s="5" t="s">
        <v>14264</v>
      </c>
      <c r="C13" s="27" t="s">
        <v>101</v>
      </c>
      <c r="D13" s="28">
        <v>8.8235</v>
      </c>
    </row>
    <row r="14" ht="15.75" customHeight="1" spans="1:4">
      <c r="A14" s="27" t="s">
        <v>14335</v>
      </c>
      <c r="B14" s="5" t="s">
        <v>16188</v>
      </c>
      <c r="C14" s="27" t="s">
        <v>82</v>
      </c>
      <c r="D14" s="28">
        <v>22.7275</v>
      </c>
    </row>
    <row r="15" ht="15.75" customHeight="1" spans="1:4">
      <c r="A15" s="27" t="s">
        <v>14336</v>
      </c>
      <c r="B15" s="5" t="s">
        <v>16189</v>
      </c>
      <c r="C15" s="27" t="s">
        <v>82</v>
      </c>
      <c r="D15" s="28">
        <v>37.7231</v>
      </c>
    </row>
    <row r="16" ht="15.75" customHeight="1" spans="1:4">
      <c r="A16" s="27" t="s">
        <v>14337</v>
      </c>
      <c r="B16" s="5" t="s">
        <v>16190</v>
      </c>
      <c r="C16" s="27" t="s">
        <v>82</v>
      </c>
      <c r="D16" s="28">
        <v>2.5303</v>
      </c>
    </row>
    <row r="17" ht="15.75" customHeight="1" spans="1:4">
      <c r="A17" s="27" t="s">
        <v>14338</v>
      </c>
      <c r="B17" s="5" t="s">
        <v>16191</v>
      </c>
      <c r="C17" s="27" t="s">
        <v>82</v>
      </c>
      <c r="D17" s="28">
        <v>20.0739</v>
      </c>
    </row>
    <row r="18" ht="15.75" customHeight="1" spans="1:4">
      <c r="A18" s="27" t="s">
        <v>14339</v>
      </c>
      <c r="B18" s="5" t="s">
        <v>16192</v>
      </c>
      <c r="C18" s="27" t="s">
        <v>82</v>
      </c>
      <c r="D18" s="28">
        <v>135.5198</v>
      </c>
    </row>
    <row r="19" ht="15.75" customHeight="1" spans="1:4">
      <c r="A19" s="27" t="s">
        <v>14340</v>
      </c>
      <c r="B19" s="5" t="s">
        <v>16193</v>
      </c>
      <c r="C19" s="27" t="s">
        <v>101</v>
      </c>
      <c r="D19" s="28">
        <v>7.9673</v>
      </c>
    </row>
    <row r="20" ht="15.75" customHeight="1" spans="1:4">
      <c r="A20" s="27" t="s">
        <v>14341</v>
      </c>
      <c r="B20" s="5" t="s">
        <v>16194</v>
      </c>
      <c r="C20" s="27" t="s">
        <v>14234</v>
      </c>
      <c r="D20" s="28">
        <v>26.601</v>
      </c>
    </row>
    <row r="21" ht="15.75" customHeight="1" spans="1:4">
      <c r="A21" s="27" t="s">
        <v>14342</v>
      </c>
      <c r="B21" s="5" t="s">
        <v>16195</v>
      </c>
      <c r="C21" s="27" t="s">
        <v>101</v>
      </c>
      <c r="D21" s="28">
        <v>52.6883</v>
      </c>
    </row>
    <row r="22" ht="15.75" customHeight="1" spans="1:4">
      <c r="A22" s="27" t="s">
        <v>14343</v>
      </c>
      <c r="B22" s="5" t="s">
        <v>16196</v>
      </c>
      <c r="C22" s="27" t="s">
        <v>14234</v>
      </c>
      <c r="D22" s="28">
        <v>7.2404</v>
      </c>
    </row>
    <row r="23" ht="15.75" customHeight="1" spans="1:4">
      <c r="A23" s="27" t="s">
        <v>14344</v>
      </c>
      <c r="B23" s="5" t="s">
        <v>16197</v>
      </c>
      <c r="C23" s="27" t="s">
        <v>99</v>
      </c>
      <c r="D23" s="28">
        <v>118.4549</v>
      </c>
    </row>
    <row r="24" ht="15.75" customHeight="1" spans="1:4">
      <c r="A24" s="27" t="s">
        <v>14345</v>
      </c>
      <c r="B24" s="5" t="s">
        <v>16198</v>
      </c>
      <c r="C24" s="27" t="s">
        <v>101</v>
      </c>
      <c r="D24" s="28">
        <v>1.8754</v>
      </c>
    </row>
    <row r="25" ht="15.75" customHeight="1" spans="1:4">
      <c r="A25" s="27" t="s">
        <v>14224</v>
      </c>
      <c r="B25" s="5" t="s">
        <v>14225</v>
      </c>
      <c r="C25" s="27" t="s">
        <v>101</v>
      </c>
      <c r="D25" s="28">
        <v>6.6001</v>
      </c>
    </row>
    <row r="26" ht="15.75" customHeight="1" spans="1:4">
      <c r="A26" s="27" t="s">
        <v>14346</v>
      </c>
      <c r="B26" s="5" t="s">
        <v>16199</v>
      </c>
      <c r="C26" s="27" t="s">
        <v>101</v>
      </c>
      <c r="D26" s="28">
        <v>49.5337</v>
      </c>
    </row>
    <row r="27" ht="15.75" customHeight="1" spans="1:4">
      <c r="A27" s="27" t="s">
        <v>16200</v>
      </c>
      <c r="B27" s="5" t="s">
        <v>16201</v>
      </c>
      <c r="C27" s="27" t="s">
        <v>14234</v>
      </c>
      <c r="D27" s="28">
        <v>13.3786</v>
      </c>
    </row>
    <row r="28" ht="15.75" customHeight="1" spans="1:4">
      <c r="A28" s="27" t="s">
        <v>14347</v>
      </c>
      <c r="B28" s="5" t="s">
        <v>16202</v>
      </c>
      <c r="C28" s="27" t="s">
        <v>14234</v>
      </c>
      <c r="D28" s="28">
        <v>5.27</v>
      </c>
    </row>
    <row r="29" ht="15.75" customHeight="1" spans="1:4">
      <c r="A29" s="27" t="s">
        <v>779</v>
      </c>
      <c r="B29" s="5" t="s">
        <v>16203</v>
      </c>
      <c r="C29" s="27" t="s">
        <v>82</v>
      </c>
      <c r="D29" s="28">
        <v>90298.939</v>
      </c>
    </row>
    <row r="30" ht="15.75" customHeight="1" spans="1:4">
      <c r="A30" s="27" t="s">
        <v>772</v>
      </c>
      <c r="B30" s="5" t="s">
        <v>16204</v>
      </c>
      <c r="C30" s="27" t="s">
        <v>82</v>
      </c>
      <c r="D30" s="28">
        <v>36836.0447</v>
      </c>
    </row>
    <row r="31" ht="15.75" customHeight="1" spans="1:4">
      <c r="A31" s="27" t="s">
        <v>14348</v>
      </c>
      <c r="B31" s="5" t="s">
        <v>16205</v>
      </c>
      <c r="C31" s="27" t="s">
        <v>14234</v>
      </c>
      <c r="D31" s="28">
        <v>5.54</v>
      </c>
    </row>
    <row r="32" ht="15.75" customHeight="1" spans="1:4">
      <c r="A32" s="27" t="s">
        <v>14349</v>
      </c>
      <c r="B32" s="5" t="s">
        <v>16206</v>
      </c>
      <c r="C32" s="27" t="s">
        <v>101</v>
      </c>
      <c r="D32" s="28">
        <v>12.7253</v>
      </c>
    </row>
    <row r="33" ht="15.75" customHeight="1" spans="1:4">
      <c r="A33" s="27" t="s">
        <v>14350</v>
      </c>
      <c r="B33" s="5" t="s">
        <v>16207</v>
      </c>
      <c r="C33" s="27" t="s">
        <v>82</v>
      </c>
      <c r="D33" s="28">
        <v>414.5066</v>
      </c>
    </row>
    <row r="34" ht="15.75" customHeight="1" spans="1:4">
      <c r="A34" s="27" t="s">
        <v>14351</v>
      </c>
      <c r="B34" s="5" t="s">
        <v>16208</v>
      </c>
      <c r="C34" s="27" t="s">
        <v>82</v>
      </c>
      <c r="D34" s="28">
        <v>313.477</v>
      </c>
    </row>
    <row r="35" ht="15.75" customHeight="1" spans="1:4">
      <c r="A35" s="27" t="s">
        <v>14352</v>
      </c>
      <c r="B35" s="5" t="s">
        <v>16209</v>
      </c>
      <c r="C35" s="27" t="s">
        <v>82</v>
      </c>
      <c r="D35" s="28">
        <v>79.8605</v>
      </c>
    </row>
    <row r="36" ht="30" customHeight="1" spans="1:4">
      <c r="A36" s="27" t="s">
        <v>14353</v>
      </c>
      <c r="B36" s="5" t="s">
        <v>16210</v>
      </c>
      <c r="C36" s="27" t="s">
        <v>82</v>
      </c>
      <c r="D36" s="28">
        <v>142.9817</v>
      </c>
    </row>
    <row r="37" ht="15.75" customHeight="1" spans="1:4">
      <c r="A37" s="27" t="s">
        <v>14354</v>
      </c>
      <c r="B37" s="5" t="s">
        <v>16211</v>
      </c>
      <c r="C37" s="27" t="s">
        <v>82</v>
      </c>
      <c r="D37" s="28">
        <v>155.564</v>
      </c>
    </row>
    <row r="38" ht="15.75" customHeight="1" spans="1:4">
      <c r="A38" s="27" t="s">
        <v>14355</v>
      </c>
      <c r="B38" s="5" t="s">
        <v>16212</v>
      </c>
      <c r="C38" s="27" t="s">
        <v>101</v>
      </c>
      <c r="D38" s="28">
        <v>61.1849</v>
      </c>
    </row>
    <row r="39" ht="15.75" customHeight="1" spans="1:4">
      <c r="A39" s="27" t="s">
        <v>14356</v>
      </c>
      <c r="B39" s="5" t="s">
        <v>16213</v>
      </c>
      <c r="C39" s="27" t="s">
        <v>82</v>
      </c>
      <c r="D39" s="28">
        <v>152.3758</v>
      </c>
    </row>
    <row r="40" ht="15.75" customHeight="1" spans="1:4">
      <c r="A40" s="27" t="s">
        <v>14357</v>
      </c>
      <c r="B40" s="5" t="s">
        <v>16214</v>
      </c>
      <c r="C40" s="27" t="s">
        <v>9</v>
      </c>
      <c r="D40" s="28">
        <v>0.1184</v>
      </c>
    </row>
    <row r="41" ht="15.75" customHeight="1" spans="1:4">
      <c r="A41" s="27" t="s">
        <v>14358</v>
      </c>
      <c r="B41" s="5" t="s">
        <v>16215</v>
      </c>
      <c r="C41" s="27" t="s">
        <v>9</v>
      </c>
      <c r="D41" s="28">
        <v>1.9244</v>
      </c>
    </row>
    <row r="42" ht="15.75" customHeight="1" spans="1:4">
      <c r="A42" s="27" t="s">
        <v>14359</v>
      </c>
      <c r="B42" s="5" t="s">
        <v>16216</v>
      </c>
      <c r="C42" s="27" t="s">
        <v>9</v>
      </c>
      <c r="D42" s="28">
        <v>0.0798</v>
      </c>
    </row>
    <row r="43" ht="15.75" customHeight="1" spans="1:4">
      <c r="A43" s="27" t="s">
        <v>14360</v>
      </c>
      <c r="B43" s="5" t="s">
        <v>16217</v>
      </c>
      <c r="C43" s="27" t="s">
        <v>82</v>
      </c>
      <c r="D43" s="28">
        <v>1296.9865</v>
      </c>
    </row>
    <row r="44" ht="15.75" customHeight="1" spans="1:4">
      <c r="A44" s="27" t="s">
        <v>14361</v>
      </c>
      <c r="B44" s="5" t="s">
        <v>16218</v>
      </c>
      <c r="C44" s="27" t="s">
        <v>82</v>
      </c>
      <c r="D44" s="28">
        <v>7528.0844</v>
      </c>
    </row>
    <row r="45" ht="15.75" customHeight="1" spans="1:4">
      <c r="A45" s="27" t="s">
        <v>776</v>
      </c>
      <c r="B45" s="5" t="s">
        <v>16219</v>
      </c>
      <c r="C45" s="27" t="s">
        <v>82</v>
      </c>
      <c r="D45" s="28">
        <v>127045.6007</v>
      </c>
    </row>
    <row r="46" ht="15.75" customHeight="1" spans="1:4">
      <c r="A46" s="27" t="s">
        <v>774</v>
      </c>
      <c r="B46" s="5" t="s">
        <v>16220</v>
      </c>
      <c r="C46" s="27" t="s">
        <v>82</v>
      </c>
      <c r="D46" s="28">
        <v>132070.6307</v>
      </c>
    </row>
    <row r="47" ht="15.75" customHeight="1" spans="1:4">
      <c r="A47" s="27" t="s">
        <v>769</v>
      </c>
      <c r="B47" s="5" t="s">
        <v>16221</v>
      </c>
      <c r="C47" s="27" t="s">
        <v>82</v>
      </c>
      <c r="D47" s="28">
        <v>58283.0633</v>
      </c>
    </row>
    <row r="48" ht="15.75" customHeight="1" spans="1:4">
      <c r="A48" s="27" t="s">
        <v>14362</v>
      </c>
      <c r="B48" s="5" t="s">
        <v>16222</v>
      </c>
      <c r="C48" s="27" t="s">
        <v>82</v>
      </c>
      <c r="D48" s="28">
        <v>121536.1562</v>
      </c>
    </row>
    <row r="49" ht="15.75" customHeight="1" spans="1:4">
      <c r="A49" s="27" t="s">
        <v>14363</v>
      </c>
      <c r="B49" s="5" t="s">
        <v>16223</v>
      </c>
      <c r="C49" s="27" t="s">
        <v>9</v>
      </c>
      <c r="D49" s="28">
        <v>149.5742</v>
      </c>
    </row>
    <row r="50" ht="15.75" customHeight="1" spans="1:4">
      <c r="A50" s="27" t="s">
        <v>14364</v>
      </c>
      <c r="B50" s="5" t="s">
        <v>16224</v>
      </c>
      <c r="C50" s="27" t="s">
        <v>9</v>
      </c>
      <c r="D50" s="28">
        <v>17.32</v>
      </c>
    </row>
    <row r="51" ht="15.75" customHeight="1" spans="1:4">
      <c r="A51" s="27" t="s">
        <v>14365</v>
      </c>
      <c r="B51" s="5" t="s">
        <v>16225</v>
      </c>
      <c r="C51" s="27" t="s">
        <v>9</v>
      </c>
      <c r="D51" s="28">
        <v>0.7911</v>
      </c>
    </row>
    <row r="52" ht="15.75" customHeight="1" spans="1:4">
      <c r="A52" s="27" t="s">
        <v>783</v>
      </c>
      <c r="B52" s="5" t="s">
        <v>16226</v>
      </c>
      <c r="C52" s="27" t="s">
        <v>82</v>
      </c>
      <c r="D52" s="28">
        <v>40370.5143</v>
      </c>
    </row>
    <row r="53" ht="15.75" customHeight="1" spans="1:4">
      <c r="A53" s="27" t="s">
        <v>14366</v>
      </c>
      <c r="B53" s="5" t="s">
        <v>16227</v>
      </c>
      <c r="C53" s="27" t="s">
        <v>101</v>
      </c>
      <c r="D53" s="28">
        <v>17.3483</v>
      </c>
    </row>
    <row r="54" ht="15.75" customHeight="1" spans="1:4">
      <c r="A54" s="27" t="s">
        <v>14367</v>
      </c>
      <c r="B54" s="5" t="s">
        <v>16228</v>
      </c>
      <c r="C54" s="27" t="s">
        <v>82</v>
      </c>
      <c r="D54" s="28">
        <v>16.887</v>
      </c>
    </row>
    <row r="55" ht="15.75" customHeight="1" spans="1:4">
      <c r="A55" s="27" t="s">
        <v>14368</v>
      </c>
      <c r="B55" s="5" t="s">
        <v>16229</v>
      </c>
      <c r="C55" s="27" t="s">
        <v>82</v>
      </c>
      <c r="D55" s="28">
        <v>20.9917</v>
      </c>
    </row>
    <row r="56" ht="15.75" customHeight="1" spans="1:4">
      <c r="A56" s="27" t="s">
        <v>14220</v>
      </c>
      <c r="B56" s="5" t="s">
        <v>14221</v>
      </c>
      <c r="C56" s="27" t="s">
        <v>101</v>
      </c>
      <c r="D56" s="28">
        <v>11.8043</v>
      </c>
    </row>
    <row r="57" ht="15.75" customHeight="1" spans="1:4">
      <c r="A57" s="27" t="s">
        <v>14267</v>
      </c>
      <c r="B57" s="5" t="s">
        <v>14268</v>
      </c>
      <c r="C57" s="27" t="s">
        <v>82</v>
      </c>
      <c r="D57" s="28">
        <v>23.9701</v>
      </c>
    </row>
    <row r="58" ht="15.75" customHeight="1" spans="1:4">
      <c r="A58" s="27" t="s">
        <v>14369</v>
      </c>
      <c r="B58" s="5" t="s">
        <v>16230</v>
      </c>
      <c r="C58" s="27" t="s">
        <v>99</v>
      </c>
      <c r="D58" s="28">
        <v>136.1659</v>
      </c>
    </row>
    <row r="59" ht="15.75" customHeight="1" spans="1:4">
      <c r="A59" s="27" t="s">
        <v>14370</v>
      </c>
      <c r="B59" s="5" t="s">
        <v>16231</v>
      </c>
      <c r="C59" s="27" t="s">
        <v>99</v>
      </c>
      <c r="D59" s="28">
        <v>106.5131</v>
      </c>
    </row>
    <row r="60" ht="15.75" customHeight="1" spans="1:4">
      <c r="A60" s="27" t="s">
        <v>851</v>
      </c>
      <c r="B60" s="5" t="s">
        <v>14226</v>
      </c>
      <c r="C60" s="27" t="s">
        <v>99</v>
      </c>
      <c r="D60" s="28">
        <v>126.085</v>
      </c>
    </row>
    <row r="61" ht="15.75" customHeight="1" spans="1:4">
      <c r="A61" s="27" t="s">
        <v>14371</v>
      </c>
      <c r="B61" s="5" t="s">
        <v>16232</v>
      </c>
      <c r="C61" s="27" t="s">
        <v>101</v>
      </c>
      <c r="D61" s="28">
        <v>1.9043</v>
      </c>
    </row>
    <row r="62" ht="15.75" customHeight="1" spans="1:4">
      <c r="A62" s="27" t="s">
        <v>14372</v>
      </c>
      <c r="B62" s="5" t="s">
        <v>16233</v>
      </c>
      <c r="C62" s="27" t="s">
        <v>101</v>
      </c>
      <c r="D62" s="28">
        <v>2.1378</v>
      </c>
    </row>
    <row r="63" ht="15.75" customHeight="1" spans="1:4">
      <c r="A63" s="27" t="s">
        <v>14373</v>
      </c>
      <c r="B63" s="5" t="s">
        <v>16234</v>
      </c>
      <c r="C63" s="27" t="s">
        <v>82</v>
      </c>
      <c r="D63" s="28">
        <v>342.2946</v>
      </c>
    </row>
    <row r="64" ht="15.75" customHeight="1" spans="1:4">
      <c r="A64" s="27" t="s">
        <v>14374</v>
      </c>
      <c r="B64" s="5" t="s">
        <v>16235</v>
      </c>
      <c r="C64" s="27" t="s">
        <v>82</v>
      </c>
      <c r="D64" s="28">
        <v>473.9288</v>
      </c>
    </row>
    <row r="65" ht="15.75" customHeight="1" spans="1:4">
      <c r="A65" s="27" t="s">
        <v>14375</v>
      </c>
      <c r="B65" s="5" t="s">
        <v>16236</v>
      </c>
      <c r="C65" s="27" t="s">
        <v>82</v>
      </c>
      <c r="D65" s="28">
        <v>518.3417</v>
      </c>
    </row>
    <row r="66" ht="15.75" customHeight="1" spans="1:4">
      <c r="A66" s="27" t="s">
        <v>14376</v>
      </c>
      <c r="B66" s="5" t="s">
        <v>16237</v>
      </c>
      <c r="C66" s="27" t="s">
        <v>82</v>
      </c>
      <c r="D66" s="28">
        <v>651.169</v>
      </c>
    </row>
    <row r="67" ht="15.75" customHeight="1" spans="1:4">
      <c r="A67" s="27" t="s">
        <v>14377</v>
      </c>
      <c r="B67" s="5" t="s">
        <v>16238</v>
      </c>
      <c r="C67" s="27" t="s">
        <v>82</v>
      </c>
      <c r="D67" s="28">
        <v>727.066</v>
      </c>
    </row>
    <row r="68" ht="15.75" customHeight="1" spans="1:4">
      <c r="A68" s="27" t="s">
        <v>14378</v>
      </c>
      <c r="B68" s="5" t="s">
        <v>16239</v>
      </c>
      <c r="C68" s="27" t="s">
        <v>82</v>
      </c>
      <c r="D68" s="28">
        <v>781.6849</v>
      </c>
    </row>
    <row r="69" ht="15.75" customHeight="1" spans="1:4">
      <c r="A69" s="27" t="s">
        <v>14379</v>
      </c>
      <c r="B69" s="5" t="s">
        <v>16240</v>
      </c>
      <c r="C69" s="27" t="s">
        <v>82</v>
      </c>
      <c r="D69" s="28">
        <v>939.0857</v>
      </c>
    </row>
    <row r="70" ht="15.75" customHeight="1" spans="1:4">
      <c r="A70" s="27" t="s">
        <v>14380</v>
      </c>
      <c r="B70" s="5" t="s">
        <v>16241</v>
      </c>
      <c r="C70" s="27" t="s">
        <v>82</v>
      </c>
      <c r="D70" s="28">
        <v>1445.8073</v>
      </c>
    </row>
    <row r="71" ht="15.75" customHeight="1" spans="1:4">
      <c r="A71" s="27" t="s">
        <v>14381</v>
      </c>
      <c r="B71" s="5" t="s">
        <v>16242</v>
      </c>
      <c r="C71" s="27" t="s">
        <v>82</v>
      </c>
      <c r="D71" s="28">
        <v>1746.2551</v>
      </c>
    </row>
    <row r="72" ht="15.75" customHeight="1" spans="1:4">
      <c r="A72" s="27" t="s">
        <v>14382</v>
      </c>
      <c r="B72" s="5" t="s">
        <v>16243</v>
      </c>
      <c r="C72" s="27" t="s">
        <v>9</v>
      </c>
      <c r="D72" s="28">
        <v>22.9642</v>
      </c>
    </row>
    <row r="73" ht="15.75" customHeight="1" spans="1:4">
      <c r="A73" s="27" t="s">
        <v>14383</v>
      </c>
      <c r="B73" s="5" t="s">
        <v>16244</v>
      </c>
      <c r="C73" s="27" t="s">
        <v>82</v>
      </c>
      <c r="D73" s="28">
        <v>2317.4948</v>
      </c>
    </row>
    <row r="74" ht="15.75" customHeight="1" spans="1:4">
      <c r="A74" s="27" t="s">
        <v>14384</v>
      </c>
      <c r="B74" s="5" t="s">
        <v>16245</v>
      </c>
      <c r="C74" s="27" t="s">
        <v>82</v>
      </c>
      <c r="D74" s="28">
        <v>2862.1668</v>
      </c>
    </row>
    <row r="75" ht="15.75" customHeight="1" spans="1:4">
      <c r="A75" s="27" t="s">
        <v>14385</v>
      </c>
      <c r="B75" s="5" t="s">
        <v>16246</v>
      </c>
      <c r="C75" s="27" t="s">
        <v>82</v>
      </c>
      <c r="D75" s="28">
        <v>2912.0489</v>
      </c>
    </row>
    <row r="76" ht="15.75" customHeight="1" spans="1:4">
      <c r="A76" s="27" t="s">
        <v>14386</v>
      </c>
      <c r="B76" s="5" t="s">
        <v>16247</v>
      </c>
      <c r="C76" s="27" t="s">
        <v>101</v>
      </c>
      <c r="D76" s="28">
        <v>7.3292</v>
      </c>
    </row>
    <row r="77" ht="15.75" customHeight="1" spans="1:4">
      <c r="A77" s="27" t="s">
        <v>14387</v>
      </c>
      <c r="B77" s="5" t="s">
        <v>16248</v>
      </c>
      <c r="C77" s="27" t="s">
        <v>9885</v>
      </c>
      <c r="D77" s="28" t="s">
        <v>14799</v>
      </c>
    </row>
    <row r="78" ht="15.75" customHeight="1" spans="1:4">
      <c r="A78" s="27" t="s">
        <v>14388</v>
      </c>
      <c r="B78" s="5" t="s">
        <v>16249</v>
      </c>
      <c r="C78" s="27" t="s">
        <v>82</v>
      </c>
      <c r="D78" s="28">
        <v>572.2452</v>
      </c>
    </row>
    <row r="79" ht="15.75" customHeight="1" spans="1:4">
      <c r="A79" s="27" t="s">
        <v>14389</v>
      </c>
      <c r="B79" s="5" t="s">
        <v>16250</v>
      </c>
      <c r="C79" s="27" t="s">
        <v>82</v>
      </c>
      <c r="D79" s="28">
        <v>575.2491</v>
      </c>
    </row>
    <row r="80" ht="15.75" customHeight="1" spans="1:4">
      <c r="A80" s="27" t="s">
        <v>14390</v>
      </c>
      <c r="B80" s="5" t="s">
        <v>16251</v>
      </c>
      <c r="C80" s="27" t="s">
        <v>7</v>
      </c>
      <c r="D80" s="28">
        <v>46.3992</v>
      </c>
    </row>
    <row r="81" ht="15.75" customHeight="1" spans="1:4">
      <c r="A81" s="27" t="s">
        <v>14391</v>
      </c>
      <c r="B81" s="5" t="s">
        <v>16252</v>
      </c>
      <c r="C81" s="27" t="s">
        <v>82</v>
      </c>
      <c r="D81" s="28">
        <v>652.2935</v>
      </c>
    </row>
    <row r="82" ht="15.75" customHeight="1" spans="1:4">
      <c r="A82" s="27" t="s">
        <v>14392</v>
      </c>
      <c r="B82" s="5" t="s">
        <v>16253</v>
      </c>
      <c r="C82" s="27" t="s">
        <v>9</v>
      </c>
      <c r="D82" s="28">
        <v>5.18</v>
      </c>
    </row>
    <row r="83" ht="15.75" customHeight="1" spans="1:4">
      <c r="A83" s="27" t="s">
        <v>14393</v>
      </c>
      <c r="B83" s="5" t="s">
        <v>16254</v>
      </c>
      <c r="C83" s="27" t="s">
        <v>82</v>
      </c>
      <c r="D83" s="28">
        <v>1022.8447</v>
      </c>
    </row>
    <row r="84" ht="15.75" customHeight="1" spans="1:4">
      <c r="A84" s="27" t="s">
        <v>14394</v>
      </c>
      <c r="B84" s="5" t="s">
        <v>16255</v>
      </c>
      <c r="C84" s="27" t="s">
        <v>82</v>
      </c>
      <c r="D84" s="28">
        <v>955.5187</v>
      </c>
    </row>
    <row r="85" ht="15.75" customHeight="1" spans="1:4">
      <c r="A85" s="27" t="s">
        <v>14395</v>
      </c>
      <c r="B85" s="5" t="s">
        <v>16256</v>
      </c>
      <c r="C85" s="27" t="s">
        <v>82</v>
      </c>
      <c r="D85" s="28">
        <v>6189.1711</v>
      </c>
    </row>
    <row r="86" ht="15.75" customHeight="1" spans="1:4">
      <c r="A86" s="27" t="s">
        <v>14396</v>
      </c>
      <c r="B86" s="5" t="s">
        <v>16257</v>
      </c>
      <c r="C86" s="27" t="s">
        <v>82</v>
      </c>
      <c r="D86" s="28">
        <v>1135.497</v>
      </c>
    </row>
    <row r="87" ht="15.75" customHeight="1" spans="1:4">
      <c r="A87" s="27" t="s">
        <v>14397</v>
      </c>
      <c r="B87" s="5" t="s">
        <v>16258</v>
      </c>
      <c r="C87" s="27" t="s">
        <v>82</v>
      </c>
      <c r="D87" s="28">
        <v>26373.1851</v>
      </c>
    </row>
    <row r="88" ht="30" customHeight="1" spans="1:4">
      <c r="A88" s="27" t="s">
        <v>14398</v>
      </c>
      <c r="B88" s="5" t="s">
        <v>16259</v>
      </c>
      <c r="C88" s="27" t="s">
        <v>7</v>
      </c>
      <c r="D88" s="28">
        <v>6.5</v>
      </c>
    </row>
    <row r="89" ht="15.75" customHeight="1" spans="1:4">
      <c r="A89" s="27" t="s">
        <v>14399</v>
      </c>
      <c r="B89" s="5" t="s">
        <v>16260</v>
      </c>
      <c r="C89" s="27" t="s">
        <v>82</v>
      </c>
      <c r="D89" s="28">
        <v>10430.2077</v>
      </c>
    </row>
    <row r="90" ht="15.75" customHeight="1" spans="1:4">
      <c r="A90" s="27" t="s">
        <v>14400</v>
      </c>
      <c r="B90" s="5" t="s">
        <v>16261</v>
      </c>
      <c r="C90" s="27" t="s">
        <v>82</v>
      </c>
      <c r="D90" s="28">
        <v>17899.8458</v>
      </c>
    </row>
    <row r="91" ht="15.75" customHeight="1" spans="1:4">
      <c r="A91" s="27" t="s">
        <v>14401</v>
      </c>
      <c r="B91" s="5" t="s">
        <v>16262</v>
      </c>
      <c r="C91" s="27" t="s">
        <v>82</v>
      </c>
      <c r="D91" s="28">
        <v>25380.6124</v>
      </c>
    </row>
    <row r="92" ht="15.75" customHeight="1" spans="1:4">
      <c r="A92" s="27" t="s">
        <v>14402</v>
      </c>
      <c r="B92" s="5" t="s">
        <v>16263</v>
      </c>
      <c r="C92" s="27" t="s">
        <v>82</v>
      </c>
      <c r="D92" s="28">
        <v>29589.3613</v>
      </c>
    </row>
    <row r="93" ht="15.75" customHeight="1" spans="1:4">
      <c r="A93" s="27" t="s">
        <v>14403</v>
      </c>
      <c r="B93" s="5" t="s">
        <v>16264</v>
      </c>
      <c r="C93" s="27" t="s">
        <v>9</v>
      </c>
      <c r="D93" s="28">
        <v>324.6204</v>
      </c>
    </row>
    <row r="94" ht="15.75" customHeight="1" spans="1:4">
      <c r="A94" s="27" t="s">
        <v>14404</v>
      </c>
      <c r="B94" s="5" t="s">
        <v>16265</v>
      </c>
      <c r="C94" s="27" t="s">
        <v>9</v>
      </c>
      <c r="D94" s="28">
        <v>2094.1987</v>
      </c>
    </row>
    <row r="95" ht="15.75" customHeight="1" spans="1:4">
      <c r="A95" s="27" t="s">
        <v>14405</v>
      </c>
      <c r="B95" s="5" t="s">
        <v>16266</v>
      </c>
      <c r="C95" s="27" t="s">
        <v>9</v>
      </c>
      <c r="D95" s="28">
        <v>2629.3045</v>
      </c>
    </row>
    <row r="96" ht="15.75" customHeight="1" spans="1:4">
      <c r="A96" s="27" t="s">
        <v>14406</v>
      </c>
      <c r="B96" s="5" t="s">
        <v>16267</v>
      </c>
      <c r="C96" s="27" t="s">
        <v>9</v>
      </c>
      <c r="D96" s="28">
        <v>2943.3198</v>
      </c>
    </row>
    <row r="97" ht="15.75" customHeight="1" spans="1:4">
      <c r="A97" s="27" t="s">
        <v>14407</v>
      </c>
      <c r="B97" s="5" t="s">
        <v>16268</v>
      </c>
      <c r="C97" s="27" t="s">
        <v>82</v>
      </c>
      <c r="D97" s="28">
        <v>4830.3055</v>
      </c>
    </row>
    <row r="98" ht="15.75" customHeight="1" spans="1:4">
      <c r="A98" s="27" t="s">
        <v>14408</v>
      </c>
      <c r="B98" s="5" t="s">
        <v>16269</v>
      </c>
      <c r="C98" s="27" t="s">
        <v>82</v>
      </c>
      <c r="D98" s="28">
        <v>6650.6076</v>
      </c>
    </row>
    <row r="99" ht="15.75" customHeight="1" spans="1:4">
      <c r="A99" s="27" t="s">
        <v>14409</v>
      </c>
      <c r="B99" s="5" t="s">
        <v>16270</v>
      </c>
      <c r="C99" s="27" t="s">
        <v>82</v>
      </c>
      <c r="D99" s="28">
        <v>7660.2274</v>
      </c>
    </row>
    <row r="100" ht="15.75" customHeight="1" spans="1:4">
      <c r="A100" s="27" t="s">
        <v>14410</v>
      </c>
      <c r="B100" s="5" t="s">
        <v>16271</v>
      </c>
      <c r="C100" s="27" t="s">
        <v>82</v>
      </c>
      <c r="D100" s="28">
        <v>8241.865</v>
      </c>
    </row>
    <row r="101" ht="30" customHeight="1" spans="1:4">
      <c r="A101" s="27" t="s">
        <v>14411</v>
      </c>
      <c r="B101" s="5" t="s">
        <v>16272</v>
      </c>
      <c r="C101" s="27" t="s">
        <v>7</v>
      </c>
      <c r="D101" s="28">
        <v>5.9</v>
      </c>
    </row>
    <row r="102" ht="15.75" customHeight="1" spans="1:4">
      <c r="A102" s="27" t="s">
        <v>14412</v>
      </c>
      <c r="B102" s="5" t="s">
        <v>16273</v>
      </c>
      <c r="C102" s="27" t="s">
        <v>9</v>
      </c>
      <c r="D102" s="28">
        <v>63.8815</v>
      </c>
    </row>
    <row r="103" ht="15.75" customHeight="1" spans="1:4">
      <c r="A103" s="27" t="s">
        <v>14413</v>
      </c>
      <c r="B103" s="5" t="s">
        <v>16274</v>
      </c>
      <c r="C103" s="27" t="s">
        <v>82</v>
      </c>
      <c r="D103" s="28">
        <v>1558.294</v>
      </c>
    </row>
    <row r="104" ht="15.75" customHeight="1" spans="1:4">
      <c r="A104" s="27" t="s">
        <v>14414</v>
      </c>
      <c r="B104" s="5" t="s">
        <v>16275</v>
      </c>
      <c r="C104" s="27" t="s">
        <v>9</v>
      </c>
      <c r="D104" s="28">
        <v>209.0407</v>
      </c>
    </row>
    <row r="105" ht="15.75" customHeight="1" spans="1:4">
      <c r="A105" s="27" t="s">
        <v>14415</v>
      </c>
      <c r="B105" s="5" t="s">
        <v>16276</v>
      </c>
      <c r="C105" s="27" t="s">
        <v>9</v>
      </c>
      <c r="D105" s="28">
        <v>278.9925</v>
      </c>
    </row>
    <row r="106" ht="15.75" customHeight="1" spans="1:4">
      <c r="A106" s="27" t="s">
        <v>14416</v>
      </c>
      <c r="B106" s="5" t="s">
        <v>16277</v>
      </c>
      <c r="C106" s="27" t="s">
        <v>9</v>
      </c>
      <c r="D106" s="28">
        <v>371.9877</v>
      </c>
    </row>
    <row r="107" ht="15.75" customHeight="1" spans="1:4">
      <c r="A107" s="27" t="s">
        <v>14417</v>
      </c>
      <c r="B107" s="5" t="s">
        <v>16278</v>
      </c>
      <c r="C107" s="27" t="s">
        <v>9</v>
      </c>
      <c r="D107" s="28">
        <v>515.5156</v>
      </c>
    </row>
    <row r="108" ht="15.75" customHeight="1" spans="1:4">
      <c r="A108" s="27" t="s">
        <v>14418</v>
      </c>
      <c r="B108" s="5" t="s">
        <v>16279</v>
      </c>
      <c r="C108" s="27" t="s">
        <v>9</v>
      </c>
      <c r="D108" s="28">
        <v>760.421</v>
      </c>
    </row>
    <row r="109" ht="15.75" customHeight="1" spans="1:4">
      <c r="A109" s="27" t="s">
        <v>14419</v>
      </c>
      <c r="B109" s="5" t="s">
        <v>16280</v>
      </c>
      <c r="C109" s="27" t="s">
        <v>9</v>
      </c>
      <c r="D109" s="28">
        <v>802.2734</v>
      </c>
    </row>
    <row r="110" ht="15.75" customHeight="1" spans="1:4">
      <c r="A110" s="27" t="s">
        <v>14420</v>
      </c>
      <c r="B110" s="5" t="s">
        <v>16281</v>
      </c>
      <c r="C110" s="27" t="s">
        <v>9</v>
      </c>
      <c r="D110" s="28">
        <v>1365.9837</v>
      </c>
    </row>
    <row r="111" ht="15.75" customHeight="1" spans="1:4">
      <c r="A111" s="27" t="s">
        <v>14421</v>
      </c>
      <c r="B111" s="5" t="s">
        <v>16282</v>
      </c>
      <c r="C111" s="27" t="s">
        <v>82</v>
      </c>
      <c r="D111" s="28">
        <v>2080.6339</v>
      </c>
    </row>
    <row r="112" ht="15.75" customHeight="1" spans="1:4">
      <c r="A112" s="27" t="s">
        <v>14422</v>
      </c>
      <c r="B112" s="5" t="s">
        <v>16283</v>
      </c>
      <c r="C112" s="27" t="s">
        <v>9</v>
      </c>
      <c r="D112" s="28">
        <v>1418.1352</v>
      </c>
    </row>
    <row r="113" ht="15.75" customHeight="1" spans="1:4">
      <c r="A113" s="27" t="s">
        <v>14423</v>
      </c>
      <c r="B113" s="5" t="s">
        <v>16284</v>
      </c>
      <c r="C113" s="27" t="s">
        <v>101</v>
      </c>
      <c r="D113" s="28">
        <v>3.5002</v>
      </c>
    </row>
    <row r="114" ht="15.75" customHeight="1" spans="1:4">
      <c r="A114" s="27" t="s">
        <v>14424</v>
      </c>
      <c r="B114" s="5" t="s">
        <v>16285</v>
      </c>
      <c r="C114" s="27" t="s">
        <v>9</v>
      </c>
      <c r="D114" s="28">
        <v>1458.5081</v>
      </c>
    </row>
    <row r="115" ht="15.75" customHeight="1" spans="1:4">
      <c r="A115" s="27" t="s">
        <v>14425</v>
      </c>
      <c r="B115" s="5" t="s">
        <v>16286</v>
      </c>
      <c r="C115" s="27" t="s">
        <v>9</v>
      </c>
      <c r="D115" s="28">
        <v>1933.3742</v>
      </c>
    </row>
    <row r="116" ht="15.75" customHeight="1" spans="1:4">
      <c r="A116" s="27" t="s">
        <v>14426</v>
      </c>
      <c r="B116" s="5" t="s">
        <v>16287</v>
      </c>
      <c r="C116" s="27" t="s">
        <v>9</v>
      </c>
      <c r="D116" s="28">
        <v>3511.3647</v>
      </c>
    </row>
    <row r="117" ht="15.75" customHeight="1" spans="1:4">
      <c r="A117" s="27" t="s">
        <v>14427</v>
      </c>
      <c r="B117" s="5" t="s">
        <v>16288</v>
      </c>
      <c r="C117" s="27" t="s">
        <v>82</v>
      </c>
      <c r="D117" s="28">
        <v>2569.9412</v>
      </c>
    </row>
    <row r="118" ht="15.75" customHeight="1" spans="1:4">
      <c r="A118" s="27" t="s">
        <v>14428</v>
      </c>
      <c r="B118" s="5" t="s">
        <v>16289</v>
      </c>
      <c r="C118" s="27" t="s">
        <v>82</v>
      </c>
      <c r="D118" s="28">
        <v>3420.5612</v>
      </c>
    </row>
    <row r="119" ht="15.75" customHeight="1" spans="1:4">
      <c r="A119" s="27" t="s">
        <v>14429</v>
      </c>
      <c r="B119" s="5" t="s">
        <v>16290</v>
      </c>
      <c r="C119" s="27" t="s">
        <v>82</v>
      </c>
      <c r="D119" s="28">
        <v>84.6994</v>
      </c>
    </row>
    <row r="120" ht="15.75" customHeight="1" spans="1:4">
      <c r="A120" s="27" t="s">
        <v>14430</v>
      </c>
      <c r="B120" s="5" t="s">
        <v>16291</v>
      </c>
      <c r="C120" s="27" t="s">
        <v>82</v>
      </c>
      <c r="D120" s="28">
        <v>154.9601</v>
      </c>
    </row>
    <row r="121" ht="15.75" customHeight="1" spans="1:4">
      <c r="A121" s="27" t="s">
        <v>14431</v>
      </c>
      <c r="B121" s="5" t="s">
        <v>16292</v>
      </c>
      <c r="C121" s="27" t="s">
        <v>82</v>
      </c>
      <c r="D121" s="28">
        <v>203.7582</v>
      </c>
    </row>
    <row r="122" ht="15.75" customHeight="1" spans="1:4">
      <c r="A122" s="27" t="s">
        <v>14432</v>
      </c>
      <c r="B122" s="5" t="s">
        <v>16293</v>
      </c>
      <c r="C122" s="27" t="s">
        <v>82</v>
      </c>
      <c r="D122" s="28">
        <v>269.7801</v>
      </c>
    </row>
    <row r="123" ht="15.75" customHeight="1" spans="1:4">
      <c r="A123" s="27" t="s">
        <v>14433</v>
      </c>
      <c r="B123" s="5" t="s">
        <v>16294</v>
      </c>
      <c r="C123" s="27" t="s">
        <v>82</v>
      </c>
      <c r="D123" s="28">
        <v>6.3089</v>
      </c>
    </row>
    <row r="124" ht="15.75" customHeight="1" spans="1:4">
      <c r="A124" s="27" t="s">
        <v>14434</v>
      </c>
      <c r="B124" s="5" t="s">
        <v>16295</v>
      </c>
      <c r="C124" s="27" t="s">
        <v>82</v>
      </c>
      <c r="D124" s="28">
        <v>463.5231</v>
      </c>
    </row>
    <row r="125" ht="15.75" customHeight="1" spans="1:4">
      <c r="A125" s="27" t="s">
        <v>14435</v>
      </c>
      <c r="B125" s="5" t="s">
        <v>16296</v>
      </c>
      <c r="C125" s="27" t="s">
        <v>82</v>
      </c>
      <c r="D125" s="28">
        <v>630</v>
      </c>
    </row>
    <row r="126" ht="15.75" customHeight="1" spans="1:4">
      <c r="A126" s="27" t="s">
        <v>14436</v>
      </c>
      <c r="B126" s="5" t="s">
        <v>16297</v>
      </c>
      <c r="C126" s="27" t="s">
        <v>9</v>
      </c>
      <c r="D126" s="28">
        <v>58.4194</v>
      </c>
    </row>
    <row r="127" ht="15.75" customHeight="1" spans="1:4">
      <c r="A127" s="27" t="s">
        <v>14437</v>
      </c>
      <c r="B127" s="5" t="s">
        <v>16298</v>
      </c>
      <c r="C127" s="27" t="s">
        <v>9</v>
      </c>
      <c r="D127" s="28">
        <v>5.8444</v>
      </c>
    </row>
    <row r="128" ht="15.75" customHeight="1" spans="1:4">
      <c r="A128" s="27" t="s">
        <v>14438</v>
      </c>
      <c r="B128" s="5" t="s">
        <v>16299</v>
      </c>
      <c r="C128" s="27" t="s">
        <v>82</v>
      </c>
      <c r="D128" s="28">
        <v>2.4878</v>
      </c>
    </row>
    <row r="129" ht="15.75" customHeight="1" spans="1:4">
      <c r="A129" s="27" t="s">
        <v>14439</v>
      </c>
      <c r="B129" s="5" t="s">
        <v>16300</v>
      </c>
      <c r="C129" s="27" t="s">
        <v>9</v>
      </c>
      <c r="D129" s="28">
        <v>11.05</v>
      </c>
    </row>
    <row r="130" ht="15.75" customHeight="1" spans="1:4">
      <c r="A130" s="27" t="s">
        <v>14440</v>
      </c>
      <c r="B130" s="5" t="s">
        <v>16301</v>
      </c>
      <c r="C130" s="27" t="s">
        <v>9</v>
      </c>
      <c r="D130" s="28">
        <v>25.8095</v>
      </c>
    </row>
    <row r="131" ht="15.75" customHeight="1" spans="1:4">
      <c r="A131" s="27" t="s">
        <v>14441</v>
      </c>
      <c r="B131" s="5" t="s">
        <v>16302</v>
      </c>
      <c r="C131" s="27" t="s">
        <v>7</v>
      </c>
      <c r="D131" s="28">
        <v>13.6673</v>
      </c>
    </row>
    <row r="132" ht="15.75" customHeight="1" spans="1:4">
      <c r="A132" s="27" t="s">
        <v>14442</v>
      </c>
      <c r="B132" s="5" t="s">
        <v>16303</v>
      </c>
      <c r="C132" s="27" t="s">
        <v>82</v>
      </c>
      <c r="D132" s="28">
        <v>0.1625</v>
      </c>
    </row>
    <row r="133" ht="15.75" customHeight="1" spans="1:4">
      <c r="A133" s="27" t="s">
        <v>14443</v>
      </c>
      <c r="B133" s="5" t="s">
        <v>16304</v>
      </c>
      <c r="C133" s="27" t="s">
        <v>82</v>
      </c>
      <c r="D133" s="28">
        <v>89.1081</v>
      </c>
    </row>
    <row r="134" ht="15.75" customHeight="1" spans="1:4">
      <c r="A134" s="27" t="s">
        <v>14444</v>
      </c>
      <c r="B134" s="5" t="s">
        <v>16305</v>
      </c>
      <c r="C134" s="27" t="s">
        <v>82</v>
      </c>
      <c r="D134" s="28">
        <v>101.1792</v>
      </c>
    </row>
    <row r="135" ht="15.75" customHeight="1" spans="1:4">
      <c r="A135" s="27" t="s">
        <v>14445</v>
      </c>
      <c r="B135" s="5" t="s">
        <v>16306</v>
      </c>
      <c r="C135" s="27" t="s">
        <v>82</v>
      </c>
      <c r="D135" s="28">
        <v>205.2649</v>
      </c>
    </row>
    <row r="136" ht="15.75" customHeight="1" spans="1:4">
      <c r="A136" s="27" t="s">
        <v>14446</v>
      </c>
      <c r="B136" s="5" t="s">
        <v>16307</v>
      </c>
      <c r="C136" s="27" t="s">
        <v>82</v>
      </c>
      <c r="D136" s="28">
        <v>310.1934</v>
      </c>
    </row>
    <row r="137" ht="15.75" customHeight="1" spans="1:4">
      <c r="A137" s="27" t="s">
        <v>14447</v>
      </c>
      <c r="B137" s="5" t="s">
        <v>16308</v>
      </c>
      <c r="C137" s="27" t="s">
        <v>82</v>
      </c>
      <c r="D137" s="28">
        <v>318.1592</v>
      </c>
    </row>
    <row r="138" ht="15.75" customHeight="1" spans="1:4">
      <c r="A138" s="27" t="s">
        <v>859</v>
      </c>
      <c r="B138" s="5" t="s">
        <v>171</v>
      </c>
      <c r="C138" s="27" t="s">
        <v>99</v>
      </c>
      <c r="D138" s="28">
        <v>128.6627</v>
      </c>
    </row>
    <row r="139" ht="15.75" customHeight="1" spans="1:4">
      <c r="A139" s="27" t="s">
        <v>854</v>
      </c>
      <c r="B139" s="5" t="s">
        <v>172</v>
      </c>
      <c r="C139" s="27" t="s">
        <v>99</v>
      </c>
      <c r="D139" s="28">
        <v>125.1565</v>
      </c>
    </row>
    <row r="140" ht="15.75" customHeight="1" spans="1:4">
      <c r="A140" s="27" t="s">
        <v>14448</v>
      </c>
      <c r="B140" s="5" t="s">
        <v>16309</v>
      </c>
      <c r="C140" s="27" t="s">
        <v>99</v>
      </c>
      <c r="D140" s="28">
        <v>122.1565</v>
      </c>
    </row>
    <row r="141" ht="15.75" customHeight="1" spans="1:4">
      <c r="A141" s="27" t="s">
        <v>14449</v>
      </c>
      <c r="B141" s="5" t="s">
        <v>16310</v>
      </c>
      <c r="C141" s="27" t="s">
        <v>99</v>
      </c>
      <c r="D141" s="28">
        <v>16.5</v>
      </c>
    </row>
    <row r="142" ht="15.75" customHeight="1" spans="1:4">
      <c r="A142" s="27" t="s">
        <v>14450</v>
      </c>
      <c r="B142" s="5" t="s">
        <v>16311</v>
      </c>
      <c r="C142" s="27" t="s">
        <v>82</v>
      </c>
      <c r="D142" s="28">
        <v>0.3477</v>
      </c>
    </row>
    <row r="143" ht="15.75" customHeight="1" spans="1:4">
      <c r="A143" s="27" t="s">
        <v>16312</v>
      </c>
      <c r="B143" s="5" t="s">
        <v>16313</v>
      </c>
      <c r="C143" s="27" t="s">
        <v>82</v>
      </c>
      <c r="D143" s="28">
        <v>346.025</v>
      </c>
    </row>
    <row r="144" ht="15.75" customHeight="1" spans="1:4">
      <c r="A144" s="27" t="s">
        <v>14451</v>
      </c>
      <c r="B144" s="5" t="s">
        <v>16314</v>
      </c>
      <c r="C144" s="27" t="s">
        <v>82</v>
      </c>
      <c r="D144" s="28">
        <v>833.4245</v>
      </c>
    </row>
    <row r="145" ht="15.75" customHeight="1" spans="1:4">
      <c r="A145" s="27" t="s">
        <v>14452</v>
      </c>
      <c r="B145" s="5" t="s">
        <v>16315</v>
      </c>
      <c r="C145" s="27" t="s">
        <v>82</v>
      </c>
      <c r="D145" s="28">
        <v>767.2414</v>
      </c>
    </row>
    <row r="146" ht="15.75" customHeight="1" spans="1:4">
      <c r="A146" s="27" t="s">
        <v>14453</v>
      </c>
      <c r="B146" s="5" t="s">
        <v>16316</v>
      </c>
      <c r="C146" s="27" t="s">
        <v>101</v>
      </c>
      <c r="D146" s="28">
        <v>3.3505</v>
      </c>
    </row>
    <row r="147" ht="15.75" customHeight="1" spans="1:4">
      <c r="A147" s="27" t="s">
        <v>14454</v>
      </c>
      <c r="B147" s="5" t="s">
        <v>16317</v>
      </c>
      <c r="C147" s="27" t="s">
        <v>101</v>
      </c>
      <c r="D147" s="28">
        <v>2.9459</v>
      </c>
    </row>
    <row r="148" ht="15.75" customHeight="1" spans="1:4">
      <c r="A148" s="27" t="s">
        <v>14455</v>
      </c>
      <c r="B148" s="5" t="s">
        <v>16318</v>
      </c>
      <c r="C148" s="27" t="s">
        <v>101</v>
      </c>
      <c r="D148" s="28">
        <v>0.1561</v>
      </c>
    </row>
    <row r="149" ht="15.75" customHeight="1" spans="1:4">
      <c r="A149" s="27" t="s">
        <v>14456</v>
      </c>
      <c r="B149" s="5" t="s">
        <v>16319</v>
      </c>
      <c r="C149" s="27" t="s">
        <v>101</v>
      </c>
      <c r="D149" s="28">
        <v>27.9885</v>
      </c>
    </row>
    <row r="150" ht="15.75" customHeight="1" spans="1:4">
      <c r="A150" s="27" t="s">
        <v>14457</v>
      </c>
      <c r="B150" s="5" t="s">
        <v>16320</v>
      </c>
      <c r="C150" s="27" t="s">
        <v>82</v>
      </c>
      <c r="D150" s="28">
        <v>61.204</v>
      </c>
    </row>
    <row r="151" ht="15.75" customHeight="1" spans="1:4">
      <c r="A151" s="27" t="s">
        <v>14458</v>
      </c>
      <c r="B151" s="5" t="s">
        <v>16321</v>
      </c>
      <c r="C151" s="27" t="s">
        <v>101</v>
      </c>
      <c r="D151" s="28">
        <v>0.2911</v>
      </c>
    </row>
    <row r="152" ht="30" customHeight="1" spans="1:4">
      <c r="A152" s="27" t="s">
        <v>14459</v>
      </c>
      <c r="B152" s="5" t="s">
        <v>16322</v>
      </c>
      <c r="C152" s="27" t="s">
        <v>7</v>
      </c>
      <c r="D152" s="28">
        <v>157.8171</v>
      </c>
    </row>
    <row r="153" ht="30" customHeight="1" spans="1:4">
      <c r="A153" s="27" t="s">
        <v>14460</v>
      </c>
      <c r="B153" s="5" t="s">
        <v>16323</v>
      </c>
      <c r="C153" s="27" t="s">
        <v>82</v>
      </c>
      <c r="D153" s="28">
        <v>489.769</v>
      </c>
    </row>
    <row r="154" ht="30" customHeight="1" spans="1:4">
      <c r="A154" s="27" t="s">
        <v>14461</v>
      </c>
      <c r="B154" s="5" t="s">
        <v>16324</v>
      </c>
      <c r="C154" s="27" t="s">
        <v>82</v>
      </c>
      <c r="D154" s="28">
        <v>749.7011</v>
      </c>
    </row>
    <row r="155" ht="30" customHeight="1" spans="1:4">
      <c r="A155" s="27" t="s">
        <v>14462</v>
      </c>
      <c r="B155" s="5" t="s">
        <v>16325</v>
      </c>
      <c r="C155" s="27" t="s">
        <v>82</v>
      </c>
      <c r="D155" s="28">
        <v>629.8752</v>
      </c>
    </row>
    <row r="156" ht="30" customHeight="1" spans="1:4">
      <c r="A156" s="27" t="s">
        <v>14463</v>
      </c>
      <c r="B156" s="5" t="s">
        <v>16326</v>
      </c>
      <c r="C156" s="27" t="s">
        <v>82</v>
      </c>
      <c r="D156" s="28">
        <v>878.2727</v>
      </c>
    </row>
    <row r="157" ht="30" customHeight="1" spans="1:4">
      <c r="A157" s="27" t="s">
        <v>14464</v>
      </c>
      <c r="B157" s="5" t="s">
        <v>16327</v>
      </c>
      <c r="C157" s="27" t="s">
        <v>99</v>
      </c>
      <c r="D157" s="28">
        <v>437.9399</v>
      </c>
    </row>
    <row r="158" ht="30" customHeight="1" spans="1:4">
      <c r="A158" s="27" t="s">
        <v>14465</v>
      </c>
      <c r="B158" s="5" t="s">
        <v>16328</v>
      </c>
      <c r="C158" s="27" t="s">
        <v>7</v>
      </c>
      <c r="D158" s="28">
        <v>168.1633</v>
      </c>
    </row>
    <row r="159" ht="30" customHeight="1" spans="1:4">
      <c r="A159" s="27" t="s">
        <v>14466</v>
      </c>
      <c r="B159" s="5" t="s">
        <v>16329</v>
      </c>
      <c r="C159" s="27" t="s">
        <v>7</v>
      </c>
      <c r="D159" s="28">
        <v>193.5578</v>
      </c>
    </row>
    <row r="160" ht="15.75" customHeight="1" spans="1:4">
      <c r="A160" s="27" t="s">
        <v>14467</v>
      </c>
      <c r="B160" s="5" t="s">
        <v>16330</v>
      </c>
      <c r="C160" s="27" t="s">
        <v>16331</v>
      </c>
      <c r="D160" s="28">
        <v>1.1784</v>
      </c>
    </row>
    <row r="161" ht="15.75" customHeight="1" spans="1:4">
      <c r="A161" s="27" t="s">
        <v>14468</v>
      </c>
      <c r="B161" s="5" t="s">
        <v>16332</v>
      </c>
      <c r="C161" s="27" t="s">
        <v>9</v>
      </c>
      <c r="D161" s="28">
        <v>13.0691</v>
      </c>
    </row>
    <row r="162" ht="15.75" customHeight="1" spans="1:4">
      <c r="A162" s="27" t="s">
        <v>14469</v>
      </c>
      <c r="B162" s="5" t="s">
        <v>16333</v>
      </c>
      <c r="C162" s="27" t="s">
        <v>99</v>
      </c>
      <c r="D162" s="28">
        <v>54.3879</v>
      </c>
    </row>
    <row r="163" ht="15.75" customHeight="1" spans="1:4">
      <c r="A163" s="27" t="s">
        <v>14470</v>
      </c>
      <c r="B163" s="5" t="s">
        <v>16334</v>
      </c>
      <c r="C163" s="27" t="s">
        <v>14234</v>
      </c>
      <c r="D163" s="28">
        <v>256.6716</v>
      </c>
    </row>
    <row r="164" ht="15.75" customHeight="1" spans="1:4">
      <c r="A164" s="27" t="s">
        <v>14471</v>
      </c>
      <c r="B164" s="5" t="s">
        <v>16335</v>
      </c>
      <c r="C164" s="27" t="s">
        <v>14234</v>
      </c>
      <c r="D164" s="28">
        <v>34.5431</v>
      </c>
    </row>
    <row r="165" ht="15.75" customHeight="1" spans="1:4">
      <c r="A165" s="27" t="s">
        <v>14472</v>
      </c>
      <c r="B165" s="5" t="s">
        <v>16336</v>
      </c>
      <c r="C165" s="27" t="s">
        <v>9</v>
      </c>
      <c r="D165" s="28">
        <v>4.7476</v>
      </c>
    </row>
    <row r="166" ht="15.75" customHeight="1" spans="1:4">
      <c r="A166" s="27" t="s">
        <v>14473</v>
      </c>
      <c r="B166" s="5" t="s">
        <v>16337</v>
      </c>
      <c r="C166" s="27" t="s">
        <v>82</v>
      </c>
      <c r="D166" s="28">
        <v>30894.8297</v>
      </c>
    </row>
    <row r="167" ht="15.75" customHeight="1" spans="1:4">
      <c r="A167" s="27" t="s">
        <v>14474</v>
      </c>
      <c r="B167" s="5" t="s">
        <v>16338</v>
      </c>
      <c r="C167" s="27" t="s">
        <v>82</v>
      </c>
      <c r="D167" s="28">
        <v>19786.7026</v>
      </c>
    </row>
    <row r="168" ht="15.75" customHeight="1" spans="1:4">
      <c r="A168" s="27" t="s">
        <v>14475</v>
      </c>
      <c r="B168" s="5" t="s">
        <v>16339</v>
      </c>
      <c r="C168" s="27" t="s">
        <v>9</v>
      </c>
      <c r="D168" s="28">
        <v>174.3278</v>
      </c>
    </row>
    <row r="169" ht="15.75" customHeight="1" spans="1:4">
      <c r="A169" s="27" t="s">
        <v>16340</v>
      </c>
      <c r="B169" s="5" t="s">
        <v>16341</v>
      </c>
      <c r="C169" s="27" t="s">
        <v>82</v>
      </c>
      <c r="D169" s="28">
        <v>3337.0648</v>
      </c>
    </row>
    <row r="170" ht="15.75" customHeight="1" spans="1:4">
      <c r="A170" s="27" t="s">
        <v>16342</v>
      </c>
      <c r="B170" s="5" t="s">
        <v>16343</v>
      </c>
      <c r="C170" s="27" t="s">
        <v>82</v>
      </c>
      <c r="D170" s="28">
        <v>2757.0434</v>
      </c>
    </row>
    <row r="171" ht="15.75" customHeight="1" spans="1:4">
      <c r="A171" s="27" t="s">
        <v>14476</v>
      </c>
      <c r="B171" s="5" t="s">
        <v>16344</v>
      </c>
      <c r="C171" s="27" t="s">
        <v>9</v>
      </c>
      <c r="D171" s="28">
        <v>36.3751</v>
      </c>
    </row>
    <row r="172" ht="15.75" customHeight="1" spans="1:4">
      <c r="A172" s="27" t="s">
        <v>14228</v>
      </c>
      <c r="B172" s="5" t="s">
        <v>14229</v>
      </c>
      <c r="C172" s="27" t="s">
        <v>9</v>
      </c>
      <c r="D172" s="28">
        <v>12.99</v>
      </c>
    </row>
    <row r="173" ht="15.75" customHeight="1" spans="1:4">
      <c r="A173" s="27" t="s">
        <v>14477</v>
      </c>
      <c r="B173" s="5" t="s">
        <v>16345</v>
      </c>
      <c r="C173" s="27" t="s">
        <v>9</v>
      </c>
      <c r="D173" s="28">
        <v>5.9455</v>
      </c>
    </row>
    <row r="174" ht="15.75" customHeight="1" spans="1:4">
      <c r="A174" s="27" t="s">
        <v>14241</v>
      </c>
      <c r="B174" s="5" t="s">
        <v>14242</v>
      </c>
      <c r="C174" s="27" t="s">
        <v>9</v>
      </c>
      <c r="D174" s="28">
        <v>10.1655</v>
      </c>
    </row>
    <row r="175" ht="15.75" customHeight="1" spans="1:4">
      <c r="A175" s="27" t="s">
        <v>14478</v>
      </c>
      <c r="B175" s="5" t="s">
        <v>16346</v>
      </c>
      <c r="C175" s="27" t="s">
        <v>9</v>
      </c>
      <c r="D175" s="28">
        <v>4.88</v>
      </c>
    </row>
    <row r="176" ht="15.75" customHeight="1" spans="1:4">
      <c r="A176" s="27" t="s">
        <v>14239</v>
      </c>
      <c r="B176" s="5" t="s">
        <v>14240</v>
      </c>
      <c r="C176" s="27" t="s">
        <v>9</v>
      </c>
      <c r="D176" s="28">
        <v>3.5723</v>
      </c>
    </row>
    <row r="177" ht="15.75" customHeight="1" spans="1:4">
      <c r="A177" s="27" t="s">
        <v>14479</v>
      </c>
      <c r="B177" s="5" t="s">
        <v>16347</v>
      </c>
      <c r="C177" s="27" t="s">
        <v>9</v>
      </c>
      <c r="D177" s="28">
        <v>3.0341</v>
      </c>
    </row>
    <row r="178" ht="15.75" customHeight="1" spans="1:4">
      <c r="A178" s="27" t="s">
        <v>14235</v>
      </c>
      <c r="B178" s="5" t="s">
        <v>14236</v>
      </c>
      <c r="C178" s="27" t="s">
        <v>9</v>
      </c>
      <c r="D178" s="28">
        <v>4.33</v>
      </c>
    </row>
    <row r="179" ht="15.75" customHeight="1" spans="1:4">
      <c r="A179" s="27" t="s">
        <v>16348</v>
      </c>
      <c r="B179" s="5" t="s">
        <v>16349</v>
      </c>
      <c r="C179" s="27" t="s">
        <v>82</v>
      </c>
      <c r="D179" s="28">
        <v>353.5865</v>
      </c>
    </row>
    <row r="180" ht="30" customHeight="1" spans="1:4">
      <c r="A180" s="27" t="s">
        <v>16350</v>
      </c>
      <c r="B180" s="5" t="s">
        <v>16351</v>
      </c>
      <c r="C180" s="27" t="s">
        <v>82</v>
      </c>
      <c r="D180" s="28">
        <v>319.6481</v>
      </c>
    </row>
    <row r="181" ht="15.75" customHeight="1" spans="1:4">
      <c r="A181" s="27" t="s">
        <v>14480</v>
      </c>
      <c r="B181" s="5" t="s">
        <v>16352</v>
      </c>
      <c r="C181" s="27" t="s">
        <v>101</v>
      </c>
      <c r="D181" s="28">
        <v>0.407</v>
      </c>
    </row>
    <row r="182" ht="15.75" customHeight="1" spans="1:4">
      <c r="A182" s="27" t="s">
        <v>14481</v>
      </c>
      <c r="B182" s="5" t="s">
        <v>16353</v>
      </c>
      <c r="C182" s="27" t="s">
        <v>101</v>
      </c>
      <c r="D182" s="28">
        <v>0.6329</v>
      </c>
    </row>
    <row r="183" ht="15.75" customHeight="1" spans="1:4">
      <c r="A183" s="27" t="s">
        <v>14482</v>
      </c>
      <c r="B183" s="5" t="s">
        <v>16354</v>
      </c>
      <c r="C183" s="27" t="s">
        <v>82</v>
      </c>
      <c r="D183" s="28">
        <v>347.4663</v>
      </c>
    </row>
    <row r="184" ht="15.75" customHeight="1" spans="1:4">
      <c r="A184" s="27" t="s">
        <v>16355</v>
      </c>
      <c r="B184" s="5" t="s">
        <v>16356</v>
      </c>
      <c r="C184" s="27" t="s">
        <v>82</v>
      </c>
      <c r="D184" s="28">
        <v>1512.5968</v>
      </c>
    </row>
    <row r="185" ht="15.75" customHeight="1" spans="1:4">
      <c r="A185" s="27" t="s">
        <v>14483</v>
      </c>
      <c r="B185" s="5" t="s">
        <v>16357</v>
      </c>
      <c r="C185" s="27" t="s">
        <v>82</v>
      </c>
      <c r="D185" s="28">
        <v>289.0781</v>
      </c>
    </row>
    <row r="186" ht="15.75" customHeight="1" spans="1:4">
      <c r="A186" s="27" t="s">
        <v>16358</v>
      </c>
      <c r="B186" s="5" t="s">
        <v>16359</v>
      </c>
      <c r="C186" s="27" t="s">
        <v>82</v>
      </c>
      <c r="D186" s="28">
        <v>678.6261</v>
      </c>
    </row>
    <row r="187" ht="15.75" customHeight="1" spans="1:4">
      <c r="A187" s="27" t="s">
        <v>14484</v>
      </c>
      <c r="B187" s="5" t="s">
        <v>16360</v>
      </c>
      <c r="C187" s="27" t="s">
        <v>82</v>
      </c>
      <c r="D187" s="28">
        <v>293.8804</v>
      </c>
    </row>
    <row r="188" ht="15.75" customHeight="1" spans="1:4">
      <c r="A188" s="27" t="s">
        <v>14485</v>
      </c>
      <c r="B188" s="5" t="s">
        <v>16361</v>
      </c>
      <c r="C188" s="27" t="s">
        <v>9</v>
      </c>
      <c r="D188" s="28">
        <v>378.246</v>
      </c>
    </row>
    <row r="189" ht="15.75" customHeight="1" spans="1:4">
      <c r="A189" s="27" t="s">
        <v>16362</v>
      </c>
      <c r="B189" s="5" t="s">
        <v>16363</v>
      </c>
      <c r="C189" s="27" t="s">
        <v>9</v>
      </c>
      <c r="D189" s="28">
        <v>124.2861</v>
      </c>
    </row>
    <row r="190" ht="15.75" customHeight="1" spans="1:4">
      <c r="A190" s="27" t="s">
        <v>14291</v>
      </c>
      <c r="B190" s="5" t="s">
        <v>14292</v>
      </c>
      <c r="C190" s="27" t="s">
        <v>101</v>
      </c>
      <c r="D190" s="28">
        <v>9.9646</v>
      </c>
    </row>
    <row r="191" ht="15.75" customHeight="1" spans="1:4">
      <c r="A191" s="27" t="s">
        <v>14486</v>
      </c>
      <c r="B191" s="5" t="s">
        <v>16364</v>
      </c>
      <c r="C191" s="27" t="s">
        <v>101</v>
      </c>
      <c r="D191" s="28">
        <v>10.925</v>
      </c>
    </row>
    <row r="192" ht="15.75" customHeight="1" spans="1:4">
      <c r="A192" s="27" t="s">
        <v>16365</v>
      </c>
      <c r="B192" s="5" t="s">
        <v>16366</v>
      </c>
      <c r="C192" s="27" t="s">
        <v>82</v>
      </c>
      <c r="D192" s="28">
        <v>113.4738</v>
      </c>
    </row>
    <row r="193" ht="30" customHeight="1" spans="1:4">
      <c r="A193" s="27" t="s">
        <v>16367</v>
      </c>
      <c r="B193" s="5" t="s">
        <v>16368</v>
      </c>
      <c r="C193" s="27" t="s">
        <v>82</v>
      </c>
      <c r="D193" s="28">
        <v>9062.6595</v>
      </c>
    </row>
    <row r="194" ht="30" customHeight="1" spans="1:4">
      <c r="A194" s="27" t="s">
        <v>16369</v>
      </c>
      <c r="B194" s="5" t="s">
        <v>16370</v>
      </c>
      <c r="C194" s="27" t="s">
        <v>82</v>
      </c>
      <c r="D194" s="28">
        <v>37448.7661</v>
      </c>
    </row>
    <row r="195" ht="15.75" customHeight="1" spans="1:4">
      <c r="A195" s="27" t="s">
        <v>16371</v>
      </c>
      <c r="B195" s="5" t="s">
        <v>16372</v>
      </c>
      <c r="C195" s="27" t="s">
        <v>82</v>
      </c>
      <c r="D195" s="28">
        <v>1189.774</v>
      </c>
    </row>
    <row r="196" ht="15.75" customHeight="1" spans="1:4">
      <c r="A196" s="27" t="s">
        <v>16373</v>
      </c>
      <c r="B196" s="5" t="s">
        <v>16374</v>
      </c>
      <c r="C196" s="27" t="s">
        <v>82</v>
      </c>
      <c r="D196" s="28">
        <v>34.1549</v>
      </c>
    </row>
    <row r="197" ht="15.75" customHeight="1" spans="1:4">
      <c r="A197" s="27" t="s">
        <v>16375</v>
      </c>
      <c r="B197" s="5" t="s">
        <v>16376</v>
      </c>
      <c r="C197" s="27" t="s">
        <v>82</v>
      </c>
      <c r="D197" s="28">
        <v>39.8149</v>
      </c>
    </row>
    <row r="198" ht="15.75" customHeight="1" spans="1:4">
      <c r="A198" s="27" t="s">
        <v>16377</v>
      </c>
      <c r="B198" s="5" t="s">
        <v>16378</v>
      </c>
      <c r="C198" s="27" t="s">
        <v>82</v>
      </c>
      <c r="D198" s="28">
        <v>28.0599</v>
      </c>
    </row>
    <row r="199" ht="15.75" customHeight="1" spans="1:4">
      <c r="A199" s="27" t="s">
        <v>16379</v>
      </c>
      <c r="B199" s="5" t="s">
        <v>16380</v>
      </c>
      <c r="C199" s="27" t="s">
        <v>82</v>
      </c>
      <c r="D199" s="28">
        <v>59.2075</v>
      </c>
    </row>
    <row r="200" ht="15.75" customHeight="1" spans="1:4">
      <c r="A200" s="27" t="s">
        <v>14487</v>
      </c>
      <c r="B200" s="5" t="s">
        <v>16381</v>
      </c>
      <c r="C200" s="27" t="s">
        <v>7</v>
      </c>
      <c r="D200" s="28">
        <v>174.9419</v>
      </c>
    </row>
    <row r="201" ht="15.75" customHeight="1" spans="1:4">
      <c r="A201" s="27" t="s">
        <v>14488</v>
      </c>
      <c r="B201" s="5" t="s">
        <v>16382</v>
      </c>
      <c r="C201" s="27" t="s">
        <v>82</v>
      </c>
      <c r="D201" s="28">
        <v>5.0048</v>
      </c>
    </row>
    <row r="202" ht="15.75" customHeight="1" spans="1:4">
      <c r="A202" s="27" t="s">
        <v>14489</v>
      </c>
      <c r="B202" s="5" t="s">
        <v>16383</v>
      </c>
      <c r="C202" s="27" t="s">
        <v>82</v>
      </c>
      <c r="D202" s="28">
        <v>0.7897</v>
      </c>
    </row>
    <row r="203" ht="15.75" customHeight="1" spans="1:4">
      <c r="A203" s="27" t="s">
        <v>14289</v>
      </c>
      <c r="B203" s="5" t="s">
        <v>14290</v>
      </c>
      <c r="C203" s="27" t="s">
        <v>82</v>
      </c>
      <c r="D203" s="28">
        <v>14.1269</v>
      </c>
    </row>
    <row r="204" ht="15.75" customHeight="1" spans="1:4">
      <c r="A204" s="27" t="s">
        <v>14490</v>
      </c>
      <c r="B204" s="5" t="s">
        <v>16384</v>
      </c>
      <c r="C204" s="27" t="s">
        <v>82</v>
      </c>
      <c r="D204" s="28">
        <v>2.7062</v>
      </c>
    </row>
    <row r="205" ht="15.75" customHeight="1" spans="1:4">
      <c r="A205" s="27" t="s">
        <v>14491</v>
      </c>
      <c r="B205" s="5" t="s">
        <v>16385</v>
      </c>
      <c r="C205" s="27" t="s">
        <v>82</v>
      </c>
      <c r="D205" s="28">
        <v>9.5545</v>
      </c>
    </row>
    <row r="206" ht="15.75" customHeight="1" spans="1:4">
      <c r="A206" s="27" t="s">
        <v>14492</v>
      </c>
      <c r="B206" s="5" t="s">
        <v>16386</v>
      </c>
      <c r="C206" s="27" t="s">
        <v>82</v>
      </c>
      <c r="D206" s="28">
        <v>33.9153</v>
      </c>
    </row>
    <row r="207" ht="15.75" customHeight="1" spans="1:4">
      <c r="A207" s="27" t="s">
        <v>14493</v>
      </c>
      <c r="B207" s="5" t="s">
        <v>16387</v>
      </c>
      <c r="C207" s="27" t="s">
        <v>101</v>
      </c>
      <c r="D207" s="28">
        <v>13.7748</v>
      </c>
    </row>
    <row r="208" ht="15.75" customHeight="1" spans="1:4">
      <c r="A208" s="27" t="s">
        <v>836</v>
      </c>
      <c r="B208" s="5" t="s">
        <v>14227</v>
      </c>
      <c r="C208" s="27" t="s">
        <v>101</v>
      </c>
      <c r="D208" s="28">
        <v>0.7155</v>
      </c>
    </row>
    <row r="209" ht="15.75" customHeight="1" spans="1:4">
      <c r="A209" s="27" t="s">
        <v>14265</v>
      </c>
      <c r="B209" s="5" t="s">
        <v>14266</v>
      </c>
      <c r="C209" s="27" t="s">
        <v>101</v>
      </c>
      <c r="D209" s="28">
        <v>8.5928</v>
      </c>
    </row>
    <row r="210" ht="15.75" customHeight="1" spans="1:4">
      <c r="A210" s="27" t="s">
        <v>14494</v>
      </c>
      <c r="B210" s="5" t="s">
        <v>16388</v>
      </c>
      <c r="C210" s="27" t="s">
        <v>101</v>
      </c>
      <c r="D210" s="28">
        <v>8.5928</v>
      </c>
    </row>
    <row r="211" ht="15.75" customHeight="1" spans="1:4">
      <c r="A211" s="27" t="s">
        <v>14495</v>
      </c>
      <c r="B211" s="5" t="s">
        <v>16389</v>
      </c>
      <c r="C211" s="27" t="s">
        <v>9</v>
      </c>
      <c r="D211" s="28">
        <v>15.6959</v>
      </c>
    </row>
    <row r="212" ht="30" customHeight="1" spans="1:4">
      <c r="A212" s="27" t="s">
        <v>14496</v>
      </c>
      <c r="B212" s="5" t="s">
        <v>16390</v>
      </c>
      <c r="C212" s="27" t="s">
        <v>9</v>
      </c>
      <c r="D212" s="28">
        <v>262.9139</v>
      </c>
    </row>
    <row r="213" ht="15.75" customHeight="1" spans="1:4">
      <c r="A213" s="27" t="s">
        <v>14497</v>
      </c>
      <c r="B213" s="5" t="s">
        <v>16391</v>
      </c>
      <c r="C213" s="27" t="s">
        <v>7</v>
      </c>
      <c r="D213" s="28">
        <v>39.0655</v>
      </c>
    </row>
    <row r="214" ht="15.75" customHeight="1" spans="1:4">
      <c r="A214" s="27" t="s">
        <v>14498</v>
      </c>
      <c r="B214" s="5" t="s">
        <v>16392</v>
      </c>
      <c r="C214" s="27" t="s">
        <v>7</v>
      </c>
      <c r="D214" s="28">
        <v>46.8633</v>
      </c>
    </row>
    <row r="215" ht="15.75" customHeight="1" spans="1:4">
      <c r="A215" s="27" t="s">
        <v>14499</v>
      </c>
      <c r="B215" s="5" t="s">
        <v>16393</v>
      </c>
      <c r="C215" s="27" t="s">
        <v>82</v>
      </c>
      <c r="D215" s="28">
        <v>17.4963</v>
      </c>
    </row>
    <row r="216" ht="15.75" customHeight="1" spans="1:4">
      <c r="A216" s="27" t="s">
        <v>14500</v>
      </c>
      <c r="B216" s="5" t="s">
        <v>16394</v>
      </c>
      <c r="C216" s="27" t="s">
        <v>82</v>
      </c>
      <c r="D216" s="28">
        <v>22.5751</v>
      </c>
    </row>
    <row r="217" ht="15.75" customHeight="1" spans="1:4">
      <c r="A217" s="27" t="s">
        <v>14501</v>
      </c>
      <c r="B217" s="5" t="s">
        <v>16395</v>
      </c>
      <c r="C217" s="27" t="s">
        <v>7</v>
      </c>
      <c r="D217" s="28">
        <v>30.6768</v>
      </c>
    </row>
    <row r="218" ht="15.75" customHeight="1" spans="1:4">
      <c r="A218" s="27" t="s">
        <v>14230</v>
      </c>
      <c r="B218" s="5" t="s">
        <v>14231</v>
      </c>
      <c r="C218" s="27" t="s">
        <v>7</v>
      </c>
      <c r="D218" s="28">
        <v>32.6249</v>
      </c>
    </row>
    <row r="219" ht="15.75" customHeight="1" spans="1:4">
      <c r="A219" s="27" t="s">
        <v>14502</v>
      </c>
      <c r="B219" s="5" t="s">
        <v>16396</v>
      </c>
      <c r="C219" s="27" t="s">
        <v>7</v>
      </c>
      <c r="D219" s="28">
        <v>34.5087</v>
      </c>
    </row>
    <row r="220" ht="15.75" customHeight="1" spans="1:4">
      <c r="A220" s="27" t="s">
        <v>14503</v>
      </c>
      <c r="B220" s="5" t="s">
        <v>16397</v>
      </c>
      <c r="C220" s="27" t="s">
        <v>7</v>
      </c>
      <c r="D220" s="28">
        <v>28.125</v>
      </c>
    </row>
    <row r="221" ht="15.75" customHeight="1" spans="1:4">
      <c r="A221" s="27" t="s">
        <v>14504</v>
      </c>
      <c r="B221" s="5" t="s">
        <v>16398</v>
      </c>
      <c r="C221" s="27" t="s">
        <v>99</v>
      </c>
      <c r="D221" s="28" t="s">
        <v>14799</v>
      </c>
    </row>
    <row r="222" ht="15.75" customHeight="1" spans="1:4">
      <c r="A222" s="27" t="s">
        <v>14505</v>
      </c>
      <c r="B222" s="5" t="s">
        <v>16399</v>
      </c>
      <c r="C222" s="27" t="s">
        <v>99</v>
      </c>
      <c r="D222" s="28" t="s">
        <v>14799</v>
      </c>
    </row>
    <row r="223" ht="15.75" customHeight="1" spans="1:4">
      <c r="A223" s="27" t="s">
        <v>14506</v>
      </c>
      <c r="B223" s="5" t="s">
        <v>16400</v>
      </c>
      <c r="C223" s="27" t="s">
        <v>99</v>
      </c>
      <c r="D223" s="28" t="s">
        <v>14799</v>
      </c>
    </row>
    <row r="224" ht="15.75" customHeight="1" spans="1:4">
      <c r="A224" s="27" t="s">
        <v>14507</v>
      </c>
      <c r="B224" s="5" t="s">
        <v>16401</v>
      </c>
      <c r="C224" s="27" t="s">
        <v>99</v>
      </c>
      <c r="D224" s="28" t="s">
        <v>14799</v>
      </c>
    </row>
    <row r="225" ht="15.75" customHeight="1" spans="1:4">
      <c r="A225" s="27" t="s">
        <v>14508</v>
      </c>
      <c r="B225" s="5" t="s">
        <v>16402</v>
      </c>
      <c r="C225" s="27" t="s">
        <v>7</v>
      </c>
      <c r="D225" s="28">
        <v>53.7485</v>
      </c>
    </row>
    <row r="226" ht="15.75" customHeight="1" spans="1:4">
      <c r="A226" s="27" t="s">
        <v>14509</v>
      </c>
      <c r="B226" s="5" t="s">
        <v>16403</v>
      </c>
      <c r="C226" s="27" t="s">
        <v>82</v>
      </c>
      <c r="D226" s="28">
        <v>35.2639</v>
      </c>
    </row>
    <row r="227" ht="15.75" customHeight="1" spans="1:4">
      <c r="A227" s="27" t="s">
        <v>14510</v>
      </c>
      <c r="B227" s="5" t="s">
        <v>16404</v>
      </c>
      <c r="C227" s="27" t="s">
        <v>82</v>
      </c>
      <c r="D227" s="28">
        <v>61.3538</v>
      </c>
    </row>
    <row r="228" ht="15.75" customHeight="1" spans="1:4">
      <c r="A228" s="27" t="s">
        <v>14511</v>
      </c>
      <c r="B228" s="5" t="s">
        <v>16405</v>
      </c>
      <c r="C228" s="27" t="s">
        <v>82</v>
      </c>
      <c r="D228" s="28">
        <v>124.1794</v>
      </c>
    </row>
    <row r="229" ht="15.75" customHeight="1" spans="1:4">
      <c r="A229" s="27" t="s">
        <v>14512</v>
      </c>
      <c r="B229" s="5" t="s">
        <v>16406</v>
      </c>
      <c r="C229" s="27" t="s">
        <v>82</v>
      </c>
      <c r="D229" s="28">
        <v>11.7491</v>
      </c>
    </row>
    <row r="230" ht="15.75" customHeight="1" spans="1:4">
      <c r="A230" s="27" t="s">
        <v>14513</v>
      </c>
      <c r="B230" s="5" t="s">
        <v>16407</v>
      </c>
      <c r="C230" s="27" t="s">
        <v>82</v>
      </c>
      <c r="D230" s="28">
        <v>17.7205</v>
      </c>
    </row>
    <row r="231" ht="15.75" customHeight="1" spans="1:4">
      <c r="A231" s="27" t="s">
        <v>14514</v>
      </c>
      <c r="B231" s="5" t="s">
        <v>16408</v>
      </c>
      <c r="C231" s="27" t="s">
        <v>82</v>
      </c>
      <c r="D231" s="28">
        <v>25.2671</v>
      </c>
    </row>
    <row r="232" ht="15.75" customHeight="1" spans="1:4">
      <c r="A232" s="27" t="s">
        <v>14515</v>
      </c>
      <c r="B232" s="5" t="s">
        <v>16409</v>
      </c>
      <c r="C232" s="27" t="s">
        <v>82</v>
      </c>
      <c r="D232" s="28">
        <v>34.864</v>
      </c>
    </row>
    <row r="233" ht="15.75" customHeight="1" spans="1:4">
      <c r="A233" s="27" t="s">
        <v>14516</v>
      </c>
      <c r="B233" s="5" t="s">
        <v>16410</v>
      </c>
      <c r="C233" s="27" t="s">
        <v>82</v>
      </c>
      <c r="D233" s="28">
        <v>53.7142</v>
      </c>
    </row>
    <row r="234" ht="15.75" customHeight="1" spans="1:4">
      <c r="A234" s="27" t="s">
        <v>16411</v>
      </c>
      <c r="B234" s="5" t="s">
        <v>16412</v>
      </c>
      <c r="C234" s="27" t="s">
        <v>82</v>
      </c>
      <c r="D234" s="28">
        <v>5.1662</v>
      </c>
    </row>
    <row r="235" ht="15.75" customHeight="1" spans="1:4">
      <c r="A235" s="27" t="s">
        <v>14517</v>
      </c>
      <c r="B235" s="5" t="s">
        <v>16413</v>
      </c>
      <c r="C235" s="27" t="s">
        <v>82</v>
      </c>
      <c r="D235" s="28">
        <v>8.5115</v>
      </c>
    </row>
    <row r="236" ht="15.75" customHeight="1" spans="1:4">
      <c r="A236" s="27" t="s">
        <v>14518</v>
      </c>
      <c r="B236" s="5" t="s">
        <v>16414</v>
      </c>
      <c r="C236" s="27" t="s">
        <v>101</v>
      </c>
      <c r="D236" s="28">
        <v>12.1652</v>
      </c>
    </row>
    <row r="237" ht="15.75" customHeight="1" spans="1:4">
      <c r="A237" s="27" t="s">
        <v>14519</v>
      </c>
      <c r="B237" s="5" t="s">
        <v>16415</v>
      </c>
      <c r="C237" s="27" t="s">
        <v>82</v>
      </c>
      <c r="D237" s="28">
        <v>631.4666</v>
      </c>
    </row>
    <row r="238" ht="15.75" customHeight="1" spans="1:4">
      <c r="A238" s="27" t="s">
        <v>14520</v>
      </c>
      <c r="B238" s="5" t="s">
        <v>16416</v>
      </c>
      <c r="C238" s="27" t="s">
        <v>7</v>
      </c>
      <c r="D238" s="28">
        <v>168.5894</v>
      </c>
    </row>
    <row r="239" ht="30" customHeight="1" spans="1:4">
      <c r="A239" s="27" t="s">
        <v>14521</v>
      </c>
      <c r="B239" s="5" t="s">
        <v>16417</v>
      </c>
      <c r="C239" s="27" t="s">
        <v>101</v>
      </c>
      <c r="D239" s="28">
        <v>21.5614</v>
      </c>
    </row>
    <row r="240" ht="15.75" customHeight="1" spans="1:4">
      <c r="A240" s="27" t="s">
        <v>14522</v>
      </c>
      <c r="B240" s="5" t="s">
        <v>16418</v>
      </c>
      <c r="C240" s="27" t="s">
        <v>82</v>
      </c>
      <c r="D240" s="28">
        <v>232.4085</v>
      </c>
    </row>
    <row r="241" ht="15.75" customHeight="1" spans="1:4">
      <c r="A241" s="27" t="s">
        <v>14523</v>
      </c>
      <c r="B241" s="5" t="s">
        <v>16419</v>
      </c>
      <c r="C241" s="27" t="s">
        <v>82</v>
      </c>
      <c r="D241" s="28">
        <v>232.9354</v>
      </c>
    </row>
    <row r="242" ht="15.75" customHeight="1" spans="1:4">
      <c r="A242" s="27" t="s">
        <v>14524</v>
      </c>
      <c r="B242" s="5" t="s">
        <v>16420</v>
      </c>
      <c r="C242" s="27" t="s">
        <v>82</v>
      </c>
      <c r="D242" s="28">
        <v>465.3404</v>
      </c>
    </row>
    <row r="243" ht="15.75" customHeight="1" spans="1:4">
      <c r="A243" s="27" t="s">
        <v>14253</v>
      </c>
      <c r="B243" s="5" t="s">
        <v>14254</v>
      </c>
      <c r="C243" s="27" t="s">
        <v>82</v>
      </c>
      <c r="D243" s="28">
        <v>97.4055</v>
      </c>
    </row>
    <row r="244" ht="15.75" customHeight="1" spans="1:4">
      <c r="A244" s="27" t="s">
        <v>14245</v>
      </c>
      <c r="B244" s="5" t="s">
        <v>14246</v>
      </c>
      <c r="C244" s="27" t="s">
        <v>9</v>
      </c>
      <c r="D244" s="28">
        <v>202.7678</v>
      </c>
    </row>
    <row r="245" ht="15.75" customHeight="1" spans="1:4">
      <c r="A245" s="27" t="s">
        <v>16421</v>
      </c>
      <c r="B245" s="5" t="s">
        <v>16422</v>
      </c>
      <c r="C245" s="27" t="s">
        <v>82</v>
      </c>
      <c r="D245" s="28">
        <v>206.9985</v>
      </c>
    </row>
    <row r="246" ht="15.75" customHeight="1" spans="1:4">
      <c r="A246" s="27" t="s">
        <v>14249</v>
      </c>
      <c r="B246" s="5" t="s">
        <v>14250</v>
      </c>
      <c r="C246" s="27" t="s">
        <v>82</v>
      </c>
      <c r="D246" s="28">
        <v>223.6073</v>
      </c>
    </row>
    <row r="247" ht="15.75" customHeight="1" spans="1:4">
      <c r="A247" s="27" t="s">
        <v>16423</v>
      </c>
      <c r="B247" s="5" t="s">
        <v>16424</v>
      </c>
      <c r="C247" s="27" t="s">
        <v>82</v>
      </c>
      <c r="D247" s="28">
        <v>254.314</v>
      </c>
    </row>
    <row r="248" ht="15.75" customHeight="1" spans="1:4">
      <c r="A248" s="27" t="s">
        <v>16425</v>
      </c>
      <c r="B248" s="5" t="s">
        <v>16426</v>
      </c>
      <c r="C248" s="27" t="s">
        <v>82</v>
      </c>
      <c r="D248" s="28">
        <v>66.8252</v>
      </c>
    </row>
    <row r="249" ht="15.75" customHeight="1" spans="1:4">
      <c r="A249" s="27" t="s">
        <v>14243</v>
      </c>
      <c r="B249" s="5" t="s">
        <v>14244</v>
      </c>
      <c r="C249" s="27" t="s">
        <v>82</v>
      </c>
      <c r="D249" s="28">
        <v>71.4413</v>
      </c>
    </row>
    <row r="250" ht="15.75" customHeight="1" spans="1:4">
      <c r="A250" s="27" t="s">
        <v>16427</v>
      </c>
      <c r="B250" s="5" t="s">
        <v>16428</v>
      </c>
      <c r="C250" s="27" t="s">
        <v>82</v>
      </c>
      <c r="D250" s="28">
        <v>88.7979</v>
      </c>
    </row>
    <row r="251" ht="15.75" customHeight="1" spans="1:4">
      <c r="A251" s="27" t="s">
        <v>16429</v>
      </c>
      <c r="B251" s="5" t="s">
        <v>16430</v>
      </c>
      <c r="C251" s="27" t="s">
        <v>82</v>
      </c>
      <c r="D251" s="28">
        <v>190.3241</v>
      </c>
    </row>
    <row r="252" ht="15.75" customHeight="1" spans="1:4">
      <c r="A252" s="27" t="s">
        <v>14247</v>
      </c>
      <c r="B252" s="5" t="s">
        <v>14248</v>
      </c>
      <c r="C252" s="27" t="s">
        <v>82</v>
      </c>
      <c r="D252" s="28">
        <v>233.7258</v>
      </c>
    </row>
    <row r="253" ht="15.75" customHeight="1" spans="1:4">
      <c r="A253" s="27" t="s">
        <v>16431</v>
      </c>
      <c r="B253" s="5" t="s">
        <v>16432</v>
      </c>
      <c r="C253" s="27" t="s">
        <v>82</v>
      </c>
      <c r="D253" s="28">
        <v>308.3425</v>
      </c>
    </row>
    <row r="254" ht="15.75" customHeight="1" spans="1:4">
      <c r="A254" s="27" t="s">
        <v>16433</v>
      </c>
      <c r="B254" s="5" t="s">
        <v>16434</v>
      </c>
      <c r="C254" s="27" t="s">
        <v>82</v>
      </c>
      <c r="D254" s="28">
        <v>293.9647</v>
      </c>
    </row>
    <row r="255" ht="15.75" customHeight="1" spans="1:4">
      <c r="A255" s="27" t="s">
        <v>14251</v>
      </c>
      <c r="B255" s="5" t="s">
        <v>14252</v>
      </c>
      <c r="C255" s="27" t="s">
        <v>82</v>
      </c>
      <c r="D255" s="28">
        <v>323.5624</v>
      </c>
    </row>
    <row r="256" ht="15.75" customHeight="1" spans="1:4">
      <c r="A256" s="27" t="s">
        <v>16435</v>
      </c>
      <c r="B256" s="5" t="s">
        <v>16436</v>
      </c>
      <c r="C256" s="27" t="s">
        <v>82</v>
      </c>
      <c r="D256" s="28">
        <v>403.2426</v>
      </c>
    </row>
    <row r="257" ht="15.75" customHeight="1" spans="1:4">
      <c r="A257" s="27" t="s">
        <v>14232</v>
      </c>
      <c r="B257" s="5" t="s">
        <v>14233</v>
      </c>
      <c r="C257" s="27" t="s">
        <v>14234</v>
      </c>
      <c r="D257" s="28">
        <v>12.7534</v>
      </c>
    </row>
    <row r="258" ht="15.75" customHeight="1" spans="1:4">
      <c r="A258" s="27" t="s">
        <v>16437</v>
      </c>
      <c r="B258" s="5" t="s">
        <v>16438</v>
      </c>
      <c r="C258" s="27" t="s">
        <v>82</v>
      </c>
      <c r="D258" s="28">
        <v>52.3433</v>
      </c>
    </row>
    <row r="259" ht="15.75" customHeight="1" spans="1:4">
      <c r="A259" s="27" t="s">
        <v>16439</v>
      </c>
      <c r="B259" s="5" t="s">
        <v>16440</v>
      </c>
      <c r="C259" s="27" t="s">
        <v>82</v>
      </c>
      <c r="D259" s="28">
        <v>97.8949</v>
      </c>
    </row>
    <row r="260" ht="15.75" customHeight="1" spans="1:4">
      <c r="A260" s="27" t="s">
        <v>16441</v>
      </c>
      <c r="B260" s="5" t="s">
        <v>16442</v>
      </c>
      <c r="C260" s="27" t="s">
        <v>82</v>
      </c>
      <c r="D260" s="28">
        <v>141.3362</v>
      </c>
    </row>
    <row r="261" ht="15.75" customHeight="1" spans="1:4">
      <c r="A261" s="27" t="s">
        <v>16443</v>
      </c>
      <c r="B261" s="5" t="s">
        <v>16444</v>
      </c>
      <c r="C261" s="27" t="s">
        <v>82</v>
      </c>
      <c r="D261" s="28">
        <v>295.8781</v>
      </c>
    </row>
    <row r="262" ht="15.75" customHeight="1" spans="1:4">
      <c r="A262" s="27" t="s">
        <v>16445</v>
      </c>
      <c r="B262" s="5" t="s">
        <v>16446</v>
      </c>
      <c r="C262" s="27" t="s">
        <v>82</v>
      </c>
      <c r="D262" s="28">
        <v>508.8027</v>
      </c>
    </row>
    <row r="263" ht="15.75" customHeight="1" spans="1:4">
      <c r="A263" s="27" t="s">
        <v>16447</v>
      </c>
      <c r="B263" s="5" t="s">
        <v>16448</v>
      </c>
      <c r="C263" s="27" t="s">
        <v>82</v>
      </c>
      <c r="D263" s="28">
        <v>184.4974</v>
      </c>
    </row>
    <row r="264" ht="15.75" customHeight="1" spans="1:4">
      <c r="A264" s="27" t="s">
        <v>16449</v>
      </c>
      <c r="B264" s="5" t="s">
        <v>16450</v>
      </c>
      <c r="C264" s="27" t="s">
        <v>82</v>
      </c>
      <c r="D264" s="28">
        <v>302.548</v>
      </c>
    </row>
    <row r="265" ht="15.75" customHeight="1" spans="1:4">
      <c r="A265" s="27" t="s">
        <v>16451</v>
      </c>
      <c r="B265" s="5" t="s">
        <v>16452</v>
      </c>
      <c r="C265" s="27" t="s">
        <v>82</v>
      </c>
      <c r="D265" s="28">
        <v>411.3614</v>
      </c>
    </row>
    <row r="266" ht="30" customHeight="1" spans="1:4">
      <c r="A266" s="27" t="s">
        <v>16453</v>
      </c>
      <c r="B266" s="5" t="s">
        <v>16454</v>
      </c>
      <c r="C266" s="27" t="s">
        <v>82</v>
      </c>
      <c r="D266" s="28">
        <v>295.8856</v>
      </c>
    </row>
    <row r="267" ht="30" customHeight="1" spans="1:4">
      <c r="A267" s="27" t="s">
        <v>16455</v>
      </c>
      <c r="B267" s="5" t="s">
        <v>16456</v>
      </c>
      <c r="C267" s="27" t="s">
        <v>82</v>
      </c>
      <c r="D267" s="28">
        <v>332.6166</v>
      </c>
    </row>
    <row r="268" ht="15.75" customHeight="1" spans="1:4">
      <c r="A268" s="27" t="s">
        <v>16457</v>
      </c>
      <c r="B268" s="5" t="s">
        <v>16458</v>
      </c>
      <c r="C268" s="27" t="s">
        <v>82</v>
      </c>
      <c r="D268" s="28">
        <v>587.8372</v>
      </c>
    </row>
    <row r="269" ht="15.75" customHeight="1" spans="1:4">
      <c r="A269" s="27" t="s">
        <v>16459</v>
      </c>
      <c r="B269" s="5" t="s">
        <v>16460</v>
      </c>
      <c r="C269" s="27" t="s">
        <v>82</v>
      </c>
      <c r="D269" s="28">
        <v>3423.1868</v>
      </c>
    </row>
    <row r="270" ht="15.75" customHeight="1" spans="1:4">
      <c r="A270" s="27" t="s">
        <v>16461</v>
      </c>
      <c r="B270" s="5" t="s">
        <v>16462</v>
      </c>
      <c r="C270" s="27" t="s">
        <v>82</v>
      </c>
      <c r="D270" s="28">
        <v>613.7056</v>
      </c>
    </row>
    <row r="271" ht="15.75" customHeight="1" spans="1:4">
      <c r="A271" s="27" t="s">
        <v>16463</v>
      </c>
      <c r="B271" s="5" t="s">
        <v>16464</v>
      </c>
      <c r="C271" s="27" t="s">
        <v>82</v>
      </c>
      <c r="D271" s="28">
        <v>769.0833</v>
      </c>
    </row>
    <row r="272" ht="30" customHeight="1" spans="1:4">
      <c r="A272" s="27" t="s">
        <v>16465</v>
      </c>
      <c r="B272" s="5" t="s">
        <v>16466</v>
      </c>
      <c r="C272" s="27" t="s">
        <v>82</v>
      </c>
      <c r="D272" s="28">
        <v>283.7084</v>
      </c>
    </row>
    <row r="273" ht="15.75" customHeight="1" spans="1:4">
      <c r="A273" s="27" t="s">
        <v>14525</v>
      </c>
      <c r="B273" s="5" t="s">
        <v>16467</v>
      </c>
      <c r="C273" s="27" t="s">
        <v>82</v>
      </c>
      <c r="D273" s="28">
        <v>857.4517</v>
      </c>
    </row>
    <row r="274" ht="15.75" customHeight="1" spans="1:4">
      <c r="A274" s="27" t="s">
        <v>16468</v>
      </c>
      <c r="B274" s="5" t="s">
        <v>16469</v>
      </c>
      <c r="C274" s="27" t="s">
        <v>82</v>
      </c>
      <c r="D274" s="28">
        <v>7753.2022</v>
      </c>
    </row>
    <row r="275" ht="15.75" customHeight="1" spans="1:4">
      <c r="A275" s="27" t="s">
        <v>14526</v>
      </c>
      <c r="B275" s="5" t="s">
        <v>16470</v>
      </c>
      <c r="C275" s="27" t="s">
        <v>82</v>
      </c>
      <c r="D275" s="28">
        <v>6328.0987</v>
      </c>
    </row>
    <row r="276" ht="15.75" customHeight="1" spans="1:4">
      <c r="A276" s="27" t="s">
        <v>14527</v>
      </c>
      <c r="B276" s="5" t="s">
        <v>16471</v>
      </c>
      <c r="C276" s="27" t="s">
        <v>99</v>
      </c>
      <c r="D276" s="28" t="s">
        <v>14799</v>
      </c>
    </row>
    <row r="277" ht="15.75" customHeight="1" spans="1:4">
      <c r="A277" s="27" t="s">
        <v>14528</v>
      </c>
      <c r="B277" s="5" t="s">
        <v>16472</v>
      </c>
      <c r="C277" s="27" t="s">
        <v>101</v>
      </c>
      <c r="D277" s="28">
        <v>7.4247</v>
      </c>
    </row>
    <row r="278" ht="15.75" customHeight="1" spans="1:4">
      <c r="A278" s="27" t="s">
        <v>16473</v>
      </c>
      <c r="B278" s="5" t="s">
        <v>16474</v>
      </c>
      <c r="C278" s="27" t="s">
        <v>82</v>
      </c>
      <c r="D278" s="28">
        <v>115.1748</v>
      </c>
    </row>
    <row r="279" ht="15.75" customHeight="1" spans="1:4">
      <c r="A279" s="27" t="s">
        <v>16475</v>
      </c>
      <c r="B279" s="5" t="s">
        <v>16476</v>
      </c>
      <c r="C279" s="27" t="s">
        <v>82</v>
      </c>
      <c r="D279" s="28">
        <v>108.0324</v>
      </c>
    </row>
    <row r="280" ht="15.75" customHeight="1" spans="1:4">
      <c r="A280" s="27" t="s">
        <v>16477</v>
      </c>
      <c r="B280" s="5" t="s">
        <v>16478</v>
      </c>
      <c r="C280" s="27" t="s">
        <v>82</v>
      </c>
      <c r="D280" s="28">
        <v>1541.7735</v>
      </c>
    </row>
    <row r="281" ht="15.75" customHeight="1" spans="1:4">
      <c r="A281" s="27" t="s">
        <v>16479</v>
      </c>
      <c r="B281" s="5" t="s">
        <v>16480</v>
      </c>
      <c r="C281" s="27" t="s">
        <v>82</v>
      </c>
      <c r="D281" s="28">
        <v>776.7086</v>
      </c>
    </row>
    <row r="282" ht="15.75" customHeight="1" spans="1:4">
      <c r="A282" s="27" t="s">
        <v>16481</v>
      </c>
      <c r="B282" s="5" t="s">
        <v>16482</v>
      </c>
      <c r="C282" s="27" t="s">
        <v>82</v>
      </c>
      <c r="D282" s="28">
        <v>208.3587</v>
      </c>
    </row>
    <row r="283" ht="15.75" customHeight="1" spans="1:4">
      <c r="A283" s="27" t="s">
        <v>16483</v>
      </c>
      <c r="B283" s="5" t="s">
        <v>16484</v>
      </c>
      <c r="C283" s="27" t="s">
        <v>82</v>
      </c>
      <c r="D283" s="28">
        <v>125.9222</v>
      </c>
    </row>
    <row r="284" ht="15.75" customHeight="1" spans="1:4">
      <c r="A284" s="27" t="s">
        <v>16485</v>
      </c>
      <c r="B284" s="5" t="s">
        <v>16486</v>
      </c>
      <c r="C284" s="27" t="s">
        <v>82</v>
      </c>
      <c r="D284" s="28">
        <v>197.2504</v>
      </c>
    </row>
    <row r="285" ht="15.75" customHeight="1" spans="1:4">
      <c r="A285" s="27" t="s">
        <v>14529</v>
      </c>
      <c r="B285" s="5" t="s">
        <v>16487</v>
      </c>
      <c r="C285" s="27" t="s">
        <v>9</v>
      </c>
      <c r="D285" s="28">
        <v>254.4014</v>
      </c>
    </row>
    <row r="286" ht="15.75" customHeight="1" spans="1:4">
      <c r="A286" s="27" t="s">
        <v>14530</v>
      </c>
      <c r="B286" s="5" t="s">
        <v>16488</v>
      </c>
      <c r="C286" s="27" t="s">
        <v>9</v>
      </c>
      <c r="D286" s="28">
        <v>78.1003</v>
      </c>
    </row>
    <row r="287" ht="15.75" customHeight="1" spans="1:4">
      <c r="A287" s="27" t="s">
        <v>14531</v>
      </c>
      <c r="B287" s="5" t="s">
        <v>16489</v>
      </c>
      <c r="C287" s="27" t="s">
        <v>9</v>
      </c>
      <c r="D287" s="28">
        <v>108.335</v>
      </c>
    </row>
    <row r="288" ht="15.75" customHeight="1" spans="1:4">
      <c r="A288" s="27" t="s">
        <v>14532</v>
      </c>
      <c r="B288" s="5" t="s">
        <v>16490</v>
      </c>
      <c r="C288" s="27" t="s">
        <v>9</v>
      </c>
      <c r="D288" s="28">
        <v>147.54</v>
      </c>
    </row>
    <row r="289" ht="15.75" customHeight="1" spans="1:4">
      <c r="A289" s="27" t="s">
        <v>14533</v>
      </c>
      <c r="B289" s="5" t="s">
        <v>16491</v>
      </c>
      <c r="C289" s="27" t="s">
        <v>9</v>
      </c>
      <c r="D289" s="28">
        <v>207.9181</v>
      </c>
    </row>
    <row r="290" ht="15.75" customHeight="1" spans="1:4">
      <c r="A290" s="27" t="s">
        <v>14534</v>
      </c>
      <c r="B290" s="5" t="s">
        <v>16492</v>
      </c>
      <c r="C290" s="27" t="s">
        <v>82</v>
      </c>
      <c r="D290" s="28">
        <v>8883.9913</v>
      </c>
    </row>
    <row r="291" ht="15.75" customHeight="1" spans="1:4">
      <c r="A291" s="27" t="s">
        <v>14535</v>
      </c>
      <c r="B291" s="5" t="s">
        <v>16493</v>
      </c>
      <c r="C291" s="27" t="s">
        <v>82</v>
      </c>
      <c r="D291" s="28">
        <v>14794.1511</v>
      </c>
    </row>
    <row r="292" ht="15.75" customHeight="1" spans="1:4">
      <c r="A292" s="27" t="s">
        <v>14536</v>
      </c>
      <c r="B292" s="5" t="s">
        <v>16494</v>
      </c>
      <c r="C292" s="27" t="s">
        <v>82</v>
      </c>
      <c r="D292" s="28">
        <v>18262.3866</v>
      </c>
    </row>
    <row r="293" ht="15.75" customHeight="1" spans="1:4">
      <c r="A293" s="27" t="s">
        <v>14537</v>
      </c>
      <c r="B293" s="5" t="s">
        <v>16495</v>
      </c>
      <c r="C293" s="27" t="s">
        <v>82</v>
      </c>
      <c r="D293" s="28">
        <v>30446.2745</v>
      </c>
    </row>
    <row r="294" ht="15.75" customHeight="1" spans="1:4">
      <c r="A294" s="27" t="s">
        <v>14538</v>
      </c>
      <c r="B294" s="5" t="s">
        <v>16496</v>
      </c>
      <c r="C294" s="27" t="s">
        <v>9</v>
      </c>
      <c r="D294" s="28">
        <v>179.4413</v>
      </c>
    </row>
    <row r="295" ht="15.75" customHeight="1" spans="1:4">
      <c r="A295" s="27" t="s">
        <v>14539</v>
      </c>
      <c r="B295" s="5" t="s">
        <v>16497</v>
      </c>
      <c r="C295" s="27" t="s">
        <v>9</v>
      </c>
      <c r="D295" s="28">
        <v>240.5869</v>
      </c>
    </row>
    <row r="296" ht="15.75" customHeight="1" spans="1:4">
      <c r="A296" s="27" t="s">
        <v>14540</v>
      </c>
      <c r="B296" s="5" t="s">
        <v>16498</v>
      </c>
      <c r="C296" s="27" t="s">
        <v>101</v>
      </c>
      <c r="D296" s="28">
        <v>11.3618</v>
      </c>
    </row>
    <row r="297" ht="15.75" customHeight="1" spans="1:4">
      <c r="A297" s="27" t="s">
        <v>14541</v>
      </c>
      <c r="B297" s="5" t="s">
        <v>16499</v>
      </c>
      <c r="C297" s="27" t="s">
        <v>9</v>
      </c>
      <c r="D297" s="28">
        <v>257.5282</v>
      </c>
    </row>
    <row r="298" ht="15.75" customHeight="1" spans="1:4">
      <c r="A298" s="27" t="s">
        <v>16500</v>
      </c>
      <c r="B298" s="5" t="s">
        <v>16501</v>
      </c>
      <c r="C298" s="27" t="s">
        <v>82</v>
      </c>
      <c r="D298" s="28">
        <v>378.811</v>
      </c>
    </row>
    <row r="299" ht="15.75" customHeight="1" spans="1:4">
      <c r="A299" s="27" t="s">
        <v>16502</v>
      </c>
      <c r="B299" s="5" t="s">
        <v>16503</v>
      </c>
      <c r="C299" s="27" t="s">
        <v>14234</v>
      </c>
      <c r="D299" s="28">
        <v>112.5663</v>
      </c>
    </row>
    <row r="300" ht="15.75" customHeight="1" spans="1:4">
      <c r="A300" s="27" t="s">
        <v>16504</v>
      </c>
      <c r="B300" s="5" t="s">
        <v>16505</v>
      </c>
      <c r="C300" s="27" t="s">
        <v>14234</v>
      </c>
      <c r="D300" s="28">
        <v>133.167</v>
      </c>
    </row>
    <row r="301" ht="15.75" customHeight="1" spans="1:4">
      <c r="A301" s="27" t="s">
        <v>16506</v>
      </c>
      <c r="B301" s="5" t="s">
        <v>16507</v>
      </c>
      <c r="C301" s="27" t="s">
        <v>14234</v>
      </c>
      <c r="D301" s="28">
        <v>193.5275</v>
      </c>
    </row>
    <row r="302" ht="15.75" customHeight="1" spans="1:4">
      <c r="A302" s="27" t="s">
        <v>16508</v>
      </c>
      <c r="B302" s="5" t="s">
        <v>16509</v>
      </c>
      <c r="C302" s="27" t="s">
        <v>14234</v>
      </c>
      <c r="D302" s="28">
        <v>301.3144</v>
      </c>
    </row>
    <row r="303" ht="15.75" customHeight="1" spans="1:4">
      <c r="A303" s="27" t="s">
        <v>16510</v>
      </c>
      <c r="B303" s="5" t="s">
        <v>16511</v>
      </c>
      <c r="C303" s="27" t="s">
        <v>14234</v>
      </c>
      <c r="D303" s="28">
        <v>64.5537</v>
      </c>
    </row>
    <row r="304" ht="15.75" customHeight="1" spans="1:4">
      <c r="A304" s="27" t="s">
        <v>14542</v>
      </c>
      <c r="B304" s="5" t="s">
        <v>16512</v>
      </c>
      <c r="C304" s="27" t="s">
        <v>14234</v>
      </c>
      <c r="D304" s="28">
        <v>36.389</v>
      </c>
    </row>
    <row r="305" ht="15.75" customHeight="1" spans="1:4">
      <c r="A305" s="27" t="s">
        <v>14543</v>
      </c>
      <c r="B305" s="5" t="s">
        <v>16513</v>
      </c>
      <c r="C305" s="27" t="s">
        <v>14234</v>
      </c>
      <c r="D305" s="28">
        <v>27.5802</v>
      </c>
    </row>
    <row r="306" ht="15.75" customHeight="1" spans="1:4">
      <c r="A306" s="27" t="s">
        <v>14544</v>
      </c>
      <c r="B306" s="5" t="s">
        <v>16514</v>
      </c>
      <c r="C306" s="27" t="s">
        <v>9</v>
      </c>
      <c r="D306" s="28">
        <v>401.0631</v>
      </c>
    </row>
    <row r="307" ht="15.75" customHeight="1" spans="1:4">
      <c r="A307" s="27" t="s">
        <v>14545</v>
      </c>
      <c r="B307" s="5" t="s">
        <v>16515</v>
      </c>
      <c r="C307" s="27" t="s">
        <v>14234</v>
      </c>
      <c r="D307" s="28">
        <v>4.5644</v>
      </c>
    </row>
    <row r="308" ht="15.75" customHeight="1" spans="1:4">
      <c r="A308" s="27" t="s">
        <v>14546</v>
      </c>
      <c r="B308" s="5" t="s">
        <v>16516</v>
      </c>
      <c r="C308" s="27" t="s">
        <v>9</v>
      </c>
      <c r="D308" s="28">
        <v>523.15</v>
      </c>
    </row>
    <row r="309" ht="15.75" customHeight="1" spans="1:4">
      <c r="A309" s="27" t="s">
        <v>14547</v>
      </c>
      <c r="B309" s="5" t="s">
        <v>16517</v>
      </c>
      <c r="C309" s="27" t="s">
        <v>7</v>
      </c>
      <c r="D309" s="28">
        <v>7.5</v>
      </c>
    </row>
    <row r="310" ht="15.75" customHeight="1" spans="1:4">
      <c r="A310" s="27" t="s">
        <v>14548</v>
      </c>
      <c r="B310" s="5" t="s">
        <v>16518</v>
      </c>
      <c r="C310" s="27" t="s">
        <v>101</v>
      </c>
      <c r="D310" s="28">
        <v>15.7375</v>
      </c>
    </row>
    <row r="311" ht="15.75" customHeight="1" spans="1:4">
      <c r="A311" s="27" t="s">
        <v>14549</v>
      </c>
      <c r="B311" s="5" t="s">
        <v>16519</v>
      </c>
      <c r="C311" s="27" t="s">
        <v>9</v>
      </c>
      <c r="D311" s="28">
        <v>707.9958</v>
      </c>
    </row>
    <row r="312" ht="15.75" customHeight="1" spans="1:4">
      <c r="A312" s="27" t="s">
        <v>14550</v>
      </c>
      <c r="B312" s="5" t="s">
        <v>16520</v>
      </c>
      <c r="C312" s="27" t="s">
        <v>9</v>
      </c>
      <c r="D312" s="28">
        <v>883.9022</v>
      </c>
    </row>
    <row r="313" ht="15.75" customHeight="1" spans="1:4">
      <c r="A313" s="27" t="s">
        <v>14551</v>
      </c>
      <c r="B313" s="5" t="s">
        <v>16521</v>
      </c>
      <c r="C313" s="27" t="s">
        <v>82</v>
      </c>
      <c r="D313" s="28">
        <v>223.0578</v>
      </c>
    </row>
    <row r="314" ht="15.75" customHeight="1" spans="1:4">
      <c r="A314" s="27" t="s">
        <v>14552</v>
      </c>
      <c r="B314" s="5" t="s">
        <v>16522</v>
      </c>
      <c r="C314" s="27" t="s">
        <v>7</v>
      </c>
      <c r="D314" s="28">
        <v>1.8103</v>
      </c>
    </row>
    <row r="315" ht="15.75" customHeight="1" spans="1:4">
      <c r="A315" s="27" t="s">
        <v>14553</v>
      </c>
      <c r="B315" s="5" t="s">
        <v>16523</v>
      </c>
      <c r="C315" s="27" t="s">
        <v>82</v>
      </c>
      <c r="D315" s="28">
        <v>351.1633</v>
      </c>
    </row>
    <row r="316" ht="15.75" customHeight="1" spans="1:4">
      <c r="A316" s="27" t="s">
        <v>14554</v>
      </c>
      <c r="B316" s="5" t="s">
        <v>16524</v>
      </c>
      <c r="C316" s="27" t="s">
        <v>9</v>
      </c>
      <c r="D316" s="28">
        <v>56.7301</v>
      </c>
    </row>
    <row r="317" ht="15.75" customHeight="1" spans="1:4">
      <c r="A317" s="27" t="s">
        <v>16525</v>
      </c>
      <c r="B317" s="5" t="s">
        <v>16526</v>
      </c>
      <c r="C317" s="27" t="s">
        <v>9885</v>
      </c>
      <c r="D317" s="28" t="s">
        <v>14799</v>
      </c>
    </row>
    <row r="318" ht="15.75" customHeight="1" spans="1:4">
      <c r="A318" s="27" t="s">
        <v>14555</v>
      </c>
      <c r="B318" s="5" t="s">
        <v>16527</v>
      </c>
      <c r="C318" s="27" t="s">
        <v>99</v>
      </c>
      <c r="D318" s="28">
        <v>341.1248</v>
      </c>
    </row>
    <row r="319" ht="15.75" customHeight="1" spans="1:4">
      <c r="A319" s="27" t="s">
        <v>14556</v>
      </c>
      <c r="B319" s="5" t="s">
        <v>16528</v>
      </c>
      <c r="C319" s="27" t="s">
        <v>101</v>
      </c>
      <c r="D319" s="28">
        <v>33.6071</v>
      </c>
    </row>
    <row r="320" ht="30" customHeight="1" spans="1:4">
      <c r="A320" s="27" t="s">
        <v>14277</v>
      </c>
      <c r="B320" s="5" t="s">
        <v>14278</v>
      </c>
      <c r="C320" s="27" t="s">
        <v>101</v>
      </c>
      <c r="D320" s="28">
        <v>37.4618</v>
      </c>
    </row>
    <row r="321" ht="15.75" customHeight="1" spans="1:4">
      <c r="A321" s="27" t="s">
        <v>14557</v>
      </c>
      <c r="B321" s="5" t="s">
        <v>16529</v>
      </c>
      <c r="C321" s="27" t="s">
        <v>82</v>
      </c>
      <c r="D321" s="28">
        <v>64908.4223</v>
      </c>
    </row>
    <row r="322" ht="15.75" customHeight="1" spans="1:4">
      <c r="A322" s="27" t="s">
        <v>14558</v>
      </c>
      <c r="B322" s="5" t="s">
        <v>16530</v>
      </c>
      <c r="C322" s="27" t="s">
        <v>1130</v>
      </c>
      <c r="D322" s="28">
        <v>121.734</v>
      </c>
    </row>
    <row r="323" ht="15.75" customHeight="1" spans="1:4">
      <c r="A323" s="27" t="s">
        <v>14559</v>
      </c>
      <c r="B323" s="5" t="s">
        <v>16531</v>
      </c>
      <c r="C323" s="27" t="s">
        <v>9</v>
      </c>
      <c r="D323" s="28">
        <v>28.18</v>
      </c>
    </row>
    <row r="324" ht="15.75" customHeight="1" spans="1:4">
      <c r="A324" s="27" t="s">
        <v>14560</v>
      </c>
      <c r="B324" s="5" t="s">
        <v>16532</v>
      </c>
      <c r="C324" s="27" t="s">
        <v>82</v>
      </c>
      <c r="D324" s="28">
        <v>100829.7926</v>
      </c>
    </row>
    <row r="325" ht="15.75" customHeight="1" spans="1:4">
      <c r="A325" s="27" t="s">
        <v>14561</v>
      </c>
      <c r="B325" s="5" t="s">
        <v>16533</v>
      </c>
      <c r="C325" s="27" t="s">
        <v>99</v>
      </c>
      <c r="D325" s="28">
        <v>120.0162</v>
      </c>
    </row>
    <row r="326" ht="15.75" customHeight="1" spans="1:4">
      <c r="A326" s="27" t="s">
        <v>14562</v>
      </c>
      <c r="B326" s="5" t="s">
        <v>16534</v>
      </c>
      <c r="C326" s="27" t="s">
        <v>9</v>
      </c>
      <c r="D326" s="28">
        <v>7.8625</v>
      </c>
    </row>
    <row r="327" ht="15.75" customHeight="1" spans="1:4">
      <c r="A327" s="27" t="s">
        <v>16535</v>
      </c>
      <c r="B327" s="5" t="s">
        <v>16536</v>
      </c>
      <c r="C327" s="27" t="s">
        <v>9</v>
      </c>
      <c r="D327" s="28">
        <v>476.4958</v>
      </c>
    </row>
    <row r="328" ht="15.75" customHeight="1" spans="1:4">
      <c r="A328" s="27" t="s">
        <v>14563</v>
      </c>
      <c r="B328" s="5" t="s">
        <v>16537</v>
      </c>
      <c r="C328" s="27" t="s">
        <v>82</v>
      </c>
      <c r="D328" s="28">
        <v>3.9</v>
      </c>
    </row>
    <row r="329" ht="15.75" customHeight="1" spans="1:4">
      <c r="A329" s="27" t="s">
        <v>14564</v>
      </c>
      <c r="B329" s="5" t="s">
        <v>16538</v>
      </c>
      <c r="C329" s="27" t="s">
        <v>82</v>
      </c>
      <c r="D329" s="28">
        <v>68018.1912</v>
      </c>
    </row>
    <row r="330" ht="15.75" customHeight="1" spans="1:4">
      <c r="A330" s="27" t="s">
        <v>14565</v>
      </c>
      <c r="B330" s="5" t="s">
        <v>16539</v>
      </c>
      <c r="C330" s="27" t="s">
        <v>82</v>
      </c>
      <c r="D330" s="28">
        <v>115324.9817</v>
      </c>
    </row>
    <row r="331" ht="15.75" customHeight="1" spans="1:4">
      <c r="A331" s="27" t="s">
        <v>14566</v>
      </c>
      <c r="B331" s="5" t="s">
        <v>16540</v>
      </c>
      <c r="C331" s="27" t="s">
        <v>82</v>
      </c>
      <c r="D331" s="28">
        <v>114437.569</v>
      </c>
    </row>
    <row r="332" ht="15.75" customHeight="1" spans="1:4">
      <c r="A332" s="27" t="s">
        <v>14567</v>
      </c>
      <c r="B332" s="5" t="s">
        <v>16541</v>
      </c>
      <c r="C332" s="27" t="s">
        <v>82</v>
      </c>
      <c r="D332" s="28">
        <v>77400.5305</v>
      </c>
    </row>
    <row r="333" ht="15.75" customHeight="1" spans="1:4">
      <c r="A333" s="27" t="s">
        <v>14568</v>
      </c>
      <c r="B333" s="5" t="s">
        <v>16542</v>
      </c>
      <c r="C333" s="27" t="s">
        <v>9</v>
      </c>
      <c r="D333" s="28">
        <v>2.4688</v>
      </c>
    </row>
    <row r="334" ht="15.75" customHeight="1" spans="1:4">
      <c r="A334" s="27" t="s">
        <v>14569</v>
      </c>
      <c r="B334" s="5" t="s">
        <v>16543</v>
      </c>
      <c r="C334" s="27" t="s">
        <v>82</v>
      </c>
      <c r="D334" s="28">
        <v>0.985</v>
      </c>
    </row>
    <row r="335" ht="15.75" customHeight="1" spans="1:4">
      <c r="A335" s="27" t="s">
        <v>14570</v>
      </c>
      <c r="B335" s="5" t="s">
        <v>16544</v>
      </c>
      <c r="C335" s="27" t="s">
        <v>82</v>
      </c>
      <c r="D335" s="28">
        <v>6476.236</v>
      </c>
    </row>
    <row r="336" ht="15.75" customHeight="1" spans="1:4">
      <c r="A336" s="27" t="s">
        <v>14571</v>
      </c>
      <c r="B336" s="5" t="s">
        <v>16545</v>
      </c>
      <c r="C336" s="27" t="s">
        <v>82</v>
      </c>
      <c r="D336" s="28">
        <v>124158.2021</v>
      </c>
    </row>
    <row r="337" ht="15.75" customHeight="1" spans="1:4">
      <c r="A337" s="27" t="s">
        <v>14572</v>
      </c>
      <c r="B337" s="5" t="s">
        <v>16546</v>
      </c>
      <c r="C337" s="27" t="s">
        <v>82</v>
      </c>
      <c r="D337" s="28">
        <v>118762.505</v>
      </c>
    </row>
    <row r="338" ht="15.75" customHeight="1" spans="1:4">
      <c r="A338" s="27" t="s">
        <v>14573</v>
      </c>
      <c r="B338" s="5" t="s">
        <v>16547</v>
      </c>
      <c r="C338" s="27" t="s">
        <v>82</v>
      </c>
      <c r="D338" s="28">
        <v>12.726</v>
      </c>
    </row>
    <row r="339" ht="15.75" customHeight="1" spans="1:4">
      <c r="A339" s="27" t="s">
        <v>14574</v>
      </c>
      <c r="B339" s="5" t="s">
        <v>16548</v>
      </c>
      <c r="C339" s="27" t="s">
        <v>7</v>
      </c>
      <c r="D339" s="28">
        <v>39.2835</v>
      </c>
    </row>
    <row r="340" ht="15.75" customHeight="1" spans="1:4">
      <c r="A340" s="27" t="s">
        <v>14575</v>
      </c>
      <c r="B340" s="5" t="s">
        <v>16549</v>
      </c>
      <c r="C340" s="27" t="s">
        <v>7</v>
      </c>
      <c r="D340" s="28">
        <v>43.4139</v>
      </c>
    </row>
    <row r="341" ht="15.75" customHeight="1" spans="1:4">
      <c r="A341" s="27" t="s">
        <v>14576</v>
      </c>
      <c r="B341" s="5" t="s">
        <v>16550</v>
      </c>
      <c r="C341" s="27" t="s">
        <v>82</v>
      </c>
      <c r="D341" s="28">
        <v>2.7698</v>
      </c>
    </row>
    <row r="342" ht="15.75" customHeight="1" spans="1:4">
      <c r="A342" s="27" t="s">
        <v>14577</v>
      </c>
      <c r="B342" s="5" t="s">
        <v>16551</v>
      </c>
      <c r="C342" s="27" t="s">
        <v>101</v>
      </c>
      <c r="D342" s="28">
        <v>16.9134</v>
      </c>
    </row>
    <row r="343" ht="30" customHeight="1" spans="1:4">
      <c r="A343" s="27" t="s">
        <v>14578</v>
      </c>
      <c r="B343" s="5" t="s">
        <v>16552</v>
      </c>
      <c r="C343" s="27" t="s">
        <v>16553</v>
      </c>
      <c r="D343" s="28">
        <v>0.5539</v>
      </c>
    </row>
    <row r="344" ht="15.75" customHeight="1" spans="1:4">
      <c r="A344" s="27" t="s">
        <v>16554</v>
      </c>
      <c r="B344" s="5" t="s">
        <v>16555</v>
      </c>
      <c r="C344" s="27" t="s">
        <v>101</v>
      </c>
      <c r="D344" s="28">
        <v>13.8373</v>
      </c>
    </row>
    <row r="345" ht="30" customHeight="1" spans="1:4">
      <c r="A345" s="27" t="s">
        <v>14579</v>
      </c>
      <c r="B345" s="5" t="s">
        <v>16556</v>
      </c>
      <c r="C345" s="27" t="s">
        <v>16553</v>
      </c>
      <c r="D345" s="28">
        <v>1.6483</v>
      </c>
    </row>
    <row r="346" ht="15.75" customHeight="1" spans="1:4">
      <c r="A346" s="27" t="s">
        <v>16557</v>
      </c>
      <c r="B346" s="5" t="s">
        <v>16558</v>
      </c>
      <c r="C346" s="27" t="s">
        <v>82</v>
      </c>
      <c r="D346" s="28">
        <v>1.1077</v>
      </c>
    </row>
    <row r="347" ht="15.75" customHeight="1" spans="1:4">
      <c r="A347" s="27" t="s">
        <v>16559</v>
      </c>
      <c r="B347" s="5" t="s">
        <v>16560</v>
      </c>
      <c r="C347" s="27" t="s">
        <v>82</v>
      </c>
      <c r="D347" s="28">
        <v>1.5073</v>
      </c>
    </row>
    <row r="348" ht="15.75" customHeight="1" spans="1:4">
      <c r="A348" s="27" t="s">
        <v>16561</v>
      </c>
      <c r="B348" s="5" t="s">
        <v>16562</v>
      </c>
      <c r="C348" s="27" t="s">
        <v>82</v>
      </c>
      <c r="D348" s="28">
        <v>1.6</v>
      </c>
    </row>
    <row r="349" ht="30" customHeight="1" spans="1:4">
      <c r="A349" s="27" t="s">
        <v>16563</v>
      </c>
      <c r="B349" s="5" t="s">
        <v>16564</v>
      </c>
      <c r="C349" s="27" t="s">
        <v>82</v>
      </c>
      <c r="D349" s="28">
        <v>2.4377</v>
      </c>
    </row>
    <row r="350" ht="30" customHeight="1" spans="1:4">
      <c r="A350" s="27" t="s">
        <v>16565</v>
      </c>
      <c r="B350" s="5" t="s">
        <v>16566</v>
      </c>
      <c r="C350" s="27" t="s">
        <v>82</v>
      </c>
      <c r="D350" s="28">
        <v>2.7577</v>
      </c>
    </row>
    <row r="351" ht="30" customHeight="1" spans="1:4">
      <c r="A351" s="27" t="s">
        <v>16567</v>
      </c>
      <c r="B351" s="5" t="s">
        <v>16568</v>
      </c>
      <c r="C351" s="27" t="s">
        <v>82</v>
      </c>
      <c r="D351" s="28">
        <v>3.0308</v>
      </c>
    </row>
    <row r="352" ht="30" customHeight="1" spans="1:4">
      <c r="A352" s="27" t="s">
        <v>16569</v>
      </c>
      <c r="B352" s="5" t="s">
        <v>16570</v>
      </c>
      <c r="C352" s="27" t="s">
        <v>82</v>
      </c>
      <c r="D352" s="28">
        <v>3.4524</v>
      </c>
    </row>
    <row r="353" ht="30" customHeight="1" spans="1:4">
      <c r="A353" s="27" t="s">
        <v>16571</v>
      </c>
      <c r="B353" s="5" t="s">
        <v>16572</v>
      </c>
      <c r="C353" s="27" t="s">
        <v>82</v>
      </c>
      <c r="D353" s="28">
        <v>4.3143</v>
      </c>
    </row>
    <row r="354" ht="30" customHeight="1" spans="1:4">
      <c r="A354" s="27" t="s">
        <v>16573</v>
      </c>
      <c r="B354" s="5" t="s">
        <v>16574</v>
      </c>
      <c r="C354" s="27" t="s">
        <v>82</v>
      </c>
      <c r="D354" s="28">
        <v>4.9221</v>
      </c>
    </row>
    <row r="355" ht="30" customHeight="1" spans="1:4">
      <c r="A355" s="27" t="s">
        <v>16575</v>
      </c>
      <c r="B355" s="5" t="s">
        <v>16576</v>
      </c>
      <c r="C355" s="27" t="s">
        <v>82</v>
      </c>
      <c r="D355" s="28">
        <v>7.0068</v>
      </c>
    </row>
    <row r="356" ht="30" customHeight="1" spans="1:4">
      <c r="A356" s="27" t="s">
        <v>16577</v>
      </c>
      <c r="B356" s="5" t="s">
        <v>16578</v>
      </c>
      <c r="C356" s="27" t="s">
        <v>82</v>
      </c>
      <c r="D356" s="28">
        <v>7.2993</v>
      </c>
    </row>
    <row r="357" ht="30" customHeight="1" spans="1:4">
      <c r="A357" s="27" t="s">
        <v>16579</v>
      </c>
      <c r="B357" s="5" t="s">
        <v>16580</v>
      </c>
      <c r="C357" s="27" t="s">
        <v>82</v>
      </c>
      <c r="D357" s="28">
        <v>8.6833</v>
      </c>
    </row>
    <row r="358" ht="30" customHeight="1" spans="1:4">
      <c r="A358" s="27" t="s">
        <v>16581</v>
      </c>
      <c r="B358" s="5" t="s">
        <v>16582</v>
      </c>
      <c r="C358" s="27" t="s">
        <v>82</v>
      </c>
      <c r="D358" s="28">
        <v>9.6848</v>
      </c>
    </row>
    <row r="359" ht="30" customHeight="1" spans="1:4">
      <c r="A359" s="27" t="s">
        <v>16583</v>
      </c>
      <c r="B359" s="5" t="s">
        <v>16584</v>
      </c>
      <c r="C359" s="27" t="s">
        <v>82</v>
      </c>
      <c r="D359" s="28">
        <v>10.9953</v>
      </c>
    </row>
    <row r="360" ht="15.75" customHeight="1" spans="1:4">
      <c r="A360" s="27" t="s">
        <v>16585</v>
      </c>
      <c r="B360" s="5" t="s">
        <v>16586</v>
      </c>
      <c r="C360" s="27" t="s">
        <v>9</v>
      </c>
      <c r="D360" s="28">
        <v>28.9618</v>
      </c>
    </row>
    <row r="361" ht="15.75" customHeight="1" spans="1:4">
      <c r="A361" s="27" t="s">
        <v>16587</v>
      </c>
      <c r="B361" s="5" t="s">
        <v>16588</v>
      </c>
      <c r="C361" s="27" t="s">
        <v>9</v>
      </c>
      <c r="D361" s="28">
        <v>70.1372</v>
      </c>
    </row>
    <row r="362" ht="15.75" customHeight="1" spans="1:4">
      <c r="A362" s="27" t="s">
        <v>16589</v>
      </c>
      <c r="B362" s="5" t="s">
        <v>16590</v>
      </c>
      <c r="C362" s="27" t="s">
        <v>101</v>
      </c>
      <c r="D362" s="28">
        <v>16.5625</v>
      </c>
    </row>
    <row r="363" ht="15.75" customHeight="1" spans="1:4">
      <c r="A363" s="27" t="s">
        <v>16591</v>
      </c>
      <c r="B363" s="5" t="s">
        <v>16592</v>
      </c>
      <c r="C363" s="27" t="s">
        <v>82</v>
      </c>
      <c r="D363" s="28">
        <v>6.9315</v>
      </c>
    </row>
    <row r="364" ht="15.75" customHeight="1" spans="1:4">
      <c r="A364" s="27" t="s">
        <v>16593</v>
      </c>
      <c r="B364" s="5" t="s">
        <v>16594</v>
      </c>
      <c r="C364" s="27" t="s">
        <v>82</v>
      </c>
      <c r="D364" s="28">
        <v>1.2865</v>
      </c>
    </row>
    <row r="365" ht="15.75" customHeight="1" spans="1:4">
      <c r="A365" s="27" t="s">
        <v>16595</v>
      </c>
      <c r="B365" s="5" t="s">
        <v>16596</v>
      </c>
      <c r="C365" s="27" t="s">
        <v>82</v>
      </c>
      <c r="D365" s="28">
        <v>2.3683</v>
      </c>
    </row>
    <row r="366" ht="15.75" customHeight="1" spans="1:4">
      <c r="A366" s="27" t="s">
        <v>16597</v>
      </c>
      <c r="B366" s="5" t="s">
        <v>16598</v>
      </c>
      <c r="C366" s="27" t="s">
        <v>82</v>
      </c>
      <c r="D366" s="28">
        <v>3.7213</v>
      </c>
    </row>
    <row r="367" ht="15.75" customHeight="1" spans="1:4">
      <c r="A367" s="27" t="s">
        <v>16599</v>
      </c>
      <c r="B367" s="5" t="s">
        <v>16600</v>
      </c>
      <c r="C367" s="27" t="s">
        <v>7</v>
      </c>
      <c r="D367" s="28">
        <v>121.7326</v>
      </c>
    </row>
    <row r="368" ht="15.75" customHeight="1" spans="1:4">
      <c r="A368" s="27" t="s">
        <v>16601</v>
      </c>
      <c r="B368" s="5" t="s">
        <v>16602</v>
      </c>
      <c r="C368" s="27" t="s">
        <v>101</v>
      </c>
      <c r="D368" s="28">
        <v>16.2883</v>
      </c>
    </row>
    <row r="369" ht="15.75" customHeight="1" spans="1:4">
      <c r="A369" s="27" t="s">
        <v>16603</v>
      </c>
      <c r="B369" s="5" t="s">
        <v>16604</v>
      </c>
      <c r="C369" s="27" t="s">
        <v>82</v>
      </c>
      <c r="D369" s="28">
        <v>22.5305</v>
      </c>
    </row>
    <row r="370" ht="15.75" customHeight="1" spans="1:4">
      <c r="A370" s="27" t="s">
        <v>16605</v>
      </c>
      <c r="B370" s="5" t="s">
        <v>16606</v>
      </c>
      <c r="C370" s="27" t="s">
        <v>14234</v>
      </c>
      <c r="D370" s="28">
        <v>21.4011</v>
      </c>
    </row>
    <row r="371" ht="15.75" customHeight="1" spans="1:4">
      <c r="A371" s="27" t="s">
        <v>14580</v>
      </c>
      <c r="B371" s="5" t="s">
        <v>16607</v>
      </c>
      <c r="C371" s="27" t="s">
        <v>99</v>
      </c>
      <c r="D371" s="28">
        <v>2508.3825</v>
      </c>
    </row>
    <row r="372" ht="15.75" customHeight="1" spans="1:4">
      <c r="A372" s="27" t="s">
        <v>14581</v>
      </c>
      <c r="B372" s="5" t="s">
        <v>16608</v>
      </c>
      <c r="C372" s="27" t="s">
        <v>101</v>
      </c>
      <c r="D372" s="28">
        <v>8.8633</v>
      </c>
    </row>
    <row r="373" ht="15.75" customHeight="1" spans="1:4">
      <c r="A373" s="27" t="s">
        <v>14582</v>
      </c>
      <c r="B373" s="5" t="s">
        <v>16609</v>
      </c>
      <c r="C373" s="27" t="s">
        <v>7</v>
      </c>
      <c r="D373" s="28">
        <v>17.2833</v>
      </c>
    </row>
    <row r="374" ht="15.75" customHeight="1" spans="1:4">
      <c r="A374" s="27" t="s">
        <v>16610</v>
      </c>
      <c r="B374" s="5" t="s">
        <v>16611</v>
      </c>
      <c r="C374" s="27" t="s">
        <v>7</v>
      </c>
      <c r="D374" s="28">
        <v>50.5769</v>
      </c>
    </row>
    <row r="375" ht="15.75" customHeight="1" spans="1:4">
      <c r="A375" s="27" t="s">
        <v>14583</v>
      </c>
      <c r="B375" s="5" t="s">
        <v>16612</v>
      </c>
      <c r="C375" s="27" t="s">
        <v>7</v>
      </c>
      <c r="D375" s="28">
        <v>157.3157</v>
      </c>
    </row>
    <row r="376" ht="15.75" customHeight="1" spans="1:4">
      <c r="A376" s="27" t="s">
        <v>14584</v>
      </c>
      <c r="B376" s="5" t="s">
        <v>16613</v>
      </c>
      <c r="C376" s="27" t="s">
        <v>7</v>
      </c>
      <c r="D376" s="28">
        <v>207.82</v>
      </c>
    </row>
    <row r="377" ht="15.75" customHeight="1" spans="1:4">
      <c r="A377" s="27" t="s">
        <v>14585</v>
      </c>
      <c r="B377" s="5" t="s">
        <v>16614</v>
      </c>
      <c r="C377" s="27" t="s">
        <v>101</v>
      </c>
      <c r="D377" s="28">
        <v>3.8866</v>
      </c>
    </row>
    <row r="378" ht="15.75" customHeight="1" spans="1:4">
      <c r="A378" s="27" t="s">
        <v>14586</v>
      </c>
      <c r="B378" s="5" t="s">
        <v>16615</v>
      </c>
      <c r="C378" s="27" t="s">
        <v>101</v>
      </c>
      <c r="D378" s="28">
        <v>29.2821</v>
      </c>
    </row>
    <row r="379" ht="15.75" customHeight="1" spans="1:4">
      <c r="A379" s="27" t="s">
        <v>14587</v>
      </c>
      <c r="B379" s="5" t="s">
        <v>16616</v>
      </c>
      <c r="C379" s="27" t="s">
        <v>82</v>
      </c>
      <c r="D379" s="28">
        <v>7.2363</v>
      </c>
    </row>
    <row r="380" ht="30" customHeight="1" spans="1:4">
      <c r="A380" s="27" t="s">
        <v>14588</v>
      </c>
      <c r="B380" s="5" t="s">
        <v>16617</v>
      </c>
      <c r="C380" s="27" t="s">
        <v>82</v>
      </c>
      <c r="D380" s="28">
        <v>0.4409</v>
      </c>
    </row>
    <row r="381" ht="15.75" customHeight="1" spans="1:4">
      <c r="A381" s="27" t="s">
        <v>14255</v>
      </c>
      <c r="B381" s="5" t="s">
        <v>14256</v>
      </c>
      <c r="C381" s="27" t="s">
        <v>99</v>
      </c>
      <c r="D381" s="28">
        <v>117.3231</v>
      </c>
    </row>
    <row r="382" ht="15.75" customHeight="1" spans="1:4">
      <c r="A382" s="27" t="s">
        <v>14589</v>
      </c>
      <c r="B382" s="5" t="s">
        <v>16618</v>
      </c>
      <c r="C382" s="27" t="s">
        <v>99</v>
      </c>
      <c r="D382" s="28">
        <v>129.6565</v>
      </c>
    </row>
    <row r="383" ht="15.75" customHeight="1" spans="1:4">
      <c r="A383" s="27" t="s">
        <v>14590</v>
      </c>
      <c r="B383" s="5" t="s">
        <v>16619</v>
      </c>
      <c r="C383" s="27" t="s">
        <v>82</v>
      </c>
      <c r="D383" s="28">
        <v>151.37</v>
      </c>
    </row>
    <row r="384" ht="15.75" customHeight="1" spans="1:4">
      <c r="A384" s="27" t="s">
        <v>16620</v>
      </c>
      <c r="B384" s="5" t="s">
        <v>1300</v>
      </c>
      <c r="C384" s="27" t="s">
        <v>9</v>
      </c>
      <c r="D384" s="28" t="s">
        <v>14799</v>
      </c>
    </row>
    <row r="385" ht="15.75" customHeight="1" spans="1:4">
      <c r="A385" s="27" t="s">
        <v>14591</v>
      </c>
      <c r="B385" s="5" t="s">
        <v>16621</v>
      </c>
      <c r="C385" s="27" t="s">
        <v>101</v>
      </c>
      <c r="D385" s="28">
        <v>116.2201</v>
      </c>
    </row>
    <row r="386" ht="15.75" customHeight="1" spans="1:4">
      <c r="A386" s="27" t="s">
        <v>14592</v>
      </c>
      <c r="B386" s="5" t="s">
        <v>16622</v>
      </c>
      <c r="C386" s="27" t="s">
        <v>9</v>
      </c>
      <c r="D386" s="28">
        <v>0.8</v>
      </c>
    </row>
    <row r="387" ht="15.75" customHeight="1" spans="1:4">
      <c r="A387" s="27" t="s">
        <v>14593</v>
      </c>
      <c r="B387" s="5" t="s">
        <v>16623</v>
      </c>
      <c r="C387" s="27" t="s">
        <v>9</v>
      </c>
      <c r="D387" s="28">
        <v>192.3348</v>
      </c>
    </row>
    <row r="388" ht="15.75" customHeight="1" spans="1:4">
      <c r="A388" s="27" t="s">
        <v>14594</v>
      </c>
      <c r="B388" s="5" t="s">
        <v>16624</v>
      </c>
      <c r="C388" s="27" t="s">
        <v>9</v>
      </c>
      <c r="D388" s="28">
        <v>197.6073</v>
      </c>
    </row>
    <row r="389" ht="15.75" customHeight="1" spans="1:4">
      <c r="A389" s="27" t="s">
        <v>14595</v>
      </c>
      <c r="B389" s="5" t="s">
        <v>16625</v>
      </c>
      <c r="C389" s="27" t="s">
        <v>99</v>
      </c>
      <c r="D389" s="28">
        <v>113.0922</v>
      </c>
    </row>
    <row r="390" ht="15.75" customHeight="1" spans="1:4">
      <c r="A390" s="27" t="s">
        <v>16626</v>
      </c>
      <c r="B390" s="5" t="s">
        <v>16627</v>
      </c>
      <c r="C390" s="27" t="s">
        <v>9</v>
      </c>
      <c r="D390" s="28">
        <v>0.2661</v>
      </c>
    </row>
    <row r="391" ht="15.75" customHeight="1" spans="1:4">
      <c r="A391" s="27" t="s">
        <v>14596</v>
      </c>
      <c r="B391" s="5" t="s">
        <v>16628</v>
      </c>
      <c r="C391" s="27" t="s">
        <v>9</v>
      </c>
      <c r="D391" s="28">
        <v>335.5728</v>
      </c>
    </row>
    <row r="392" ht="15.75" customHeight="1" spans="1:4">
      <c r="A392" s="27" t="s">
        <v>14597</v>
      </c>
      <c r="B392" s="5" t="s">
        <v>16629</v>
      </c>
      <c r="C392" s="27" t="s">
        <v>101</v>
      </c>
      <c r="D392" s="28">
        <v>135.429</v>
      </c>
    </row>
    <row r="393" ht="15.75" customHeight="1" spans="1:4">
      <c r="A393" s="27" t="s">
        <v>14598</v>
      </c>
      <c r="B393" s="5" t="s">
        <v>16630</v>
      </c>
      <c r="C393" s="27" t="s">
        <v>9</v>
      </c>
      <c r="D393" s="28">
        <v>392.9044</v>
      </c>
    </row>
    <row r="394" ht="15.75" customHeight="1" spans="1:4">
      <c r="A394" s="27" t="s">
        <v>14599</v>
      </c>
      <c r="B394" s="5" t="s">
        <v>16631</v>
      </c>
      <c r="C394" s="27" t="s">
        <v>9</v>
      </c>
      <c r="D394" s="28">
        <v>401.6956</v>
      </c>
    </row>
    <row r="395" ht="15.75" customHeight="1" spans="1:4">
      <c r="A395" s="27" t="s">
        <v>14600</v>
      </c>
      <c r="B395" s="5" t="s">
        <v>16632</v>
      </c>
      <c r="C395" s="27" t="s">
        <v>101</v>
      </c>
      <c r="D395" s="28">
        <v>18.9565</v>
      </c>
    </row>
    <row r="396" ht="15.75" customHeight="1" spans="1:4">
      <c r="A396" s="27" t="s">
        <v>14237</v>
      </c>
      <c r="B396" s="5" t="s">
        <v>14238</v>
      </c>
      <c r="C396" s="27" t="s">
        <v>101</v>
      </c>
      <c r="D396" s="28">
        <v>14.43</v>
      </c>
    </row>
    <row r="397" ht="15.75" customHeight="1" spans="1:4">
      <c r="A397" s="27" t="s">
        <v>14601</v>
      </c>
      <c r="B397" s="5" t="s">
        <v>16633</v>
      </c>
      <c r="C397" s="27" t="s">
        <v>82</v>
      </c>
      <c r="D397" s="28">
        <v>101031.2856</v>
      </c>
    </row>
    <row r="398" ht="15.75" customHeight="1" spans="1:4">
      <c r="A398" s="27" t="s">
        <v>14602</v>
      </c>
      <c r="B398" s="5" t="s">
        <v>16634</v>
      </c>
      <c r="C398" s="27" t="s">
        <v>82</v>
      </c>
      <c r="D398" s="28">
        <v>459.2</v>
      </c>
    </row>
    <row r="399" ht="15.75" customHeight="1" spans="1:4">
      <c r="A399" s="27" t="s">
        <v>14603</v>
      </c>
      <c r="B399" s="5" t="s">
        <v>16635</v>
      </c>
      <c r="C399" s="27" t="s">
        <v>82</v>
      </c>
      <c r="D399" s="28">
        <v>240.7317</v>
      </c>
    </row>
    <row r="400" ht="15.75" customHeight="1" spans="1:4">
      <c r="A400" s="27" t="s">
        <v>14604</v>
      </c>
      <c r="B400" s="5" t="s">
        <v>16636</v>
      </c>
      <c r="C400" s="27" t="s">
        <v>82</v>
      </c>
      <c r="D400" s="28">
        <v>261.9037</v>
      </c>
    </row>
    <row r="401" ht="15.75" customHeight="1" spans="1:4">
      <c r="A401" s="27" t="s">
        <v>14605</v>
      </c>
      <c r="B401" s="5" t="s">
        <v>16637</v>
      </c>
      <c r="C401" s="27" t="s">
        <v>82</v>
      </c>
      <c r="D401" s="28">
        <v>298.8625</v>
      </c>
    </row>
    <row r="402" ht="15.75" customHeight="1" spans="1:4">
      <c r="A402" s="27" t="s">
        <v>14606</v>
      </c>
      <c r="B402" s="5" t="s">
        <v>16638</v>
      </c>
      <c r="C402" s="27" t="s">
        <v>9</v>
      </c>
      <c r="D402" s="28">
        <v>9.5743</v>
      </c>
    </row>
    <row r="403" ht="15.75" customHeight="1" spans="1:4">
      <c r="A403" s="27" t="s">
        <v>14607</v>
      </c>
      <c r="B403" s="5" t="s">
        <v>16639</v>
      </c>
      <c r="C403" s="27" t="s">
        <v>82</v>
      </c>
      <c r="D403" s="28">
        <v>273288.369</v>
      </c>
    </row>
    <row r="404" ht="15.75" customHeight="1" spans="1:4">
      <c r="A404" s="27" t="s">
        <v>14608</v>
      </c>
      <c r="B404" s="5" t="s">
        <v>16640</v>
      </c>
      <c r="C404" s="27" t="s">
        <v>82</v>
      </c>
      <c r="D404" s="28">
        <v>293719.5899</v>
      </c>
    </row>
    <row r="405" ht="15.75" customHeight="1" spans="1:4">
      <c r="A405" s="27" t="s">
        <v>14609</v>
      </c>
      <c r="B405" s="5" t="s">
        <v>16641</v>
      </c>
      <c r="C405" s="27" t="s">
        <v>82</v>
      </c>
      <c r="D405" s="28">
        <v>314225.1231</v>
      </c>
    </row>
    <row r="406" ht="15.75" customHeight="1" spans="1:4">
      <c r="A406" s="27" t="s">
        <v>14610</v>
      </c>
      <c r="B406" s="5" t="s">
        <v>16642</v>
      </c>
      <c r="C406" s="27" t="s">
        <v>82</v>
      </c>
      <c r="D406" s="28">
        <v>350369.6221</v>
      </c>
    </row>
    <row r="407" ht="15.75" customHeight="1" spans="1:4">
      <c r="A407" s="27" t="s">
        <v>14611</v>
      </c>
      <c r="B407" s="5" t="s">
        <v>16643</v>
      </c>
      <c r="C407" s="27" t="s">
        <v>82</v>
      </c>
      <c r="D407" s="28">
        <v>387742.7001</v>
      </c>
    </row>
    <row r="408" ht="15.75" customHeight="1" spans="1:4">
      <c r="A408" s="27" t="s">
        <v>14612</v>
      </c>
      <c r="B408" s="5" t="s">
        <v>16644</v>
      </c>
      <c r="C408" s="27" t="s">
        <v>82</v>
      </c>
      <c r="D408" s="28">
        <v>393804.9173</v>
      </c>
    </row>
    <row r="409" ht="15.75" customHeight="1" spans="1:4">
      <c r="A409" s="27" t="s">
        <v>14613</v>
      </c>
      <c r="B409" s="5" t="s">
        <v>16645</v>
      </c>
      <c r="C409" s="27" t="s">
        <v>82</v>
      </c>
      <c r="D409" s="28">
        <v>506645.3203</v>
      </c>
    </row>
    <row r="410" ht="15.75" customHeight="1" spans="1:4">
      <c r="A410" s="27" t="s">
        <v>14614</v>
      </c>
      <c r="B410" s="5" t="s">
        <v>16646</v>
      </c>
      <c r="C410" s="27" t="s">
        <v>82</v>
      </c>
      <c r="D410" s="28">
        <v>514846.9096</v>
      </c>
    </row>
    <row r="411" ht="15.75" customHeight="1" spans="1:4">
      <c r="A411" s="27" t="s">
        <v>14615</v>
      </c>
      <c r="B411" s="5" t="s">
        <v>16647</v>
      </c>
      <c r="C411" s="27" t="s">
        <v>82</v>
      </c>
      <c r="D411" s="28">
        <v>577125.0441</v>
      </c>
    </row>
    <row r="412" ht="15.75" customHeight="1" spans="1:4">
      <c r="A412" s="27" t="s">
        <v>14616</v>
      </c>
      <c r="B412" s="5" t="s">
        <v>16648</v>
      </c>
      <c r="C412" s="27" t="s">
        <v>82</v>
      </c>
      <c r="D412" s="28">
        <v>632415.3975</v>
      </c>
    </row>
    <row r="413" ht="15.75" customHeight="1" spans="1:4">
      <c r="A413" s="27" t="s">
        <v>14617</v>
      </c>
      <c r="B413" s="5" t="s">
        <v>16649</v>
      </c>
      <c r="C413" s="27" t="s">
        <v>82</v>
      </c>
      <c r="D413" s="28">
        <v>649387.7696</v>
      </c>
    </row>
    <row r="414" ht="15.75" customHeight="1" spans="1:4">
      <c r="A414" s="27" t="s">
        <v>14618</v>
      </c>
      <c r="B414" s="5" t="s">
        <v>16650</v>
      </c>
      <c r="C414" s="27" t="s">
        <v>82</v>
      </c>
      <c r="D414" s="28">
        <v>702951.8432</v>
      </c>
    </row>
    <row r="415" ht="15.75" customHeight="1" spans="1:4">
      <c r="A415" s="27" t="s">
        <v>16651</v>
      </c>
      <c r="B415" s="5" t="s">
        <v>16652</v>
      </c>
      <c r="C415" s="27" t="s">
        <v>82</v>
      </c>
      <c r="D415" s="28">
        <v>233046.0709</v>
      </c>
    </row>
    <row r="416" ht="15.75" customHeight="1" spans="1:4">
      <c r="A416" s="27" t="s">
        <v>14619</v>
      </c>
      <c r="B416" s="5" t="s">
        <v>16653</v>
      </c>
      <c r="C416" s="27" t="s">
        <v>82</v>
      </c>
      <c r="D416" s="28">
        <v>239158.7056</v>
      </c>
    </row>
    <row r="417" ht="15.75" customHeight="1" spans="1:4">
      <c r="A417" s="27" t="s">
        <v>14620</v>
      </c>
      <c r="B417" s="5" t="s">
        <v>16654</v>
      </c>
      <c r="C417" s="27" t="s">
        <v>82</v>
      </c>
      <c r="D417" s="28">
        <v>257410.4228</v>
      </c>
    </row>
    <row r="418" ht="15.75" customHeight="1" spans="1:4">
      <c r="A418" s="27" t="s">
        <v>14621</v>
      </c>
      <c r="B418" s="5" t="s">
        <v>16655</v>
      </c>
      <c r="C418" s="27" t="s">
        <v>82</v>
      </c>
      <c r="D418" s="28">
        <v>275659.6287</v>
      </c>
    </row>
    <row r="419" ht="15.75" customHeight="1" spans="1:4">
      <c r="A419" s="27" t="s">
        <v>14622</v>
      </c>
      <c r="B419" s="5" t="s">
        <v>16656</v>
      </c>
      <c r="C419" s="27" t="s">
        <v>82</v>
      </c>
      <c r="D419" s="28">
        <v>293924.9772</v>
      </c>
    </row>
    <row r="420" ht="15.75" customHeight="1" spans="1:4">
      <c r="A420" s="27" t="s">
        <v>14623</v>
      </c>
      <c r="B420" s="5" t="s">
        <v>16657</v>
      </c>
      <c r="C420" s="27" t="s">
        <v>82</v>
      </c>
      <c r="D420" s="28">
        <v>325728.9448</v>
      </c>
    </row>
    <row r="421" ht="15.75" customHeight="1" spans="1:4">
      <c r="A421" s="27" t="s">
        <v>14624</v>
      </c>
      <c r="B421" s="5" t="s">
        <v>16658</v>
      </c>
      <c r="C421" s="27" t="s">
        <v>82</v>
      </c>
      <c r="D421" s="28">
        <v>358740.3174</v>
      </c>
    </row>
    <row r="422" ht="15.75" customHeight="1" spans="1:4">
      <c r="A422" s="27" t="s">
        <v>14625</v>
      </c>
      <c r="B422" s="5" t="s">
        <v>16659</v>
      </c>
      <c r="C422" s="27" t="s">
        <v>82</v>
      </c>
      <c r="D422" s="28">
        <v>364701.7107</v>
      </c>
    </row>
    <row r="423" ht="15.75" customHeight="1" spans="1:4">
      <c r="A423" s="27" t="s">
        <v>14626</v>
      </c>
      <c r="B423" s="5" t="s">
        <v>16660</v>
      </c>
      <c r="C423" s="27" t="s">
        <v>82</v>
      </c>
      <c r="D423" s="28">
        <v>391218.4885</v>
      </c>
    </row>
    <row r="424" ht="15.75" customHeight="1" spans="1:4">
      <c r="A424" s="27" t="s">
        <v>14627</v>
      </c>
      <c r="B424" s="5" t="s">
        <v>16661</v>
      </c>
      <c r="C424" s="27" t="s">
        <v>82</v>
      </c>
      <c r="D424" s="28">
        <v>399278.9237</v>
      </c>
    </row>
    <row r="425" ht="15.75" customHeight="1" spans="1:4">
      <c r="A425" s="27" t="s">
        <v>14628</v>
      </c>
      <c r="B425" s="5" t="s">
        <v>16662</v>
      </c>
      <c r="C425" s="27" t="s">
        <v>82</v>
      </c>
      <c r="D425" s="28">
        <v>425901.282</v>
      </c>
    </row>
    <row r="426" ht="15.75" customHeight="1" spans="1:4">
      <c r="A426" s="27" t="s">
        <v>14629</v>
      </c>
      <c r="B426" s="5" t="s">
        <v>16663</v>
      </c>
      <c r="C426" s="27" t="s">
        <v>82</v>
      </c>
      <c r="D426" s="28">
        <v>488125.9628</v>
      </c>
    </row>
    <row r="427" ht="15.75" customHeight="1" spans="1:4">
      <c r="A427" s="27" t="s">
        <v>14630</v>
      </c>
      <c r="B427" s="5" t="s">
        <v>16664</v>
      </c>
      <c r="C427" s="27" t="s">
        <v>82</v>
      </c>
      <c r="D427" s="28">
        <v>504810.9851</v>
      </c>
    </row>
    <row r="428" ht="15.75" customHeight="1" spans="1:4">
      <c r="A428" s="27" t="s">
        <v>14631</v>
      </c>
      <c r="B428" s="5" t="s">
        <v>16665</v>
      </c>
      <c r="C428" s="27" t="s">
        <v>82</v>
      </c>
      <c r="D428" s="28">
        <v>544133.1528</v>
      </c>
    </row>
    <row r="429" ht="15.75" customHeight="1" spans="1:4">
      <c r="A429" s="27" t="s">
        <v>14632</v>
      </c>
      <c r="B429" s="5" t="s">
        <v>16666</v>
      </c>
      <c r="C429" s="27" t="s">
        <v>9</v>
      </c>
      <c r="D429" s="28">
        <v>1.3856</v>
      </c>
    </row>
    <row r="430" ht="15.75" customHeight="1" spans="1:4">
      <c r="A430" s="27" t="s">
        <v>14633</v>
      </c>
      <c r="B430" s="5" t="s">
        <v>16667</v>
      </c>
      <c r="C430" s="27" t="s">
        <v>82</v>
      </c>
      <c r="D430" s="28">
        <v>1053.8991</v>
      </c>
    </row>
    <row r="431" ht="15.75" customHeight="1" spans="1:4">
      <c r="A431" s="27" t="s">
        <v>14634</v>
      </c>
      <c r="B431" s="5" t="s">
        <v>16668</v>
      </c>
      <c r="C431" s="27" t="s">
        <v>82</v>
      </c>
      <c r="D431" s="28">
        <v>4.3623</v>
      </c>
    </row>
    <row r="432" ht="15.75" customHeight="1" spans="1:4">
      <c r="A432" s="27" t="s">
        <v>14635</v>
      </c>
      <c r="B432" s="5" t="s">
        <v>16669</v>
      </c>
      <c r="C432" s="27" t="s">
        <v>82</v>
      </c>
      <c r="D432" s="28">
        <v>97.8944</v>
      </c>
    </row>
    <row r="433" ht="15.75" customHeight="1" spans="1:4">
      <c r="A433" s="27" t="s">
        <v>14636</v>
      </c>
      <c r="B433" s="5" t="s">
        <v>16670</v>
      </c>
      <c r="C433" s="27" t="s">
        <v>82</v>
      </c>
      <c r="D433" s="28">
        <v>56.6542</v>
      </c>
    </row>
    <row r="434" ht="15.75" customHeight="1" spans="1:4">
      <c r="A434" s="27" t="s">
        <v>14637</v>
      </c>
      <c r="B434" s="5" t="s">
        <v>16671</v>
      </c>
      <c r="C434" s="27" t="s">
        <v>82</v>
      </c>
      <c r="D434" s="28">
        <v>30.8878</v>
      </c>
    </row>
    <row r="435" ht="15.75" customHeight="1" spans="1:4">
      <c r="A435" s="27" t="s">
        <v>14638</v>
      </c>
      <c r="B435" s="5" t="s">
        <v>16672</v>
      </c>
      <c r="C435" s="27" t="s">
        <v>9</v>
      </c>
      <c r="D435" s="28">
        <v>2.1712</v>
      </c>
    </row>
    <row r="436" ht="15.75" customHeight="1" spans="1:4">
      <c r="A436" s="27" t="s">
        <v>14639</v>
      </c>
      <c r="B436" s="5" t="s">
        <v>16673</v>
      </c>
      <c r="C436" s="27" t="s">
        <v>82</v>
      </c>
      <c r="D436" s="28">
        <v>190.1225</v>
      </c>
    </row>
    <row r="437" ht="15.75" customHeight="1" spans="1:4">
      <c r="A437" s="27" t="s">
        <v>14640</v>
      </c>
      <c r="B437" s="5" t="s">
        <v>16674</v>
      </c>
      <c r="C437" s="27" t="s">
        <v>82</v>
      </c>
      <c r="D437" s="28">
        <v>81.3225</v>
      </c>
    </row>
    <row r="438" ht="15.75" customHeight="1" spans="1:4">
      <c r="A438" s="27" t="s">
        <v>14641</v>
      </c>
      <c r="B438" s="5" t="s">
        <v>16675</v>
      </c>
      <c r="C438" s="27" t="s">
        <v>82</v>
      </c>
      <c r="D438" s="28">
        <v>26.7917</v>
      </c>
    </row>
    <row r="439" ht="15.75" customHeight="1" spans="1:4">
      <c r="A439" s="27" t="s">
        <v>14642</v>
      </c>
      <c r="B439" s="5" t="s">
        <v>16676</v>
      </c>
      <c r="C439" s="27" t="s">
        <v>7</v>
      </c>
      <c r="D439" s="28">
        <v>56.0387</v>
      </c>
    </row>
    <row r="440" ht="15.75" customHeight="1" spans="1:4">
      <c r="A440" s="27" t="s">
        <v>14643</v>
      </c>
      <c r="B440" s="5" t="s">
        <v>16677</v>
      </c>
      <c r="C440" s="27" t="s">
        <v>14234</v>
      </c>
      <c r="D440" s="28">
        <v>22.0015</v>
      </c>
    </row>
    <row r="441" ht="15.75" customHeight="1" spans="1:4">
      <c r="A441" s="27" t="s">
        <v>14644</v>
      </c>
      <c r="B441" s="5" t="s">
        <v>16678</v>
      </c>
      <c r="C441" s="27" t="s">
        <v>14234</v>
      </c>
      <c r="D441" s="28">
        <v>23.8614</v>
      </c>
    </row>
    <row r="442" ht="15.75" customHeight="1" spans="1:4">
      <c r="A442" s="27" t="s">
        <v>14309</v>
      </c>
      <c r="B442" s="5" t="s">
        <v>14310</v>
      </c>
      <c r="C442" s="27" t="s">
        <v>101</v>
      </c>
      <c r="D442" s="28">
        <v>9.8967</v>
      </c>
    </row>
    <row r="443" ht="15.75" customHeight="1" spans="1:4">
      <c r="A443" s="27" t="s">
        <v>14645</v>
      </c>
      <c r="B443" s="5" t="s">
        <v>16679</v>
      </c>
      <c r="C443" s="27" t="s">
        <v>9</v>
      </c>
      <c r="D443" s="28">
        <v>170.2391</v>
      </c>
    </row>
    <row r="444" ht="15.75" customHeight="1" spans="1:4">
      <c r="A444" s="27" t="s">
        <v>14646</v>
      </c>
      <c r="B444" s="5" t="s">
        <v>16680</v>
      </c>
      <c r="C444" s="27" t="s">
        <v>14234</v>
      </c>
      <c r="D444" s="28">
        <v>8.4105</v>
      </c>
    </row>
    <row r="445" ht="15.75" customHeight="1" spans="1:4">
      <c r="A445" s="27" t="s">
        <v>14647</v>
      </c>
      <c r="B445" s="5" t="s">
        <v>16681</v>
      </c>
      <c r="C445" s="27" t="s">
        <v>14234</v>
      </c>
      <c r="D445" s="28">
        <v>8.2369</v>
      </c>
    </row>
    <row r="446" ht="15.75" customHeight="1" spans="1:4">
      <c r="A446" s="27" t="s">
        <v>16682</v>
      </c>
      <c r="B446" s="5" t="s">
        <v>16683</v>
      </c>
      <c r="C446" s="27" t="s">
        <v>101</v>
      </c>
      <c r="D446" s="28">
        <v>5.87</v>
      </c>
    </row>
    <row r="447" ht="15.75" customHeight="1" spans="1:4">
      <c r="A447" s="27" t="s">
        <v>16684</v>
      </c>
      <c r="B447" s="5" t="s">
        <v>16685</v>
      </c>
      <c r="C447" s="27" t="s">
        <v>101</v>
      </c>
      <c r="D447" s="28">
        <v>6.5</v>
      </c>
    </row>
    <row r="448" ht="15.75" customHeight="1" spans="1:4">
      <c r="A448" s="27" t="s">
        <v>14648</v>
      </c>
      <c r="B448" s="5" t="s">
        <v>16686</v>
      </c>
      <c r="C448" s="27" t="s">
        <v>101</v>
      </c>
      <c r="D448" s="28">
        <v>9.3956</v>
      </c>
    </row>
    <row r="449" ht="15.75" customHeight="1" spans="1:4">
      <c r="A449" s="27" t="s">
        <v>14649</v>
      </c>
      <c r="B449" s="5" t="s">
        <v>16687</v>
      </c>
      <c r="C449" s="27" t="s">
        <v>101</v>
      </c>
      <c r="D449" s="28">
        <v>9.6206</v>
      </c>
    </row>
    <row r="450" ht="15.75" customHeight="1" spans="1:4">
      <c r="A450" s="27" t="s">
        <v>14650</v>
      </c>
      <c r="B450" s="5" t="s">
        <v>16688</v>
      </c>
      <c r="C450" s="27" t="s">
        <v>101</v>
      </c>
      <c r="D450" s="28">
        <v>10.3611</v>
      </c>
    </row>
    <row r="451" ht="15.75" customHeight="1" spans="1:4">
      <c r="A451" s="27" t="s">
        <v>14651</v>
      </c>
      <c r="B451" s="5" t="s">
        <v>16689</v>
      </c>
      <c r="C451" s="27" t="s">
        <v>101</v>
      </c>
      <c r="D451" s="28">
        <v>5.7747</v>
      </c>
    </row>
    <row r="452" ht="15.75" customHeight="1" spans="1:4">
      <c r="A452" s="27" t="s">
        <v>14652</v>
      </c>
      <c r="B452" s="5" t="s">
        <v>16690</v>
      </c>
      <c r="C452" s="27" t="s">
        <v>99</v>
      </c>
      <c r="D452" s="28">
        <v>113.2452</v>
      </c>
    </row>
    <row r="453" ht="15.75" customHeight="1" spans="1:4">
      <c r="A453" s="27" t="s">
        <v>14653</v>
      </c>
      <c r="B453" s="5" t="s">
        <v>16691</v>
      </c>
      <c r="C453" s="27" t="s">
        <v>99</v>
      </c>
      <c r="D453" s="28">
        <v>141.2927</v>
      </c>
    </row>
    <row r="454" ht="15.75" customHeight="1" spans="1:4">
      <c r="A454" s="27" t="s">
        <v>14654</v>
      </c>
      <c r="B454" s="5" t="s">
        <v>16692</v>
      </c>
      <c r="C454" s="27" t="s">
        <v>101</v>
      </c>
      <c r="D454" s="28">
        <v>25.6134</v>
      </c>
    </row>
    <row r="455" ht="15.75" customHeight="1" spans="1:4">
      <c r="A455" s="27" t="s">
        <v>14655</v>
      </c>
      <c r="B455" s="5" t="s">
        <v>16693</v>
      </c>
      <c r="C455" s="27" t="s">
        <v>82</v>
      </c>
      <c r="D455" s="28">
        <v>461.7917</v>
      </c>
    </row>
    <row r="456" ht="15.75" customHeight="1" spans="1:4">
      <c r="A456" s="27" t="s">
        <v>14656</v>
      </c>
      <c r="B456" s="5" t="s">
        <v>16694</v>
      </c>
      <c r="C456" s="27" t="s">
        <v>101</v>
      </c>
      <c r="D456" s="28">
        <v>58.217</v>
      </c>
    </row>
    <row r="457" ht="15.75" customHeight="1" spans="1:4">
      <c r="A457" s="27" t="s">
        <v>14657</v>
      </c>
      <c r="B457" s="5" t="s">
        <v>16695</v>
      </c>
      <c r="C457" s="27" t="s">
        <v>101</v>
      </c>
      <c r="D457" s="28">
        <v>24.4693</v>
      </c>
    </row>
    <row r="458" ht="15.75" customHeight="1" spans="1:4">
      <c r="A458" s="27" t="s">
        <v>16696</v>
      </c>
      <c r="B458" s="5" t="s">
        <v>16697</v>
      </c>
      <c r="C458" s="27" t="s">
        <v>101</v>
      </c>
      <c r="D458" s="28">
        <v>166.8723</v>
      </c>
    </row>
    <row r="459" ht="15.75" customHeight="1" spans="1:4">
      <c r="A459" s="27" t="s">
        <v>14658</v>
      </c>
      <c r="B459" s="5" t="s">
        <v>16698</v>
      </c>
      <c r="C459" s="27" t="s">
        <v>82</v>
      </c>
      <c r="D459" s="28">
        <v>491.5904</v>
      </c>
    </row>
    <row r="460" ht="15.75" customHeight="1" spans="1:4">
      <c r="A460" s="27" t="s">
        <v>14659</v>
      </c>
      <c r="B460" s="5" t="s">
        <v>16699</v>
      </c>
      <c r="C460" s="27" t="s">
        <v>101</v>
      </c>
      <c r="D460" s="28">
        <v>29.3712</v>
      </c>
    </row>
    <row r="461" ht="15.75" customHeight="1" spans="1:4">
      <c r="A461" s="27" t="s">
        <v>14660</v>
      </c>
      <c r="B461" s="5" t="s">
        <v>16700</v>
      </c>
      <c r="C461" s="27" t="s">
        <v>101</v>
      </c>
      <c r="D461" s="28">
        <v>32.8854</v>
      </c>
    </row>
    <row r="462" ht="15.75" customHeight="1" spans="1:4">
      <c r="A462" s="27" t="s">
        <v>16701</v>
      </c>
      <c r="B462" s="5" t="s">
        <v>16702</v>
      </c>
      <c r="C462" s="27" t="s">
        <v>82</v>
      </c>
      <c r="D462" s="28">
        <v>30.5391</v>
      </c>
    </row>
    <row r="463" ht="15.75" customHeight="1" spans="1:4">
      <c r="A463" s="27" t="s">
        <v>16703</v>
      </c>
      <c r="B463" s="5" t="s">
        <v>16704</v>
      </c>
      <c r="C463" s="27" t="s">
        <v>101</v>
      </c>
      <c r="D463" s="28">
        <v>53.3515</v>
      </c>
    </row>
    <row r="464" ht="15.75" customHeight="1" spans="1:4">
      <c r="A464" s="27" t="s">
        <v>16705</v>
      </c>
      <c r="B464" s="5" t="s">
        <v>16706</v>
      </c>
      <c r="C464" s="27" t="s">
        <v>82</v>
      </c>
      <c r="D464" s="28">
        <v>7.7719</v>
      </c>
    </row>
    <row r="465" ht="15.75" customHeight="1" spans="1:4">
      <c r="A465" s="27" t="s">
        <v>16707</v>
      </c>
      <c r="B465" s="5" t="s">
        <v>16708</v>
      </c>
      <c r="C465" s="27" t="s">
        <v>82</v>
      </c>
      <c r="D465" s="28">
        <v>6.5746</v>
      </c>
    </row>
    <row r="466" ht="15.75" customHeight="1" spans="1:4">
      <c r="A466" s="27" t="s">
        <v>16709</v>
      </c>
      <c r="B466" s="5" t="s">
        <v>16710</v>
      </c>
      <c r="C466" s="27" t="s">
        <v>82</v>
      </c>
      <c r="D466" s="28">
        <v>3089.5246</v>
      </c>
    </row>
    <row r="467" ht="15.75" customHeight="1" spans="1:4">
      <c r="A467" s="27" t="s">
        <v>16711</v>
      </c>
      <c r="B467" s="5" t="s">
        <v>16712</v>
      </c>
      <c r="C467" s="27" t="s">
        <v>82</v>
      </c>
      <c r="D467" s="28">
        <v>562.8538</v>
      </c>
    </row>
    <row r="468" ht="15.75" customHeight="1" spans="1:4">
      <c r="A468" s="27" t="s">
        <v>16713</v>
      </c>
      <c r="B468" s="5" t="s">
        <v>16714</v>
      </c>
      <c r="C468" s="27" t="s">
        <v>82</v>
      </c>
      <c r="D468" s="28">
        <v>38.1156</v>
      </c>
    </row>
    <row r="469" ht="15.75" customHeight="1" spans="1:4">
      <c r="A469" s="27" t="s">
        <v>14661</v>
      </c>
      <c r="B469" s="5" t="s">
        <v>16715</v>
      </c>
      <c r="C469" s="27" t="s">
        <v>82</v>
      </c>
      <c r="D469" s="28">
        <v>374.1187</v>
      </c>
    </row>
    <row r="470" ht="15.75" customHeight="1" spans="1:4">
      <c r="A470" s="27" t="s">
        <v>14662</v>
      </c>
      <c r="B470" s="5" t="s">
        <v>16716</v>
      </c>
      <c r="C470" s="27" t="s">
        <v>9</v>
      </c>
      <c r="D470" s="28">
        <v>92.0831</v>
      </c>
    </row>
    <row r="471" ht="15.75" customHeight="1" spans="1:4">
      <c r="A471" s="27" t="s">
        <v>14663</v>
      </c>
      <c r="B471" s="5" t="s">
        <v>16717</v>
      </c>
      <c r="C471" s="27" t="s">
        <v>7</v>
      </c>
      <c r="D471" s="28">
        <v>35.7228</v>
      </c>
    </row>
    <row r="472" ht="15.75" customHeight="1" spans="1:4">
      <c r="A472" s="27" t="s">
        <v>14664</v>
      </c>
      <c r="B472" s="5" t="s">
        <v>16718</v>
      </c>
      <c r="C472" s="27" t="s">
        <v>82</v>
      </c>
      <c r="D472" s="28">
        <v>591.6617</v>
      </c>
    </row>
    <row r="473" ht="15.75" customHeight="1" spans="1:4">
      <c r="A473" s="27" t="s">
        <v>14665</v>
      </c>
      <c r="B473" s="5" t="s">
        <v>16719</v>
      </c>
      <c r="C473" s="27" t="s">
        <v>82</v>
      </c>
      <c r="D473" s="28">
        <v>314.5842</v>
      </c>
    </row>
    <row r="474" ht="15.75" customHeight="1" spans="1:4">
      <c r="A474" s="27" t="s">
        <v>14666</v>
      </c>
      <c r="B474" s="5" t="s">
        <v>16720</v>
      </c>
      <c r="C474" s="27" t="s">
        <v>9</v>
      </c>
      <c r="D474" s="28">
        <v>170.0986</v>
      </c>
    </row>
    <row r="475" ht="30" customHeight="1" spans="1:4">
      <c r="A475" s="27" t="s">
        <v>14667</v>
      </c>
      <c r="B475" s="5" t="s">
        <v>16721</v>
      </c>
      <c r="C475" s="27" t="s">
        <v>7</v>
      </c>
      <c r="D475" s="28">
        <v>41.7827</v>
      </c>
    </row>
    <row r="476" ht="15.75" customHeight="1" spans="1:4">
      <c r="A476" s="27" t="s">
        <v>14668</v>
      </c>
      <c r="B476" s="5" t="s">
        <v>16722</v>
      </c>
      <c r="C476" s="27" t="s">
        <v>7</v>
      </c>
      <c r="D476" s="28">
        <v>21.723</v>
      </c>
    </row>
    <row r="477" ht="15.75" customHeight="1" spans="1:4">
      <c r="A477" s="27" t="s">
        <v>14669</v>
      </c>
      <c r="B477" s="5" t="s">
        <v>16723</v>
      </c>
      <c r="C477" s="27" t="s">
        <v>7</v>
      </c>
      <c r="D477" s="28">
        <v>28.0972</v>
      </c>
    </row>
    <row r="478" ht="15.75" customHeight="1" spans="1:4">
      <c r="A478" s="27" t="s">
        <v>14670</v>
      </c>
      <c r="B478" s="5" t="s">
        <v>16724</v>
      </c>
      <c r="C478" s="27" t="s">
        <v>7</v>
      </c>
      <c r="D478" s="28">
        <v>29.0993</v>
      </c>
    </row>
    <row r="479" ht="15.75" customHeight="1" spans="1:4">
      <c r="A479" s="27" t="s">
        <v>14671</v>
      </c>
      <c r="B479" s="5" t="s">
        <v>16725</v>
      </c>
      <c r="C479" s="27" t="s">
        <v>7</v>
      </c>
      <c r="D479" s="28">
        <v>31.2171</v>
      </c>
    </row>
    <row r="480" ht="15.75" customHeight="1" spans="1:4">
      <c r="A480" s="27" t="s">
        <v>14672</v>
      </c>
      <c r="B480" s="5" t="s">
        <v>16726</v>
      </c>
      <c r="C480" s="27" t="s">
        <v>7</v>
      </c>
      <c r="D480" s="28">
        <v>41.3001</v>
      </c>
    </row>
    <row r="481" ht="15.75" customHeight="1" spans="1:4">
      <c r="A481" s="27" t="s">
        <v>14673</v>
      </c>
      <c r="B481" s="5" t="s">
        <v>16727</v>
      </c>
      <c r="C481" s="27" t="s">
        <v>7</v>
      </c>
      <c r="D481" s="28">
        <v>61.4454</v>
      </c>
    </row>
    <row r="482" ht="15.75" customHeight="1" spans="1:4">
      <c r="A482" s="27" t="s">
        <v>14674</v>
      </c>
      <c r="B482" s="5" t="s">
        <v>16728</v>
      </c>
      <c r="C482" s="27" t="s">
        <v>7</v>
      </c>
      <c r="D482" s="28">
        <v>81.5699</v>
      </c>
    </row>
    <row r="483" ht="15.75" customHeight="1" spans="1:4">
      <c r="A483" s="27" t="s">
        <v>14675</v>
      </c>
      <c r="B483" s="5" t="s">
        <v>16729</v>
      </c>
      <c r="C483" s="27" t="s">
        <v>7</v>
      </c>
      <c r="D483" s="28">
        <v>40.1048</v>
      </c>
    </row>
    <row r="484" ht="15.75" customHeight="1" spans="1:4">
      <c r="A484" s="27" t="s">
        <v>14676</v>
      </c>
      <c r="B484" s="5" t="s">
        <v>16730</v>
      </c>
      <c r="C484" s="27" t="s">
        <v>7</v>
      </c>
      <c r="D484" s="28">
        <v>51.7542</v>
      </c>
    </row>
    <row r="485" ht="15.75" customHeight="1" spans="1:4">
      <c r="A485" s="27" t="s">
        <v>14677</v>
      </c>
      <c r="B485" s="5" t="s">
        <v>16731</v>
      </c>
      <c r="C485" s="27" t="s">
        <v>7</v>
      </c>
      <c r="D485" s="28">
        <v>73.4836</v>
      </c>
    </row>
    <row r="486" ht="15.75" customHeight="1" spans="1:4">
      <c r="A486" s="27" t="s">
        <v>14678</v>
      </c>
      <c r="B486" s="5" t="s">
        <v>16732</v>
      </c>
      <c r="C486" s="27" t="s">
        <v>7</v>
      </c>
      <c r="D486" s="28">
        <v>85.2697</v>
      </c>
    </row>
    <row r="487" ht="15.75" customHeight="1" spans="1:4">
      <c r="A487" s="27" t="s">
        <v>14679</v>
      </c>
      <c r="B487" s="5" t="s">
        <v>16733</v>
      </c>
      <c r="C487" s="27" t="s">
        <v>7</v>
      </c>
      <c r="D487" s="28">
        <v>34.0275</v>
      </c>
    </row>
    <row r="488" ht="15.75" customHeight="1" spans="1:4">
      <c r="A488" s="27" t="s">
        <v>14680</v>
      </c>
      <c r="B488" s="5" t="s">
        <v>16734</v>
      </c>
      <c r="C488" s="27" t="s">
        <v>7</v>
      </c>
      <c r="D488" s="28">
        <v>38.7978</v>
      </c>
    </row>
    <row r="489" ht="15.75" customHeight="1" spans="1:4">
      <c r="A489" s="27" t="s">
        <v>14681</v>
      </c>
      <c r="B489" s="5" t="s">
        <v>16735</v>
      </c>
      <c r="C489" s="27" t="s">
        <v>7</v>
      </c>
      <c r="D489" s="28">
        <v>58.5022</v>
      </c>
    </row>
    <row r="490" ht="15.75" customHeight="1" spans="1:4">
      <c r="A490" s="27" t="s">
        <v>14682</v>
      </c>
      <c r="B490" s="5" t="s">
        <v>16736</v>
      </c>
      <c r="C490" s="27" t="s">
        <v>7</v>
      </c>
      <c r="D490" s="28">
        <v>71.0762</v>
      </c>
    </row>
    <row r="491" ht="15.75" customHeight="1" spans="1:4">
      <c r="A491" s="27" t="s">
        <v>14683</v>
      </c>
      <c r="B491" s="5" t="s">
        <v>16737</v>
      </c>
      <c r="C491" s="27" t="s">
        <v>7</v>
      </c>
      <c r="D491" s="28">
        <v>26.8152</v>
      </c>
    </row>
    <row r="492" ht="15.75" customHeight="1" spans="1:4">
      <c r="A492" s="27" t="s">
        <v>14684</v>
      </c>
      <c r="B492" s="5" t="s">
        <v>16738</v>
      </c>
      <c r="C492" s="27" t="s">
        <v>7</v>
      </c>
      <c r="D492" s="28">
        <v>35.1237</v>
      </c>
    </row>
    <row r="493" ht="15.75" customHeight="1" spans="1:4">
      <c r="A493" s="27" t="s">
        <v>14685</v>
      </c>
      <c r="B493" s="5" t="s">
        <v>16739</v>
      </c>
      <c r="C493" s="27" t="s">
        <v>7</v>
      </c>
      <c r="D493" s="28">
        <v>55.6084</v>
      </c>
    </row>
    <row r="494" ht="15.75" customHeight="1" spans="1:4">
      <c r="A494" s="27" t="s">
        <v>14686</v>
      </c>
      <c r="B494" s="5" t="s">
        <v>16740</v>
      </c>
      <c r="C494" s="27" t="s">
        <v>7</v>
      </c>
      <c r="D494" s="28">
        <v>67.8102</v>
      </c>
    </row>
    <row r="495" ht="15.75" customHeight="1" spans="1:4">
      <c r="A495" s="27" t="s">
        <v>14687</v>
      </c>
      <c r="B495" s="5" t="s">
        <v>16741</v>
      </c>
      <c r="C495" s="27" t="s">
        <v>9</v>
      </c>
      <c r="D495" s="28">
        <v>70.128</v>
      </c>
    </row>
    <row r="496" ht="15.75" customHeight="1" spans="1:4">
      <c r="A496" s="27" t="s">
        <v>14688</v>
      </c>
      <c r="B496" s="5" t="s">
        <v>16742</v>
      </c>
      <c r="C496" s="27" t="s">
        <v>82</v>
      </c>
      <c r="D496" s="28">
        <v>339.0409</v>
      </c>
    </row>
    <row r="497" ht="15.75" customHeight="1" spans="1:4">
      <c r="A497" s="27" t="s">
        <v>14689</v>
      </c>
      <c r="B497" s="5" t="s">
        <v>16743</v>
      </c>
      <c r="C497" s="27" t="s">
        <v>82</v>
      </c>
      <c r="D497" s="28">
        <v>343.8577</v>
      </c>
    </row>
    <row r="498" ht="15.75" customHeight="1" spans="1:4">
      <c r="A498" s="27" t="s">
        <v>14690</v>
      </c>
      <c r="B498" s="5" t="s">
        <v>16744</v>
      </c>
      <c r="C498" s="27" t="s">
        <v>82</v>
      </c>
      <c r="D498" s="28">
        <v>366.0931</v>
      </c>
    </row>
    <row r="499" ht="15.75" customHeight="1" spans="1:4">
      <c r="A499" s="27" t="s">
        <v>14691</v>
      </c>
      <c r="B499" s="5" t="s">
        <v>16745</v>
      </c>
      <c r="C499" s="27" t="s">
        <v>82</v>
      </c>
      <c r="D499" s="28">
        <v>388.4354</v>
      </c>
    </row>
    <row r="500" ht="15.75" customHeight="1" spans="1:4">
      <c r="A500" s="27" t="s">
        <v>14692</v>
      </c>
      <c r="B500" s="5" t="s">
        <v>16746</v>
      </c>
      <c r="C500" s="27" t="s">
        <v>82</v>
      </c>
      <c r="D500" s="28">
        <v>438.3344</v>
      </c>
    </row>
    <row r="501" ht="15.75" customHeight="1" spans="1:4">
      <c r="A501" s="27" t="s">
        <v>14693</v>
      </c>
      <c r="B501" s="5" t="s">
        <v>16747</v>
      </c>
      <c r="C501" s="27" t="s">
        <v>82</v>
      </c>
      <c r="D501" s="28">
        <v>599.9067</v>
      </c>
    </row>
    <row r="502" ht="15.75" customHeight="1" spans="1:4">
      <c r="A502" s="27" t="s">
        <v>14694</v>
      </c>
      <c r="B502" s="5" t="s">
        <v>16748</v>
      </c>
      <c r="C502" s="27" t="s">
        <v>82</v>
      </c>
      <c r="D502" s="28">
        <v>769.9295</v>
      </c>
    </row>
    <row r="503" ht="15.75" customHeight="1" spans="1:4">
      <c r="A503" s="27" t="s">
        <v>14695</v>
      </c>
      <c r="B503" s="5" t="s">
        <v>16749</v>
      </c>
      <c r="C503" s="27" t="s">
        <v>82</v>
      </c>
      <c r="D503" s="28">
        <v>11.2999</v>
      </c>
    </row>
    <row r="504" ht="15.75" customHeight="1" spans="1:4">
      <c r="A504" s="27" t="s">
        <v>14696</v>
      </c>
      <c r="B504" s="5" t="s">
        <v>16750</v>
      </c>
      <c r="C504" s="27" t="s">
        <v>82</v>
      </c>
      <c r="D504" s="28">
        <v>20.5411</v>
      </c>
    </row>
    <row r="505" ht="15.75" customHeight="1" spans="1:4">
      <c r="A505" s="27" t="s">
        <v>14697</v>
      </c>
      <c r="B505" s="5" t="s">
        <v>16751</v>
      </c>
      <c r="C505" s="27" t="s">
        <v>7</v>
      </c>
      <c r="D505" s="28">
        <v>46.1545</v>
      </c>
    </row>
    <row r="506" ht="15.75" customHeight="1" spans="1:4">
      <c r="A506" s="27" t="s">
        <v>14698</v>
      </c>
      <c r="B506" s="5" t="s">
        <v>16752</v>
      </c>
      <c r="C506" s="27" t="s">
        <v>7</v>
      </c>
      <c r="D506" s="28">
        <v>15.7935</v>
      </c>
    </row>
    <row r="507" ht="15.75" customHeight="1" spans="1:4">
      <c r="A507" s="27" t="s">
        <v>16753</v>
      </c>
      <c r="B507" s="5" t="s">
        <v>16754</v>
      </c>
      <c r="C507" s="27" t="s">
        <v>99</v>
      </c>
      <c r="D507" s="28" t="s">
        <v>14799</v>
      </c>
    </row>
    <row r="508" ht="15.75" customHeight="1" spans="1:4">
      <c r="A508" s="27" t="s">
        <v>14699</v>
      </c>
      <c r="B508" s="5" t="s">
        <v>16755</v>
      </c>
      <c r="C508" s="27" t="s">
        <v>14234</v>
      </c>
      <c r="D508" s="28">
        <v>11.9871</v>
      </c>
    </row>
    <row r="509" ht="15.75" customHeight="1" spans="1:4">
      <c r="A509" s="27" t="s">
        <v>14700</v>
      </c>
      <c r="B509" s="5" t="s">
        <v>16756</v>
      </c>
      <c r="C509" s="27" t="s">
        <v>101</v>
      </c>
      <c r="D509" s="28">
        <v>34.0079</v>
      </c>
    </row>
    <row r="510" ht="15.75" customHeight="1" spans="1:4">
      <c r="A510" s="27" t="s">
        <v>14701</v>
      </c>
      <c r="B510" s="5" t="s">
        <v>16757</v>
      </c>
      <c r="C510" s="27" t="s">
        <v>101</v>
      </c>
      <c r="D510" s="28">
        <v>11.512</v>
      </c>
    </row>
    <row r="511" ht="15.75" customHeight="1" spans="1:4">
      <c r="A511" s="27" t="s">
        <v>14702</v>
      </c>
      <c r="B511" s="5" t="s">
        <v>16758</v>
      </c>
      <c r="C511" s="27" t="s">
        <v>9</v>
      </c>
      <c r="D511" s="28">
        <v>167.0036</v>
      </c>
    </row>
    <row r="512" ht="15.75" customHeight="1" spans="1:4">
      <c r="A512" s="27" t="s">
        <v>14703</v>
      </c>
      <c r="B512" s="5" t="s">
        <v>16759</v>
      </c>
      <c r="C512" s="27" t="s">
        <v>101</v>
      </c>
      <c r="D512" s="28">
        <v>5.1749</v>
      </c>
    </row>
    <row r="513" ht="15.75" customHeight="1" spans="1:4">
      <c r="A513" s="27" t="s">
        <v>14704</v>
      </c>
      <c r="B513" s="5" t="s">
        <v>16760</v>
      </c>
      <c r="C513" s="27" t="s">
        <v>101</v>
      </c>
      <c r="D513" s="28">
        <v>5.1749</v>
      </c>
    </row>
    <row r="514" ht="15.75" customHeight="1" spans="1:4">
      <c r="A514" s="27" t="s">
        <v>14705</v>
      </c>
      <c r="B514" s="5" t="s">
        <v>16761</v>
      </c>
      <c r="C514" s="27" t="s">
        <v>101</v>
      </c>
      <c r="D514" s="28">
        <v>5.1749</v>
      </c>
    </row>
    <row r="515" ht="15.75" customHeight="1" spans="1:4">
      <c r="A515" s="27" t="s">
        <v>14706</v>
      </c>
      <c r="B515" s="5" t="s">
        <v>16762</v>
      </c>
      <c r="C515" s="27" t="s">
        <v>101</v>
      </c>
      <c r="D515" s="28">
        <v>5.1749</v>
      </c>
    </row>
    <row r="516" ht="15.75" customHeight="1" spans="1:4">
      <c r="A516" s="27" t="s">
        <v>14222</v>
      </c>
      <c r="B516" s="5" t="s">
        <v>14223</v>
      </c>
      <c r="C516" s="27" t="s">
        <v>101</v>
      </c>
      <c r="D516" s="28">
        <v>5.175</v>
      </c>
    </row>
    <row r="517" ht="15.75" customHeight="1" spans="1:4">
      <c r="A517" s="27" t="s">
        <v>14707</v>
      </c>
      <c r="B517" s="5" t="s">
        <v>16763</v>
      </c>
      <c r="C517" s="27" t="s">
        <v>9</v>
      </c>
      <c r="D517" s="28">
        <v>63.545</v>
      </c>
    </row>
    <row r="518" ht="15.75" customHeight="1" spans="1:4">
      <c r="A518" s="27" t="s">
        <v>14708</v>
      </c>
      <c r="B518" s="5" t="s">
        <v>16764</v>
      </c>
      <c r="C518" s="27" t="s">
        <v>9</v>
      </c>
      <c r="D518" s="28">
        <v>14.1046</v>
      </c>
    </row>
    <row r="519" ht="15.75" customHeight="1" spans="1:4">
      <c r="A519" s="27" t="s">
        <v>14709</v>
      </c>
      <c r="B519" s="5" t="s">
        <v>16765</v>
      </c>
      <c r="C519" s="27" t="s">
        <v>9</v>
      </c>
      <c r="D519" s="28">
        <v>120.7664</v>
      </c>
    </row>
    <row r="520" ht="15.75" customHeight="1" spans="1:4">
      <c r="A520" s="27" t="s">
        <v>14710</v>
      </c>
      <c r="B520" s="5" t="s">
        <v>16766</v>
      </c>
      <c r="C520" s="27" t="s">
        <v>9</v>
      </c>
      <c r="D520" s="28">
        <v>129.7219</v>
      </c>
    </row>
    <row r="521" ht="15.75" customHeight="1" spans="1:4">
      <c r="A521" s="27" t="s">
        <v>14711</v>
      </c>
      <c r="B521" s="5" t="s">
        <v>16767</v>
      </c>
      <c r="C521" s="27" t="s">
        <v>9</v>
      </c>
      <c r="D521" s="28">
        <v>248.45</v>
      </c>
    </row>
    <row r="522" ht="15.75" customHeight="1" spans="1:4">
      <c r="A522" s="27" t="s">
        <v>14712</v>
      </c>
      <c r="B522" s="5" t="s">
        <v>16768</v>
      </c>
      <c r="C522" s="27" t="s">
        <v>9</v>
      </c>
      <c r="D522" s="28">
        <v>493.9767</v>
      </c>
    </row>
    <row r="523" ht="15.75" customHeight="1" spans="1:4">
      <c r="A523" s="27" t="s">
        <v>14713</v>
      </c>
      <c r="B523" s="5" t="s">
        <v>16769</v>
      </c>
      <c r="C523" s="27" t="s">
        <v>82</v>
      </c>
      <c r="D523" s="28">
        <v>32.2923</v>
      </c>
    </row>
    <row r="524" ht="15.75" customHeight="1" spans="1:4">
      <c r="A524" s="27" t="s">
        <v>14714</v>
      </c>
      <c r="B524" s="5" t="s">
        <v>16770</v>
      </c>
      <c r="C524" s="27" t="s">
        <v>82</v>
      </c>
      <c r="D524" s="28">
        <v>72.1191</v>
      </c>
    </row>
    <row r="525" ht="15.75" customHeight="1" spans="1:4">
      <c r="A525" s="27" t="s">
        <v>14715</v>
      </c>
      <c r="B525" s="5" t="s">
        <v>16771</v>
      </c>
      <c r="C525" s="27" t="s">
        <v>82</v>
      </c>
      <c r="D525" s="28">
        <v>266.8525</v>
      </c>
    </row>
    <row r="526" ht="15.75" customHeight="1" spans="1:4">
      <c r="A526" s="27" t="s">
        <v>14716</v>
      </c>
      <c r="B526" s="5" t="s">
        <v>16772</v>
      </c>
      <c r="C526" s="27" t="s">
        <v>82</v>
      </c>
      <c r="D526" s="28">
        <v>3511.8579</v>
      </c>
    </row>
    <row r="527" ht="15.75" customHeight="1" spans="1:4">
      <c r="A527" s="27" t="s">
        <v>14717</v>
      </c>
      <c r="B527" s="5" t="s">
        <v>16773</v>
      </c>
      <c r="C527" s="27" t="s">
        <v>82</v>
      </c>
      <c r="D527" s="28">
        <v>8108.5285</v>
      </c>
    </row>
    <row r="528" ht="15.75" customHeight="1" spans="1:4">
      <c r="A528" s="27" t="s">
        <v>14718</v>
      </c>
      <c r="B528" s="5" t="s">
        <v>16774</v>
      </c>
      <c r="C528" s="27" t="s">
        <v>82</v>
      </c>
      <c r="D528" s="28">
        <v>9744.0017</v>
      </c>
    </row>
    <row r="529" ht="15.75" customHeight="1" spans="1:4">
      <c r="A529" s="27" t="s">
        <v>16775</v>
      </c>
      <c r="B529" s="5" t="s">
        <v>16776</v>
      </c>
      <c r="C529" s="27" t="s">
        <v>82</v>
      </c>
      <c r="D529" s="28">
        <v>14815.8973</v>
      </c>
    </row>
    <row r="530" ht="15.75" customHeight="1" spans="1:4">
      <c r="A530" s="27" t="s">
        <v>14719</v>
      </c>
      <c r="B530" s="5" t="s">
        <v>16777</v>
      </c>
      <c r="C530" s="27" t="s">
        <v>82</v>
      </c>
      <c r="D530" s="28">
        <v>12139.875</v>
      </c>
    </row>
    <row r="531" ht="15.75" customHeight="1" spans="1:4">
      <c r="A531" s="27" t="s">
        <v>16778</v>
      </c>
      <c r="B531" s="5" t="s">
        <v>16779</v>
      </c>
      <c r="C531" s="27" t="s">
        <v>82</v>
      </c>
      <c r="D531" s="28">
        <v>35.0985</v>
      </c>
    </row>
    <row r="532" ht="15.75" customHeight="1" spans="1:4">
      <c r="A532" s="27" t="s">
        <v>14720</v>
      </c>
      <c r="B532" s="5" t="s">
        <v>16780</v>
      </c>
      <c r="C532" s="27" t="s">
        <v>82</v>
      </c>
      <c r="D532" s="28">
        <v>2183.1417</v>
      </c>
    </row>
    <row r="533" ht="15.75" customHeight="1" spans="1:4">
      <c r="A533" s="27" t="s">
        <v>16781</v>
      </c>
      <c r="B533" s="5" t="s">
        <v>16782</v>
      </c>
      <c r="C533" s="27" t="s">
        <v>82</v>
      </c>
      <c r="D533" s="28">
        <v>890</v>
      </c>
    </row>
    <row r="534" ht="15.75" customHeight="1" spans="1:4">
      <c r="A534" s="27" t="s">
        <v>16783</v>
      </c>
      <c r="B534" s="5" t="s">
        <v>16784</v>
      </c>
      <c r="C534" s="27" t="s">
        <v>82</v>
      </c>
      <c r="D534" s="28">
        <v>369.1169</v>
      </c>
    </row>
    <row r="535" ht="15.75" customHeight="1" spans="1:4">
      <c r="A535" s="27" t="s">
        <v>14721</v>
      </c>
      <c r="B535" s="5" t="s">
        <v>16785</v>
      </c>
      <c r="C535" s="27" t="s">
        <v>82</v>
      </c>
      <c r="D535" s="28">
        <v>1395.0665</v>
      </c>
    </row>
    <row r="536" ht="15.75" customHeight="1" spans="1:4">
      <c r="A536" s="27" t="s">
        <v>14722</v>
      </c>
      <c r="B536" s="5" t="s">
        <v>16786</v>
      </c>
      <c r="C536" s="27" t="s">
        <v>9</v>
      </c>
      <c r="D536" s="28">
        <v>9.5056</v>
      </c>
    </row>
    <row r="537" ht="15.75" customHeight="1" spans="1:4">
      <c r="A537" s="27" t="s">
        <v>14723</v>
      </c>
      <c r="B537" s="5" t="s">
        <v>16787</v>
      </c>
      <c r="C537" s="27" t="s">
        <v>9</v>
      </c>
      <c r="D537" s="28">
        <v>14.8518</v>
      </c>
    </row>
    <row r="538" ht="15.75" customHeight="1" spans="1:4">
      <c r="A538" s="27" t="s">
        <v>16788</v>
      </c>
      <c r="B538" s="5" t="s">
        <v>16789</v>
      </c>
      <c r="C538" s="27" t="s">
        <v>9</v>
      </c>
      <c r="D538" s="28">
        <v>28.2513</v>
      </c>
    </row>
    <row r="539" ht="15.75" customHeight="1" spans="1:4">
      <c r="A539" s="27" t="s">
        <v>16790</v>
      </c>
      <c r="B539" s="5" t="s">
        <v>16791</v>
      </c>
      <c r="C539" s="27" t="s">
        <v>9</v>
      </c>
      <c r="D539" s="28">
        <v>45.1507</v>
      </c>
    </row>
    <row r="540" ht="15.75" customHeight="1" spans="1:4">
      <c r="A540" s="27" t="s">
        <v>14279</v>
      </c>
      <c r="B540" s="5" t="s">
        <v>14280</v>
      </c>
      <c r="C540" s="27" t="s">
        <v>9</v>
      </c>
      <c r="D540" s="28">
        <v>15.9955</v>
      </c>
    </row>
    <row r="541" ht="15.75" customHeight="1" spans="1:4">
      <c r="A541" s="27" t="s">
        <v>14724</v>
      </c>
      <c r="B541" s="5" t="s">
        <v>16792</v>
      </c>
      <c r="C541" s="27" t="s">
        <v>9</v>
      </c>
      <c r="D541" s="28">
        <v>27.6921</v>
      </c>
    </row>
    <row r="542" ht="15.75" customHeight="1" spans="1:4">
      <c r="A542" s="27" t="s">
        <v>14283</v>
      </c>
      <c r="B542" s="5" t="s">
        <v>14284</v>
      </c>
      <c r="C542" s="27" t="s">
        <v>9</v>
      </c>
      <c r="D542" s="28">
        <v>80.7461</v>
      </c>
    </row>
    <row r="543" ht="15.75" customHeight="1" spans="1:4">
      <c r="A543" s="27" t="s">
        <v>14725</v>
      </c>
      <c r="B543" s="5" t="s">
        <v>16793</v>
      </c>
      <c r="C543" s="27" t="s">
        <v>9</v>
      </c>
      <c r="D543" s="28">
        <v>87.007</v>
      </c>
    </row>
    <row r="544" ht="15.75" customHeight="1" spans="1:4">
      <c r="A544" s="27" t="s">
        <v>14726</v>
      </c>
      <c r="B544" s="5" t="s">
        <v>16794</v>
      </c>
      <c r="C544" s="27" t="s">
        <v>9</v>
      </c>
      <c r="D544" s="28">
        <v>146.1059</v>
      </c>
    </row>
    <row r="545" ht="15.75" customHeight="1" spans="1:4">
      <c r="A545" s="27" t="s">
        <v>14727</v>
      </c>
      <c r="B545" s="5" t="s">
        <v>16795</v>
      </c>
      <c r="C545" s="27" t="s">
        <v>82</v>
      </c>
      <c r="D545" s="28">
        <v>508.1106</v>
      </c>
    </row>
    <row r="546" ht="15.75" customHeight="1" spans="1:4">
      <c r="A546" s="27" t="s">
        <v>14728</v>
      </c>
      <c r="B546" s="5" t="s">
        <v>16796</v>
      </c>
      <c r="C546" s="27" t="s">
        <v>7</v>
      </c>
      <c r="D546" s="28">
        <v>5.6431</v>
      </c>
    </row>
    <row r="547" ht="15.75" customHeight="1" spans="1:4">
      <c r="A547" s="27" t="s">
        <v>16797</v>
      </c>
      <c r="B547" s="5" t="s">
        <v>16798</v>
      </c>
      <c r="C547" s="27" t="s">
        <v>82</v>
      </c>
      <c r="D547" s="28">
        <v>829.1929</v>
      </c>
    </row>
    <row r="548" ht="15.75" customHeight="1" spans="1:4">
      <c r="A548" s="27" t="s">
        <v>16799</v>
      </c>
      <c r="B548" s="5" t="s">
        <v>16800</v>
      </c>
      <c r="C548" s="27" t="s">
        <v>82</v>
      </c>
      <c r="D548" s="28">
        <v>1439.6206</v>
      </c>
    </row>
    <row r="549" ht="15.75" customHeight="1" spans="1:4">
      <c r="A549" s="27" t="s">
        <v>16801</v>
      </c>
      <c r="B549" s="5" t="s">
        <v>16802</v>
      </c>
      <c r="C549" s="27" t="s">
        <v>82</v>
      </c>
      <c r="D549" s="28">
        <v>297.1236</v>
      </c>
    </row>
    <row r="550" ht="15.75" customHeight="1" spans="1:4">
      <c r="A550" s="27" t="s">
        <v>14729</v>
      </c>
      <c r="B550" s="5" t="s">
        <v>16803</v>
      </c>
      <c r="C550" s="27" t="s">
        <v>82</v>
      </c>
      <c r="D550" s="28">
        <v>1630.8388</v>
      </c>
    </row>
    <row r="551" ht="15.75" customHeight="1" spans="1:4">
      <c r="A551" s="27" t="s">
        <v>14730</v>
      </c>
      <c r="B551" s="5" t="s">
        <v>16804</v>
      </c>
      <c r="C551" s="27" t="s">
        <v>82</v>
      </c>
      <c r="D551" s="28">
        <v>16.2375</v>
      </c>
    </row>
    <row r="552" ht="15.75" customHeight="1" spans="1:4">
      <c r="A552" s="27" t="s">
        <v>14731</v>
      </c>
      <c r="B552" s="5" t="s">
        <v>16805</v>
      </c>
      <c r="C552" s="27" t="s">
        <v>7</v>
      </c>
      <c r="D552" s="28">
        <v>43.7996</v>
      </c>
    </row>
    <row r="553" ht="15.75" customHeight="1" spans="1:4">
      <c r="A553" s="27" t="s">
        <v>14732</v>
      </c>
      <c r="B553" s="5" t="s">
        <v>16806</v>
      </c>
      <c r="C553" s="27" t="s">
        <v>82</v>
      </c>
      <c r="D553" s="28">
        <v>7521.0081</v>
      </c>
    </row>
    <row r="554" ht="15.75" customHeight="1" spans="1:4">
      <c r="A554" s="27" t="s">
        <v>14733</v>
      </c>
      <c r="B554" s="5" t="s">
        <v>16807</v>
      </c>
      <c r="C554" s="27" t="s">
        <v>101</v>
      </c>
      <c r="D554" s="28">
        <v>57.437</v>
      </c>
    </row>
    <row r="555" ht="15.75" customHeight="1" spans="1:4">
      <c r="A555" s="27" t="s">
        <v>14734</v>
      </c>
      <c r="B555" s="5" t="s">
        <v>16808</v>
      </c>
      <c r="C555" s="27" t="s">
        <v>9</v>
      </c>
      <c r="D555" s="28">
        <v>212.8285</v>
      </c>
    </row>
    <row r="556" ht="15.75" customHeight="1" spans="1:4">
      <c r="A556" s="27" t="s">
        <v>14735</v>
      </c>
      <c r="B556" s="5" t="s">
        <v>16809</v>
      </c>
      <c r="C556" s="27" t="s">
        <v>82</v>
      </c>
      <c r="D556" s="28">
        <v>4886.3576</v>
      </c>
    </row>
    <row r="557" ht="15.75" customHeight="1" spans="1:4">
      <c r="A557" s="27" t="s">
        <v>14736</v>
      </c>
      <c r="B557" s="5" t="s">
        <v>16810</v>
      </c>
      <c r="C557" s="27" t="s">
        <v>82</v>
      </c>
      <c r="D557" s="28">
        <v>2652.6953</v>
      </c>
    </row>
    <row r="558" ht="15.75" customHeight="1" spans="1:4">
      <c r="A558" s="27" t="s">
        <v>14737</v>
      </c>
      <c r="B558" s="5" t="s">
        <v>16811</v>
      </c>
      <c r="C558" s="27" t="s">
        <v>82</v>
      </c>
      <c r="D558" s="28">
        <v>560.6699</v>
      </c>
    </row>
    <row r="559" ht="15.75" customHeight="1" spans="1:4">
      <c r="A559" s="27" t="s">
        <v>14738</v>
      </c>
      <c r="B559" s="5" t="s">
        <v>16812</v>
      </c>
      <c r="C559" s="27" t="s">
        <v>82</v>
      </c>
      <c r="D559" s="28">
        <v>1362.8356</v>
      </c>
    </row>
    <row r="560" ht="15.75" customHeight="1" spans="1:4">
      <c r="A560" s="27" t="s">
        <v>14739</v>
      </c>
      <c r="B560" s="5" t="s">
        <v>16813</v>
      </c>
      <c r="C560" s="27" t="s">
        <v>9</v>
      </c>
      <c r="D560" s="28">
        <v>156.2105</v>
      </c>
    </row>
    <row r="561" ht="30" customHeight="1" spans="1:4">
      <c r="A561" s="27" t="s">
        <v>16814</v>
      </c>
      <c r="B561" s="5" t="s">
        <v>16815</v>
      </c>
      <c r="C561" s="27" t="s">
        <v>82</v>
      </c>
      <c r="D561" s="28">
        <v>1252.473</v>
      </c>
    </row>
    <row r="562" ht="15.75" customHeight="1" spans="1:4">
      <c r="A562" s="27" t="s">
        <v>14740</v>
      </c>
      <c r="B562" s="5" t="s">
        <v>16816</v>
      </c>
      <c r="C562" s="27" t="s">
        <v>82</v>
      </c>
      <c r="D562" s="28">
        <v>12156.1643</v>
      </c>
    </row>
    <row r="563" ht="15.75" customHeight="1" spans="1:4">
      <c r="A563" s="27" t="s">
        <v>14741</v>
      </c>
      <c r="B563" s="5" t="s">
        <v>16817</v>
      </c>
      <c r="C563" s="27" t="s">
        <v>82</v>
      </c>
      <c r="D563" s="28">
        <v>11275.6176</v>
      </c>
    </row>
    <row r="564" ht="15.75" customHeight="1" spans="1:4">
      <c r="A564" s="27" t="s">
        <v>16818</v>
      </c>
      <c r="B564" s="5" t="s">
        <v>16819</v>
      </c>
      <c r="C564" s="27" t="s">
        <v>82</v>
      </c>
      <c r="D564" s="28">
        <v>6.375</v>
      </c>
    </row>
    <row r="565" ht="15.75" customHeight="1" spans="1:4">
      <c r="A565" s="27" t="s">
        <v>16820</v>
      </c>
      <c r="B565" s="5" t="s">
        <v>16821</v>
      </c>
      <c r="C565" s="27" t="s">
        <v>82</v>
      </c>
      <c r="D565" s="28">
        <v>390</v>
      </c>
    </row>
    <row r="566" ht="15.75" customHeight="1" spans="1:4">
      <c r="A566" s="27" t="s">
        <v>14742</v>
      </c>
      <c r="B566" s="5" t="s">
        <v>16822</v>
      </c>
      <c r="C566" s="27" t="s">
        <v>82</v>
      </c>
      <c r="D566" s="28">
        <v>39.3929</v>
      </c>
    </row>
    <row r="567" ht="15.75" customHeight="1" spans="1:4">
      <c r="A567" s="27" t="s">
        <v>16823</v>
      </c>
      <c r="B567" s="5" t="s">
        <v>16824</v>
      </c>
      <c r="C567" s="27" t="s">
        <v>82</v>
      </c>
      <c r="D567" s="28">
        <v>3794.8209</v>
      </c>
    </row>
    <row r="568" ht="15.75" customHeight="1" spans="1:4">
      <c r="A568" s="27" t="s">
        <v>14743</v>
      </c>
      <c r="B568" s="5" t="s">
        <v>16825</v>
      </c>
      <c r="C568" s="27" t="s">
        <v>101</v>
      </c>
      <c r="D568" s="28">
        <v>0.1386</v>
      </c>
    </row>
    <row r="569" ht="15.75" customHeight="1" spans="1:4">
      <c r="A569" s="27" t="s">
        <v>14744</v>
      </c>
      <c r="B569" s="5" t="s">
        <v>16826</v>
      </c>
      <c r="C569" s="27" t="s">
        <v>101</v>
      </c>
      <c r="D569" s="28">
        <v>3.4474</v>
      </c>
    </row>
    <row r="570" ht="15.75" customHeight="1" spans="1:4">
      <c r="A570" s="27" t="s">
        <v>14745</v>
      </c>
      <c r="B570" s="5" t="s">
        <v>16827</v>
      </c>
      <c r="C570" s="27" t="s">
        <v>9</v>
      </c>
      <c r="D570" s="28">
        <v>106.6556</v>
      </c>
    </row>
    <row r="571" ht="15.75" customHeight="1" spans="1:4">
      <c r="A571" s="27" t="s">
        <v>14746</v>
      </c>
      <c r="B571" s="5" t="s">
        <v>16828</v>
      </c>
      <c r="C571" s="27" t="s">
        <v>82</v>
      </c>
      <c r="D571" s="28">
        <v>31644.4986</v>
      </c>
    </row>
    <row r="572" ht="15.75" customHeight="1" spans="1:4">
      <c r="A572" s="27" t="s">
        <v>14747</v>
      </c>
      <c r="B572" s="5" t="s">
        <v>16829</v>
      </c>
      <c r="C572" s="27" t="s">
        <v>82</v>
      </c>
      <c r="D572" s="28">
        <v>47201.4337</v>
      </c>
    </row>
    <row r="573" ht="15.75" customHeight="1" spans="1:4">
      <c r="A573" s="27" t="s">
        <v>14748</v>
      </c>
      <c r="B573" s="5" t="s">
        <v>16830</v>
      </c>
      <c r="C573" s="27" t="s">
        <v>82</v>
      </c>
      <c r="D573" s="28">
        <v>60028.7116</v>
      </c>
    </row>
    <row r="574" ht="15.75" customHeight="1" spans="1:4">
      <c r="A574" s="27" t="s">
        <v>14749</v>
      </c>
      <c r="B574" s="5" t="s">
        <v>16831</v>
      </c>
      <c r="C574" s="27" t="s">
        <v>82</v>
      </c>
      <c r="D574" s="28">
        <v>88944.7187</v>
      </c>
    </row>
    <row r="575" ht="15.75" customHeight="1" spans="1:4">
      <c r="A575" s="27" t="s">
        <v>14750</v>
      </c>
      <c r="B575" s="5" t="s">
        <v>16832</v>
      </c>
      <c r="C575" s="27" t="s">
        <v>82</v>
      </c>
      <c r="D575" s="28">
        <v>98174.1647</v>
      </c>
    </row>
    <row r="576" ht="15.75" customHeight="1" spans="1:4">
      <c r="A576" s="27" t="s">
        <v>14751</v>
      </c>
      <c r="B576" s="5" t="s">
        <v>16833</v>
      </c>
      <c r="C576" s="27" t="s">
        <v>82</v>
      </c>
      <c r="D576" s="28">
        <v>116849.9907</v>
      </c>
    </row>
    <row r="577" ht="15.75" customHeight="1" spans="1:4">
      <c r="A577" s="27" t="s">
        <v>14752</v>
      </c>
      <c r="B577" s="5" t="s">
        <v>16834</v>
      </c>
      <c r="C577" s="27" t="s">
        <v>82</v>
      </c>
      <c r="D577" s="28">
        <v>144927.1304</v>
      </c>
    </row>
    <row r="578" ht="15.75" customHeight="1" spans="1:4">
      <c r="A578" s="27" t="s">
        <v>14753</v>
      </c>
      <c r="B578" s="5" t="s">
        <v>16835</v>
      </c>
      <c r="C578" s="27" t="s">
        <v>82</v>
      </c>
      <c r="D578" s="28">
        <v>18575.9689</v>
      </c>
    </row>
    <row r="579" ht="15.75" customHeight="1" spans="1:4">
      <c r="A579" s="27" t="s">
        <v>14754</v>
      </c>
      <c r="B579" s="5" t="s">
        <v>16836</v>
      </c>
      <c r="C579" s="27" t="s">
        <v>82</v>
      </c>
      <c r="D579" s="28">
        <v>32034.5158</v>
      </c>
    </row>
    <row r="580" ht="15.75" customHeight="1" spans="1:4">
      <c r="A580" s="27" t="s">
        <v>14755</v>
      </c>
      <c r="B580" s="5" t="s">
        <v>16837</v>
      </c>
      <c r="C580" s="27" t="s">
        <v>82</v>
      </c>
      <c r="D580" s="28">
        <v>35641.5587</v>
      </c>
    </row>
    <row r="581" ht="15.75" customHeight="1" spans="1:4">
      <c r="A581" s="27" t="s">
        <v>14756</v>
      </c>
      <c r="B581" s="5" t="s">
        <v>16838</v>
      </c>
      <c r="C581" s="27" t="s">
        <v>82</v>
      </c>
      <c r="D581" s="28">
        <v>52111.92</v>
      </c>
    </row>
    <row r="582" ht="15.75" customHeight="1" spans="1:4">
      <c r="A582" s="27" t="s">
        <v>14757</v>
      </c>
      <c r="B582" s="5" t="s">
        <v>16839</v>
      </c>
      <c r="C582" s="27" t="s">
        <v>82</v>
      </c>
      <c r="D582" s="28">
        <v>57503.7489</v>
      </c>
    </row>
    <row r="583" ht="15.75" customHeight="1" spans="1:4">
      <c r="A583" s="27" t="s">
        <v>14758</v>
      </c>
      <c r="B583" s="5" t="s">
        <v>16840</v>
      </c>
      <c r="C583" s="27" t="s">
        <v>82</v>
      </c>
      <c r="D583" s="28">
        <v>68572.8886</v>
      </c>
    </row>
    <row r="584" ht="15.75" customHeight="1" spans="1:4">
      <c r="A584" s="27" t="s">
        <v>14759</v>
      </c>
      <c r="B584" s="5" t="s">
        <v>16841</v>
      </c>
      <c r="C584" s="27" t="s">
        <v>82</v>
      </c>
      <c r="D584" s="28">
        <v>85087.8652</v>
      </c>
    </row>
    <row r="585" ht="15.75" customHeight="1" spans="1:4">
      <c r="A585" s="27" t="s">
        <v>14760</v>
      </c>
      <c r="B585" s="5" t="s">
        <v>16842</v>
      </c>
      <c r="C585" s="27" t="s">
        <v>82</v>
      </c>
      <c r="D585" s="28">
        <v>6.846</v>
      </c>
    </row>
    <row r="586" ht="15.75" customHeight="1" spans="1:4">
      <c r="A586" s="27" t="s">
        <v>14761</v>
      </c>
      <c r="B586" s="5" t="s">
        <v>16843</v>
      </c>
      <c r="C586" s="27" t="s">
        <v>82</v>
      </c>
      <c r="D586" s="28">
        <v>4592.4922</v>
      </c>
    </row>
    <row r="587" ht="15.75" customHeight="1" spans="1:4">
      <c r="A587" s="27" t="s">
        <v>14762</v>
      </c>
      <c r="B587" s="5" t="s">
        <v>16844</v>
      </c>
      <c r="C587" s="27" t="s">
        <v>101</v>
      </c>
      <c r="D587" s="28">
        <v>9.2307</v>
      </c>
    </row>
    <row r="588" ht="15.75" customHeight="1" spans="1:4">
      <c r="A588" s="27" t="s">
        <v>14763</v>
      </c>
      <c r="B588" s="5" t="s">
        <v>16845</v>
      </c>
      <c r="C588" s="27" t="s">
        <v>99</v>
      </c>
      <c r="D588" s="28">
        <v>20.4829</v>
      </c>
    </row>
    <row r="589" ht="15.75" customHeight="1" spans="1:4">
      <c r="A589" s="27" t="s">
        <v>14764</v>
      </c>
      <c r="B589" s="5" t="s">
        <v>16846</v>
      </c>
      <c r="C589" s="27" t="s">
        <v>101</v>
      </c>
      <c r="D589" s="28">
        <v>110.6229</v>
      </c>
    </row>
    <row r="590" ht="15.75" customHeight="1" spans="1:4">
      <c r="A590" s="27" t="s">
        <v>14765</v>
      </c>
      <c r="B590" s="5" t="s">
        <v>16847</v>
      </c>
      <c r="C590" s="27" t="s">
        <v>9</v>
      </c>
      <c r="D590" s="28">
        <v>3.6378</v>
      </c>
    </row>
    <row r="591" ht="15.75" customHeight="1" spans="1:4">
      <c r="A591" s="27" t="s">
        <v>14766</v>
      </c>
      <c r="B591" s="5" t="s">
        <v>16848</v>
      </c>
      <c r="C591" s="27" t="s">
        <v>7</v>
      </c>
      <c r="D591" s="28">
        <v>39.6597</v>
      </c>
    </row>
    <row r="592" ht="15.75" customHeight="1" spans="1:4">
      <c r="A592" s="27" t="s">
        <v>14767</v>
      </c>
      <c r="B592" s="5" t="s">
        <v>16849</v>
      </c>
      <c r="C592" s="27" t="s">
        <v>9</v>
      </c>
      <c r="D592" s="28">
        <v>36.288</v>
      </c>
    </row>
    <row r="593" ht="15.75" customHeight="1" spans="1:4">
      <c r="A593" s="27" t="s">
        <v>14768</v>
      </c>
      <c r="B593" s="5" t="s">
        <v>16850</v>
      </c>
      <c r="C593" s="27" t="s">
        <v>9</v>
      </c>
      <c r="D593" s="28">
        <v>25</v>
      </c>
    </row>
    <row r="594" ht="15.75" customHeight="1" spans="1:4">
      <c r="A594" s="27" t="s">
        <v>16851</v>
      </c>
      <c r="B594" s="5" t="s">
        <v>16852</v>
      </c>
      <c r="C594" s="27" t="s">
        <v>82</v>
      </c>
      <c r="D594" s="28">
        <v>499.243</v>
      </c>
    </row>
    <row r="595" ht="15.75" customHeight="1" spans="1:4">
      <c r="A595" s="27" t="s">
        <v>14769</v>
      </c>
      <c r="B595" s="5" t="s">
        <v>16853</v>
      </c>
      <c r="C595" s="27" t="s">
        <v>82</v>
      </c>
      <c r="D595" s="28">
        <v>3.3494</v>
      </c>
    </row>
    <row r="596" ht="15.75" customHeight="1" spans="1:4">
      <c r="A596" s="27" t="s">
        <v>14770</v>
      </c>
      <c r="B596" s="5" t="s">
        <v>16854</v>
      </c>
      <c r="C596" s="27" t="s">
        <v>82</v>
      </c>
      <c r="D596" s="28">
        <v>15.2039</v>
      </c>
    </row>
    <row r="597" ht="15.75" customHeight="1" spans="1:4">
      <c r="A597" s="27" t="s">
        <v>14771</v>
      </c>
      <c r="B597" s="5" t="s">
        <v>16855</v>
      </c>
      <c r="C597" s="27" t="s">
        <v>82</v>
      </c>
      <c r="D597" s="28">
        <v>920.6221</v>
      </c>
    </row>
    <row r="598" ht="15.75" customHeight="1" spans="1:4">
      <c r="A598" s="27" t="s">
        <v>14772</v>
      </c>
      <c r="B598" s="5" t="s">
        <v>16856</v>
      </c>
      <c r="C598" s="27" t="s">
        <v>82</v>
      </c>
      <c r="D598" s="28">
        <v>146.9467</v>
      </c>
    </row>
    <row r="599" ht="15.75" customHeight="1" spans="1:4">
      <c r="A599" s="27" t="s">
        <v>14773</v>
      </c>
      <c r="B599" s="5" t="s">
        <v>16857</v>
      </c>
      <c r="C599" s="27" t="s">
        <v>101</v>
      </c>
      <c r="D599" s="28">
        <v>93.6271</v>
      </c>
    </row>
    <row r="600" ht="15.75" customHeight="1" spans="1:4">
      <c r="A600" s="27" t="s">
        <v>14774</v>
      </c>
      <c r="B600" s="5" t="s">
        <v>16858</v>
      </c>
      <c r="C600" s="27" t="s">
        <v>82</v>
      </c>
      <c r="D600" s="28">
        <v>2842.9822</v>
      </c>
    </row>
    <row r="601" ht="15.75" customHeight="1" spans="1:4">
      <c r="A601" s="27" t="s">
        <v>14775</v>
      </c>
      <c r="B601" s="5" t="s">
        <v>16859</v>
      </c>
      <c r="C601" s="27" t="s">
        <v>82</v>
      </c>
      <c r="D601" s="28">
        <v>15.6763</v>
      </c>
    </row>
    <row r="602" ht="15.75" customHeight="1" spans="1:4">
      <c r="A602" s="27" t="s">
        <v>14776</v>
      </c>
      <c r="B602" s="5" t="s">
        <v>16860</v>
      </c>
      <c r="C602" s="27" t="s">
        <v>82</v>
      </c>
      <c r="D602" s="28">
        <v>10230.8107</v>
      </c>
    </row>
    <row r="603" ht="15.75" customHeight="1" spans="1:4">
      <c r="A603" s="27" t="s">
        <v>14777</v>
      </c>
      <c r="B603" s="5" t="s">
        <v>16861</v>
      </c>
      <c r="C603" s="27" t="s">
        <v>9</v>
      </c>
      <c r="D603" s="28">
        <v>666.0978</v>
      </c>
    </row>
    <row r="604" ht="15.75" customHeight="1" spans="1:4">
      <c r="A604" s="27" t="s">
        <v>14778</v>
      </c>
      <c r="B604" s="5" t="s">
        <v>16862</v>
      </c>
      <c r="C604" s="27" t="s">
        <v>82</v>
      </c>
      <c r="D604" s="28">
        <v>2.4432</v>
      </c>
    </row>
    <row r="605" ht="15.75" customHeight="1" spans="1:4">
      <c r="A605" s="27" t="s">
        <v>14779</v>
      </c>
      <c r="B605" s="5" t="s">
        <v>16863</v>
      </c>
      <c r="C605" s="27" t="s">
        <v>82</v>
      </c>
      <c r="D605" s="28">
        <v>3.9678</v>
      </c>
    </row>
    <row r="606" ht="15.75" customHeight="1" spans="1:4">
      <c r="A606" s="27" t="s">
        <v>14780</v>
      </c>
      <c r="B606" s="5" t="s">
        <v>16864</v>
      </c>
      <c r="C606" s="27" t="s">
        <v>9</v>
      </c>
      <c r="D606" s="28">
        <v>5.5403</v>
      </c>
    </row>
    <row r="607" ht="15.75" customHeight="1" spans="1:4">
      <c r="A607" s="27" t="s">
        <v>14781</v>
      </c>
      <c r="B607" s="5" t="s">
        <v>16865</v>
      </c>
      <c r="C607" s="27" t="s">
        <v>9</v>
      </c>
      <c r="D607" s="28">
        <v>4.3437</v>
      </c>
    </row>
    <row r="608" ht="15.75" customHeight="1" spans="1:4">
      <c r="A608" s="27" t="s">
        <v>16866</v>
      </c>
      <c r="B608" s="5" t="s">
        <v>16867</v>
      </c>
      <c r="C608" s="27" t="s">
        <v>9</v>
      </c>
      <c r="D608" s="28">
        <v>35.9678</v>
      </c>
    </row>
    <row r="609" ht="15.75" customHeight="1" spans="1:4">
      <c r="A609" s="27" t="s">
        <v>16868</v>
      </c>
      <c r="B609" s="5" t="s">
        <v>16869</v>
      </c>
      <c r="C609" s="27" t="s">
        <v>82</v>
      </c>
      <c r="D609" s="28">
        <v>443.1017</v>
      </c>
    </row>
    <row r="610" ht="15.75" customHeight="1" spans="1:4">
      <c r="A610" s="27" t="s">
        <v>16870</v>
      </c>
      <c r="B610" s="5" t="s">
        <v>16871</v>
      </c>
      <c r="C610" s="27" t="s">
        <v>101</v>
      </c>
      <c r="D610" s="28">
        <v>38.7334</v>
      </c>
    </row>
    <row r="611" ht="30" customHeight="1" spans="1:4">
      <c r="A611" s="27" t="s">
        <v>16872</v>
      </c>
      <c r="B611" s="5" t="s">
        <v>16873</v>
      </c>
      <c r="C611" s="27" t="s">
        <v>7</v>
      </c>
      <c r="D611" s="28">
        <v>188.2514</v>
      </c>
    </row>
    <row r="612" ht="15.75" customHeight="1" spans="1:4">
      <c r="A612" s="27" t="s">
        <v>14782</v>
      </c>
      <c r="B612" s="5" t="s">
        <v>16874</v>
      </c>
      <c r="C612" s="27" t="s">
        <v>9</v>
      </c>
      <c r="D612" s="28">
        <v>5.6572</v>
      </c>
    </row>
    <row r="613" ht="15.75" customHeight="1" spans="1:4">
      <c r="A613" s="27" t="s">
        <v>14783</v>
      </c>
      <c r="B613" s="5" t="s">
        <v>16875</v>
      </c>
      <c r="C613" s="27" t="s">
        <v>9</v>
      </c>
      <c r="D613" s="28">
        <v>8.3472</v>
      </c>
    </row>
    <row r="614" ht="15.75" customHeight="1" spans="1:4">
      <c r="A614" s="27" t="s">
        <v>14784</v>
      </c>
      <c r="B614" s="5" t="s">
        <v>16876</v>
      </c>
      <c r="C614" s="27" t="s">
        <v>9</v>
      </c>
      <c r="D614" s="28">
        <v>12.7498</v>
      </c>
    </row>
    <row r="615" ht="15.75" customHeight="1" spans="1:4">
      <c r="A615" s="27" t="s">
        <v>14785</v>
      </c>
      <c r="B615" s="5" t="s">
        <v>16877</v>
      </c>
      <c r="C615" s="27" t="s">
        <v>9</v>
      </c>
      <c r="D615" s="28">
        <v>23.6781</v>
      </c>
    </row>
    <row r="616" ht="15.75" customHeight="1" spans="1:4">
      <c r="A616" s="27" t="s">
        <v>14786</v>
      </c>
      <c r="B616" s="5" t="s">
        <v>16878</v>
      </c>
      <c r="C616" s="27" t="s">
        <v>9</v>
      </c>
      <c r="D616" s="28">
        <v>28.6667</v>
      </c>
    </row>
    <row r="617" ht="15.75" customHeight="1" spans="1:4">
      <c r="A617" s="27" t="s">
        <v>14787</v>
      </c>
      <c r="B617" s="5" t="s">
        <v>16879</v>
      </c>
      <c r="C617" s="27" t="s">
        <v>9</v>
      </c>
      <c r="D617" s="28">
        <v>70.8475</v>
      </c>
    </row>
    <row r="618" ht="15.75" customHeight="1" spans="1:4">
      <c r="A618" s="27" t="s">
        <v>16880</v>
      </c>
      <c r="B618" s="5" t="s">
        <v>16881</v>
      </c>
      <c r="C618" s="27" t="s">
        <v>9</v>
      </c>
      <c r="D618" s="28">
        <v>26.0137</v>
      </c>
    </row>
    <row r="619" ht="15.75" customHeight="1" spans="1:4">
      <c r="A619" s="27" t="s">
        <v>14788</v>
      </c>
      <c r="B619" s="5" t="s">
        <v>16882</v>
      </c>
      <c r="C619" s="27" t="s">
        <v>9</v>
      </c>
      <c r="D619" s="28">
        <v>2.1176</v>
      </c>
    </row>
    <row r="620" ht="15.75" customHeight="1" spans="1:4">
      <c r="A620" s="27" t="s">
        <v>16883</v>
      </c>
      <c r="B620" s="5" t="s">
        <v>16884</v>
      </c>
      <c r="C620" s="27" t="s">
        <v>9</v>
      </c>
      <c r="D620" s="28">
        <v>12.28</v>
      </c>
    </row>
    <row r="621" ht="15.75" customHeight="1" spans="1:4">
      <c r="A621" s="27" t="s">
        <v>14789</v>
      </c>
      <c r="B621" s="5" t="s">
        <v>16885</v>
      </c>
      <c r="C621" s="27" t="s">
        <v>82</v>
      </c>
      <c r="D621" s="28">
        <v>1.1665</v>
      </c>
    </row>
    <row r="622" ht="15.75" customHeight="1" spans="1:4">
      <c r="A622" s="27" t="s">
        <v>14790</v>
      </c>
      <c r="B622" s="5" t="s">
        <v>16886</v>
      </c>
      <c r="C622" s="27" t="s">
        <v>82</v>
      </c>
      <c r="D622" s="28">
        <v>1.1665</v>
      </c>
    </row>
    <row r="623" ht="15.75" customHeight="1" spans="1:4">
      <c r="A623" s="27" t="s">
        <v>14791</v>
      </c>
      <c r="B623" s="5" t="s">
        <v>16887</v>
      </c>
      <c r="C623" s="27" t="s">
        <v>82</v>
      </c>
      <c r="D623" s="28">
        <v>1.1665</v>
      </c>
    </row>
    <row r="624" ht="15.75" customHeight="1" spans="1:4">
      <c r="A624" s="27" t="s">
        <v>14792</v>
      </c>
      <c r="B624" s="5" t="s">
        <v>16888</v>
      </c>
      <c r="C624" s="27" t="s">
        <v>82</v>
      </c>
      <c r="D624" s="28">
        <v>1.1665</v>
      </c>
    </row>
    <row r="625" ht="15.75" customHeight="1" spans="1:4">
      <c r="A625" s="27" t="s">
        <v>14793</v>
      </c>
      <c r="B625" s="5" t="s">
        <v>16889</v>
      </c>
      <c r="C625" s="27" t="s">
        <v>82</v>
      </c>
      <c r="D625" s="28">
        <v>3.6339</v>
      </c>
    </row>
    <row r="626" ht="15.75" customHeight="1" spans="1:4">
      <c r="A626" s="27" t="s">
        <v>14794</v>
      </c>
      <c r="B626" s="5" t="s">
        <v>16890</v>
      </c>
      <c r="C626" s="27" t="s">
        <v>82</v>
      </c>
      <c r="D626" s="28">
        <v>3.6318</v>
      </c>
    </row>
    <row r="627" ht="15.75" customHeight="1" spans="1:4">
      <c r="A627" s="27" t="s">
        <v>14795</v>
      </c>
      <c r="B627" s="5" t="s">
        <v>16891</v>
      </c>
      <c r="C627" s="27" t="s">
        <v>82</v>
      </c>
      <c r="D627" s="28">
        <v>4.0734</v>
      </c>
    </row>
    <row r="628" ht="15.75" customHeight="1" spans="1:4">
      <c r="A628" s="27" t="s">
        <v>14796</v>
      </c>
      <c r="B628" s="5" t="s">
        <v>16892</v>
      </c>
      <c r="C628" s="27" t="s">
        <v>14234</v>
      </c>
      <c r="D628" s="28">
        <v>5.7496</v>
      </c>
    </row>
    <row r="629" ht="15.75" customHeight="1" spans="1:4">
      <c r="A629" s="27" t="s">
        <v>14797</v>
      </c>
      <c r="B629" s="5" t="s">
        <v>16893</v>
      </c>
      <c r="C629" s="27" t="s">
        <v>82</v>
      </c>
      <c r="D629" s="28">
        <v>4.0807</v>
      </c>
    </row>
    <row r="630" ht="15.75" customHeight="1" spans="1:4">
      <c r="A630" s="27" t="s">
        <v>14798</v>
      </c>
      <c r="B630" s="5" t="s">
        <v>16894</v>
      </c>
      <c r="C630" s="27" t="s">
        <v>9885</v>
      </c>
      <c r="D630" s="28" t="s">
        <v>14799</v>
      </c>
    </row>
    <row r="631" ht="15.75" customHeight="1" spans="1:4">
      <c r="A631" s="27" t="s">
        <v>14800</v>
      </c>
      <c r="B631" s="5" t="s">
        <v>16895</v>
      </c>
      <c r="C631" s="27" t="s">
        <v>9885</v>
      </c>
      <c r="D631" s="28" t="s">
        <v>14799</v>
      </c>
    </row>
    <row r="632" ht="15.75" customHeight="1" spans="1:4">
      <c r="A632" s="27" t="s">
        <v>14801</v>
      </c>
      <c r="B632" s="5" t="s">
        <v>16896</v>
      </c>
      <c r="C632" s="27" t="s">
        <v>9885</v>
      </c>
      <c r="D632" s="28" t="s">
        <v>14799</v>
      </c>
    </row>
    <row r="633" ht="15.75" customHeight="1" spans="1:4">
      <c r="A633" s="27" t="s">
        <v>14802</v>
      </c>
      <c r="B633" s="5" t="s">
        <v>16897</v>
      </c>
      <c r="C633" s="27" t="s">
        <v>9885</v>
      </c>
      <c r="D633" s="28" t="s">
        <v>14799</v>
      </c>
    </row>
    <row r="634" ht="15.75" customHeight="1" spans="1:4">
      <c r="A634" s="27" t="s">
        <v>14803</v>
      </c>
      <c r="B634" s="5" t="s">
        <v>16898</v>
      </c>
      <c r="C634" s="27" t="s">
        <v>9885</v>
      </c>
      <c r="D634" s="28" t="s">
        <v>14799</v>
      </c>
    </row>
    <row r="635" ht="15.75" customHeight="1" spans="1:4">
      <c r="A635" s="27" t="s">
        <v>14804</v>
      </c>
      <c r="B635" s="5" t="s">
        <v>16899</v>
      </c>
      <c r="C635" s="27" t="s">
        <v>82</v>
      </c>
      <c r="D635" s="28">
        <v>4.0838</v>
      </c>
    </row>
    <row r="636" ht="15.75" customHeight="1" spans="1:4">
      <c r="A636" s="27" t="s">
        <v>14805</v>
      </c>
      <c r="B636" s="5" t="s">
        <v>16900</v>
      </c>
      <c r="C636" s="27" t="s">
        <v>9885</v>
      </c>
      <c r="D636" s="28" t="s">
        <v>14799</v>
      </c>
    </row>
    <row r="637" ht="15.75" customHeight="1" spans="1:4">
      <c r="A637" s="27" t="s">
        <v>14806</v>
      </c>
      <c r="B637" s="5" t="s">
        <v>16901</v>
      </c>
      <c r="C637" s="27" t="s">
        <v>9885</v>
      </c>
      <c r="D637" s="28" t="s">
        <v>14799</v>
      </c>
    </row>
    <row r="638" ht="15.75" customHeight="1" spans="1:4">
      <c r="A638" s="27" t="s">
        <v>14807</v>
      </c>
      <c r="B638" s="5" t="s">
        <v>16902</v>
      </c>
      <c r="C638" s="27" t="s">
        <v>9885</v>
      </c>
      <c r="D638" s="28" t="s">
        <v>14799</v>
      </c>
    </row>
    <row r="639" ht="15.75" customHeight="1" spans="1:4">
      <c r="A639" s="27" t="s">
        <v>14808</v>
      </c>
      <c r="B639" s="5" t="s">
        <v>16903</v>
      </c>
      <c r="C639" s="27" t="s">
        <v>9885</v>
      </c>
      <c r="D639" s="28">
        <v>7641.8659</v>
      </c>
    </row>
    <row r="640" ht="15.75" customHeight="1" spans="1:4">
      <c r="A640" s="27" t="s">
        <v>14809</v>
      </c>
      <c r="B640" s="5" t="s">
        <v>16904</v>
      </c>
      <c r="C640" s="27" t="s">
        <v>101</v>
      </c>
      <c r="D640" s="28">
        <v>0.5673</v>
      </c>
    </row>
    <row r="641" ht="15.75" customHeight="1" spans="1:4">
      <c r="A641" s="27" t="s">
        <v>14810</v>
      </c>
      <c r="B641" s="5" t="s">
        <v>16905</v>
      </c>
      <c r="C641" s="27" t="s">
        <v>9885</v>
      </c>
      <c r="D641" s="28" t="s">
        <v>14799</v>
      </c>
    </row>
    <row r="642" ht="15.75" customHeight="1" spans="1:4">
      <c r="A642" s="27" t="s">
        <v>14811</v>
      </c>
      <c r="B642" s="5" t="s">
        <v>16906</v>
      </c>
      <c r="C642" s="27" t="s">
        <v>9885</v>
      </c>
      <c r="D642" s="28" t="s">
        <v>14799</v>
      </c>
    </row>
    <row r="643" ht="15.75" customHeight="1" spans="1:4">
      <c r="A643" s="27" t="s">
        <v>14812</v>
      </c>
      <c r="B643" s="5" t="s">
        <v>16907</v>
      </c>
      <c r="C643" s="27" t="s">
        <v>9885</v>
      </c>
      <c r="D643" s="28" t="s">
        <v>14799</v>
      </c>
    </row>
    <row r="644" ht="15.75" customHeight="1" spans="1:4">
      <c r="A644" s="27" t="s">
        <v>14813</v>
      </c>
      <c r="B644" s="5" t="s">
        <v>16908</v>
      </c>
      <c r="C644" s="27" t="s">
        <v>82</v>
      </c>
      <c r="D644" s="28">
        <v>5.1099</v>
      </c>
    </row>
    <row r="645" ht="15.75" customHeight="1" spans="1:4">
      <c r="A645" s="27" t="s">
        <v>14814</v>
      </c>
      <c r="B645" s="5" t="s">
        <v>16909</v>
      </c>
      <c r="C645" s="27" t="s">
        <v>82</v>
      </c>
      <c r="D645" s="28">
        <v>9.0559</v>
      </c>
    </row>
    <row r="646" ht="15.75" customHeight="1" spans="1:4">
      <c r="A646" s="27" t="s">
        <v>14815</v>
      </c>
      <c r="B646" s="5" t="s">
        <v>16910</v>
      </c>
      <c r="C646" s="27" t="s">
        <v>82</v>
      </c>
      <c r="D646" s="28">
        <v>10.0651</v>
      </c>
    </row>
    <row r="647" ht="15.75" customHeight="1" spans="1:4">
      <c r="A647" s="27" t="s">
        <v>14816</v>
      </c>
      <c r="B647" s="5" t="s">
        <v>16911</v>
      </c>
      <c r="C647" s="27" t="s">
        <v>82</v>
      </c>
      <c r="D647" s="28">
        <v>10.0692</v>
      </c>
    </row>
    <row r="648" ht="15.75" customHeight="1" spans="1:4">
      <c r="A648" s="27" t="s">
        <v>14817</v>
      </c>
      <c r="B648" s="5" t="s">
        <v>16912</v>
      </c>
      <c r="C648" s="27" t="s">
        <v>101</v>
      </c>
      <c r="D648" s="28">
        <v>10.0275</v>
      </c>
    </row>
    <row r="649" ht="15.75" customHeight="1" spans="1:4">
      <c r="A649" s="27" t="s">
        <v>14818</v>
      </c>
      <c r="B649" s="5" t="s">
        <v>16913</v>
      </c>
      <c r="C649" s="27" t="s">
        <v>82</v>
      </c>
      <c r="D649" s="28">
        <v>3227.0295</v>
      </c>
    </row>
    <row r="650" ht="15.75" customHeight="1" spans="1:4">
      <c r="A650" s="27" t="s">
        <v>14819</v>
      </c>
      <c r="B650" s="5" t="s">
        <v>16914</v>
      </c>
      <c r="C650" s="27" t="s">
        <v>82</v>
      </c>
      <c r="D650" s="28">
        <v>3934.9853</v>
      </c>
    </row>
    <row r="651" ht="15.75" customHeight="1" spans="1:4">
      <c r="A651" s="27" t="s">
        <v>14820</v>
      </c>
      <c r="B651" s="5" t="s">
        <v>16915</v>
      </c>
      <c r="C651" s="27" t="s">
        <v>82</v>
      </c>
      <c r="D651" s="28">
        <v>1267.9151</v>
      </c>
    </row>
    <row r="652" ht="15.75" customHeight="1" spans="1:4">
      <c r="A652" s="27" t="s">
        <v>14821</v>
      </c>
      <c r="B652" s="5" t="s">
        <v>16916</v>
      </c>
      <c r="C652" s="27" t="s">
        <v>82</v>
      </c>
      <c r="D652" s="28">
        <v>1752.5301</v>
      </c>
    </row>
    <row r="653" ht="15.75" customHeight="1" spans="1:4">
      <c r="A653" s="27" t="s">
        <v>14822</v>
      </c>
      <c r="B653" s="5" t="s">
        <v>16917</v>
      </c>
      <c r="C653" s="27" t="s">
        <v>82</v>
      </c>
      <c r="D653" s="28">
        <v>38.4091</v>
      </c>
    </row>
    <row r="654" ht="30" customHeight="1" spans="1:4">
      <c r="A654" s="27" t="s">
        <v>14823</v>
      </c>
      <c r="B654" s="5" t="s">
        <v>16918</v>
      </c>
      <c r="C654" s="27" t="s">
        <v>82</v>
      </c>
      <c r="D654" s="28">
        <v>6762.2006</v>
      </c>
    </row>
    <row r="655" ht="15.75" customHeight="1" spans="1:4">
      <c r="A655" s="27" t="s">
        <v>14824</v>
      </c>
      <c r="B655" s="5" t="s">
        <v>16919</v>
      </c>
      <c r="C655" s="27" t="s">
        <v>82</v>
      </c>
      <c r="D655" s="28">
        <v>39.2297</v>
      </c>
    </row>
    <row r="656" ht="15.75" customHeight="1" spans="1:4">
      <c r="A656" s="27" t="s">
        <v>14825</v>
      </c>
      <c r="B656" s="5" t="s">
        <v>16920</v>
      </c>
      <c r="C656" s="27" t="s">
        <v>82</v>
      </c>
      <c r="D656" s="28">
        <v>408.1253</v>
      </c>
    </row>
    <row r="657" ht="15.75" customHeight="1" spans="1:4">
      <c r="A657" s="27" t="s">
        <v>14826</v>
      </c>
      <c r="B657" s="5" t="s">
        <v>16921</v>
      </c>
      <c r="C657" s="27" t="s">
        <v>82</v>
      </c>
      <c r="D657" s="28">
        <v>408.1253</v>
      </c>
    </row>
    <row r="658" ht="15.75" customHeight="1" spans="1:4">
      <c r="A658" s="27" t="s">
        <v>14827</v>
      </c>
      <c r="B658" s="5" t="s">
        <v>16922</v>
      </c>
      <c r="C658" s="27" t="s">
        <v>82</v>
      </c>
      <c r="D658" s="28">
        <v>90.9048</v>
      </c>
    </row>
    <row r="659" ht="15.75" customHeight="1" spans="1:4">
      <c r="A659" s="27" t="s">
        <v>14828</v>
      </c>
      <c r="B659" s="5" t="s">
        <v>16923</v>
      </c>
      <c r="C659" s="27" t="s">
        <v>82</v>
      </c>
      <c r="D659" s="28">
        <v>96.9007</v>
      </c>
    </row>
    <row r="660" ht="15.75" customHeight="1" spans="1:4">
      <c r="A660" s="27" t="s">
        <v>14829</v>
      </c>
      <c r="B660" s="5" t="s">
        <v>16924</v>
      </c>
      <c r="C660" s="27" t="s">
        <v>82</v>
      </c>
      <c r="D660" s="28">
        <v>136.519</v>
      </c>
    </row>
    <row r="661" ht="15.75" customHeight="1" spans="1:4">
      <c r="A661" s="27" t="s">
        <v>14830</v>
      </c>
      <c r="B661" s="5" t="s">
        <v>16925</v>
      </c>
      <c r="C661" s="27" t="s">
        <v>82</v>
      </c>
      <c r="D661" s="28">
        <v>102.4221</v>
      </c>
    </row>
    <row r="662" ht="15.75" customHeight="1" spans="1:4">
      <c r="A662" s="27" t="s">
        <v>14831</v>
      </c>
      <c r="B662" s="5" t="s">
        <v>16926</v>
      </c>
      <c r="C662" s="27" t="s">
        <v>82</v>
      </c>
      <c r="D662" s="28">
        <v>158.2654</v>
      </c>
    </row>
    <row r="663" ht="15.75" customHeight="1" spans="1:4">
      <c r="A663" s="27" t="s">
        <v>14832</v>
      </c>
      <c r="B663" s="5" t="s">
        <v>16927</v>
      </c>
      <c r="C663" s="27" t="s">
        <v>82</v>
      </c>
      <c r="D663" s="28">
        <v>207.5508</v>
      </c>
    </row>
    <row r="664" ht="15.75" customHeight="1" spans="1:4">
      <c r="A664" s="27" t="s">
        <v>14833</v>
      </c>
      <c r="B664" s="5" t="s">
        <v>16928</v>
      </c>
      <c r="C664" s="27" t="s">
        <v>82</v>
      </c>
      <c r="D664" s="28">
        <v>213.796</v>
      </c>
    </row>
    <row r="665" ht="15.75" customHeight="1" spans="1:4">
      <c r="A665" s="27" t="s">
        <v>14834</v>
      </c>
      <c r="B665" s="5" t="s">
        <v>16929</v>
      </c>
      <c r="C665" s="27" t="s">
        <v>82</v>
      </c>
      <c r="D665" s="28">
        <v>252.4754</v>
      </c>
    </row>
    <row r="666" ht="15.75" customHeight="1" spans="1:4">
      <c r="A666" s="27" t="s">
        <v>14835</v>
      </c>
      <c r="B666" s="5" t="s">
        <v>16930</v>
      </c>
      <c r="C666" s="27" t="s">
        <v>82</v>
      </c>
      <c r="D666" s="28">
        <v>280.8086</v>
      </c>
    </row>
    <row r="667" ht="15.75" customHeight="1" spans="1:4">
      <c r="A667" s="27" t="s">
        <v>14836</v>
      </c>
      <c r="B667" s="5" t="s">
        <v>16931</v>
      </c>
      <c r="C667" s="27" t="s">
        <v>82</v>
      </c>
      <c r="D667" s="28">
        <v>377.4559</v>
      </c>
    </row>
    <row r="668" ht="15.75" customHeight="1" spans="1:4">
      <c r="A668" s="27" t="s">
        <v>14837</v>
      </c>
      <c r="B668" s="5" t="s">
        <v>16932</v>
      </c>
      <c r="C668" s="27" t="s">
        <v>82</v>
      </c>
      <c r="D668" s="28">
        <v>127.0417</v>
      </c>
    </row>
    <row r="669" ht="15.75" customHeight="1" spans="1:4">
      <c r="A669" s="27" t="s">
        <v>14838</v>
      </c>
      <c r="B669" s="5" t="s">
        <v>16933</v>
      </c>
      <c r="C669" s="27" t="s">
        <v>82</v>
      </c>
      <c r="D669" s="28">
        <v>198.5007</v>
      </c>
    </row>
    <row r="670" ht="15.75" customHeight="1" spans="1:4">
      <c r="A670" s="27" t="s">
        <v>14839</v>
      </c>
      <c r="B670" s="5" t="s">
        <v>16934</v>
      </c>
      <c r="C670" s="27" t="s">
        <v>82</v>
      </c>
      <c r="D670" s="28">
        <v>272.9737</v>
      </c>
    </row>
    <row r="671" ht="30" customHeight="1" spans="1:4">
      <c r="A671" s="27" t="s">
        <v>14840</v>
      </c>
      <c r="B671" s="5" t="s">
        <v>16935</v>
      </c>
      <c r="C671" s="27" t="s">
        <v>82</v>
      </c>
      <c r="D671" s="28">
        <v>179825.4886</v>
      </c>
    </row>
    <row r="672" ht="30" customHeight="1" spans="1:4">
      <c r="A672" s="27" t="s">
        <v>14841</v>
      </c>
      <c r="B672" s="5" t="s">
        <v>16936</v>
      </c>
      <c r="C672" s="27" t="s">
        <v>82</v>
      </c>
      <c r="D672" s="28">
        <v>188935.4242</v>
      </c>
    </row>
    <row r="673" ht="30" customHeight="1" spans="1:4">
      <c r="A673" s="27" t="s">
        <v>14842</v>
      </c>
      <c r="B673" s="5" t="s">
        <v>16937</v>
      </c>
      <c r="C673" s="27" t="s">
        <v>82</v>
      </c>
      <c r="D673" s="28">
        <v>230793.3263</v>
      </c>
    </row>
    <row r="674" ht="30" customHeight="1" spans="1:4">
      <c r="A674" s="27" t="s">
        <v>14843</v>
      </c>
      <c r="B674" s="5" t="s">
        <v>16938</v>
      </c>
      <c r="C674" s="27" t="s">
        <v>82</v>
      </c>
      <c r="D674" s="28">
        <v>244557.8152</v>
      </c>
    </row>
    <row r="675" ht="30" customHeight="1" spans="1:4">
      <c r="A675" s="27" t="s">
        <v>14844</v>
      </c>
      <c r="B675" s="5" t="s">
        <v>16939</v>
      </c>
      <c r="C675" s="27" t="s">
        <v>82</v>
      </c>
      <c r="D675" s="28">
        <v>263468.0098</v>
      </c>
    </row>
    <row r="676" ht="15.75" customHeight="1" spans="1:4">
      <c r="A676" s="27" t="s">
        <v>14845</v>
      </c>
      <c r="B676" s="5" t="s">
        <v>16940</v>
      </c>
      <c r="C676" s="27" t="s">
        <v>82</v>
      </c>
      <c r="D676" s="28">
        <v>15.9371</v>
      </c>
    </row>
    <row r="677" ht="30" customHeight="1" spans="1:4">
      <c r="A677" s="27" t="s">
        <v>14846</v>
      </c>
      <c r="B677" s="5" t="s">
        <v>16941</v>
      </c>
      <c r="C677" s="27" t="s">
        <v>82</v>
      </c>
      <c r="D677" s="28">
        <v>277008.5098</v>
      </c>
    </row>
    <row r="678" ht="30" customHeight="1" spans="1:4">
      <c r="A678" s="27" t="s">
        <v>14847</v>
      </c>
      <c r="B678" s="5" t="s">
        <v>16942</v>
      </c>
      <c r="C678" s="27" t="s">
        <v>82</v>
      </c>
      <c r="D678" s="28">
        <v>284330.4098</v>
      </c>
    </row>
    <row r="679" ht="30" customHeight="1" spans="1:4">
      <c r="A679" s="27" t="s">
        <v>14848</v>
      </c>
      <c r="B679" s="5" t="s">
        <v>16943</v>
      </c>
      <c r="C679" s="27" t="s">
        <v>82</v>
      </c>
      <c r="D679" s="28">
        <v>285132.8098</v>
      </c>
    </row>
    <row r="680" ht="15.75" customHeight="1" spans="1:4">
      <c r="A680" s="27" t="s">
        <v>14849</v>
      </c>
      <c r="B680" s="5" t="s">
        <v>16944</v>
      </c>
      <c r="C680" s="27" t="s">
        <v>82</v>
      </c>
      <c r="D680" s="28">
        <v>620.3448</v>
      </c>
    </row>
    <row r="681" ht="15.75" customHeight="1" spans="1:4">
      <c r="A681" s="27" t="s">
        <v>14850</v>
      </c>
      <c r="B681" s="5" t="s">
        <v>16945</v>
      </c>
      <c r="C681" s="27" t="s">
        <v>82</v>
      </c>
      <c r="D681" s="28">
        <v>736.7224</v>
      </c>
    </row>
    <row r="682" ht="15.75" customHeight="1" spans="1:4">
      <c r="A682" s="27" t="s">
        <v>14851</v>
      </c>
      <c r="B682" s="5" t="s">
        <v>16946</v>
      </c>
      <c r="C682" s="27" t="s">
        <v>82</v>
      </c>
      <c r="D682" s="28">
        <v>1423.7421</v>
      </c>
    </row>
    <row r="683" ht="15.75" customHeight="1" spans="1:4">
      <c r="A683" s="27" t="s">
        <v>14852</v>
      </c>
      <c r="B683" s="5" t="s">
        <v>16947</v>
      </c>
      <c r="C683" s="27" t="s">
        <v>82</v>
      </c>
      <c r="D683" s="28">
        <v>2431.7821</v>
      </c>
    </row>
    <row r="684" ht="15.75" customHeight="1" spans="1:4">
      <c r="A684" s="27" t="s">
        <v>14853</v>
      </c>
      <c r="B684" s="5" t="s">
        <v>16948</v>
      </c>
      <c r="C684" s="27" t="s">
        <v>82</v>
      </c>
      <c r="D684" s="28">
        <v>538.6327</v>
      </c>
    </row>
    <row r="685" ht="15.75" customHeight="1" spans="1:4">
      <c r="A685" s="27" t="s">
        <v>14854</v>
      </c>
      <c r="B685" s="5" t="s">
        <v>16949</v>
      </c>
      <c r="C685" s="27" t="s">
        <v>82</v>
      </c>
      <c r="D685" s="28">
        <v>608.6507</v>
      </c>
    </row>
    <row r="686" ht="15.75" customHeight="1" spans="1:4">
      <c r="A686" s="27" t="s">
        <v>14855</v>
      </c>
      <c r="B686" s="5" t="s">
        <v>16950</v>
      </c>
      <c r="C686" s="27" t="s">
        <v>82</v>
      </c>
      <c r="D686" s="28">
        <v>736.2744</v>
      </c>
    </row>
    <row r="687" ht="15.75" customHeight="1" spans="1:4">
      <c r="A687" s="27" t="s">
        <v>14856</v>
      </c>
      <c r="B687" s="5" t="s">
        <v>16951</v>
      </c>
      <c r="C687" s="27" t="s">
        <v>82</v>
      </c>
      <c r="D687" s="28">
        <v>867.9237</v>
      </c>
    </row>
    <row r="688" ht="15.75" customHeight="1" spans="1:4">
      <c r="A688" s="27" t="s">
        <v>14857</v>
      </c>
      <c r="B688" s="5" t="s">
        <v>16952</v>
      </c>
      <c r="C688" s="27" t="s">
        <v>82</v>
      </c>
      <c r="D688" s="28">
        <v>33.83</v>
      </c>
    </row>
    <row r="689" ht="30" customHeight="1" spans="1:4">
      <c r="A689" s="27" t="s">
        <v>14858</v>
      </c>
      <c r="B689" s="5" t="s">
        <v>16953</v>
      </c>
      <c r="C689" s="27" t="s">
        <v>82</v>
      </c>
      <c r="D689" s="28">
        <v>287320.404</v>
      </c>
    </row>
    <row r="690" ht="15.75" customHeight="1" spans="1:4">
      <c r="A690" s="27" t="s">
        <v>14859</v>
      </c>
      <c r="B690" s="5" t="s">
        <v>16954</v>
      </c>
      <c r="C690" s="27" t="s">
        <v>82</v>
      </c>
      <c r="D690" s="28">
        <v>49.7391</v>
      </c>
    </row>
    <row r="691" ht="15.75" customHeight="1" spans="1:4">
      <c r="A691" s="27" t="s">
        <v>14860</v>
      </c>
      <c r="B691" s="5" t="s">
        <v>16955</v>
      </c>
      <c r="C691" s="27" t="s">
        <v>9</v>
      </c>
      <c r="D691" s="28">
        <v>3.26</v>
      </c>
    </row>
    <row r="692" ht="15.75" customHeight="1" spans="1:4">
      <c r="A692" s="27" t="s">
        <v>14861</v>
      </c>
      <c r="B692" s="5" t="s">
        <v>16956</v>
      </c>
      <c r="C692" s="27" t="s">
        <v>82</v>
      </c>
      <c r="D692" s="28">
        <v>59.921</v>
      </c>
    </row>
    <row r="693" ht="15.75" customHeight="1" spans="1:4">
      <c r="A693" s="27" t="s">
        <v>14862</v>
      </c>
      <c r="B693" s="5" t="s">
        <v>16957</v>
      </c>
      <c r="C693" s="27" t="s">
        <v>82</v>
      </c>
      <c r="D693" s="28">
        <v>61.8945</v>
      </c>
    </row>
    <row r="694" ht="30" customHeight="1" spans="1:4">
      <c r="A694" s="27" t="s">
        <v>14863</v>
      </c>
      <c r="B694" s="5" t="s">
        <v>16958</v>
      </c>
      <c r="C694" s="27" t="s">
        <v>82</v>
      </c>
      <c r="D694" s="28">
        <v>288875.054</v>
      </c>
    </row>
    <row r="695" ht="15.75" customHeight="1" spans="1:4">
      <c r="A695" s="27" t="s">
        <v>14864</v>
      </c>
      <c r="B695" s="5" t="s">
        <v>16959</v>
      </c>
      <c r="C695" s="27" t="s">
        <v>9</v>
      </c>
      <c r="D695" s="28">
        <v>2.4607</v>
      </c>
    </row>
    <row r="696" ht="15.75" customHeight="1" spans="1:4">
      <c r="A696" s="27" t="s">
        <v>14865</v>
      </c>
      <c r="B696" s="5" t="s">
        <v>16960</v>
      </c>
      <c r="C696" s="27" t="s">
        <v>82</v>
      </c>
      <c r="D696" s="28">
        <v>29.84</v>
      </c>
    </row>
    <row r="697" ht="15.75" customHeight="1" spans="1:4">
      <c r="A697" s="27" t="s">
        <v>14866</v>
      </c>
      <c r="B697" s="5" t="s">
        <v>16961</v>
      </c>
      <c r="C697" s="27" t="s">
        <v>9</v>
      </c>
      <c r="D697" s="28">
        <v>3.5041</v>
      </c>
    </row>
    <row r="698" ht="15.75" customHeight="1" spans="1:4">
      <c r="A698" s="27" t="s">
        <v>14867</v>
      </c>
      <c r="B698" s="5" t="s">
        <v>16962</v>
      </c>
      <c r="C698" s="27" t="s">
        <v>14234</v>
      </c>
      <c r="D698" s="28">
        <v>32.019</v>
      </c>
    </row>
    <row r="699" ht="15.75" customHeight="1" spans="1:4">
      <c r="A699" s="27" t="s">
        <v>14868</v>
      </c>
      <c r="B699" s="5" t="s">
        <v>16963</v>
      </c>
      <c r="C699" s="27" t="s">
        <v>82</v>
      </c>
      <c r="D699" s="28">
        <v>1208.4919</v>
      </c>
    </row>
    <row r="700" ht="15.75" customHeight="1" spans="1:4">
      <c r="A700" s="27" t="s">
        <v>14869</v>
      </c>
      <c r="B700" s="5" t="s">
        <v>16964</v>
      </c>
      <c r="C700" s="27" t="s">
        <v>82</v>
      </c>
      <c r="D700" s="28">
        <v>90.551</v>
      </c>
    </row>
    <row r="701" ht="15.75" customHeight="1" spans="1:4">
      <c r="A701" s="27" t="s">
        <v>14870</v>
      </c>
      <c r="B701" s="5" t="s">
        <v>16965</v>
      </c>
      <c r="C701" s="27" t="s">
        <v>82</v>
      </c>
      <c r="D701" s="28">
        <v>154.9614</v>
      </c>
    </row>
    <row r="702" ht="15.75" customHeight="1" spans="1:4">
      <c r="A702" s="27" t="s">
        <v>14871</v>
      </c>
      <c r="B702" s="5" t="s">
        <v>16966</v>
      </c>
      <c r="C702" s="27" t="s">
        <v>82</v>
      </c>
      <c r="D702" s="28">
        <v>176.3547</v>
      </c>
    </row>
    <row r="703" ht="15.75" customHeight="1" spans="1:4">
      <c r="A703" s="27" t="s">
        <v>14872</v>
      </c>
      <c r="B703" s="5" t="s">
        <v>16967</v>
      </c>
      <c r="C703" s="27" t="s">
        <v>82</v>
      </c>
      <c r="D703" s="28">
        <v>194.4086</v>
      </c>
    </row>
    <row r="704" ht="15.75" customHeight="1" spans="1:4">
      <c r="A704" s="27" t="s">
        <v>14873</v>
      </c>
      <c r="B704" s="5" t="s">
        <v>16968</v>
      </c>
      <c r="C704" s="27" t="s">
        <v>82</v>
      </c>
      <c r="D704" s="28">
        <v>244.7179</v>
      </c>
    </row>
    <row r="705" ht="15.75" customHeight="1" spans="1:4">
      <c r="A705" s="27" t="s">
        <v>14874</v>
      </c>
      <c r="B705" s="5" t="s">
        <v>16969</v>
      </c>
      <c r="C705" s="27" t="s">
        <v>14234</v>
      </c>
      <c r="D705" s="28">
        <v>16.4938</v>
      </c>
    </row>
    <row r="706" ht="15.75" customHeight="1" spans="1:4">
      <c r="A706" s="27" t="s">
        <v>14875</v>
      </c>
      <c r="B706" s="5" t="s">
        <v>16970</v>
      </c>
      <c r="C706" s="27" t="s">
        <v>82</v>
      </c>
      <c r="D706" s="28">
        <v>280.6502</v>
      </c>
    </row>
    <row r="707" ht="15.75" customHeight="1" spans="1:4">
      <c r="A707" s="27" t="s">
        <v>14273</v>
      </c>
      <c r="B707" s="5" t="s">
        <v>14274</v>
      </c>
      <c r="C707" s="27" t="s">
        <v>14234</v>
      </c>
      <c r="D707" s="28">
        <v>21.2858</v>
      </c>
    </row>
    <row r="708" ht="15.75" customHeight="1" spans="1:4">
      <c r="A708" s="27" t="s">
        <v>14269</v>
      </c>
      <c r="B708" s="5" t="s">
        <v>14270</v>
      </c>
      <c r="C708" s="27" t="s">
        <v>101</v>
      </c>
      <c r="D708" s="28">
        <v>9.3275</v>
      </c>
    </row>
    <row r="709" ht="15.75" customHeight="1" spans="1:4">
      <c r="A709" s="27" t="s">
        <v>14271</v>
      </c>
      <c r="B709" s="5" t="s">
        <v>14272</v>
      </c>
      <c r="C709" s="27" t="s">
        <v>101</v>
      </c>
      <c r="D709" s="28">
        <v>8.999</v>
      </c>
    </row>
    <row r="710" ht="15.75" customHeight="1" spans="1:4">
      <c r="A710" s="27" t="s">
        <v>14876</v>
      </c>
      <c r="B710" s="5" t="s">
        <v>16971</v>
      </c>
      <c r="C710" s="27" t="s">
        <v>101</v>
      </c>
      <c r="D710" s="28">
        <v>11.4965</v>
      </c>
    </row>
    <row r="711" ht="15.75" customHeight="1" spans="1:4">
      <c r="A711" s="27" t="s">
        <v>14877</v>
      </c>
      <c r="B711" s="5" t="s">
        <v>16972</v>
      </c>
      <c r="C711" s="27" t="s">
        <v>101</v>
      </c>
      <c r="D711" s="28">
        <v>28.6965</v>
      </c>
    </row>
    <row r="712" ht="15.75" customHeight="1" spans="1:4">
      <c r="A712" s="27" t="s">
        <v>14878</v>
      </c>
      <c r="B712" s="5" t="s">
        <v>16973</v>
      </c>
      <c r="C712" s="27" t="s">
        <v>101</v>
      </c>
      <c r="D712" s="28">
        <v>15.778</v>
      </c>
    </row>
    <row r="713" ht="15.75" customHeight="1" spans="1:4">
      <c r="A713" s="27" t="s">
        <v>14275</v>
      </c>
      <c r="B713" s="5" t="s">
        <v>14276</v>
      </c>
      <c r="C713" s="27" t="s">
        <v>14234</v>
      </c>
      <c r="D713" s="28">
        <v>21.2858</v>
      </c>
    </row>
    <row r="714" ht="15.75" customHeight="1" spans="1:4">
      <c r="A714" s="27" t="s">
        <v>14879</v>
      </c>
      <c r="B714" s="5" t="s">
        <v>16974</v>
      </c>
      <c r="C714" s="27" t="s">
        <v>101</v>
      </c>
      <c r="D714" s="28">
        <v>11.9229</v>
      </c>
    </row>
    <row r="715" ht="15.75" customHeight="1" spans="1:4">
      <c r="A715" s="27" t="s">
        <v>14880</v>
      </c>
      <c r="B715" s="5" t="s">
        <v>16975</v>
      </c>
      <c r="C715" s="27" t="s">
        <v>82</v>
      </c>
      <c r="D715" s="28">
        <v>1740.1482</v>
      </c>
    </row>
    <row r="716" ht="30" customHeight="1" spans="1:4">
      <c r="A716" s="27" t="s">
        <v>14881</v>
      </c>
      <c r="B716" s="5" t="s">
        <v>16976</v>
      </c>
      <c r="C716" s="27" t="s">
        <v>9</v>
      </c>
      <c r="D716" s="28">
        <v>212.8162</v>
      </c>
    </row>
    <row r="717" ht="30" customHeight="1" spans="1:4">
      <c r="A717" s="27" t="s">
        <v>14882</v>
      </c>
      <c r="B717" s="5" t="s">
        <v>16977</v>
      </c>
      <c r="C717" s="27" t="s">
        <v>9</v>
      </c>
      <c r="D717" s="28">
        <v>252.1379</v>
      </c>
    </row>
    <row r="718" ht="30" customHeight="1" spans="1:4">
      <c r="A718" s="27" t="s">
        <v>14883</v>
      </c>
      <c r="B718" s="5" t="s">
        <v>16978</v>
      </c>
      <c r="C718" s="27" t="s">
        <v>9</v>
      </c>
      <c r="D718" s="28">
        <v>317.9501</v>
      </c>
    </row>
    <row r="719" ht="15.75" customHeight="1" spans="1:4">
      <c r="A719" s="27" t="s">
        <v>14884</v>
      </c>
      <c r="B719" s="5" t="s">
        <v>16979</v>
      </c>
      <c r="C719" s="27" t="s">
        <v>7</v>
      </c>
      <c r="D719" s="28">
        <v>5.2409</v>
      </c>
    </row>
    <row r="720" ht="15.75" customHeight="1" spans="1:4">
      <c r="A720" s="27" t="s">
        <v>14885</v>
      </c>
      <c r="B720" s="5" t="s">
        <v>16980</v>
      </c>
      <c r="C720" s="27" t="s">
        <v>7</v>
      </c>
      <c r="D720" s="28">
        <v>6.9059</v>
      </c>
    </row>
    <row r="721" ht="30" customHeight="1" spans="1:4">
      <c r="A721" s="27" t="s">
        <v>14886</v>
      </c>
      <c r="B721" s="5" t="s">
        <v>16981</v>
      </c>
      <c r="C721" s="27" t="s">
        <v>9</v>
      </c>
      <c r="D721" s="28">
        <v>420.5462</v>
      </c>
    </row>
    <row r="722" ht="30" customHeight="1" spans="1:4">
      <c r="A722" s="27" t="s">
        <v>14887</v>
      </c>
      <c r="B722" s="5" t="s">
        <v>16982</v>
      </c>
      <c r="C722" s="27" t="s">
        <v>9</v>
      </c>
      <c r="D722" s="28">
        <v>497.284</v>
      </c>
    </row>
    <row r="723" ht="30" customHeight="1" spans="1:4">
      <c r="A723" s="27" t="s">
        <v>14888</v>
      </c>
      <c r="B723" s="5" t="s">
        <v>16983</v>
      </c>
      <c r="C723" s="27" t="s">
        <v>9</v>
      </c>
      <c r="D723" s="28">
        <v>149.3639</v>
      </c>
    </row>
    <row r="724" ht="30" customHeight="1" spans="1:4">
      <c r="A724" s="27" t="s">
        <v>14889</v>
      </c>
      <c r="B724" s="5" t="s">
        <v>16984</v>
      </c>
      <c r="C724" s="27" t="s">
        <v>9</v>
      </c>
      <c r="D724" s="28">
        <v>252.443</v>
      </c>
    </row>
    <row r="725" ht="30" customHeight="1" spans="1:4">
      <c r="A725" s="27" t="s">
        <v>14890</v>
      </c>
      <c r="B725" s="5" t="s">
        <v>16985</v>
      </c>
      <c r="C725" s="27" t="s">
        <v>9</v>
      </c>
      <c r="D725" s="28">
        <v>305.1327</v>
      </c>
    </row>
    <row r="726" ht="30" customHeight="1" spans="1:4">
      <c r="A726" s="27" t="s">
        <v>14891</v>
      </c>
      <c r="B726" s="5" t="s">
        <v>16986</v>
      </c>
      <c r="C726" s="27" t="s">
        <v>9</v>
      </c>
      <c r="D726" s="28">
        <v>363.3631</v>
      </c>
    </row>
    <row r="727" ht="30" customHeight="1" spans="1:4">
      <c r="A727" s="27" t="s">
        <v>14892</v>
      </c>
      <c r="B727" s="5" t="s">
        <v>16987</v>
      </c>
      <c r="C727" s="27" t="s">
        <v>9</v>
      </c>
      <c r="D727" s="28">
        <v>332.3895</v>
      </c>
    </row>
    <row r="728" ht="30" customHeight="1" spans="1:4">
      <c r="A728" s="27" t="s">
        <v>14893</v>
      </c>
      <c r="B728" s="5" t="s">
        <v>16988</v>
      </c>
      <c r="C728" s="27" t="s">
        <v>9</v>
      </c>
      <c r="D728" s="28">
        <v>504.602</v>
      </c>
    </row>
    <row r="729" ht="30" customHeight="1" spans="1:4">
      <c r="A729" s="27" t="s">
        <v>14894</v>
      </c>
      <c r="B729" s="5" t="s">
        <v>16989</v>
      </c>
      <c r="C729" s="27" t="s">
        <v>82</v>
      </c>
      <c r="D729" s="28">
        <v>292219.5586</v>
      </c>
    </row>
    <row r="730" ht="30" customHeight="1" spans="1:4">
      <c r="A730" s="27" t="s">
        <v>14895</v>
      </c>
      <c r="B730" s="5" t="s">
        <v>16990</v>
      </c>
      <c r="C730" s="27" t="s">
        <v>82</v>
      </c>
      <c r="D730" s="28">
        <v>295379.0086</v>
      </c>
    </row>
    <row r="731" ht="15.75" customHeight="1" spans="1:4">
      <c r="A731" s="27" t="s">
        <v>14896</v>
      </c>
      <c r="B731" s="5" t="s">
        <v>16991</v>
      </c>
      <c r="C731" s="27" t="s">
        <v>82</v>
      </c>
      <c r="D731" s="28">
        <v>703.1312</v>
      </c>
    </row>
    <row r="732" ht="30" customHeight="1" spans="1:4">
      <c r="A732" s="27" t="s">
        <v>14897</v>
      </c>
      <c r="B732" s="5" t="s">
        <v>16992</v>
      </c>
      <c r="C732" s="27" t="s">
        <v>9</v>
      </c>
      <c r="D732" s="28">
        <v>628.4418</v>
      </c>
    </row>
    <row r="733" ht="15.75" customHeight="1" spans="1:4">
      <c r="A733" s="27" t="s">
        <v>14898</v>
      </c>
      <c r="B733" s="5" t="s">
        <v>16993</v>
      </c>
      <c r="C733" s="27" t="s">
        <v>7</v>
      </c>
      <c r="D733" s="28">
        <v>322.5534</v>
      </c>
    </row>
    <row r="734" ht="15.75" customHeight="1" spans="1:4">
      <c r="A734" s="27" t="s">
        <v>14899</v>
      </c>
      <c r="B734" s="5" t="s">
        <v>16994</v>
      </c>
      <c r="C734" s="27" t="s">
        <v>82</v>
      </c>
      <c r="D734" s="28">
        <v>2217.9947</v>
      </c>
    </row>
    <row r="735" ht="15.75" customHeight="1" spans="1:4">
      <c r="A735" s="27" t="s">
        <v>14900</v>
      </c>
      <c r="B735" s="5" t="s">
        <v>16995</v>
      </c>
      <c r="C735" s="27" t="s">
        <v>82</v>
      </c>
      <c r="D735" s="28">
        <v>350.5176</v>
      </c>
    </row>
    <row r="736" ht="15.75" customHeight="1" spans="1:4">
      <c r="A736" s="27" t="s">
        <v>14901</v>
      </c>
      <c r="B736" s="5" t="s">
        <v>16996</v>
      </c>
      <c r="C736" s="27" t="s">
        <v>82</v>
      </c>
      <c r="D736" s="28">
        <v>1069.6883</v>
      </c>
    </row>
    <row r="737" ht="30" customHeight="1" spans="1:4">
      <c r="A737" s="27" t="s">
        <v>14902</v>
      </c>
      <c r="B737" s="5" t="s">
        <v>16997</v>
      </c>
      <c r="C737" s="27" t="s">
        <v>9</v>
      </c>
      <c r="D737" s="28">
        <v>764.5089</v>
      </c>
    </row>
    <row r="738" ht="15.75" customHeight="1" spans="1:4">
      <c r="A738" s="27" t="s">
        <v>14903</v>
      </c>
      <c r="B738" s="5" t="s">
        <v>16998</v>
      </c>
      <c r="C738" s="27" t="s">
        <v>82</v>
      </c>
      <c r="D738" s="28">
        <v>4554.3531</v>
      </c>
    </row>
    <row r="739" ht="15.75" customHeight="1" spans="1:4">
      <c r="A739" s="27" t="s">
        <v>14904</v>
      </c>
      <c r="B739" s="5" t="s">
        <v>16999</v>
      </c>
      <c r="C739" s="27" t="s">
        <v>82</v>
      </c>
      <c r="D739" s="28">
        <v>693.448</v>
      </c>
    </row>
    <row r="740" ht="15.75" customHeight="1" spans="1:4">
      <c r="A740" s="27" t="s">
        <v>14905</v>
      </c>
      <c r="B740" s="5" t="s">
        <v>17000</v>
      </c>
      <c r="C740" s="27" t="s">
        <v>82</v>
      </c>
      <c r="D740" s="28">
        <v>266.2652</v>
      </c>
    </row>
    <row r="741" ht="15.75" customHeight="1" spans="1:4">
      <c r="A741" s="27" t="s">
        <v>14906</v>
      </c>
      <c r="B741" s="5" t="s">
        <v>17001</v>
      </c>
      <c r="C741" s="27" t="s">
        <v>82</v>
      </c>
      <c r="D741" s="28">
        <v>1761.5666</v>
      </c>
    </row>
    <row r="742" ht="15.75" customHeight="1" spans="1:4">
      <c r="A742" s="27" t="s">
        <v>14907</v>
      </c>
      <c r="B742" s="5" t="s">
        <v>17002</v>
      </c>
      <c r="C742" s="27" t="s">
        <v>82</v>
      </c>
      <c r="D742" s="28">
        <v>5573.0777</v>
      </c>
    </row>
    <row r="743" ht="15.75" customHeight="1" spans="1:4">
      <c r="A743" s="27" t="s">
        <v>14908</v>
      </c>
      <c r="B743" s="5" t="s">
        <v>17003</v>
      </c>
      <c r="C743" s="27" t="s">
        <v>82</v>
      </c>
      <c r="D743" s="28">
        <v>5453.1116</v>
      </c>
    </row>
    <row r="744" ht="15.75" customHeight="1" spans="1:4">
      <c r="A744" s="27" t="s">
        <v>14909</v>
      </c>
      <c r="B744" s="5" t="s">
        <v>17004</v>
      </c>
      <c r="C744" s="27" t="s">
        <v>9</v>
      </c>
      <c r="D744" s="28">
        <v>0.0814</v>
      </c>
    </row>
    <row r="745" ht="15.75" customHeight="1" spans="1:4">
      <c r="A745" s="27" t="s">
        <v>17005</v>
      </c>
      <c r="B745" s="5" t="s">
        <v>17006</v>
      </c>
      <c r="C745" s="27" t="s">
        <v>82</v>
      </c>
      <c r="D745" s="28">
        <v>393.3988</v>
      </c>
    </row>
    <row r="746" ht="15.75" customHeight="1" spans="1:4">
      <c r="A746" s="27" t="s">
        <v>17007</v>
      </c>
      <c r="B746" s="5" t="s">
        <v>17008</v>
      </c>
      <c r="C746" s="27" t="s">
        <v>82</v>
      </c>
      <c r="D746" s="28">
        <v>236.3032</v>
      </c>
    </row>
    <row r="747" ht="15.75" customHeight="1" spans="1:4">
      <c r="A747" s="27" t="s">
        <v>17009</v>
      </c>
      <c r="B747" s="5" t="s">
        <v>17010</v>
      </c>
      <c r="C747" s="27" t="s">
        <v>82</v>
      </c>
      <c r="D747" s="28">
        <v>91.9568</v>
      </c>
    </row>
    <row r="748" ht="15.75" customHeight="1" spans="1:4">
      <c r="A748" s="27" t="s">
        <v>17011</v>
      </c>
      <c r="B748" s="5" t="s">
        <v>17012</v>
      </c>
      <c r="C748" s="27" t="s">
        <v>82</v>
      </c>
      <c r="D748" s="28">
        <v>113.5649</v>
      </c>
    </row>
    <row r="749" ht="15.75" customHeight="1" spans="1:4">
      <c r="A749" s="27" t="s">
        <v>17013</v>
      </c>
      <c r="B749" s="5" t="s">
        <v>17014</v>
      </c>
      <c r="C749" s="27" t="s">
        <v>82</v>
      </c>
      <c r="D749" s="28">
        <v>67.0291</v>
      </c>
    </row>
    <row r="750" ht="15.75" customHeight="1" spans="1:4">
      <c r="A750" s="27" t="s">
        <v>14910</v>
      </c>
      <c r="B750" s="5" t="s">
        <v>17015</v>
      </c>
      <c r="C750" s="27" t="s">
        <v>9885</v>
      </c>
      <c r="D750" s="28" t="s">
        <v>14799</v>
      </c>
    </row>
    <row r="751" ht="15.75" customHeight="1" spans="1:4">
      <c r="A751" s="27" t="s">
        <v>14911</v>
      </c>
      <c r="B751" s="5" t="s">
        <v>17016</v>
      </c>
      <c r="C751" s="27" t="s">
        <v>99</v>
      </c>
      <c r="D751" s="28" t="s">
        <v>14799</v>
      </c>
    </row>
    <row r="752" ht="15.75" customHeight="1" spans="1:4">
      <c r="A752" s="27" t="s">
        <v>17017</v>
      </c>
      <c r="B752" s="5" t="s">
        <v>17018</v>
      </c>
      <c r="C752" s="27" t="s">
        <v>82</v>
      </c>
      <c r="D752" s="28">
        <v>74.0056</v>
      </c>
    </row>
    <row r="753" ht="15.75" customHeight="1" spans="1:4">
      <c r="A753" s="27" t="s">
        <v>17019</v>
      </c>
      <c r="B753" s="5" t="s">
        <v>17020</v>
      </c>
      <c r="C753" s="27" t="s">
        <v>82</v>
      </c>
      <c r="D753" s="28">
        <v>88.8227</v>
      </c>
    </row>
    <row r="754" ht="15.75" customHeight="1" spans="1:4">
      <c r="A754" s="27" t="s">
        <v>17021</v>
      </c>
      <c r="B754" s="5" t="s">
        <v>17022</v>
      </c>
      <c r="C754" s="27" t="s">
        <v>82</v>
      </c>
      <c r="D754" s="28">
        <v>142.6755</v>
      </c>
    </row>
    <row r="755" ht="15.75" customHeight="1" spans="1:4">
      <c r="A755" s="27" t="s">
        <v>14912</v>
      </c>
      <c r="B755" s="5" t="s">
        <v>17023</v>
      </c>
      <c r="C755" s="27" t="s">
        <v>9885</v>
      </c>
      <c r="D755" s="28" t="s">
        <v>14799</v>
      </c>
    </row>
    <row r="756" ht="15.75" customHeight="1" spans="1:4">
      <c r="A756" s="27" t="s">
        <v>17024</v>
      </c>
      <c r="B756" s="5" t="s">
        <v>17025</v>
      </c>
      <c r="C756" s="27" t="s">
        <v>82</v>
      </c>
      <c r="D756" s="28">
        <v>96.8241</v>
      </c>
    </row>
    <row r="757" ht="15.75" customHeight="1" spans="1:4">
      <c r="A757" s="27" t="s">
        <v>17026</v>
      </c>
      <c r="B757" s="5" t="s">
        <v>17027</v>
      </c>
      <c r="C757" s="27" t="s">
        <v>82</v>
      </c>
      <c r="D757" s="28">
        <v>48.4787</v>
      </c>
    </row>
    <row r="758" ht="15.75" customHeight="1" spans="1:4">
      <c r="A758" s="27" t="s">
        <v>14913</v>
      </c>
      <c r="B758" s="5" t="s">
        <v>17028</v>
      </c>
      <c r="C758" s="27" t="s">
        <v>101</v>
      </c>
      <c r="D758" s="28">
        <v>10.8872</v>
      </c>
    </row>
    <row r="759" ht="15.75" customHeight="1" spans="1:4">
      <c r="A759" s="27" t="s">
        <v>14914</v>
      </c>
      <c r="B759" s="5" t="s">
        <v>17029</v>
      </c>
      <c r="C759" s="27" t="s">
        <v>82</v>
      </c>
      <c r="D759" s="28">
        <v>21166.7835</v>
      </c>
    </row>
    <row r="760" ht="15.75" customHeight="1" spans="1:4">
      <c r="A760" s="27" t="s">
        <v>14915</v>
      </c>
      <c r="B760" s="5" t="s">
        <v>17030</v>
      </c>
      <c r="C760" s="27" t="s">
        <v>82</v>
      </c>
      <c r="D760" s="28">
        <v>27736.9718</v>
      </c>
    </row>
    <row r="761" ht="15.75" customHeight="1" spans="1:4">
      <c r="A761" s="27" t="s">
        <v>14916</v>
      </c>
      <c r="B761" s="5" t="s">
        <v>17031</v>
      </c>
      <c r="C761" s="27" t="s">
        <v>82</v>
      </c>
      <c r="D761" s="28">
        <v>20930.7392</v>
      </c>
    </row>
    <row r="762" ht="15.75" customHeight="1" spans="1:4">
      <c r="A762" s="27" t="s">
        <v>14917</v>
      </c>
      <c r="B762" s="5" t="s">
        <v>17032</v>
      </c>
      <c r="C762" s="27" t="s">
        <v>82</v>
      </c>
      <c r="D762" s="28">
        <v>20526.4248</v>
      </c>
    </row>
    <row r="763" ht="15.75" customHeight="1" spans="1:4">
      <c r="A763" s="27" t="s">
        <v>14918</v>
      </c>
      <c r="B763" s="5" t="s">
        <v>17033</v>
      </c>
      <c r="C763" s="27" t="s">
        <v>82</v>
      </c>
      <c r="D763" s="28">
        <v>2468.2176</v>
      </c>
    </row>
    <row r="764" ht="15.75" customHeight="1" spans="1:4">
      <c r="A764" s="27" t="s">
        <v>14919</v>
      </c>
      <c r="B764" s="5" t="s">
        <v>17034</v>
      </c>
      <c r="C764" s="27" t="s">
        <v>82</v>
      </c>
      <c r="D764" s="28">
        <v>1834.2532</v>
      </c>
    </row>
    <row r="765" ht="15.75" customHeight="1" spans="1:4">
      <c r="A765" s="27" t="s">
        <v>14920</v>
      </c>
      <c r="B765" s="5" t="s">
        <v>17035</v>
      </c>
      <c r="C765" s="27" t="s">
        <v>9</v>
      </c>
      <c r="D765" s="28">
        <v>39.4294</v>
      </c>
    </row>
    <row r="766" ht="15.75" customHeight="1" spans="1:4">
      <c r="A766" s="27" t="s">
        <v>14921</v>
      </c>
      <c r="B766" s="5" t="s">
        <v>17036</v>
      </c>
      <c r="C766" s="27" t="s">
        <v>9</v>
      </c>
      <c r="D766" s="28">
        <v>514.1013</v>
      </c>
    </row>
    <row r="767" ht="15.75" customHeight="1" spans="1:4">
      <c r="A767" s="27" t="s">
        <v>14922</v>
      </c>
      <c r="B767" s="5" t="s">
        <v>17037</v>
      </c>
      <c r="C767" s="27" t="s">
        <v>82</v>
      </c>
      <c r="D767" s="28">
        <v>91.2716</v>
      </c>
    </row>
    <row r="768" ht="15.75" customHeight="1" spans="1:4">
      <c r="A768" s="27" t="s">
        <v>14281</v>
      </c>
      <c r="B768" s="5" t="s">
        <v>14282</v>
      </c>
      <c r="C768" s="27" t="s">
        <v>14234</v>
      </c>
      <c r="D768" s="28">
        <v>29.5962</v>
      </c>
    </row>
    <row r="769" ht="15.75" customHeight="1" spans="1:4">
      <c r="A769" s="27" t="s">
        <v>14923</v>
      </c>
      <c r="B769" s="5" t="s">
        <v>17038</v>
      </c>
      <c r="C769" s="27" t="s">
        <v>101</v>
      </c>
      <c r="D769" s="28">
        <v>32.2085</v>
      </c>
    </row>
    <row r="770" ht="15.75" customHeight="1" spans="1:4">
      <c r="A770" s="27" t="s">
        <v>17039</v>
      </c>
      <c r="B770" s="5" t="s">
        <v>17040</v>
      </c>
      <c r="C770" s="27" t="s">
        <v>101</v>
      </c>
      <c r="D770" s="28">
        <v>76.6654</v>
      </c>
    </row>
    <row r="771" ht="15.75" customHeight="1" spans="1:4">
      <c r="A771" s="27" t="s">
        <v>14924</v>
      </c>
      <c r="B771" s="5" t="s">
        <v>17041</v>
      </c>
      <c r="C771" s="27" t="s">
        <v>82</v>
      </c>
      <c r="D771" s="28">
        <v>24.852</v>
      </c>
    </row>
    <row r="772" ht="15.75" customHeight="1" spans="1:4">
      <c r="A772" s="27" t="s">
        <v>14925</v>
      </c>
      <c r="B772" s="5" t="s">
        <v>17042</v>
      </c>
      <c r="C772" s="27" t="s">
        <v>9</v>
      </c>
      <c r="D772" s="28">
        <v>12.9166</v>
      </c>
    </row>
    <row r="773" ht="15.75" customHeight="1" spans="1:4">
      <c r="A773" s="27" t="s">
        <v>14926</v>
      </c>
      <c r="B773" s="5" t="s">
        <v>17043</v>
      </c>
      <c r="C773" s="27" t="s">
        <v>82</v>
      </c>
      <c r="D773" s="28">
        <v>21.0244</v>
      </c>
    </row>
    <row r="774" ht="15.75" customHeight="1" spans="1:4">
      <c r="A774" s="27" t="s">
        <v>14927</v>
      </c>
      <c r="B774" s="5" t="s">
        <v>17044</v>
      </c>
      <c r="C774" s="27" t="s">
        <v>82</v>
      </c>
      <c r="D774" s="28">
        <v>767.8931</v>
      </c>
    </row>
    <row r="775" ht="15.75" customHeight="1" spans="1:4">
      <c r="A775" s="27" t="s">
        <v>14928</v>
      </c>
      <c r="B775" s="5" t="s">
        <v>17045</v>
      </c>
      <c r="C775" s="27" t="s">
        <v>82</v>
      </c>
      <c r="D775" s="28">
        <v>16.11</v>
      </c>
    </row>
    <row r="776" ht="15.75" customHeight="1" spans="1:4">
      <c r="A776" s="27" t="s">
        <v>14929</v>
      </c>
      <c r="B776" s="5" t="s">
        <v>17046</v>
      </c>
      <c r="C776" s="27" t="s">
        <v>82</v>
      </c>
      <c r="D776" s="28">
        <v>19.7511</v>
      </c>
    </row>
    <row r="777" ht="15.75" customHeight="1" spans="1:4">
      <c r="A777" s="27" t="s">
        <v>14930</v>
      </c>
      <c r="B777" s="5" t="s">
        <v>17047</v>
      </c>
      <c r="C777" s="27" t="s">
        <v>82</v>
      </c>
      <c r="D777" s="28">
        <v>19.0927</v>
      </c>
    </row>
    <row r="778" ht="15.75" customHeight="1" spans="1:4">
      <c r="A778" s="27" t="s">
        <v>14931</v>
      </c>
      <c r="B778" s="5" t="s">
        <v>17048</v>
      </c>
      <c r="C778" s="27" t="s">
        <v>82</v>
      </c>
      <c r="D778" s="28">
        <v>15.71</v>
      </c>
    </row>
    <row r="779" ht="15.75" customHeight="1" spans="1:4">
      <c r="A779" s="27" t="s">
        <v>14932</v>
      </c>
      <c r="B779" s="5" t="s">
        <v>17049</v>
      </c>
      <c r="C779" s="27" t="s">
        <v>82</v>
      </c>
      <c r="D779" s="28">
        <v>1160.4598</v>
      </c>
    </row>
    <row r="780" ht="15.75" customHeight="1" spans="1:4">
      <c r="A780" s="27" t="s">
        <v>14933</v>
      </c>
      <c r="B780" s="5" t="s">
        <v>17050</v>
      </c>
      <c r="C780" s="27" t="s">
        <v>82</v>
      </c>
      <c r="D780" s="28">
        <v>221.0167</v>
      </c>
    </row>
    <row r="781" ht="15.75" customHeight="1" spans="1:4">
      <c r="A781" s="27" t="s">
        <v>14934</v>
      </c>
      <c r="B781" s="5" t="s">
        <v>17051</v>
      </c>
      <c r="C781" s="27" t="s">
        <v>82</v>
      </c>
      <c r="D781" s="28">
        <v>54.0139</v>
      </c>
    </row>
    <row r="782" ht="15.75" customHeight="1" spans="1:4">
      <c r="A782" s="27" t="s">
        <v>14935</v>
      </c>
      <c r="B782" s="5" t="s">
        <v>17052</v>
      </c>
      <c r="C782" s="27" t="s">
        <v>82</v>
      </c>
      <c r="D782" s="28">
        <v>535.5913</v>
      </c>
    </row>
    <row r="783" ht="15.75" customHeight="1" spans="1:4">
      <c r="A783" s="27" t="s">
        <v>14936</v>
      </c>
      <c r="B783" s="5" t="s">
        <v>17053</v>
      </c>
      <c r="C783" s="27" t="s">
        <v>101</v>
      </c>
      <c r="D783" s="28">
        <v>46.0467</v>
      </c>
    </row>
    <row r="784" ht="15.75" customHeight="1" spans="1:4">
      <c r="A784" s="27" t="s">
        <v>14937</v>
      </c>
      <c r="B784" s="5" t="s">
        <v>17054</v>
      </c>
      <c r="C784" s="27" t="s">
        <v>101</v>
      </c>
      <c r="D784" s="28">
        <v>10.9498</v>
      </c>
    </row>
    <row r="785" ht="15.75" customHeight="1" spans="1:4">
      <c r="A785" s="27" t="s">
        <v>14938</v>
      </c>
      <c r="B785" s="5" t="s">
        <v>17055</v>
      </c>
      <c r="C785" s="27" t="s">
        <v>82</v>
      </c>
      <c r="D785" s="28">
        <v>1939.2894</v>
      </c>
    </row>
    <row r="786" ht="15.75" customHeight="1" spans="1:4">
      <c r="A786" s="27" t="s">
        <v>14939</v>
      </c>
      <c r="B786" s="5" t="s">
        <v>17056</v>
      </c>
      <c r="C786" s="27" t="s">
        <v>82</v>
      </c>
      <c r="D786" s="28">
        <v>1331.7545</v>
      </c>
    </row>
    <row r="787" ht="15.75" customHeight="1" spans="1:4">
      <c r="A787" s="27" t="s">
        <v>14940</v>
      </c>
      <c r="B787" s="5" t="s">
        <v>17057</v>
      </c>
      <c r="C787" s="27" t="s">
        <v>101</v>
      </c>
      <c r="D787" s="28">
        <v>27.6739</v>
      </c>
    </row>
    <row r="788" ht="15.75" customHeight="1" spans="1:4">
      <c r="A788" s="27" t="s">
        <v>14941</v>
      </c>
      <c r="B788" s="5" t="s">
        <v>17058</v>
      </c>
      <c r="C788" s="27" t="s">
        <v>9</v>
      </c>
      <c r="D788" s="28">
        <v>21.1663</v>
      </c>
    </row>
    <row r="789" ht="15.75" customHeight="1" spans="1:4">
      <c r="A789" s="27" t="s">
        <v>14942</v>
      </c>
      <c r="B789" s="5" t="s">
        <v>17059</v>
      </c>
      <c r="C789" s="27" t="s">
        <v>82</v>
      </c>
      <c r="D789" s="28">
        <v>396.0319</v>
      </c>
    </row>
    <row r="790" ht="15.75" customHeight="1" spans="1:4">
      <c r="A790" s="27" t="s">
        <v>14943</v>
      </c>
      <c r="B790" s="5" t="s">
        <v>17060</v>
      </c>
      <c r="C790" s="27" t="s">
        <v>9</v>
      </c>
      <c r="D790" s="28">
        <v>111.7231</v>
      </c>
    </row>
    <row r="791" ht="15.75" customHeight="1" spans="1:4">
      <c r="A791" s="27" t="s">
        <v>14944</v>
      </c>
      <c r="B791" s="5" t="s">
        <v>17061</v>
      </c>
      <c r="C791" s="27" t="s">
        <v>9</v>
      </c>
      <c r="D791" s="28">
        <v>116.6148</v>
      </c>
    </row>
    <row r="792" ht="15.75" customHeight="1" spans="1:4">
      <c r="A792" s="27" t="s">
        <v>14945</v>
      </c>
      <c r="B792" s="5" t="s">
        <v>17062</v>
      </c>
      <c r="C792" s="27" t="s">
        <v>9</v>
      </c>
      <c r="D792" s="28">
        <v>129.3469</v>
      </c>
    </row>
    <row r="793" ht="15.75" customHeight="1" spans="1:4">
      <c r="A793" s="27" t="s">
        <v>14946</v>
      </c>
      <c r="B793" s="5" t="s">
        <v>17063</v>
      </c>
      <c r="C793" s="27" t="s">
        <v>9</v>
      </c>
      <c r="D793" s="28">
        <v>170.4198</v>
      </c>
    </row>
    <row r="794" ht="15.75" customHeight="1" spans="1:4">
      <c r="A794" s="27" t="s">
        <v>14947</v>
      </c>
      <c r="B794" s="5" t="s">
        <v>17064</v>
      </c>
      <c r="C794" s="27" t="s">
        <v>9</v>
      </c>
      <c r="D794" s="28">
        <v>178.2</v>
      </c>
    </row>
    <row r="795" ht="15.75" customHeight="1" spans="1:4">
      <c r="A795" s="27" t="s">
        <v>14948</v>
      </c>
      <c r="B795" s="5" t="s">
        <v>17065</v>
      </c>
      <c r="C795" s="27" t="s">
        <v>9</v>
      </c>
      <c r="D795" s="28">
        <v>212.049</v>
      </c>
    </row>
    <row r="796" ht="15.75" customHeight="1" spans="1:4">
      <c r="A796" s="27" t="s">
        <v>14949</v>
      </c>
      <c r="B796" s="5" t="s">
        <v>17066</v>
      </c>
      <c r="C796" s="27" t="s">
        <v>9</v>
      </c>
      <c r="D796" s="28">
        <v>246.5111</v>
      </c>
    </row>
    <row r="797" ht="15.75" customHeight="1" spans="1:4">
      <c r="A797" s="27" t="s">
        <v>14950</v>
      </c>
      <c r="B797" s="5" t="s">
        <v>17067</v>
      </c>
      <c r="C797" s="27" t="s">
        <v>9</v>
      </c>
      <c r="D797" s="28">
        <v>257.8634</v>
      </c>
    </row>
    <row r="798" ht="15.75" customHeight="1" spans="1:4">
      <c r="A798" s="27" t="s">
        <v>14951</v>
      </c>
      <c r="B798" s="5" t="s">
        <v>17068</v>
      </c>
      <c r="C798" s="27" t="s">
        <v>9</v>
      </c>
      <c r="D798" s="28">
        <v>291.0993</v>
      </c>
    </row>
    <row r="799" ht="15.75" customHeight="1" spans="1:4">
      <c r="A799" s="27" t="s">
        <v>14952</v>
      </c>
      <c r="B799" s="5" t="s">
        <v>17069</v>
      </c>
      <c r="C799" s="27" t="s">
        <v>9</v>
      </c>
      <c r="D799" s="28">
        <v>304.7422</v>
      </c>
    </row>
    <row r="800" ht="15.75" customHeight="1" spans="1:4">
      <c r="A800" s="27" t="s">
        <v>14953</v>
      </c>
      <c r="B800" s="5" t="s">
        <v>17070</v>
      </c>
      <c r="C800" s="27" t="s">
        <v>9</v>
      </c>
      <c r="D800" s="28">
        <v>337.824</v>
      </c>
    </row>
    <row r="801" ht="15.75" customHeight="1" spans="1:4">
      <c r="A801" s="27" t="s">
        <v>14954</v>
      </c>
      <c r="B801" s="5" t="s">
        <v>17071</v>
      </c>
      <c r="C801" s="27" t="s">
        <v>9</v>
      </c>
      <c r="D801" s="28">
        <v>392.717</v>
      </c>
    </row>
    <row r="802" ht="15.75" customHeight="1" spans="1:4">
      <c r="A802" s="27" t="s">
        <v>14955</v>
      </c>
      <c r="B802" s="5" t="s">
        <v>17072</v>
      </c>
      <c r="C802" s="27" t="s">
        <v>9</v>
      </c>
      <c r="D802" s="28">
        <v>370.2016</v>
      </c>
    </row>
    <row r="803" ht="15.75" customHeight="1" spans="1:4">
      <c r="A803" s="27" t="s">
        <v>14956</v>
      </c>
      <c r="B803" s="5" t="s">
        <v>17073</v>
      </c>
      <c r="C803" s="27" t="s">
        <v>9</v>
      </c>
      <c r="D803" s="28">
        <v>419.86</v>
      </c>
    </row>
    <row r="804" ht="15.75" customHeight="1" spans="1:4">
      <c r="A804" s="27" t="s">
        <v>14957</v>
      </c>
      <c r="B804" s="5" t="s">
        <v>17074</v>
      </c>
      <c r="C804" s="27" t="s">
        <v>9</v>
      </c>
      <c r="D804" s="28">
        <v>473.6327</v>
      </c>
    </row>
    <row r="805" ht="15.75" customHeight="1" spans="1:4">
      <c r="A805" s="27" t="s">
        <v>14958</v>
      </c>
      <c r="B805" s="5" t="s">
        <v>17075</v>
      </c>
      <c r="C805" s="27" t="s">
        <v>9</v>
      </c>
      <c r="D805" s="28">
        <v>500.0361</v>
      </c>
    </row>
    <row r="806" ht="15.75" customHeight="1" spans="1:4">
      <c r="A806" s="27" t="s">
        <v>14959</v>
      </c>
      <c r="B806" s="5" t="s">
        <v>17076</v>
      </c>
      <c r="C806" s="27" t="s">
        <v>9</v>
      </c>
      <c r="D806" s="28">
        <v>522.3731</v>
      </c>
    </row>
    <row r="807" ht="15.75" customHeight="1" spans="1:4">
      <c r="A807" s="27" t="s">
        <v>14960</v>
      </c>
      <c r="B807" s="5" t="s">
        <v>17077</v>
      </c>
      <c r="C807" s="27" t="s">
        <v>9</v>
      </c>
      <c r="D807" s="28">
        <v>563.5327</v>
      </c>
    </row>
    <row r="808" ht="15.75" customHeight="1" spans="1:4">
      <c r="A808" s="27" t="s">
        <v>14961</v>
      </c>
      <c r="B808" s="5" t="s">
        <v>17078</v>
      </c>
      <c r="C808" s="27" t="s">
        <v>9</v>
      </c>
      <c r="D808" s="28">
        <v>693.4986</v>
      </c>
    </row>
    <row r="809" ht="15.75" customHeight="1" spans="1:4">
      <c r="A809" s="27" t="s">
        <v>14962</v>
      </c>
      <c r="B809" s="5" t="s">
        <v>17079</v>
      </c>
      <c r="C809" s="27" t="s">
        <v>9</v>
      </c>
      <c r="D809" s="28">
        <v>822.9793</v>
      </c>
    </row>
    <row r="810" ht="15.75" customHeight="1" spans="1:4">
      <c r="A810" s="27" t="s">
        <v>14963</v>
      </c>
      <c r="B810" s="5" t="s">
        <v>17080</v>
      </c>
      <c r="C810" s="27" t="s">
        <v>9</v>
      </c>
      <c r="D810" s="28">
        <v>937.9818</v>
      </c>
    </row>
    <row r="811" ht="15.75" customHeight="1" spans="1:4">
      <c r="A811" s="27" t="s">
        <v>14964</v>
      </c>
      <c r="B811" s="5" t="s">
        <v>17081</v>
      </c>
      <c r="C811" s="27" t="s">
        <v>9</v>
      </c>
      <c r="D811" s="28">
        <v>959.487</v>
      </c>
    </row>
    <row r="812" ht="15.75" customHeight="1" spans="1:4">
      <c r="A812" s="27" t="s">
        <v>14965</v>
      </c>
      <c r="B812" s="5" t="s">
        <v>17082</v>
      </c>
      <c r="C812" s="27" t="s">
        <v>9</v>
      </c>
      <c r="D812" s="28">
        <v>1030.3559</v>
      </c>
    </row>
    <row r="813" ht="15.75" customHeight="1" spans="1:4">
      <c r="A813" s="27" t="s">
        <v>14966</v>
      </c>
      <c r="B813" s="5" t="s">
        <v>17083</v>
      </c>
      <c r="C813" s="27" t="s">
        <v>9</v>
      </c>
      <c r="D813" s="28">
        <v>1127.9943</v>
      </c>
    </row>
    <row r="814" ht="15.75" customHeight="1" spans="1:4">
      <c r="A814" s="27" t="s">
        <v>14967</v>
      </c>
      <c r="B814" s="5" t="s">
        <v>17084</v>
      </c>
      <c r="C814" s="27" t="s">
        <v>9</v>
      </c>
      <c r="D814" s="28">
        <v>143.2585</v>
      </c>
    </row>
    <row r="815" ht="15.75" customHeight="1" spans="1:4">
      <c r="A815" s="27" t="s">
        <v>14968</v>
      </c>
      <c r="B815" s="5" t="s">
        <v>17085</v>
      </c>
      <c r="C815" s="27" t="s">
        <v>9</v>
      </c>
      <c r="D815" s="28">
        <v>182.1947</v>
      </c>
    </row>
    <row r="816" ht="15.75" customHeight="1" spans="1:4">
      <c r="A816" s="27" t="s">
        <v>14969</v>
      </c>
      <c r="B816" s="5" t="s">
        <v>17086</v>
      </c>
      <c r="C816" s="27" t="s">
        <v>9</v>
      </c>
      <c r="D816" s="28">
        <v>202.7222</v>
      </c>
    </row>
    <row r="817" ht="15.75" customHeight="1" spans="1:4">
      <c r="A817" s="27" t="s">
        <v>14970</v>
      </c>
      <c r="B817" s="5" t="s">
        <v>17087</v>
      </c>
      <c r="C817" s="27" t="s">
        <v>9</v>
      </c>
      <c r="D817" s="28">
        <v>227.1289</v>
      </c>
    </row>
    <row r="818" ht="15.75" customHeight="1" spans="1:4">
      <c r="A818" s="27" t="s">
        <v>14971</v>
      </c>
      <c r="B818" s="5" t="s">
        <v>17088</v>
      </c>
      <c r="C818" s="27" t="s">
        <v>82</v>
      </c>
      <c r="D818" s="28">
        <v>697.3376</v>
      </c>
    </row>
    <row r="819" ht="15.75" customHeight="1" spans="1:4">
      <c r="A819" s="27" t="s">
        <v>14972</v>
      </c>
      <c r="B819" s="5" t="s">
        <v>17089</v>
      </c>
      <c r="C819" s="27" t="s">
        <v>82</v>
      </c>
      <c r="D819" s="28">
        <v>571.8696</v>
      </c>
    </row>
    <row r="820" ht="15.75" customHeight="1" spans="1:4">
      <c r="A820" s="27" t="s">
        <v>14973</v>
      </c>
      <c r="B820" s="5" t="s">
        <v>17090</v>
      </c>
      <c r="C820" s="27" t="s">
        <v>9</v>
      </c>
      <c r="D820" s="28">
        <v>730.9586</v>
      </c>
    </row>
    <row r="821" ht="15.75" customHeight="1" spans="1:4">
      <c r="A821" s="27" t="s">
        <v>14974</v>
      </c>
      <c r="B821" s="5" t="s">
        <v>17091</v>
      </c>
      <c r="C821" s="27" t="s">
        <v>9885</v>
      </c>
      <c r="D821" s="28">
        <v>10320.264</v>
      </c>
    </row>
    <row r="822" ht="15.75" customHeight="1" spans="1:4">
      <c r="A822" s="27" t="s">
        <v>14975</v>
      </c>
      <c r="B822" s="5" t="s">
        <v>17092</v>
      </c>
      <c r="C822" s="27" t="s">
        <v>9885</v>
      </c>
      <c r="D822" s="28">
        <v>8815.764</v>
      </c>
    </row>
    <row r="823" ht="15.75" customHeight="1" spans="1:4">
      <c r="A823" s="27" t="s">
        <v>14976</v>
      </c>
      <c r="B823" s="5" t="s">
        <v>17093</v>
      </c>
      <c r="C823" s="27" t="s">
        <v>9885</v>
      </c>
      <c r="D823" s="28">
        <v>9818.764</v>
      </c>
    </row>
    <row r="824" ht="15.75" customHeight="1" spans="1:4">
      <c r="A824" s="27" t="s">
        <v>14977</v>
      </c>
      <c r="B824" s="5" t="s">
        <v>17094</v>
      </c>
      <c r="C824" s="27" t="s">
        <v>9885</v>
      </c>
      <c r="D824" s="28">
        <v>10320.264</v>
      </c>
    </row>
    <row r="825" ht="15.75" customHeight="1" spans="1:4">
      <c r="A825" s="27" t="s">
        <v>14978</v>
      </c>
      <c r="B825" s="5" t="s">
        <v>9148</v>
      </c>
      <c r="C825" s="27" t="s">
        <v>82</v>
      </c>
      <c r="D825" s="28">
        <v>91709.2564</v>
      </c>
    </row>
    <row r="826" ht="15.75" customHeight="1" spans="1:4">
      <c r="A826" s="27" t="s">
        <v>14979</v>
      </c>
      <c r="B826" s="5" t="s">
        <v>17095</v>
      </c>
      <c r="C826" s="27" t="s">
        <v>82</v>
      </c>
      <c r="D826" s="28">
        <v>12.0793</v>
      </c>
    </row>
    <row r="827" ht="15.75" customHeight="1" spans="1:4">
      <c r="A827" s="27" t="s">
        <v>14980</v>
      </c>
      <c r="B827" s="5" t="s">
        <v>17096</v>
      </c>
      <c r="C827" s="27" t="s">
        <v>82</v>
      </c>
      <c r="D827" s="28">
        <v>10.6824</v>
      </c>
    </row>
    <row r="828" ht="15.75" customHeight="1" spans="1:4">
      <c r="A828" s="27" t="s">
        <v>14981</v>
      </c>
      <c r="B828" s="5" t="s">
        <v>17097</v>
      </c>
      <c r="C828" s="27" t="s">
        <v>82</v>
      </c>
      <c r="D828" s="28">
        <v>55.0087</v>
      </c>
    </row>
    <row r="829" ht="15.75" customHeight="1" spans="1:4">
      <c r="A829" s="27" t="s">
        <v>14982</v>
      </c>
      <c r="B829" s="5" t="s">
        <v>17098</v>
      </c>
      <c r="C829" s="27" t="s">
        <v>82</v>
      </c>
      <c r="D829" s="28">
        <v>56.8184</v>
      </c>
    </row>
    <row r="830" ht="15.75" customHeight="1" spans="1:4">
      <c r="A830" s="27" t="s">
        <v>14983</v>
      </c>
      <c r="B830" s="5" t="s">
        <v>17099</v>
      </c>
      <c r="C830" s="27" t="s">
        <v>82</v>
      </c>
      <c r="D830" s="28">
        <v>60.0038</v>
      </c>
    </row>
    <row r="831" ht="15.75" customHeight="1" spans="1:4">
      <c r="A831" s="27" t="s">
        <v>14984</v>
      </c>
      <c r="B831" s="5" t="s">
        <v>17100</v>
      </c>
      <c r="C831" s="27" t="s">
        <v>82</v>
      </c>
      <c r="D831" s="28">
        <v>112.8768</v>
      </c>
    </row>
    <row r="832" ht="15.75" customHeight="1" spans="1:4">
      <c r="A832" s="27" t="s">
        <v>14985</v>
      </c>
      <c r="B832" s="5" t="s">
        <v>17101</v>
      </c>
      <c r="C832" s="27" t="s">
        <v>82</v>
      </c>
      <c r="D832" s="28">
        <v>12.8313</v>
      </c>
    </row>
    <row r="833" ht="15.75" customHeight="1" spans="1:4">
      <c r="A833" s="27" t="s">
        <v>14986</v>
      </c>
      <c r="B833" s="5" t="s">
        <v>17102</v>
      </c>
      <c r="C833" s="27" t="s">
        <v>82</v>
      </c>
      <c r="D833" s="28">
        <v>102.2899</v>
      </c>
    </row>
    <row r="834" ht="15.75" customHeight="1" spans="1:4">
      <c r="A834" s="27" t="s">
        <v>14987</v>
      </c>
      <c r="B834" s="5" t="s">
        <v>17103</v>
      </c>
      <c r="C834" s="27" t="s">
        <v>82</v>
      </c>
      <c r="D834" s="28">
        <v>116.8686</v>
      </c>
    </row>
    <row r="835" ht="15.75" customHeight="1" spans="1:4">
      <c r="A835" s="27" t="s">
        <v>14988</v>
      </c>
      <c r="B835" s="5" t="s">
        <v>17104</v>
      </c>
      <c r="C835" s="27" t="s">
        <v>82</v>
      </c>
      <c r="D835" s="28">
        <v>126.8491</v>
      </c>
    </row>
    <row r="836" ht="15.75" customHeight="1" spans="1:4">
      <c r="A836" s="27" t="s">
        <v>14989</v>
      </c>
      <c r="B836" s="5" t="s">
        <v>17105</v>
      </c>
      <c r="C836" s="27" t="s">
        <v>82</v>
      </c>
      <c r="D836" s="28">
        <v>64.7388</v>
      </c>
    </row>
    <row r="837" ht="15.75" customHeight="1" spans="1:4">
      <c r="A837" s="27" t="s">
        <v>14990</v>
      </c>
      <c r="B837" s="5" t="s">
        <v>17106</v>
      </c>
      <c r="C837" s="27" t="s">
        <v>82</v>
      </c>
      <c r="D837" s="28">
        <v>92.5747</v>
      </c>
    </row>
    <row r="838" ht="15.75" customHeight="1" spans="1:4">
      <c r="A838" s="27" t="s">
        <v>14991</v>
      </c>
      <c r="B838" s="5" t="s">
        <v>17107</v>
      </c>
      <c r="C838" s="27" t="s">
        <v>82</v>
      </c>
      <c r="D838" s="28">
        <v>118.3837</v>
      </c>
    </row>
    <row r="839" ht="15.75" customHeight="1" spans="1:4">
      <c r="A839" s="27" t="s">
        <v>14992</v>
      </c>
      <c r="B839" s="5" t="s">
        <v>17108</v>
      </c>
      <c r="C839" s="27" t="s">
        <v>82</v>
      </c>
      <c r="D839" s="28">
        <v>62.4525</v>
      </c>
    </row>
    <row r="840" ht="15.75" customHeight="1" spans="1:4">
      <c r="A840" s="27" t="s">
        <v>14993</v>
      </c>
      <c r="B840" s="5" t="s">
        <v>17109</v>
      </c>
      <c r="C840" s="27" t="s">
        <v>82</v>
      </c>
      <c r="D840" s="28">
        <v>119.9686</v>
      </c>
    </row>
    <row r="841" ht="15.75" customHeight="1" spans="1:4">
      <c r="A841" s="27" t="s">
        <v>14994</v>
      </c>
      <c r="B841" s="5" t="s">
        <v>17110</v>
      </c>
      <c r="C841" s="27" t="s">
        <v>17111</v>
      </c>
      <c r="D841" s="28">
        <v>747.5804</v>
      </c>
    </row>
    <row r="842" ht="15.75" customHeight="1" spans="1:4">
      <c r="A842" s="27" t="s">
        <v>14995</v>
      </c>
      <c r="B842" s="5" t="s">
        <v>17112</v>
      </c>
      <c r="C842" s="27" t="s">
        <v>17111</v>
      </c>
      <c r="D842" s="28">
        <v>882.0767</v>
      </c>
    </row>
    <row r="843" ht="15.75" customHeight="1" spans="1:4">
      <c r="A843" s="27" t="s">
        <v>14996</v>
      </c>
      <c r="B843" s="5" t="s">
        <v>17113</v>
      </c>
      <c r="C843" s="27" t="s">
        <v>17111</v>
      </c>
      <c r="D843" s="28">
        <v>1034.7747</v>
      </c>
    </row>
    <row r="844" ht="30" customHeight="1" spans="1:4">
      <c r="A844" s="27" t="s">
        <v>14997</v>
      </c>
      <c r="B844" s="5" t="s">
        <v>17114</v>
      </c>
      <c r="C844" s="27" t="s">
        <v>82</v>
      </c>
      <c r="D844" s="28">
        <v>50.6214</v>
      </c>
    </row>
    <row r="845" ht="15.75" customHeight="1" spans="1:4">
      <c r="A845" s="27" t="s">
        <v>14998</v>
      </c>
      <c r="B845" s="5" t="s">
        <v>17115</v>
      </c>
      <c r="C845" s="27" t="s">
        <v>17111</v>
      </c>
      <c r="D845" s="28">
        <v>937.9209</v>
      </c>
    </row>
    <row r="846" ht="15.75" customHeight="1" spans="1:4">
      <c r="A846" s="27" t="s">
        <v>14999</v>
      </c>
      <c r="B846" s="5" t="s">
        <v>17116</v>
      </c>
      <c r="C846" s="27" t="s">
        <v>82</v>
      </c>
      <c r="D846" s="28">
        <v>439608.9118</v>
      </c>
    </row>
    <row r="847" ht="15.75" customHeight="1" spans="1:4">
      <c r="A847" s="27" t="s">
        <v>15000</v>
      </c>
      <c r="B847" s="5" t="s">
        <v>17117</v>
      </c>
      <c r="C847" s="27" t="s">
        <v>82</v>
      </c>
      <c r="D847" s="28">
        <v>483175.1808</v>
      </c>
    </row>
    <row r="848" ht="15.75" customHeight="1" spans="1:4">
      <c r="A848" s="27" t="s">
        <v>15001</v>
      </c>
      <c r="B848" s="5" t="s">
        <v>17118</v>
      </c>
      <c r="C848" s="27" t="s">
        <v>82</v>
      </c>
      <c r="D848" s="28">
        <v>531098.5282</v>
      </c>
    </row>
    <row r="849" ht="15.75" customHeight="1" spans="1:4">
      <c r="A849" s="27" t="s">
        <v>15002</v>
      </c>
      <c r="B849" s="5" t="s">
        <v>17119</v>
      </c>
      <c r="C849" s="27" t="s">
        <v>82</v>
      </c>
      <c r="D849" s="28">
        <v>585932.0722</v>
      </c>
    </row>
    <row r="850" ht="15.75" customHeight="1" spans="1:4">
      <c r="A850" s="27" t="s">
        <v>15003</v>
      </c>
      <c r="B850" s="5" t="s">
        <v>17120</v>
      </c>
      <c r="C850" s="27" t="s">
        <v>82</v>
      </c>
      <c r="D850" s="28">
        <v>557791.3444</v>
      </c>
    </row>
    <row r="851" ht="15.75" customHeight="1" spans="1:4">
      <c r="A851" s="27" t="s">
        <v>15004</v>
      </c>
      <c r="B851" s="5" t="s">
        <v>17121</v>
      </c>
      <c r="C851" s="27" t="s">
        <v>82</v>
      </c>
      <c r="D851" s="28">
        <v>612964.0188</v>
      </c>
    </row>
    <row r="852" ht="15.75" customHeight="1" spans="1:4">
      <c r="A852" s="27" t="s">
        <v>15005</v>
      </c>
      <c r="B852" s="5" t="s">
        <v>17122</v>
      </c>
      <c r="C852" s="27" t="s">
        <v>82</v>
      </c>
      <c r="D852" s="28">
        <v>671766.9655</v>
      </c>
    </row>
    <row r="853" ht="15.75" customHeight="1" spans="1:4">
      <c r="A853" s="27" t="s">
        <v>15006</v>
      </c>
      <c r="B853" s="5" t="s">
        <v>17123</v>
      </c>
      <c r="C853" s="27" t="s">
        <v>82</v>
      </c>
      <c r="D853" s="28">
        <v>738526.0499</v>
      </c>
    </row>
    <row r="854" ht="15.75" customHeight="1" spans="1:4">
      <c r="A854" s="27" t="s">
        <v>15007</v>
      </c>
      <c r="B854" s="5" t="s">
        <v>17124</v>
      </c>
      <c r="C854" s="27" t="s">
        <v>82</v>
      </c>
      <c r="D854" s="28">
        <v>890314.8793</v>
      </c>
    </row>
    <row r="855" ht="15.75" customHeight="1" spans="1:4">
      <c r="A855" s="27" t="s">
        <v>15008</v>
      </c>
      <c r="B855" s="5" t="s">
        <v>17125</v>
      </c>
      <c r="C855" s="27" t="s">
        <v>82</v>
      </c>
      <c r="D855" s="28">
        <v>727987.8386</v>
      </c>
    </row>
    <row r="856" ht="15.75" customHeight="1" spans="1:4">
      <c r="A856" s="27" t="s">
        <v>15009</v>
      </c>
      <c r="B856" s="5" t="s">
        <v>17126</v>
      </c>
      <c r="C856" s="27" t="s">
        <v>82</v>
      </c>
      <c r="D856" s="28">
        <v>802364.8855</v>
      </c>
    </row>
    <row r="857" ht="15.75" customHeight="1" spans="1:4">
      <c r="A857" s="27" t="s">
        <v>15010</v>
      </c>
      <c r="B857" s="5" t="s">
        <v>17127</v>
      </c>
      <c r="C857" s="27" t="s">
        <v>82</v>
      </c>
      <c r="D857" s="28">
        <v>882009.4408</v>
      </c>
    </row>
    <row r="858" ht="15.75" customHeight="1" spans="1:4">
      <c r="A858" s="27" t="s">
        <v>15011</v>
      </c>
      <c r="B858" s="5" t="s">
        <v>17128</v>
      </c>
      <c r="C858" s="27" t="s">
        <v>82</v>
      </c>
      <c r="D858" s="28">
        <v>642830.015</v>
      </c>
    </row>
    <row r="859" ht="15.75" customHeight="1" spans="1:4">
      <c r="A859" s="27" t="s">
        <v>15012</v>
      </c>
      <c r="B859" s="5" t="s">
        <v>17129</v>
      </c>
      <c r="C859" s="27" t="s">
        <v>82</v>
      </c>
      <c r="D859" s="28">
        <v>1057227.8493</v>
      </c>
    </row>
    <row r="860" ht="15.75" customHeight="1" spans="1:4">
      <c r="A860" s="27" t="s">
        <v>15013</v>
      </c>
      <c r="B860" s="5" t="s">
        <v>17130</v>
      </c>
      <c r="C860" s="27" t="s">
        <v>82</v>
      </c>
      <c r="D860" s="28">
        <v>504861.563</v>
      </c>
    </row>
    <row r="861" ht="15.75" customHeight="1" spans="1:4">
      <c r="A861" s="27" t="s">
        <v>15014</v>
      </c>
      <c r="B861" s="5" t="s">
        <v>17131</v>
      </c>
      <c r="C861" s="27" t="s">
        <v>82</v>
      </c>
      <c r="D861" s="28">
        <v>554953.1294</v>
      </c>
    </row>
    <row r="862" ht="15.75" customHeight="1" spans="1:4">
      <c r="A862" s="27" t="s">
        <v>15015</v>
      </c>
      <c r="B862" s="5" t="s">
        <v>17132</v>
      </c>
      <c r="C862" s="27" t="s">
        <v>82</v>
      </c>
      <c r="D862" s="28">
        <v>610054.2071</v>
      </c>
    </row>
    <row r="863" ht="15.75" customHeight="1" spans="1:4">
      <c r="A863" s="27" t="s">
        <v>15016</v>
      </c>
      <c r="B863" s="5" t="s">
        <v>17133</v>
      </c>
      <c r="C863" s="27" t="s">
        <v>82</v>
      </c>
      <c r="D863" s="28">
        <v>670665.0056</v>
      </c>
    </row>
    <row r="864" ht="15.75" customHeight="1" spans="1:4">
      <c r="A864" s="27" t="s">
        <v>15017</v>
      </c>
      <c r="B864" s="5" t="s">
        <v>17134</v>
      </c>
      <c r="C864" s="27" t="s">
        <v>82</v>
      </c>
      <c r="D864" s="28">
        <v>640493.2722</v>
      </c>
    </row>
    <row r="865" ht="15.75" customHeight="1" spans="1:4">
      <c r="A865" s="27" t="s">
        <v>15018</v>
      </c>
      <c r="B865" s="5" t="s">
        <v>17135</v>
      </c>
      <c r="C865" s="27" t="s">
        <v>82</v>
      </c>
      <c r="D865" s="28">
        <v>703985.9991</v>
      </c>
    </row>
    <row r="866" ht="15.75" customHeight="1" spans="1:4">
      <c r="A866" s="27" t="s">
        <v>15019</v>
      </c>
      <c r="B866" s="5" t="s">
        <v>17136</v>
      </c>
      <c r="C866" s="27" t="s">
        <v>82</v>
      </c>
      <c r="D866" s="28">
        <v>773778.268</v>
      </c>
    </row>
    <row r="867" ht="15.75" customHeight="1" spans="1:4">
      <c r="A867" s="27" t="s">
        <v>15020</v>
      </c>
      <c r="B867" s="5" t="s">
        <v>17137</v>
      </c>
      <c r="C867" s="27" t="s">
        <v>82</v>
      </c>
      <c r="D867" s="28">
        <v>853581.2575</v>
      </c>
    </row>
    <row r="868" ht="15.75" customHeight="1" spans="1:4">
      <c r="A868" s="27" t="s">
        <v>15021</v>
      </c>
      <c r="B868" s="5" t="s">
        <v>17138</v>
      </c>
      <c r="C868" s="27" t="s">
        <v>82</v>
      </c>
      <c r="D868" s="28">
        <v>1022478.516</v>
      </c>
    </row>
    <row r="869" ht="15.75" customHeight="1" spans="1:4">
      <c r="A869" s="27" t="s">
        <v>15022</v>
      </c>
      <c r="B869" s="5" t="s">
        <v>17139</v>
      </c>
      <c r="C869" s="27" t="s">
        <v>82</v>
      </c>
      <c r="D869" s="28">
        <v>841751.0318</v>
      </c>
    </row>
    <row r="870" ht="15.75" customHeight="1" spans="1:4">
      <c r="A870" s="27" t="s">
        <v>15023</v>
      </c>
      <c r="B870" s="5" t="s">
        <v>17140</v>
      </c>
      <c r="C870" s="27" t="s">
        <v>82</v>
      </c>
      <c r="D870" s="28">
        <v>921839.136</v>
      </c>
    </row>
    <row r="871" ht="15.75" customHeight="1" spans="1:4">
      <c r="A871" s="27" t="s">
        <v>15024</v>
      </c>
      <c r="B871" s="5" t="s">
        <v>17141</v>
      </c>
      <c r="C871" s="27" t="s">
        <v>82</v>
      </c>
      <c r="D871" s="28">
        <v>1016608.8767</v>
      </c>
    </row>
    <row r="872" ht="15.75" customHeight="1" spans="1:4">
      <c r="A872" s="27" t="s">
        <v>15025</v>
      </c>
      <c r="B872" s="5" t="s">
        <v>17142</v>
      </c>
      <c r="C872" s="27" t="s">
        <v>82</v>
      </c>
      <c r="D872" s="28">
        <v>738622.851</v>
      </c>
    </row>
    <row r="873" ht="15.75" customHeight="1" spans="1:4">
      <c r="A873" s="27" t="s">
        <v>15026</v>
      </c>
      <c r="B873" s="5" t="s">
        <v>17143</v>
      </c>
      <c r="C873" s="27" t="s">
        <v>82</v>
      </c>
      <c r="D873" s="28">
        <v>1220851.4903</v>
      </c>
    </row>
    <row r="874" ht="15.75" customHeight="1" spans="1:4">
      <c r="A874" s="27" t="s">
        <v>15027</v>
      </c>
      <c r="B874" s="5" t="s">
        <v>17144</v>
      </c>
      <c r="C874" s="27" t="s">
        <v>82</v>
      </c>
      <c r="D874" s="28">
        <v>606979.2443</v>
      </c>
    </row>
    <row r="875" ht="15.75" customHeight="1" spans="1:4">
      <c r="A875" s="27" t="s">
        <v>15028</v>
      </c>
      <c r="B875" s="5" t="s">
        <v>17145</v>
      </c>
      <c r="C875" s="27" t="s">
        <v>82</v>
      </c>
      <c r="D875" s="28">
        <v>667070.8054</v>
      </c>
    </row>
    <row r="876" ht="15.75" customHeight="1" spans="1:4">
      <c r="A876" s="27" t="s">
        <v>15029</v>
      </c>
      <c r="B876" s="5" t="s">
        <v>17146</v>
      </c>
      <c r="C876" s="27" t="s">
        <v>82</v>
      </c>
      <c r="D876" s="28">
        <v>733171.6517</v>
      </c>
    </row>
    <row r="877" ht="15.75" customHeight="1" spans="1:4">
      <c r="A877" s="27" t="s">
        <v>15030</v>
      </c>
      <c r="B877" s="5" t="s">
        <v>17147</v>
      </c>
      <c r="C877" s="27" t="s">
        <v>82</v>
      </c>
      <c r="D877" s="28">
        <v>808913.9474</v>
      </c>
    </row>
    <row r="878" ht="15.75" customHeight="1" spans="1:4">
      <c r="A878" s="27" t="s">
        <v>15031</v>
      </c>
      <c r="B878" s="5" t="s">
        <v>17148</v>
      </c>
      <c r="C878" s="27" t="s">
        <v>82</v>
      </c>
      <c r="D878" s="28">
        <v>767506.1391</v>
      </c>
    </row>
    <row r="879" ht="15.75" customHeight="1" spans="1:4">
      <c r="A879" s="27" t="s">
        <v>15032</v>
      </c>
      <c r="B879" s="5" t="s">
        <v>17149</v>
      </c>
      <c r="C879" s="27" t="s">
        <v>82</v>
      </c>
      <c r="D879" s="28">
        <v>846681.8513</v>
      </c>
    </row>
    <row r="880" ht="15.75" customHeight="1" spans="1:4">
      <c r="A880" s="27" t="s">
        <v>15033</v>
      </c>
      <c r="B880" s="5" t="s">
        <v>17150</v>
      </c>
      <c r="C880" s="27" t="s">
        <v>82</v>
      </c>
      <c r="D880" s="28">
        <v>930440.6367</v>
      </c>
    </row>
    <row r="881" ht="15.75" customHeight="1" spans="1:4">
      <c r="A881" s="27" t="s">
        <v>15034</v>
      </c>
      <c r="B881" s="5" t="s">
        <v>17151</v>
      </c>
      <c r="C881" s="27" t="s">
        <v>82</v>
      </c>
      <c r="D881" s="28">
        <v>1019397.7015</v>
      </c>
    </row>
    <row r="882" ht="15.75" customHeight="1" spans="1:4">
      <c r="A882" s="27" t="s">
        <v>15035</v>
      </c>
      <c r="B882" s="5" t="s">
        <v>17152</v>
      </c>
      <c r="C882" s="27" t="s">
        <v>82</v>
      </c>
      <c r="D882" s="28">
        <v>1234366.294</v>
      </c>
    </row>
    <row r="883" ht="15.75" customHeight="1" spans="1:4">
      <c r="A883" s="27" t="s">
        <v>15036</v>
      </c>
      <c r="B883" s="5" t="s">
        <v>17153</v>
      </c>
      <c r="C883" s="27" t="s">
        <v>82</v>
      </c>
      <c r="D883" s="28">
        <v>1008335.5879</v>
      </c>
    </row>
    <row r="884" ht="15.75" customHeight="1" spans="1:4">
      <c r="A884" s="27" t="s">
        <v>15037</v>
      </c>
      <c r="B884" s="5" t="s">
        <v>17154</v>
      </c>
      <c r="C884" s="27" t="s">
        <v>82</v>
      </c>
      <c r="D884" s="28">
        <v>1105082.18</v>
      </c>
    </row>
    <row r="885" ht="15.75" customHeight="1" spans="1:4">
      <c r="A885" s="27" t="s">
        <v>15038</v>
      </c>
      <c r="B885" s="5" t="s">
        <v>17155</v>
      </c>
      <c r="C885" s="27" t="s">
        <v>82</v>
      </c>
      <c r="D885" s="28">
        <v>1220915.9918</v>
      </c>
    </row>
    <row r="886" ht="15.75" customHeight="1" spans="1:4">
      <c r="A886" s="27" t="s">
        <v>15039</v>
      </c>
      <c r="B886" s="5" t="s">
        <v>17156</v>
      </c>
      <c r="C886" s="27" t="s">
        <v>9</v>
      </c>
      <c r="D886" s="28">
        <v>381.1075</v>
      </c>
    </row>
    <row r="887" ht="15.75" customHeight="1" spans="1:4">
      <c r="A887" s="27" t="s">
        <v>15040</v>
      </c>
      <c r="B887" s="5" t="s">
        <v>17157</v>
      </c>
      <c r="C887" s="27" t="s">
        <v>82</v>
      </c>
      <c r="D887" s="28">
        <v>1462732.231</v>
      </c>
    </row>
    <row r="888" ht="15.75" customHeight="1" spans="1:4">
      <c r="A888" s="27" t="s">
        <v>15041</v>
      </c>
      <c r="B888" s="5" t="s">
        <v>17158</v>
      </c>
      <c r="C888" s="27" t="s">
        <v>82</v>
      </c>
      <c r="D888" s="28">
        <v>460.8956</v>
      </c>
    </row>
    <row r="889" ht="15.75" customHeight="1" spans="1:4">
      <c r="A889" s="27" t="s">
        <v>15042</v>
      </c>
      <c r="B889" s="5" t="s">
        <v>17159</v>
      </c>
      <c r="C889" s="27" t="s">
        <v>82</v>
      </c>
      <c r="D889" s="28">
        <v>172.7992</v>
      </c>
    </row>
    <row r="890" ht="15.75" customHeight="1" spans="1:4">
      <c r="A890" s="27" t="s">
        <v>15043</v>
      </c>
      <c r="B890" s="5" t="s">
        <v>17160</v>
      </c>
      <c r="C890" s="27" t="s">
        <v>9</v>
      </c>
      <c r="D890" s="28">
        <v>795.184</v>
      </c>
    </row>
    <row r="891" ht="15.75" customHeight="1" spans="1:4">
      <c r="A891" s="27" t="s">
        <v>15044</v>
      </c>
      <c r="B891" s="5" t="s">
        <v>17161</v>
      </c>
      <c r="C891" s="27" t="s">
        <v>9</v>
      </c>
      <c r="D891" s="28">
        <v>625.8422</v>
      </c>
    </row>
    <row r="892" ht="15.75" customHeight="1" spans="1:4">
      <c r="A892" s="27" t="s">
        <v>15045</v>
      </c>
      <c r="B892" s="5" t="s">
        <v>17162</v>
      </c>
      <c r="C892" s="27" t="s">
        <v>82</v>
      </c>
      <c r="D892" s="28">
        <v>706718.4588</v>
      </c>
    </row>
    <row r="893" ht="15.75" customHeight="1" spans="1:4">
      <c r="A893" s="27" t="s">
        <v>15046</v>
      </c>
      <c r="B893" s="5" t="s">
        <v>17163</v>
      </c>
      <c r="C893" s="27" t="s">
        <v>82</v>
      </c>
      <c r="D893" s="28">
        <v>776995.7792</v>
      </c>
    </row>
    <row r="894" ht="15.75" customHeight="1" spans="1:4">
      <c r="A894" s="27" t="s">
        <v>15047</v>
      </c>
      <c r="B894" s="5" t="s">
        <v>17164</v>
      </c>
      <c r="C894" s="27" t="s">
        <v>82</v>
      </c>
      <c r="D894" s="28">
        <v>933578.4147</v>
      </c>
    </row>
    <row r="895" ht="15.75" customHeight="1" spans="1:4">
      <c r="A895" s="27" t="s">
        <v>15048</v>
      </c>
      <c r="B895" s="5" t="s">
        <v>17165</v>
      </c>
      <c r="C895" s="27" t="s">
        <v>82</v>
      </c>
      <c r="D895" s="28">
        <v>887615.9138</v>
      </c>
    </row>
    <row r="896" ht="15.75" customHeight="1" spans="1:4">
      <c r="A896" s="27" t="s">
        <v>15049</v>
      </c>
      <c r="B896" s="5" t="s">
        <v>17166</v>
      </c>
      <c r="C896" s="27" t="s">
        <v>82</v>
      </c>
      <c r="D896" s="28">
        <v>975785.9589</v>
      </c>
    </row>
    <row r="897" ht="15.75" customHeight="1" spans="1:4">
      <c r="A897" s="27" t="s">
        <v>15050</v>
      </c>
      <c r="B897" s="5" t="s">
        <v>17167</v>
      </c>
      <c r="C897" s="27" t="s">
        <v>82</v>
      </c>
      <c r="D897" s="28">
        <v>1072772.7182</v>
      </c>
    </row>
    <row r="898" ht="15.75" customHeight="1" spans="1:4">
      <c r="A898" s="27" t="s">
        <v>15051</v>
      </c>
      <c r="B898" s="5" t="s">
        <v>17168</v>
      </c>
      <c r="C898" s="27" t="s">
        <v>82</v>
      </c>
      <c r="D898" s="28">
        <v>1292061.1804</v>
      </c>
    </row>
    <row r="899" ht="15.75" customHeight="1" spans="1:4">
      <c r="A899" s="27" t="s">
        <v>15052</v>
      </c>
      <c r="B899" s="5" t="s">
        <v>17169</v>
      </c>
      <c r="C899" s="27" t="s">
        <v>82</v>
      </c>
      <c r="D899" s="28">
        <v>499.7724</v>
      </c>
    </row>
    <row r="900" ht="15.75" customHeight="1" spans="1:4">
      <c r="A900" s="27" t="s">
        <v>15053</v>
      </c>
      <c r="B900" s="5" t="s">
        <v>17170</v>
      </c>
      <c r="C900" s="27" t="s">
        <v>82</v>
      </c>
      <c r="D900" s="28">
        <v>1850.2308</v>
      </c>
    </row>
    <row r="901" ht="15.75" customHeight="1" spans="1:4">
      <c r="A901" s="27" t="s">
        <v>15054</v>
      </c>
      <c r="B901" s="5" t="s">
        <v>17171</v>
      </c>
      <c r="C901" s="27" t="s">
        <v>82</v>
      </c>
      <c r="D901" s="28">
        <v>385.0683</v>
      </c>
    </row>
    <row r="902" ht="15.75" customHeight="1" spans="1:4">
      <c r="A902" s="27" t="s">
        <v>15055</v>
      </c>
      <c r="B902" s="5" t="s">
        <v>17172</v>
      </c>
      <c r="C902" s="27" t="s">
        <v>82</v>
      </c>
      <c r="D902" s="28">
        <v>814062.8831</v>
      </c>
    </row>
    <row r="903" ht="15.75" customHeight="1" spans="1:4">
      <c r="A903" s="27" t="s">
        <v>15056</v>
      </c>
      <c r="B903" s="5" t="s">
        <v>17173</v>
      </c>
      <c r="C903" s="27" t="s">
        <v>82</v>
      </c>
      <c r="D903" s="28">
        <v>894877.4962</v>
      </c>
    </row>
    <row r="904" ht="15.75" customHeight="1" spans="1:4">
      <c r="A904" s="27" t="s">
        <v>15057</v>
      </c>
      <c r="B904" s="5" t="s">
        <v>17174</v>
      </c>
      <c r="C904" s="27" t="s">
        <v>82</v>
      </c>
      <c r="D904" s="28">
        <v>1072669.5158</v>
      </c>
    </row>
    <row r="905" ht="30" customHeight="1" spans="1:4">
      <c r="A905" s="27" t="s">
        <v>15058</v>
      </c>
      <c r="B905" s="5" t="s">
        <v>17175</v>
      </c>
      <c r="C905" s="27" t="s">
        <v>9</v>
      </c>
      <c r="D905" s="28">
        <v>470.9744</v>
      </c>
    </row>
    <row r="906" ht="30" customHeight="1" spans="1:4">
      <c r="A906" s="27" t="s">
        <v>15059</v>
      </c>
      <c r="B906" s="5" t="s">
        <v>17176</v>
      </c>
      <c r="C906" s="27" t="s">
        <v>9</v>
      </c>
      <c r="D906" s="28">
        <v>583.8664</v>
      </c>
    </row>
    <row r="907" ht="30" customHeight="1" spans="1:4">
      <c r="A907" s="27" t="s">
        <v>15060</v>
      </c>
      <c r="B907" s="5" t="s">
        <v>17177</v>
      </c>
      <c r="C907" s="27" t="s">
        <v>9</v>
      </c>
      <c r="D907" s="28">
        <v>713.8785</v>
      </c>
    </row>
    <row r="908" ht="30" customHeight="1" spans="1:4">
      <c r="A908" s="27" t="s">
        <v>15061</v>
      </c>
      <c r="B908" s="5" t="s">
        <v>17178</v>
      </c>
      <c r="C908" s="27" t="s">
        <v>9</v>
      </c>
      <c r="D908" s="28">
        <v>1259.9755</v>
      </c>
    </row>
    <row r="909" ht="30" customHeight="1" spans="1:4">
      <c r="A909" s="27" t="s">
        <v>15062</v>
      </c>
      <c r="B909" s="5" t="s">
        <v>17179</v>
      </c>
      <c r="C909" s="27" t="s">
        <v>9</v>
      </c>
      <c r="D909" s="28">
        <v>1596.7429</v>
      </c>
    </row>
    <row r="910" ht="30" customHeight="1" spans="1:4">
      <c r="A910" s="27" t="s">
        <v>17180</v>
      </c>
      <c r="B910" s="5" t="s">
        <v>17181</v>
      </c>
      <c r="C910" s="27" t="s">
        <v>9</v>
      </c>
      <c r="D910" s="28">
        <v>3081.9182</v>
      </c>
    </row>
    <row r="911" ht="15.75" customHeight="1" spans="1:4">
      <c r="A911" s="27" t="s">
        <v>17182</v>
      </c>
      <c r="B911" s="5" t="s">
        <v>17183</v>
      </c>
      <c r="C911" s="27" t="s">
        <v>82</v>
      </c>
      <c r="D911" s="28">
        <v>70.7223</v>
      </c>
    </row>
    <row r="912" ht="15.75" customHeight="1" spans="1:4">
      <c r="A912" s="27" t="s">
        <v>17184</v>
      </c>
      <c r="B912" s="5" t="s">
        <v>17185</v>
      </c>
      <c r="C912" s="27" t="s">
        <v>82</v>
      </c>
      <c r="D912" s="28">
        <v>87.523</v>
      </c>
    </row>
    <row r="913" ht="15.75" customHeight="1" spans="1:4">
      <c r="A913" s="27" t="s">
        <v>17186</v>
      </c>
      <c r="B913" s="5" t="s">
        <v>17187</v>
      </c>
      <c r="C913" s="27" t="s">
        <v>82</v>
      </c>
      <c r="D913" s="28">
        <v>105.0913</v>
      </c>
    </row>
    <row r="914" ht="15.75" customHeight="1" spans="1:4">
      <c r="A914" s="27" t="s">
        <v>17188</v>
      </c>
      <c r="B914" s="5" t="s">
        <v>17189</v>
      </c>
      <c r="C914" s="27" t="s">
        <v>82</v>
      </c>
      <c r="D914" s="28">
        <v>120.4408</v>
      </c>
    </row>
    <row r="915" ht="15.75" customHeight="1" spans="1:4">
      <c r="A915" s="27" t="s">
        <v>17190</v>
      </c>
      <c r="B915" s="5" t="s">
        <v>17191</v>
      </c>
      <c r="C915" s="27" t="s">
        <v>82</v>
      </c>
      <c r="D915" s="28">
        <v>132.6987</v>
      </c>
    </row>
    <row r="916" ht="15.75" customHeight="1" spans="1:4">
      <c r="A916" s="27" t="s">
        <v>17192</v>
      </c>
      <c r="B916" s="5" t="s">
        <v>17193</v>
      </c>
      <c r="C916" s="27" t="s">
        <v>82</v>
      </c>
      <c r="D916" s="28">
        <v>144.967</v>
      </c>
    </row>
    <row r="917" ht="15.75" customHeight="1" spans="1:4">
      <c r="A917" s="27" t="s">
        <v>17194</v>
      </c>
      <c r="B917" s="5" t="s">
        <v>17195</v>
      </c>
      <c r="C917" s="27" t="s">
        <v>82</v>
      </c>
      <c r="D917" s="28">
        <v>158.8192</v>
      </c>
    </row>
    <row r="918" ht="15.75" customHeight="1" spans="1:4">
      <c r="A918" s="27" t="s">
        <v>17196</v>
      </c>
      <c r="B918" s="5" t="s">
        <v>17197</v>
      </c>
      <c r="C918" s="27" t="s">
        <v>82</v>
      </c>
      <c r="D918" s="28">
        <v>175.8343</v>
      </c>
    </row>
    <row r="919" ht="15.75" customHeight="1" spans="1:4">
      <c r="A919" s="27" t="s">
        <v>17198</v>
      </c>
      <c r="B919" s="5" t="s">
        <v>17199</v>
      </c>
      <c r="C919" s="27" t="s">
        <v>82</v>
      </c>
      <c r="D919" s="28">
        <v>198.9375</v>
      </c>
    </row>
    <row r="920" ht="15.75" customHeight="1" spans="1:4">
      <c r="A920" s="27" t="s">
        <v>15063</v>
      </c>
      <c r="B920" s="5" t="s">
        <v>17200</v>
      </c>
      <c r="C920" s="27" t="s">
        <v>82</v>
      </c>
      <c r="D920" s="28">
        <v>448.8599</v>
      </c>
    </row>
    <row r="921" ht="15.75" customHeight="1" spans="1:4">
      <c r="A921" s="27" t="s">
        <v>17201</v>
      </c>
      <c r="B921" s="5" t="s">
        <v>17202</v>
      </c>
      <c r="C921" s="27" t="s">
        <v>82</v>
      </c>
      <c r="D921" s="28">
        <v>32227.23</v>
      </c>
    </row>
    <row r="922" ht="15.75" customHeight="1" spans="1:4">
      <c r="A922" s="27" t="s">
        <v>17203</v>
      </c>
      <c r="B922" s="5" t="s">
        <v>17204</v>
      </c>
      <c r="C922" s="27" t="s">
        <v>82</v>
      </c>
      <c r="D922" s="28">
        <v>64194.0968</v>
      </c>
    </row>
    <row r="923" ht="15.75" customHeight="1" spans="1:4">
      <c r="A923" s="27" t="s">
        <v>17205</v>
      </c>
      <c r="B923" s="5" t="s">
        <v>17206</v>
      </c>
      <c r="C923" s="27" t="s">
        <v>82</v>
      </c>
      <c r="D923" s="28">
        <v>85448.0052</v>
      </c>
    </row>
    <row r="924" ht="15.75" customHeight="1" spans="1:4">
      <c r="A924" s="27" t="s">
        <v>17207</v>
      </c>
      <c r="B924" s="5" t="s">
        <v>17208</v>
      </c>
      <c r="C924" s="27" t="s">
        <v>82</v>
      </c>
      <c r="D924" s="28">
        <v>36902.04</v>
      </c>
    </row>
    <row r="925" ht="15.75" customHeight="1" spans="1:4">
      <c r="A925" s="27" t="s">
        <v>17209</v>
      </c>
      <c r="B925" s="5" t="s">
        <v>17210</v>
      </c>
      <c r="C925" s="27" t="s">
        <v>82</v>
      </c>
      <c r="D925" s="28">
        <v>72344.4968</v>
      </c>
    </row>
    <row r="926" ht="15.75" customHeight="1" spans="1:4">
      <c r="A926" s="27" t="s">
        <v>17211</v>
      </c>
      <c r="B926" s="5" t="s">
        <v>17212</v>
      </c>
      <c r="C926" s="27" t="s">
        <v>82</v>
      </c>
      <c r="D926" s="28">
        <v>96296.9052</v>
      </c>
    </row>
    <row r="927" ht="15.75" customHeight="1" spans="1:4">
      <c r="A927" s="27" t="s">
        <v>17213</v>
      </c>
      <c r="B927" s="5" t="s">
        <v>17214</v>
      </c>
      <c r="C927" s="27" t="s">
        <v>82</v>
      </c>
      <c r="D927" s="28">
        <v>44969.19</v>
      </c>
    </row>
    <row r="928" ht="15.75" customHeight="1" spans="1:4">
      <c r="A928" s="27" t="s">
        <v>17215</v>
      </c>
      <c r="B928" s="5" t="s">
        <v>17216</v>
      </c>
      <c r="C928" s="27" t="s">
        <v>82</v>
      </c>
      <c r="D928" s="28">
        <v>84997.0245</v>
      </c>
    </row>
    <row r="929" ht="15.75" customHeight="1" spans="1:4">
      <c r="A929" s="27" t="s">
        <v>17217</v>
      </c>
      <c r="B929" s="5" t="s">
        <v>17218</v>
      </c>
      <c r="C929" s="27" t="s">
        <v>82</v>
      </c>
      <c r="D929" s="28">
        <v>113138.5357</v>
      </c>
    </row>
    <row r="930" ht="15.75" customHeight="1" spans="1:4">
      <c r="A930" s="27" t="s">
        <v>17219</v>
      </c>
      <c r="B930" s="5" t="s">
        <v>17220</v>
      </c>
      <c r="C930" s="27" t="s">
        <v>82</v>
      </c>
      <c r="D930" s="28">
        <v>56511.42</v>
      </c>
    </row>
    <row r="931" ht="15.75" customHeight="1" spans="1:4">
      <c r="A931" s="27" t="s">
        <v>17221</v>
      </c>
      <c r="B931" s="5" t="s">
        <v>17222</v>
      </c>
      <c r="C931" s="27" t="s">
        <v>82</v>
      </c>
      <c r="D931" s="28">
        <v>112048.5922</v>
      </c>
    </row>
    <row r="932" ht="15.75" customHeight="1" spans="1:4">
      <c r="A932" s="27" t="s">
        <v>17223</v>
      </c>
      <c r="B932" s="5" t="s">
        <v>17224</v>
      </c>
      <c r="C932" s="27" t="s">
        <v>82</v>
      </c>
      <c r="D932" s="28">
        <v>149146.5394</v>
      </c>
    </row>
    <row r="933" ht="30" customHeight="1" spans="1:4">
      <c r="A933" s="27" t="s">
        <v>17225</v>
      </c>
      <c r="B933" s="5" t="s">
        <v>17226</v>
      </c>
      <c r="C933" s="27" t="s">
        <v>82</v>
      </c>
      <c r="D933" s="28">
        <v>1434.98</v>
      </c>
    </row>
    <row r="934" ht="30" customHeight="1" spans="1:4">
      <c r="A934" s="27" t="s">
        <v>17227</v>
      </c>
      <c r="B934" s="5" t="s">
        <v>17228</v>
      </c>
      <c r="C934" s="27" t="s">
        <v>82</v>
      </c>
      <c r="D934" s="28">
        <v>1419.61</v>
      </c>
    </row>
    <row r="935" ht="30" customHeight="1" spans="1:4">
      <c r="A935" s="27" t="s">
        <v>17229</v>
      </c>
      <c r="B935" s="5" t="s">
        <v>17230</v>
      </c>
      <c r="C935" s="27" t="s">
        <v>82</v>
      </c>
      <c r="D935" s="28">
        <v>1486.34</v>
      </c>
    </row>
    <row r="936" ht="30" customHeight="1" spans="1:4">
      <c r="A936" s="27" t="s">
        <v>17231</v>
      </c>
      <c r="B936" s="5" t="s">
        <v>17232</v>
      </c>
      <c r="C936" s="27" t="s">
        <v>82</v>
      </c>
      <c r="D936" s="28">
        <v>1435.12</v>
      </c>
    </row>
    <row r="937" ht="15.75" customHeight="1" spans="1:4">
      <c r="A937" s="27" t="s">
        <v>15064</v>
      </c>
      <c r="B937" s="5" t="s">
        <v>17233</v>
      </c>
      <c r="C937" s="27" t="s">
        <v>99</v>
      </c>
      <c r="D937" s="28">
        <v>123.2014</v>
      </c>
    </row>
    <row r="938" ht="15.75" customHeight="1" spans="1:4">
      <c r="A938" s="27" t="s">
        <v>15065</v>
      </c>
      <c r="B938" s="5" t="s">
        <v>17234</v>
      </c>
      <c r="C938" s="27" t="s">
        <v>82</v>
      </c>
      <c r="D938" s="28">
        <v>9.0812</v>
      </c>
    </row>
    <row r="939" ht="15.75" customHeight="1" spans="1:4">
      <c r="A939" s="27" t="s">
        <v>15066</v>
      </c>
      <c r="B939" s="5" t="s">
        <v>17235</v>
      </c>
      <c r="C939" s="27" t="s">
        <v>82</v>
      </c>
      <c r="D939" s="28">
        <v>1304.0844</v>
      </c>
    </row>
    <row r="940" ht="15.75" customHeight="1" spans="1:4">
      <c r="A940" s="27" t="s">
        <v>15067</v>
      </c>
      <c r="B940" s="5" t="s">
        <v>17236</v>
      </c>
      <c r="C940" s="27" t="s">
        <v>82</v>
      </c>
      <c r="D940" s="28">
        <v>26.0152</v>
      </c>
    </row>
    <row r="941" ht="15.75" customHeight="1" spans="1:4">
      <c r="A941" s="27" t="s">
        <v>15068</v>
      </c>
      <c r="B941" s="5" t="s">
        <v>17237</v>
      </c>
      <c r="C941" s="27" t="s">
        <v>99</v>
      </c>
      <c r="D941" s="28">
        <v>2870.0234</v>
      </c>
    </row>
    <row r="942" ht="15.75" customHeight="1" spans="1:4">
      <c r="A942" s="27" t="s">
        <v>15069</v>
      </c>
      <c r="B942" s="5" t="s">
        <v>17238</v>
      </c>
      <c r="C942" s="27" t="s">
        <v>82</v>
      </c>
      <c r="D942" s="28">
        <v>977.9195</v>
      </c>
    </row>
    <row r="943" ht="15.75" customHeight="1" spans="1:4">
      <c r="A943" s="27" t="s">
        <v>15070</v>
      </c>
      <c r="B943" s="5" t="s">
        <v>17239</v>
      </c>
      <c r="C943" s="27" t="s">
        <v>9</v>
      </c>
      <c r="D943" s="28">
        <v>551.3972</v>
      </c>
    </row>
    <row r="944" ht="15.75" customHeight="1" spans="1:4">
      <c r="A944" s="27" t="s">
        <v>15071</v>
      </c>
      <c r="B944" s="5" t="s">
        <v>17240</v>
      </c>
      <c r="C944" s="27" t="s">
        <v>9</v>
      </c>
      <c r="D944" s="28">
        <v>4.0294</v>
      </c>
    </row>
    <row r="945" ht="15.75" customHeight="1" spans="1:4">
      <c r="A945" s="27" t="s">
        <v>15072</v>
      </c>
      <c r="B945" s="5" t="s">
        <v>17241</v>
      </c>
      <c r="C945" s="27" t="s">
        <v>82</v>
      </c>
      <c r="D945" s="28">
        <v>38.3323</v>
      </c>
    </row>
    <row r="946" ht="15.75" customHeight="1" spans="1:4">
      <c r="A946" s="27" t="s">
        <v>14287</v>
      </c>
      <c r="B946" s="5" t="s">
        <v>14288</v>
      </c>
      <c r="C946" s="27" t="s">
        <v>82</v>
      </c>
      <c r="D946" s="28">
        <v>78.8796</v>
      </c>
    </row>
    <row r="947" ht="15.75" customHeight="1" spans="1:4">
      <c r="A947" s="27" t="s">
        <v>15073</v>
      </c>
      <c r="B947" s="5" t="s">
        <v>17242</v>
      </c>
      <c r="C947" s="27" t="s">
        <v>82</v>
      </c>
      <c r="D947" s="28">
        <v>1.083</v>
      </c>
    </row>
    <row r="948" ht="15.75" customHeight="1" spans="1:4">
      <c r="A948" s="27" t="s">
        <v>15074</v>
      </c>
      <c r="B948" s="5" t="s">
        <v>17243</v>
      </c>
      <c r="C948" s="27" t="s">
        <v>82</v>
      </c>
      <c r="D948" s="28">
        <v>3.1168</v>
      </c>
    </row>
    <row r="949" ht="30" customHeight="1" spans="1:4">
      <c r="A949" s="27" t="s">
        <v>15075</v>
      </c>
      <c r="B949" s="5" t="s">
        <v>17244</v>
      </c>
      <c r="C949" s="27" t="s">
        <v>9</v>
      </c>
      <c r="D949" s="28">
        <v>3.7718</v>
      </c>
    </row>
    <row r="950" ht="15.75" customHeight="1" spans="1:4">
      <c r="A950" s="27" t="s">
        <v>15076</v>
      </c>
      <c r="B950" s="5" t="s">
        <v>17245</v>
      </c>
      <c r="C950" s="27" t="s">
        <v>82</v>
      </c>
      <c r="D950" s="28">
        <v>2.4643</v>
      </c>
    </row>
    <row r="951" ht="15.75" customHeight="1" spans="1:4">
      <c r="A951" s="27" t="s">
        <v>15077</v>
      </c>
      <c r="B951" s="5" t="s">
        <v>17246</v>
      </c>
      <c r="C951" s="27" t="s">
        <v>82</v>
      </c>
      <c r="D951" s="28">
        <v>1.0818</v>
      </c>
    </row>
    <row r="952" ht="15.75" customHeight="1" spans="1:4">
      <c r="A952" s="27" t="s">
        <v>15078</v>
      </c>
      <c r="B952" s="5" t="s">
        <v>17247</v>
      </c>
      <c r="C952" s="27" t="s">
        <v>101</v>
      </c>
      <c r="D952" s="28">
        <v>11.4529</v>
      </c>
    </row>
    <row r="953" ht="15.75" customHeight="1" spans="1:4">
      <c r="A953" s="27" t="s">
        <v>15079</v>
      </c>
      <c r="B953" s="5" t="s">
        <v>17248</v>
      </c>
      <c r="C953" s="27" t="s">
        <v>101</v>
      </c>
      <c r="D953" s="28">
        <v>11.4529</v>
      </c>
    </row>
    <row r="954" ht="15.75" customHeight="1" spans="1:4">
      <c r="A954" s="27" t="s">
        <v>15080</v>
      </c>
      <c r="B954" s="5" t="s">
        <v>17249</v>
      </c>
      <c r="C954" s="27" t="s">
        <v>9</v>
      </c>
      <c r="D954" s="28">
        <v>13.0039</v>
      </c>
    </row>
    <row r="955" ht="15.75" customHeight="1" spans="1:4">
      <c r="A955" s="27" t="s">
        <v>15081</v>
      </c>
      <c r="B955" s="5" t="s">
        <v>17250</v>
      </c>
      <c r="C955" s="27" t="s">
        <v>9</v>
      </c>
      <c r="D955" s="28">
        <v>12.2667</v>
      </c>
    </row>
    <row r="956" ht="15.75" customHeight="1" spans="1:4">
      <c r="A956" s="27" t="s">
        <v>15082</v>
      </c>
      <c r="B956" s="5" t="s">
        <v>17251</v>
      </c>
      <c r="C956" s="27" t="s">
        <v>82</v>
      </c>
      <c r="D956" s="28">
        <v>100.8748</v>
      </c>
    </row>
    <row r="957" ht="15.75" customHeight="1" spans="1:4">
      <c r="A957" s="27" t="s">
        <v>15083</v>
      </c>
      <c r="B957" s="5" t="s">
        <v>17252</v>
      </c>
      <c r="C957" s="27" t="s">
        <v>82</v>
      </c>
      <c r="D957" s="28">
        <v>391.4975</v>
      </c>
    </row>
    <row r="958" ht="15.75" customHeight="1" spans="1:4">
      <c r="A958" s="27" t="s">
        <v>15084</v>
      </c>
      <c r="B958" s="5" t="s">
        <v>17253</v>
      </c>
      <c r="C958" s="27" t="s">
        <v>82</v>
      </c>
      <c r="D958" s="28">
        <v>69.6295</v>
      </c>
    </row>
    <row r="959" ht="15.75" customHeight="1" spans="1:4">
      <c r="A959" s="27" t="s">
        <v>15085</v>
      </c>
      <c r="B959" s="5" t="s">
        <v>17254</v>
      </c>
      <c r="C959" s="27" t="s">
        <v>82</v>
      </c>
      <c r="D959" s="28">
        <v>100.8898</v>
      </c>
    </row>
    <row r="960" ht="15.75" customHeight="1" spans="1:4">
      <c r="A960" s="27" t="s">
        <v>15086</v>
      </c>
      <c r="B960" s="5" t="s">
        <v>17255</v>
      </c>
      <c r="C960" s="27" t="s">
        <v>82</v>
      </c>
      <c r="D960" s="28">
        <v>126.6764</v>
      </c>
    </row>
    <row r="961" ht="15.75" customHeight="1" spans="1:4">
      <c r="A961" s="27" t="s">
        <v>15087</v>
      </c>
      <c r="B961" s="5" t="s">
        <v>17256</v>
      </c>
      <c r="C961" s="27" t="s">
        <v>82</v>
      </c>
      <c r="D961" s="28">
        <v>149.4244</v>
      </c>
    </row>
    <row r="962" ht="15.75" customHeight="1" spans="1:4">
      <c r="A962" s="27" t="s">
        <v>15088</v>
      </c>
      <c r="B962" s="5" t="s">
        <v>17257</v>
      </c>
      <c r="C962" s="27" t="s">
        <v>82</v>
      </c>
      <c r="D962" s="28">
        <v>139.8302</v>
      </c>
    </row>
    <row r="963" ht="15.75" customHeight="1" spans="1:4">
      <c r="A963" s="27" t="s">
        <v>15089</v>
      </c>
      <c r="B963" s="5" t="s">
        <v>17258</v>
      </c>
      <c r="C963" s="27" t="s">
        <v>82</v>
      </c>
      <c r="D963" s="28">
        <v>202.5994</v>
      </c>
    </row>
    <row r="964" ht="15.75" customHeight="1" spans="1:4">
      <c r="A964" s="27" t="s">
        <v>15090</v>
      </c>
      <c r="B964" s="5" t="s">
        <v>17259</v>
      </c>
      <c r="C964" s="27" t="s">
        <v>82</v>
      </c>
      <c r="D964" s="28">
        <v>228.4386</v>
      </c>
    </row>
    <row r="965" ht="15.75" customHeight="1" spans="1:4">
      <c r="A965" s="27" t="s">
        <v>15091</v>
      </c>
      <c r="B965" s="5" t="s">
        <v>17260</v>
      </c>
      <c r="C965" s="27" t="s">
        <v>82</v>
      </c>
      <c r="D965" s="28">
        <v>251.1909</v>
      </c>
    </row>
    <row r="966" ht="15.75" customHeight="1" spans="1:4">
      <c r="A966" s="27" t="s">
        <v>15092</v>
      </c>
      <c r="B966" s="5" t="s">
        <v>17261</v>
      </c>
      <c r="C966" s="27" t="s">
        <v>82</v>
      </c>
      <c r="D966" s="28">
        <v>254.0167</v>
      </c>
    </row>
    <row r="967" ht="15.75" customHeight="1" spans="1:4">
      <c r="A967" s="27" t="s">
        <v>15093</v>
      </c>
      <c r="B967" s="5" t="s">
        <v>17262</v>
      </c>
      <c r="C967" s="27" t="s">
        <v>82</v>
      </c>
      <c r="D967" s="28">
        <v>295.9102</v>
      </c>
    </row>
    <row r="968" ht="15.75" customHeight="1" spans="1:4">
      <c r="A968" s="27" t="s">
        <v>15094</v>
      </c>
      <c r="B968" s="5" t="s">
        <v>17263</v>
      </c>
      <c r="C968" s="27" t="s">
        <v>82</v>
      </c>
      <c r="D968" s="28">
        <v>277.6938</v>
      </c>
    </row>
    <row r="969" ht="15.75" customHeight="1" spans="1:4">
      <c r="A969" s="27" t="s">
        <v>15095</v>
      </c>
      <c r="B969" s="5" t="s">
        <v>17264</v>
      </c>
      <c r="C969" s="27" t="s">
        <v>82</v>
      </c>
      <c r="D969" s="28">
        <v>339.3237</v>
      </c>
    </row>
    <row r="970" ht="15.75" customHeight="1" spans="1:4">
      <c r="A970" s="27" t="s">
        <v>15096</v>
      </c>
      <c r="B970" s="5" t="s">
        <v>17265</v>
      </c>
      <c r="C970" s="27" t="s">
        <v>82</v>
      </c>
      <c r="D970" s="28">
        <v>340.9266</v>
      </c>
    </row>
    <row r="971" ht="15.75" customHeight="1" spans="1:4">
      <c r="A971" s="27" t="s">
        <v>15097</v>
      </c>
      <c r="B971" s="5" t="s">
        <v>17266</v>
      </c>
      <c r="C971" s="27" t="s">
        <v>82</v>
      </c>
      <c r="D971" s="28">
        <v>388.6117</v>
      </c>
    </row>
    <row r="972" ht="15.75" customHeight="1" spans="1:4">
      <c r="A972" s="27" t="s">
        <v>15098</v>
      </c>
      <c r="B972" s="5" t="s">
        <v>17267</v>
      </c>
      <c r="C972" s="27" t="s">
        <v>82</v>
      </c>
      <c r="D972" s="28">
        <v>55.1059</v>
      </c>
    </row>
    <row r="973" ht="15.75" customHeight="1" spans="1:4">
      <c r="A973" s="27" t="s">
        <v>15099</v>
      </c>
      <c r="B973" s="5" t="s">
        <v>17268</v>
      </c>
      <c r="C973" s="27" t="s">
        <v>82</v>
      </c>
      <c r="D973" s="28">
        <v>55.843</v>
      </c>
    </row>
    <row r="974" ht="15.75" customHeight="1" spans="1:4">
      <c r="A974" s="27" t="s">
        <v>15100</v>
      </c>
      <c r="B974" s="5" t="s">
        <v>17269</v>
      </c>
      <c r="C974" s="27" t="s">
        <v>82</v>
      </c>
      <c r="D974" s="28">
        <v>80.7345</v>
      </c>
    </row>
    <row r="975" ht="15.75" customHeight="1" spans="1:4">
      <c r="A975" s="27" t="s">
        <v>15101</v>
      </c>
      <c r="B975" s="5" t="s">
        <v>17270</v>
      </c>
      <c r="C975" s="27" t="s">
        <v>82</v>
      </c>
      <c r="D975" s="28">
        <v>73.6491</v>
      </c>
    </row>
    <row r="976" ht="15.75" customHeight="1" spans="1:4">
      <c r="A976" s="27" t="s">
        <v>15102</v>
      </c>
      <c r="B976" s="5" t="s">
        <v>17271</v>
      </c>
      <c r="C976" s="27" t="s">
        <v>82</v>
      </c>
      <c r="D976" s="28">
        <v>99.4204</v>
      </c>
    </row>
    <row r="977" ht="15.75" customHeight="1" spans="1:4">
      <c r="A977" s="27" t="s">
        <v>15103</v>
      </c>
      <c r="B977" s="5" t="s">
        <v>17272</v>
      </c>
      <c r="C977" s="27" t="s">
        <v>82</v>
      </c>
      <c r="D977" s="28">
        <v>100.8748</v>
      </c>
    </row>
    <row r="978" ht="15.75" customHeight="1" spans="1:4">
      <c r="A978" s="27" t="s">
        <v>15104</v>
      </c>
      <c r="B978" s="5" t="s">
        <v>17273</v>
      </c>
      <c r="C978" s="27" t="s">
        <v>82</v>
      </c>
      <c r="D978" s="28">
        <v>99.4204</v>
      </c>
    </row>
    <row r="979" ht="15.75" customHeight="1" spans="1:4">
      <c r="A979" s="27" t="s">
        <v>15105</v>
      </c>
      <c r="B979" s="5" t="s">
        <v>17274</v>
      </c>
      <c r="C979" s="27" t="s">
        <v>82</v>
      </c>
      <c r="D979" s="28">
        <v>124.8841</v>
      </c>
    </row>
    <row r="980" ht="15.75" customHeight="1" spans="1:4">
      <c r="A980" s="27" t="s">
        <v>15106</v>
      </c>
      <c r="B980" s="5" t="s">
        <v>17275</v>
      </c>
      <c r="C980" s="27" t="s">
        <v>82</v>
      </c>
      <c r="D980" s="28">
        <v>127.2198</v>
      </c>
    </row>
    <row r="981" ht="15.75" customHeight="1" spans="1:4">
      <c r="A981" s="27" t="s">
        <v>15107</v>
      </c>
      <c r="B981" s="5" t="s">
        <v>17276</v>
      </c>
      <c r="C981" s="27" t="s">
        <v>82</v>
      </c>
      <c r="D981" s="28">
        <v>19.0581</v>
      </c>
    </row>
    <row r="982" ht="15.75" customHeight="1" spans="1:4">
      <c r="A982" s="27" t="s">
        <v>15108</v>
      </c>
      <c r="B982" s="5" t="s">
        <v>17277</v>
      </c>
      <c r="C982" s="27" t="s">
        <v>82</v>
      </c>
      <c r="D982" s="28">
        <v>27.888</v>
      </c>
    </row>
    <row r="983" ht="15.75" customHeight="1" spans="1:4">
      <c r="A983" s="27" t="s">
        <v>15109</v>
      </c>
      <c r="B983" s="5" t="s">
        <v>17278</v>
      </c>
      <c r="C983" s="27" t="s">
        <v>82</v>
      </c>
      <c r="D983" s="28">
        <v>24.7696</v>
      </c>
    </row>
    <row r="984" ht="15.75" customHeight="1" spans="1:4">
      <c r="A984" s="27" t="s">
        <v>15110</v>
      </c>
      <c r="B984" s="5" t="s">
        <v>17279</v>
      </c>
      <c r="C984" s="27" t="s">
        <v>82</v>
      </c>
      <c r="D984" s="28">
        <v>34.3563</v>
      </c>
    </row>
    <row r="985" ht="15.75" customHeight="1" spans="1:4">
      <c r="A985" s="27" t="s">
        <v>15111</v>
      </c>
      <c r="B985" s="5" t="s">
        <v>17280</v>
      </c>
      <c r="C985" s="27" t="s">
        <v>82</v>
      </c>
      <c r="D985" s="28">
        <v>54.2875</v>
      </c>
    </row>
    <row r="986" ht="15.75" customHeight="1" spans="1:4">
      <c r="A986" s="27" t="s">
        <v>15112</v>
      </c>
      <c r="B986" s="5" t="s">
        <v>17281</v>
      </c>
      <c r="C986" s="27" t="s">
        <v>82</v>
      </c>
      <c r="D986" s="28">
        <v>55.3163</v>
      </c>
    </row>
    <row r="987" ht="15.75" customHeight="1" spans="1:4">
      <c r="A987" s="27" t="s">
        <v>15113</v>
      </c>
      <c r="B987" s="5" t="s">
        <v>17282</v>
      </c>
      <c r="C987" s="27" t="s">
        <v>82</v>
      </c>
      <c r="D987" s="28">
        <v>59.3906</v>
      </c>
    </row>
    <row r="988" ht="15.75" customHeight="1" spans="1:4">
      <c r="A988" s="27" t="s">
        <v>15114</v>
      </c>
      <c r="B988" s="5" t="s">
        <v>17283</v>
      </c>
      <c r="C988" s="27" t="s">
        <v>82</v>
      </c>
      <c r="D988" s="28">
        <v>57.0349</v>
      </c>
    </row>
    <row r="989" ht="30" customHeight="1" spans="1:4">
      <c r="A989" s="27" t="s">
        <v>15115</v>
      </c>
      <c r="B989" s="5" t="s">
        <v>17284</v>
      </c>
      <c r="C989" s="27" t="s">
        <v>9</v>
      </c>
      <c r="D989" s="28">
        <v>8.5551</v>
      </c>
    </row>
    <row r="990" ht="15.75" customHeight="1" spans="1:4">
      <c r="A990" s="27" t="s">
        <v>15116</v>
      </c>
      <c r="B990" s="5" t="s">
        <v>17285</v>
      </c>
      <c r="C990" s="27" t="s">
        <v>9</v>
      </c>
      <c r="D990" s="28">
        <v>14.3762</v>
      </c>
    </row>
    <row r="991" ht="15.75" customHeight="1" spans="1:4">
      <c r="A991" s="27" t="s">
        <v>15117</v>
      </c>
      <c r="B991" s="5" t="s">
        <v>17286</v>
      </c>
      <c r="C991" s="27" t="s">
        <v>9</v>
      </c>
      <c r="D991" s="28">
        <v>15.8416</v>
      </c>
    </row>
    <row r="992" ht="15.75" customHeight="1" spans="1:4">
      <c r="A992" s="27" t="s">
        <v>15118</v>
      </c>
      <c r="B992" s="5" t="s">
        <v>17287</v>
      </c>
      <c r="C992" s="27" t="s">
        <v>9</v>
      </c>
      <c r="D992" s="28">
        <v>17.1911</v>
      </c>
    </row>
    <row r="993" ht="15.75" customHeight="1" spans="1:4">
      <c r="A993" s="27" t="s">
        <v>15119</v>
      </c>
      <c r="B993" s="5" t="s">
        <v>17288</v>
      </c>
      <c r="C993" s="27" t="s">
        <v>9</v>
      </c>
      <c r="D993" s="28">
        <v>18.7409</v>
      </c>
    </row>
    <row r="994" ht="15.75" customHeight="1" spans="1:4">
      <c r="A994" s="27" t="s">
        <v>15120</v>
      </c>
      <c r="B994" s="5" t="s">
        <v>17289</v>
      </c>
      <c r="C994" s="27" t="s">
        <v>9</v>
      </c>
      <c r="D994" s="28">
        <v>21.2265</v>
      </c>
    </row>
    <row r="995" ht="15.75" customHeight="1" spans="1:4">
      <c r="A995" s="27" t="s">
        <v>15121</v>
      </c>
      <c r="B995" s="5" t="s">
        <v>17290</v>
      </c>
      <c r="C995" s="27" t="s">
        <v>9</v>
      </c>
      <c r="D995" s="28">
        <v>22.3918</v>
      </c>
    </row>
    <row r="996" ht="15.75" customHeight="1" spans="1:4">
      <c r="A996" s="27" t="s">
        <v>15122</v>
      </c>
      <c r="B996" s="5" t="s">
        <v>17291</v>
      </c>
      <c r="C996" s="27" t="s">
        <v>9</v>
      </c>
      <c r="D996" s="28">
        <v>24.1478</v>
      </c>
    </row>
    <row r="997" ht="15.75" customHeight="1" spans="1:4">
      <c r="A997" s="27" t="s">
        <v>15123</v>
      </c>
      <c r="B997" s="5" t="s">
        <v>17292</v>
      </c>
      <c r="C997" s="27" t="s">
        <v>9</v>
      </c>
      <c r="D997" s="28">
        <v>25.0119</v>
      </c>
    </row>
    <row r="998" ht="15.75" customHeight="1" spans="1:4">
      <c r="A998" s="27" t="s">
        <v>15124</v>
      </c>
      <c r="B998" s="5" t="s">
        <v>17293</v>
      </c>
      <c r="C998" s="27" t="s">
        <v>9</v>
      </c>
      <c r="D998" s="28">
        <v>27.5465</v>
      </c>
    </row>
    <row r="999" ht="15.75" customHeight="1" spans="1:4">
      <c r="A999" s="27" t="s">
        <v>15125</v>
      </c>
      <c r="B999" s="5" t="s">
        <v>17294</v>
      </c>
      <c r="C999" s="27" t="s">
        <v>9</v>
      </c>
      <c r="D999" s="28">
        <v>29.4148</v>
      </c>
    </row>
    <row r="1000" ht="15.75" customHeight="1" spans="1:4">
      <c r="A1000" s="27" t="s">
        <v>15126</v>
      </c>
      <c r="B1000" s="5" t="s">
        <v>17295</v>
      </c>
      <c r="C1000" s="27" t="s">
        <v>9</v>
      </c>
      <c r="D1000" s="28">
        <v>32.9603</v>
      </c>
    </row>
    <row r="1001" ht="15.75" customHeight="1" spans="1:4">
      <c r="A1001" s="27" t="s">
        <v>15127</v>
      </c>
      <c r="B1001" s="5" t="s">
        <v>17296</v>
      </c>
      <c r="C1001" s="27" t="s">
        <v>9</v>
      </c>
      <c r="D1001" s="28">
        <v>31.324</v>
      </c>
    </row>
    <row r="1002" ht="15.75" customHeight="1" spans="1:4">
      <c r="A1002" s="27" t="s">
        <v>15128</v>
      </c>
      <c r="B1002" s="5" t="s">
        <v>17297</v>
      </c>
      <c r="C1002" s="27" t="s">
        <v>9</v>
      </c>
      <c r="D1002" s="28">
        <v>37.2994</v>
      </c>
    </row>
    <row r="1003" ht="15.75" customHeight="1" spans="1:4">
      <c r="A1003" s="27" t="s">
        <v>15129</v>
      </c>
      <c r="B1003" s="5" t="s">
        <v>17298</v>
      </c>
      <c r="C1003" s="27" t="s">
        <v>9</v>
      </c>
      <c r="D1003" s="28">
        <v>41.6941</v>
      </c>
    </row>
    <row r="1004" ht="15.75" customHeight="1" spans="1:4">
      <c r="A1004" s="27" t="s">
        <v>15130</v>
      </c>
      <c r="B1004" s="5" t="s">
        <v>17299</v>
      </c>
      <c r="C1004" s="27" t="s">
        <v>9</v>
      </c>
      <c r="D1004" s="28">
        <v>44.6419</v>
      </c>
    </row>
    <row r="1005" ht="15.75" customHeight="1" spans="1:4">
      <c r="A1005" s="27" t="s">
        <v>15131</v>
      </c>
      <c r="B1005" s="5" t="s">
        <v>17300</v>
      </c>
      <c r="C1005" s="27" t="s">
        <v>9</v>
      </c>
      <c r="D1005" s="28">
        <v>47.1507</v>
      </c>
    </row>
    <row r="1006" ht="15.75" customHeight="1" spans="1:4">
      <c r="A1006" s="27" t="s">
        <v>15132</v>
      </c>
      <c r="B1006" s="5" t="s">
        <v>17301</v>
      </c>
      <c r="C1006" s="27" t="s">
        <v>9</v>
      </c>
      <c r="D1006" s="28">
        <v>12.1906</v>
      </c>
    </row>
    <row r="1007" ht="15.75" customHeight="1" spans="1:4">
      <c r="A1007" s="27" t="s">
        <v>15133</v>
      </c>
      <c r="B1007" s="5" t="s">
        <v>17302</v>
      </c>
      <c r="C1007" s="27" t="s">
        <v>9</v>
      </c>
      <c r="D1007" s="28">
        <v>15.3965</v>
      </c>
    </row>
    <row r="1008" ht="15.75" customHeight="1" spans="1:4">
      <c r="A1008" s="27" t="s">
        <v>15134</v>
      </c>
      <c r="B1008" s="5" t="s">
        <v>17303</v>
      </c>
      <c r="C1008" s="27" t="s">
        <v>9</v>
      </c>
      <c r="D1008" s="28">
        <v>15.7572</v>
      </c>
    </row>
    <row r="1009" ht="15.75" customHeight="1" spans="1:4">
      <c r="A1009" s="27" t="s">
        <v>15135</v>
      </c>
      <c r="B1009" s="5" t="s">
        <v>17304</v>
      </c>
      <c r="C1009" s="27" t="s">
        <v>9</v>
      </c>
      <c r="D1009" s="28">
        <v>12.4683</v>
      </c>
    </row>
    <row r="1010" ht="15.75" customHeight="1" spans="1:4">
      <c r="A1010" s="27" t="s">
        <v>15136</v>
      </c>
      <c r="B1010" s="5" t="s">
        <v>17305</v>
      </c>
      <c r="C1010" s="27" t="s">
        <v>9</v>
      </c>
      <c r="D1010" s="28">
        <v>16.8744</v>
      </c>
    </row>
    <row r="1011" ht="15.75" customHeight="1" spans="1:4">
      <c r="A1011" s="27" t="s">
        <v>15137</v>
      </c>
      <c r="B1011" s="5" t="s">
        <v>17306</v>
      </c>
      <c r="C1011" s="27" t="s">
        <v>9</v>
      </c>
      <c r="D1011" s="28">
        <v>18.3515</v>
      </c>
    </row>
    <row r="1012" ht="15.75" customHeight="1" spans="1:4">
      <c r="A1012" s="27" t="s">
        <v>15138</v>
      </c>
      <c r="B1012" s="5" t="s">
        <v>17307</v>
      </c>
      <c r="C1012" s="27" t="s">
        <v>82</v>
      </c>
      <c r="D1012" s="28">
        <v>0.5381</v>
      </c>
    </row>
    <row r="1013" ht="30" customHeight="1" spans="1:4">
      <c r="A1013" s="27" t="s">
        <v>15139</v>
      </c>
      <c r="B1013" s="5" t="s">
        <v>17308</v>
      </c>
      <c r="C1013" s="27" t="s">
        <v>82</v>
      </c>
      <c r="D1013" s="28">
        <v>1452.382</v>
      </c>
    </row>
    <row r="1014" ht="30" customHeight="1" spans="1:4">
      <c r="A1014" s="27" t="s">
        <v>15140</v>
      </c>
      <c r="B1014" s="5" t="s">
        <v>17309</v>
      </c>
      <c r="C1014" s="27" t="s">
        <v>82</v>
      </c>
      <c r="D1014" s="28">
        <v>2695.8296</v>
      </c>
    </row>
    <row r="1015" ht="30" customHeight="1" spans="1:4">
      <c r="A1015" s="27" t="s">
        <v>17310</v>
      </c>
      <c r="B1015" s="5" t="s">
        <v>17311</v>
      </c>
      <c r="C1015" s="27" t="s">
        <v>82</v>
      </c>
      <c r="D1015" s="28">
        <v>32.3295</v>
      </c>
    </row>
    <row r="1016" ht="15.75" customHeight="1" spans="1:4">
      <c r="A1016" s="27" t="s">
        <v>15141</v>
      </c>
      <c r="B1016" s="5" t="s">
        <v>17312</v>
      </c>
      <c r="C1016" s="27" t="s">
        <v>9</v>
      </c>
      <c r="D1016" s="28">
        <v>3126.743</v>
      </c>
    </row>
    <row r="1017" ht="15.75" customHeight="1" spans="1:4">
      <c r="A1017" s="27" t="s">
        <v>15142</v>
      </c>
      <c r="B1017" s="5" t="s">
        <v>17313</v>
      </c>
      <c r="C1017" s="27" t="s">
        <v>9</v>
      </c>
      <c r="D1017" s="28">
        <v>3550.174</v>
      </c>
    </row>
    <row r="1018" ht="15.75" customHeight="1" spans="1:4">
      <c r="A1018" s="27" t="s">
        <v>15143</v>
      </c>
      <c r="B1018" s="5" t="s">
        <v>17314</v>
      </c>
      <c r="C1018" s="27" t="s">
        <v>9</v>
      </c>
      <c r="D1018" s="28">
        <v>4201.5991</v>
      </c>
    </row>
    <row r="1019" ht="15.75" customHeight="1" spans="1:4">
      <c r="A1019" s="27" t="s">
        <v>15144</v>
      </c>
      <c r="B1019" s="5" t="s">
        <v>17315</v>
      </c>
      <c r="C1019" s="27" t="s">
        <v>9</v>
      </c>
      <c r="D1019" s="28">
        <v>4798.8683</v>
      </c>
    </row>
    <row r="1020" ht="15.75" customHeight="1" spans="1:4">
      <c r="A1020" s="27" t="s">
        <v>15145</v>
      </c>
      <c r="B1020" s="5" t="s">
        <v>17316</v>
      </c>
      <c r="C1020" s="27" t="s">
        <v>9</v>
      </c>
      <c r="D1020" s="28">
        <v>5288.6996</v>
      </c>
    </row>
    <row r="1021" ht="15.75" customHeight="1" spans="1:4">
      <c r="A1021" s="27" t="s">
        <v>15146</v>
      </c>
      <c r="B1021" s="5" t="s">
        <v>17317</v>
      </c>
      <c r="C1021" s="27" t="s">
        <v>9</v>
      </c>
      <c r="D1021" s="28">
        <v>5844.1322</v>
      </c>
    </row>
    <row r="1022" ht="15.75" customHeight="1" spans="1:4">
      <c r="A1022" s="27" t="s">
        <v>15147</v>
      </c>
      <c r="B1022" s="5" t="s">
        <v>17318</v>
      </c>
      <c r="C1022" s="27" t="s">
        <v>9</v>
      </c>
      <c r="D1022" s="28">
        <v>6301.2082</v>
      </c>
    </row>
    <row r="1023" ht="15.75" customHeight="1" spans="1:4">
      <c r="A1023" s="27" t="s">
        <v>15148</v>
      </c>
      <c r="B1023" s="5" t="s">
        <v>17319</v>
      </c>
      <c r="C1023" s="27" t="s">
        <v>9</v>
      </c>
      <c r="D1023" s="28">
        <v>6855.9483</v>
      </c>
    </row>
    <row r="1024" ht="15.75" customHeight="1" spans="1:4">
      <c r="A1024" s="27" t="s">
        <v>15149</v>
      </c>
      <c r="B1024" s="5" t="s">
        <v>17320</v>
      </c>
      <c r="C1024" s="27" t="s">
        <v>9</v>
      </c>
      <c r="D1024" s="28">
        <v>7345.1745</v>
      </c>
    </row>
    <row r="1025" ht="15.75" customHeight="1" spans="1:4">
      <c r="A1025" s="27" t="s">
        <v>15150</v>
      </c>
      <c r="B1025" s="5" t="s">
        <v>17321</v>
      </c>
      <c r="C1025" s="27" t="s">
        <v>9</v>
      </c>
      <c r="D1025" s="28">
        <v>7933.2853</v>
      </c>
    </row>
    <row r="1026" ht="15.75" customHeight="1" spans="1:4">
      <c r="A1026" s="27" t="s">
        <v>15151</v>
      </c>
      <c r="B1026" s="5" t="s">
        <v>17322</v>
      </c>
      <c r="C1026" s="27" t="s">
        <v>9</v>
      </c>
      <c r="D1026" s="28">
        <v>9532.8823</v>
      </c>
    </row>
    <row r="1027" ht="15.75" customHeight="1" spans="1:4">
      <c r="A1027" s="27" t="s">
        <v>15152</v>
      </c>
      <c r="B1027" s="5" t="s">
        <v>17323</v>
      </c>
      <c r="C1027" s="27" t="s">
        <v>9</v>
      </c>
      <c r="D1027" s="28">
        <v>10206.7645</v>
      </c>
    </row>
    <row r="1028" ht="15.75" customHeight="1" spans="1:4">
      <c r="A1028" s="27" t="s">
        <v>15153</v>
      </c>
      <c r="B1028" s="5" t="s">
        <v>17324</v>
      </c>
      <c r="C1028" s="27" t="s">
        <v>9</v>
      </c>
      <c r="D1028" s="28">
        <v>10728.2777</v>
      </c>
    </row>
    <row r="1029" ht="15.75" customHeight="1" spans="1:4">
      <c r="A1029" s="27" t="s">
        <v>15154</v>
      </c>
      <c r="B1029" s="5" t="s">
        <v>17325</v>
      </c>
      <c r="C1029" s="27" t="s">
        <v>9</v>
      </c>
      <c r="D1029" s="28">
        <v>11341.4141</v>
      </c>
    </row>
    <row r="1030" ht="15.75" customHeight="1" spans="1:4">
      <c r="A1030" s="27" t="s">
        <v>15155</v>
      </c>
      <c r="B1030" s="5" t="s">
        <v>17326</v>
      </c>
      <c r="C1030" s="27" t="s">
        <v>9</v>
      </c>
      <c r="D1030" s="28">
        <v>11897.5149</v>
      </c>
    </row>
    <row r="1031" ht="15.75" customHeight="1" spans="1:4">
      <c r="A1031" s="27" t="s">
        <v>15156</v>
      </c>
      <c r="B1031" s="5" t="s">
        <v>17327</v>
      </c>
      <c r="C1031" s="27" t="s">
        <v>9</v>
      </c>
      <c r="D1031" s="28">
        <v>14896.2742</v>
      </c>
    </row>
    <row r="1032" ht="15.75" customHeight="1" spans="1:4">
      <c r="A1032" s="27" t="s">
        <v>15157</v>
      </c>
      <c r="B1032" s="5" t="s">
        <v>17328</v>
      </c>
      <c r="C1032" s="27" t="s">
        <v>9</v>
      </c>
      <c r="D1032" s="28">
        <v>15542.202</v>
      </c>
    </row>
    <row r="1033" ht="15.75" customHeight="1" spans="1:4">
      <c r="A1033" s="27" t="s">
        <v>15158</v>
      </c>
      <c r="B1033" s="5" t="s">
        <v>17329</v>
      </c>
      <c r="C1033" s="27" t="s">
        <v>9</v>
      </c>
      <c r="D1033" s="28">
        <v>16304.8361</v>
      </c>
    </row>
    <row r="1034" ht="15.75" customHeight="1" spans="1:4">
      <c r="A1034" s="27" t="s">
        <v>15159</v>
      </c>
      <c r="B1034" s="5" t="s">
        <v>17330</v>
      </c>
      <c r="C1034" s="27" t="s">
        <v>9</v>
      </c>
      <c r="D1034" s="28">
        <v>18701.8039</v>
      </c>
    </row>
    <row r="1035" ht="15.75" customHeight="1" spans="1:4">
      <c r="A1035" s="27" t="s">
        <v>15160</v>
      </c>
      <c r="B1035" s="5" t="s">
        <v>17331</v>
      </c>
      <c r="C1035" s="27" t="s">
        <v>9</v>
      </c>
      <c r="D1035" s="28">
        <v>19567.3144</v>
      </c>
    </row>
    <row r="1036" ht="30" customHeight="1" spans="1:4">
      <c r="A1036" s="27" t="s">
        <v>15161</v>
      </c>
      <c r="B1036" s="5" t="s">
        <v>17332</v>
      </c>
      <c r="C1036" s="27" t="s">
        <v>9</v>
      </c>
      <c r="D1036" s="28">
        <v>3274.1278</v>
      </c>
    </row>
    <row r="1037" ht="30" customHeight="1" spans="1:4">
      <c r="A1037" s="27" t="s">
        <v>15162</v>
      </c>
      <c r="B1037" s="5" t="s">
        <v>17333</v>
      </c>
      <c r="C1037" s="27" t="s">
        <v>9</v>
      </c>
      <c r="D1037" s="28">
        <v>3717.5172</v>
      </c>
    </row>
    <row r="1038" ht="30" customHeight="1" spans="1:4">
      <c r="A1038" s="27" t="s">
        <v>15163</v>
      </c>
      <c r="B1038" s="5" t="s">
        <v>17334</v>
      </c>
      <c r="C1038" s="27" t="s">
        <v>9</v>
      </c>
      <c r="D1038" s="28">
        <v>4399.6475</v>
      </c>
    </row>
    <row r="1039" ht="30" customHeight="1" spans="1:4">
      <c r="A1039" s="27" t="s">
        <v>15164</v>
      </c>
      <c r="B1039" s="5" t="s">
        <v>17335</v>
      </c>
      <c r="C1039" s="27" t="s">
        <v>9</v>
      </c>
      <c r="D1039" s="28">
        <v>5024.5514</v>
      </c>
    </row>
    <row r="1040" ht="30" customHeight="1" spans="1:4">
      <c r="A1040" s="27" t="s">
        <v>15165</v>
      </c>
      <c r="B1040" s="5" t="s">
        <v>17336</v>
      </c>
      <c r="C1040" s="27" t="s">
        <v>9</v>
      </c>
      <c r="D1040" s="28">
        <v>5537.4115</v>
      </c>
    </row>
    <row r="1041" ht="30" customHeight="1" spans="1:4">
      <c r="A1041" s="27" t="s">
        <v>15166</v>
      </c>
      <c r="B1041" s="5" t="s">
        <v>17337</v>
      </c>
      <c r="C1041" s="27" t="s">
        <v>9</v>
      </c>
      <c r="D1041" s="28">
        <v>6118.9435</v>
      </c>
    </row>
    <row r="1042" ht="30" customHeight="1" spans="1:4">
      <c r="A1042" s="27" t="s">
        <v>15167</v>
      </c>
      <c r="B1042" s="5" t="s">
        <v>17338</v>
      </c>
      <c r="C1042" s="27" t="s">
        <v>9</v>
      </c>
      <c r="D1042" s="28">
        <v>6597.5131</v>
      </c>
    </row>
    <row r="1043" ht="30" customHeight="1" spans="1:4">
      <c r="A1043" s="27" t="s">
        <v>15168</v>
      </c>
      <c r="B1043" s="5" t="s">
        <v>17339</v>
      </c>
      <c r="C1043" s="27" t="s">
        <v>9</v>
      </c>
      <c r="D1043" s="28">
        <v>7178.3526</v>
      </c>
    </row>
    <row r="1044" ht="30" customHeight="1" spans="1:4">
      <c r="A1044" s="27" t="s">
        <v>15169</v>
      </c>
      <c r="B1044" s="5" t="s">
        <v>17340</v>
      </c>
      <c r="C1044" s="27" t="s">
        <v>9</v>
      </c>
      <c r="D1044" s="28">
        <v>7690.6077</v>
      </c>
    </row>
    <row r="1045" ht="30" customHeight="1" spans="1:4">
      <c r="A1045" s="27" t="s">
        <v>15170</v>
      </c>
      <c r="B1045" s="5" t="s">
        <v>17341</v>
      </c>
      <c r="C1045" s="27" t="s">
        <v>9</v>
      </c>
      <c r="D1045" s="28">
        <v>8306.3532</v>
      </c>
    </row>
    <row r="1046" ht="30" customHeight="1" spans="1:4">
      <c r="A1046" s="27" t="s">
        <v>15171</v>
      </c>
      <c r="B1046" s="5" t="s">
        <v>17342</v>
      </c>
      <c r="C1046" s="27" t="s">
        <v>9</v>
      </c>
      <c r="D1046" s="28">
        <v>10078.5571</v>
      </c>
    </row>
    <row r="1047" ht="30" customHeight="1" spans="1:4">
      <c r="A1047" s="27" t="s">
        <v>15172</v>
      </c>
      <c r="B1047" s="5" t="s">
        <v>17343</v>
      </c>
      <c r="C1047" s="27" t="s">
        <v>9</v>
      </c>
      <c r="D1047" s="28">
        <v>1297.5224</v>
      </c>
    </row>
    <row r="1048" ht="30" customHeight="1" spans="1:4">
      <c r="A1048" s="27" t="s">
        <v>15173</v>
      </c>
      <c r="B1048" s="5" t="s">
        <v>17344</v>
      </c>
      <c r="C1048" s="27" t="s">
        <v>9</v>
      </c>
      <c r="D1048" s="28">
        <v>1500.2603</v>
      </c>
    </row>
    <row r="1049" ht="30" customHeight="1" spans="1:4">
      <c r="A1049" s="27" t="s">
        <v>15174</v>
      </c>
      <c r="B1049" s="5" t="s">
        <v>17345</v>
      </c>
      <c r="C1049" s="27" t="s">
        <v>9</v>
      </c>
      <c r="D1049" s="28">
        <v>1703.0016</v>
      </c>
    </row>
    <row r="1050" ht="30" customHeight="1" spans="1:4">
      <c r="A1050" s="27" t="s">
        <v>15175</v>
      </c>
      <c r="B1050" s="5" t="s">
        <v>17346</v>
      </c>
      <c r="C1050" s="27" t="s">
        <v>9</v>
      </c>
      <c r="D1050" s="28">
        <v>1865.19</v>
      </c>
    </row>
    <row r="1051" ht="30" customHeight="1" spans="1:4">
      <c r="A1051" s="27" t="s">
        <v>15176</v>
      </c>
      <c r="B1051" s="5" t="s">
        <v>17347</v>
      </c>
      <c r="C1051" s="27" t="s">
        <v>9</v>
      </c>
      <c r="D1051" s="28">
        <v>2067.9305</v>
      </c>
    </row>
    <row r="1052" ht="30" customHeight="1" spans="1:4">
      <c r="A1052" s="27" t="s">
        <v>15177</v>
      </c>
      <c r="B1052" s="5" t="s">
        <v>17348</v>
      </c>
      <c r="C1052" s="27" t="s">
        <v>9</v>
      </c>
      <c r="D1052" s="28">
        <v>2351.7794</v>
      </c>
    </row>
    <row r="1053" ht="30" customHeight="1" spans="1:4">
      <c r="A1053" s="27" t="s">
        <v>15178</v>
      </c>
      <c r="B1053" s="5" t="s">
        <v>17349</v>
      </c>
      <c r="C1053" s="27" t="s">
        <v>9</v>
      </c>
      <c r="D1053" s="28">
        <v>2513.971</v>
      </c>
    </row>
    <row r="1054" ht="30" customHeight="1" spans="1:4">
      <c r="A1054" s="27" t="s">
        <v>15179</v>
      </c>
      <c r="B1054" s="5" t="s">
        <v>17350</v>
      </c>
      <c r="C1054" s="27" t="s">
        <v>9</v>
      </c>
      <c r="D1054" s="28">
        <v>2716.7068</v>
      </c>
    </row>
    <row r="1055" ht="30" customHeight="1" spans="1:4">
      <c r="A1055" s="27" t="s">
        <v>15180</v>
      </c>
      <c r="B1055" s="5" t="s">
        <v>17351</v>
      </c>
      <c r="C1055" s="27" t="s">
        <v>9</v>
      </c>
      <c r="D1055" s="28">
        <v>2878.9064</v>
      </c>
    </row>
    <row r="1056" ht="30" customHeight="1" spans="1:4">
      <c r="A1056" s="27" t="s">
        <v>15181</v>
      </c>
      <c r="B1056" s="5" t="s">
        <v>17352</v>
      </c>
      <c r="C1056" s="27" t="s">
        <v>9</v>
      </c>
      <c r="D1056" s="28">
        <v>3081.6157</v>
      </c>
    </row>
    <row r="1057" ht="30" customHeight="1" spans="1:4">
      <c r="A1057" s="27" t="s">
        <v>15182</v>
      </c>
      <c r="B1057" s="5" t="s">
        <v>17353</v>
      </c>
      <c r="C1057" s="27" t="s">
        <v>9</v>
      </c>
      <c r="D1057" s="28">
        <v>3284.3782</v>
      </c>
    </row>
    <row r="1058" ht="30" customHeight="1" spans="1:4">
      <c r="A1058" s="27" t="s">
        <v>15183</v>
      </c>
      <c r="B1058" s="5" t="s">
        <v>17354</v>
      </c>
      <c r="C1058" s="27" t="s">
        <v>9</v>
      </c>
      <c r="D1058" s="28">
        <v>3446.5627</v>
      </c>
    </row>
    <row r="1059" ht="30" customHeight="1" spans="1:4">
      <c r="A1059" s="27" t="s">
        <v>15184</v>
      </c>
      <c r="B1059" s="5" t="s">
        <v>17355</v>
      </c>
      <c r="C1059" s="27" t="s">
        <v>9</v>
      </c>
      <c r="D1059" s="28">
        <v>3649.2759</v>
      </c>
    </row>
    <row r="1060" ht="30" customHeight="1" spans="1:4">
      <c r="A1060" s="27" t="s">
        <v>15185</v>
      </c>
      <c r="B1060" s="5" t="s">
        <v>17356</v>
      </c>
      <c r="C1060" s="27" t="s">
        <v>9</v>
      </c>
      <c r="D1060" s="28">
        <v>4258.888</v>
      </c>
    </row>
    <row r="1061" ht="30" customHeight="1" spans="1:4">
      <c r="A1061" s="27" t="s">
        <v>15186</v>
      </c>
      <c r="B1061" s="5" t="s">
        <v>17357</v>
      </c>
      <c r="C1061" s="27" t="s">
        <v>9</v>
      </c>
      <c r="D1061" s="28">
        <v>4489.1241</v>
      </c>
    </row>
    <row r="1062" ht="30" customHeight="1" spans="1:4">
      <c r="A1062" s="27" t="s">
        <v>15187</v>
      </c>
      <c r="B1062" s="5" t="s">
        <v>17358</v>
      </c>
      <c r="C1062" s="27" t="s">
        <v>9</v>
      </c>
      <c r="D1062" s="28">
        <v>4795.9989</v>
      </c>
    </row>
    <row r="1063" ht="30" customHeight="1" spans="1:4">
      <c r="A1063" s="27" t="s">
        <v>15188</v>
      </c>
      <c r="B1063" s="5" t="s">
        <v>17359</v>
      </c>
      <c r="C1063" s="27" t="s">
        <v>9</v>
      </c>
      <c r="D1063" s="28">
        <v>4911.1785</v>
      </c>
    </row>
    <row r="1064" ht="30" customHeight="1" spans="1:4">
      <c r="A1064" s="27" t="s">
        <v>15189</v>
      </c>
      <c r="B1064" s="5" t="s">
        <v>17360</v>
      </c>
      <c r="C1064" s="27" t="s">
        <v>9</v>
      </c>
      <c r="D1064" s="28">
        <v>5102.993</v>
      </c>
    </row>
    <row r="1065" ht="30" customHeight="1" spans="1:4">
      <c r="A1065" s="27" t="s">
        <v>15190</v>
      </c>
      <c r="B1065" s="5" t="s">
        <v>17361</v>
      </c>
      <c r="C1065" s="27" t="s">
        <v>9</v>
      </c>
      <c r="D1065" s="28">
        <v>6764.8821</v>
      </c>
    </row>
    <row r="1066" ht="30" customHeight="1" spans="1:4">
      <c r="A1066" s="27" t="s">
        <v>15191</v>
      </c>
      <c r="B1066" s="5" t="s">
        <v>17362</v>
      </c>
      <c r="C1066" s="27" t="s">
        <v>9</v>
      </c>
      <c r="D1066" s="28">
        <v>8599.3386</v>
      </c>
    </row>
    <row r="1067" ht="30" customHeight="1" spans="1:4">
      <c r="A1067" s="27" t="s">
        <v>15192</v>
      </c>
      <c r="B1067" s="5" t="s">
        <v>17363</v>
      </c>
      <c r="C1067" s="27" t="s">
        <v>9</v>
      </c>
      <c r="D1067" s="28">
        <v>9088.286</v>
      </c>
    </row>
    <row r="1068" ht="30" customHeight="1" spans="1:4">
      <c r="A1068" s="27" t="s">
        <v>15193</v>
      </c>
      <c r="B1068" s="5" t="s">
        <v>17364</v>
      </c>
      <c r="C1068" s="27" t="s">
        <v>9</v>
      </c>
      <c r="D1068" s="28">
        <v>9263.4867</v>
      </c>
    </row>
    <row r="1069" ht="30" customHeight="1" spans="1:4">
      <c r="A1069" s="27" t="s">
        <v>15194</v>
      </c>
      <c r="B1069" s="5" t="s">
        <v>17365</v>
      </c>
      <c r="C1069" s="27" t="s">
        <v>9</v>
      </c>
      <c r="D1069" s="28">
        <v>9717.9841</v>
      </c>
    </row>
    <row r="1070" ht="30" customHeight="1" spans="1:4">
      <c r="A1070" s="27" t="s">
        <v>15195</v>
      </c>
      <c r="B1070" s="5" t="s">
        <v>17366</v>
      </c>
      <c r="C1070" s="27" t="s">
        <v>9</v>
      </c>
      <c r="D1070" s="28">
        <v>6440.7835</v>
      </c>
    </row>
    <row r="1071" ht="30" customHeight="1" spans="1:4">
      <c r="A1071" s="27" t="s">
        <v>15196</v>
      </c>
      <c r="B1071" s="5" t="s">
        <v>17367</v>
      </c>
      <c r="C1071" s="27" t="s">
        <v>9</v>
      </c>
      <c r="D1071" s="28">
        <v>7787.9165</v>
      </c>
    </row>
    <row r="1072" ht="30" customHeight="1" spans="1:4">
      <c r="A1072" s="27" t="s">
        <v>15197</v>
      </c>
      <c r="B1072" s="5" t="s">
        <v>17368</v>
      </c>
      <c r="C1072" s="27" t="s">
        <v>9</v>
      </c>
      <c r="D1072" s="28">
        <v>8040.6076</v>
      </c>
    </row>
    <row r="1073" ht="30" customHeight="1" spans="1:4">
      <c r="A1073" s="27" t="s">
        <v>15198</v>
      </c>
      <c r="B1073" s="5" t="s">
        <v>17369</v>
      </c>
      <c r="C1073" s="27" t="s">
        <v>9</v>
      </c>
      <c r="D1073" s="28">
        <v>9135.0798</v>
      </c>
    </row>
    <row r="1074" ht="30" customHeight="1" spans="1:4">
      <c r="A1074" s="27" t="s">
        <v>15199</v>
      </c>
      <c r="B1074" s="5" t="s">
        <v>17370</v>
      </c>
      <c r="C1074" s="27" t="s">
        <v>9</v>
      </c>
      <c r="D1074" s="28">
        <v>9640.3115</v>
      </c>
    </row>
    <row r="1075" ht="30" customHeight="1" spans="1:4">
      <c r="A1075" s="27" t="s">
        <v>15200</v>
      </c>
      <c r="B1075" s="5" t="s">
        <v>17371</v>
      </c>
      <c r="C1075" s="27" t="s">
        <v>9</v>
      </c>
      <c r="D1075" s="28">
        <v>11282.3948</v>
      </c>
    </row>
    <row r="1076" ht="30" customHeight="1" spans="1:4">
      <c r="A1076" s="27" t="s">
        <v>15201</v>
      </c>
      <c r="B1076" s="5" t="s">
        <v>17372</v>
      </c>
      <c r="C1076" s="27" t="s">
        <v>9</v>
      </c>
      <c r="D1076" s="28">
        <v>12881.567</v>
      </c>
    </row>
    <row r="1077" ht="30" customHeight="1" spans="1:4">
      <c r="A1077" s="27" t="s">
        <v>15202</v>
      </c>
      <c r="B1077" s="5" t="s">
        <v>17373</v>
      </c>
      <c r="C1077" s="27" t="s">
        <v>9</v>
      </c>
      <c r="D1077" s="28">
        <v>13681.7559</v>
      </c>
    </row>
    <row r="1078" ht="30" customHeight="1" spans="1:4">
      <c r="A1078" s="27" t="s">
        <v>15203</v>
      </c>
      <c r="B1078" s="5" t="s">
        <v>17374</v>
      </c>
      <c r="C1078" s="27" t="s">
        <v>9</v>
      </c>
      <c r="D1078" s="28">
        <v>14481.9827</v>
      </c>
    </row>
    <row r="1079" ht="30" customHeight="1" spans="1:4">
      <c r="A1079" s="27" t="s">
        <v>15204</v>
      </c>
      <c r="B1079" s="5" t="s">
        <v>17375</v>
      </c>
      <c r="C1079" s="27" t="s">
        <v>9</v>
      </c>
      <c r="D1079" s="28">
        <v>15534.6702</v>
      </c>
    </row>
    <row r="1080" ht="30" customHeight="1" spans="1:4">
      <c r="A1080" s="27" t="s">
        <v>15205</v>
      </c>
      <c r="B1080" s="5" t="s">
        <v>17376</v>
      </c>
      <c r="C1080" s="27" t="s">
        <v>9</v>
      </c>
      <c r="D1080" s="28">
        <v>16081.8191</v>
      </c>
    </row>
    <row r="1081" ht="30" customHeight="1" spans="1:4">
      <c r="A1081" s="27" t="s">
        <v>15206</v>
      </c>
      <c r="B1081" s="5" t="s">
        <v>17377</v>
      </c>
      <c r="C1081" s="27" t="s">
        <v>9</v>
      </c>
      <c r="D1081" s="28">
        <v>17723.9185</v>
      </c>
    </row>
    <row r="1082" ht="30" customHeight="1" spans="1:4">
      <c r="A1082" s="27" t="s">
        <v>15207</v>
      </c>
      <c r="B1082" s="5" t="s">
        <v>17378</v>
      </c>
      <c r="C1082" s="27" t="s">
        <v>9</v>
      </c>
      <c r="D1082" s="28">
        <v>19322.3506</v>
      </c>
    </row>
    <row r="1083" ht="30" customHeight="1" spans="1:4">
      <c r="A1083" s="27" t="s">
        <v>15208</v>
      </c>
      <c r="B1083" s="5" t="s">
        <v>17379</v>
      </c>
      <c r="C1083" s="27" t="s">
        <v>9</v>
      </c>
      <c r="D1083" s="28">
        <v>21940.3763</v>
      </c>
    </row>
    <row r="1084" ht="30" customHeight="1" spans="1:4">
      <c r="A1084" s="27" t="s">
        <v>15209</v>
      </c>
      <c r="B1084" s="5" t="s">
        <v>17380</v>
      </c>
      <c r="C1084" s="27" t="s">
        <v>9</v>
      </c>
      <c r="D1084" s="28">
        <v>22559.8515</v>
      </c>
    </row>
    <row r="1085" ht="30" customHeight="1" spans="1:4">
      <c r="A1085" s="27" t="s">
        <v>15210</v>
      </c>
      <c r="B1085" s="5" t="s">
        <v>17381</v>
      </c>
      <c r="C1085" s="27" t="s">
        <v>9</v>
      </c>
      <c r="D1085" s="28">
        <v>28281.0491</v>
      </c>
    </row>
    <row r="1086" ht="30" customHeight="1" spans="1:4">
      <c r="A1086" s="27" t="s">
        <v>15211</v>
      </c>
      <c r="B1086" s="5" t="s">
        <v>17382</v>
      </c>
      <c r="C1086" s="27" t="s">
        <v>9</v>
      </c>
      <c r="D1086" s="28">
        <v>30304.4817</v>
      </c>
    </row>
    <row r="1087" ht="30" customHeight="1" spans="1:4">
      <c r="A1087" s="27" t="s">
        <v>15212</v>
      </c>
      <c r="B1087" s="5" t="s">
        <v>17383</v>
      </c>
      <c r="C1087" s="27" t="s">
        <v>9</v>
      </c>
      <c r="D1087" s="28">
        <v>37433.8407</v>
      </c>
    </row>
    <row r="1088" ht="30" customHeight="1" spans="1:4">
      <c r="A1088" s="27" t="s">
        <v>15213</v>
      </c>
      <c r="B1088" s="5" t="s">
        <v>17384</v>
      </c>
      <c r="C1088" s="27" t="s">
        <v>9</v>
      </c>
      <c r="D1088" s="28">
        <v>44483.9388</v>
      </c>
    </row>
    <row r="1089" ht="30" customHeight="1" spans="1:4">
      <c r="A1089" s="27" t="s">
        <v>15214</v>
      </c>
      <c r="B1089" s="5" t="s">
        <v>17385</v>
      </c>
      <c r="C1089" s="27" t="s">
        <v>9</v>
      </c>
      <c r="D1089" s="28">
        <v>46927.65</v>
      </c>
    </row>
    <row r="1090" ht="30" customHeight="1" spans="1:4">
      <c r="A1090" s="27" t="s">
        <v>15215</v>
      </c>
      <c r="B1090" s="5" t="s">
        <v>17386</v>
      </c>
      <c r="C1090" s="27" t="s">
        <v>9</v>
      </c>
      <c r="D1090" s="28">
        <v>49695.6423</v>
      </c>
    </row>
    <row r="1091" ht="30" customHeight="1" spans="1:4">
      <c r="A1091" s="27" t="s">
        <v>15216</v>
      </c>
      <c r="B1091" s="5" t="s">
        <v>17387</v>
      </c>
      <c r="C1091" s="27" t="s">
        <v>16553</v>
      </c>
      <c r="D1091" s="28">
        <v>0.8052</v>
      </c>
    </row>
    <row r="1092" ht="30" customHeight="1" spans="1:4">
      <c r="A1092" s="27" t="s">
        <v>17388</v>
      </c>
      <c r="B1092" s="5" t="s">
        <v>17389</v>
      </c>
      <c r="C1092" s="27" t="s">
        <v>9</v>
      </c>
      <c r="D1092" s="28">
        <v>73.9438</v>
      </c>
    </row>
    <row r="1093" ht="30" customHeight="1" spans="1:4">
      <c r="A1093" s="27" t="s">
        <v>17390</v>
      </c>
      <c r="B1093" s="5" t="s">
        <v>17391</v>
      </c>
      <c r="C1093" s="27" t="s">
        <v>9</v>
      </c>
      <c r="D1093" s="28">
        <v>47.7056</v>
      </c>
    </row>
    <row r="1094" ht="30" customHeight="1" spans="1:4">
      <c r="A1094" s="27" t="s">
        <v>17392</v>
      </c>
      <c r="B1094" s="5" t="s">
        <v>17393</v>
      </c>
      <c r="C1094" s="27" t="s">
        <v>9</v>
      </c>
      <c r="D1094" s="28">
        <v>63.0119</v>
      </c>
    </row>
    <row r="1095" ht="30" customHeight="1" spans="1:4">
      <c r="A1095" s="27" t="s">
        <v>17394</v>
      </c>
      <c r="B1095" s="5" t="s">
        <v>17395</v>
      </c>
      <c r="C1095" s="27" t="s">
        <v>9</v>
      </c>
      <c r="D1095" s="28">
        <v>80.5924</v>
      </c>
    </row>
    <row r="1096" ht="30" customHeight="1" spans="1:4">
      <c r="A1096" s="27" t="s">
        <v>17396</v>
      </c>
      <c r="B1096" s="5" t="s">
        <v>17397</v>
      </c>
      <c r="C1096" s="27" t="s">
        <v>9</v>
      </c>
      <c r="D1096" s="28">
        <v>130.3265</v>
      </c>
    </row>
    <row r="1097" ht="30" customHeight="1" spans="1:4">
      <c r="A1097" s="27" t="s">
        <v>17398</v>
      </c>
      <c r="B1097" s="5" t="s">
        <v>17399</v>
      </c>
      <c r="C1097" s="27" t="s">
        <v>9</v>
      </c>
      <c r="D1097" s="28">
        <v>161.6968</v>
      </c>
    </row>
    <row r="1098" ht="15.75" customHeight="1" spans="1:4">
      <c r="A1098" s="27" t="s">
        <v>17400</v>
      </c>
      <c r="B1098" s="5" t="s">
        <v>17401</v>
      </c>
      <c r="C1098" s="27" t="s">
        <v>82</v>
      </c>
      <c r="D1098" s="28">
        <v>200.6628</v>
      </c>
    </row>
    <row r="1099" ht="15.75" customHeight="1" spans="1:4">
      <c r="A1099" s="27" t="s">
        <v>15217</v>
      </c>
      <c r="B1099" s="5" t="s">
        <v>17402</v>
      </c>
      <c r="C1099" s="27" t="s">
        <v>99</v>
      </c>
      <c r="D1099" s="28" t="s">
        <v>14799</v>
      </c>
    </row>
    <row r="1100" ht="15.75" customHeight="1" spans="1:4">
      <c r="A1100" s="27" t="s">
        <v>15218</v>
      </c>
      <c r="B1100" s="5" t="s">
        <v>17403</v>
      </c>
      <c r="C1100" s="27" t="s">
        <v>99</v>
      </c>
      <c r="D1100" s="28" t="s">
        <v>14799</v>
      </c>
    </row>
    <row r="1101" ht="15.75" customHeight="1" spans="1:4">
      <c r="A1101" s="27" t="s">
        <v>15219</v>
      </c>
      <c r="B1101" s="5" t="s">
        <v>17404</v>
      </c>
      <c r="C1101" s="27" t="s">
        <v>99</v>
      </c>
      <c r="D1101" s="28" t="s">
        <v>14799</v>
      </c>
    </row>
    <row r="1102" ht="15.75" customHeight="1" spans="1:4">
      <c r="A1102" s="27" t="s">
        <v>15220</v>
      </c>
      <c r="B1102" s="5" t="s">
        <v>17405</v>
      </c>
      <c r="C1102" s="27" t="s">
        <v>82</v>
      </c>
      <c r="D1102" s="28">
        <v>8263.545</v>
      </c>
    </row>
    <row r="1103" ht="15.75" customHeight="1" spans="1:4">
      <c r="A1103" s="27" t="s">
        <v>15221</v>
      </c>
      <c r="B1103" s="5" t="s">
        <v>17406</v>
      </c>
      <c r="C1103" s="27" t="s">
        <v>82</v>
      </c>
      <c r="D1103" s="28">
        <v>16155.182</v>
      </c>
    </row>
    <row r="1104" ht="15.75" customHeight="1" spans="1:4">
      <c r="A1104" s="27" t="s">
        <v>15222</v>
      </c>
      <c r="B1104" s="5" t="s">
        <v>17407</v>
      </c>
      <c r="C1104" s="27" t="s">
        <v>82</v>
      </c>
      <c r="D1104" s="28">
        <v>13096.9383</v>
      </c>
    </row>
    <row r="1105" ht="15.75" customHeight="1" spans="1:4">
      <c r="A1105" s="27" t="s">
        <v>15223</v>
      </c>
      <c r="B1105" s="5" t="s">
        <v>17408</v>
      </c>
      <c r="C1105" s="27" t="s">
        <v>82</v>
      </c>
      <c r="D1105" s="28">
        <v>15055.1651</v>
      </c>
    </row>
    <row r="1106" ht="15.75" customHeight="1" spans="1:4">
      <c r="A1106" s="27" t="s">
        <v>15224</v>
      </c>
      <c r="B1106" s="5" t="s">
        <v>17409</v>
      </c>
      <c r="C1106" s="27" t="s">
        <v>82</v>
      </c>
      <c r="D1106" s="28">
        <v>18195.1232</v>
      </c>
    </row>
    <row r="1107" ht="15.75" customHeight="1" spans="1:4">
      <c r="A1107" s="27" t="s">
        <v>15225</v>
      </c>
      <c r="B1107" s="5" t="s">
        <v>17410</v>
      </c>
      <c r="C1107" s="27" t="s">
        <v>82</v>
      </c>
      <c r="D1107" s="28">
        <v>20696.5476</v>
      </c>
    </row>
    <row r="1108" ht="15.75" customHeight="1" spans="1:4">
      <c r="A1108" s="27" t="s">
        <v>15226</v>
      </c>
      <c r="B1108" s="5" t="s">
        <v>17411</v>
      </c>
      <c r="C1108" s="27" t="s">
        <v>82</v>
      </c>
      <c r="D1108" s="28">
        <v>25189.9405</v>
      </c>
    </row>
    <row r="1109" ht="15.75" customHeight="1" spans="1:4">
      <c r="A1109" s="27" t="s">
        <v>15227</v>
      </c>
      <c r="B1109" s="5" t="s">
        <v>17412</v>
      </c>
      <c r="C1109" s="27" t="s">
        <v>82</v>
      </c>
      <c r="D1109" s="28">
        <v>34412.3018</v>
      </c>
    </row>
    <row r="1110" ht="15.75" customHeight="1" spans="1:4">
      <c r="A1110" s="27" t="s">
        <v>15228</v>
      </c>
      <c r="B1110" s="5" t="s">
        <v>17413</v>
      </c>
      <c r="C1110" s="27" t="s">
        <v>82</v>
      </c>
      <c r="D1110" s="28">
        <v>11872.096</v>
      </c>
    </row>
    <row r="1111" ht="15.75" customHeight="1" spans="1:4">
      <c r="A1111" s="27" t="s">
        <v>15229</v>
      </c>
      <c r="B1111" s="5" t="s">
        <v>17414</v>
      </c>
      <c r="C1111" s="27" t="s">
        <v>82</v>
      </c>
      <c r="D1111" s="28">
        <v>19742.6099</v>
      </c>
    </row>
    <row r="1112" ht="15.75" customHeight="1" spans="1:4">
      <c r="A1112" s="27" t="s">
        <v>15230</v>
      </c>
      <c r="B1112" s="5" t="s">
        <v>17415</v>
      </c>
      <c r="C1112" s="27" t="s">
        <v>82</v>
      </c>
      <c r="D1112" s="28">
        <v>23468.9201</v>
      </c>
    </row>
    <row r="1113" ht="15.75" customHeight="1" spans="1:4">
      <c r="A1113" s="27" t="s">
        <v>15231</v>
      </c>
      <c r="B1113" s="5" t="s">
        <v>17416</v>
      </c>
      <c r="C1113" s="27" t="s">
        <v>82</v>
      </c>
      <c r="D1113" s="28">
        <v>26877.225</v>
      </c>
    </row>
    <row r="1114" ht="15.75" customHeight="1" spans="1:4">
      <c r="A1114" s="27" t="s">
        <v>15232</v>
      </c>
      <c r="B1114" s="5" t="s">
        <v>17417</v>
      </c>
      <c r="C1114" s="27" t="s">
        <v>82</v>
      </c>
      <c r="D1114" s="28">
        <v>31193.7049</v>
      </c>
    </row>
    <row r="1115" ht="15.75" customHeight="1" spans="1:4">
      <c r="A1115" s="27" t="s">
        <v>15233</v>
      </c>
      <c r="B1115" s="5" t="s">
        <v>17418</v>
      </c>
      <c r="C1115" s="27" t="s">
        <v>82</v>
      </c>
      <c r="D1115" s="28">
        <v>34955.3101</v>
      </c>
    </row>
    <row r="1116" ht="15.75" customHeight="1" spans="1:4">
      <c r="A1116" s="27" t="s">
        <v>15234</v>
      </c>
      <c r="B1116" s="5" t="s">
        <v>17419</v>
      </c>
      <c r="C1116" s="27" t="s">
        <v>82</v>
      </c>
      <c r="D1116" s="28">
        <v>37012.2318</v>
      </c>
    </row>
    <row r="1117" ht="15.75" customHeight="1" spans="1:4">
      <c r="A1117" s="27" t="s">
        <v>15235</v>
      </c>
      <c r="B1117" s="5" t="s">
        <v>17420</v>
      </c>
      <c r="C1117" s="27" t="s">
        <v>82</v>
      </c>
      <c r="D1117" s="28">
        <v>39861.9533</v>
      </c>
    </row>
    <row r="1118" ht="15.75" customHeight="1" spans="1:4">
      <c r="A1118" s="27" t="s">
        <v>15236</v>
      </c>
      <c r="B1118" s="5" t="s">
        <v>17421</v>
      </c>
      <c r="C1118" s="27" t="s">
        <v>82</v>
      </c>
      <c r="D1118" s="28">
        <v>41442.0984</v>
      </c>
    </row>
    <row r="1119" ht="15.75" customHeight="1" spans="1:4">
      <c r="A1119" s="27" t="s">
        <v>15237</v>
      </c>
      <c r="B1119" s="5" t="s">
        <v>17422</v>
      </c>
      <c r="C1119" s="27" t="s">
        <v>82</v>
      </c>
      <c r="D1119" s="28">
        <v>46703.5875</v>
      </c>
    </row>
    <row r="1120" ht="15.75" customHeight="1" spans="1:4">
      <c r="A1120" s="27" t="s">
        <v>15238</v>
      </c>
      <c r="B1120" s="5" t="s">
        <v>17423</v>
      </c>
      <c r="C1120" s="27" t="s">
        <v>82</v>
      </c>
      <c r="D1120" s="28">
        <v>50454.5552</v>
      </c>
    </row>
    <row r="1121" ht="15.75" customHeight="1" spans="1:4">
      <c r="A1121" s="27" t="s">
        <v>15239</v>
      </c>
      <c r="B1121" s="5" t="s">
        <v>17424</v>
      </c>
      <c r="C1121" s="27" t="s">
        <v>82</v>
      </c>
      <c r="D1121" s="28">
        <v>59897.4814</v>
      </c>
    </row>
    <row r="1122" ht="15.75" customHeight="1" spans="1:4">
      <c r="A1122" s="27" t="s">
        <v>15240</v>
      </c>
      <c r="B1122" s="5" t="s">
        <v>17425</v>
      </c>
      <c r="C1122" s="27" t="s">
        <v>82</v>
      </c>
      <c r="D1122" s="28">
        <v>62845.979</v>
      </c>
    </row>
    <row r="1123" ht="15.75" customHeight="1" spans="1:4">
      <c r="A1123" s="27" t="s">
        <v>15241</v>
      </c>
      <c r="B1123" s="5" t="s">
        <v>17426</v>
      </c>
      <c r="C1123" s="27" t="s">
        <v>82</v>
      </c>
      <c r="D1123" s="28">
        <v>62660.9611</v>
      </c>
    </row>
    <row r="1124" ht="15.75" customHeight="1" spans="1:4">
      <c r="A1124" s="27" t="s">
        <v>15242</v>
      </c>
      <c r="B1124" s="5" t="s">
        <v>17427</v>
      </c>
      <c r="C1124" s="27" t="s">
        <v>82</v>
      </c>
      <c r="D1124" s="28">
        <v>500.245</v>
      </c>
    </row>
    <row r="1125" ht="15.75" customHeight="1" spans="1:4">
      <c r="A1125" s="27" t="s">
        <v>15243</v>
      </c>
      <c r="B1125" s="5" t="s">
        <v>17428</v>
      </c>
      <c r="C1125" s="27" t="s">
        <v>82</v>
      </c>
      <c r="D1125" s="28">
        <v>79.5431</v>
      </c>
    </row>
    <row r="1126" ht="15.75" customHeight="1" spans="1:4">
      <c r="A1126" s="27" t="s">
        <v>15244</v>
      </c>
      <c r="B1126" s="5" t="s">
        <v>17429</v>
      </c>
      <c r="C1126" s="27" t="s">
        <v>82</v>
      </c>
      <c r="D1126" s="28">
        <v>108.7904</v>
      </c>
    </row>
    <row r="1127" ht="15.75" customHeight="1" spans="1:4">
      <c r="A1127" s="27" t="s">
        <v>15245</v>
      </c>
      <c r="B1127" s="5" t="s">
        <v>17430</v>
      </c>
      <c r="C1127" s="27" t="s">
        <v>82</v>
      </c>
      <c r="D1127" s="28">
        <v>100.1784</v>
      </c>
    </row>
    <row r="1128" ht="15.75" customHeight="1" spans="1:4">
      <c r="A1128" s="27" t="s">
        <v>15246</v>
      </c>
      <c r="B1128" s="5" t="s">
        <v>17431</v>
      </c>
      <c r="C1128" s="27" t="s">
        <v>82</v>
      </c>
      <c r="D1128" s="28">
        <v>144.8771</v>
      </c>
    </row>
    <row r="1129" ht="15.75" customHeight="1" spans="1:4">
      <c r="A1129" s="27" t="s">
        <v>15247</v>
      </c>
      <c r="B1129" s="5" t="s">
        <v>17432</v>
      </c>
      <c r="C1129" s="27" t="s">
        <v>82</v>
      </c>
      <c r="D1129" s="28">
        <v>131.1056</v>
      </c>
    </row>
    <row r="1130" ht="15.75" customHeight="1" spans="1:4">
      <c r="A1130" s="27" t="s">
        <v>15248</v>
      </c>
      <c r="B1130" s="5" t="s">
        <v>17433</v>
      </c>
      <c r="C1130" s="27" t="s">
        <v>82</v>
      </c>
      <c r="D1130" s="28">
        <v>159.0885</v>
      </c>
    </row>
    <row r="1131" ht="15.75" customHeight="1" spans="1:4">
      <c r="A1131" s="27" t="s">
        <v>15249</v>
      </c>
      <c r="B1131" s="5" t="s">
        <v>17434</v>
      </c>
      <c r="C1131" s="27" t="s">
        <v>82</v>
      </c>
      <c r="D1131" s="28">
        <v>75.5987</v>
      </c>
    </row>
    <row r="1132" ht="15.75" customHeight="1" spans="1:4">
      <c r="A1132" s="27" t="s">
        <v>15250</v>
      </c>
      <c r="B1132" s="5" t="s">
        <v>17435</v>
      </c>
      <c r="C1132" s="27" t="s">
        <v>82</v>
      </c>
      <c r="D1132" s="28">
        <v>157.1315</v>
      </c>
    </row>
    <row r="1133" ht="15.75" customHeight="1" spans="1:4">
      <c r="A1133" s="27" t="s">
        <v>15251</v>
      </c>
      <c r="B1133" s="5" t="s">
        <v>17436</v>
      </c>
      <c r="C1133" s="27" t="s">
        <v>9</v>
      </c>
      <c r="D1133" s="28">
        <v>122.8797</v>
      </c>
    </row>
    <row r="1134" ht="15.75" customHeight="1" spans="1:4">
      <c r="A1134" s="27" t="s">
        <v>15252</v>
      </c>
      <c r="B1134" s="5" t="s">
        <v>17437</v>
      </c>
      <c r="C1134" s="27" t="s">
        <v>82</v>
      </c>
      <c r="D1134" s="28">
        <v>303.9515</v>
      </c>
    </row>
    <row r="1135" ht="15.75" customHeight="1" spans="1:4">
      <c r="A1135" s="27" t="s">
        <v>15253</v>
      </c>
      <c r="B1135" s="5" t="s">
        <v>17438</v>
      </c>
      <c r="C1135" s="27" t="s">
        <v>9</v>
      </c>
      <c r="D1135" s="28">
        <v>115.9413</v>
      </c>
    </row>
    <row r="1136" ht="15.75" customHeight="1" spans="1:4">
      <c r="A1136" s="27" t="s">
        <v>15254</v>
      </c>
      <c r="B1136" s="5" t="s">
        <v>17439</v>
      </c>
      <c r="C1136" s="27" t="s">
        <v>9</v>
      </c>
      <c r="D1136" s="28">
        <v>80.4489</v>
      </c>
    </row>
    <row r="1137" ht="15.75" customHeight="1" spans="1:4">
      <c r="A1137" s="27" t="s">
        <v>15255</v>
      </c>
      <c r="B1137" s="5" t="s">
        <v>17440</v>
      </c>
      <c r="C1137" s="27" t="s">
        <v>82</v>
      </c>
      <c r="D1137" s="28">
        <v>62671.8387</v>
      </c>
    </row>
    <row r="1138" ht="15.75" customHeight="1" spans="1:4">
      <c r="A1138" s="27" t="s">
        <v>15256</v>
      </c>
      <c r="B1138" s="5" t="s">
        <v>17441</v>
      </c>
      <c r="C1138" s="27" t="s">
        <v>82</v>
      </c>
      <c r="D1138" s="28">
        <v>73809.9172</v>
      </c>
    </row>
    <row r="1139" ht="15.75" customHeight="1" spans="1:4">
      <c r="A1139" s="27" t="s">
        <v>15257</v>
      </c>
      <c r="B1139" s="5" t="s">
        <v>17442</v>
      </c>
      <c r="C1139" s="27" t="s">
        <v>82</v>
      </c>
      <c r="D1139" s="28">
        <v>78327.7038</v>
      </c>
    </row>
    <row r="1140" ht="15.75" customHeight="1" spans="1:4">
      <c r="A1140" s="27" t="s">
        <v>15258</v>
      </c>
      <c r="B1140" s="5" t="s">
        <v>17443</v>
      </c>
      <c r="C1140" s="27" t="s">
        <v>82</v>
      </c>
      <c r="D1140" s="28">
        <v>82268.7883</v>
      </c>
    </row>
    <row r="1141" ht="15.75" customHeight="1" spans="1:4">
      <c r="A1141" s="27" t="s">
        <v>15259</v>
      </c>
      <c r="B1141" s="5" t="s">
        <v>17444</v>
      </c>
      <c r="C1141" s="27" t="s">
        <v>82</v>
      </c>
      <c r="D1141" s="28">
        <v>39928.7351</v>
      </c>
    </row>
    <row r="1142" ht="15.75" customHeight="1" spans="1:4">
      <c r="A1142" s="27" t="s">
        <v>15260</v>
      </c>
      <c r="B1142" s="5" t="s">
        <v>17445</v>
      </c>
      <c r="C1142" s="27" t="s">
        <v>82</v>
      </c>
      <c r="D1142" s="28">
        <v>48849.2667</v>
      </c>
    </row>
    <row r="1143" ht="15.75" customHeight="1" spans="1:4">
      <c r="A1143" s="27" t="s">
        <v>15261</v>
      </c>
      <c r="B1143" s="5" t="s">
        <v>17446</v>
      </c>
      <c r="C1143" s="27" t="s">
        <v>82</v>
      </c>
      <c r="D1143" s="28">
        <v>47982.2702</v>
      </c>
    </row>
    <row r="1144" ht="15.75" customHeight="1" spans="1:4">
      <c r="A1144" s="27" t="s">
        <v>15262</v>
      </c>
      <c r="B1144" s="5" t="s">
        <v>17447</v>
      </c>
      <c r="C1144" s="27" t="s">
        <v>82</v>
      </c>
      <c r="D1144" s="28">
        <v>53884.6357</v>
      </c>
    </row>
    <row r="1145" ht="15.75" customHeight="1" spans="1:4">
      <c r="A1145" s="27" t="s">
        <v>15263</v>
      </c>
      <c r="B1145" s="5" t="s">
        <v>17448</v>
      </c>
      <c r="C1145" s="27" t="s">
        <v>82</v>
      </c>
      <c r="D1145" s="28">
        <v>57508.7817</v>
      </c>
    </row>
    <row r="1146" ht="15.75" customHeight="1" spans="1:4">
      <c r="A1146" s="27" t="s">
        <v>15264</v>
      </c>
      <c r="B1146" s="5" t="s">
        <v>17449</v>
      </c>
      <c r="C1146" s="27" t="s">
        <v>82</v>
      </c>
      <c r="D1146" s="28">
        <v>61770.5679</v>
      </c>
    </row>
    <row r="1147" ht="15.75" customHeight="1" spans="1:4">
      <c r="A1147" s="27" t="s">
        <v>15265</v>
      </c>
      <c r="B1147" s="5" t="s">
        <v>17450</v>
      </c>
      <c r="C1147" s="27" t="s">
        <v>82</v>
      </c>
      <c r="D1147" s="28">
        <v>66318.4107</v>
      </c>
    </row>
    <row r="1148" ht="15.75" customHeight="1" spans="1:4">
      <c r="A1148" s="27" t="s">
        <v>15266</v>
      </c>
      <c r="B1148" s="5" t="s">
        <v>17451</v>
      </c>
      <c r="C1148" s="27" t="s">
        <v>82</v>
      </c>
      <c r="D1148" s="28">
        <v>1.3137</v>
      </c>
    </row>
    <row r="1149" ht="15.75" customHeight="1" spans="1:4">
      <c r="A1149" s="27" t="s">
        <v>15267</v>
      </c>
      <c r="B1149" s="5" t="s">
        <v>17452</v>
      </c>
      <c r="C1149" s="27" t="s">
        <v>82</v>
      </c>
      <c r="D1149" s="28">
        <v>70446.2664</v>
      </c>
    </row>
    <row r="1150" ht="15.75" customHeight="1" spans="1:4">
      <c r="A1150" s="27" t="s">
        <v>15268</v>
      </c>
      <c r="B1150" s="5" t="s">
        <v>17453</v>
      </c>
      <c r="C1150" s="27" t="s">
        <v>82</v>
      </c>
      <c r="D1150" s="28">
        <v>75939.0025</v>
      </c>
    </row>
    <row r="1151" ht="30" customHeight="1" spans="1:4">
      <c r="A1151" s="27" t="s">
        <v>15269</v>
      </c>
      <c r="B1151" s="5" t="s">
        <v>17454</v>
      </c>
      <c r="C1151" s="27" t="s">
        <v>9</v>
      </c>
      <c r="D1151" s="28">
        <v>1362.8805</v>
      </c>
    </row>
    <row r="1152" ht="30" customHeight="1" spans="1:4">
      <c r="A1152" s="27" t="s">
        <v>15270</v>
      </c>
      <c r="B1152" s="5" t="s">
        <v>17455</v>
      </c>
      <c r="C1152" s="27" t="s">
        <v>9</v>
      </c>
      <c r="D1152" s="28">
        <v>1575.8306</v>
      </c>
    </row>
    <row r="1153" ht="30" customHeight="1" spans="1:4">
      <c r="A1153" s="27" t="s">
        <v>15271</v>
      </c>
      <c r="B1153" s="5" t="s">
        <v>17456</v>
      </c>
      <c r="C1153" s="27" t="s">
        <v>9</v>
      </c>
      <c r="D1153" s="28">
        <v>1788.7842</v>
      </c>
    </row>
    <row r="1154" ht="30" customHeight="1" spans="1:4">
      <c r="A1154" s="27" t="s">
        <v>15272</v>
      </c>
      <c r="B1154" s="5" t="s">
        <v>17457</v>
      </c>
      <c r="C1154" s="27" t="s">
        <v>9</v>
      </c>
      <c r="D1154" s="28">
        <v>1959.1423</v>
      </c>
    </row>
    <row r="1155" ht="30" customHeight="1" spans="1:4">
      <c r="A1155" s="27" t="s">
        <v>15273</v>
      </c>
      <c r="B1155" s="5" t="s">
        <v>17458</v>
      </c>
      <c r="C1155" s="27" t="s">
        <v>9</v>
      </c>
      <c r="D1155" s="28">
        <v>2172.0951</v>
      </c>
    </row>
    <row r="1156" ht="30" customHeight="1" spans="1:4">
      <c r="A1156" s="27" t="s">
        <v>15274</v>
      </c>
      <c r="B1156" s="5" t="s">
        <v>17459</v>
      </c>
      <c r="C1156" s="27" t="s">
        <v>9</v>
      </c>
      <c r="D1156" s="28">
        <v>2470.241</v>
      </c>
    </row>
    <row r="1157" ht="30" customHeight="1" spans="1:4">
      <c r="A1157" s="27" t="s">
        <v>15275</v>
      </c>
      <c r="B1157" s="5" t="s">
        <v>17460</v>
      </c>
      <c r="C1157" s="27" t="s">
        <v>9</v>
      </c>
      <c r="D1157" s="28">
        <v>2640.6025</v>
      </c>
    </row>
    <row r="1158" ht="30" customHeight="1" spans="1:4">
      <c r="A1158" s="27" t="s">
        <v>15276</v>
      </c>
      <c r="B1158" s="5" t="s">
        <v>17461</v>
      </c>
      <c r="C1158" s="27" t="s">
        <v>9</v>
      </c>
      <c r="D1158" s="28">
        <v>2853.5504</v>
      </c>
    </row>
    <row r="1159" ht="30" customHeight="1" spans="1:4">
      <c r="A1159" s="27" t="s">
        <v>15277</v>
      </c>
      <c r="B1159" s="5" t="s">
        <v>17462</v>
      </c>
      <c r="C1159" s="27" t="s">
        <v>9</v>
      </c>
      <c r="D1159" s="28">
        <v>3023.9198</v>
      </c>
    </row>
    <row r="1160" ht="30" customHeight="1" spans="1:4">
      <c r="A1160" s="27" t="s">
        <v>15278</v>
      </c>
      <c r="B1160" s="5" t="s">
        <v>17463</v>
      </c>
      <c r="C1160" s="27" t="s">
        <v>9</v>
      </c>
      <c r="D1160" s="28">
        <v>3236.8413</v>
      </c>
    </row>
    <row r="1161" ht="30" customHeight="1" spans="1:4">
      <c r="A1161" s="27" t="s">
        <v>15279</v>
      </c>
      <c r="B1161" s="5" t="s">
        <v>17464</v>
      </c>
      <c r="C1161" s="27" t="s">
        <v>9</v>
      </c>
      <c r="D1161" s="28">
        <v>3449.816</v>
      </c>
    </row>
    <row r="1162" ht="30" customHeight="1" spans="1:4">
      <c r="A1162" s="27" t="s">
        <v>15280</v>
      </c>
      <c r="B1162" s="5" t="s">
        <v>17465</v>
      </c>
      <c r="C1162" s="27" t="s">
        <v>9</v>
      </c>
      <c r="D1162" s="28">
        <v>3620.1703</v>
      </c>
    </row>
    <row r="1163" ht="30" customHeight="1" spans="1:4">
      <c r="A1163" s="27" t="s">
        <v>15281</v>
      </c>
      <c r="B1163" s="5" t="s">
        <v>17466</v>
      </c>
      <c r="C1163" s="27" t="s">
        <v>9</v>
      </c>
      <c r="D1163" s="28">
        <v>3833.0957</v>
      </c>
    </row>
    <row r="1164" ht="30" customHeight="1" spans="1:4">
      <c r="A1164" s="27" t="s">
        <v>15282</v>
      </c>
      <c r="B1164" s="5" t="s">
        <v>17467</v>
      </c>
      <c r="C1164" s="27" t="s">
        <v>9</v>
      </c>
      <c r="D1164" s="28">
        <v>4499.2931</v>
      </c>
    </row>
    <row r="1165" ht="30" customHeight="1" spans="1:4">
      <c r="A1165" s="27" t="s">
        <v>15283</v>
      </c>
      <c r="B1165" s="5" t="s">
        <v>17468</v>
      </c>
      <c r="C1165" s="27" t="s">
        <v>9</v>
      </c>
      <c r="D1165" s="28">
        <v>4742.524</v>
      </c>
    </row>
    <row r="1166" ht="30" customHeight="1" spans="1:4">
      <c r="A1166" s="27" t="s">
        <v>15284</v>
      </c>
      <c r="B1166" s="5" t="s">
        <v>17469</v>
      </c>
      <c r="C1166" s="27" t="s">
        <v>9</v>
      </c>
      <c r="D1166" s="28">
        <v>5066.7253</v>
      </c>
    </row>
    <row r="1167" ht="30" customHeight="1" spans="1:4">
      <c r="A1167" s="27" t="s">
        <v>15285</v>
      </c>
      <c r="B1167" s="5" t="s">
        <v>17470</v>
      </c>
      <c r="C1167" s="27" t="s">
        <v>9</v>
      </c>
      <c r="D1167" s="28">
        <v>5188.4024</v>
      </c>
    </row>
    <row r="1168" ht="30" customHeight="1" spans="1:4">
      <c r="A1168" s="27" t="s">
        <v>15286</v>
      </c>
      <c r="B1168" s="5" t="s">
        <v>17471</v>
      </c>
      <c r="C1168" s="27" t="s">
        <v>9</v>
      </c>
      <c r="D1168" s="28">
        <v>5391.0459</v>
      </c>
    </row>
    <row r="1169" ht="30" customHeight="1" spans="1:4">
      <c r="A1169" s="27" t="s">
        <v>15287</v>
      </c>
      <c r="B1169" s="5" t="s">
        <v>17472</v>
      </c>
      <c r="C1169" s="27" t="s">
        <v>9</v>
      </c>
      <c r="D1169" s="28">
        <v>7246.7889</v>
      </c>
    </row>
    <row r="1170" ht="30" customHeight="1" spans="1:4">
      <c r="A1170" s="27" t="s">
        <v>15288</v>
      </c>
      <c r="B1170" s="5" t="s">
        <v>17473</v>
      </c>
      <c r="C1170" s="27" t="s">
        <v>9</v>
      </c>
      <c r="D1170" s="28">
        <v>9283.8721</v>
      </c>
    </row>
    <row r="1171" ht="30" customHeight="1" spans="1:4">
      <c r="A1171" s="27" t="s">
        <v>15289</v>
      </c>
      <c r="B1171" s="5" t="s">
        <v>17474</v>
      </c>
      <c r="C1171" s="27" t="s">
        <v>9</v>
      </c>
      <c r="D1171" s="28">
        <v>9811.7767</v>
      </c>
    </row>
    <row r="1172" ht="30" customHeight="1" spans="1:4">
      <c r="A1172" s="27" t="s">
        <v>15290</v>
      </c>
      <c r="B1172" s="5" t="s">
        <v>17475</v>
      </c>
      <c r="C1172" s="27" t="s">
        <v>9</v>
      </c>
      <c r="D1172" s="28">
        <v>10000.8906</v>
      </c>
    </row>
    <row r="1173" ht="30" customHeight="1" spans="1:4">
      <c r="A1173" s="27" t="s">
        <v>15291</v>
      </c>
      <c r="B1173" s="5" t="s">
        <v>17476</v>
      </c>
      <c r="C1173" s="27" t="s">
        <v>9</v>
      </c>
      <c r="D1173" s="28">
        <v>10491.5625</v>
      </c>
    </row>
    <row r="1174" ht="30" customHeight="1" spans="1:4">
      <c r="A1174" s="27" t="s">
        <v>15292</v>
      </c>
      <c r="B1174" s="5" t="s">
        <v>17477</v>
      </c>
      <c r="C1174" s="27" t="s">
        <v>9</v>
      </c>
      <c r="D1174" s="28">
        <v>6654.7053</v>
      </c>
    </row>
    <row r="1175" ht="30" customHeight="1" spans="1:4">
      <c r="A1175" s="27" t="s">
        <v>15293</v>
      </c>
      <c r="B1175" s="5" t="s">
        <v>17478</v>
      </c>
      <c r="C1175" s="27" t="s">
        <v>9</v>
      </c>
      <c r="D1175" s="28">
        <v>8046.5801</v>
      </c>
    </row>
    <row r="1176" ht="30" customHeight="1" spans="1:4">
      <c r="A1176" s="27" t="s">
        <v>15294</v>
      </c>
      <c r="B1176" s="5" t="s">
        <v>17479</v>
      </c>
      <c r="C1176" s="27" t="s">
        <v>9</v>
      </c>
      <c r="D1176" s="28">
        <v>8307.6603</v>
      </c>
    </row>
    <row r="1177" ht="30" customHeight="1" spans="1:4">
      <c r="A1177" s="27" t="s">
        <v>15295</v>
      </c>
      <c r="B1177" s="5" t="s">
        <v>17480</v>
      </c>
      <c r="C1177" s="27" t="s">
        <v>9</v>
      </c>
      <c r="D1177" s="28">
        <v>9438.4853</v>
      </c>
    </row>
    <row r="1178" ht="30" customHeight="1" spans="1:4">
      <c r="A1178" s="27" t="s">
        <v>15296</v>
      </c>
      <c r="B1178" s="5" t="s">
        <v>17481</v>
      </c>
      <c r="C1178" s="27" t="s">
        <v>9</v>
      </c>
      <c r="D1178" s="28">
        <v>9960.4952</v>
      </c>
    </row>
    <row r="1179" ht="30" customHeight="1" spans="1:4">
      <c r="A1179" s="27" t="s">
        <v>15297</v>
      </c>
      <c r="B1179" s="5" t="s">
        <v>17482</v>
      </c>
      <c r="C1179" s="27" t="s">
        <v>9</v>
      </c>
      <c r="D1179" s="28">
        <v>11657.1076</v>
      </c>
    </row>
    <row r="1180" ht="30" customHeight="1" spans="1:4">
      <c r="A1180" s="27" t="s">
        <v>15298</v>
      </c>
      <c r="B1180" s="5" t="s">
        <v>17483</v>
      </c>
      <c r="C1180" s="27" t="s">
        <v>9</v>
      </c>
      <c r="D1180" s="28">
        <v>13309.4107</v>
      </c>
    </row>
    <row r="1181" ht="30" customHeight="1" spans="1:4">
      <c r="A1181" s="27" t="s">
        <v>15299</v>
      </c>
      <c r="B1181" s="5" t="s">
        <v>17484</v>
      </c>
      <c r="C1181" s="27" t="s">
        <v>9</v>
      </c>
      <c r="D1181" s="28">
        <v>14136.1651</v>
      </c>
    </row>
    <row r="1182" ht="30" customHeight="1" spans="1:4">
      <c r="A1182" s="27" t="s">
        <v>15300</v>
      </c>
      <c r="B1182" s="5" t="s">
        <v>17485</v>
      </c>
      <c r="C1182" s="27" t="s">
        <v>9</v>
      </c>
      <c r="D1182" s="28">
        <v>14962.9573</v>
      </c>
    </row>
    <row r="1183" ht="30" customHeight="1" spans="1:4">
      <c r="A1183" s="27" t="s">
        <v>15301</v>
      </c>
      <c r="B1183" s="5" t="s">
        <v>17486</v>
      </c>
      <c r="C1183" s="27" t="s">
        <v>9</v>
      </c>
      <c r="D1183" s="28">
        <v>16050.5993</v>
      </c>
    </row>
    <row r="1184" ht="30" customHeight="1" spans="1:4">
      <c r="A1184" s="27" t="s">
        <v>15302</v>
      </c>
      <c r="B1184" s="5" t="s">
        <v>17487</v>
      </c>
      <c r="C1184" s="27" t="s">
        <v>9</v>
      </c>
      <c r="D1184" s="28">
        <v>16615.9246</v>
      </c>
    </row>
    <row r="1185" ht="30" customHeight="1" spans="1:4">
      <c r="A1185" s="27" t="s">
        <v>15303</v>
      </c>
      <c r="B1185" s="5" t="s">
        <v>17488</v>
      </c>
      <c r="C1185" s="27" t="s">
        <v>9</v>
      </c>
      <c r="D1185" s="28">
        <v>18312.5531</v>
      </c>
    </row>
    <row r="1186" ht="30" customHeight="1" spans="1:4">
      <c r="A1186" s="27" t="s">
        <v>15304</v>
      </c>
      <c r="B1186" s="5" t="s">
        <v>17489</v>
      </c>
      <c r="C1186" s="27" t="s">
        <v>9</v>
      </c>
      <c r="D1186" s="28">
        <v>19964.1161</v>
      </c>
    </row>
    <row r="1187" ht="30" customHeight="1" spans="1:4">
      <c r="A1187" s="27" t="s">
        <v>15305</v>
      </c>
      <c r="B1187" s="5" t="s">
        <v>17490</v>
      </c>
      <c r="C1187" s="27" t="s">
        <v>9</v>
      </c>
      <c r="D1187" s="28">
        <v>25641.4052</v>
      </c>
    </row>
    <row r="1188" ht="30" customHeight="1" spans="1:4">
      <c r="A1188" s="27" t="s">
        <v>15306</v>
      </c>
      <c r="B1188" s="5" t="s">
        <v>17491</v>
      </c>
      <c r="C1188" s="27" t="s">
        <v>9</v>
      </c>
      <c r="D1188" s="28">
        <v>26365.3945</v>
      </c>
    </row>
    <row r="1189" ht="30" customHeight="1" spans="1:4">
      <c r="A1189" s="27" t="s">
        <v>15307</v>
      </c>
      <c r="B1189" s="5" t="s">
        <v>17492</v>
      </c>
      <c r="C1189" s="27" t="s">
        <v>9</v>
      </c>
      <c r="D1189" s="28">
        <v>31889.8275</v>
      </c>
    </row>
    <row r="1190" ht="30" customHeight="1" spans="1:4">
      <c r="A1190" s="27" t="s">
        <v>15308</v>
      </c>
      <c r="B1190" s="5" t="s">
        <v>17493</v>
      </c>
      <c r="C1190" s="27" t="s">
        <v>9</v>
      </c>
      <c r="D1190" s="28">
        <v>34171.3651</v>
      </c>
    </row>
    <row r="1191" ht="30" customHeight="1" spans="1:4">
      <c r="A1191" s="27" t="s">
        <v>15309</v>
      </c>
      <c r="B1191" s="5" t="s">
        <v>17494</v>
      </c>
      <c r="C1191" s="27" t="s">
        <v>9</v>
      </c>
      <c r="D1191" s="28">
        <v>41786.9021</v>
      </c>
    </row>
    <row r="1192" ht="30" customHeight="1" spans="1:4">
      <c r="A1192" s="27" t="s">
        <v>15310</v>
      </c>
      <c r="B1192" s="5" t="s">
        <v>17495</v>
      </c>
      <c r="C1192" s="27" t="s">
        <v>9</v>
      </c>
      <c r="D1192" s="28">
        <v>53643.5127</v>
      </c>
    </row>
    <row r="1193" ht="30" customHeight="1" spans="1:4">
      <c r="A1193" s="27" t="s">
        <v>15311</v>
      </c>
      <c r="B1193" s="5" t="s">
        <v>17496</v>
      </c>
      <c r="C1193" s="27" t="s">
        <v>9</v>
      </c>
      <c r="D1193" s="28">
        <v>54285.2</v>
      </c>
    </row>
    <row r="1194" ht="30" customHeight="1" spans="1:4">
      <c r="A1194" s="27" t="s">
        <v>15312</v>
      </c>
      <c r="B1194" s="5" t="s">
        <v>17497</v>
      </c>
      <c r="C1194" s="27" t="s">
        <v>9</v>
      </c>
      <c r="D1194" s="28">
        <v>59928.5566</v>
      </c>
    </row>
    <row r="1195" ht="15.75" customHeight="1" spans="1:4">
      <c r="A1195" s="27" t="s">
        <v>15313</v>
      </c>
      <c r="B1195" s="5" t="s">
        <v>17498</v>
      </c>
      <c r="C1195" s="27" t="s">
        <v>82</v>
      </c>
      <c r="D1195" s="28">
        <v>80396.8807</v>
      </c>
    </row>
    <row r="1196" ht="15.75" customHeight="1" spans="1:4">
      <c r="A1196" s="27" t="s">
        <v>15314</v>
      </c>
      <c r="B1196" s="5" t="s">
        <v>17499</v>
      </c>
      <c r="C1196" s="27" t="s">
        <v>82</v>
      </c>
      <c r="D1196" s="28">
        <v>85024.8022</v>
      </c>
    </row>
    <row r="1197" ht="15.75" customHeight="1" spans="1:4">
      <c r="A1197" s="27" t="s">
        <v>15315</v>
      </c>
      <c r="B1197" s="5" t="s">
        <v>17500</v>
      </c>
      <c r="C1197" s="27" t="s">
        <v>82</v>
      </c>
      <c r="D1197" s="28">
        <v>89548.5409</v>
      </c>
    </row>
    <row r="1198" ht="15.75" customHeight="1" spans="1:4">
      <c r="A1198" s="27" t="s">
        <v>17501</v>
      </c>
      <c r="B1198" s="5" t="s">
        <v>17502</v>
      </c>
      <c r="C1198" s="27" t="s">
        <v>82</v>
      </c>
      <c r="D1198" s="28">
        <v>1.0322</v>
      </c>
    </row>
    <row r="1199" ht="15.75" customHeight="1" spans="1:4">
      <c r="A1199" s="27" t="s">
        <v>15316</v>
      </c>
      <c r="B1199" s="5" t="s">
        <v>17503</v>
      </c>
      <c r="C1199" s="27" t="s">
        <v>9</v>
      </c>
      <c r="D1199" s="28">
        <v>2324.0161</v>
      </c>
    </row>
    <row r="1200" ht="15.75" customHeight="1" spans="1:4">
      <c r="A1200" s="27" t="s">
        <v>15317</v>
      </c>
      <c r="B1200" s="5" t="s">
        <v>17504</v>
      </c>
      <c r="C1200" s="27" t="s">
        <v>9</v>
      </c>
      <c r="D1200" s="28">
        <v>2372.724</v>
      </c>
    </row>
    <row r="1201" ht="15.75" customHeight="1" spans="1:4">
      <c r="A1201" s="27" t="s">
        <v>15318</v>
      </c>
      <c r="B1201" s="5" t="s">
        <v>17505</v>
      </c>
      <c r="C1201" s="27" t="s">
        <v>9</v>
      </c>
      <c r="D1201" s="28">
        <v>2393.063</v>
      </c>
    </row>
    <row r="1202" ht="15.75" customHeight="1" spans="1:4">
      <c r="A1202" s="27" t="s">
        <v>15319</v>
      </c>
      <c r="B1202" s="5" t="s">
        <v>17506</v>
      </c>
      <c r="C1202" s="27" t="s">
        <v>9</v>
      </c>
      <c r="D1202" s="28">
        <v>2421.1063</v>
      </c>
    </row>
    <row r="1203" ht="15.75" customHeight="1" spans="1:4">
      <c r="A1203" s="27" t="s">
        <v>15320</v>
      </c>
      <c r="B1203" s="5" t="s">
        <v>17507</v>
      </c>
      <c r="C1203" s="27" t="s">
        <v>9</v>
      </c>
      <c r="D1203" s="28">
        <v>3171.6934</v>
      </c>
    </row>
    <row r="1204" ht="15.75" customHeight="1" spans="1:4">
      <c r="A1204" s="27" t="s">
        <v>15321</v>
      </c>
      <c r="B1204" s="5" t="s">
        <v>17508</v>
      </c>
      <c r="C1204" s="27" t="s">
        <v>9</v>
      </c>
      <c r="D1204" s="28">
        <v>3231.762</v>
      </c>
    </row>
    <row r="1205" ht="15.75" customHeight="1" spans="1:4">
      <c r="A1205" s="27" t="s">
        <v>15322</v>
      </c>
      <c r="B1205" s="5" t="s">
        <v>17509</v>
      </c>
      <c r="C1205" s="27" t="s">
        <v>9</v>
      </c>
      <c r="D1205" s="28">
        <v>3269.1608</v>
      </c>
    </row>
    <row r="1206" ht="15.75" customHeight="1" spans="1:4">
      <c r="A1206" s="27" t="s">
        <v>15323</v>
      </c>
      <c r="B1206" s="5" t="s">
        <v>17510</v>
      </c>
      <c r="C1206" s="27" t="s">
        <v>9</v>
      </c>
      <c r="D1206" s="28">
        <v>3045.5382</v>
      </c>
    </row>
    <row r="1207" ht="15.75" customHeight="1" spans="1:4">
      <c r="A1207" s="27" t="s">
        <v>15324</v>
      </c>
      <c r="B1207" s="5" t="s">
        <v>17511</v>
      </c>
      <c r="C1207" s="27" t="s">
        <v>9</v>
      </c>
      <c r="D1207" s="28">
        <v>3067.73</v>
      </c>
    </row>
    <row r="1208" ht="15.75" customHeight="1" spans="1:4">
      <c r="A1208" s="27" t="s">
        <v>15325</v>
      </c>
      <c r="B1208" s="5" t="s">
        <v>17512</v>
      </c>
      <c r="C1208" s="27" t="s">
        <v>9</v>
      </c>
      <c r="D1208" s="28">
        <v>3131.3474</v>
      </c>
    </row>
    <row r="1209" ht="15.75" customHeight="1" spans="1:4">
      <c r="A1209" s="27" t="s">
        <v>15326</v>
      </c>
      <c r="B1209" s="5" t="s">
        <v>17513</v>
      </c>
      <c r="C1209" s="27" t="s">
        <v>9</v>
      </c>
      <c r="D1209" s="28">
        <v>3772.1253</v>
      </c>
    </row>
    <row r="1210" ht="15.75" customHeight="1" spans="1:4">
      <c r="A1210" s="27" t="s">
        <v>15327</v>
      </c>
      <c r="B1210" s="5" t="s">
        <v>17514</v>
      </c>
      <c r="C1210" s="27" t="s">
        <v>9</v>
      </c>
      <c r="D1210" s="28">
        <v>3937.6269</v>
      </c>
    </row>
    <row r="1211" ht="15.75" customHeight="1" spans="1:4">
      <c r="A1211" s="27" t="s">
        <v>15328</v>
      </c>
      <c r="B1211" s="5" t="s">
        <v>17515</v>
      </c>
      <c r="C1211" s="27" t="s">
        <v>9</v>
      </c>
      <c r="D1211" s="28">
        <v>4008.5719</v>
      </c>
    </row>
    <row r="1212" ht="15.75" customHeight="1" spans="1:4">
      <c r="A1212" s="27" t="s">
        <v>15329</v>
      </c>
      <c r="B1212" s="5" t="s">
        <v>17516</v>
      </c>
      <c r="C1212" s="27" t="s">
        <v>9</v>
      </c>
      <c r="D1212" s="28">
        <v>4512.9682</v>
      </c>
    </row>
    <row r="1213" ht="15.75" customHeight="1" spans="1:4">
      <c r="A1213" s="27" t="s">
        <v>15330</v>
      </c>
      <c r="B1213" s="5" t="s">
        <v>17517</v>
      </c>
      <c r="C1213" s="27" t="s">
        <v>9</v>
      </c>
      <c r="D1213" s="28">
        <v>3205.5097</v>
      </c>
    </row>
    <row r="1214" ht="15.75" customHeight="1" spans="1:4">
      <c r="A1214" s="27" t="s">
        <v>15331</v>
      </c>
      <c r="B1214" s="5" t="s">
        <v>17518</v>
      </c>
      <c r="C1214" s="27" t="s">
        <v>9</v>
      </c>
      <c r="D1214" s="28">
        <v>3598.6068</v>
      </c>
    </row>
    <row r="1215" ht="15.75" customHeight="1" spans="1:4">
      <c r="A1215" s="27" t="s">
        <v>15332</v>
      </c>
      <c r="B1215" s="5" t="s">
        <v>17519</v>
      </c>
      <c r="C1215" s="27" t="s">
        <v>9</v>
      </c>
      <c r="D1215" s="28">
        <v>4663.3486</v>
      </c>
    </row>
    <row r="1216" ht="15.75" customHeight="1" spans="1:4">
      <c r="A1216" s="27" t="s">
        <v>15333</v>
      </c>
      <c r="B1216" s="5" t="s">
        <v>17520</v>
      </c>
      <c r="C1216" s="27" t="s">
        <v>9</v>
      </c>
      <c r="D1216" s="28">
        <v>4717.8965</v>
      </c>
    </row>
    <row r="1217" ht="15.75" customHeight="1" spans="1:4">
      <c r="A1217" s="27" t="s">
        <v>15334</v>
      </c>
      <c r="B1217" s="5" t="s">
        <v>17521</v>
      </c>
      <c r="C1217" s="27" t="s">
        <v>9</v>
      </c>
      <c r="D1217" s="28">
        <v>4907.791</v>
      </c>
    </row>
    <row r="1218" ht="15.75" customHeight="1" spans="1:4">
      <c r="A1218" s="27" t="s">
        <v>15335</v>
      </c>
      <c r="B1218" s="5" t="s">
        <v>17522</v>
      </c>
      <c r="C1218" s="27" t="s">
        <v>9</v>
      </c>
      <c r="D1218" s="28">
        <v>5902.3281</v>
      </c>
    </row>
    <row r="1219" ht="15.75" customHeight="1" spans="1:4">
      <c r="A1219" s="27" t="s">
        <v>15336</v>
      </c>
      <c r="B1219" s="5" t="s">
        <v>17523</v>
      </c>
      <c r="C1219" s="27" t="s">
        <v>9</v>
      </c>
      <c r="D1219" s="28">
        <v>6152.9418</v>
      </c>
    </row>
    <row r="1220" ht="15.75" customHeight="1" spans="1:4">
      <c r="A1220" s="27" t="s">
        <v>15337</v>
      </c>
      <c r="B1220" s="5" t="s">
        <v>17524</v>
      </c>
      <c r="C1220" s="27" t="s">
        <v>9</v>
      </c>
      <c r="D1220" s="28">
        <v>4836.6195</v>
      </c>
    </row>
    <row r="1221" ht="15.75" customHeight="1" spans="1:4">
      <c r="A1221" s="27" t="s">
        <v>15338</v>
      </c>
      <c r="B1221" s="5" t="s">
        <v>17525</v>
      </c>
      <c r="C1221" s="27" t="s">
        <v>9</v>
      </c>
      <c r="D1221" s="28">
        <v>5081.9431</v>
      </c>
    </row>
    <row r="1222" ht="15.75" customHeight="1" spans="1:4">
      <c r="A1222" s="27" t="s">
        <v>15339</v>
      </c>
      <c r="B1222" s="5" t="s">
        <v>17526</v>
      </c>
      <c r="C1222" s="27" t="s">
        <v>9</v>
      </c>
      <c r="D1222" s="28">
        <v>6191.9096</v>
      </c>
    </row>
    <row r="1223" ht="15.75" customHeight="1" spans="1:4">
      <c r="A1223" s="27" t="s">
        <v>15340</v>
      </c>
      <c r="B1223" s="5" t="s">
        <v>17527</v>
      </c>
      <c r="C1223" s="27" t="s">
        <v>9</v>
      </c>
      <c r="D1223" s="28">
        <v>6379.7255</v>
      </c>
    </row>
    <row r="1224" ht="15.75" customHeight="1" spans="1:4">
      <c r="A1224" s="27" t="s">
        <v>15341</v>
      </c>
      <c r="B1224" s="5" t="s">
        <v>17528</v>
      </c>
      <c r="C1224" s="27" t="s">
        <v>9</v>
      </c>
      <c r="D1224" s="28">
        <v>7160.5563</v>
      </c>
    </row>
    <row r="1225" ht="15.75" customHeight="1" spans="1:4">
      <c r="A1225" s="27" t="s">
        <v>15342</v>
      </c>
      <c r="B1225" s="5" t="s">
        <v>17529</v>
      </c>
      <c r="C1225" s="27" t="s">
        <v>9</v>
      </c>
      <c r="D1225" s="28">
        <v>7175.5621</v>
      </c>
    </row>
    <row r="1226" ht="15.75" customHeight="1" spans="1:4">
      <c r="A1226" s="27" t="s">
        <v>15343</v>
      </c>
      <c r="B1226" s="5" t="s">
        <v>17530</v>
      </c>
      <c r="C1226" s="27" t="s">
        <v>9</v>
      </c>
      <c r="D1226" s="28">
        <v>7911.807</v>
      </c>
    </row>
    <row r="1227" ht="15.75" customHeight="1" spans="1:4">
      <c r="A1227" s="27" t="s">
        <v>15344</v>
      </c>
      <c r="B1227" s="5" t="s">
        <v>17531</v>
      </c>
      <c r="C1227" s="27" t="s">
        <v>9</v>
      </c>
      <c r="D1227" s="28">
        <v>1801.2186</v>
      </c>
    </row>
    <row r="1228" ht="15.75" customHeight="1" spans="1:4">
      <c r="A1228" s="27" t="s">
        <v>15345</v>
      </c>
      <c r="B1228" s="5" t="s">
        <v>17532</v>
      </c>
      <c r="C1228" s="27" t="s">
        <v>9</v>
      </c>
      <c r="D1228" s="28">
        <v>1959.5429</v>
      </c>
    </row>
    <row r="1229" ht="15.75" customHeight="1" spans="1:4">
      <c r="A1229" s="27" t="s">
        <v>15346</v>
      </c>
      <c r="B1229" s="5" t="s">
        <v>17533</v>
      </c>
      <c r="C1229" s="27" t="s">
        <v>9</v>
      </c>
      <c r="D1229" s="28">
        <v>2996.7932</v>
      </c>
    </row>
    <row r="1230" ht="15.75" customHeight="1" spans="1:4">
      <c r="A1230" s="27" t="s">
        <v>15347</v>
      </c>
      <c r="B1230" s="5" t="s">
        <v>17534</v>
      </c>
      <c r="C1230" s="27" t="s">
        <v>9</v>
      </c>
      <c r="D1230" s="28">
        <v>3137.6362</v>
      </c>
    </row>
    <row r="1231" ht="15.75" customHeight="1" spans="1:4">
      <c r="A1231" s="27" t="s">
        <v>15348</v>
      </c>
      <c r="B1231" s="5" t="s">
        <v>17535</v>
      </c>
      <c r="C1231" s="27" t="s">
        <v>9</v>
      </c>
      <c r="D1231" s="28">
        <v>2119.5218</v>
      </c>
    </row>
    <row r="1232" ht="15.75" customHeight="1" spans="1:4">
      <c r="A1232" s="27" t="s">
        <v>15349</v>
      </c>
      <c r="B1232" s="5" t="s">
        <v>17536</v>
      </c>
      <c r="C1232" s="27" t="s">
        <v>9</v>
      </c>
      <c r="D1232" s="28">
        <v>3251.6524</v>
      </c>
    </row>
    <row r="1233" ht="15.75" customHeight="1" spans="1:4">
      <c r="A1233" s="27" t="s">
        <v>15350</v>
      </c>
      <c r="B1233" s="5" t="s">
        <v>17537</v>
      </c>
      <c r="C1233" s="27" t="s">
        <v>9</v>
      </c>
      <c r="D1233" s="28">
        <v>3400.2714</v>
      </c>
    </row>
    <row r="1234" ht="15.75" customHeight="1" spans="1:4">
      <c r="A1234" s="27" t="s">
        <v>15351</v>
      </c>
      <c r="B1234" s="5" t="s">
        <v>17538</v>
      </c>
      <c r="C1234" s="27" t="s">
        <v>9</v>
      </c>
      <c r="D1234" s="28">
        <v>2412.5444</v>
      </c>
    </row>
    <row r="1235" ht="15.75" customHeight="1" spans="1:4">
      <c r="A1235" s="27" t="s">
        <v>15352</v>
      </c>
      <c r="B1235" s="5" t="s">
        <v>17539</v>
      </c>
      <c r="C1235" s="27" t="s">
        <v>9</v>
      </c>
      <c r="D1235" s="28">
        <v>3578.5705</v>
      </c>
    </row>
    <row r="1236" ht="15.75" customHeight="1" spans="1:4">
      <c r="A1236" s="27" t="s">
        <v>15353</v>
      </c>
      <c r="B1236" s="5" t="s">
        <v>17540</v>
      </c>
      <c r="C1236" s="27" t="s">
        <v>9</v>
      </c>
      <c r="D1236" s="28">
        <v>3718.0328</v>
      </c>
    </row>
    <row r="1237" ht="15.75" customHeight="1" spans="1:4">
      <c r="A1237" s="27" t="s">
        <v>15354</v>
      </c>
      <c r="B1237" s="5" t="s">
        <v>17541</v>
      </c>
      <c r="C1237" s="27" t="s">
        <v>82</v>
      </c>
      <c r="D1237" s="28">
        <v>8819.8597</v>
      </c>
    </row>
    <row r="1238" ht="15.75" customHeight="1" spans="1:4">
      <c r="A1238" s="27" t="s">
        <v>15355</v>
      </c>
      <c r="B1238" s="5" t="s">
        <v>17542</v>
      </c>
      <c r="C1238" s="27" t="s">
        <v>82</v>
      </c>
      <c r="D1238" s="28">
        <v>12340.7375</v>
      </c>
    </row>
    <row r="1239" ht="15.75" customHeight="1" spans="1:4">
      <c r="A1239" s="27" t="s">
        <v>15356</v>
      </c>
      <c r="B1239" s="5" t="s">
        <v>17543</v>
      </c>
      <c r="C1239" s="27" t="s">
        <v>82</v>
      </c>
      <c r="D1239" s="28">
        <v>16259.6423</v>
      </c>
    </row>
    <row r="1240" ht="15.75" customHeight="1" spans="1:4">
      <c r="A1240" s="27" t="s">
        <v>15357</v>
      </c>
      <c r="B1240" s="5" t="s">
        <v>17544</v>
      </c>
      <c r="C1240" s="27" t="s">
        <v>82</v>
      </c>
      <c r="D1240" s="28">
        <v>19482.8976</v>
      </c>
    </row>
    <row r="1241" ht="15.75" customHeight="1" spans="1:4">
      <c r="A1241" s="27" t="s">
        <v>15358</v>
      </c>
      <c r="B1241" s="5" t="s">
        <v>17545</v>
      </c>
      <c r="C1241" s="27" t="s">
        <v>82</v>
      </c>
      <c r="D1241" s="28">
        <v>22533.4764</v>
      </c>
    </row>
    <row r="1242" ht="15.75" customHeight="1" spans="1:4">
      <c r="A1242" s="27" t="s">
        <v>15359</v>
      </c>
      <c r="B1242" s="5" t="s">
        <v>17546</v>
      </c>
      <c r="C1242" s="27" t="s">
        <v>82</v>
      </c>
      <c r="D1242" s="28">
        <v>25510.5603</v>
      </c>
    </row>
    <row r="1243" ht="15.75" customHeight="1" spans="1:4">
      <c r="A1243" s="27" t="s">
        <v>15360</v>
      </c>
      <c r="B1243" s="5" t="s">
        <v>17547</v>
      </c>
      <c r="C1243" s="27" t="s">
        <v>82</v>
      </c>
      <c r="D1243" s="28">
        <v>28959.4612</v>
      </c>
    </row>
    <row r="1244" ht="15.75" customHeight="1" spans="1:4">
      <c r="A1244" s="27" t="s">
        <v>15361</v>
      </c>
      <c r="B1244" s="5" t="s">
        <v>17548</v>
      </c>
      <c r="C1244" s="27" t="s">
        <v>82</v>
      </c>
      <c r="D1244" s="28">
        <v>33464.4588</v>
      </c>
    </row>
    <row r="1245" ht="15.75" customHeight="1" spans="1:4">
      <c r="A1245" s="27" t="s">
        <v>15362</v>
      </c>
      <c r="B1245" s="5" t="s">
        <v>17549</v>
      </c>
      <c r="C1245" s="27" t="s">
        <v>82</v>
      </c>
      <c r="D1245" s="28">
        <v>37275.427</v>
      </c>
    </row>
    <row r="1246" ht="15.75" customHeight="1" spans="1:4">
      <c r="A1246" s="27" t="s">
        <v>15363</v>
      </c>
      <c r="B1246" s="5" t="s">
        <v>17550</v>
      </c>
      <c r="C1246" s="27" t="s">
        <v>82</v>
      </c>
      <c r="D1246" s="28">
        <v>40332.4393</v>
      </c>
    </row>
    <row r="1247" ht="15.75" customHeight="1" spans="1:4">
      <c r="A1247" s="27" t="s">
        <v>15364</v>
      </c>
      <c r="B1247" s="5" t="s">
        <v>17551</v>
      </c>
      <c r="C1247" s="27" t="s">
        <v>82</v>
      </c>
      <c r="D1247" s="28">
        <v>45726.2524</v>
      </c>
    </row>
    <row r="1248" ht="15.75" customHeight="1" spans="1:4">
      <c r="A1248" s="27" t="s">
        <v>15365</v>
      </c>
      <c r="B1248" s="5" t="s">
        <v>17552</v>
      </c>
      <c r="C1248" s="27" t="s">
        <v>82</v>
      </c>
      <c r="D1248" s="28">
        <v>49424.3435</v>
      </c>
    </row>
    <row r="1249" ht="15.75" customHeight="1" spans="1:4">
      <c r="A1249" s="27" t="s">
        <v>15366</v>
      </c>
      <c r="B1249" s="5" t="s">
        <v>17553</v>
      </c>
      <c r="C1249" s="27" t="s">
        <v>82</v>
      </c>
      <c r="D1249" s="28">
        <v>53219.1438</v>
      </c>
    </row>
    <row r="1250" ht="15.75" customHeight="1" spans="1:4">
      <c r="A1250" s="27" t="s">
        <v>15367</v>
      </c>
      <c r="B1250" s="5" t="s">
        <v>17554</v>
      </c>
      <c r="C1250" s="27" t="s">
        <v>82</v>
      </c>
      <c r="D1250" s="28">
        <v>57410.1096</v>
      </c>
    </row>
    <row r="1251" ht="15.75" customHeight="1" spans="1:4">
      <c r="A1251" s="27" t="s">
        <v>15368</v>
      </c>
      <c r="B1251" s="5" t="s">
        <v>17555</v>
      </c>
      <c r="C1251" s="27" t="s">
        <v>82</v>
      </c>
      <c r="D1251" s="28">
        <v>61064.1535</v>
      </c>
    </row>
    <row r="1252" ht="15.75" customHeight="1" spans="1:4">
      <c r="A1252" s="27" t="s">
        <v>15369</v>
      </c>
      <c r="B1252" s="5" t="s">
        <v>17556</v>
      </c>
      <c r="C1252" s="27" t="s">
        <v>82</v>
      </c>
      <c r="D1252" s="28">
        <v>66525.892</v>
      </c>
    </row>
    <row r="1253" ht="15.75" customHeight="1" spans="1:4">
      <c r="A1253" s="27" t="s">
        <v>15370</v>
      </c>
      <c r="B1253" s="5" t="s">
        <v>17557</v>
      </c>
      <c r="C1253" s="27" t="s">
        <v>82</v>
      </c>
      <c r="D1253" s="28">
        <v>70330.0117</v>
      </c>
    </row>
    <row r="1254" ht="15.75" customHeight="1" spans="1:4">
      <c r="A1254" s="27" t="s">
        <v>15371</v>
      </c>
      <c r="B1254" s="5" t="s">
        <v>17558</v>
      </c>
      <c r="C1254" s="27" t="s">
        <v>82</v>
      </c>
      <c r="D1254" s="28">
        <v>74616.6993</v>
      </c>
    </row>
    <row r="1255" ht="30" customHeight="1" spans="1:4">
      <c r="A1255" s="27" t="s">
        <v>15372</v>
      </c>
      <c r="B1255" s="5" t="s">
        <v>17559</v>
      </c>
      <c r="C1255" s="27" t="s">
        <v>82</v>
      </c>
      <c r="D1255" s="28">
        <v>78344.3729</v>
      </c>
    </row>
    <row r="1256" ht="15.75" customHeight="1" spans="1:4">
      <c r="A1256" s="27" t="s">
        <v>15373</v>
      </c>
      <c r="B1256" s="5" t="s">
        <v>17560</v>
      </c>
      <c r="C1256" s="27" t="s">
        <v>82</v>
      </c>
      <c r="D1256" s="28">
        <v>2520.0458</v>
      </c>
    </row>
    <row r="1257" ht="15.75" customHeight="1" spans="1:4">
      <c r="A1257" s="27" t="s">
        <v>15374</v>
      </c>
      <c r="B1257" s="5" t="s">
        <v>17561</v>
      </c>
      <c r="C1257" s="27" t="s">
        <v>82</v>
      </c>
      <c r="D1257" s="28">
        <v>4685.5101</v>
      </c>
    </row>
    <row r="1258" ht="15.75" customHeight="1" spans="1:4">
      <c r="A1258" s="27" t="s">
        <v>15375</v>
      </c>
      <c r="B1258" s="5" t="s">
        <v>17562</v>
      </c>
      <c r="C1258" s="27" t="s">
        <v>82</v>
      </c>
      <c r="D1258" s="28">
        <v>8013.2661</v>
      </c>
    </row>
    <row r="1259" ht="15.75" customHeight="1" spans="1:4">
      <c r="A1259" s="27" t="s">
        <v>15376</v>
      </c>
      <c r="B1259" s="5" t="s">
        <v>17563</v>
      </c>
      <c r="C1259" s="27" t="s">
        <v>82</v>
      </c>
      <c r="D1259" s="28">
        <v>10081.9344</v>
      </c>
    </row>
    <row r="1260" ht="15.75" customHeight="1" spans="1:4">
      <c r="A1260" s="27" t="s">
        <v>15377</v>
      </c>
      <c r="B1260" s="5" t="s">
        <v>17564</v>
      </c>
      <c r="C1260" s="27" t="s">
        <v>82</v>
      </c>
      <c r="D1260" s="28">
        <v>14701.7875</v>
      </c>
    </row>
    <row r="1261" ht="15.75" customHeight="1" spans="1:4">
      <c r="A1261" s="27" t="s">
        <v>15378</v>
      </c>
      <c r="B1261" s="5" t="s">
        <v>17565</v>
      </c>
      <c r="C1261" s="27" t="s">
        <v>82</v>
      </c>
      <c r="D1261" s="28">
        <v>20751.6361</v>
      </c>
    </row>
    <row r="1262" ht="15.75" customHeight="1" spans="1:4">
      <c r="A1262" s="27" t="s">
        <v>15379</v>
      </c>
      <c r="B1262" s="5" t="s">
        <v>17566</v>
      </c>
      <c r="C1262" s="27" t="s">
        <v>82</v>
      </c>
      <c r="D1262" s="28">
        <v>29580.5044</v>
      </c>
    </row>
    <row r="1263" ht="15.75" customHeight="1" spans="1:4">
      <c r="A1263" s="27" t="s">
        <v>15380</v>
      </c>
      <c r="B1263" s="5" t="s">
        <v>17567</v>
      </c>
      <c r="C1263" s="27" t="s">
        <v>82</v>
      </c>
      <c r="D1263" s="28">
        <v>4885.4517</v>
      </c>
    </row>
    <row r="1264" ht="30" customHeight="1" spans="1:4">
      <c r="A1264" s="27" t="s">
        <v>15381</v>
      </c>
      <c r="B1264" s="5" t="s">
        <v>17568</v>
      </c>
      <c r="C1264" s="27" t="s">
        <v>82</v>
      </c>
      <c r="D1264" s="28">
        <v>6529.8904</v>
      </c>
    </row>
    <row r="1265" ht="30" customHeight="1" spans="1:4">
      <c r="A1265" s="27" t="s">
        <v>15382</v>
      </c>
      <c r="B1265" s="5" t="s">
        <v>17569</v>
      </c>
      <c r="C1265" s="27" t="s">
        <v>82</v>
      </c>
      <c r="D1265" s="28">
        <v>9482.2149</v>
      </c>
    </row>
    <row r="1266" ht="30" customHeight="1" spans="1:4">
      <c r="A1266" s="27" t="s">
        <v>15383</v>
      </c>
      <c r="B1266" s="5" t="s">
        <v>17570</v>
      </c>
      <c r="C1266" s="27" t="s">
        <v>82</v>
      </c>
      <c r="D1266" s="28">
        <v>17998.5071</v>
      </c>
    </row>
    <row r="1267" ht="30" customHeight="1" spans="1:4">
      <c r="A1267" s="27" t="s">
        <v>15384</v>
      </c>
      <c r="B1267" s="5" t="s">
        <v>17571</v>
      </c>
      <c r="C1267" s="27" t="s">
        <v>82</v>
      </c>
      <c r="D1267" s="28">
        <v>25268.9548</v>
      </c>
    </row>
    <row r="1268" ht="30" customHeight="1" spans="1:4">
      <c r="A1268" s="27" t="s">
        <v>15385</v>
      </c>
      <c r="B1268" s="5" t="s">
        <v>17572</v>
      </c>
      <c r="C1268" s="27" t="s">
        <v>82</v>
      </c>
      <c r="D1268" s="28">
        <v>26841.0795</v>
      </c>
    </row>
    <row r="1269" ht="30" customHeight="1" spans="1:4">
      <c r="A1269" s="27" t="s">
        <v>15386</v>
      </c>
      <c r="B1269" s="5" t="s">
        <v>17573</v>
      </c>
      <c r="C1269" s="27" t="s">
        <v>82</v>
      </c>
      <c r="D1269" s="28">
        <v>49413.715</v>
      </c>
    </row>
    <row r="1270" ht="30" customHeight="1" spans="1:4">
      <c r="A1270" s="27" t="s">
        <v>15387</v>
      </c>
      <c r="B1270" s="5" t="s">
        <v>17574</v>
      </c>
      <c r="C1270" s="27" t="s">
        <v>82</v>
      </c>
      <c r="D1270" s="28">
        <v>4785.7559</v>
      </c>
    </row>
    <row r="1271" ht="30" customHeight="1" spans="1:4">
      <c r="A1271" s="27" t="s">
        <v>15388</v>
      </c>
      <c r="B1271" s="5" t="s">
        <v>17575</v>
      </c>
      <c r="C1271" s="27" t="s">
        <v>82</v>
      </c>
      <c r="D1271" s="28">
        <v>4942.3708</v>
      </c>
    </row>
    <row r="1272" ht="30" customHeight="1" spans="1:4">
      <c r="A1272" s="27" t="s">
        <v>15389</v>
      </c>
      <c r="B1272" s="5" t="s">
        <v>17576</v>
      </c>
      <c r="C1272" s="27" t="s">
        <v>82</v>
      </c>
      <c r="D1272" s="28">
        <v>7910.0069</v>
      </c>
    </row>
    <row r="1273" ht="30" customHeight="1" spans="1:4">
      <c r="A1273" s="27" t="s">
        <v>15390</v>
      </c>
      <c r="B1273" s="5" t="s">
        <v>17577</v>
      </c>
      <c r="C1273" s="27" t="s">
        <v>82</v>
      </c>
      <c r="D1273" s="28">
        <v>11683.3811</v>
      </c>
    </row>
    <row r="1274" ht="30" customHeight="1" spans="1:4">
      <c r="A1274" s="27" t="s">
        <v>15391</v>
      </c>
      <c r="B1274" s="5" t="s">
        <v>17578</v>
      </c>
      <c r="C1274" s="27" t="s">
        <v>82</v>
      </c>
      <c r="D1274" s="28">
        <v>16551.8843</v>
      </c>
    </row>
    <row r="1275" ht="30" customHeight="1" spans="1:4">
      <c r="A1275" s="27" t="s">
        <v>15392</v>
      </c>
      <c r="B1275" s="5" t="s">
        <v>17579</v>
      </c>
      <c r="C1275" s="27" t="s">
        <v>82</v>
      </c>
      <c r="D1275" s="28">
        <v>22995.7336</v>
      </c>
    </row>
    <row r="1276" ht="30" customHeight="1" spans="1:4">
      <c r="A1276" s="27" t="s">
        <v>15393</v>
      </c>
      <c r="B1276" s="5" t="s">
        <v>17580</v>
      </c>
      <c r="C1276" s="27" t="s">
        <v>82</v>
      </c>
      <c r="D1276" s="28">
        <v>30980.8127</v>
      </c>
    </row>
    <row r="1277" ht="15.75" customHeight="1" spans="1:4">
      <c r="A1277" s="27" t="s">
        <v>15394</v>
      </c>
      <c r="B1277" s="5" t="s">
        <v>17581</v>
      </c>
      <c r="C1277" s="27" t="s">
        <v>9</v>
      </c>
      <c r="D1277" s="28">
        <v>3616.8085</v>
      </c>
    </row>
    <row r="1278" ht="15.75" customHeight="1" spans="1:4">
      <c r="A1278" s="27" t="s">
        <v>15395</v>
      </c>
      <c r="B1278" s="5" t="s">
        <v>17582</v>
      </c>
      <c r="C1278" s="27" t="s">
        <v>9</v>
      </c>
      <c r="D1278" s="28">
        <v>4076.5767</v>
      </c>
    </row>
    <row r="1279" ht="15.75" customHeight="1" spans="1:4">
      <c r="A1279" s="27" t="s">
        <v>15396</v>
      </c>
      <c r="B1279" s="5" t="s">
        <v>17583</v>
      </c>
      <c r="C1279" s="27" t="s">
        <v>9</v>
      </c>
      <c r="D1279" s="28">
        <v>4750.9027</v>
      </c>
    </row>
    <row r="1280" ht="15.75" customHeight="1" spans="1:4">
      <c r="A1280" s="27" t="s">
        <v>15397</v>
      </c>
      <c r="B1280" s="5" t="s">
        <v>17584</v>
      </c>
      <c r="C1280" s="27" t="s">
        <v>9</v>
      </c>
      <c r="D1280" s="28">
        <v>5425.2128</v>
      </c>
    </row>
    <row r="1281" ht="15.75" customHeight="1" spans="1:4">
      <c r="A1281" s="27" t="s">
        <v>15398</v>
      </c>
      <c r="B1281" s="5" t="s">
        <v>17585</v>
      </c>
      <c r="C1281" s="27" t="s">
        <v>9</v>
      </c>
      <c r="D1281" s="28">
        <v>5977.1027</v>
      </c>
    </row>
    <row r="1282" ht="15.75" customHeight="1" spans="1:4">
      <c r="A1282" s="27" t="s">
        <v>15399</v>
      </c>
      <c r="B1282" s="5" t="s">
        <v>17586</v>
      </c>
      <c r="C1282" s="27" t="s">
        <v>9</v>
      </c>
      <c r="D1282" s="28">
        <v>7829.0049</v>
      </c>
    </row>
    <row r="1283" ht="15.75" customHeight="1" spans="1:4">
      <c r="A1283" s="27" t="s">
        <v>15400</v>
      </c>
      <c r="B1283" s="5" t="s">
        <v>17587</v>
      </c>
      <c r="C1283" s="27" t="s">
        <v>9</v>
      </c>
      <c r="D1283" s="28">
        <v>8474.2371</v>
      </c>
    </row>
    <row r="1284" ht="15.75" customHeight="1" spans="1:4">
      <c r="A1284" s="27" t="s">
        <v>15401</v>
      </c>
      <c r="B1284" s="5" t="s">
        <v>17588</v>
      </c>
      <c r="C1284" s="27" t="s">
        <v>9</v>
      </c>
      <c r="D1284" s="28">
        <v>9236.7949</v>
      </c>
    </row>
    <row r="1285" ht="15.75" customHeight="1" spans="1:4">
      <c r="A1285" s="27" t="s">
        <v>15402</v>
      </c>
      <c r="B1285" s="5" t="s">
        <v>17589</v>
      </c>
      <c r="C1285" s="27" t="s">
        <v>9</v>
      </c>
      <c r="D1285" s="28">
        <v>9881.6504</v>
      </c>
    </row>
    <row r="1286" ht="15.75" customHeight="1" spans="1:4">
      <c r="A1286" s="27" t="s">
        <v>15403</v>
      </c>
      <c r="B1286" s="5" t="s">
        <v>17590</v>
      </c>
      <c r="C1286" s="27" t="s">
        <v>9</v>
      </c>
      <c r="D1286" s="28">
        <v>10644.551</v>
      </c>
    </row>
    <row r="1287" ht="15.75" customHeight="1" spans="1:4">
      <c r="A1287" s="27" t="s">
        <v>15404</v>
      </c>
      <c r="B1287" s="5" t="s">
        <v>17591</v>
      </c>
      <c r="C1287" s="27" t="s">
        <v>9</v>
      </c>
      <c r="D1287" s="28">
        <v>11289.64</v>
      </c>
    </row>
    <row r="1288" ht="15.75" customHeight="1" spans="1:4">
      <c r="A1288" s="27" t="s">
        <v>15405</v>
      </c>
      <c r="B1288" s="5" t="s">
        <v>17592</v>
      </c>
      <c r="C1288" s="27" t="s">
        <v>9</v>
      </c>
      <c r="D1288" s="28">
        <v>13310.2577</v>
      </c>
    </row>
    <row r="1289" ht="15.75" customHeight="1" spans="1:4">
      <c r="A1289" s="27" t="s">
        <v>15406</v>
      </c>
      <c r="B1289" s="5" t="s">
        <v>17593</v>
      </c>
      <c r="C1289" s="27" t="s">
        <v>9</v>
      </c>
      <c r="D1289" s="28">
        <v>14039.0741</v>
      </c>
    </row>
    <row r="1290" ht="15.75" customHeight="1" spans="1:4">
      <c r="A1290" s="27" t="s">
        <v>15407</v>
      </c>
      <c r="B1290" s="5" t="s">
        <v>17594</v>
      </c>
      <c r="C1290" s="27" t="s">
        <v>9</v>
      </c>
      <c r="D1290" s="28">
        <v>14907.3205</v>
      </c>
    </row>
    <row r="1291" ht="15.75" customHeight="1" spans="1:4">
      <c r="A1291" s="27" t="s">
        <v>15408</v>
      </c>
      <c r="B1291" s="5" t="s">
        <v>17595</v>
      </c>
      <c r="C1291" s="27" t="s">
        <v>9</v>
      </c>
      <c r="D1291" s="28">
        <v>15580.7972</v>
      </c>
    </row>
    <row r="1292" ht="15.75" customHeight="1" spans="1:4">
      <c r="A1292" s="27" t="s">
        <v>15409</v>
      </c>
      <c r="B1292" s="5" t="s">
        <v>17596</v>
      </c>
      <c r="C1292" s="27" t="s">
        <v>9</v>
      </c>
      <c r="D1292" s="28">
        <v>16421.2126</v>
      </c>
    </row>
    <row r="1293" ht="15.75" customHeight="1" spans="1:4">
      <c r="A1293" s="27" t="s">
        <v>15410</v>
      </c>
      <c r="B1293" s="5" t="s">
        <v>17597</v>
      </c>
      <c r="C1293" s="27" t="s">
        <v>9</v>
      </c>
      <c r="D1293" s="28">
        <v>17176.7336</v>
      </c>
    </row>
    <row r="1294" ht="15.75" customHeight="1" spans="1:4">
      <c r="A1294" s="27" t="s">
        <v>15411</v>
      </c>
      <c r="B1294" s="5" t="s">
        <v>17598</v>
      </c>
      <c r="C1294" s="27" t="s">
        <v>9</v>
      </c>
      <c r="D1294" s="28">
        <v>17960.6739</v>
      </c>
    </row>
    <row r="1295" ht="15.75" customHeight="1" spans="1:4">
      <c r="A1295" s="27" t="s">
        <v>15412</v>
      </c>
      <c r="B1295" s="5" t="s">
        <v>17599</v>
      </c>
      <c r="C1295" s="27" t="s">
        <v>9</v>
      </c>
      <c r="D1295" s="28">
        <v>20415.829</v>
      </c>
    </row>
    <row r="1296" ht="15.75" customHeight="1" spans="1:4">
      <c r="A1296" s="27" t="s">
        <v>15413</v>
      </c>
      <c r="B1296" s="5" t="s">
        <v>17600</v>
      </c>
      <c r="C1296" s="27" t="s">
        <v>9</v>
      </c>
      <c r="D1296" s="28">
        <v>21376.9457</v>
      </c>
    </row>
    <row r="1297" ht="30" customHeight="1" spans="1:4">
      <c r="A1297" s="27" t="s">
        <v>15414</v>
      </c>
      <c r="B1297" s="5" t="s">
        <v>17601</v>
      </c>
      <c r="C1297" s="27" t="s">
        <v>9</v>
      </c>
      <c r="D1297" s="28">
        <v>3823.8491</v>
      </c>
    </row>
    <row r="1298" ht="30" customHeight="1" spans="1:4">
      <c r="A1298" s="27" t="s">
        <v>15415</v>
      </c>
      <c r="B1298" s="5" t="s">
        <v>17602</v>
      </c>
      <c r="C1298" s="27" t="s">
        <v>9</v>
      </c>
      <c r="D1298" s="28">
        <v>4309.936</v>
      </c>
    </row>
    <row r="1299" ht="30" customHeight="1" spans="1:4">
      <c r="A1299" s="27" t="s">
        <v>15416</v>
      </c>
      <c r="B1299" s="5" t="s">
        <v>17603</v>
      </c>
      <c r="C1299" s="27" t="s">
        <v>9</v>
      </c>
      <c r="D1299" s="28">
        <v>5022.8628</v>
      </c>
    </row>
    <row r="1300" ht="30" customHeight="1" spans="1:4">
      <c r="A1300" s="27" t="s">
        <v>15417</v>
      </c>
      <c r="B1300" s="5" t="s">
        <v>17604</v>
      </c>
      <c r="C1300" s="27" t="s">
        <v>9</v>
      </c>
      <c r="D1300" s="28">
        <v>5735.7736</v>
      </c>
    </row>
    <row r="1301" ht="30" customHeight="1" spans="1:4">
      <c r="A1301" s="27" t="s">
        <v>15418</v>
      </c>
      <c r="B1301" s="5" t="s">
        <v>17605</v>
      </c>
      <c r="C1301" s="27" t="s">
        <v>9</v>
      </c>
      <c r="D1301" s="28">
        <v>6319.2461</v>
      </c>
    </row>
    <row r="1302" ht="30" customHeight="1" spans="1:4">
      <c r="A1302" s="27" t="s">
        <v>15419</v>
      </c>
      <c r="B1302" s="5" t="s">
        <v>17606</v>
      </c>
      <c r="C1302" s="27" t="s">
        <v>9</v>
      </c>
      <c r="D1302" s="28">
        <v>8377.997</v>
      </c>
    </row>
    <row r="1303" ht="30" customHeight="1" spans="1:4">
      <c r="A1303" s="27" t="s">
        <v>15420</v>
      </c>
      <c r="B1303" s="5" t="s">
        <v>17607</v>
      </c>
      <c r="C1303" s="27" t="s">
        <v>9</v>
      </c>
      <c r="D1303" s="28">
        <v>9068.4645</v>
      </c>
    </row>
    <row r="1304" ht="30" customHeight="1" spans="1:4">
      <c r="A1304" s="27" t="s">
        <v>15421</v>
      </c>
      <c r="B1304" s="5" t="s">
        <v>17608</v>
      </c>
      <c r="C1304" s="27" t="s">
        <v>9</v>
      </c>
      <c r="D1304" s="28">
        <v>9884.4822</v>
      </c>
    </row>
    <row r="1305" ht="30" customHeight="1" spans="1:4">
      <c r="A1305" s="27" t="s">
        <v>15422</v>
      </c>
      <c r="B1305" s="5" t="s">
        <v>17609</v>
      </c>
      <c r="C1305" s="27" t="s">
        <v>9</v>
      </c>
      <c r="D1305" s="28">
        <v>10574.573</v>
      </c>
    </row>
    <row r="1306" ht="30" customHeight="1" spans="1:4">
      <c r="A1306" s="27" t="s">
        <v>15423</v>
      </c>
      <c r="B1306" s="5" t="s">
        <v>17610</v>
      </c>
      <c r="C1306" s="27" t="s">
        <v>9</v>
      </c>
      <c r="D1306" s="28">
        <v>11390.9334</v>
      </c>
    </row>
    <row r="1307" ht="30" customHeight="1" spans="1:4">
      <c r="A1307" s="27" t="s">
        <v>15424</v>
      </c>
      <c r="B1307" s="5" t="s">
        <v>17611</v>
      </c>
      <c r="C1307" s="27" t="s">
        <v>9</v>
      </c>
      <c r="D1307" s="28">
        <v>12081.2578</v>
      </c>
    </row>
    <row r="1308" ht="30" customHeight="1" spans="1:4">
      <c r="A1308" s="27" t="s">
        <v>15425</v>
      </c>
      <c r="B1308" s="5" t="s">
        <v>17612</v>
      </c>
      <c r="C1308" s="27" t="s">
        <v>9</v>
      </c>
      <c r="D1308" s="28">
        <v>7722.0451</v>
      </c>
    </row>
    <row r="1309" ht="30" customHeight="1" spans="1:4">
      <c r="A1309" s="27" t="s">
        <v>15426</v>
      </c>
      <c r="B1309" s="5" t="s">
        <v>17613</v>
      </c>
      <c r="C1309" s="27" t="s">
        <v>9</v>
      </c>
      <c r="D1309" s="28">
        <v>8532.6657</v>
      </c>
    </row>
    <row r="1310" ht="30" customHeight="1" spans="1:4">
      <c r="A1310" s="27" t="s">
        <v>15427</v>
      </c>
      <c r="B1310" s="5" t="s">
        <v>17614</v>
      </c>
      <c r="C1310" s="27" t="s">
        <v>9</v>
      </c>
      <c r="D1310" s="28">
        <v>9101.4193</v>
      </c>
    </row>
    <row r="1311" ht="30" customHeight="1" spans="1:4">
      <c r="A1311" s="27" t="s">
        <v>15428</v>
      </c>
      <c r="B1311" s="5" t="s">
        <v>17615</v>
      </c>
      <c r="C1311" s="27" t="s">
        <v>9</v>
      </c>
      <c r="D1311" s="28">
        <v>9656.3272</v>
      </c>
    </row>
    <row r="1312" ht="30" customHeight="1" spans="1:4">
      <c r="A1312" s="27" t="s">
        <v>15429</v>
      </c>
      <c r="B1312" s="5" t="s">
        <v>17616</v>
      </c>
      <c r="C1312" s="27" t="s">
        <v>9</v>
      </c>
      <c r="D1312" s="28">
        <v>10466.674</v>
      </c>
    </row>
    <row r="1313" ht="30" customHeight="1" spans="1:4">
      <c r="A1313" s="27" t="s">
        <v>15430</v>
      </c>
      <c r="B1313" s="5" t="s">
        <v>17617</v>
      </c>
      <c r="C1313" s="27" t="s">
        <v>9</v>
      </c>
      <c r="D1313" s="28">
        <v>10751.1347</v>
      </c>
    </row>
    <row r="1314" ht="30" customHeight="1" spans="1:4">
      <c r="A1314" s="27" t="s">
        <v>15431</v>
      </c>
      <c r="B1314" s="5" t="s">
        <v>17618</v>
      </c>
      <c r="C1314" s="27" t="s">
        <v>9</v>
      </c>
      <c r="D1314" s="28">
        <v>11305.8244</v>
      </c>
    </row>
    <row r="1315" ht="30" customHeight="1" spans="1:4">
      <c r="A1315" s="27" t="s">
        <v>15432</v>
      </c>
      <c r="B1315" s="5" t="s">
        <v>17619</v>
      </c>
      <c r="C1315" s="27" t="s">
        <v>9</v>
      </c>
      <c r="D1315" s="28">
        <v>11860.4231</v>
      </c>
    </row>
    <row r="1316" ht="30" customHeight="1" spans="1:4">
      <c r="A1316" s="27" t="s">
        <v>15433</v>
      </c>
      <c r="B1316" s="5" t="s">
        <v>17620</v>
      </c>
      <c r="C1316" s="27" t="s">
        <v>9</v>
      </c>
      <c r="D1316" s="28">
        <v>12414.8268</v>
      </c>
    </row>
    <row r="1317" ht="30" customHeight="1" spans="1:4">
      <c r="A1317" s="27" t="s">
        <v>15434</v>
      </c>
      <c r="B1317" s="5" t="s">
        <v>17621</v>
      </c>
      <c r="C1317" s="27" t="s">
        <v>9</v>
      </c>
      <c r="D1317" s="28">
        <v>12969.6519</v>
      </c>
    </row>
    <row r="1318" ht="30" customHeight="1" spans="1:4">
      <c r="A1318" s="27" t="s">
        <v>15435</v>
      </c>
      <c r="B1318" s="5" t="s">
        <v>17622</v>
      </c>
      <c r="C1318" s="27" t="s">
        <v>9</v>
      </c>
      <c r="D1318" s="28">
        <v>13780.4023</v>
      </c>
    </row>
    <row r="1319" ht="30" customHeight="1" spans="1:4">
      <c r="A1319" s="27" t="s">
        <v>15436</v>
      </c>
      <c r="B1319" s="5" t="s">
        <v>17623</v>
      </c>
      <c r="C1319" s="27" t="s">
        <v>9</v>
      </c>
      <c r="D1319" s="28">
        <v>14349.6255</v>
      </c>
    </row>
    <row r="1320" ht="30" customHeight="1" spans="1:4">
      <c r="A1320" s="27" t="s">
        <v>15437</v>
      </c>
      <c r="B1320" s="5" t="s">
        <v>17624</v>
      </c>
      <c r="C1320" s="27" t="s">
        <v>9</v>
      </c>
      <c r="D1320" s="28">
        <v>14904.2456</v>
      </c>
    </row>
    <row r="1321" ht="30" customHeight="1" spans="1:4">
      <c r="A1321" s="27" t="s">
        <v>15438</v>
      </c>
      <c r="B1321" s="5" t="s">
        <v>17625</v>
      </c>
      <c r="C1321" s="27" t="s">
        <v>9</v>
      </c>
      <c r="D1321" s="28">
        <v>15458.19</v>
      </c>
    </row>
    <row r="1322" ht="30" customHeight="1" spans="1:4">
      <c r="A1322" s="27" t="s">
        <v>15439</v>
      </c>
      <c r="B1322" s="5" t="s">
        <v>17626</v>
      </c>
      <c r="C1322" s="27" t="s">
        <v>9</v>
      </c>
      <c r="D1322" s="28">
        <v>16013.525</v>
      </c>
    </row>
    <row r="1323" ht="30" customHeight="1" spans="1:4">
      <c r="A1323" s="27" t="s">
        <v>15440</v>
      </c>
      <c r="B1323" s="5" t="s">
        <v>17627</v>
      </c>
      <c r="C1323" s="27" t="s">
        <v>9</v>
      </c>
      <c r="D1323" s="28">
        <v>16838.4692</v>
      </c>
    </row>
    <row r="1324" ht="30" customHeight="1" spans="1:4">
      <c r="A1324" s="27" t="s">
        <v>15441</v>
      </c>
      <c r="B1324" s="5" t="s">
        <v>17628</v>
      </c>
      <c r="C1324" s="27" t="s">
        <v>9</v>
      </c>
      <c r="D1324" s="28">
        <v>20777.6745</v>
      </c>
    </row>
    <row r="1325" ht="30" customHeight="1" spans="1:4">
      <c r="A1325" s="27" t="s">
        <v>15442</v>
      </c>
      <c r="B1325" s="5" t="s">
        <v>17629</v>
      </c>
      <c r="C1325" s="27" t="s">
        <v>9</v>
      </c>
      <c r="D1325" s="28">
        <v>21747.5415</v>
      </c>
    </row>
    <row r="1326" ht="30" customHeight="1" spans="1:4">
      <c r="A1326" s="27" t="s">
        <v>15443</v>
      </c>
      <c r="B1326" s="5" t="s">
        <v>17630</v>
      </c>
      <c r="C1326" s="27" t="s">
        <v>9</v>
      </c>
      <c r="D1326" s="28">
        <v>22431.4819</v>
      </c>
    </row>
    <row r="1327" ht="30" customHeight="1" spans="1:4">
      <c r="A1327" s="27" t="s">
        <v>15444</v>
      </c>
      <c r="B1327" s="5" t="s">
        <v>17631</v>
      </c>
      <c r="C1327" s="27" t="s">
        <v>9</v>
      </c>
      <c r="D1327" s="28">
        <v>25508.4195</v>
      </c>
    </row>
    <row r="1328" ht="30" customHeight="1" spans="1:4">
      <c r="A1328" s="27" t="s">
        <v>15445</v>
      </c>
      <c r="B1328" s="5" t="s">
        <v>17632</v>
      </c>
      <c r="C1328" s="27" t="s">
        <v>9</v>
      </c>
      <c r="D1328" s="28">
        <v>25887.3005</v>
      </c>
    </row>
    <row r="1329" ht="30" customHeight="1" spans="1:4">
      <c r="A1329" s="27" t="s">
        <v>15446</v>
      </c>
      <c r="B1329" s="5" t="s">
        <v>17633</v>
      </c>
      <c r="C1329" s="27" t="s">
        <v>9</v>
      </c>
      <c r="D1329" s="28">
        <v>31169.3675</v>
      </c>
    </row>
    <row r="1330" ht="30" customHeight="1" spans="1:4">
      <c r="A1330" s="27" t="s">
        <v>15447</v>
      </c>
      <c r="B1330" s="5" t="s">
        <v>17634</v>
      </c>
      <c r="C1330" s="27" t="s">
        <v>9</v>
      </c>
      <c r="D1330" s="28">
        <v>31605.4837</v>
      </c>
    </row>
    <row r="1331" ht="30" customHeight="1" spans="1:4">
      <c r="A1331" s="27" t="s">
        <v>15448</v>
      </c>
      <c r="B1331" s="5" t="s">
        <v>17635</v>
      </c>
      <c r="C1331" s="27" t="s">
        <v>9</v>
      </c>
      <c r="D1331" s="28">
        <v>32820.3729</v>
      </c>
    </row>
    <row r="1332" ht="30" customHeight="1" spans="1:4">
      <c r="A1332" s="27" t="s">
        <v>15449</v>
      </c>
      <c r="B1332" s="5" t="s">
        <v>17636</v>
      </c>
      <c r="C1332" s="27" t="s">
        <v>9</v>
      </c>
      <c r="D1332" s="28">
        <v>33257.1228</v>
      </c>
    </row>
    <row r="1333" ht="30" customHeight="1" spans="1:4">
      <c r="A1333" s="27" t="s">
        <v>15450</v>
      </c>
      <c r="B1333" s="5" t="s">
        <v>17637</v>
      </c>
      <c r="C1333" s="27" t="s">
        <v>9</v>
      </c>
      <c r="D1333" s="28">
        <v>45200.337</v>
      </c>
    </row>
    <row r="1334" ht="30" customHeight="1" spans="1:4">
      <c r="A1334" s="27" t="s">
        <v>15451</v>
      </c>
      <c r="B1334" s="5" t="s">
        <v>17638</v>
      </c>
      <c r="C1334" s="27" t="s">
        <v>9</v>
      </c>
      <c r="D1334" s="28">
        <v>46786.6722</v>
      </c>
    </row>
    <row r="1335" ht="30" customHeight="1" spans="1:4">
      <c r="A1335" s="27" t="s">
        <v>15452</v>
      </c>
      <c r="B1335" s="5" t="s">
        <v>17639</v>
      </c>
      <c r="C1335" s="27" t="s">
        <v>9</v>
      </c>
      <c r="D1335" s="28">
        <v>10495.356</v>
      </c>
    </row>
    <row r="1336" ht="30" customHeight="1" spans="1:4">
      <c r="A1336" s="27" t="s">
        <v>15453</v>
      </c>
      <c r="B1336" s="5" t="s">
        <v>17640</v>
      </c>
      <c r="C1336" s="27" t="s">
        <v>9</v>
      </c>
      <c r="D1336" s="28">
        <v>13780.4023</v>
      </c>
    </row>
    <row r="1337" ht="30" customHeight="1" spans="1:4">
      <c r="A1337" s="27" t="s">
        <v>15454</v>
      </c>
      <c r="B1337" s="5" t="s">
        <v>17641</v>
      </c>
      <c r="C1337" s="27" t="s">
        <v>9</v>
      </c>
      <c r="D1337" s="28">
        <v>15999.4253</v>
      </c>
    </row>
    <row r="1338" ht="30" customHeight="1" spans="1:4">
      <c r="A1338" s="27" t="s">
        <v>15455</v>
      </c>
      <c r="B1338" s="5" t="s">
        <v>17642</v>
      </c>
      <c r="C1338" s="27" t="s">
        <v>9</v>
      </c>
      <c r="D1338" s="28">
        <v>16824.3694</v>
      </c>
    </row>
    <row r="1339" ht="30" customHeight="1" spans="1:4">
      <c r="A1339" s="27" t="s">
        <v>15456</v>
      </c>
      <c r="B1339" s="5" t="s">
        <v>17643</v>
      </c>
      <c r="C1339" s="27" t="s">
        <v>9</v>
      </c>
      <c r="D1339" s="28">
        <v>17378.1265</v>
      </c>
    </row>
    <row r="1340" ht="30" customHeight="1" spans="1:4">
      <c r="A1340" s="27" t="s">
        <v>15457</v>
      </c>
      <c r="B1340" s="5" t="s">
        <v>17644</v>
      </c>
      <c r="C1340" s="27" t="s">
        <v>9</v>
      </c>
      <c r="D1340" s="28">
        <v>17933.5069</v>
      </c>
    </row>
    <row r="1341" ht="30" customHeight="1" spans="1:4">
      <c r="A1341" s="27" t="s">
        <v>15458</v>
      </c>
      <c r="B1341" s="5" t="s">
        <v>17645</v>
      </c>
      <c r="C1341" s="27" t="s">
        <v>9</v>
      </c>
      <c r="D1341" s="28">
        <v>18487.7891</v>
      </c>
    </row>
    <row r="1342" ht="30" customHeight="1" spans="1:4">
      <c r="A1342" s="27" t="s">
        <v>15459</v>
      </c>
      <c r="B1342" s="5" t="s">
        <v>17646</v>
      </c>
      <c r="C1342" s="27" t="s">
        <v>9</v>
      </c>
      <c r="D1342" s="28">
        <v>19313.4805</v>
      </c>
    </row>
    <row r="1343" ht="30" customHeight="1" spans="1:4">
      <c r="A1343" s="27" t="s">
        <v>15460</v>
      </c>
      <c r="B1343" s="5" t="s">
        <v>17647</v>
      </c>
      <c r="C1343" s="27" t="s">
        <v>9</v>
      </c>
      <c r="D1343" s="28">
        <v>19866.7588</v>
      </c>
    </row>
    <row r="1344" ht="30" customHeight="1" spans="1:4">
      <c r="A1344" s="27" t="s">
        <v>15461</v>
      </c>
      <c r="B1344" s="5" t="s">
        <v>17648</v>
      </c>
      <c r="C1344" s="27" t="s">
        <v>9</v>
      </c>
      <c r="D1344" s="28">
        <v>24413.0974</v>
      </c>
    </row>
    <row r="1345" ht="30" customHeight="1" spans="1:4">
      <c r="A1345" s="27" t="s">
        <v>15462</v>
      </c>
      <c r="B1345" s="5" t="s">
        <v>17649</v>
      </c>
      <c r="C1345" s="27" t="s">
        <v>9</v>
      </c>
      <c r="D1345" s="28">
        <v>25654.1467</v>
      </c>
    </row>
    <row r="1346" ht="30" customHeight="1" spans="1:4">
      <c r="A1346" s="27" t="s">
        <v>15463</v>
      </c>
      <c r="B1346" s="5" t="s">
        <v>17650</v>
      </c>
      <c r="C1346" s="27" t="s">
        <v>9</v>
      </c>
      <c r="D1346" s="28">
        <v>26337.5158</v>
      </c>
    </row>
    <row r="1347" ht="30" customHeight="1" spans="1:4">
      <c r="A1347" s="27" t="s">
        <v>15464</v>
      </c>
      <c r="B1347" s="5" t="s">
        <v>17651</v>
      </c>
      <c r="C1347" s="27" t="s">
        <v>9</v>
      </c>
      <c r="D1347" s="28">
        <v>27021.2564</v>
      </c>
    </row>
    <row r="1348" ht="30" customHeight="1" spans="1:4">
      <c r="A1348" s="27" t="s">
        <v>15465</v>
      </c>
      <c r="B1348" s="5" t="s">
        <v>17652</v>
      </c>
      <c r="C1348" s="27" t="s">
        <v>9</v>
      </c>
      <c r="D1348" s="28">
        <v>27349.737</v>
      </c>
    </row>
    <row r="1349" ht="30" customHeight="1" spans="1:4">
      <c r="A1349" s="27" t="s">
        <v>15466</v>
      </c>
      <c r="B1349" s="5" t="s">
        <v>17653</v>
      </c>
      <c r="C1349" s="27" t="s">
        <v>9</v>
      </c>
      <c r="D1349" s="28">
        <v>28606.6168</v>
      </c>
    </row>
    <row r="1350" ht="30" customHeight="1" spans="1:4">
      <c r="A1350" s="27" t="s">
        <v>15467</v>
      </c>
      <c r="B1350" s="5" t="s">
        <v>17654</v>
      </c>
      <c r="C1350" s="27" t="s">
        <v>9</v>
      </c>
      <c r="D1350" s="28">
        <v>32608.5535</v>
      </c>
    </row>
    <row r="1351" ht="30" customHeight="1" spans="1:4">
      <c r="A1351" s="27" t="s">
        <v>15468</v>
      </c>
      <c r="B1351" s="5" t="s">
        <v>17655</v>
      </c>
      <c r="C1351" s="27" t="s">
        <v>9</v>
      </c>
      <c r="D1351" s="28">
        <v>38880.8848</v>
      </c>
    </row>
    <row r="1352" ht="30" customHeight="1" spans="1:4">
      <c r="A1352" s="27" t="s">
        <v>15469</v>
      </c>
      <c r="B1352" s="5" t="s">
        <v>17656</v>
      </c>
      <c r="C1352" s="27" t="s">
        <v>9</v>
      </c>
      <c r="D1352" s="28">
        <v>39750.7212</v>
      </c>
    </row>
    <row r="1353" ht="30" customHeight="1" spans="1:4">
      <c r="A1353" s="27" t="s">
        <v>15470</v>
      </c>
      <c r="B1353" s="5" t="s">
        <v>17657</v>
      </c>
      <c r="C1353" s="27" t="s">
        <v>9</v>
      </c>
      <c r="D1353" s="28">
        <v>40633.616</v>
      </c>
    </row>
    <row r="1354" ht="30" customHeight="1" spans="1:4">
      <c r="A1354" s="27" t="s">
        <v>15471</v>
      </c>
      <c r="B1354" s="5" t="s">
        <v>17658</v>
      </c>
      <c r="C1354" s="27" t="s">
        <v>9</v>
      </c>
      <c r="D1354" s="28">
        <v>23739.2717</v>
      </c>
    </row>
    <row r="1355" ht="30" customHeight="1" spans="1:4">
      <c r="A1355" s="27" t="s">
        <v>15472</v>
      </c>
      <c r="B1355" s="5" t="s">
        <v>17659</v>
      </c>
      <c r="C1355" s="27" t="s">
        <v>9</v>
      </c>
      <c r="D1355" s="28">
        <v>27717.0489</v>
      </c>
    </row>
    <row r="1356" ht="30" customHeight="1" spans="1:4">
      <c r="A1356" s="27" t="s">
        <v>15473</v>
      </c>
      <c r="B1356" s="5" t="s">
        <v>17660</v>
      </c>
      <c r="C1356" s="27" t="s">
        <v>9</v>
      </c>
      <c r="D1356" s="28">
        <v>28404.7651</v>
      </c>
    </row>
    <row r="1357" ht="30" customHeight="1" spans="1:4">
      <c r="A1357" s="27" t="s">
        <v>15474</v>
      </c>
      <c r="B1357" s="5" t="s">
        <v>17661</v>
      </c>
      <c r="C1357" s="27" t="s">
        <v>9</v>
      </c>
      <c r="D1357" s="28">
        <v>33065.8172</v>
      </c>
    </row>
    <row r="1358" ht="30" customHeight="1" spans="1:4">
      <c r="A1358" s="27" t="s">
        <v>15475</v>
      </c>
      <c r="B1358" s="5" t="s">
        <v>17662</v>
      </c>
      <c r="C1358" s="27" t="s">
        <v>9</v>
      </c>
      <c r="D1358" s="28">
        <v>29260.569</v>
      </c>
    </row>
    <row r="1359" ht="30" customHeight="1" spans="1:4">
      <c r="A1359" s="27" t="s">
        <v>15476</v>
      </c>
      <c r="B1359" s="5" t="s">
        <v>17663</v>
      </c>
      <c r="C1359" s="27" t="s">
        <v>9</v>
      </c>
      <c r="D1359" s="28">
        <v>32952.6966</v>
      </c>
    </row>
    <row r="1360" ht="30" customHeight="1" spans="1:4">
      <c r="A1360" s="27" t="s">
        <v>15477</v>
      </c>
      <c r="B1360" s="5" t="s">
        <v>17664</v>
      </c>
      <c r="C1360" s="27" t="s">
        <v>9</v>
      </c>
      <c r="D1360" s="28">
        <v>29759.342</v>
      </c>
    </row>
    <row r="1361" ht="30" customHeight="1" spans="1:4">
      <c r="A1361" s="27" t="s">
        <v>15478</v>
      </c>
      <c r="B1361" s="5" t="s">
        <v>17665</v>
      </c>
      <c r="C1361" s="27" t="s">
        <v>9</v>
      </c>
      <c r="D1361" s="28">
        <v>34424.2006</v>
      </c>
    </row>
    <row r="1362" ht="30" customHeight="1" spans="1:4">
      <c r="A1362" s="27" t="s">
        <v>15479</v>
      </c>
      <c r="B1362" s="5" t="s">
        <v>17666</v>
      </c>
      <c r="C1362" s="27" t="s">
        <v>9</v>
      </c>
      <c r="D1362" s="28">
        <v>30244.0959</v>
      </c>
    </row>
    <row r="1363" ht="30" customHeight="1" spans="1:4">
      <c r="A1363" s="27" t="s">
        <v>15480</v>
      </c>
      <c r="B1363" s="5" t="s">
        <v>17667</v>
      </c>
      <c r="C1363" s="27" t="s">
        <v>9</v>
      </c>
      <c r="D1363" s="28">
        <v>32698.1752</v>
      </c>
    </row>
    <row r="1364" ht="30" customHeight="1" spans="1:4">
      <c r="A1364" s="27" t="s">
        <v>15481</v>
      </c>
      <c r="B1364" s="5" t="s">
        <v>17668</v>
      </c>
      <c r="C1364" s="27" t="s">
        <v>9</v>
      </c>
      <c r="D1364" s="28">
        <v>35405.2568</v>
      </c>
    </row>
    <row r="1365" ht="30" customHeight="1" spans="1:4">
      <c r="A1365" s="27" t="s">
        <v>15482</v>
      </c>
      <c r="B1365" s="5" t="s">
        <v>17669</v>
      </c>
      <c r="C1365" s="27" t="s">
        <v>9</v>
      </c>
      <c r="D1365" s="28">
        <v>32212.7222</v>
      </c>
    </row>
    <row r="1366" ht="30" customHeight="1" spans="1:4">
      <c r="A1366" s="27" t="s">
        <v>15483</v>
      </c>
      <c r="B1366" s="5" t="s">
        <v>17670</v>
      </c>
      <c r="C1366" s="27" t="s">
        <v>9</v>
      </c>
      <c r="D1366" s="28">
        <v>35891.6099</v>
      </c>
    </row>
    <row r="1367" ht="30" customHeight="1" spans="1:4">
      <c r="A1367" s="27" t="s">
        <v>15484</v>
      </c>
      <c r="B1367" s="5" t="s">
        <v>17671</v>
      </c>
      <c r="C1367" s="27" t="s">
        <v>9</v>
      </c>
      <c r="D1367" s="28">
        <v>33065.8172</v>
      </c>
    </row>
    <row r="1368" ht="30" customHeight="1" spans="1:4">
      <c r="A1368" s="27" t="s">
        <v>15485</v>
      </c>
      <c r="B1368" s="5" t="s">
        <v>17672</v>
      </c>
      <c r="C1368" s="27" t="s">
        <v>9</v>
      </c>
      <c r="D1368" s="28">
        <v>36759.9561</v>
      </c>
    </row>
    <row r="1369" ht="30" customHeight="1" spans="1:4">
      <c r="A1369" s="27" t="s">
        <v>15486</v>
      </c>
      <c r="B1369" s="5" t="s">
        <v>17673</v>
      </c>
      <c r="C1369" s="27" t="s">
        <v>9</v>
      </c>
      <c r="D1369" s="28">
        <v>34051.3569</v>
      </c>
    </row>
    <row r="1370" ht="30" customHeight="1" spans="1:4">
      <c r="A1370" s="27" t="s">
        <v>15487</v>
      </c>
      <c r="B1370" s="5" t="s">
        <v>17674</v>
      </c>
      <c r="C1370" s="27" t="s">
        <v>9</v>
      </c>
      <c r="D1370" s="28">
        <v>38715.9434</v>
      </c>
    </row>
    <row r="1371" ht="30" customHeight="1" spans="1:4">
      <c r="A1371" s="27" t="s">
        <v>15488</v>
      </c>
      <c r="B1371" s="5" t="s">
        <v>17675</v>
      </c>
      <c r="C1371" s="27" t="s">
        <v>9</v>
      </c>
      <c r="D1371" s="28">
        <v>35518.3775</v>
      </c>
    </row>
    <row r="1372" ht="30" customHeight="1" spans="1:4">
      <c r="A1372" s="27" t="s">
        <v>15489</v>
      </c>
      <c r="B1372" s="5" t="s">
        <v>17676</v>
      </c>
      <c r="C1372" s="27" t="s">
        <v>9</v>
      </c>
      <c r="D1372" s="28">
        <v>41169.2331</v>
      </c>
    </row>
    <row r="1373" ht="30" customHeight="1" spans="1:4">
      <c r="A1373" s="27" t="s">
        <v>15490</v>
      </c>
      <c r="B1373" s="5" t="s">
        <v>17677</v>
      </c>
      <c r="C1373" s="27" t="s">
        <v>9</v>
      </c>
      <c r="D1373" s="28">
        <v>38602.8228</v>
      </c>
    </row>
    <row r="1374" ht="30" customHeight="1" spans="1:4">
      <c r="A1374" s="27" t="s">
        <v>15491</v>
      </c>
      <c r="B1374" s="5" t="s">
        <v>17678</v>
      </c>
      <c r="C1374" s="27" t="s">
        <v>9</v>
      </c>
      <c r="D1374" s="28">
        <v>42520.2203</v>
      </c>
    </row>
    <row r="1375" ht="30" customHeight="1" spans="1:4">
      <c r="A1375" s="27" t="s">
        <v>15492</v>
      </c>
      <c r="B1375" s="5" t="s">
        <v>17679</v>
      </c>
      <c r="C1375" s="27" t="s">
        <v>9</v>
      </c>
      <c r="D1375" s="28">
        <v>39083.5855</v>
      </c>
    </row>
    <row r="1376" ht="30" customHeight="1" spans="1:4">
      <c r="A1376" s="27" t="s">
        <v>15493</v>
      </c>
      <c r="B1376" s="5" t="s">
        <v>17680</v>
      </c>
      <c r="C1376" s="27" t="s">
        <v>9</v>
      </c>
      <c r="D1376" s="28">
        <v>42039.4576</v>
      </c>
    </row>
    <row r="1377" ht="30" customHeight="1" spans="1:4">
      <c r="A1377" s="27" t="s">
        <v>15494</v>
      </c>
      <c r="B1377" s="5" t="s">
        <v>17681</v>
      </c>
      <c r="C1377" s="27" t="s">
        <v>9</v>
      </c>
      <c r="D1377" s="28">
        <v>45721.9739</v>
      </c>
    </row>
    <row r="1378" ht="30" customHeight="1" spans="1:4">
      <c r="A1378" s="27" t="s">
        <v>15495</v>
      </c>
      <c r="B1378" s="5" t="s">
        <v>17682</v>
      </c>
      <c r="C1378" s="27" t="s">
        <v>9</v>
      </c>
      <c r="D1378" s="28">
        <v>41536.8751</v>
      </c>
    </row>
    <row r="1379" ht="30" customHeight="1" spans="1:4">
      <c r="A1379" s="27" t="s">
        <v>15496</v>
      </c>
      <c r="B1379" s="5" t="s">
        <v>17683</v>
      </c>
      <c r="C1379" s="27" t="s">
        <v>9</v>
      </c>
      <c r="D1379" s="28">
        <v>46202.7366</v>
      </c>
    </row>
    <row r="1380" ht="30" customHeight="1" spans="1:4">
      <c r="A1380" s="27" t="s">
        <v>15497</v>
      </c>
      <c r="B1380" s="5" t="s">
        <v>17684</v>
      </c>
      <c r="C1380" s="27" t="s">
        <v>9</v>
      </c>
      <c r="D1380" s="28">
        <v>42039.4576</v>
      </c>
    </row>
    <row r="1381" ht="30" customHeight="1" spans="1:4">
      <c r="A1381" s="27" t="s">
        <v>15498</v>
      </c>
      <c r="B1381" s="5" t="s">
        <v>17685</v>
      </c>
      <c r="C1381" s="27" t="s">
        <v>9</v>
      </c>
      <c r="D1381" s="28">
        <v>46707.2814</v>
      </c>
    </row>
    <row r="1382" ht="30" customHeight="1" spans="1:4">
      <c r="A1382" s="27" t="s">
        <v>15499</v>
      </c>
      <c r="B1382" s="5" t="s">
        <v>17686</v>
      </c>
      <c r="C1382" s="27" t="s">
        <v>9</v>
      </c>
      <c r="D1382" s="28">
        <v>43376.6461</v>
      </c>
    </row>
    <row r="1383" ht="30" customHeight="1" spans="1:4">
      <c r="A1383" s="27" t="s">
        <v>15500</v>
      </c>
      <c r="B1383" s="5" t="s">
        <v>17687</v>
      </c>
      <c r="C1383" s="27" t="s">
        <v>9</v>
      </c>
      <c r="D1383" s="28">
        <v>47074.9234</v>
      </c>
    </row>
    <row r="1384" ht="30" customHeight="1" spans="1:4">
      <c r="A1384" s="27" t="s">
        <v>15501</v>
      </c>
      <c r="B1384" s="5" t="s">
        <v>17688</v>
      </c>
      <c r="C1384" s="27" t="s">
        <v>9</v>
      </c>
      <c r="D1384" s="28">
        <v>49032.8817</v>
      </c>
    </row>
    <row r="1385" ht="30" customHeight="1" spans="1:4">
      <c r="A1385" s="27" t="s">
        <v>15502</v>
      </c>
      <c r="B1385" s="5" t="s">
        <v>17689</v>
      </c>
      <c r="C1385" s="27" t="s">
        <v>9</v>
      </c>
      <c r="D1385" s="28">
        <v>52718.1747</v>
      </c>
    </row>
    <row r="1386" ht="30" customHeight="1" spans="1:4">
      <c r="A1386" s="27" t="s">
        <v>15503</v>
      </c>
      <c r="B1386" s="5" t="s">
        <v>17690</v>
      </c>
      <c r="C1386" s="27" t="s">
        <v>9</v>
      </c>
      <c r="D1386" s="28">
        <v>57598.1458</v>
      </c>
    </row>
    <row r="1387" ht="30" customHeight="1" spans="1:4">
      <c r="A1387" s="27" t="s">
        <v>15504</v>
      </c>
      <c r="B1387" s="5" t="s">
        <v>17691</v>
      </c>
      <c r="C1387" s="27" t="s">
        <v>9</v>
      </c>
      <c r="D1387" s="28">
        <v>62439.7923</v>
      </c>
    </row>
    <row r="1388" ht="30" customHeight="1" spans="1:4">
      <c r="A1388" s="27" t="s">
        <v>15505</v>
      </c>
      <c r="B1388" s="5" t="s">
        <v>17692</v>
      </c>
      <c r="C1388" s="27" t="s">
        <v>9</v>
      </c>
      <c r="D1388" s="28">
        <v>65080.3094</v>
      </c>
    </row>
    <row r="1389" ht="30" customHeight="1" spans="1:4">
      <c r="A1389" s="27" t="s">
        <v>15506</v>
      </c>
      <c r="B1389" s="5" t="s">
        <v>17693</v>
      </c>
      <c r="C1389" s="27" t="s">
        <v>9</v>
      </c>
      <c r="D1389" s="28">
        <v>69932.9793</v>
      </c>
    </row>
    <row r="1390" ht="30" customHeight="1" spans="1:4">
      <c r="A1390" s="27" t="s">
        <v>15507</v>
      </c>
      <c r="B1390" s="5" t="s">
        <v>17694</v>
      </c>
      <c r="C1390" s="27" t="s">
        <v>9</v>
      </c>
      <c r="D1390" s="28">
        <v>55974.0666</v>
      </c>
    </row>
    <row r="1391" ht="30" customHeight="1" spans="1:4">
      <c r="A1391" s="27" t="s">
        <v>15508</v>
      </c>
      <c r="B1391" s="5" t="s">
        <v>17695</v>
      </c>
      <c r="C1391" s="27" t="s">
        <v>9</v>
      </c>
      <c r="D1391" s="28">
        <v>58053.3163</v>
      </c>
    </row>
    <row r="1392" ht="30" customHeight="1" spans="1:4">
      <c r="A1392" s="27" t="s">
        <v>15509</v>
      </c>
      <c r="B1392" s="5" t="s">
        <v>17696</v>
      </c>
      <c r="C1392" s="27" t="s">
        <v>9</v>
      </c>
      <c r="D1392" s="28">
        <v>59028.9817</v>
      </c>
    </row>
    <row r="1393" ht="30" customHeight="1" spans="1:4">
      <c r="A1393" s="27" t="s">
        <v>15510</v>
      </c>
      <c r="B1393" s="5" t="s">
        <v>17697</v>
      </c>
      <c r="C1393" s="27" t="s">
        <v>9</v>
      </c>
      <c r="D1393" s="28">
        <v>60147.631</v>
      </c>
    </row>
    <row r="1394" ht="30" customHeight="1" spans="1:4">
      <c r="A1394" s="27" t="s">
        <v>15511</v>
      </c>
      <c r="B1394" s="5" t="s">
        <v>17698</v>
      </c>
      <c r="C1394" s="27" t="s">
        <v>9</v>
      </c>
      <c r="D1394" s="28">
        <v>64070.7434</v>
      </c>
    </row>
    <row r="1395" ht="30" customHeight="1" spans="1:4">
      <c r="A1395" s="27" t="s">
        <v>15512</v>
      </c>
      <c r="B1395" s="5" t="s">
        <v>17699</v>
      </c>
      <c r="C1395" s="27" t="s">
        <v>9</v>
      </c>
      <c r="D1395" s="28">
        <v>62964.1041</v>
      </c>
    </row>
    <row r="1396" ht="30" customHeight="1" spans="1:4">
      <c r="A1396" s="27" t="s">
        <v>15513</v>
      </c>
      <c r="B1396" s="5" t="s">
        <v>17700</v>
      </c>
      <c r="C1396" s="27" t="s">
        <v>9</v>
      </c>
      <c r="D1396" s="28">
        <v>64999.61</v>
      </c>
    </row>
    <row r="1397" ht="30" customHeight="1" spans="1:4">
      <c r="A1397" s="27" t="s">
        <v>15514</v>
      </c>
      <c r="B1397" s="5" t="s">
        <v>17701</v>
      </c>
      <c r="C1397" s="27" t="s">
        <v>9</v>
      </c>
      <c r="D1397" s="28">
        <v>68012.9376</v>
      </c>
    </row>
    <row r="1398" ht="30" customHeight="1" spans="1:4">
      <c r="A1398" s="27" t="s">
        <v>15515</v>
      </c>
      <c r="B1398" s="5" t="s">
        <v>17702</v>
      </c>
      <c r="C1398" s="27" t="s">
        <v>9</v>
      </c>
      <c r="D1398" s="28">
        <v>68493.7002</v>
      </c>
    </row>
    <row r="1399" ht="30" customHeight="1" spans="1:4">
      <c r="A1399" s="27" t="s">
        <v>15516</v>
      </c>
      <c r="B1399" s="5" t="s">
        <v>17703</v>
      </c>
      <c r="C1399" s="27" t="s">
        <v>9</v>
      </c>
      <c r="D1399" s="28">
        <v>70339.7328</v>
      </c>
    </row>
    <row r="1400" ht="15.75" customHeight="1" spans="1:4">
      <c r="A1400" s="27" t="s">
        <v>17704</v>
      </c>
      <c r="B1400" s="5" t="s">
        <v>17705</v>
      </c>
      <c r="C1400" s="27" t="s">
        <v>82</v>
      </c>
      <c r="D1400" s="28">
        <v>14609.0606</v>
      </c>
    </row>
    <row r="1401" ht="15.75" customHeight="1" spans="1:4">
      <c r="A1401" s="27" t="s">
        <v>15517</v>
      </c>
      <c r="B1401" s="5" t="s">
        <v>17706</v>
      </c>
      <c r="C1401" s="27" t="s">
        <v>101</v>
      </c>
      <c r="D1401" s="28">
        <v>7.5784</v>
      </c>
    </row>
    <row r="1402" ht="15.75" customHeight="1" spans="1:4">
      <c r="A1402" s="27" t="s">
        <v>15518</v>
      </c>
      <c r="B1402" s="5" t="s">
        <v>17707</v>
      </c>
      <c r="C1402" s="27" t="s">
        <v>101</v>
      </c>
      <c r="D1402" s="28">
        <v>20.9022</v>
      </c>
    </row>
    <row r="1403" ht="15.75" customHeight="1" spans="1:4">
      <c r="A1403" s="27" t="s">
        <v>15519</v>
      </c>
      <c r="B1403" s="5" t="s">
        <v>17708</v>
      </c>
      <c r="C1403" s="27" t="s">
        <v>82</v>
      </c>
      <c r="D1403" s="28">
        <v>49.7569</v>
      </c>
    </row>
    <row r="1404" ht="15.75" customHeight="1" spans="1:4">
      <c r="A1404" s="27" t="s">
        <v>15520</v>
      </c>
      <c r="B1404" s="5" t="s">
        <v>17709</v>
      </c>
      <c r="C1404" s="27" t="s">
        <v>7</v>
      </c>
      <c r="D1404" s="28">
        <v>19.2873</v>
      </c>
    </row>
    <row r="1405" ht="30" customHeight="1" spans="1:4">
      <c r="A1405" s="27" t="s">
        <v>15521</v>
      </c>
      <c r="B1405" s="5" t="s">
        <v>17710</v>
      </c>
      <c r="C1405" s="27" t="s">
        <v>9</v>
      </c>
      <c r="D1405" s="28">
        <v>127.5089</v>
      </c>
    </row>
    <row r="1406" ht="15.75" customHeight="1" spans="1:4">
      <c r="A1406" s="27" t="s">
        <v>15522</v>
      </c>
      <c r="B1406" s="5" t="s">
        <v>17711</v>
      </c>
      <c r="C1406" s="27" t="s">
        <v>82</v>
      </c>
      <c r="D1406" s="28">
        <v>2.26</v>
      </c>
    </row>
    <row r="1407" ht="15.75" customHeight="1" spans="1:4">
      <c r="A1407" s="27" t="s">
        <v>15523</v>
      </c>
      <c r="B1407" s="5" t="s">
        <v>17712</v>
      </c>
      <c r="C1407" s="27" t="s">
        <v>101</v>
      </c>
      <c r="D1407" s="28">
        <v>10.6142</v>
      </c>
    </row>
    <row r="1408" ht="15.75" customHeight="1" spans="1:4">
      <c r="A1408" s="27" t="s">
        <v>17713</v>
      </c>
      <c r="B1408" s="5" t="s">
        <v>17714</v>
      </c>
      <c r="C1408" s="27" t="s">
        <v>82</v>
      </c>
      <c r="D1408" s="28">
        <v>3.1325</v>
      </c>
    </row>
    <row r="1409" ht="15.75" customHeight="1" spans="1:4">
      <c r="A1409" s="27" t="s">
        <v>17715</v>
      </c>
      <c r="B1409" s="5" t="s">
        <v>17716</v>
      </c>
      <c r="C1409" s="27" t="s">
        <v>82</v>
      </c>
      <c r="D1409" s="28">
        <v>3.1808</v>
      </c>
    </row>
    <row r="1410" ht="15.75" customHeight="1" spans="1:4">
      <c r="A1410" s="27" t="s">
        <v>17717</v>
      </c>
      <c r="B1410" s="5" t="s">
        <v>17718</v>
      </c>
      <c r="C1410" s="27" t="s">
        <v>82</v>
      </c>
      <c r="D1410" s="28">
        <v>3.3528</v>
      </c>
    </row>
    <row r="1411" ht="15.75" customHeight="1" spans="1:4">
      <c r="A1411" s="27" t="s">
        <v>17719</v>
      </c>
      <c r="B1411" s="5" t="s">
        <v>17720</v>
      </c>
      <c r="C1411" s="27" t="s">
        <v>82</v>
      </c>
      <c r="D1411" s="28">
        <v>4.2588</v>
      </c>
    </row>
    <row r="1412" ht="15.75" customHeight="1" spans="1:4">
      <c r="A1412" s="27" t="s">
        <v>17721</v>
      </c>
      <c r="B1412" s="5" t="s">
        <v>17722</v>
      </c>
      <c r="C1412" s="27" t="s">
        <v>82</v>
      </c>
      <c r="D1412" s="28">
        <v>4.5593</v>
      </c>
    </row>
    <row r="1413" ht="15.75" customHeight="1" spans="1:4">
      <c r="A1413" s="27" t="s">
        <v>17723</v>
      </c>
      <c r="B1413" s="5" t="s">
        <v>17724</v>
      </c>
      <c r="C1413" s="27" t="s">
        <v>82</v>
      </c>
      <c r="D1413" s="28">
        <v>5.3281</v>
      </c>
    </row>
    <row r="1414" ht="15.75" customHeight="1" spans="1:4">
      <c r="A1414" s="27" t="s">
        <v>17725</v>
      </c>
      <c r="B1414" s="5" t="s">
        <v>17726</v>
      </c>
      <c r="C1414" s="27" t="s">
        <v>82</v>
      </c>
      <c r="D1414" s="28">
        <v>5.5391</v>
      </c>
    </row>
    <row r="1415" ht="15.75" customHeight="1" spans="1:4">
      <c r="A1415" s="27" t="s">
        <v>17727</v>
      </c>
      <c r="B1415" s="5" t="s">
        <v>17728</v>
      </c>
      <c r="C1415" s="27" t="s">
        <v>82</v>
      </c>
      <c r="D1415" s="28">
        <v>5.9927</v>
      </c>
    </row>
    <row r="1416" ht="15.75" customHeight="1" spans="1:4">
      <c r="A1416" s="27" t="s">
        <v>17729</v>
      </c>
      <c r="B1416" s="5" t="s">
        <v>17730</v>
      </c>
      <c r="C1416" s="27" t="s">
        <v>82</v>
      </c>
      <c r="D1416" s="28">
        <v>6.333</v>
      </c>
    </row>
    <row r="1417" ht="15.75" customHeight="1" spans="1:4">
      <c r="A1417" s="27" t="s">
        <v>17731</v>
      </c>
      <c r="B1417" s="5" t="s">
        <v>17732</v>
      </c>
      <c r="C1417" s="27" t="s">
        <v>82</v>
      </c>
      <c r="D1417" s="28">
        <v>6.7749</v>
      </c>
    </row>
    <row r="1418" ht="15.75" customHeight="1" spans="1:4">
      <c r="A1418" s="27" t="s">
        <v>15524</v>
      </c>
      <c r="B1418" s="5" t="s">
        <v>17733</v>
      </c>
      <c r="C1418" s="27" t="s">
        <v>82</v>
      </c>
      <c r="D1418" s="28">
        <v>6.9913</v>
      </c>
    </row>
    <row r="1419" ht="15.75" customHeight="1" spans="1:4">
      <c r="A1419" s="27" t="s">
        <v>17734</v>
      </c>
      <c r="B1419" s="5" t="s">
        <v>17735</v>
      </c>
      <c r="C1419" s="27" t="s">
        <v>82</v>
      </c>
      <c r="D1419" s="28">
        <v>7.2273</v>
      </c>
    </row>
    <row r="1420" ht="15.75" customHeight="1" spans="1:4">
      <c r="A1420" s="27" t="s">
        <v>17736</v>
      </c>
      <c r="B1420" s="5" t="s">
        <v>17737</v>
      </c>
      <c r="C1420" s="27" t="s">
        <v>82</v>
      </c>
      <c r="D1420" s="28">
        <v>7.9796</v>
      </c>
    </row>
    <row r="1421" ht="15.75" customHeight="1" spans="1:4">
      <c r="A1421" s="27" t="s">
        <v>17738</v>
      </c>
      <c r="B1421" s="5" t="s">
        <v>17739</v>
      </c>
      <c r="C1421" s="27" t="s">
        <v>82</v>
      </c>
      <c r="D1421" s="28">
        <v>8.6028</v>
      </c>
    </row>
    <row r="1422" ht="15.75" customHeight="1" spans="1:4">
      <c r="A1422" s="27" t="s">
        <v>17740</v>
      </c>
      <c r="B1422" s="5" t="s">
        <v>17741</v>
      </c>
      <c r="C1422" s="27" t="s">
        <v>82</v>
      </c>
      <c r="D1422" s="28">
        <v>9.2041</v>
      </c>
    </row>
    <row r="1423" ht="15.75" customHeight="1" spans="1:4">
      <c r="A1423" s="27" t="s">
        <v>17742</v>
      </c>
      <c r="B1423" s="5" t="s">
        <v>17743</v>
      </c>
      <c r="C1423" s="27" t="s">
        <v>82</v>
      </c>
      <c r="D1423" s="28">
        <v>9.7829</v>
      </c>
    </row>
    <row r="1424" ht="15.75" customHeight="1" spans="1:4">
      <c r="A1424" s="27" t="s">
        <v>17744</v>
      </c>
      <c r="B1424" s="5" t="s">
        <v>17745</v>
      </c>
      <c r="C1424" s="27" t="s">
        <v>82</v>
      </c>
      <c r="D1424" s="28">
        <v>10.7317</v>
      </c>
    </row>
    <row r="1425" ht="15.75" customHeight="1" spans="1:4">
      <c r="A1425" s="27" t="s">
        <v>17746</v>
      </c>
      <c r="B1425" s="5" t="s">
        <v>17747</v>
      </c>
      <c r="C1425" s="27" t="s">
        <v>82</v>
      </c>
      <c r="D1425" s="28">
        <v>12.394</v>
      </c>
    </row>
    <row r="1426" ht="15.75" customHeight="1" spans="1:4">
      <c r="A1426" s="27" t="s">
        <v>17748</v>
      </c>
      <c r="B1426" s="5" t="s">
        <v>17749</v>
      </c>
      <c r="C1426" s="27" t="s">
        <v>82</v>
      </c>
      <c r="D1426" s="28">
        <v>7.2221</v>
      </c>
    </row>
    <row r="1427" ht="15.75" customHeight="1" spans="1:4">
      <c r="A1427" s="27" t="s">
        <v>17750</v>
      </c>
      <c r="B1427" s="5" t="s">
        <v>17751</v>
      </c>
      <c r="C1427" s="27" t="s">
        <v>82</v>
      </c>
      <c r="D1427" s="28">
        <v>7.6911</v>
      </c>
    </row>
    <row r="1428" ht="15.75" customHeight="1" spans="1:4">
      <c r="A1428" s="27" t="s">
        <v>17752</v>
      </c>
      <c r="B1428" s="5" t="s">
        <v>17753</v>
      </c>
      <c r="C1428" s="27" t="s">
        <v>82</v>
      </c>
      <c r="D1428" s="28">
        <v>8.0504</v>
      </c>
    </row>
    <row r="1429" ht="15.75" customHeight="1" spans="1:4">
      <c r="A1429" s="27" t="s">
        <v>17754</v>
      </c>
      <c r="B1429" s="5" t="s">
        <v>17755</v>
      </c>
      <c r="C1429" s="27" t="s">
        <v>82</v>
      </c>
      <c r="D1429" s="28">
        <v>8.5526</v>
      </c>
    </row>
    <row r="1430" ht="15.75" customHeight="1" spans="1:4">
      <c r="A1430" s="27" t="s">
        <v>17756</v>
      </c>
      <c r="B1430" s="5" t="s">
        <v>17757</v>
      </c>
      <c r="C1430" s="27" t="s">
        <v>82</v>
      </c>
      <c r="D1430" s="28">
        <v>8.8136</v>
      </c>
    </row>
    <row r="1431" ht="15.75" customHeight="1" spans="1:4">
      <c r="A1431" s="27" t="s">
        <v>17758</v>
      </c>
      <c r="B1431" s="5" t="s">
        <v>17759</v>
      </c>
      <c r="C1431" s="27" t="s">
        <v>82</v>
      </c>
      <c r="D1431" s="28">
        <v>9.3821</v>
      </c>
    </row>
    <row r="1432" ht="15.75" customHeight="1" spans="1:4">
      <c r="A1432" s="27" t="s">
        <v>14297</v>
      </c>
      <c r="B1432" s="5" t="s">
        <v>14298</v>
      </c>
      <c r="C1432" s="27" t="s">
        <v>101</v>
      </c>
      <c r="D1432" s="28">
        <v>67.6312</v>
      </c>
    </row>
    <row r="1433" ht="15.75" customHeight="1" spans="1:4">
      <c r="A1433" s="27" t="s">
        <v>15525</v>
      </c>
      <c r="B1433" s="5" t="s">
        <v>17760</v>
      </c>
      <c r="C1433" s="27" t="s">
        <v>82</v>
      </c>
      <c r="D1433" s="28">
        <v>15.3804</v>
      </c>
    </row>
    <row r="1434" ht="15.75" customHeight="1" spans="1:4">
      <c r="A1434" s="27" t="s">
        <v>15526</v>
      </c>
      <c r="B1434" s="5" t="s">
        <v>17761</v>
      </c>
      <c r="C1434" s="27" t="s">
        <v>82</v>
      </c>
      <c r="D1434" s="28">
        <v>0.2707</v>
      </c>
    </row>
    <row r="1435" ht="15.75" customHeight="1" spans="1:4">
      <c r="A1435" s="27" t="s">
        <v>15527</v>
      </c>
      <c r="B1435" s="5" t="s">
        <v>17762</v>
      </c>
      <c r="C1435" s="27" t="s">
        <v>82</v>
      </c>
      <c r="D1435" s="28">
        <v>0.6167</v>
      </c>
    </row>
    <row r="1436" ht="15.75" customHeight="1" spans="1:4">
      <c r="A1436" s="27" t="s">
        <v>15528</v>
      </c>
      <c r="B1436" s="5" t="s">
        <v>17763</v>
      </c>
      <c r="C1436" s="27" t="s">
        <v>82</v>
      </c>
      <c r="D1436" s="28">
        <v>1.5285</v>
      </c>
    </row>
    <row r="1437" ht="15.75" customHeight="1" spans="1:4">
      <c r="A1437" s="27" t="s">
        <v>15529</v>
      </c>
      <c r="B1437" s="5" t="s">
        <v>17764</v>
      </c>
      <c r="C1437" s="27" t="s">
        <v>101</v>
      </c>
      <c r="D1437" s="28">
        <v>18.9778</v>
      </c>
    </row>
    <row r="1438" ht="15.75" customHeight="1" spans="1:4">
      <c r="A1438" s="27" t="s">
        <v>17765</v>
      </c>
      <c r="B1438" s="5" t="s">
        <v>17766</v>
      </c>
      <c r="C1438" s="27" t="s">
        <v>82</v>
      </c>
      <c r="D1438" s="28">
        <v>30</v>
      </c>
    </row>
    <row r="1439" ht="15.75" customHeight="1" spans="1:4">
      <c r="A1439" s="27" t="s">
        <v>17767</v>
      </c>
      <c r="B1439" s="5" t="s">
        <v>17768</v>
      </c>
      <c r="C1439" s="27" t="s">
        <v>9</v>
      </c>
      <c r="D1439" s="28">
        <v>15</v>
      </c>
    </row>
    <row r="1440" ht="15.75" customHeight="1" spans="1:4">
      <c r="A1440" s="27" t="s">
        <v>15530</v>
      </c>
      <c r="B1440" s="5" t="s">
        <v>17769</v>
      </c>
      <c r="C1440" s="27" t="s">
        <v>101</v>
      </c>
      <c r="D1440" s="28">
        <v>16.4764</v>
      </c>
    </row>
    <row r="1441" ht="15.75" customHeight="1" spans="1:4">
      <c r="A1441" s="27" t="s">
        <v>15531</v>
      </c>
      <c r="B1441" s="5" t="s">
        <v>17770</v>
      </c>
      <c r="C1441" s="27" t="s">
        <v>99</v>
      </c>
      <c r="D1441" s="28" t="s">
        <v>14799</v>
      </c>
    </row>
    <row r="1442" ht="15.75" customHeight="1" spans="1:4">
      <c r="A1442" s="27" t="s">
        <v>15532</v>
      </c>
      <c r="B1442" s="5" t="s">
        <v>17771</v>
      </c>
      <c r="C1442" s="27" t="s">
        <v>9</v>
      </c>
      <c r="D1442" s="28">
        <v>129.9128</v>
      </c>
    </row>
    <row r="1443" ht="15.75" customHeight="1" spans="1:4">
      <c r="A1443" s="27" t="s">
        <v>15533</v>
      </c>
      <c r="B1443" s="5" t="s">
        <v>17772</v>
      </c>
      <c r="C1443" s="27" t="s">
        <v>9</v>
      </c>
      <c r="D1443" s="28">
        <v>160.7178</v>
      </c>
    </row>
    <row r="1444" ht="15.75" customHeight="1" spans="1:4">
      <c r="A1444" s="27" t="s">
        <v>15534</v>
      </c>
      <c r="B1444" s="5" t="s">
        <v>17773</v>
      </c>
      <c r="C1444" s="27" t="s">
        <v>9</v>
      </c>
      <c r="D1444" s="28">
        <v>197.5517</v>
      </c>
    </row>
    <row r="1445" ht="15.75" customHeight="1" spans="1:4">
      <c r="A1445" s="27" t="s">
        <v>15535</v>
      </c>
      <c r="B1445" s="5" t="s">
        <v>17774</v>
      </c>
      <c r="C1445" s="27" t="s">
        <v>9</v>
      </c>
      <c r="D1445" s="28">
        <v>237.2679</v>
      </c>
    </row>
    <row r="1446" ht="15.75" customHeight="1" spans="1:4">
      <c r="A1446" s="27" t="s">
        <v>15536</v>
      </c>
      <c r="B1446" s="5" t="s">
        <v>17775</v>
      </c>
      <c r="C1446" s="27" t="s">
        <v>9</v>
      </c>
      <c r="D1446" s="28">
        <v>288.6747</v>
      </c>
    </row>
    <row r="1447" ht="15.75" customHeight="1" spans="1:4">
      <c r="A1447" s="27" t="s">
        <v>15537</v>
      </c>
      <c r="B1447" s="5" t="s">
        <v>17776</v>
      </c>
      <c r="C1447" s="27" t="s">
        <v>9</v>
      </c>
      <c r="D1447" s="28">
        <v>345.6194</v>
      </c>
    </row>
    <row r="1448" ht="15.75" customHeight="1" spans="1:4">
      <c r="A1448" s="27" t="s">
        <v>15538</v>
      </c>
      <c r="B1448" s="5" t="s">
        <v>17777</v>
      </c>
      <c r="C1448" s="27" t="s">
        <v>9</v>
      </c>
      <c r="D1448" s="28">
        <v>371.9695</v>
      </c>
    </row>
    <row r="1449" ht="15.75" customHeight="1" spans="1:4">
      <c r="A1449" s="27" t="s">
        <v>15539</v>
      </c>
      <c r="B1449" s="5" t="s">
        <v>17778</v>
      </c>
      <c r="C1449" s="27" t="s">
        <v>9</v>
      </c>
      <c r="D1449" s="28">
        <v>471.1922</v>
      </c>
    </row>
    <row r="1450" ht="15.75" customHeight="1" spans="1:4">
      <c r="A1450" s="27" t="s">
        <v>15540</v>
      </c>
      <c r="B1450" s="5" t="s">
        <v>17779</v>
      </c>
      <c r="C1450" s="27" t="s">
        <v>9</v>
      </c>
      <c r="D1450" s="28">
        <v>1512.4618</v>
      </c>
    </row>
    <row r="1451" ht="15.75" customHeight="1" spans="1:4">
      <c r="A1451" s="27" t="s">
        <v>15541</v>
      </c>
      <c r="B1451" s="5" t="s">
        <v>17780</v>
      </c>
      <c r="C1451" s="27" t="s">
        <v>9</v>
      </c>
      <c r="D1451" s="28">
        <v>1716.0166</v>
      </c>
    </row>
    <row r="1452" ht="15.75" customHeight="1" spans="1:4">
      <c r="A1452" s="27" t="s">
        <v>15542</v>
      </c>
      <c r="B1452" s="5" t="s">
        <v>17781</v>
      </c>
      <c r="C1452" s="27" t="s">
        <v>9</v>
      </c>
      <c r="D1452" s="28">
        <v>2000.0662</v>
      </c>
    </row>
    <row r="1453" ht="15.75" customHeight="1" spans="1:4">
      <c r="A1453" s="27" t="s">
        <v>15543</v>
      </c>
      <c r="B1453" s="5" t="s">
        <v>17782</v>
      </c>
      <c r="C1453" s="27" t="s">
        <v>9</v>
      </c>
      <c r="D1453" s="28">
        <v>2254.0555</v>
      </c>
    </row>
    <row r="1454" ht="15.75" customHeight="1" spans="1:4">
      <c r="A1454" s="27" t="s">
        <v>15544</v>
      </c>
      <c r="B1454" s="5" t="s">
        <v>17783</v>
      </c>
      <c r="C1454" s="27" t="s">
        <v>9</v>
      </c>
      <c r="D1454" s="28">
        <v>2256.233</v>
      </c>
    </row>
    <row r="1455" ht="15.75" customHeight="1" spans="1:4">
      <c r="A1455" s="27" t="s">
        <v>15545</v>
      </c>
      <c r="B1455" s="5" t="s">
        <v>17784</v>
      </c>
      <c r="C1455" s="27" t="s">
        <v>9</v>
      </c>
      <c r="D1455" s="28">
        <v>2828.566</v>
      </c>
    </row>
    <row r="1456" ht="15.75" customHeight="1" spans="1:4">
      <c r="A1456" s="27" t="s">
        <v>15546</v>
      </c>
      <c r="B1456" s="5" t="s">
        <v>17785</v>
      </c>
      <c r="C1456" s="27" t="s">
        <v>9</v>
      </c>
      <c r="D1456" s="28">
        <v>2833.2624</v>
      </c>
    </row>
    <row r="1457" ht="15.75" customHeight="1" spans="1:4">
      <c r="A1457" s="27" t="s">
        <v>15547</v>
      </c>
      <c r="B1457" s="5" t="s">
        <v>17786</v>
      </c>
      <c r="C1457" s="27" t="s">
        <v>9</v>
      </c>
      <c r="D1457" s="28">
        <v>2833.2624</v>
      </c>
    </row>
    <row r="1458" ht="15.75" customHeight="1" spans="1:4">
      <c r="A1458" s="27" t="s">
        <v>15548</v>
      </c>
      <c r="B1458" s="5" t="s">
        <v>17787</v>
      </c>
      <c r="C1458" s="27" t="s">
        <v>9</v>
      </c>
      <c r="D1458" s="28">
        <v>3272.6829</v>
      </c>
    </row>
    <row r="1459" ht="15.75" customHeight="1" spans="1:4">
      <c r="A1459" s="27" t="s">
        <v>15549</v>
      </c>
      <c r="B1459" s="5" t="s">
        <v>17788</v>
      </c>
      <c r="C1459" s="27" t="s">
        <v>9</v>
      </c>
      <c r="D1459" s="28">
        <v>3708.6269</v>
      </c>
    </row>
    <row r="1460" ht="15.75" customHeight="1" spans="1:4">
      <c r="A1460" s="27" t="s">
        <v>15550</v>
      </c>
      <c r="B1460" s="5" t="s">
        <v>17789</v>
      </c>
      <c r="C1460" s="27" t="s">
        <v>9</v>
      </c>
      <c r="D1460" s="28">
        <v>3713.3588</v>
      </c>
    </row>
    <row r="1461" ht="15.75" customHeight="1" spans="1:4">
      <c r="A1461" s="27" t="s">
        <v>15551</v>
      </c>
      <c r="B1461" s="5" t="s">
        <v>17790</v>
      </c>
      <c r="C1461" s="27" t="s">
        <v>9</v>
      </c>
      <c r="D1461" s="28">
        <v>2576.281</v>
      </c>
    </row>
    <row r="1462" ht="15.75" customHeight="1" spans="1:4">
      <c r="A1462" s="27" t="s">
        <v>15552</v>
      </c>
      <c r="B1462" s="5" t="s">
        <v>17791</v>
      </c>
      <c r="C1462" s="27" t="s">
        <v>9</v>
      </c>
      <c r="D1462" s="28">
        <v>2984.1637</v>
      </c>
    </row>
    <row r="1463" ht="15.75" customHeight="1" spans="1:4">
      <c r="A1463" s="27" t="s">
        <v>15553</v>
      </c>
      <c r="B1463" s="5" t="s">
        <v>17792</v>
      </c>
      <c r="C1463" s="27" t="s">
        <v>9</v>
      </c>
      <c r="D1463" s="28">
        <v>3913.9811</v>
      </c>
    </row>
    <row r="1464" ht="15.75" customHeight="1" spans="1:4">
      <c r="A1464" s="27" t="s">
        <v>15554</v>
      </c>
      <c r="B1464" s="5" t="s">
        <v>17793</v>
      </c>
      <c r="C1464" s="27" t="s">
        <v>9</v>
      </c>
      <c r="D1464" s="28">
        <v>5054.7008</v>
      </c>
    </row>
    <row r="1465" ht="15.75" customHeight="1" spans="1:4">
      <c r="A1465" s="27" t="s">
        <v>15555</v>
      </c>
      <c r="B1465" s="5" t="s">
        <v>17794</v>
      </c>
      <c r="C1465" s="27" t="s">
        <v>9</v>
      </c>
      <c r="D1465" s="28">
        <v>5363.1566</v>
      </c>
    </row>
    <row r="1466" ht="15.75" customHeight="1" spans="1:4">
      <c r="A1466" s="27" t="s">
        <v>15556</v>
      </c>
      <c r="B1466" s="5" t="s">
        <v>17795</v>
      </c>
      <c r="C1466" s="27" t="s">
        <v>9</v>
      </c>
      <c r="D1466" s="28">
        <v>7083.156</v>
      </c>
    </row>
    <row r="1467" ht="15.75" customHeight="1" spans="1:4">
      <c r="A1467" s="27" t="s">
        <v>15557</v>
      </c>
      <c r="B1467" s="5" t="s">
        <v>17796</v>
      </c>
      <c r="C1467" s="27" t="s">
        <v>9</v>
      </c>
      <c r="D1467" s="28">
        <v>8950.1431</v>
      </c>
    </row>
    <row r="1468" ht="15.75" customHeight="1" spans="1:4">
      <c r="A1468" s="27" t="s">
        <v>15558</v>
      </c>
      <c r="B1468" s="5" t="s">
        <v>17797</v>
      </c>
      <c r="C1468" s="27" t="s">
        <v>9</v>
      </c>
      <c r="D1468" s="28">
        <v>8950.1431</v>
      </c>
    </row>
    <row r="1469" ht="15.75" customHeight="1" spans="1:4">
      <c r="A1469" s="27" t="s">
        <v>15559</v>
      </c>
      <c r="B1469" s="5" t="s">
        <v>17798</v>
      </c>
      <c r="C1469" s="27" t="s">
        <v>9</v>
      </c>
      <c r="D1469" s="28">
        <v>10427.6415</v>
      </c>
    </row>
    <row r="1470" ht="15.75" customHeight="1" spans="1:4">
      <c r="A1470" s="27" t="s">
        <v>15560</v>
      </c>
      <c r="B1470" s="5" t="s">
        <v>17799</v>
      </c>
      <c r="C1470" s="27" t="s">
        <v>9</v>
      </c>
      <c r="D1470" s="28">
        <v>11886.3546</v>
      </c>
    </row>
    <row r="1471" ht="15.75" customHeight="1" spans="1:4">
      <c r="A1471" s="27" t="s">
        <v>15561</v>
      </c>
      <c r="B1471" s="5" t="s">
        <v>17800</v>
      </c>
      <c r="C1471" s="27" t="s">
        <v>9</v>
      </c>
      <c r="D1471" s="28">
        <v>11919.229</v>
      </c>
    </row>
    <row r="1472" ht="15.75" customHeight="1" spans="1:4">
      <c r="A1472" s="27" t="s">
        <v>15562</v>
      </c>
      <c r="B1472" s="5" t="s">
        <v>17801</v>
      </c>
      <c r="C1472" s="27" t="s">
        <v>9</v>
      </c>
      <c r="D1472" s="28">
        <v>1181.9364</v>
      </c>
    </row>
    <row r="1473" ht="15.75" customHeight="1" spans="1:4">
      <c r="A1473" s="27" t="s">
        <v>15563</v>
      </c>
      <c r="B1473" s="5" t="s">
        <v>17802</v>
      </c>
      <c r="C1473" s="27" t="s">
        <v>9</v>
      </c>
      <c r="D1473" s="28">
        <v>1367.3678</v>
      </c>
    </row>
    <row r="1474" ht="15.75" customHeight="1" spans="1:4">
      <c r="A1474" s="27" t="s">
        <v>15564</v>
      </c>
      <c r="B1474" s="5" t="s">
        <v>17803</v>
      </c>
      <c r="C1474" s="27" t="s">
        <v>9</v>
      </c>
      <c r="D1474" s="28">
        <v>1796.2168</v>
      </c>
    </row>
    <row r="1475" ht="15.75" customHeight="1" spans="1:4">
      <c r="A1475" s="27" t="s">
        <v>15565</v>
      </c>
      <c r="B1475" s="5" t="s">
        <v>17804</v>
      </c>
      <c r="C1475" s="27" t="s">
        <v>9</v>
      </c>
      <c r="D1475" s="28">
        <v>2324.1035</v>
      </c>
    </row>
    <row r="1476" ht="15.75" customHeight="1" spans="1:4">
      <c r="A1476" s="27" t="s">
        <v>15566</v>
      </c>
      <c r="B1476" s="5" t="s">
        <v>17805</v>
      </c>
      <c r="C1476" s="27" t="s">
        <v>9</v>
      </c>
      <c r="D1476" s="28">
        <v>2474.4765</v>
      </c>
    </row>
    <row r="1477" ht="15.75" customHeight="1" spans="1:4">
      <c r="A1477" s="27" t="s">
        <v>15567</v>
      </c>
      <c r="B1477" s="5" t="s">
        <v>17806</v>
      </c>
      <c r="C1477" s="27" t="s">
        <v>9</v>
      </c>
      <c r="D1477" s="28">
        <v>3260.3218</v>
      </c>
    </row>
    <row r="1478" ht="15.75" customHeight="1" spans="1:4">
      <c r="A1478" s="27" t="s">
        <v>15568</v>
      </c>
      <c r="B1478" s="5" t="s">
        <v>17807</v>
      </c>
      <c r="C1478" s="27" t="s">
        <v>9</v>
      </c>
      <c r="D1478" s="28">
        <v>4099.7454</v>
      </c>
    </row>
    <row r="1479" ht="15.75" customHeight="1" spans="1:4">
      <c r="A1479" s="27" t="s">
        <v>15569</v>
      </c>
      <c r="B1479" s="5" t="s">
        <v>17808</v>
      </c>
      <c r="C1479" s="27" t="s">
        <v>9</v>
      </c>
      <c r="D1479" s="28">
        <v>4099.7454</v>
      </c>
    </row>
    <row r="1480" ht="15.75" customHeight="1" spans="1:4">
      <c r="A1480" s="27" t="s">
        <v>15570</v>
      </c>
      <c r="B1480" s="5" t="s">
        <v>17809</v>
      </c>
      <c r="C1480" s="27" t="s">
        <v>9</v>
      </c>
      <c r="D1480" s="28">
        <v>4808.3641</v>
      </c>
    </row>
    <row r="1481" ht="15.75" customHeight="1" spans="1:4">
      <c r="A1481" s="27" t="s">
        <v>15571</v>
      </c>
      <c r="B1481" s="5" t="s">
        <v>17810</v>
      </c>
      <c r="C1481" s="27" t="s">
        <v>9</v>
      </c>
      <c r="D1481" s="28">
        <v>5498.1974</v>
      </c>
    </row>
    <row r="1482" ht="15.75" customHeight="1" spans="1:4">
      <c r="A1482" s="27" t="s">
        <v>15572</v>
      </c>
      <c r="B1482" s="5" t="s">
        <v>17811</v>
      </c>
      <c r="C1482" s="27" t="s">
        <v>9</v>
      </c>
      <c r="D1482" s="28">
        <v>5531.0719</v>
      </c>
    </row>
    <row r="1483" ht="15.75" customHeight="1" spans="1:4">
      <c r="A1483" s="27" t="s">
        <v>15573</v>
      </c>
      <c r="B1483" s="5" t="s">
        <v>17812</v>
      </c>
      <c r="C1483" s="27" t="s">
        <v>82</v>
      </c>
      <c r="D1483" s="28">
        <v>1105.2059</v>
      </c>
    </row>
    <row r="1484" ht="15.75" customHeight="1" spans="1:4">
      <c r="A1484" s="27" t="s">
        <v>17813</v>
      </c>
      <c r="B1484" s="5" t="s">
        <v>17814</v>
      </c>
      <c r="C1484" s="27" t="s">
        <v>7</v>
      </c>
      <c r="D1484" s="28">
        <v>537.0395</v>
      </c>
    </row>
    <row r="1485" ht="15.75" customHeight="1" spans="1:4">
      <c r="A1485" s="27" t="s">
        <v>15574</v>
      </c>
      <c r="B1485" s="5" t="s">
        <v>17815</v>
      </c>
      <c r="C1485" s="27" t="s">
        <v>9</v>
      </c>
      <c r="D1485" s="28">
        <v>201.5358</v>
      </c>
    </row>
    <row r="1486" ht="15.75" customHeight="1" spans="1:4">
      <c r="A1486" s="27" t="s">
        <v>15575</v>
      </c>
      <c r="B1486" s="5" t="s">
        <v>17816</v>
      </c>
      <c r="C1486" s="27" t="s">
        <v>9885</v>
      </c>
      <c r="D1486" s="28" t="s">
        <v>14799</v>
      </c>
    </row>
    <row r="1487" ht="15.75" customHeight="1" spans="1:4">
      <c r="A1487" s="27" t="s">
        <v>15576</v>
      </c>
      <c r="B1487" s="5" t="s">
        <v>17817</v>
      </c>
      <c r="C1487" s="27" t="s">
        <v>7</v>
      </c>
      <c r="D1487" s="28">
        <v>431.2091</v>
      </c>
    </row>
    <row r="1488" ht="15.75" customHeight="1" spans="1:4">
      <c r="A1488" s="27" t="s">
        <v>15577</v>
      </c>
      <c r="B1488" s="5" t="s">
        <v>17818</v>
      </c>
      <c r="C1488" s="27" t="s">
        <v>7</v>
      </c>
      <c r="D1488" s="28">
        <v>101.2911</v>
      </c>
    </row>
    <row r="1489" ht="15.75" customHeight="1" spans="1:4">
      <c r="A1489" s="27" t="s">
        <v>15578</v>
      </c>
      <c r="B1489" s="5" t="s">
        <v>17819</v>
      </c>
      <c r="C1489" s="27" t="s">
        <v>7</v>
      </c>
      <c r="D1489" s="28">
        <v>118.5715</v>
      </c>
    </row>
    <row r="1490" ht="15.75" customHeight="1" spans="1:4">
      <c r="A1490" s="27" t="s">
        <v>17820</v>
      </c>
      <c r="B1490" s="5" t="s">
        <v>17821</v>
      </c>
      <c r="C1490" s="27" t="s">
        <v>7</v>
      </c>
      <c r="D1490" s="28">
        <v>657.8258</v>
      </c>
    </row>
    <row r="1491" ht="15.75" customHeight="1" spans="1:4">
      <c r="A1491" s="27" t="s">
        <v>15579</v>
      </c>
      <c r="B1491" s="5" t="s">
        <v>17822</v>
      </c>
      <c r="C1491" s="27" t="s">
        <v>9</v>
      </c>
      <c r="D1491" s="28">
        <v>6.6179</v>
      </c>
    </row>
    <row r="1492" ht="15.75" customHeight="1" spans="1:4">
      <c r="A1492" s="27" t="s">
        <v>14311</v>
      </c>
      <c r="B1492" s="5" t="s">
        <v>14312</v>
      </c>
      <c r="C1492" s="27" t="s">
        <v>7</v>
      </c>
      <c r="D1492" s="28">
        <v>149.1333</v>
      </c>
    </row>
    <row r="1493" ht="15.75" customHeight="1" spans="1:4">
      <c r="A1493" s="27" t="s">
        <v>15580</v>
      </c>
      <c r="B1493" s="5" t="s">
        <v>17823</v>
      </c>
      <c r="C1493" s="27" t="s">
        <v>7</v>
      </c>
      <c r="D1493" s="28">
        <v>597.3137</v>
      </c>
    </row>
    <row r="1494" ht="15.75" customHeight="1" spans="1:4">
      <c r="A1494" s="27" t="s">
        <v>14313</v>
      </c>
      <c r="B1494" s="5" t="s">
        <v>14314</v>
      </c>
      <c r="C1494" s="27" t="s">
        <v>7</v>
      </c>
      <c r="D1494" s="28">
        <v>222.5407</v>
      </c>
    </row>
    <row r="1495" ht="15.75" customHeight="1" spans="1:4">
      <c r="A1495" s="27" t="s">
        <v>15581</v>
      </c>
      <c r="B1495" s="5" t="s">
        <v>17824</v>
      </c>
      <c r="C1495" s="27" t="s">
        <v>7</v>
      </c>
      <c r="D1495" s="28">
        <v>137.1158</v>
      </c>
    </row>
    <row r="1496" ht="15.75" customHeight="1" spans="1:4">
      <c r="A1496" s="27" t="s">
        <v>15582</v>
      </c>
      <c r="B1496" s="5" t="s">
        <v>17825</v>
      </c>
      <c r="C1496" s="27" t="s">
        <v>7</v>
      </c>
      <c r="D1496" s="28">
        <v>382.6947</v>
      </c>
    </row>
    <row r="1497" ht="15.75" customHeight="1" spans="1:4">
      <c r="A1497" s="27" t="s">
        <v>15583</v>
      </c>
      <c r="B1497" s="5" t="s">
        <v>17826</v>
      </c>
      <c r="C1497" s="27" t="s">
        <v>9</v>
      </c>
      <c r="D1497" s="28">
        <v>19.7995</v>
      </c>
    </row>
    <row r="1498" ht="15.75" customHeight="1" spans="1:4">
      <c r="A1498" s="27" t="s">
        <v>15584</v>
      </c>
      <c r="B1498" s="5" t="s">
        <v>17827</v>
      </c>
      <c r="C1498" s="27" t="s">
        <v>9</v>
      </c>
      <c r="D1498" s="28">
        <v>13.0737</v>
      </c>
    </row>
    <row r="1499" ht="15.75" customHeight="1" spans="1:4">
      <c r="A1499" s="27" t="s">
        <v>15585</v>
      </c>
      <c r="B1499" s="5" t="s">
        <v>17828</v>
      </c>
      <c r="C1499" s="27" t="s">
        <v>9</v>
      </c>
      <c r="D1499" s="28">
        <v>23.0781</v>
      </c>
    </row>
    <row r="1500" ht="15.75" customHeight="1" spans="1:4">
      <c r="A1500" s="27" t="s">
        <v>15586</v>
      </c>
      <c r="B1500" s="5" t="s">
        <v>17829</v>
      </c>
      <c r="C1500" s="27" t="s">
        <v>101</v>
      </c>
      <c r="D1500" s="28">
        <v>52.7247</v>
      </c>
    </row>
    <row r="1501" ht="15.75" customHeight="1" spans="1:4">
      <c r="A1501" s="27" t="s">
        <v>15587</v>
      </c>
      <c r="B1501" s="5" t="s">
        <v>17830</v>
      </c>
      <c r="C1501" s="27" t="s">
        <v>82</v>
      </c>
      <c r="D1501" s="28">
        <v>13997.4603</v>
      </c>
    </row>
    <row r="1502" ht="15.75" customHeight="1" spans="1:4">
      <c r="A1502" s="27" t="s">
        <v>15588</v>
      </c>
      <c r="B1502" s="5" t="s">
        <v>17831</v>
      </c>
      <c r="C1502" s="27" t="s">
        <v>82</v>
      </c>
      <c r="D1502" s="28">
        <v>21285.403</v>
      </c>
    </row>
    <row r="1503" ht="15.75" customHeight="1" spans="1:4">
      <c r="A1503" s="27" t="s">
        <v>15589</v>
      </c>
      <c r="B1503" s="5" t="s">
        <v>17832</v>
      </c>
      <c r="C1503" s="27" t="s">
        <v>82</v>
      </c>
      <c r="D1503" s="28">
        <v>41232.2374</v>
      </c>
    </row>
    <row r="1504" ht="15.75" customHeight="1" spans="1:4">
      <c r="A1504" s="27" t="s">
        <v>15590</v>
      </c>
      <c r="B1504" s="5" t="s">
        <v>17833</v>
      </c>
      <c r="C1504" s="27" t="s">
        <v>82</v>
      </c>
      <c r="D1504" s="28">
        <v>79915.1607</v>
      </c>
    </row>
    <row r="1505" ht="15.75" customHeight="1" spans="1:4">
      <c r="A1505" s="27" t="s">
        <v>15591</v>
      </c>
      <c r="B1505" s="5" t="s">
        <v>17834</v>
      </c>
      <c r="C1505" s="27" t="s">
        <v>82</v>
      </c>
      <c r="D1505" s="28">
        <v>23948.1375</v>
      </c>
    </row>
    <row r="1506" ht="15.75" customHeight="1" spans="1:4">
      <c r="A1506" s="27" t="s">
        <v>15592</v>
      </c>
      <c r="B1506" s="5" t="s">
        <v>17835</v>
      </c>
      <c r="C1506" s="27" t="s">
        <v>82</v>
      </c>
      <c r="D1506" s="28">
        <v>32444.5531</v>
      </c>
    </row>
    <row r="1507" ht="15.75" customHeight="1" spans="1:4">
      <c r="A1507" s="27" t="s">
        <v>15593</v>
      </c>
      <c r="B1507" s="5" t="s">
        <v>17836</v>
      </c>
      <c r="C1507" s="27" t="s">
        <v>82</v>
      </c>
      <c r="D1507" s="28">
        <v>71171.0413</v>
      </c>
    </row>
    <row r="1508" ht="15.75" customHeight="1" spans="1:4">
      <c r="A1508" s="27" t="s">
        <v>15594</v>
      </c>
      <c r="B1508" s="5" t="s">
        <v>17837</v>
      </c>
      <c r="C1508" s="27" t="s">
        <v>82</v>
      </c>
      <c r="D1508" s="28">
        <v>136103.3743</v>
      </c>
    </row>
    <row r="1509" ht="15.75" customHeight="1" spans="1:4">
      <c r="A1509" s="27" t="s">
        <v>15595</v>
      </c>
      <c r="B1509" s="5" t="s">
        <v>17838</v>
      </c>
      <c r="C1509" s="27" t="s">
        <v>9</v>
      </c>
      <c r="D1509" s="28">
        <v>96.8389</v>
      </c>
    </row>
    <row r="1510" ht="15.75" customHeight="1" spans="1:4">
      <c r="A1510" s="27" t="s">
        <v>15596</v>
      </c>
      <c r="B1510" s="5" t="s">
        <v>17839</v>
      </c>
      <c r="C1510" s="27" t="s">
        <v>82</v>
      </c>
      <c r="D1510" s="28">
        <v>0.2186</v>
      </c>
    </row>
    <row r="1511" ht="15.75" customHeight="1" spans="1:4">
      <c r="A1511" s="27" t="s">
        <v>15597</v>
      </c>
      <c r="B1511" s="5" t="s">
        <v>17840</v>
      </c>
      <c r="C1511" s="27" t="s">
        <v>9</v>
      </c>
      <c r="D1511" s="28">
        <v>20.79</v>
      </c>
    </row>
    <row r="1512" ht="15.75" customHeight="1" spans="1:4">
      <c r="A1512" s="27" t="s">
        <v>15598</v>
      </c>
      <c r="B1512" s="5" t="s">
        <v>17841</v>
      </c>
      <c r="C1512" s="27" t="s">
        <v>82</v>
      </c>
      <c r="D1512" s="28">
        <v>1.3373</v>
      </c>
    </row>
    <row r="1513" ht="15.75" customHeight="1" spans="1:4">
      <c r="A1513" s="27" t="s">
        <v>15599</v>
      </c>
      <c r="B1513" s="5" t="s">
        <v>17842</v>
      </c>
      <c r="C1513" s="27" t="s">
        <v>82</v>
      </c>
      <c r="D1513" s="28">
        <v>1.8951</v>
      </c>
    </row>
    <row r="1514" ht="15.75" customHeight="1" spans="1:4">
      <c r="A1514" s="27" t="s">
        <v>15600</v>
      </c>
      <c r="B1514" s="5" t="s">
        <v>17843</v>
      </c>
      <c r="C1514" s="27" t="s">
        <v>9</v>
      </c>
      <c r="D1514" s="28">
        <v>321.1949</v>
      </c>
    </row>
    <row r="1515" ht="15.75" customHeight="1" spans="1:4">
      <c r="A1515" s="27" t="s">
        <v>15601</v>
      </c>
      <c r="B1515" s="5" t="s">
        <v>17844</v>
      </c>
      <c r="C1515" s="27" t="s">
        <v>9</v>
      </c>
      <c r="D1515" s="28">
        <v>77.4226</v>
      </c>
    </row>
    <row r="1516" ht="15.75" customHeight="1" spans="1:4">
      <c r="A1516" s="27" t="s">
        <v>15602</v>
      </c>
      <c r="B1516" s="5" t="s">
        <v>17845</v>
      </c>
      <c r="C1516" s="27" t="s">
        <v>9</v>
      </c>
      <c r="D1516" s="28">
        <v>197.9528</v>
      </c>
    </row>
    <row r="1517" ht="15.75" customHeight="1" spans="1:4">
      <c r="A1517" s="27" t="s">
        <v>15603</v>
      </c>
      <c r="B1517" s="5" t="s">
        <v>17846</v>
      </c>
      <c r="C1517" s="27" t="s">
        <v>82</v>
      </c>
      <c r="D1517" s="28">
        <v>3678.5815</v>
      </c>
    </row>
    <row r="1518" ht="15.75" customHeight="1" spans="1:4">
      <c r="A1518" s="27" t="s">
        <v>15604</v>
      </c>
      <c r="B1518" s="5" t="s">
        <v>17847</v>
      </c>
      <c r="C1518" s="27" t="s">
        <v>82</v>
      </c>
      <c r="D1518" s="28">
        <v>5753.0864</v>
      </c>
    </row>
    <row r="1519" ht="15.75" customHeight="1" spans="1:4">
      <c r="A1519" s="27" t="s">
        <v>15605</v>
      </c>
      <c r="B1519" s="5" t="s">
        <v>17848</v>
      </c>
      <c r="C1519" s="27" t="s">
        <v>82</v>
      </c>
      <c r="D1519" s="28">
        <v>8330.7964</v>
      </c>
    </row>
    <row r="1520" ht="15.75" customHeight="1" spans="1:4">
      <c r="A1520" s="27" t="s">
        <v>15606</v>
      </c>
      <c r="B1520" s="5" t="s">
        <v>17849</v>
      </c>
      <c r="C1520" s="27" t="s">
        <v>82</v>
      </c>
      <c r="D1520" s="28">
        <v>9670.6829</v>
      </c>
    </row>
    <row r="1521" ht="15.75" customHeight="1" spans="1:4">
      <c r="A1521" s="27" t="s">
        <v>15607</v>
      </c>
      <c r="B1521" s="5" t="s">
        <v>17850</v>
      </c>
      <c r="C1521" s="27" t="s">
        <v>82</v>
      </c>
      <c r="D1521" s="28">
        <v>12253.4079</v>
      </c>
    </row>
    <row r="1522" ht="15.75" customHeight="1" spans="1:4">
      <c r="A1522" s="27" t="s">
        <v>15608</v>
      </c>
      <c r="B1522" s="5" t="s">
        <v>17851</v>
      </c>
      <c r="C1522" s="27" t="s">
        <v>82</v>
      </c>
      <c r="D1522" s="28">
        <v>38.4041</v>
      </c>
    </row>
    <row r="1523" ht="15.75" customHeight="1" spans="1:4">
      <c r="A1523" s="27" t="s">
        <v>15609</v>
      </c>
      <c r="B1523" s="5" t="s">
        <v>17852</v>
      </c>
      <c r="C1523" s="27" t="s">
        <v>82</v>
      </c>
      <c r="D1523" s="28">
        <v>470.011</v>
      </c>
    </row>
    <row r="1524" ht="15.75" customHeight="1" spans="1:4">
      <c r="A1524" s="27" t="s">
        <v>15610</v>
      </c>
      <c r="B1524" s="5" t="s">
        <v>17853</v>
      </c>
      <c r="C1524" s="27" t="s">
        <v>82</v>
      </c>
      <c r="D1524" s="28">
        <v>107.3208</v>
      </c>
    </row>
    <row r="1525" ht="15.75" customHeight="1" spans="1:4">
      <c r="A1525" s="27" t="s">
        <v>15611</v>
      </c>
      <c r="B1525" s="5" t="s">
        <v>17854</v>
      </c>
      <c r="C1525" s="27" t="s">
        <v>9</v>
      </c>
      <c r="D1525" s="28">
        <v>373.3074</v>
      </c>
    </row>
    <row r="1526" ht="15.75" customHeight="1" spans="1:4">
      <c r="A1526" s="27" t="s">
        <v>15612</v>
      </c>
      <c r="B1526" s="5" t="s">
        <v>17855</v>
      </c>
      <c r="C1526" s="27" t="s">
        <v>82</v>
      </c>
      <c r="D1526" s="28">
        <v>95.3205</v>
      </c>
    </row>
    <row r="1527" ht="15.75" customHeight="1" spans="1:4">
      <c r="A1527" s="27" t="s">
        <v>15613</v>
      </c>
      <c r="B1527" s="5" t="s">
        <v>11091</v>
      </c>
      <c r="C1527" s="27" t="s">
        <v>99</v>
      </c>
      <c r="D1527" s="28" t="s">
        <v>14799</v>
      </c>
    </row>
    <row r="1528" ht="15.75" customHeight="1" spans="1:4">
      <c r="A1528" s="27" t="s">
        <v>15614</v>
      </c>
      <c r="B1528" s="5" t="s">
        <v>11089</v>
      </c>
      <c r="C1528" s="27" t="s">
        <v>99</v>
      </c>
      <c r="D1528" s="28" t="s">
        <v>14799</v>
      </c>
    </row>
    <row r="1529" ht="15.75" customHeight="1" spans="1:4">
      <c r="A1529" s="27" t="s">
        <v>15615</v>
      </c>
      <c r="B1529" s="5" t="s">
        <v>4159</v>
      </c>
      <c r="C1529" s="27" t="s">
        <v>99</v>
      </c>
      <c r="D1529" s="28" t="s">
        <v>14799</v>
      </c>
    </row>
    <row r="1530" ht="15.75" customHeight="1" spans="1:4">
      <c r="A1530" s="27" t="s">
        <v>15616</v>
      </c>
      <c r="B1530" s="5" t="s">
        <v>17856</v>
      </c>
      <c r="C1530" s="27" t="s">
        <v>99</v>
      </c>
      <c r="D1530" s="28" t="s">
        <v>14799</v>
      </c>
    </row>
    <row r="1531" ht="15.75" customHeight="1" spans="1:4">
      <c r="A1531" s="27" t="s">
        <v>15617</v>
      </c>
      <c r="B1531" s="5" t="s">
        <v>17857</v>
      </c>
      <c r="C1531" s="27" t="s">
        <v>99</v>
      </c>
      <c r="D1531" s="28" t="s">
        <v>14799</v>
      </c>
    </row>
    <row r="1532" ht="15.75" customHeight="1" spans="1:4">
      <c r="A1532" s="27" t="s">
        <v>15618</v>
      </c>
      <c r="B1532" s="5" t="s">
        <v>17858</v>
      </c>
      <c r="C1532" s="27" t="s">
        <v>99</v>
      </c>
      <c r="D1532" s="28" t="s">
        <v>14799</v>
      </c>
    </row>
    <row r="1533" ht="15.75" customHeight="1" spans="1:4">
      <c r="A1533" s="27" t="s">
        <v>15619</v>
      </c>
      <c r="B1533" s="5" t="s">
        <v>17859</v>
      </c>
      <c r="C1533" s="27" t="s">
        <v>99</v>
      </c>
      <c r="D1533" s="28" t="s">
        <v>14799</v>
      </c>
    </row>
    <row r="1534" ht="15.75" customHeight="1" spans="1:4">
      <c r="A1534" s="27" t="s">
        <v>15620</v>
      </c>
      <c r="B1534" s="5" t="s">
        <v>17860</v>
      </c>
      <c r="C1534" s="27" t="s">
        <v>99</v>
      </c>
      <c r="D1534" s="28" t="s">
        <v>14799</v>
      </c>
    </row>
    <row r="1535" ht="15.75" customHeight="1" spans="1:4">
      <c r="A1535" s="27" t="s">
        <v>15621</v>
      </c>
      <c r="B1535" s="5" t="s">
        <v>17861</v>
      </c>
      <c r="C1535" s="27" t="s">
        <v>99</v>
      </c>
      <c r="D1535" s="28" t="s">
        <v>14799</v>
      </c>
    </row>
    <row r="1536" ht="15.75" customHeight="1" spans="1:4">
      <c r="A1536" s="27" t="s">
        <v>15622</v>
      </c>
      <c r="B1536" s="5" t="s">
        <v>17862</v>
      </c>
      <c r="C1536" s="27" t="s">
        <v>9885</v>
      </c>
      <c r="D1536" s="28" t="s">
        <v>14799</v>
      </c>
    </row>
    <row r="1537" ht="15.75" customHeight="1" spans="1:4">
      <c r="A1537" s="27" t="s">
        <v>15623</v>
      </c>
      <c r="B1537" s="5" t="s">
        <v>17863</v>
      </c>
      <c r="C1537" s="27" t="s">
        <v>99</v>
      </c>
      <c r="D1537" s="28" t="s">
        <v>14799</v>
      </c>
    </row>
    <row r="1538" ht="15.75" customHeight="1" spans="1:4">
      <c r="A1538" s="27" t="s">
        <v>15624</v>
      </c>
      <c r="B1538" s="5" t="s">
        <v>17864</v>
      </c>
      <c r="C1538" s="27" t="s">
        <v>99</v>
      </c>
      <c r="D1538" s="28" t="s">
        <v>14799</v>
      </c>
    </row>
    <row r="1539" ht="15.75" customHeight="1" spans="1:4">
      <c r="A1539" s="27" t="s">
        <v>15625</v>
      </c>
      <c r="B1539" s="5" t="s">
        <v>17865</v>
      </c>
      <c r="C1539" s="27" t="s">
        <v>99</v>
      </c>
      <c r="D1539" s="28" t="s">
        <v>14799</v>
      </c>
    </row>
    <row r="1540" ht="15.75" customHeight="1" spans="1:4">
      <c r="A1540" s="27" t="s">
        <v>15626</v>
      </c>
      <c r="B1540" s="5" t="s">
        <v>17866</v>
      </c>
      <c r="C1540" s="27" t="s">
        <v>9885</v>
      </c>
      <c r="D1540" s="28" t="s">
        <v>14799</v>
      </c>
    </row>
    <row r="1541" ht="15.75" customHeight="1" spans="1:4">
      <c r="A1541" s="27" t="s">
        <v>15627</v>
      </c>
      <c r="B1541" s="5" t="s">
        <v>17867</v>
      </c>
      <c r="C1541" s="27" t="s">
        <v>82</v>
      </c>
      <c r="D1541" s="28" t="s">
        <v>14799</v>
      </c>
    </row>
    <row r="1542" ht="15.75" customHeight="1" spans="1:4">
      <c r="A1542" s="27" t="s">
        <v>17868</v>
      </c>
      <c r="B1542" s="5" t="s">
        <v>17869</v>
      </c>
      <c r="C1542" s="27" t="s">
        <v>14234</v>
      </c>
      <c r="D1542" s="28">
        <v>59.0608</v>
      </c>
    </row>
    <row r="1543" ht="15.75" customHeight="1" spans="1:4">
      <c r="A1543" s="27" t="s">
        <v>17870</v>
      </c>
      <c r="B1543" s="5" t="s">
        <v>17871</v>
      </c>
      <c r="C1543" s="27" t="s">
        <v>14234</v>
      </c>
      <c r="D1543" s="28">
        <v>270.4277</v>
      </c>
    </row>
    <row r="1544" ht="15.75" customHeight="1" spans="1:4">
      <c r="A1544" s="27" t="s">
        <v>17872</v>
      </c>
      <c r="B1544" s="5" t="s">
        <v>17873</v>
      </c>
      <c r="C1544" s="27" t="s">
        <v>14234</v>
      </c>
      <c r="D1544" s="28">
        <v>86.404</v>
      </c>
    </row>
    <row r="1545" ht="15.75" customHeight="1" spans="1:4">
      <c r="A1545" s="27" t="s">
        <v>17874</v>
      </c>
      <c r="B1545" s="5" t="s">
        <v>17875</v>
      </c>
      <c r="C1545" s="27" t="s">
        <v>82</v>
      </c>
      <c r="D1545" s="28">
        <v>222872.5051</v>
      </c>
    </row>
    <row r="1546" ht="15.75" customHeight="1" spans="1:4">
      <c r="A1546" s="27" t="s">
        <v>17876</v>
      </c>
      <c r="B1546" s="5" t="s">
        <v>17877</v>
      </c>
      <c r="C1546" s="27" t="s">
        <v>82</v>
      </c>
      <c r="D1546" s="28">
        <v>359007.6977</v>
      </c>
    </row>
    <row r="1547" ht="15.75" customHeight="1" spans="1:4">
      <c r="A1547" s="27" t="s">
        <v>17878</v>
      </c>
      <c r="B1547" s="5" t="s">
        <v>17879</v>
      </c>
      <c r="C1547" s="27" t="s">
        <v>82</v>
      </c>
      <c r="D1547" s="28">
        <v>60</v>
      </c>
    </row>
    <row r="1548" ht="15.75" customHeight="1" spans="1:4">
      <c r="A1548" s="27" t="s">
        <v>17880</v>
      </c>
      <c r="B1548" s="5" t="s">
        <v>17881</v>
      </c>
      <c r="C1548" s="27" t="s">
        <v>82</v>
      </c>
      <c r="D1548" s="28">
        <v>26.1599</v>
      </c>
    </row>
    <row r="1549" ht="15.75" customHeight="1" spans="1:4">
      <c r="A1549" s="27" t="s">
        <v>17882</v>
      </c>
      <c r="B1549" s="5" t="s">
        <v>17883</v>
      </c>
      <c r="C1549" s="27" t="s">
        <v>82</v>
      </c>
      <c r="D1549" s="28">
        <v>323230.9994</v>
      </c>
    </row>
    <row r="1550" ht="15.75" customHeight="1" spans="1:4">
      <c r="A1550" s="27" t="s">
        <v>17884</v>
      </c>
      <c r="B1550" s="5" t="s">
        <v>17885</v>
      </c>
      <c r="C1550" s="27" t="s">
        <v>82</v>
      </c>
      <c r="D1550" s="28">
        <v>1344.581</v>
      </c>
    </row>
    <row r="1551" ht="15.75" customHeight="1" spans="1:4">
      <c r="A1551" s="27" t="s">
        <v>17886</v>
      </c>
      <c r="B1551" s="5" t="s">
        <v>17887</v>
      </c>
      <c r="C1551" s="27" t="s">
        <v>9</v>
      </c>
      <c r="D1551" s="28">
        <v>278.9987</v>
      </c>
    </row>
    <row r="1552" ht="15.75" customHeight="1" spans="1:4">
      <c r="A1552" s="27" t="s">
        <v>17888</v>
      </c>
      <c r="B1552" s="5" t="s">
        <v>17889</v>
      </c>
      <c r="C1552" s="27" t="s">
        <v>82</v>
      </c>
      <c r="D1552" s="28">
        <v>3685.897</v>
      </c>
    </row>
    <row r="1553" ht="15.75" customHeight="1" spans="1:4">
      <c r="A1553" s="27" t="s">
        <v>17890</v>
      </c>
      <c r="B1553" s="5" t="s">
        <v>17891</v>
      </c>
      <c r="C1553" s="27" t="s">
        <v>82</v>
      </c>
      <c r="D1553" s="28">
        <v>1020.9317</v>
      </c>
    </row>
    <row r="1554" ht="15.75" customHeight="1" spans="1:4">
      <c r="A1554" s="27" t="s">
        <v>17892</v>
      </c>
      <c r="B1554" s="5" t="s">
        <v>17893</v>
      </c>
      <c r="C1554" s="27" t="s">
        <v>101</v>
      </c>
      <c r="D1554" s="28">
        <v>26.0611</v>
      </c>
    </row>
    <row r="1555" ht="15.75" customHeight="1" spans="1:4">
      <c r="A1555" s="27" t="s">
        <v>17894</v>
      </c>
      <c r="B1555" s="5" t="s">
        <v>17895</v>
      </c>
      <c r="C1555" s="27" t="s">
        <v>9885</v>
      </c>
      <c r="D1555" s="28" t="s">
        <v>14799</v>
      </c>
    </row>
    <row r="1556" ht="15.75" customHeight="1" spans="1:4">
      <c r="A1556" s="27" t="s">
        <v>17896</v>
      </c>
      <c r="B1556" s="5" t="s">
        <v>17897</v>
      </c>
      <c r="C1556" s="27" t="s">
        <v>99</v>
      </c>
      <c r="D1556" s="28" t="s">
        <v>14799</v>
      </c>
    </row>
    <row r="1557" ht="15.75" customHeight="1" spans="1:4">
      <c r="A1557" s="27" t="s">
        <v>17898</v>
      </c>
      <c r="B1557" s="5" t="s">
        <v>17899</v>
      </c>
      <c r="C1557" s="27" t="s">
        <v>9885</v>
      </c>
      <c r="D1557" s="28" t="s">
        <v>14799</v>
      </c>
    </row>
    <row r="1558" ht="15.75" customHeight="1" spans="1:4">
      <c r="A1558" s="27" t="s">
        <v>17900</v>
      </c>
      <c r="B1558" s="5" t="s">
        <v>17901</v>
      </c>
      <c r="C1558" s="27" t="s">
        <v>82</v>
      </c>
      <c r="D1558" s="28" t="s">
        <v>14799</v>
      </c>
    </row>
    <row r="1559" ht="15.75" customHeight="1" spans="1:4">
      <c r="A1559" s="27" t="s">
        <v>17902</v>
      </c>
      <c r="B1559" s="5" t="s">
        <v>17903</v>
      </c>
      <c r="C1559" s="27" t="s">
        <v>82</v>
      </c>
      <c r="D1559" s="28" t="s">
        <v>14799</v>
      </c>
    </row>
    <row r="1560" ht="15.75" customHeight="1" spans="1:4">
      <c r="A1560" s="27" t="s">
        <v>17904</v>
      </c>
      <c r="B1560" s="5" t="s">
        <v>17905</v>
      </c>
      <c r="C1560" s="27" t="s">
        <v>82</v>
      </c>
      <c r="D1560" s="28" t="s">
        <v>14799</v>
      </c>
    </row>
    <row r="1561" ht="30" customHeight="1" spans="1:4">
      <c r="A1561" s="27" t="s">
        <v>17906</v>
      </c>
      <c r="B1561" s="5" t="s">
        <v>17907</v>
      </c>
      <c r="C1561" s="27" t="s">
        <v>9</v>
      </c>
      <c r="D1561" s="28">
        <v>224.8928</v>
      </c>
    </row>
    <row r="1562" ht="30" customHeight="1" spans="1:4">
      <c r="A1562" s="27" t="s">
        <v>17908</v>
      </c>
      <c r="B1562" s="5" t="s">
        <v>17909</v>
      </c>
      <c r="C1562" s="27" t="s">
        <v>9</v>
      </c>
      <c r="D1562" s="28">
        <v>117.5741</v>
      </c>
    </row>
    <row r="1563" ht="15.75" customHeight="1" spans="1:4">
      <c r="A1563" s="27" t="s">
        <v>17910</v>
      </c>
      <c r="B1563" s="5" t="s">
        <v>17911</v>
      </c>
      <c r="C1563" s="27" t="s">
        <v>99</v>
      </c>
      <c r="D1563" s="28" t="s">
        <v>14799</v>
      </c>
    </row>
    <row r="1564" ht="15.75" customHeight="1" spans="1:4">
      <c r="A1564" s="27" t="s">
        <v>17912</v>
      </c>
      <c r="B1564" s="5" t="s">
        <v>17913</v>
      </c>
      <c r="C1564" s="27" t="s">
        <v>99</v>
      </c>
      <c r="D1564" s="28" t="s">
        <v>14799</v>
      </c>
    </row>
    <row r="1565" ht="30" customHeight="1" spans="1:4">
      <c r="A1565" s="27" t="s">
        <v>17914</v>
      </c>
      <c r="B1565" s="5" t="s">
        <v>17915</v>
      </c>
      <c r="C1565" s="27" t="s">
        <v>9</v>
      </c>
      <c r="D1565" s="28">
        <v>354.2654</v>
      </c>
    </row>
    <row r="1566" ht="30" customHeight="1" spans="1:4">
      <c r="A1566" s="27" t="s">
        <v>17916</v>
      </c>
      <c r="B1566" s="5" t="s">
        <v>17917</v>
      </c>
      <c r="C1566" s="27" t="s">
        <v>9</v>
      </c>
      <c r="D1566" s="28">
        <v>665.6535</v>
      </c>
    </row>
    <row r="1567" ht="30" customHeight="1" spans="1:4">
      <c r="A1567" s="27" t="s">
        <v>17918</v>
      </c>
      <c r="B1567" s="5" t="s">
        <v>17919</v>
      </c>
      <c r="C1567" s="27" t="s">
        <v>9</v>
      </c>
      <c r="D1567" s="28">
        <v>732.2369</v>
      </c>
    </row>
    <row r="1568" ht="30" customHeight="1" spans="1:4">
      <c r="A1568" s="27" t="s">
        <v>17920</v>
      </c>
      <c r="B1568" s="5" t="s">
        <v>17921</v>
      </c>
      <c r="C1568" s="27" t="s">
        <v>9</v>
      </c>
      <c r="D1568" s="28">
        <v>759.1933</v>
      </c>
    </row>
    <row r="1569" ht="30" customHeight="1" spans="1:4">
      <c r="A1569" s="27" t="s">
        <v>17922</v>
      </c>
      <c r="B1569" s="5" t="s">
        <v>17923</v>
      </c>
      <c r="C1569" s="27" t="s">
        <v>9</v>
      </c>
      <c r="D1569" s="28">
        <v>846.463</v>
      </c>
    </row>
    <row r="1570" ht="30" customHeight="1" spans="1:4">
      <c r="A1570" s="27" t="s">
        <v>17924</v>
      </c>
      <c r="B1570" s="5" t="s">
        <v>17925</v>
      </c>
      <c r="C1570" s="27" t="s">
        <v>9</v>
      </c>
      <c r="D1570" s="28">
        <v>1047.5576</v>
      </c>
    </row>
    <row r="1571" ht="30" customHeight="1" spans="1:4">
      <c r="A1571" s="27" t="s">
        <v>17926</v>
      </c>
      <c r="B1571" s="5" t="s">
        <v>17927</v>
      </c>
      <c r="C1571" s="27" t="s">
        <v>9</v>
      </c>
      <c r="D1571" s="28">
        <v>1087.6962</v>
      </c>
    </row>
    <row r="1572" ht="30" customHeight="1" spans="1:4">
      <c r="A1572" s="27" t="s">
        <v>17928</v>
      </c>
      <c r="B1572" s="5" t="s">
        <v>17929</v>
      </c>
      <c r="C1572" s="27" t="s">
        <v>9</v>
      </c>
      <c r="D1572" s="28">
        <v>1201.3304</v>
      </c>
    </row>
    <row r="1573" ht="30" customHeight="1" spans="1:4">
      <c r="A1573" s="27" t="s">
        <v>17930</v>
      </c>
      <c r="B1573" s="5" t="s">
        <v>17931</v>
      </c>
      <c r="C1573" s="27" t="s">
        <v>9</v>
      </c>
      <c r="D1573" s="28">
        <v>4364.6796</v>
      </c>
    </row>
    <row r="1574" ht="30" customHeight="1" spans="1:4">
      <c r="A1574" s="27" t="s">
        <v>17932</v>
      </c>
      <c r="B1574" s="5" t="s">
        <v>17933</v>
      </c>
      <c r="C1574" s="27" t="s">
        <v>9</v>
      </c>
      <c r="D1574" s="28">
        <v>318.0694</v>
      </c>
    </row>
    <row r="1575" ht="30" customHeight="1" spans="1:4">
      <c r="A1575" s="27" t="s">
        <v>17934</v>
      </c>
      <c r="B1575" s="5" t="s">
        <v>17935</v>
      </c>
      <c r="C1575" s="27" t="s">
        <v>9</v>
      </c>
      <c r="D1575" s="28">
        <v>337.4816</v>
      </c>
    </row>
    <row r="1576" ht="30" customHeight="1" spans="1:4">
      <c r="A1576" s="27" t="s">
        <v>17936</v>
      </c>
      <c r="B1576" s="5" t="s">
        <v>17937</v>
      </c>
      <c r="C1576" s="27" t="s">
        <v>9</v>
      </c>
      <c r="D1576" s="28">
        <v>299.4899</v>
      </c>
    </row>
    <row r="1577" ht="30" customHeight="1" spans="1:4">
      <c r="A1577" s="27" t="s">
        <v>17938</v>
      </c>
      <c r="B1577" s="5" t="s">
        <v>17939</v>
      </c>
      <c r="C1577" s="27" t="s">
        <v>9</v>
      </c>
      <c r="D1577" s="28">
        <v>495.2072</v>
      </c>
    </row>
    <row r="1578" ht="30" customHeight="1" spans="1:4">
      <c r="A1578" s="27" t="s">
        <v>17940</v>
      </c>
      <c r="B1578" s="5" t="s">
        <v>17941</v>
      </c>
      <c r="C1578" s="27" t="s">
        <v>9</v>
      </c>
      <c r="D1578" s="28">
        <v>1336.4335</v>
      </c>
    </row>
    <row r="1579" ht="30" customHeight="1" spans="1:4">
      <c r="A1579" s="27" t="s">
        <v>17942</v>
      </c>
      <c r="B1579" s="5" t="s">
        <v>17943</v>
      </c>
      <c r="C1579" s="27" t="s">
        <v>9</v>
      </c>
      <c r="D1579" s="28">
        <v>2268.4608</v>
      </c>
    </row>
    <row r="1580" ht="30" customHeight="1" spans="1:4">
      <c r="A1580" s="27" t="s">
        <v>17944</v>
      </c>
      <c r="B1580" s="5" t="s">
        <v>17945</v>
      </c>
      <c r="C1580" s="27" t="s">
        <v>9</v>
      </c>
      <c r="D1580" s="28">
        <v>758.2202</v>
      </c>
    </row>
    <row r="1581" ht="30" customHeight="1" spans="1:4">
      <c r="A1581" s="27" t="s">
        <v>17946</v>
      </c>
      <c r="B1581" s="5" t="s">
        <v>17947</v>
      </c>
      <c r="C1581" s="27" t="s">
        <v>9</v>
      </c>
      <c r="D1581" s="28">
        <v>924.3025</v>
      </c>
    </row>
    <row r="1582" ht="30" customHeight="1" spans="1:4">
      <c r="A1582" s="27" t="s">
        <v>17948</v>
      </c>
      <c r="B1582" s="5" t="s">
        <v>17949</v>
      </c>
      <c r="C1582" s="27" t="s">
        <v>9</v>
      </c>
      <c r="D1582" s="28">
        <v>1184.9279</v>
      </c>
    </row>
    <row r="1583" ht="30" customHeight="1" spans="1:4">
      <c r="A1583" s="27" t="s">
        <v>17950</v>
      </c>
      <c r="B1583" s="5" t="s">
        <v>17951</v>
      </c>
      <c r="C1583" s="27" t="s">
        <v>9</v>
      </c>
      <c r="D1583" s="28">
        <v>1026.4198</v>
      </c>
    </row>
    <row r="1584" ht="30" customHeight="1" spans="1:4">
      <c r="A1584" s="27" t="s">
        <v>17952</v>
      </c>
      <c r="B1584" s="5" t="s">
        <v>17953</v>
      </c>
      <c r="C1584" s="27" t="s">
        <v>9</v>
      </c>
      <c r="D1584" s="28">
        <v>1678.239</v>
      </c>
    </row>
    <row r="1585" ht="30" customHeight="1" spans="1:4">
      <c r="A1585" s="27" t="s">
        <v>17954</v>
      </c>
      <c r="B1585" s="5" t="s">
        <v>17955</v>
      </c>
      <c r="C1585" s="27" t="s">
        <v>9</v>
      </c>
      <c r="D1585" s="28">
        <v>2093.7107</v>
      </c>
    </row>
    <row r="1586" ht="30" customHeight="1" spans="1:4">
      <c r="A1586" s="27" t="s">
        <v>17956</v>
      </c>
      <c r="B1586" s="5" t="s">
        <v>17957</v>
      </c>
      <c r="C1586" s="27" t="s">
        <v>9</v>
      </c>
      <c r="D1586" s="28">
        <v>2744.4264</v>
      </c>
    </row>
    <row r="1587" ht="15.75" customHeight="1" spans="1:4">
      <c r="A1587" s="27" t="s">
        <v>15628</v>
      </c>
      <c r="B1587" s="5" t="s">
        <v>17958</v>
      </c>
      <c r="C1587" s="27" t="s">
        <v>7</v>
      </c>
      <c r="D1587" s="28">
        <v>1935.78</v>
      </c>
    </row>
    <row r="1588" ht="15.75" customHeight="1" spans="1:4">
      <c r="A1588" s="27" t="s">
        <v>15629</v>
      </c>
      <c r="B1588" s="5" t="s">
        <v>17959</v>
      </c>
      <c r="C1588" s="27" t="s">
        <v>9885</v>
      </c>
      <c r="D1588" s="28" t="s">
        <v>14799</v>
      </c>
    </row>
    <row r="1589" ht="15.75" customHeight="1" spans="1:4">
      <c r="A1589" s="27" t="s">
        <v>15630</v>
      </c>
      <c r="B1589" s="5" t="s">
        <v>17960</v>
      </c>
      <c r="C1589" s="27" t="s">
        <v>9885</v>
      </c>
      <c r="D1589" s="28" t="s">
        <v>14799</v>
      </c>
    </row>
    <row r="1590" ht="15.75" customHeight="1" spans="1:4">
      <c r="A1590" s="27" t="s">
        <v>15631</v>
      </c>
      <c r="B1590" s="5" t="s">
        <v>17961</v>
      </c>
      <c r="C1590" s="27" t="s">
        <v>9885</v>
      </c>
      <c r="D1590" s="28" t="s">
        <v>14799</v>
      </c>
    </row>
    <row r="1591" ht="15.75" customHeight="1" spans="1:4">
      <c r="A1591" s="27" t="s">
        <v>15632</v>
      </c>
      <c r="B1591" s="5" t="s">
        <v>17962</v>
      </c>
      <c r="C1591" s="27" t="s">
        <v>9885</v>
      </c>
      <c r="D1591" s="28" t="s">
        <v>14799</v>
      </c>
    </row>
    <row r="1592" ht="15.75" customHeight="1" spans="1:4">
      <c r="A1592" s="27" t="s">
        <v>15633</v>
      </c>
      <c r="B1592" s="5" t="s">
        <v>17963</v>
      </c>
      <c r="C1592" s="27" t="s">
        <v>9885</v>
      </c>
      <c r="D1592" s="28" t="s">
        <v>14799</v>
      </c>
    </row>
    <row r="1593" ht="15.75" customHeight="1" spans="1:4">
      <c r="A1593" s="27" t="s">
        <v>15634</v>
      </c>
      <c r="B1593" s="5" t="s">
        <v>17964</v>
      </c>
      <c r="C1593" s="27" t="s">
        <v>9885</v>
      </c>
      <c r="D1593" s="28" t="s">
        <v>14799</v>
      </c>
    </row>
    <row r="1594" ht="15.75" customHeight="1" spans="1:4">
      <c r="A1594" s="27" t="s">
        <v>15635</v>
      </c>
      <c r="B1594" s="5" t="s">
        <v>17965</v>
      </c>
      <c r="C1594" s="27" t="s">
        <v>82</v>
      </c>
      <c r="D1594" s="28" t="s">
        <v>14799</v>
      </c>
    </row>
    <row r="1595" ht="15.75" customHeight="1" spans="1:4">
      <c r="A1595" s="27" t="s">
        <v>15636</v>
      </c>
      <c r="B1595" s="5" t="s">
        <v>17966</v>
      </c>
      <c r="C1595" s="27" t="s">
        <v>82</v>
      </c>
      <c r="D1595" s="28" t="s">
        <v>14799</v>
      </c>
    </row>
    <row r="1596" ht="15.75" customHeight="1" spans="1:4">
      <c r="A1596" s="27" t="s">
        <v>15637</v>
      </c>
      <c r="B1596" s="5" t="s">
        <v>17967</v>
      </c>
      <c r="C1596" s="27" t="s">
        <v>82</v>
      </c>
      <c r="D1596" s="28" t="s">
        <v>14799</v>
      </c>
    </row>
    <row r="1597" ht="15.75" customHeight="1" spans="1:4">
      <c r="A1597" s="27" t="s">
        <v>15638</v>
      </c>
      <c r="B1597" s="5" t="s">
        <v>17968</v>
      </c>
      <c r="C1597" s="27" t="s">
        <v>82</v>
      </c>
      <c r="D1597" s="28" t="s">
        <v>14799</v>
      </c>
    </row>
    <row r="1598" ht="15.75" customHeight="1" spans="1:4">
      <c r="A1598" s="27" t="s">
        <v>15639</v>
      </c>
      <c r="B1598" s="5" t="s">
        <v>17969</v>
      </c>
      <c r="C1598" s="27" t="s">
        <v>82</v>
      </c>
      <c r="D1598" s="28" t="s">
        <v>14799</v>
      </c>
    </row>
    <row r="1599" ht="15.75" customHeight="1" spans="1:4">
      <c r="A1599" s="27" t="s">
        <v>15640</v>
      </c>
      <c r="B1599" s="5" t="s">
        <v>17970</v>
      </c>
      <c r="C1599" s="27" t="s">
        <v>9885</v>
      </c>
      <c r="D1599" s="28" t="s">
        <v>14799</v>
      </c>
    </row>
    <row r="1600" ht="15.75" customHeight="1" spans="1:4">
      <c r="A1600" s="27" t="s">
        <v>17971</v>
      </c>
      <c r="B1600" s="5" t="s">
        <v>17972</v>
      </c>
      <c r="C1600" s="27" t="s">
        <v>82</v>
      </c>
      <c r="D1600" s="28">
        <v>22.9382</v>
      </c>
    </row>
    <row r="1601" ht="15.75" customHeight="1" spans="1:4">
      <c r="A1601" s="27" t="s">
        <v>17973</v>
      </c>
      <c r="B1601" s="5" t="s">
        <v>17974</v>
      </c>
      <c r="C1601" s="27" t="s">
        <v>82</v>
      </c>
      <c r="D1601" s="28">
        <v>27.6562</v>
      </c>
    </row>
    <row r="1602" ht="15.75" customHeight="1" spans="1:4">
      <c r="A1602" s="27" t="s">
        <v>17975</v>
      </c>
      <c r="B1602" s="5" t="s">
        <v>17976</v>
      </c>
      <c r="C1602" s="27" t="s">
        <v>82</v>
      </c>
      <c r="D1602" s="28">
        <v>29.2433</v>
      </c>
    </row>
    <row r="1603" ht="15.75" customHeight="1" spans="1:4">
      <c r="A1603" s="27" t="s">
        <v>17977</v>
      </c>
      <c r="B1603" s="5" t="s">
        <v>17978</v>
      </c>
      <c r="C1603" s="27" t="s">
        <v>82</v>
      </c>
      <c r="D1603" s="28">
        <v>30.1285</v>
      </c>
    </row>
    <row r="1604" ht="15.75" customHeight="1" spans="1:4">
      <c r="A1604" s="27" t="s">
        <v>17979</v>
      </c>
      <c r="B1604" s="5" t="s">
        <v>17980</v>
      </c>
      <c r="C1604" s="27" t="s">
        <v>82</v>
      </c>
      <c r="D1604" s="28">
        <v>23.275</v>
      </c>
    </row>
    <row r="1605" ht="15.75" customHeight="1" spans="1:4">
      <c r="A1605" s="27" t="s">
        <v>17981</v>
      </c>
      <c r="B1605" s="5" t="s">
        <v>17982</v>
      </c>
      <c r="C1605" s="27" t="s">
        <v>82</v>
      </c>
      <c r="D1605" s="28">
        <v>25.897</v>
      </c>
    </row>
    <row r="1606" ht="15.75" customHeight="1" spans="1:4">
      <c r="A1606" s="27" t="s">
        <v>17983</v>
      </c>
      <c r="B1606" s="5" t="s">
        <v>17984</v>
      </c>
      <c r="C1606" s="27" t="s">
        <v>82</v>
      </c>
      <c r="D1606" s="28">
        <v>27.0003</v>
      </c>
    </row>
    <row r="1607" ht="15.75" customHeight="1" spans="1:4">
      <c r="A1607" s="27" t="s">
        <v>17985</v>
      </c>
      <c r="B1607" s="5" t="s">
        <v>17986</v>
      </c>
      <c r="C1607" s="27" t="s">
        <v>82</v>
      </c>
      <c r="D1607" s="28">
        <v>31.4637</v>
      </c>
    </row>
    <row r="1608" ht="15.75" customHeight="1" spans="1:4">
      <c r="A1608" s="27" t="s">
        <v>17987</v>
      </c>
      <c r="B1608" s="5" t="s">
        <v>17988</v>
      </c>
      <c r="C1608" s="27" t="s">
        <v>82</v>
      </c>
      <c r="D1608" s="28">
        <v>18.5751</v>
      </c>
    </row>
    <row r="1609" ht="15.75" customHeight="1" spans="1:4">
      <c r="A1609" s="27" t="s">
        <v>17989</v>
      </c>
      <c r="B1609" s="5" t="s">
        <v>17990</v>
      </c>
      <c r="C1609" s="27" t="s">
        <v>82</v>
      </c>
      <c r="D1609" s="28">
        <v>23.1388</v>
      </c>
    </row>
    <row r="1610" ht="15.75" customHeight="1" spans="1:4">
      <c r="A1610" s="27" t="s">
        <v>17991</v>
      </c>
      <c r="B1610" s="5" t="s">
        <v>17992</v>
      </c>
      <c r="C1610" s="27" t="s">
        <v>82</v>
      </c>
      <c r="D1610" s="28">
        <v>24.1217</v>
      </c>
    </row>
    <row r="1611" ht="15.75" customHeight="1" spans="1:4">
      <c r="A1611" s="27" t="s">
        <v>17993</v>
      </c>
      <c r="B1611" s="5" t="s">
        <v>17994</v>
      </c>
      <c r="C1611" s="27" t="s">
        <v>82</v>
      </c>
      <c r="D1611" s="28">
        <v>30.912</v>
      </c>
    </row>
    <row r="1612" ht="15.75" customHeight="1" spans="1:4">
      <c r="A1612" s="27" t="s">
        <v>17995</v>
      </c>
      <c r="B1612" s="5" t="s">
        <v>17996</v>
      </c>
      <c r="C1612" s="27" t="s">
        <v>82</v>
      </c>
      <c r="D1612" s="28">
        <v>18.7256</v>
      </c>
    </row>
    <row r="1613" ht="15.75" customHeight="1" spans="1:4">
      <c r="A1613" s="27" t="s">
        <v>17997</v>
      </c>
      <c r="B1613" s="5" t="s">
        <v>17998</v>
      </c>
      <c r="C1613" s="27" t="s">
        <v>82</v>
      </c>
      <c r="D1613" s="28">
        <v>22.5871</v>
      </c>
    </row>
    <row r="1614" ht="15.75" customHeight="1" spans="1:4">
      <c r="A1614" s="27" t="s">
        <v>17999</v>
      </c>
      <c r="B1614" s="5" t="s">
        <v>18000</v>
      </c>
      <c r="C1614" s="27" t="s">
        <v>82</v>
      </c>
      <c r="D1614" s="28">
        <v>23.1388</v>
      </c>
    </row>
    <row r="1615" ht="15.75" customHeight="1" spans="1:4">
      <c r="A1615" s="27" t="s">
        <v>18001</v>
      </c>
      <c r="B1615" s="5" t="s">
        <v>18002</v>
      </c>
      <c r="C1615" s="27" t="s">
        <v>82</v>
      </c>
      <c r="D1615" s="28">
        <v>30.2801</v>
      </c>
    </row>
    <row r="1616" ht="15.75" customHeight="1" spans="1:4">
      <c r="A1616" s="27" t="s">
        <v>18003</v>
      </c>
      <c r="B1616" s="5" t="s">
        <v>18004</v>
      </c>
      <c r="C1616" s="27" t="s">
        <v>82</v>
      </c>
      <c r="D1616" s="28">
        <v>34.0033</v>
      </c>
    </row>
    <row r="1617" ht="15.75" customHeight="1" spans="1:4">
      <c r="A1617" s="27" t="s">
        <v>18005</v>
      </c>
      <c r="B1617" s="5" t="s">
        <v>18006</v>
      </c>
      <c r="C1617" s="27" t="s">
        <v>82</v>
      </c>
      <c r="D1617" s="28">
        <v>40.5533</v>
      </c>
    </row>
    <row r="1618" ht="15.75" customHeight="1" spans="1:4">
      <c r="A1618" s="27" t="s">
        <v>18007</v>
      </c>
      <c r="B1618" s="5" t="s">
        <v>18008</v>
      </c>
      <c r="C1618" s="27" t="s">
        <v>82</v>
      </c>
      <c r="D1618" s="28">
        <v>45.0255</v>
      </c>
    </row>
    <row r="1619" ht="15.75" customHeight="1" spans="1:4">
      <c r="A1619" s="27" t="s">
        <v>18009</v>
      </c>
      <c r="B1619" s="5" t="s">
        <v>18010</v>
      </c>
      <c r="C1619" s="27" t="s">
        <v>82</v>
      </c>
      <c r="D1619" s="28">
        <v>47.93</v>
      </c>
    </row>
    <row r="1620" ht="15.75" customHeight="1" spans="1:4">
      <c r="A1620" s="27" t="s">
        <v>18011</v>
      </c>
      <c r="B1620" s="5" t="s">
        <v>18012</v>
      </c>
      <c r="C1620" s="27" t="s">
        <v>82</v>
      </c>
      <c r="D1620" s="28">
        <v>31.7916</v>
      </c>
    </row>
    <row r="1621" ht="15.75" customHeight="1" spans="1:4">
      <c r="A1621" s="27" t="s">
        <v>18013</v>
      </c>
      <c r="B1621" s="5" t="s">
        <v>18014</v>
      </c>
      <c r="C1621" s="27" t="s">
        <v>82</v>
      </c>
      <c r="D1621" s="28">
        <v>39.9512</v>
      </c>
    </row>
    <row r="1622" ht="15.75" customHeight="1" spans="1:4">
      <c r="A1622" s="27" t="s">
        <v>18015</v>
      </c>
      <c r="B1622" s="5" t="s">
        <v>18016</v>
      </c>
      <c r="C1622" s="27" t="s">
        <v>82</v>
      </c>
      <c r="D1622" s="28">
        <v>44.2945</v>
      </c>
    </row>
    <row r="1623" ht="15.75" customHeight="1" spans="1:4">
      <c r="A1623" s="27" t="s">
        <v>18017</v>
      </c>
      <c r="B1623" s="5" t="s">
        <v>18018</v>
      </c>
      <c r="C1623" s="27" t="s">
        <v>82</v>
      </c>
      <c r="D1623" s="28">
        <v>47.2429</v>
      </c>
    </row>
    <row r="1624" ht="15.75" customHeight="1" spans="1:4">
      <c r="A1624" s="27" t="s">
        <v>18019</v>
      </c>
      <c r="B1624" s="5" t="s">
        <v>18020</v>
      </c>
      <c r="C1624" s="27" t="s">
        <v>82</v>
      </c>
      <c r="D1624" s="28">
        <v>32.4687</v>
      </c>
    </row>
    <row r="1625" ht="15.75" customHeight="1" spans="1:4">
      <c r="A1625" s="27" t="s">
        <v>18021</v>
      </c>
      <c r="B1625" s="5" t="s">
        <v>18022</v>
      </c>
      <c r="C1625" s="27" t="s">
        <v>82</v>
      </c>
      <c r="D1625" s="28">
        <v>40.924</v>
      </c>
    </row>
    <row r="1626" ht="15.75" customHeight="1" spans="1:4">
      <c r="A1626" s="27" t="s">
        <v>18023</v>
      </c>
      <c r="B1626" s="5" t="s">
        <v>18024</v>
      </c>
      <c r="C1626" s="27" t="s">
        <v>82</v>
      </c>
      <c r="D1626" s="28">
        <v>43.8742</v>
      </c>
    </row>
    <row r="1627" ht="15.75" customHeight="1" spans="1:4">
      <c r="A1627" s="27" t="s">
        <v>18025</v>
      </c>
      <c r="B1627" s="5" t="s">
        <v>18026</v>
      </c>
      <c r="C1627" s="27" t="s">
        <v>82</v>
      </c>
      <c r="D1627" s="28">
        <v>46.3753</v>
      </c>
    </row>
    <row r="1628" ht="15.75" customHeight="1" spans="1:4">
      <c r="A1628" s="27" t="s">
        <v>18027</v>
      </c>
      <c r="B1628" s="5" t="s">
        <v>18028</v>
      </c>
      <c r="C1628" s="27" t="s">
        <v>82</v>
      </c>
      <c r="D1628" s="28">
        <v>31.8468</v>
      </c>
    </row>
    <row r="1629" ht="15.75" customHeight="1" spans="1:4">
      <c r="A1629" s="27" t="s">
        <v>18029</v>
      </c>
      <c r="B1629" s="5" t="s">
        <v>18030</v>
      </c>
      <c r="C1629" s="27" t="s">
        <v>82</v>
      </c>
      <c r="D1629" s="28">
        <v>40.1817</v>
      </c>
    </row>
    <row r="1630" ht="15.75" customHeight="1" spans="1:4">
      <c r="A1630" s="27" t="s">
        <v>18031</v>
      </c>
      <c r="B1630" s="5" t="s">
        <v>18032</v>
      </c>
      <c r="C1630" s="27" t="s">
        <v>82</v>
      </c>
      <c r="D1630" s="28">
        <v>42.9749</v>
      </c>
    </row>
    <row r="1631" ht="15.75" customHeight="1" spans="1:4">
      <c r="A1631" s="27" t="s">
        <v>18033</v>
      </c>
      <c r="B1631" s="5" t="s">
        <v>18034</v>
      </c>
      <c r="C1631" s="27" t="s">
        <v>82</v>
      </c>
      <c r="D1631" s="28">
        <v>45.7384</v>
      </c>
    </row>
    <row r="1632" ht="15.75" customHeight="1" spans="1:4">
      <c r="A1632" s="27" t="s">
        <v>18035</v>
      </c>
      <c r="B1632" s="5" t="s">
        <v>18036</v>
      </c>
      <c r="C1632" s="27" t="s">
        <v>82</v>
      </c>
      <c r="D1632" s="28">
        <v>27.5609</v>
      </c>
    </row>
    <row r="1633" ht="15.75" customHeight="1" spans="1:4">
      <c r="A1633" s="27" t="s">
        <v>18037</v>
      </c>
      <c r="B1633" s="5" t="s">
        <v>18038</v>
      </c>
      <c r="C1633" s="27" t="s">
        <v>82</v>
      </c>
      <c r="D1633" s="28">
        <v>24.7768</v>
      </c>
    </row>
    <row r="1634" ht="15.75" customHeight="1" spans="1:4">
      <c r="A1634" s="27" t="s">
        <v>18039</v>
      </c>
      <c r="B1634" s="5" t="s">
        <v>18040</v>
      </c>
      <c r="C1634" s="27" t="s">
        <v>82</v>
      </c>
      <c r="D1634" s="28">
        <v>62.6867</v>
      </c>
    </row>
    <row r="1635" ht="15.75" customHeight="1" spans="1:4">
      <c r="A1635" s="27" t="s">
        <v>18041</v>
      </c>
      <c r="B1635" s="5" t="s">
        <v>18042</v>
      </c>
      <c r="C1635" s="27" t="s">
        <v>82</v>
      </c>
      <c r="D1635" s="28">
        <v>24.7124</v>
      </c>
    </row>
    <row r="1636" ht="15.75" customHeight="1" spans="1:4">
      <c r="A1636" s="27" t="s">
        <v>18043</v>
      </c>
      <c r="B1636" s="5" t="s">
        <v>18044</v>
      </c>
      <c r="C1636" s="27" t="s">
        <v>82</v>
      </c>
      <c r="D1636" s="28">
        <v>22.708</v>
      </c>
    </row>
    <row r="1637" ht="15.75" customHeight="1" spans="1:4">
      <c r="A1637" s="27" t="s">
        <v>18045</v>
      </c>
      <c r="B1637" s="5" t="s">
        <v>18046</v>
      </c>
      <c r="C1637" s="27" t="s">
        <v>82</v>
      </c>
      <c r="D1637" s="28">
        <v>61.9425</v>
      </c>
    </row>
    <row r="1638" ht="15.75" customHeight="1" spans="1:4">
      <c r="A1638" s="27" t="s">
        <v>18047</v>
      </c>
      <c r="B1638" s="5" t="s">
        <v>18048</v>
      </c>
      <c r="C1638" s="27" t="s">
        <v>82</v>
      </c>
      <c r="D1638" s="28">
        <v>22.1146</v>
      </c>
    </row>
    <row r="1639" ht="15.75" customHeight="1" spans="1:4">
      <c r="A1639" s="27" t="s">
        <v>18049</v>
      </c>
      <c r="B1639" s="5" t="s">
        <v>18050</v>
      </c>
      <c r="C1639" s="27" t="s">
        <v>82</v>
      </c>
      <c r="D1639" s="28">
        <v>21.3624</v>
      </c>
    </row>
    <row r="1640" ht="15.75" customHeight="1" spans="1:4">
      <c r="A1640" s="27" t="s">
        <v>18051</v>
      </c>
      <c r="B1640" s="5" t="s">
        <v>18052</v>
      </c>
      <c r="C1640" s="27" t="s">
        <v>82</v>
      </c>
      <c r="D1640" s="28">
        <v>55.6939</v>
      </c>
    </row>
    <row r="1641" ht="15.75" customHeight="1" spans="1:4">
      <c r="A1641" s="27" t="s">
        <v>18053</v>
      </c>
      <c r="B1641" s="5" t="s">
        <v>18054</v>
      </c>
      <c r="C1641" s="27" t="s">
        <v>82</v>
      </c>
      <c r="D1641" s="28">
        <v>18.2731</v>
      </c>
    </row>
    <row r="1642" ht="15.75" customHeight="1" spans="1:4">
      <c r="A1642" s="27" t="s">
        <v>18055</v>
      </c>
      <c r="B1642" s="5" t="s">
        <v>18056</v>
      </c>
      <c r="C1642" s="27" t="s">
        <v>82</v>
      </c>
      <c r="D1642" s="28">
        <v>17.8819</v>
      </c>
    </row>
    <row r="1643" ht="15.75" customHeight="1" spans="1:4">
      <c r="A1643" s="27" t="s">
        <v>18057</v>
      </c>
      <c r="B1643" s="5" t="s">
        <v>18058</v>
      </c>
      <c r="C1643" s="27" t="s">
        <v>82</v>
      </c>
      <c r="D1643" s="28">
        <v>55.5605</v>
      </c>
    </row>
    <row r="1644" ht="15.75" customHeight="1" spans="1:4">
      <c r="A1644" s="27" t="s">
        <v>18059</v>
      </c>
      <c r="B1644" s="5" t="s">
        <v>18060</v>
      </c>
      <c r="C1644" s="27" t="s">
        <v>82</v>
      </c>
      <c r="D1644" s="28">
        <v>64.2675</v>
      </c>
    </row>
    <row r="1645" ht="15.75" customHeight="1" spans="1:4">
      <c r="A1645" s="27" t="s">
        <v>18061</v>
      </c>
      <c r="B1645" s="5" t="s">
        <v>18062</v>
      </c>
      <c r="C1645" s="27" t="s">
        <v>82</v>
      </c>
      <c r="D1645" s="28">
        <v>62.0136</v>
      </c>
    </row>
    <row r="1646" ht="15.75" customHeight="1" spans="1:4">
      <c r="A1646" s="27" t="s">
        <v>18063</v>
      </c>
      <c r="B1646" s="5" t="s">
        <v>18064</v>
      </c>
      <c r="C1646" s="27" t="s">
        <v>82</v>
      </c>
      <c r="D1646" s="28">
        <v>59.7401</v>
      </c>
    </row>
    <row r="1647" ht="15.75" customHeight="1" spans="1:4">
      <c r="A1647" s="27" t="s">
        <v>18065</v>
      </c>
      <c r="B1647" s="5" t="s">
        <v>18066</v>
      </c>
      <c r="C1647" s="27" t="s">
        <v>82</v>
      </c>
      <c r="D1647" s="28">
        <v>57.2607</v>
      </c>
    </row>
    <row r="1648" ht="15.75" customHeight="1" spans="1:4">
      <c r="A1648" s="27" t="s">
        <v>15641</v>
      </c>
      <c r="B1648" s="5" t="s">
        <v>18067</v>
      </c>
      <c r="C1648" s="27" t="s">
        <v>9885</v>
      </c>
      <c r="D1648" s="28" t="s">
        <v>14799</v>
      </c>
    </row>
    <row r="1649" ht="15.75" customHeight="1" spans="1:4">
      <c r="A1649" s="27" t="s">
        <v>15642</v>
      </c>
      <c r="B1649" s="5" t="s">
        <v>18068</v>
      </c>
      <c r="C1649" s="27" t="s">
        <v>82</v>
      </c>
      <c r="D1649" s="28">
        <v>18500</v>
      </c>
    </row>
    <row r="1650" ht="15.75" customHeight="1" spans="1:4">
      <c r="A1650" s="27" t="s">
        <v>15643</v>
      </c>
      <c r="B1650" s="5" t="s">
        <v>18069</v>
      </c>
      <c r="C1650" s="27" t="s">
        <v>82</v>
      </c>
      <c r="D1650" s="28">
        <v>24478.3489</v>
      </c>
    </row>
    <row r="1651" ht="15.75" customHeight="1" spans="1:4">
      <c r="A1651" s="27" t="s">
        <v>15644</v>
      </c>
      <c r="B1651" s="5" t="s">
        <v>18070</v>
      </c>
      <c r="C1651" s="27" t="s">
        <v>82</v>
      </c>
      <c r="D1651" s="28">
        <v>32074.11</v>
      </c>
    </row>
    <row r="1652" ht="15.75" customHeight="1" spans="1:4">
      <c r="A1652" s="27" t="s">
        <v>15645</v>
      </c>
      <c r="B1652" s="5" t="s">
        <v>18071</v>
      </c>
      <c r="C1652" s="27" t="s">
        <v>82</v>
      </c>
      <c r="D1652" s="28">
        <v>48320.2312</v>
      </c>
    </row>
    <row r="1653" ht="15.75" customHeight="1" spans="1:4">
      <c r="A1653" s="27" t="s">
        <v>15646</v>
      </c>
      <c r="B1653" s="5" t="s">
        <v>18072</v>
      </c>
      <c r="C1653" s="27" t="s">
        <v>82</v>
      </c>
      <c r="D1653" s="28" t="s">
        <v>14799</v>
      </c>
    </row>
    <row r="1654" ht="15.75" customHeight="1" spans="1:4">
      <c r="A1654" s="27" t="s">
        <v>15647</v>
      </c>
      <c r="B1654" s="5" t="s">
        <v>18073</v>
      </c>
      <c r="C1654" s="27" t="s">
        <v>82</v>
      </c>
      <c r="D1654" s="28" t="s">
        <v>14799</v>
      </c>
    </row>
    <row r="1655" ht="15.75" customHeight="1" spans="1:4">
      <c r="A1655" s="27" t="s">
        <v>15648</v>
      </c>
      <c r="B1655" s="5" t="s">
        <v>18074</v>
      </c>
      <c r="C1655" s="27" t="s">
        <v>82</v>
      </c>
      <c r="D1655" s="28" t="s">
        <v>14799</v>
      </c>
    </row>
    <row r="1656" ht="15.75" customHeight="1" spans="1:4">
      <c r="A1656" s="27" t="s">
        <v>15649</v>
      </c>
      <c r="B1656" s="5" t="s">
        <v>18075</v>
      </c>
      <c r="C1656" s="27" t="s">
        <v>82</v>
      </c>
      <c r="D1656" s="28" t="s">
        <v>14799</v>
      </c>
    </row>
    <row r="1657" ht="15.75" customHeight="1" spans="1:4">
      <c r="A1657" s="27" t="s">
        <v>15650</v>
      </c>
      <c r="B1657" s="5" t="s">
        <v>18076</v>
      </c>
      <c r="C1657" s="27" t="s">
        <v>82</v>
      </c>
      <c r="D1657" s="28">
        <v>64.3884</v>
      </c>
    </row>
    <row r="1658" ht="15.75" customHeight="1" spans="1:4">
      <c r="A1658" s="27" t="s">
        <v>15651</v>
      </c>
      <c r="B1658" s="5" t="s">
        <v>18077</v>
      </c>
      <c r="C1658" s="27" t="s">
        <v>82</v>
      </c>
      <c r="D1658" s="28">
        <v>62.3623</v>
      </c>
    </row>
    <row r="1659" ht="15.75" customHeight="1" spans="1:4">
      <c r="A1659" s="27" t="s">
        <v>15652</v>
      </c>
      <c r="B1659" s="5" t="s">
        <v>18078</v>
      </c>
      <c r="C1659" s="27" t="s">
        <v>82</v>
      </c>
      <c r="D1659" s="28">
        <v>166.6527</v>
      </c>
    </row>
    <row r="1660" ht="15.75" customHeight="1" spans="1:4">
      <c r="A1660" s="27" t="s">
        <v>15653</v>
      </c>
      <c r="B1660" s="5" t="s">
        <v>18079</v>
      </c>
      <c r="C1660" s="27" t="s">
        <v>82</v>
      </c>
      <c r="D1660" s="28">
        <v>271.6938</v>
      </c>
    </row>
    <row r="1661" ht="15.75" customHeight="1" spans="1:4">
      <c r="A1661" s="27" t="s">
        <v>15654</v>
      </c>
      <c r="B1661" s="5" t="s">
        <v>18080</v>
      </c>
      <c r="C1661" s="27" t="s">
        <v>82</v>
      </c>
      <c r="D1661" s="28">
        <v>76.0893</v>
      </c>
    </row>
    <row r="1662" ht="15.75" customHeight="1" spans="1:4">
      <c r="A1662" s="27" t="s">
        <v>15655</v>
      </c>
      <c r="B1662" s="5" t="s">
        <v>18081</v>
      </c>
      <c r="C1662" s="27" t="s">
        <v>82</v>
      </c>
      <c r="D1662" s="28">
        <v>173.0493</v>
      </c>
    </row>
    <row r="1663" ht="15.75" customHeight="1" spans="1:4">
      <c r="A1663" s="27" t="s">
        <v>15656</v>
      </c>
      <c r="B1663" s="5" t="s">
        <v>18082</v>
      </c>
      <c r="C1663" s="27" t="s">
        <v>82</v>
      </c>
      <c r="D1663" s="28">
        <v>4.7848</v>
      </c>
    </row>
    <row r="1664" ht="15.75" customHeight="1" spans="1:4">
      <c r="A1664" s="27" t="s">
        <v>15657</v>
      </c>
      <c r="B1664" s="5" t="s">
        <v>18083</v>
      </c>
      <c r="C1664" s="27" t="s">
        <v>82</v>
      </c>
      <c r="D1664" s="28">
        <v>1.6315</v>
      </c>
    </row>
    <row r="1665" ht="15.75" customHeight="1" spans="1:4">
      <c r="A1665" s="27" t="s">
        <v>15658</v>
      </c>
      <c r="B1665" s="5" t="s">
        <v>18084</v>
      </c>
      <c r="C1665" s="27" t="s">
        <v>82</v>
      </c>
      <c r="D1665" s="28">
        <v>0.6316</v>
      </c>
    </row>
    <row r="1666" ht="15.75" customHeight="1" spans="1:4">
      <c r="A1666" s="27" t="s">
        <v>15659</v>
      </c>
      <c r="B1666" s="5" t="s">
        <v>18085</v>
      </c>
      <c r="C1666" s="27" t="s">
        <v>82</v>
      </c>
      <c r="D1666" s="28">
        <v>397.9246</v>
      </c>
    </row>
    <row r="1667" ht="15.75" customHeight="1" spans="1:4">
      <c r="A1667" s="27" t="s">
        <v>15660</v>
      </c>
      <c r="B1667" s="5" t="s">
        <v>18086</v>
      </c>
      <c r="C1667" s="27" t="s">
        <v>82</v>
      </c>
      <c r="D1667" s="28">
        <v>1.3626</v>
      </c>
    </row>
    <row r="1668" ht="15.75" customHeight="1" spans="1:4">
      <c r="A1668" s="27" t="s">
        <v>15661</v>
      </c>
      <c r="B1668" s="5" t="s">
        <v>18087</v>
      </c>
      <c r="C1668" s="27" t="s">
        <v>14234</v>
      </c>
      <c r="D1668" s="28">
        <v>46.4925</v>
      </c>
    </row>
    <row r="1669" ht="15.75" customHeight="1" spans="1:4">
      <c r="A1669" s="27" t="s">
        <v>15662</v>
      </c>
      <c r="B1669" s="5" t="s">
        <v>18088</v>
      </c>
      <c r="C1669" s="27" t="s">
        <v>14234</v>
      </c>
      <c r="D1669" s="28">
        <v>99.7027</v>
      </c>
    </row>
    <row r="1670" ht="15.75" customHeight="1" spans="1:4">
      <c r="A1670" s="27" t="s">
        <v>15663</v>
      </c>
      <c r="B1670" s="5" t="s">
        <v>18089</v>
      </c>
      <c r="C1670" s="27" t="s">
        <v>14234</v>
      </c>
      <c r="D1670" s="28">
        <v>69.3103</v>
      </c>
    </row>
    <row r="1671" ht="15.75" customHeight="1" spans="1:4">
      <c r="A1671" s="27" t="s">
        <v>15664</v>
      </c>
      <c r="B1671" s="5" t="s">
        <v>18090</v>
      </c>
      <c r="C1671" s="27" t="s">
        <v>14234</v>
      </c>
      <c r="D1671" s="28">
        <v>115.6302</v>
      </c>
    </row>
    <row r="1672" ht="15.75" customHeight="1" spans="1:4">
      <c r="A1672" s="27" t="s">
        <v>15665</v>
      </c>
      <c r="B1672" s="5" t="s">
        <v>18091</v>
      </c>
      <c r="C1672" s="27" t="s">
        <v>14234</v>
      </c>
      <c r="D1672" s="28">
        <v>52.997</v>
      </c>
    </row>
    <row r="1673" ht="15.75" customHeight="1" spans="1:4">
      <c r="A1673" s="27" t="s">
        <v>15666</v>
      </c>
      <c r="B1673" s="5" t="s">
        <v>18092</v>
      </c>
      <c r="C1673" s="27" t="s">
        <v>14234</v>
      </c>
      <c r="D1673" s="28">
        <v>52.189</v>
      </c>
    </row>
    <row r="1674" ht="15.75" customHeight="1" spans="1:4">
      <c r="A1674" s="27" t="s">
        <v>15667</v>
      </c>
      <c r="B1674" s="5" t="s">
        <v>18093</v>
      </c>
      <c r="C1674" s="27" t="s">
        <v>82</v>
      </c>
      <c r="D1674" s="28">
        <v>3.7719</v>
      </c>
    </row>
    <row r="1675" ht="15.75" customHeight="1" spans="1:4">
      <c r="A1675" s="27" t="s">
        <v>15668</v>
      </c>
      <c r="B1675" s="5" t="s">
        <v>18094</v>
      </c>
      <c r="C1675" s="27" t="s">
        <v>82</v>
      </c>
      <c r="D1675" s="28">
        <v>3.2867</v>
      </c>
    </row>
    <row r="1676" ht="15.75" customHeight="1" spans="1:4">
      <c r="A1676" s="27" t="s">
        <v>15669</v>
      </c>
      <c r="B1676" s="5" t="s">
        <v>18095</v>
      </c>
      <c r="C1676" s="27" t="s">
        <v>9</v>
      </c>
      <c r="D1676" s="28">
        <v>74.2146</v>
      </c>
    </row>
    <row r="1677" ht="15.75" customHeight="1" spans="1:4">
      <c r="A1677" s="27" t="s">
        <v>15670</v>
      </c>
      <c r="B1677" s="5" t="s">
        <v>18096</v>
      </c>
      <c r="C1677" s="27" t="s">
        <v>9</v>
      </c>
      <c r="D1677" s="28">
        <v>121.9842</v>
      </c>
    </row>
    <row r="1678" ht="15.75" customHeight="1" spans="1:4">
      <c r="A1678" s="27" t="s">
        <v>15671</v>
      </c>
      <c r="B1678" s="5" t="s">
        <v>18097</v>
      </c>
      <c r="C1678" s="27" t="s">
        <v>101</v>
      </c>
      <c r="D1678" s="28">
        <v>33.216</v>
      </c>
    </row>
    <row r="1679" ht="15.75" customHeight="1" spans="1:4">
      <c r="A1679" s="27" t="s">
        <v>15672</v>
      </c>
      <c r="B1679" s="5" t="s">
        <v>18098</v>
      </c>
      <c r="C1679" s="27" t="s">
        <v>82</v>
      </c>
      <c r="D1679" s="28">
        <v>1.3102</v>
      </c>
    </row>
    <row r="1680" ht="15.75" customHeight="1" spans="1:4">
      <c r="A1680" s="27" t="s">
        <v>15673</v>
      </c>
      <c r="B1680" s="5" t="s">
        <v>18099</v>
      </c>
      <c r="C1680" s="27" t="s">
        <v>82</v>
      </c>
      <c r="D1680" s="28">
        <v>0.519</v>
      </c>
    </row>
    <row r="1681" ht="15.75" customHeight="1" spans="1:4">
      <c r="A1681" s="27" t="s">
        <v>15674</v>
      </c>
      <c r="B1681" s="5" t="s">
        <v>18100</v>
      </c>
      <c r="C1681" s="27" t="s">
        <v>82</v>
      </c>
      <c r="D1681" s="28">
        <v>0.1668</v>
      </c>
    </row>
    <row r="1682" ht="15.75" customHeight="1" spans="1:4">
      <c r="A1682" s="27" t="s">
        <v>15675</v>
      </c>
      <c r="B1682" s="5" t="s">
        <v>18101</v>
      </c>
      <c r="C1682" s="27" t="s">
        <v>82</v>
      </c>
      <c r="D1682" s="28">
        <v>0.1894</v>
      </c>
    </row>
    <row r="1683" ht="15.75" customHeight="1" spans="1:4">
      <c r="A1683" s="27" t="s">
        <v>15676</v>
      </c>
      <c r="B1683" s="5" t="s">
        <v>18102</v>
      </c>
      <c r="C1683" s="27" t="s">
        <v>82</v>
      </c>
      <c r="D1683" s="28">
        <v>4.2123</v>
      </c>
    </row>
    <row r="1684" ht="15.75" customHeight="1" spans="1:4">
      <c r="A1684" s="27" t="s">
        <v>15677</v>
      </c>
      <c r="B1684" s="5" t="s">
        <v>18103</v>
      </c>
      <c r="C1684" s="27" t="s">
        <v>9</v>
      </c>
      <c r="D1684" s="28">
        <v>38.9777</v>
      </c>
    </row>
    <row r="1685" ht="15.75" customHeight="1" spans="1:4">
      <c r="A1685" s="27" t="s">
        <v>18104</v>
      </c>
      <c r="B1685" s="5" t="s">
        <v>18105</v>
      </c>
      <c r="C1685" s="27" t="s">
        <v>82</v>
      </c>
      <c r="D1685" s="28">
        <v>25</v>
      </c>
    </row>
    <row r="1686" ht="15.75" customHeight="1" spans="1:4">
      <c r="A1686" s="27" t="s">
        <v>18106</v>
      </c>
      <c r="B1686" s="5" t="s">
        <v>18107</v>
      </c>
      <c r="C1686" s="27" t="s">
        <v>82</v>
      </c>
      <c r="D1686" s="28">
        <v>85</v>
      </c>
    </row>
    <row r="1687" ht="15.75" customHeight="1" spans="1:4">
      <c r="A1687" s="27" t="s">
        <v>18108</v>
      </c>
      <c r="B1687" s="5" t="s">
        <v>18109</v>
      </c>
      <c r="C1687" s="27" t="s">
        <v>82</v>
      </c>
      <c r="D1687" s="28">
        <v>25</v>
      </c>
    </row>
    <row r="1688" ht="15.75" customHeight="1" spans="1:4">
      <c r="A1688" s="27" t="s">
        <v>18110</v>
      </c>
      <c r="B1688" s="5" t="s">
        <v>18111</v>
      </c>
      <c r="C1688" s="27" t="s">
        <v>7</v>
      </c>
      <c r="D1688" s="28">
        <v>32.55</v>
      </c>
    </row>
    <row r="1689" ht="15.75" customHeight="1" spans="1:4">
      <c r="A1689" s="27" t="s">
        <v>18112</v>
      </c>
      <c r="B1689" s="5" t="s">
        <v>18113</v>
      </c>
      <c r="C1689" s="27" t="s">
        <v>14234</v>
      </c>
      <c r="D1689" s="28">
        <v>67.5488</v>
      </c>
    </row>
    <row r="1690" ht="15.75" customHeight="1" spans="1:4">
      <c r="A1690" s="27" t="s">
        <v>18114</v>
      </c>
      <c r="B1690" s="5" t="s">
        <v>18115</v>
      </c>
      <c r="C1690" s="27" t="s">
        <v>101</v>
      </c>
      <c r="D1690" s="28">
        <v>2.8231</v>
      </c>
    </row>
    <row r="1691" ht="15.75" customHeight="1" spans="1:4">
      <c r="A1691" s="27" t="s">
        <v>15678</v>
      </c>
      <c r="B1691" s="5" t="s">
        <v>18116</v>
      </c>
      <c r="C1691" s="27" t="s">
        <v>9</v>
      </c>
      <c r="D1691" s="28">
        <v>36.5179</v>
      </c>
    </row>
    <row r="1692" ht="15.75" customHeight="1" spans="1:4">
      <c r="A1692" s="27" t="s">
        <v>15679</v>
      </c>
      <c r="B1692" s="5" t="s">
        <v>18117</v>
      </c>
      <c r="C1692" s="27" t="s">
        <v>14234</v>
      </c>
      <c r="D1692" s="28">
        <v>16.6656</v>
      </c>
    </row>
    <row r="1693" ht="15.75" customHeight="1" spans="1:4">
      <c r="A1693" s="27" t="s">
        <v>18118</v>
      </c>
      <c r="B1693" s="5" t="s">
        <v>18119</v>
      </c>
      <c r="C1693" s="27" t="s">
        <v>82</v>
      </c>
      <c r="D1693" s="28">
        <v>21042.45</v>
      </c>
    </row>
    <row r="1694" ht="15.75" customHeight="1" spans="1:4">
      <c r="A1694" s="27" t="s">
        <v>15680</v>
      </c>
      <c r="B1694" s="5" t="s">
        <v>18120</v>
      </c>
      <c r="C1694" s="27" t="s">
        <v>101</v>
      </c>
      <c r="D1694" s="28">
        <v>19.3053</v>
      </c>
    </row>
  </sheetData>
  <pageMargins left="0.511811024" right="0.511811024" top="0.787401575" bottom="0.787401575" header="0.31496062" footer="0.31496062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80"/>
  <sheetViews>
    <sheetView workbookViewId="0">
      <selection activeCell="A40" sqref="$A40:$XFD40"/>
    </sheetView>
  </sheetViews>
  <sheetFormatPr defaultColWidth="12.2190476190476" defaultRowHeight="15" outlineLevelCol="5"/>
  <cols>
    <col min="1" max="1" width="11.7809523809524" customWidth="1"/>
    <col min="2" max="2" width="56.8857142857143" customWidth="1"/>
    <col min="3" max="3" width="11.7809523809524" customWidth="1"/>
    <col min="4" max="4" width="19" customWidth="1"/>
    <col min="5" max="5" width="21.8857142857143" customWidth="1"/>
    <col min="6" max="6" width="9.55238095238095" customWidth="1"/>
  </cols>
  <sheetData>
    <row r="1" ht="31.95" customHeight="1" spans="1:5">
      <c r="A1" s="16" t="s">
        <v>55</v>
      </c>
      <c r="B1" s="17" t="s">
        <v>56</v>
      </c>
      <c r="C1" s="17" t="s">
        <v>1123</v>
      </c>
      <c r="D1" s="18" t="s">
        <v>18121</v>
      </c>
      <c r="E1" s="19"/>
    </row>
    <row r="2" ht="16.2" customHeight="1" spans="1:5">
      <c r="A2" s="20" t="s">
        <v>937</v>
      </c>
      <c r="B2" s="21" t="s">
        <v>938</v>
      </c>
      <c r="C2" s="22" t="s">
        <v>104</v>
      </c>
      <c r="D2" s="23">
        <v>26.2149</v>
      </c>
      <c r="E2" s="19"/>
    </row>
    <row r="3" ht="16.2" customHeight="1" spans="1:5">
      <c r="A3" s="20" t="s">
        <v>15696</v>
      </c>
      <c r="B3" s="21" t="s">
        <v>18122</v>
      </c>
      <c r="C3" s="22" t="s">
        <v>104</v>
      </c>
      <c r="D3" s="23">
        <v>30.5371</v>
      </c>
      <c r="E3" s="19"/>
    </row>
    <row r="4" ht="16.2" customHeight="1" spans="1:5">
      <c r="A4" s="20" t="s">
        <v>15697</v>
      </c>
      <c r="B4" s="21" t="s">
        <v>18123</v>
      </c>
      <c r="C4" s="22" t="s">
        <v>146</v>
      </c>
      <c r="D4" s="23">
        <v>5588.1026</v>
      </c>
      <c r="E4" s="19"/>
    </row>
    <row r="5" ht="16.2" customHeight="1" spans="1:5">
      <c r="A5" s="20" t="s">
        <v>15698</v>
      </c>
      <c r="B5" s="21" t="s">
        <v>18124</v>
      </c>
      <c r="C5" s="22" t="s">
        <v>146</v>
      </c>
      <c r="D5" s="23">
        <v>5149.5287</v>
      </c>
      <c r="E5" s="19"/>
    </row>
    <row r="6" ht="16.2" customHeight="1" spans="1:5">
      <c r="A6" s="20" t="s">
        <v>939</v>
      </c>
      <c r="B6" s="21" t="s">
        <v>940</v>
      </c>
      <c r="C6" s="22" t="s">
        <v>104</v>
      </c>
      <c r="D6" s="23">
        <v>35.4472</v>
      </c>
      <c r="E6" s="19"/>
    </row>
    <row r="7" ht="16.2" customHeight="1" spans="1:5">
      <c r="A7" s="20" t="s">
        <v>691</v>
      </c>
      <c r="B7" s="21" t="s">
        <v>159</v>
      </c>
      <c r="C7" s="22" t="s">
        <v>146</v>
      </c>
      <c r="D7" s="23">
        <v>5166.5025</v>
      </c>
      <c r="E7" s="19"/>
    </row>
    <row r="8" ht="16.2" customHeight="1" spans="1:5">
      <c r="A8" s="20" t="s">
        <v>941</v>
      </c>
      <c r="B8" s="21" t="s">
        <v>942</v>
      </c>
      <c r="C8" s="22" t="s">
        <v>104</v>
      </c>
      <c r="D8" s="23">
        <v>36.0063</v>
      </c>
      <c r="E8" s="19"/>
    </row>
    <row r="9" ht="16.2" customHeight="1" spans="1:5">
      <c r="A9" s="20" t="s">
        <v>950</v>
      </c>
      <c r="B9" s="21" t="s">
        <v>951</v>
      </c>
      <c r="C9" s="22" t="s">
        <v>104</v>
      </c>
      <c r="D9" s="23">
        <v>29.9425</v>
      </c>
      <c r="E9" s="19"/>
    </row>
    <row r="10" ht="16.2" customHeight="1" spans="1:5">
      <c r="A10" s="20" t="s">
        <v>15699</v>
      </c>
      <c r="B10" s="21" t="s">
        <v>18125</v>
      </c>
      <c r="C10" s="22" t="s">
        <v>146</v>
      </c>
      <c r="D10" s="23">
        <v>8475.3986</v>
      </c>
      <c r="E10" s="19"/>
    </row>
    <row r="11" ht="16.2" customHeight="1" spans="1:5">
      <c r="A11" s="20" t="s">
        <v>943</v>
      </c>
      <c r="B11" s="21" t="s">
        <v>944</v>
      </c>
      <c r="C11" s="22" t="s">
        <v>104</v>
      </c>
      <c r="D11" s="23">
        <v>34.4784</v>
      </c>
      <c r="E11" s="19"/>
    </row>
    <row r="12" ht="16.2" customHeight="1" spans="1:5">
      <c r="A12" s="20" t="s">
        <v>15700</v>
      </c>
      <c r="B12" s="21" t="s">
        <v>18126</v>
      </c>
      <c r="C12" s="22" t="s">
        <v>146</v>
      </c>
      <c r="D12" s="23">
        <v>9127.0568</v>
      </c>
      <c r="E12" s="19"/>
    </row>
    <row r="13" ht="16.2" customHeight="1" spans="1:5">
      <c r="A13" s="20" t="s">
        <v>689</v>
      </c>
      <c r="B13" s="21" t="s">
        <v>145</v>
      </c>
      <c r="C13" s="22" t="s">
        <v>146</v>
      </c>
      <c r="D13" s="23">
        <v>27716.9937</v>
      </c>
      <c r="E13" s="19"/>
    </row>
    <row r="14" ht="16.2" customHeight="1" spans="1:5">
      <c r="A14" s="20" t="s">
        <v>18127</v>
      </c>
      <c r="B14" s="21" t="s">
        <v>18128</v>
      </c>
      <c r="C14" s="22" t="s">
        <v>104</v>
      </c>
      <c r="D14" s="23">
        <v>30.3076</v>
      </c>
      <c r="E14" s="19"/>
    </row>
    <row r="15" ht="16.2" customHeight="1" spans="1:5">
      <c r="A15" s="20" t="s">
        <v>15701</v>
      </c>
      <c r="B15" s="21" t="s">
        <v>18129</v>
      </c>
      <c r="C15" s="22" t="s">
        <v>146</v>
      </c>
      <c r="D15" s="23">
        <v>4329.5171</v>
      </c>
      <c r="E15" s="19"/>
    </row>
    <row r="16" ht="16.2" customHeight="1" spans="1:5">
      <c r="A16" s="20" t="s">
        <v>15702</v>
      </c>
      <c r="B16" s="21" t="s">
        <v>18130</v>
      </c>
      <c r="C16" s="22" t="s">
        <v>104</v>
      </c>
      <c r="D16" s="23">
        <v>30.9974</v>
      </c>
      <c r="E16" s="19"/>
    </row>
    <row r="17" ht="16.2" customHeight="1" spans="1:5">
      <c r="A17" s="20" t="s">
        <v>18131</v>
      </c>
      <c r="B17" s="21" t="s">
        <v>18132</v>
      </c>
      <c r="C17" s="22" t="s">
        <v>104</v>
      </c>
      <c r="D17" s="23">
        <v>27.8048</v>
      </c>
      <c r="E17" s="19"/>
    </row>
    <row r="18" ht="16.2" customHeight="1" spans="1:5">
      <c r="A18" s="20" t="s">
        <v>18133</v>
      </c>
      <c r="B18" s="21" t="s">
        <v>18134</v>
      </c>
      <c r="C18" s="22" t="s">
        <v>104</v>
      </c>
      <c r="D18" s="23">
        <v>28.0552</v>
      </c>
      <c r="E18" s="19"/>
    </row>
    <row r="19" ht="16.2" customHeight="1" spans="1:5">
      <c r="A19" s="20" t="s">
        <v>15703</v>
      </c>
      <c r="B19" s="21" t="s">
        <v>18135</v>
      </c>
      <c r="C19" s="22" t="s">
        <v>146</v>
      </c>
      <c r="D19" s="23">
        <v>27716.9937</v>
      </c>
      <c r="E19" s="19"/>
    </row>
    <row r="20" ht="16.2" customHeight="1" spans="1:5">
      <c r="A20" s="20" t="s">
        <v>18136</v>
      </c>
      <c r="B20" s="21" t="s">
        <v>18137</v>
      </c>
      <c r="C20" s="22" t="s">
        <v>104</v>
      </c>
      <c r="D20" s="23">
        <v>26.56</v>
      </c>
      <c r="E20" s="19"/>
    </row>
    <row r="21" ht="16.2" customHeight="1" spans="1:5">
      <c r="A21" s="20" t="s">
        <v>946</v>
      </c>
      <c r="B21" s="21" t="s">
        <v>947</v>
      </c>
      <c r="C21" s="22" t="s">
        <v>104</v>
      </c>
      <c r="D21" s="23">
        <v>29.6171</v>
      </c>
      <c r="E21" s="19"/>
    </row>
    <row r="22" ht="16.2" customHeight="1" spans="1:5">
      <c r="A22" s="20" t="s">
        <v>1013</v>
      </c>
      <c r="B22" s="21" t="s">
        <v>1014</v>
      </c>
      <c r="C22" s="22" t="s">
        <v>104</v>
      </c>
      <c r="D22" s="23">
        <v>35.4794</v>
      </c>
      <c r="E22" s="19"/>
    </row>
    <row r="23" ht="16.2" customHeight="1" spans="1:5">
      <c r="A23" s="20" t="s">
        <v>14307</v>
      </c>
      <c r="B23" s="21" t="s">
        <v>14308</v>
      </c>
      <c r="C23" s="22" t="s">
        <v>104</v>
      </c>
      <c r="D23" s="23">
        <v>35.4528</v>
      </c>
      <c r="E23" s="19"/>
    </row>
    <row r="24" ht="16.2" customHeight="1" spans="1:5">
      <c r="A24" s="20" t="s">
        <v>935</v>
      </c>
      <c r="B24" s="21" t="s">
        <v>936</v>
      </c>
      <c r="C24" s="22" t="s">
        <v>104</v>
      </c>
      <c r="D24" s="23">
        <v>23.6025</v>
      </c>
      <c r="E24" s="19"/>
    </row>
    <row r="25" ht="16.2" customHeight="1" spans="1:5">
      <c r="A25" s="20" t="s">
        <v>15704</v>
      </c>
      <c r="B25" s="21" t="s">
        <v>18138</v>
      </c>
      <c r="C25" s="22" t="s">
        <v>104</v>
      </c>
      <c r="D25" s="23">
        <v>41.7726</v>
      </c>
      <c r="E25" s="19"/>
    </row>
    <row r="26" ht="16.2" customHeight="1" spans="1:5">
      <c r="A26" s="20" t="s">
        <v>677</v>
      </c>
      <c r="B26" s="21" t="s">
        <v>149</v>
      </c>
      <c r="C26" s="22" t="s">
        <v>146</v>
      </c>
      <c r="D26" s="23">
        <v>5363.3214</v>
      </c>
      <c r="E26" s="19"/>
    </row>
    <row r="27" ht="16.2" customHeight="1" spans="1:5">
      <c r="A27" s="20" t="s">
        <v>18139</v>
      </c>
      <c r="B27" s="21" t="s">
        <v>18140</v>
      </c>
      <c r="C27" s="22" t="s">
        <v>104</v>
      </c>
      <c r="D27" s="23">
        <v>29.617</v>
      </c>
      <c r="E27" s="19"/>
    </row>
    <row r="28" ht="16.2" customHeight="1" spans="1:5">
      <c r="A28" s="20" t="s">
        <v>18141</v>
      </c>
      <c r="B28" s="21" t="s">
        <v>18142</v>
      </c>
      <c r="C28" s="22" t="s">
        <v>104</v>
      </c>
      <c r="D28" s="23">
        <v>30.5972</v>
      </c>
      <c r="E28" s="19"/>
    </row>
    <row r="29" ht="16.2" customHeight="1" spans="1:5">
      <c r="A29" s="20" t="s">
        <v>954</v>
      </c>
      <c r="B29" s="21" t="s">
        <v>955</v>
      </c>
      <c r="C29" s="22" t="s">
        <v>104</v>
      </c>
      <c r="D29" s="23">
        <v>34.5245</v>
      </c>
      <c r="E29" s="19"/>
    </row>
    <row r="30" ht="16.2" customHeight="1" spans="1:5">
      <c r="A30" s="20" t="s">
        <v>18143</v>
      </c>
      <c r="B30" s="21" t="s">
        <v>18144</v>
      </c>
      <c r="C30" s="22" t="s">
        <v>104</v>
      </c>
      <c r="D30" s="23">
        <v>46.0213</v>
      </c>
      <c r="E30" s="19"/>
    </row>
    <row r="31" ht="16.2" customHeight="1" spans="1:5">
      <c r="A31" s="20" t="s">
        <v>708</v>
      </c>
      <c r="B31" s="21" t="s">
        <v>162</v>
      </c>
      <c r="C31" s="22" t="s">
        <v>146</v>
      </c>
      <c r="D31" s="23">
        <v>4915.5662</v>
      </c>
      <c r="E31" s="19"/>
    </row>
    <row r="32" ht="16.2" customHeight="1" spans="1:5">
      <c r="A32" s="20" t="s">
        <v>18145</v>
      </c>
      <c r="B32" s="21" t="s">
        <v>18146</v>
      </c>
      <c r="C32" s="22" t="s">
        <v>104</v>
      </c>
      <c r="D32" s="23">
        <v>109.3245</v>
      </c>
      <c r="E32" s="19"/>
    </row>
    <row r="33" ht="16.2" customHeight="1" spans="1:5">
      <c r="A33" s="20" t="s">
        <v>15705</v>
      </c>
      <c r="B33" s="21" t="s">
        <v>18147</v>
      </c>
      <c r="C33" s="22" t="s">
        <v>146</v>
      </c>
      <c r="D33" s="23">
        <v>15584.6077</v>
      </c>
      <c r="E33" s="19"/>
    </row>
    <row r="34" ht="16.2" customHeight="1" spans="1:5">
      <c r="A34" s="20" t="s">
        <v>18148</v>
      </c>
      <c r="B34" s="21" t="s">
        <v>18149</v>
      </c>
      <c r="C34" s="22" t="s">
        <v>104</v>
      </c>
      <c r="D34" s="23">
        <v>31.666</v>
      </c>
      <c r="E34" s="19"/>
    </row>
    <row r="35" ht="16.2" customHeight="1" spans="1:5">
      <c r="A35" s="20" t="s">
        <v>15706</v>
      </c>
      <c r="B35" s="21" t="s">
        <v>18150</v>
      </c>
      <c r="C35" s="22" t="s">
        <v>146</v>
      </c>
      <c r="D35" s="23">
        <v>13397.7296</v>
      </c>
      <c r="E35" s="19"/>
    </row>
    <row r="36" ht="16.2" customHeight="1" spans="1:5">
      <c r="A36" s="20" t="s">
        <v>15707</v>
      </c>
      <c r="B36" s="21" t="s">
        <v>18151</v>
      </c>
      <c r="C36" s="22" t="s">
        <v>146</v>
      </c>
      <c r="D36" s="23">
        <v>4316.6725</v>
      </c>
      <c r="E36" s="19"/>
    </row>
    <row r="37" ht="16.2" customHeight="1" spans="1:5">
      <c r="A37" s="20" t="s">
        <v>15708</v>
      </c>
      <c r="B37" s="21" t="s">
        <v>18152</v>
      </c>
      <c r="C37" s="22" t="s">
        <v>104</v>
      </c>
      <c r="D37" s="23">
        <v>26.5829</v>
      </c>
      <c r="E37" s="19"/>
    </row>
    <row r="38" ht="16.2" customHeight="1" spans="1:5">
      <c r="A38" s="20" t="s">
        <v>15709</v>
      </c>
      <c r="B38" s="21" t="s">
        <v>18153</v>
      </c>
      <c r="C38" s="22" t="s">
        <v>104</v>
      </c>
      <c r="D38" s="23">
        <v>33.7544</v>
      </c>
      <c r="E38" s="19"/>
    </row>
    <row r="39" ht="16.2" customHeight="1" spans="1:5">
      <c r="A39" s="20" t="s">
        <v>15710</v>
      </c>
      <c r="B39" s="21" t="s">
        <v>18154</v>
      </c>
      <c r="C39" s="22" t="s">
        <v>104</v>
      </c>
      <c r="D39" s="23">
        <v>45.2393</v>
      </c>
      <c r="E39" s="19"/>
    </row>
    <row r="40" ht="16.2" customHeight="1" spans="1:5">
      <c r="A40" s="20" t="s">
        <v>15711</v>
      </c>
      <c r="B40" s="21" t="s">
        <v>18155</v>
      </c>
      <c r="C40" s="22" t="s">
        <v>104</v>
      </c>
      <c r="D40" s="23">
        <v>26.1947</v>
      </c>
      <c r="E40" s="19"/>
    </row>
    <row r="41" ht="16.2" customHeight="1" spans="1:5">
      <c r="A41" s="20" t="s">
        <v>15712</v>
      </c>
      <c r="B41" s="21" t="s">
        <v>18156</v>
      </c>
      <c r="C41" s="22" t="s">
        <v>146</v>
      </c>
      <c r="D41" s="23">
        <v>8322.0364</v>
      </c>
      <c r="E41" s="19"/>
    </row>
    <row r="42" ht="16.2" customHeight="1" spans="1:5">
      <c r="A42" s="20" t="s">
        <v>15713</v>
      </c>
      <c r="B42" s="21" t="s">
        <v>18157</v>
      </c>
      <c r="C42" s="22" t="s">
        <v>146</v>
      </c>
      <c r="D42" s="23">
        <v>5828.0135</v>
      </c>
      <c r="E42" s="19"/>
    </row>
    <row r="43" ht="16.2" customHeight="1" spans="1:5">
      <c r="A43" s="20" t="s">
        <v>15714</v>
      </c>
      <c r="B43" s="21" t="s">
        <v>18158</v>
      </c>
      <c r="C43" s="22" t="s">
        <v>146</v>
      </c>
      <c r="D43" s="23">
        <v>18549.663</v>
      </c>
      <c r="E43" s="19"/>
    </row>
    <row r="44" ht="16.2" customHeight="1" spans="1:5">
      <c r="A44" s="20" t="s">
        <v>15715</v>
      </c>
      <c r="B44" s="21" t="s">
        <v>18159</v>
      </c>
      <c r="C44" s="22" t="s">
        <v>104</v>
      </c>
      <c r="D44" s="23">
        <v>44.6437</v>
      </c>
      <c r="E44" s="19"/>
    </row>
    <row r="45" ht="16.2" customHeight="1" spans="1:5">
      <c r="A45" s="20" t="s">
        <v>1016</v>
      </c>
      <c r="B45" s="21" t="s">
        <v>1017</v>
      </c>
      <c r="C45" s="22" t="s">
        <v>104</v>
      </c>
      <c r="D45" s="23">
        <v>26.0801</v>
      </c>
      <c r="E45" s="19"/>
    </row>
    <row r="46" ht="16.2" customHeight="1" spans="1:5">
      <c r="A46" s="20" t="s">
        <v>15716</v>
      </c>
      <c r="B46" s="21" t="s">
        <v>18160</v>
      </c>
      <c r="C46" s="22" t="s">
        <v>146</v>
      </c>
      <c r="D46" s="23">
        <v>5569.7536</v>
      </c>
      <c r="E46" s="19"/>
    </row>
    <row r="47" ht="16.2" customHeight="1" spans="1:5">
      <c r="A47" s="20" t="s">
        <v>15717</v>
      </c>
      <c r="B47" s="21" t="s">
        <v>18161</v>
      </c>
      <c r="C47" s="22" t="s">
        <v>104</v>
      </c>
      <c r="D47" s="23">
        <v>30.0416</v>
      </c>
      <c r="E47" s="19"/>
    </row>
    <row r="48" ht="16.2" customHeight="1" spans="1:5">
      <c r="A48" s="20" t="s">
        <v>15718</v>
      </c>
      <c r="B48" s="21" t="s">
        <v>18162</v>
      </c>
      <c r="C48" s="22" t="s">
        <v>146</v>
      </c>
      <c r="D48" s="23">
        <v>5524.3864</v>
      </c>
      <c r="E48" s="19"/>
    </row>
    <row r="49" ht="16.2" customHeight="1" spans="1:6">
      <c r="A49" s="20" t="s">
        <v>712</v>
      </c>
      <c r="B49" s="21" t="s">
        <v>161</v>
      </c>
      <c r="C49" s="22" t="s">
        <v>146</v>
      </c>
      <c r="D49" s="23">
        <v>6826.8877</v>
      </c>
      <c r="E49" s="19"/>
    </row>
    <row r="50" ht="16.2" customHeight="1" spans="1:6">
      <c r="A50" s="20" t="s">
        <v>15719</v>
      </c>
      <c r="B50" s="21" t="s">
        <v>18163</v>
      </c>
      <c r="C50" s="22" t="s">
        <v>104</v>
      </c>
      <c r="D50" s="23">
        <v>23.5933</v>
      </c>
      <c r="E50" s="19"/>
    </row>
    <row r="51" ht="16.2" customHeight="1" spans="1:6">
      <c r="A51" s="20" t="s">
        <v>15720</v>
      </c>
      <c r="B51" s="21" t="s">
        <v>18164</v>
      </c>
      <c r="C51" s="22" t="s">
        <v>104</v>
      </c>
      <c r="D51" s="23">
        <v>26.1255</v>
      </c>
      <c r="E51" s="19"/>
    </row>
    <row r="52" ht="16.2" customHeight="1" spans="1:6">
      <c r="A52" s="20" t="s">
        <v>18165</v>
      </c>
      <c r="B52" s="21" t="s">
        <v>18166</v>
      </c>
      <c r="C52" s="22" t="s">
        <v>104</v>
      </c>
      <c r="D52" s="23">
        <v>45.0929</v>
      </c>
      <c r="E52" s="19"/>
    </row>
    <row r="53" ht="16.2" customHeight="1" spans="1:6">
      <c r="A53" s="20" t="s">
        <v>18167</v>
      </c>
      <c r="B53" s="21" t="s">
        <v>18168</v>
      </c>
      <c r="C53" s="22" t="s">
        <v>104</v>
      </c>
      <c r="D53" s="23">
        <v>34.3199</v>
      </c>
      <c r="E53" s="19"/>
    </row>
    <row r="54" ht="16.2" customHeight="1" spans="1:6">
      <c r="A54" s="20" t="s">
        <v>15721</v>
      </c>
      <c r="B54" s="21" t="s">
        <v>18169</v>
      </c>
      <c r="C54" s="22" t="s">
        <v>146</v>
      </c>
      <c r="D54" s="23">
        <v>26436.8858</v>
      </c>
      <c r="E54" s="19"/>
    </row>
    <row r="55" ht="16.2" customHeight="1" spans="1:6">
      <c r="A55" s="20" t="s">
        <v>15722</v>
      </c>
      <c r="B55" s="21" t="s">
        <v>18170</v>
      </c>
      <c r="C55" s="22" t="s">
        <v>104</v>
      </c>
      <c r="D55" s="23">
        <v>31.5074</v>
      </c>
      <c r="E55" s="19"/>
    </row>
    <row r="56" ht="16.2" customHeight="1" spans="1:6">
      <c r="A56" s="20" t="s">
        <v>15723</v>
      </c>
      <c r="B56" s="21" t="s">
        <v>18171</v>
      </c>
      <c r="C56" s="22" t="s">
        <v>146</v>
      </c>
      <c r="D56" s="23">
        <v>8521.2663</v>
      </c>
      <c r="E56" s="19"/>
    </row>
    <row r="57" ht="16.2" customHeight="1" spans="1:6">
      <c r="A57" s="20" t="s">
        <v>18172</v>
      </c>
      <c r="B57" s="21" t="s">
        <v>18173</v>
      </c>
      <c r="C57" s="22" t="s">
        <v>104</v>
      </c>
      <c r="D57" s="23">
        <v>46.0209</v>
      </c>
      <c r="E57" s="19"/>
    </row>
    <row r="58" ht="16.2" customHeight="1" spans="1:6">
      <c r="A58" s="20" t="s">
        <v>15724</v>
      </c>
      <c r="B58" s="21" t="s">
        <v>18174</v>
      </c>
      <c r="C58" s="22" t="s">
        <v>146</v>
      </c>
      <c r="D58" s="23">
        <v>9127.0568</v>
      </c>
      <c r="E58" s="19"/>
      <c r="F58" s="24"/>
    </row>
    <row r="59" ht="16.2" customHeight="1" spans="1:6">
      <c r="A59" s="20" t="s">
        <v>15725</v>
      </c>
      <c r="B59" s="21" t="s">
        <v>18175</v>
      </c>
      <c r="C59" s="22" t="s">
        <v>104</v>
      </c>
      <c r="D59" s="23">
        <v>32.3437</v>
      </c>
      <c r="E59" s="19"/>
    </row>
    <row r="60" ht="16.2" customHeight="1" spans="1:6">
      <c r="A60" s="20" t="s">
        <v>15726</v>
      </c>
      <c r="B60" s="21" t="s">
        <v>18176</v>
      </c>
      <c r="C60" s="22" t="s">
        <v>104</v>
      </c>
      <c r="D60" s="23">
        <v>38.1454</v>
      </c>
      <c r="E60" s="19"/>
    </row>
    <row r="61" ht="16.2" customHeight="1" spans="1:6">
      <c r="A61" s="20" t="s">
        <v>18177</v>
      </c>
      <c r="B61" s="21" t="s">
        <v>18178</v>
      </c>
      <c r="C61" s="22" t="s">
        <v>104</v>
      </c>
      <c r="D61" s="23">
        <v>49.4802</v>
      </c>
      <c r="E61" s="19"/>
    </row>
    <row r="62" ht="16.2" customHeight="1" spans="1:6">
      <c r="A62" s="20" t="s">
        <v>18179</v>
      </c>
      <c r="B62" s="21" t="s">
        <v>18180</v>
      </c>
      <c r="C62" s="22" t="s">
        <v>104</v>
      </c>
      <c r="D62" s="23">
        <v>49.4802</v>
      </c>
      <c r="E62" s="19"/>
    </row>
    <row r="63" ht="16.2" customHeight="1" spans="1:6">
      <c r="A63" s="20" t="s">
        <v>18181</v>
      </c>
      <c r="B63" s="21" t="s">
        <v>18182</v>
      </c>
      <c r="C63" s="22" t="s">
        <v>104</v>
      </c>
      <c r="D63" s="23">
        <v>49.4802</v>
      </c>
      <c r="F63" s="19"/>
    </row>
    <row r="64" ht="16.2" customHeight="1" spans="1:6">
      <c r="A64" s="20" t="s">
        <v>15727</v>
      </c>
      <c r="B64" s="21" t="s">
        <v>18183</v>
      </c>
      <c r="C64" s="22" t="s">
        <v>146</v>
      </c>
      <c r="D64" s="23">
        <v>6227.3132</v>
      </c>
      <c r="F64" s="19"/>
    </row>
    <row r="65" ht="16.2" customHeight="1" spans="1:6">
      <c r="A65" s="20" t="s">
        <v>680</v>
      </c>
      <c r="B65" s="21" t="s">
        <v>156</v>
      </c>
      <c r="C65" s="22" t="s">
        <v>146</v>
      </c>
      <c r="D65" s="23">
        <v>7837.0144</v>
      </c>
      <c r="F65" s="19"/>
    </row>
    <row r="66" ht="16.2" customHeight="1" spans="1:6">
      <c r="A66" s="20" t="s">
        <v>18184</v>
      </c>
      <c r="B66" s="21" t="s">
        <v>18185</v>
      </c>
      <c r="C66" s="22" t="s">
        <v>104</v>
      </c>
      <c r="D66" s="23">
        <v>49.4802</v>
      </c>
      <c r="F66" s="19"/>
    </row>
    <row r="67" ht="16.2" customHeight="1" spans="1:6">
      <c r="A67" s="20" t="s">
        <v>18186</v>
      </c>
      <c r="B67" s="21" t="s">
        <v>18187</v>
      </c>
      <c r="C67" s="22" t="s">
        <v>104</v>
      </c>
      <c r="D67" s="23">
        <v>49.4802</v>
      </c>
      <c r="F67" s="19"/>
    </row>
    <row r="68" ht="16.2" customHeight="1" spans="1:6">
      <c r="A68" s="20" t="s">
        <v>15728</v>
      </c>
      <c r="B68" s="21" t="s">
        <v>18188</v>
      </c>
      <c r="C68" s="22" t="s">
        <v>146</v>
      </c>
      <c r="D68" s="23">
        <v>7676.7152</v>
      </c>
      <c r="F68" s="19"/>
    </row>
    <row r="69" ht="16.2" customHeight="1" spans="1:6">
      <c r="A69" s="20" t="s">
        <v>18189</v>
      </c>
      <c r="B69" s="21" t="s">
        <v>18190</v>
      </c>
      <c r="C69" s="22" t="s">
        <v>104</v>
      </c>
      <c r="D69" s="23">
        <v>33.7904</v>
      </c>
      <c r="F69" s="19"/>
    </row>
    <row r="70" ht="16.2" customHeight="1" spans="1:6">
      <c r="A70" s="20" t="s">
        <v>15729</v>
      </c>
      <c r="B70" s="21" t="s">
        <v>18191</v>
      </c>
      <c r="C70" s="22" t="s">
        <v>104</v>
      </c>
      <c r="D70" s="23">
        <v>46.1372</v>
      </c>
      <c r="F70" s="19"/>
    </row>
    <row r="71" ht="16.2" customHeight="1" spans="1:6">
      <c r="A71" s="20" t="s">
        <v>15730</v>
      </c>
      <c r="B71" s="21" t="s">
        <v>18192</v>
      </c>
      <c r="C71" s="22" t="s">
        <v>146</v>
      </c>
      <c r="D71" s="23">
        <v>8475.4766</v>
      </c>
      <c r="F71" s="19"/>
    </row>
    <row r="72" ht="16.2" customHeight="1" spans="1:6">
      <c r="A72" s="20" t="s">
        <v>15731</v>
      </c>
      <c r="B72" s="21" t="s">
        <v>18193</v>
      </c>
      <c r="C72" s="22" t="s">
        <v>146</v>
      </c>
      <c r="D72" s="23">
        <v>9127.0568</v>
      </c>
      <c r="F72" s="19"/>
    </row>
    <row r="73" ht="16.2" customHeight="1" spans="1:6">
      <c r="A73" s="20" t="s">
        <v>15732</v>
      </c>
      <c r="B73" s="21" t="s">
        <v>18194</v>
      </c>
      <c r="C73" s="22" t="s">
        <v>104</v>
      </c>
      <c r="D73" s="23">
        <v>26.5762</v>
      </c>
      <c r="F73" s="19"/>
    </row>
    <row r="74" ht="16.2" customHeight="1" spans="1:6">
      <c r="A74" s="20" t="s">
        <v>18195</v>
      </c>
      <c r="B74" s="21" t="s">
        <v>18196</v>
      </c>
      <c r="C74" s="22" t="s">
        <v>104</v>
      </c>
      <c r="D74" s="23">
        <v>49.4802</v>
      </c>
      <c r="F74" s="19"/>
    </row>
    <row r="75" ht="16.2" customHeight="1" spans="1:6">
      <c r="A75" s="20" t="s">
        <v>18197</v>
      </c>
      <c r="B75" s="21" t="s">
        <v>18198</v>
      </c>
      <c r="C75" s="22" t="s">
        <v>104</v>
      </c>
      <c r="D75" s="23">
        <v>72.5683</v>
      </c>
      <c r="F75" s="19"/>
    </row>
    <row r="76" ht="16.2" customHeight="1" spans="1:6">
      <c r="A76" s="20" t="s">
        <v>18199</v>
      </c>
      <c r="B76" s="21" t="s">
        <v>18200</v>
      </c>
      <c r="C76" s="22" t="s">
        <v>104</v>
      </c>
      <c r="D76" s="23">
        <v>150.3679</v>
      </c>
      <c r="F76" s="19"/>
    </row>
    <row r="77" ht="16.2" customHeight="1" spans="1:6">
      <c r="A77" s="20" t="s">
        <v>15733</v>
      </c>
      <c r="B77" s="21" t="s">
        <v>18201</v>
      </c>
      <c r="C77" s="22" t="s">
        <v>146</v>
      </c>
      <c r="D77" s="23">
        <v>8781.2958</v>
      </c>
      <c r="F77" s="19"/>
    </row>
    <row r="78" ht="16.2" customHeight="1" spans="1:6">
      <c r="A78" s="20" t="s">
        <v>18202</v>
      </c>
      <c r="B78" s="21" t="s">
        <v>18203</v>
      </c>
      <c r="C78" s="22" t="s">
        <v>104</v>
      </c>
      <c r="D78" s="23">
        <v>134.389</v>
      </c>
      <c r="F78" s="19"/>
    </row>
    <row r="79" ht="16.2" customHeight="1" spans="1:6">
      <c r="A79" s="20" t="s">
        <v>15734</v>
      </c>
      <c r="B79" s="21" t="s">
        <v>18204</v>
      </c>
      <c r="C79" s="22" t="s">
        <v>104</v>
      </c>
      <c r="D79" s="23">
        <v>38.834</v>
      </c>
      <c r="F79" s="19"/>
    </row>
    <row r="80" ht="16.2" customHeight="1" spans="1:6">
      <c r="A80" s="20" t="s">
        <v>15735</v>
      </c>
      <c r="B80" s="21" t="s">
        <v>18205</v>
      </c>
      <c r="C80" s="22" t="s">
        <v>146</v>
      </c>
      <c r="D80" s="23">
        <v>9127.0568</v>
      </c>
      <c r="F80" s="19"/>
    </row>
    <row r="81" ht="16.2" customHeight="1" spans="1:6">
      <c r="A81" s="20" t="s">
        <v>18206</v>
      </c>
      <c r="B81" s="21" t="s">
        <v>18207</v>
      </c>
      <c r="C81" s="22" t="s">
        <v>104</v>
      </c>
      <c r="D81" s="23">
        <v>186.1883</v>
      </c>
      <c r="F81" s="19"/>
    </row>
    <row r="82" ht="16.2" customHeight="1" spans="1:6">
      <c r="A82" s="20" t="s">
        <v>18208</v>
      </c>
      <c r="B82" s="21" t="s">
        <v>18209</v>
      </c>
      <c r="C82" s="22" t="s">
        <v>104</v>
      </c>
      <c r="D82" s="23">
        <v>143.224</v>
      </c>
      <c r="F82" s="19"/>
    </row>
    <row r="83" ht="16.2" customHeight="1" spans="1:6">
      <c r="A83" s="20" t="s">
        <v>15736</v>
      </c>
      <c r="B83" s="21" t="s">
        <v>18210</v>
      </c>
      <c r="C83" s="22" t="s">
        <v>146</v>
      </c>
      <c r="D83" s="23">
        <v>4571.4099</v>
      </c>
      <c r="F83" s="19"/>
    </row>
    <row r="84" ht="16.2" customHeight="1" spans="1:6">
      <c r="A84" s="20" t="s">
        <v>15737</v>
      </c>
      <c r="B84" s="21" t="s">
        <v>18211</v>
      </c>
      <c r="C84" s="22" t="s">
        <v>146</v>
      </c>
      <c r="D84" s="23">
        <v>8253.172</v>
      </c>
      <c r="F84" s="19"/>
    </row>
    <row r="85" ht="16.2" customHeight="1" spans="1:6">
      <c r="A85" s="20" t="s">
        <v>18212</v>
      </c>
      <c r="B85" s="21" t="s">
        <v>18213</v>
      </c>
      <c r="C85" s="22" t="s">
        <v>104</v>
      </c>
      <c r="D85" s="23">
        <v>150.3679</v>
      </c>
      <c r="F85" s="19"/>
    </row>
    <row r="86" ht="16.2" customHeight="1" spans="1:6">
      <c r="A86" s="20" t="s">
        <v>18214</v>
      </c>
      <c r="B86" s="21" t="s">
        <v>18215</v>
      </c>
      <c r="C86" s="22" t="s">
        <v>104</v>
      </c>
      <c r="D86" s="23">
        <v>23.468</v>
      </c>
      <c r="F86" s="19"/>
    </row>
    <row r="87" ht="16.2" customHeight="1" spans="1:6">
      <c r="A87" s="20" t="s">
        <v>15738</v>
      </c>
      <c r="B87" s="21" t="s">
        <v>18216</v>
      </c>
      <c r="C87" s="22" t="s">
        <v>146</v>
      </c>
      <c r="D87" s="23">
        <v>9127.0568</v>
      </c>
      <c r="F87" s="19"/>
    </row>
    <row r="88" ht="16.2" customHeight="1" spans="1:6">
      <c r="A88" s="20" t="s">
        <v>18217</v>
      </c>
      <c r="B88" s="21" t="s">
        <v>18218</v>
      </c>
      <c r="C88" s="22" t="s">
        <v>104</v>
      </c>
      <c r="D88" s="23">
        <v>91.0491</v>
      </c>
      <c r="F88" s="19"/>
    </row>
    <row r="89" ht="16.2" customHeight="1" spans="1:6">
      <c r="A89" s="20" t="s">
        <v>15739</v>
      </c>
      <c r="B89" s="21" t="s">
        <v>18219</v>
      </c>
      <c r="C89" s="22" t="s">
        <v>146</v>
      </c>
      <c r="D89" s="23">
        <v>5644.2545</v>
      </c>
      <c r="F89" s="19"/>
    </row>
    <row r="90" ht="16.2" customHeight="1" spans="1:6">
      <c r="A90" s="20" t="s">
        <v>18220</v>
      </c>
      <c r="B90" s="21" t="s">
        <v>18221</v>
      </c>
      <c r="C90" s="22" t="s">
        <v>104</v>
      </c>
      <c r="D90" s="23">
        <v>36.8301</v>
      </c>
      <c r="F90" s="19"/>
    </row>
    <row r="91" ht="16.2" customHeight="1" spans="1:6">
      <c r="A91" s="20" t="s">
        <v>18222</v>
      </c>
      <c r="B91" s="21" t="s">
        <v>18223</v>
      </c>
      <c r="C91" s="22" t="s">
        <v>104</v>
      </c>
      <c r="D91" s="23">
        <v>30.2851</v>
      </c>
      <c r="F91" s="19"/>
    </row>
    <row r="92" ht="16.2" customHeight="1" spans="1:6">
      <c r="A92" s="20" t="s">
        <v>18224</v>
      </c>
      <c r="B92" s="21" t="s">
        <v>18225</v>
      </c>
      <c r="C92" s="22" t="s">
        <v>104</v>
      </c>
      <c r="D92" s="23">
        <v>115.1777</v>
      </c>
      <c r="F92" s="19"/>
    </row>
    <row r="93" ht="16.2" customHeight="1" spans="1:6">
      <c r="A93" s="20" t="s">
        <v>15740</v>
      </c>
      <c r="B93" s="21" t="s">
        <v>18226</v>
      </c>
      <c r="C93" s="22" t="s">
        <v>146</v>
      </c>
      <c r="D93" s="23">
        <v>20118.4415</v>
      </c>
      <c r="F93" s="19"/>
    </row>
    <row r="94" ht="16.2" customHeight="1" spans="1:6">
      <c r="A94" s="20" t="s">
        <v>15741</v>
      </c>
      <c r="B94" s="21" t="s">
        <v>18227</v>
      </c>
      <c r="C94" s="22" t="s">
        <v>146</v>
      </c>
      <c r="D94" s="23">
        <v>16753.5339</v>
      </c>
      <c r="F94" s="19"/>
    </row>
    <row r="95" ht="16.2" customHeight="1" spans="1:6">
      <c r="A95" s="20" t="s">
        <v>15742</v>
      </c>
      <c r="B95" s="21" t="s">
        <v>18228</v>
      </c>
      <c r="C95" s="22" t="s">
        <v>146</v>
      </c>
      <c r="D95" s="23">
        <v>7094.5297</v>
      </c>
      <c r="F95" s="19"/>
    </row>
    <row r="96" ht="16.2" customHeight="1" spans="1:6">
      <c r="A96" s="20" t="s">
        <v>15743</v>
      </c>
      <c r="B96" s="21" t="s">
        <v>18229</v>
      </c>
      <c r="C96" s="22" t="s">
        <v>146</v>
      </c>
      <c r="D96" s="23">
        <v>6920.0632</v>
      </c>
      <c r="F96" s="19"/>
    </row>
    <row r="97" ht="16.2" customHeight="1" spans="1:6">
      <c r="A97" s="20" t="s">
        <v>15744</v>
      </c>
      <c r="B97" s="21" t="s">
        <v>18230</v>
      </c>
      <c r="C97" s="22" t="s">
        <v>146</v>
      </c>
      <c r="D97" s="23">
        <v>6308.4419</v>
      </c>
      <c r="F97" s="19"/>
    </row>
    <row r="98" ht="16.2" customHeight="1" spans="1:6">
      <c r="A98" s="20" t="s">
        <v>18231</v>
      </c>
      <c r="B98" s="21" t="s">
        <v>18232</v>
      </c>
      <c r="C98" s="22" t="s">
        <v>104</v>
      </c>
      <c r="D98" s="23">
        <v>100.6567</v>
      </c>
      <c r="F98" s="19"/>
    </row>
    <row r="99" ht="16.2" customHeight="1" spans="1:6">
      <c r="A99" s="20" t="s">
        <v>18233</v>
      </c>
      <c r="B99" s="21" t="s">
        <v>18234</v>
      </c>
      <c r="C99" s="22" t="s">
        <v>104</v>
      </c>
      <c r="D99" s="23">
        <v>36.0252</v>
      </c>
      <c r="F99" s="19"/>
    </row>
    <row r="100" ht="16.2" customHeight="1" spans="1:6">
      <c r="A100" s="20" t="s">
        <v>15745</v>
      </c>
      <c r="B100" s="21" t="s">
        <v>18235</v>
      </c>
      <c r="C100" s="22" t="s">
        <v>146</v>
      </c>
      <c r="D100" s="23">
        <v>9127.0568</v>
      </c>
      <c r="F100" s="19"/>
    </row>
    <row r="101" ht="16.2" customHeight="1" spans="1:6">
      <c r="A101" s="20" t="s">
        <v>18236</v>
      </c>
      <c r="B101" s="21" t="s">
        <v>18237</v>
      </c>
      <c r="C101" s="22" t="s">
        <v>104</v>
      </c>
      <c r="D101" s="23">
        <v>44.0567</v>
      </c>
      <c r="F101" s="19"/>
    </row>
    <row r="102" ht="16.2" customHeight="1" spans="1:6">
      <c r="A102" s="20" t="s">
        <v>18238</v>
      </c>
      <c r="B102" s="21" t="s">
        <v>18239</v>
      </c>
      <c r="C102" s="22" t="s">
        <v>104</v>
      </c>
      <c r="D102" s="23">
        <v>84.4488</v>
      </c>
      <c r="F102" s="19"/>
    </row>
    <row r="103" ht="16.2" customHeight="1" spans="1:6">
      <c r="A103" s="20" t="s">
        <v>18240</v>
      </c>
      <c r="B103" s="21" t="s">
        <v>18241</v>
      </c>
      <c r="C103" s="22" t="s">
        <v>104</v>
      </c>
      <c r="D103" s="23">
        <v>37.6115</v>
      </c>
      <c r="F103" s="19"/>
    </row>
    <row r="104" ht="16.2" customHeight="1" spans="1:6">
      <c r="A104" s="20" t="s">
        <v>15746</v>
      </c>
      <c r="B104" s="21" t="s">
        <v>18242</v>
      </c>
      <c r="C104" s="22" t="s">
        <v>146</v>
      </c>
      <c r="D104" s="23">
        <v>8101.204</v>
      </c>
      <c r="F104" s="19"/>
    </row>
    <row r="105" ht="16.2" customHeight="1" spans="1:6">
      <c r="A105" s="20" t="s">
        <v>18243</v>
      </c>
      <c r="B105" s="21" t="s">
        <v>18244</v>
      </c>
      <c r="C105" s="22" t="s">
        <v>104</v>
      </c>
      <c r="D105" s="23">
        <v>42.7132</v>
      </c>
      <c r="F105" s="19"/>
    </row>
    <row r="106" ht="16.2" customHeight="1" spans="1:6">
      <c r="A106" s="20" t="s">
        <v>18245</v>
      </c>
      <c r="B106" s="21" t="s">
        <v>18246</v>
      </c>
      <c r="C106" s="22" t="s">
        <v>104</v>
      </c>
      <c r="D106" s="23">
        <v>44.7943</v>
      </c>
      <c r="F106" s="19"/>
    </row>
    <row r="107" ht="16.2" customHeight="1" spans="1:6">
      <c r="A107" s="20" t="s">
        <v>18247</v>
      </c>
      <c r="B107" s="21" t="s">
        <v>18248</v>
      </c>
      <c r="C107" s="22" t="s">
        <v>104</v>
      </c>
      <c r="D107" s="23">
        <v>60.5644</v>
      </c>
      <c r="F107" s="19"/>
    </row>
    <row r="108" ht="16.2" customHeight="1" spans="1:6">
      <c r="A108" s="20" t="s">
        <v>18249</v>
      </c>
      <c r="B108" s="21" t="s">
        <v>18250</v>
      </c>
      <c r="C108" s="22" t="s">
        <v>104</v>
      </c>
      <c r="D108" s="23">
        <v>56.3117</v>
      </c>
      <c r="F108" s="19"/>
    </row>
    <row r="109" ht="16.2" customHeight="1" spans="1:6">
      <c r="A109" s="20" t="s">
        <v>18251</v>
      </c>
      <c r="B109" s="21" t="s">
        <v>18252</v>
      </c>
      <c r="C109" s="22" t="s">
        <v>104</v>
      </c>
      <c r="D109" s="23">
        <v>39.6925</v>
      </c>
      <c r="F109" s="19"/>
    </row>
    <row r="110" ht="16.2" customHeight="1" spans="1:6">
      <c r="A110" s="20" t="s">
        <v>15747</v>
      </c>
      <c r="B110" s="21" t="s">
        <v>18253</v>
      </c>
      <c r="C110" s="22" t="s">
        <v>104</v>
      </c>
      <c r="D110" s="23">
        <v>32.1237</v>
      </c>
      <c r="F110" s="19"/>
    </row>
    <row r="111" ht="16.2" customHeight="1" spans="1:6">
      <c r="A111" s="20" t="s">
        <v>15748</v>
      </c>
      <c r="B111" s="21" t="s">
        <v>18254</v>
      </c>
      <c r="C111" s="22" t="s">
        <v>104</v>
      </c>
      <c r="D111" s="23">
        <v>42.3787</v>
      </c>
      <c r="F111" s="19"/>
    </row>
    <row r="112" ht="16.2" customHeight="1" spans="1:6">
      <c r="A112" s="20" t="s">
        <v>18255</v>
      </c>
      <c r="B112" s="21" t="s">
        <v>18256</v>
      </c>
      <c r="C112" s="22" t="s">
        <v>104</v>
      </c>
      <c r="D112" s="23">
        <v>63.8766</v>
      </c>
      <c r="F112" s="19"/>
    </row>
    <row r="113" ht="16.2" customHeight="1" spans="1:6">
      <c r="A113" s="20" t="s">
        <v>15749</v>
      </c>
      <c r="B113" s="21" t="s">
        <v>18257</v>
      </c>
      <c r="C113" s="22" t="s">
        <v>104</v>
      </c>
      <c r="D113" s="23">
        <v>41.5913</v>
      </c>
      <c r="F113" s="19"/>
    </row>
    <row r="114" ht="16.2" customHeight="1" spans="1:6">
      <c r="A114" s="20" t="s">
        <v>18258</v>
      </c>
      <c r="B114" s="21" t="s">
        <v>18259</v>
      </c>
      <c r="C114" s="22" t="s">
        <v>146</v>
      </c>
      <c r="D114" s="23">
        <v>11768.6566</v>
      </c>
      <c r="F114" s="19"/>
    </row>
    <row r="115" ht="16.2" customHeight="1" spans="1:6">
      <c r="A115" s="20" t="s">
        <v>15750</v>
      </c>
      <c r="B115" s="21" t="s">
        <v>18260</v>
      </c>
      <c r="C115" s="22" t="s">
        <v>104</v>
      </c>
      <c r="D115" s="23">
        <v>47.3257</v>
      </c>
      <c r="F115" s="19"/>
    </row>
    <row r="116" ht="16.2" customHeight="1" spans="1:6">
      <c r="A116" s="20" t="s">
        <v>18261</v>
      </c>
      <c r="B116" s="21" t="s">
        <v>18262</v>
      </c>
      <c r="C116" s="22" t="s">
        <v>104</v>
      </c>
      <c r="D116" s="23">
        <v>38.5179</v>
      </c>
      <c r="F116" s="19"/>
    </row>
    <row r="117" ht="16.2" customHeight="1" spans="1:6">
      <c r="A117" s="20" t="s">
        <v>18263</v>
      </c>
      <c r="B117" s="21" t="s">
        <v>18264</v>
      </c>
      <c r="C117" s="22" t="s">
        <v>104</v>
      </c>
      <c r="D117" s="23">
        <v>23.4647</v>
      </c>
      <c r="F117" s="19"/>
    </row>
    <row r="118" ht="16.2" customHeight="1" spans="1:6">
      <c r="A118" s="20" t="s">
        <v>18265</v>
      </c>
      <c r="B118" s="21" t="s">
        <v>18266</v>
      </c>
      <c r="C118" s="22" t="s">
        <v>104</v>
      </c>
      <c r="D118" s="23">
        <v>41.7512</v>
      </c>
      <c r="F118" s="19"/>
    </row>
    <row r="119" ht="16.2" customHeight="1" spans="1:6">
      <c r="A119" s="20" t="s">
        <v>15751</v>
      </c>
      <c r="B119" s="21" t="s">
        <v>18267</v>
      </c>
      <c r="C119" s="22" t="s">
        <v>104</v>
      </c>
      <c r="D119" s="23">
        <v>32.2643</v>
      </c>
      <c r="F119" s="19"/>
    </row>
    <row r="120" ht="16.2" customHeight="1" spans="1:6">
      <c r="A120" s="20" t="s">
        <v>15752</v>
      </c>
      <c r="B120" s="21" t="s">
        <v>18268</v>
      </c>
      <c r="C120" s="22" t="s">
        <v>104</v>
      </c>
      <c r="D120" s="23">
        <v>34.7784</v>
      </c>
      <c r="F120" s="19"/>
    </row>
    <row r="121" ht="16.2" customHeight="1" spans="1:6">
      <c r="A121" s="20" t="s">
        <v>15753</v>
      </c>
      <c r="B121" s="21" t="s">
        <v>18269</v>
      </c>
      <c r="C121" s="22" t="s">
        <v>104</v>
      </c>
      <c r="D121" s="23">
        <v>37.0994</v>
      </c>
      <c r="F121" s="19"/>
    </row>
    <row r="122" ht="16.2" customHeight="1" spans="1:6">
      <c r="A122" s="20" t="s">
        <v>15754</v>
      </c>
      <c r="B122" s="21" t="s">
        <v>18270</v>
      </c>
      <c r="C122" s="22" t="s">
        <v>104</v>
      </c>
      <c r="D122" s="23">
        <v>56.5474</v>
      </c>
      <c r="F122" s="19"/>
    </row>
    <row r="123" ht="16.2" customHeight="1" spans="1:6">
      <c r="A123" s="20" t="s">
        <v>15755</v>
      </c>
      <c r="B123" s="21" t="s">
        <v>18271</v>
      </c>
      <c r="C123" s="22" t="s">
        <v>146</v>
      </c>
      <c r="D123" s="23">
        <v>24770.4498</v>
      </c>
      <c r="F123" s="19"/>
    </row>
    <row r="124" ht="16.2" customHeight="1" spans="1:6">
      <c r="A124" s="20" t="s">
        <v>15756</v>
      </c>
      <c r="B124" s="21" t="s">
        <v>18272</v>
      </c>
      <c r="C124" s="22" t="s">
        <v>146</v>
      </c>
      <c r="D124" s="23">
        <v>8253.172</v>
      </c>
      <c r="F124" s="19"/>
    </row>
    <row r="125" ht="16.2" customHeight="1" spans="1:6">
      <c r="A125" s="20" t="s">
        <v>15757</v>
      </c>
      <c r="B125" s="21" t="s">
        <v>18273</v>
      </c>
      <c r="C125" s="22" t="s">
        <v>146</v>
      </c>
      <c r="D125" s="23">
        <v>5951.7516</v>
      </c>
      <c r="F125" s="19"/>
    </row>
    <row r="126" ht="16.2" customHeight="1" spans="1:6">
      <c r="A126" s="20" t="s">
        <v>706</v>
      </c>
      <c r="B126" s="21" t="s">
        <v>152</v>
      </c>
      <c r="C126" s="22" t="s">
        <v>146</v>
      </c>
      <c r="D126" s="23">
        <v>6856.2644</v>
      </c>
      <c r="F126" s="19"/>
    </row>
    <row r="127" ht="16.2" customHeight="1" spans="1:6">
      <c r="A127" s="20" t="s">
        <v>701</v>
      </c>
      <c r="B127" s="21" t="s">
        <v>153</v>
      </c>
      <c r="C127" s="22" t="s">
        <v>146</v>
      </c>
      <c r="D127" s="23">
        <v>5471.4009</v>
      </c>
      <c r="F127" s="19"/>
    </row>
    <row r="128" ht="16.2" customHeight="1" spans="1:6">
      <c r="A128" s="20" t="s">
        <v>15758</v>
      </c>
      <c r="B128" s="21" t="s">
        <v>18274</v>
      </c>
      <c r="C128" s="22" t="s">
        <v>146</v>
      </c>
      <c r="D128" s="23">
        <v>21216.5825</v>
      </c>
      <c r="F128" s="19"/>
    </row>
    <row r="129" ht="16.2" customHeight="1" spans="1:6">
      <c r="A129" s="20" t="s">
        <v>903</v>
      </c>
      <c r="B129" s="21" t="s">
        <v>18275</v>
      </c>
      <c r="C129" s="22" t="s">
        <v>146</v>
      </c>
      <c r="D129" s="23">
        <v>5463.7457</v>
      </c>
      <c r="F129" s="19"/>
    </row>
    <row r="130" ht="16.2" customHeight="1" spans="1:6">
      <c r="A130" s="20" t="s">
        <v>905</v>
      </c>
      <c r="B130" s="21" t="s">
        <v>18276</v>
      </c>
      <c r="C130" s="22" t="s">
        <v>146</v>
      </c>
      <c r="D130" s="23">
        <v>6366.2823</v>
      </c>
      <c r="F130" s="19"/>
    </row>
    <row r="131" ht="16.2" customHeight="1" spans="1:6">
      <c r="A131" s="20" t="s">
        <v>904</v>
      </c>
      <c r="B131" s="21" t="s">
        <v>18277</v>
      </c>
      <c r="C131" s="22" t="s">
        <v>146</v>
      </c>
      <c r="D131" s="23">
        <v>4355.1438</v>
      </c>
      <c r="F131" s="19"/>
    </row>
    <row r="132" ht="16.2" customHeight="1" spans="1:6">
      <c r="A132" s="20" t="s">
        <v>15759</v>
      </c>
      <c r="B132" s="21" t="s">
        <v>18278</v>
      </c>
      <c r="C132" s="22" t="s">
        <v>146</v>
      </c>
      <c r="D132" s="23">
        <v>34322.3711</v>
      </c>
      <c r="F132" s="19"/>
    </row>
    <row r="133" ht="16.2" customHeight="1" spans="1:6">
      <c r="A133" s="20" t="s">
        <v>15760</v>
      </c>
      <c r="B133" s="21" t="s">
        <v>18279</v>
      </c>
      <c r="C133" s="22" t="s">
        <v>104</v>
      </c>
      <c r="D133" s="23">
        <v>38.6964</v>
      </c>
      <c r="F133" s="19"/>
    </row>
    <row r="134" ht="16.2" customHeight="1" spans="1:6">
      <c r="A134" s="20" t="s">
        <v>18280</v>
      </c>
      <c r="B134" s="21" t="s">
        <v>18281</v>
      </c>
      <c r="C134" s="22" t="s">
        <v>104</v>
      </c>
      <c r="D134" s="23">
        <v>39.3248</v>
      </c>
      <c r="F134" s="19"/>
    </row>
    <row r="135" ht="16.2" customHeight="1" spans="1:6">
      <c r="A135" s="20" t="s">
        <v>18282</v>
      </c>
      <c r="B135" s="21" t="s">
        <v>18283</v>
      </c>
      <c r="C135" s="22" t="s">
        <v>146</v>
      </c>
      <c r="D135" s="23">
        <v>7298.3972</v>
      </c>
      <c r="F135" s="19"/>
    </row>
    <row r="136" ht="16.2" customHeight="1" spans="1:6">
      <c r="A136" s="20" t="s">
        <v>18284</v>
      </c>
      <c r="B136" s="21" t="s">
        <v>18285</v>
      </c>
      <c r="C136" s="22" t="s">
        <v>146</v>
      </c>
      <c r="D136" s="23">
        <v>8742.493</v>
      </c>
      <c r="F136" s="19"/>
    </row>
    <row r="137" ht="16.2" customHeight="1" spans="1:6">
      <c r="A137" s="20" t="s">
        <v>18286</v>
      </c>
      <c r="B137" s="21" t="s">
        <v>18287</v>
      </c>
      <c r="C137" s="22" t="s">
        <v>104</v>
      </c>
      <c r="D137" s="23">
        <v>24.8527</v>
      </c>
      <c r="F137" s="19"/>
    </row>
    <row r="138" ht="16.2" customHeight="1" spans="1:6">
      <c r="A138" s="20" t="s">
        <v>18288</v>
      </c>
      <c r="B138" s="21" t="s">
        <v>18289</v>
      </c>
      <c r="C138" s="22" t="s">
        <v>104</v>
      </c>
      <c r="D138" s="23">
        <v>63.8766</v>
      </c>
      <c r="F138" s="19"/>
    </row>
    <row r="139" ht="16.2" customHeight="1" spans="1:6">
      <c r="A139" s="20" t="s">
        <v>18290</v>
      </c>
      <c r="B139" s="21" t="s">
        <v>18291</v>
      </c>
      <c r="C139" s="22" t="s">
        <v>104</v>
      </c>
      <c r="D139" s="23">
        <v>47.6342</v>
      </c>
      <c r="F139" s="19"/>
    </row>
    <row r="140" ht="16.2" customHeight="1" spans="1:6">
      <c r="A140" s="20" t="s">
        <v>18292</v>
      </c>
      <c r="B140" s="21" t="s">
        <v>18293</v>
      </c>
      <c r="C140" s="22" t="s">
        <v>104</v>
      </c>
      <c r="D140" s="23">
        <v>36.1761</v>
      </c>
      <c r="F140" s="19"/>
    </row>
    <row r="141" ht="16.2" customHeight="1" spans="1:6">
      <c r="A141" s="20" t="s">
        <v>18294</v>
      </c>
      <c r="B141" s="21" t="s">
        <v>18295</v>
      </c>
      <c r="C141" s="22" t="s">
        <v>104</v>
      </c>
      <c r="D141" s="23">
        <v>44.5863</v>
      </c>
      <c r="F141" s="19"/>
    </row>
    <row r="142" ht="16.2" customHeight="1" spans="1:6">
      <c r="A142" s="20" t="s">
        <v>18296</v>
      </c>
      <c r="B142" s="21" t="s">
        <v>18297</v>
      </c>
      <c r="C142" s="22" t="s">
        <v>104</v>
      </c>
      <c r="D142" s="23">
        <v>42.416</v>
      </c>
      <c r="F142" s="19"/>
    </row>
    <row r="143" ht="16.2" customHeight="1" spans="1:6">
      <c r="A143" s="20" t="s">
        <v>18298</v>
      </c>
      <c r="B143" s="21" t="s">
        <v>18299</v>
      </c>
      <c r="C143" s="22" t="s">
        <v>104</v>
      </c>
      <c r="D143" s="23">
        <v>44.5863</v>
      </c>
      <c r="F143" s="19"/>
    </row>
    <row r="144" ht="16.2" customHeight="1" spans="1:6">
      <c r="A144" s="20" t="s">
        <v>15761</v>
      </c>
      <c r="B144" s="21" t="s">
        <v>18300</v>
      </c>
      <c r="C144" s="22" t="s">
        <v>146</v>
      </c>
      <c r="D144" s="23">
        <v>6670.5743</v>
      </c>
      <c r="F144" s="19"/>
    </row>
    <row r="145" ht="16.2" customHeight="1" spans="1:6">
      <c r="A145" s="20" t="s">
        <v>18301</v>
      </c>
      <c r="B145" s="21" t="s">
        <v>18302</v>
      </c>
      <c r="C145" s="22" t="s">
        <v>104</v>
      </c>
      <c r="D145" s="23">
        <v>37.0819</v>
      </c>
      <c r="F145" s="19"/>
    </row>
    <row r="146" ht="16.2" customHeight="1" spans="1:6">
      <c r="A146" s="20" t="s">
        <v>18303</v>
      </c>
      <c r="B146" s="21" t="s">
        <v>18304</v>
      </c>
      <c r="C146" s="22" t="s">
        <v>104</v>
      </c>
      <c r="D146" s="23">
        <v>29.114</v>
      </c>
      <c r="F146" s="19"/>
    </row>
    <row r="228" ht="16.5" customHeight="1"/>
    <row r="261" ht="16.5" customHeight="1"/>
    <row r="269" customFormat="1" ht="16.5" customHeight="1"/>
    <row r="302" customFormat="1" ht="16.5" customHeight="1"/>
    <row r="407" ht="16.5" customHeight="1"/>
    <row r="437" ht="16.5" customHeight="1"/>
    <row r="448" customFormat="1" ht="16.5" customHeight="1"/>
    <row r="472" ht="16.5" customHeight="1"/>
    <row r="478" customFormat="1" ht="16.5" customHeight="1"/>
    <row r="507" ht="16.5" customHeight="1"/>
    <row r="513" customFormat="1" ht="16.5" customHeight="1"/>
    <row r="542" ht="16.5" customHeight="1"/>
    <row r="548" customFormat="1" ht="16.5" customHeight="1"/>
    <row r="577" ht="16.5" customHeight="1"/>
    <row r="583" customFormat="1" ht="16.5" customHeight="1"/>
    <row r="612" ht="16.5" customHeight="1"/>
    <row r="618" customFormat="1" ht="16.5" customHeight="1"/>
    <row r="647" ht="16.5" customHeight="1"/>
    <row r="653" customFormat="1" ht="16.5" customHeight="1"/>
    <row r="682" ht="16.5" customHeight="1"/>
    <row r="688" customFormat="1" ht="16.5" customHeight="1"/>
    <row r="717" ht="16.5" customHeight="1"/>
    <row r="723" customFormat="1" ht="16.5" customHeight="1"/>
    <row r="752" ht="16.5" customHeight="1"/>
    <row r="758" customFormat="1" ht="16.5" customHeight="1"/>
    <row r="787" ht="16.5" customHeight="1"/>
    <row r="793" customFormat="1" ht="16.5" customHeight="1"/>
    <row r="822" ht="16.5" customHeight="1"/>
    <row r="828" customFormat="1" ht="16.5" customHeight="1"/>
    <row r="857" ht="16.5" customHeight="1"/>
    <row r="863" customFormat="1" ht="16.5" customHeight="1"/>
    <row r="889" ht="16.5" customHeight="1"/>
    <row r="898" customFormat="1" ht="16.5" customHeight="1"/>
    <row r="918" ht="16.5" customHeight="1"/>
    <row r="930" customFormat="1" ht="16.5" customHeight="1"/>
    <row r="947" ht="16.5" customHeight="1"/>
    <row r="959" customFormat="1" ht="16.5" customHeight="1"/>
    <row r="976" ht="16.5" customHeight="1"/>
    <row r="988" customFormat="1" ht="16.5" customHeight="1"/>
    <row r="1005" ht="16.5" customHeight="1"/>
    <row r="1017" customFormat="1" ht="16.5" customHeight="1"/>
    <row r="1034" ht="16.5" customHeight="1"/>
    <row r="1046" customFormat="1" ht="16.5" customHeight="1"/>
    <row r="1063" ht="16.5" customHeight="1"/>
    <row r="1075" customFormat="1" ht="16.5" customHeight="1"/>
    <row r="1092" ht="16.5" customHeight="1"/>
    <row r="1104" customFormat="1" ht="16.5" customHeight="1"/>
    <row r="1133" customFormat="1" ht="16.5" customHeight="1"/>
    <row r="1150" ht="16.5" customHeight="1"/>
    <row r="1191" customFormat="1" ht="16.5" customHeight="1"/>
    <row r="1207" ht="16.5" customHeight="1"/>
    <row r="1236" ht="16.5" customHeight="1"/>
    <row r="1248" customFormat="1" ht="16.5" customHeight="1"/>
    <row r="1265" ht="16.5" customHeight="1"/>
    <row r="1277" customFormat="1" ht="16.5" customHeight="1"/>
    <row r="1306" customFormat="1" ht="16.5" customHeight="1"/>
    <row r="1323" ht="16.5" customHeight="1"/>
    <row r="1353" ht="16.5" customHeight="1"/>
    <row r="1364" customFormat="1" ht="16.5" customHeight="1"/>
    <row r="1394" customFormat="1" ht="16.5" customHeight="1"/>
    <row r="1439" ht="16.5" customHeight="1"/>
    <row r="1480" customFormat="1" ht="16.5" customHeight="1"/>
  </sheetData>
  <pageMargins left="0.511811024" right="0.511811024" top="0.787401575" bottom="0.787401575" header="0.31496062" footer="0.31496062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65"/>
  <sheetViews>
    <sheetView workbookViewId="0">
      <selection activeCell="A40" sqref="$A40:$XFD40"/>
    </sheetView>
  </sheetViews>
  <sheetFormatPr defaultColWidth="9" defaultRowHeight="15"/>
  <cols>
    <col min="1" max="1" width="9.33333333333333" customWidth="1"/>
    <col min="2" max="2" width="120" customWidth="1"/>
    <col min="3" max="11" width="18" customWidth="1"/>
  </cols>
  <sheetData>
    <row r="1" ht="48" customHeight="1" spans="1:11">
      <c r="A1" s="1" t="s">
        <v>55</v>
      </c>
      <c r="B1" s="2" t="s">
        <v>56</v>
      </c>
      <c r="C1" s="2" t="s">
        <v>18305</v>
      </c>
      <c r="D1" s="2" t="s">
        <v>18306</v>
      </c>
      <c r="E1" s="2" t="s">
        <v>18307</v>
      </c>
      <c r="F1" s="2" t="s">
        <v>18308</v>
      </c>
      <c r="G1" s="2" t="s">
        <v>18309</v>
      </c>
      <c r="H1" s="2" t="s">
        <v>18310</v>
      </c>
      <c r="I1" s="2" t="s">
        <v>18311</v>
      </c>
      <c r="J1" s="2" t="s">
        <v>18312</v>
      </c>
      <c r="K1" s="3" t="s">
        <v>18313</v>
      </c>
    </row>
    <row r="2" ht="15.75" customHeight="1" spans="1:11">
      <c r="A2" s="4" t="s">
        <v>15773</v>
      </c>
      <c r="B2" s="5" t="s">
        <v>18314</v>
      </c>
      <c r="C2" s="6">
        <v>73733.7043</v>
      </c>
      <c r="D2" s="6">
        <v>9.8312</v>
      </c>
      <c r="E2" s="6">
        <v>1.5165</v>
      </c>
      <c r="F2" s="6">
        <v>0</v>
      </c>
      <c r="G2" s="6">
        <v>7.3734</v>
      </c>
      <c r="H2" s="6">
        <v>0</v>
      </c>
      <c r="I2" s="6">
        <v>0</v>
      </c>
      <c r="J2" s="6">
        <v>18.7211</v>
      </c>
      <c r="K2" s="6">
        <v>11.3477</v>
      </c>
    </row>
    <row r="3" ht="15.75" customHeight="1" spans="1:11">
      <c r="A3" s="4" t="s">
        <v>15774</v>
      </c>
      <c r="B3" s="5" t="s">
        <v>18315</v>
      </c>
      <c r="C3" s="6">
        <v>96981.2309</v>
      </c>
      <c r="D3" s="6">
        <v>12.9308</v>
      </c>
      <c r="E3" s="6">
        <v>1.9946</v>
      </c>
      <c r="F3" s="6">
        <v>0</v>
      </c>
      <c r="G3" s="6">
        <v>9.6981</v>
      </c>
      <c r="H3" s="6">
        <v>0</v>
      </c>
      <c r="I3" s="6">
        <v>0</v>
      </c>
      <c r="J3" s="6">
        <v>24.6235</v>
      </c>
      <c r="K3" s="6">
        <v>14.9254</v>
      </c>
    </row>
    <row r="4" ht="15.75" customHeight="1" spans="1:11">
      <c r="A4" s="4" t="s">
        <v>15775</v>
      </c>
      <c r="B4" s="5" t="s">
        <v>18316</v>
      </c>
      <c r="C4" s="6">
        <v>101395.1775</v>
      </c>
      <c r="D4" s="6">
        <v>13.5194</v>
      </c>
      <c r="E4" s="6">
        <v>2.0854</v>
      </c>
      <c r="F4" s="6">
        <v>0</v>
      </c>
      <c r="G4" s="6">
        <v>10.1395</v>
      </c>
      <c r="H4" s="6">
        <v>0</v>
      </c>
      <c r="I4" s="6">
        <v>0</v>
      </c>
      <c r="J4" s="6">
        <v>25.7443</v>
      </c>
      <c r="K4" s="6">
        <v>15.6048</v>
      </c>
    </row>
    <row r="5" ht="15.75" customHeight="1" spans="1:11">
      <c r="A5" s="4" t="s">
        <v>15776</v>
      </c>
      <c r="B5" s="5" t="s">
        <v>18317</v>
      </c>
      <c r="C5" s="6">
        <v>128108.3259</v>
      </c>
      <c r="D5" s="6">
        <v>17.0811</v>
      </c>
      <c r="E5" s="6">
        <v>2.6348</v>
      </c>
      <c r="F5" s="6">
        <v>0</v>
      </c>
      <c r="G5" s="6">
        <v>12.8108</v>
      </c>
      <c r="H5" s="6">
        <v>0</v>
      </c>
      <c r="I5" s="6">
        <v>0</v>
      </c>
      <c r="J5" s="6">
        <v>32.5267</v>
      </c>
      <c r="K5" s="6">
        <v>19.7159</v>
      </c>
    </row>
    <row r="6" ht="15.75" customHeight="1" spans="1:11">
      <c r="A6" s="4" t="s">
        <v>15777</v>
      </c>
      <c r="B6" s="5" t="s">
        <v>18318</v>
      </c>
      <c r="C6" s="6">
        <v>151341.0013</v>
      </c>
      <c r="D6" s="6">
        <v>20.1788</v>
      </c>
      <c r="E6" s="6">
        <v>3.1126</v>
      </c>
      <c r="F6" s="6">
        <v>0</v>
      </c>
      <c r="G6" s="6">
        <v>15.1341</v>
      </c>
      <c r="H6" s="6">
        <v>0</v>
      </c>
      <c r="I6" s="6">
        <v>0</v>
      </c>
      <c r="J6" s="6">
        <v>38.4255</v>
      </c>
      <c r="K6" s="6">
        <v>23.2914</v>
      </c>
    </row>
    <row r="7" ht="15.75" customHeight="1" spans="1:11">
      <c r="A7" s="4" t="s">
        <v>15778</v>
      </c>
      <c r="B7" s="5" t="s">
        <v>18319</v>
      </c>
      <c r="C7" s="6">
        <v>5335.5951</v>
      </c>
      <c r="D7" s="6">
        <v>0.9071</v>
      </c>
      <c r="E7" s="6">
        <v>0.1152</v>
      </c>
      <c r="F7" s="6">
        <v>0</v>
      </c>
      <c r="G7" s="6">
        <v>0.5336</v>
      </c>
      <c r="H7" s="6">
        <v>0</v>
      </c>
      <c r="I7" s="6">
        <v>0</v>
      </c>
      <c r="J7" s="6">
        <v>1.5559</v>
      </c>
      <c r="K7" s="6">
        <v>1.0223</v>
      </c>
    </row>
    <row r="8" ht="15.75" customHeight="1" spans="1:11">
      <c r="A8" s="4" t="s">
        <v>15779</v>
      </c>
      <c r="B8" s="5" t="s">
        <v>18320</v>
      </c>
      <c r="C8" s="6">
        <v>167858.9058</v>
      </c>
      <c r="D8" s="6">
        <v>16.7859</v>
      </c>
      <c r="E8" s="6">
        <v>3.2365</v>
      </c>
      <c r="F8" s="6">
        <v>0</v>
      </c>
      <c r="G8" s="6">
        <v>14.6877</v>
      </c>
      <c r="H8" s="6">
        <v>8.6313</v>
      </c>
      <c r="I8" s="6">
        <v>0</v>
      </c>
      <c r="J8" s="6">
        <v>43.3414</v>
      </c>
      <c r="K8" s="6">
        <v>20.0224</v>
      </c>
    </row>
    <row r="9" ht="15.75" customHeight="1" spans="1:11">
      <c r="A9" s="4" t="s">
        <v>15780</v>
      </c>
      <c r="B9" s="5" t="s">
        <v>18321</v>
      </c>
      <c r="C9" s="6">
        <v>1599.4504</v>
      </c>
      <c r="D9" s="6">
        <v>1.4395</v>
      </c>
      <c r="E9" s="6">
        <v>0.074</v>
      </c>
      <c r="F9" s="6">
        <v>0</v>
      </c>
      <c r="G9" s="6">
        <v>0.7997</v>
      </c>
      <c r="H9" s="6">
        <v>0</v>
      </c>
      <c r="I9" s="6">
        <v>0</v>
      </c>
      <c r="J9" s="6">
        <v>2.3132</v>
      </c>
      <c r="K9" s="6">
        <v>1.5135</v>
      </c>
    </row>
    <row r="10" ht="15.75" customHeight="1" spans="1:11">
      <c r="A10" s="4" t="s">
        <v>15781</v>
      </c>
      <c r="B10" s="5" t="s">
        <v>18322</v>
      </c>
      <c r="C10" s="6">
        <v>635918.1894</v>
      </c>
      <c r="D10" s="6">
        <v>7.2793</v>
      </c>
      <c r="E10" s="6">
        <v>3.6554</v>
      </c>
      <c r="F10" s="6">
        <v>0</v>
      </c>
      <c r="G10" s="6">
        <v>16.1762</v>
      </c>
      <c r="H10" s="6">
        <v>282.0968</v>
      </c>
      <c r="I10" s="6">
        <v>136.0494</v>
      </c>
      <c r="J10" s="6">
        <v>445.2571</v>
      </c>
      <c r="K10" s="6">
        <v>146.9841</v>
      </c>
    </row>
    <row r="11" ht="15.75" customHeight="1" spans="1:11">
      <c r="A11" s="4" t="s">
        <v>1066</v>
      </c>
      <c r="B11" s="5" t="s">
        <v>1067</v>
      </c>
      <c r="C11" s="6">
        <v>4333.0914</v>
      </c>
      <c r="D11" s="6">
        <v>0.65</v>
      </c>
      <c r="E11" s="6">
        <v>0.0891</v>
      </c>
      <c r="F11" s="6">
        <v>0</v>
      </c>
      <c r="G11" s="6">
        <v>0.3611</v>
      </c>
      <c r="H11" s="6">
        <v>0</v>
      </c>
      <c r="I11" s="6">
        <v>0</v>
      </c>
      <c r="J11" s="6">
        <v>1.1002</v>
      </c>
      <c r="K11" s="6">
        <v>0.7391</v>
      </c>
    </row>
    <row r="12" ht="15.75" customHeight="1" spans="1:11">
      <c r="A12" s="4" t="s">
        <v>15782</v>
      </c>
      <c r="B12" s="5" t="s">
        <v>18323</v>
      </c>
      <c r="C12" s="6">
        <v>1817.9308</v>
      </c>
      <c r="D12" s="6">
        <v>0.3272</v>
      </c>
      <c r="E12" s="6">
        <v>0.0393</v>
      </c>
      <c r="F12" s="6">
        <v>0</v>
      </c>
      <c r="G12" s="6">
        <v>0.1818</v>
      </c>
      <c r="H12" s="6">
        <v>0</v>
      </c>
      <c r="I12" s="6">
        <v>0</v>
      </c>
      <c r="J12" s="6">
        <v>0.5483</v>
      </c>
      <c r="K12" s="6">
        <v>0.3665</v>
      </c>
    </row>
    <row r="13" ht="15.75" customHeight="1" spans="1:11">
      <c r="A13" s="4" t="s">
        <v>15784</v>
      </c>
      <c r="B13" s="5" t="s">
        <v>18324</v>
      </c>
      <c r="C13" s="6">
        <v>2292474.306</v>
      </c>
      <c r="D13" s="6">
        <v>183.3979</v>
      </c>
      <c r="E13" s="6">
        <v>42.4337</v>
      </c>
      <c r="F13" s="6">
        <v>0</v>
      </c>
      <c r="G13" s="6">
        <v>114.6237</v>
      </c>
      <c r="H13" s="6">
        <v>0</v>
      </c>
      <c r="I13" s="6">
        <v>38.1454</v>
      </c>
      <c r="J13" s="6">
        <v>378.6007</v>
      </c>
      <c r="K13" s="6">
        <v>263.977</v>
      </c>
    </row>
    <row r="14" ht="15.75" customHeight="1" spans="1:11">
      <c r="A14" s="4" t="s">
        <v>15785</v>
      </c>
      <c r="B14" s="5" t="s">
        <v>18325</v>
      </c>
      <c r="C14" s="6">
        <v>68736.2523</v>
      </c>
      <c r="D14" s="6">
        <v>5.4989</v>
      </c>
      <c r="E14" s="6">
        <v>1.2723</v>
      </c>
      <c r="F14" s="6">
        <v>0</v>
      </c>
      <c r="G14" s="6">
        <v>4.8115</v>
      </c>
      <c r="H14" s="6">
        <v>0</v>
      </c>
      <c r="I14" s="6">
        <v>26.5829</v>
      </c>
      <c r="J14" s="6">
        <v>38.1656</v>
      </c>
      <c r="K14" s="6">
        <v>33.3541</v>
      </c>
    </row>
    <row r="15" ht="15.75" customHeight="1" spans="1:11">
      <c r="A15" s="4" t="s">
        <v>15786</v>
      </c>
      <c r="B15" s="5" t="s">
        <v>18326</v>
      </c>
      <c r="C15" s="6">
        <v>11266390.8014</v>
      </c>
      <c r="D15" s="6">
        <v>1577.2947</v>
      </c>
      <c r="E15" s="6">
        <v>243.2977</v>
      </c>
      <c r="F15" s="6">
        <v>0</v>
      </c>
      <c r="G15" s="6">
        <v>2027.9503</v>
      </c>
      <c r="H15" s="6">
        <v>100.3626</v>
      </c>
      <c r="I15" s="6">
        <v>45.2393</v>
      </c>
      <c r="J15" s="6">
        <v>3994.1446</v>
      </c>
      <c r="K15" s="6">
        <v>1865.8317</v>
      </c>
    </row>
    <row r="16" ht="15.75" customHeight="1" spans="1:11">
      <c r="A16" s="4" t="s">
        <v>15787</v>
      </c>
      <c r="B16" s="5" t="s">
        <v>18327</v>
      </c>
      <c r="C16" s="6">
        <v>662701.3319</v>
      </c>
      <c r="D16" s="6">
        <v>54.5754</v>
      </c>
      <c r="E16" s="6">
        <v>12.6274</v>
      </c>
      <c r="F16" s="6">
        <v>0</v>
      </c>
      <c r="G16" s="6">
        <v>54.5754</v>
      </c>
      <c r="H16" s="6">
        <v>46.0928</v>
      </c>
      <c r="I16" s="6">
        <v>33.7544</v>
      </c>
      <c r="J16" s="6">
        <v>201.6254</v>
      </c>
      <c r="K16" s="6">
        <v>100.9572</v>
      </c>
    </row>
    <row r="17" ht="15.75" customHeight="1" spans="1:11">
      <c r="A17" s="4" t="s">
        <v>15789</v>
      </c>
      <c r="B17" s="5" t="s">
        <v>18328</v>
      </c>
      <c r="C17" s="6">
        <v>6662732.9218</v>
      </c>
      <c r="D17" s="6">
        <v>932.7826</v>
      </c>
      <c r="E17" s="6">
        <v>143.8817</v>
      </c>
      <c r="F17" s="6">
        <v>0</v>
      </c>
      <c r="G17" s="6">
        <v>1332.5466</v>
      </c>
      <c r="H17" s="6">
        <v>504.14</v>
      </c>
      <c r="I17" s="6">
        <v>45.2393</v>
      </c>
      <c r="J17" s="6">
        <v>2958.5902</v>
      </c>
      <c r="K17" s="6">
        <v>1121.9036</v>
      </c>
    </row>
    <row r="18" ht="15.75" customHeight="1" spans="1:11">
      <c r="A18" s="4" t="s">
        <v>15790</v>
      </c>
      <c r="B18" s="5" t="s">
        <v>18329</v>
      </c>
      <c r="C18" s="6">
        <v>333889.5639</v>
      </c>
      <c r="D18" s="6">
        <v>23.3723</v>
      </c>
      <c r="E18" s="6">
        <v>6.1803</v>
      </c>
      <c r="F18" s="6">
        <v>0</v>
      </c>
      <c r="G18" s="6">
        <v>16.6945</v>
      </c>
      <c r="H18" s="6">
        <v>384.199</v>
      </c>
      <c r="I18" s="6">
        <v>0</v>
      </c>
      <c r="J18" s="6">
        <v>430.4461</v>
      </c>
      <c r="K18" s="6">
        <v>29.5526</v>
      </c>
    </row>
    <row r="19" ht="15.75" customHeight="1" spans="1:11">
      <c r="A19" s="4" t="s">
        <v>15791</v>
      </c>
      <c r="B19" s="5" t="s">
        <v>18330</v>
      </c>
      <c r="C19" s="6">
        <v>706000.3024</v>
      </c>
      <c r="D19" s="6">
        <v>35.3</v>
      </c>
      <c r="E19" s="6">
        <v>12.1001</v>
      </c>
      <c r="F19" s="6">
        <v>0</v>
      </c>
      <c r="G19" s="6">
        <v>27.4556</v>
      </c>
      <c r="H19" s="6">
        <v>0</v>
      </c>
      <c r="I19" s="6">
        <v>26.5829</v>
      </c>
      <c r="J19" s="6">
        <v>101.4386</v>
      </c>
      <c r="K19" s="6">
        <v>73.983</v>
      </c>
    </row>
    <row r="20" ht="15.75" customHeight="1" spans="1:11">
      <c r="A20" s="4" t="s">
        <v>15792</v>
      </c>
      <c r="B20" s="5" t="s">
        <v>18331</v>
      </c>
      <c r="C20" s="6">
        <v>4085077.3576</v>
      </c>
      <c r="D20" s="6">
        <v>158.8641</v>
      </c>
      <c r="E20" s="6">
        <v>70.0137</v>
      </c>
      <c r="F20" s="6">
        <v>0</v>
      </c>
      <c r="G20" s="6">
        <v>226.9487</v>
      </c>
      <c r="H20" s="6">
        <v>74.79</v>
      </c>
      <c r="I20" s="6">
        <v>45.2393</v>
      </c>
      <c r="J20" s="6">
        <v>575.8558</v>
      </c>
      <c r="K20" s="6">
        <v>274.1171</v>
      </c>
    </row>
    <row r="21" ht="15.75" customHeight="1" spans="1:11">
      <c r="A21" s="4" t="s">
        <v>15793</v>
      </c>
      <c r="B21" s="5" t="s">
        <v>18332</v>
      </c>
      <c r="C21" s="6">
        <v>9192.1801</v>
      </c>
      <c r="D21" s="6">
        <v>1.4707</v>
      </c>
      <c r="E21" s="6">
        <v>0.1985</v>
      </c>
      <c r="F21" s="6">
        <v>0</v>
      </c>
      <c r="G21" s="6">
        <v>1.2869</v>
      </c>
      <c r="H21" s="6">
        <v>0</v>
      </c>
      <c r="I21" s="6">
        <v>26.5829</v>
      </c>
      <c r="J21" s="6">
        <v>29.539</v>
      </c>
      <c r="K21" s="6">
        <v>28.2521</v>
      </c>
    </row>
    <row r="22" ht="15.75" customHeight="1" spans="1:11">
      <c r="A22" s="4" t="s">
        <v>15794</v>
      </c>
      <c r="B22" s="5" t="s">
        <v>18333</v>
      </c>
      <c r="C22" s="6">
        <v>108248.8509</v>
      </c>
      <c r="D22" s="6">
        <v>6.1856</v>
      </c>
      <c r="E22" s="6">
        <v>1.9083</v>
      </c>
      <c r="F22" s="6">
        <v>0</v>
      </c>
      <c r="G22" s="6">
        <v>6.1856</v>
      </c>
      <c r="H22" s="6">
        <v>0</v>
      </c>
      <c r="I22" s="6">
        <v>45.2393</v>
      </c>
      <c r="J22" s="6">
        <v>59.5188</v>
      </c>
      <c r="K22" s="6">
        <v>53.3332</v>
      </c>
    </row>
    <row r="23" ht="15.75" customHeight="1" spans="1:11">
      <c r="A23" s="4" t="s">
        <v>15795</v>
      </c>
      <c r="B23" s="5" t="s">
        <v>18334</v>
      </c>
      <c r="C23" s="6">
        <v>36691.229</v>
      </c>
      <c r="D23" s="6">
        <v>3.6691</v>
      </c>
      <c r="E23" s="6">
        <v>0.7075</v>
      </c>
      <c r="F23" s="6">
        <v>0</v>
      </c>
      <c r="G23" s="6">
        <v>3.2105</v>
      </c>
      <c r="H23" s="6">
        <v>0</v>
      </c>
      <c r="I23" s="6">
        <v>0</v>
      </c>
      <c r="J23" s="6">
        <v>7.5871</v>
      </c>
      <c r="K23" s="6">
        <v>4.3766</v>
      </c>
    </row>
    <row r="24" ht="15.75" customHeight="1" spans="1:11">
      <c r="A24" s="4" t="s">
        <v>15797</v>
      </c>
      <c r="B24" s="5" t="s">
        <v>18335</v>
      </c>
      <c r="C24" s="6">
        <v>5503.6389</v>
      </c>
      <c r="D24" s="6">
        <v>1.1007</v>
      </c>
      <c r="E24" s="6">
        <v>0.1273</v>
      </c>
      <c r="F24" s="6">
        <v>0</v>
      </c>
      <c r="G24" s="6">
        <v>1.2383</v>
      </c>
      <c r="H24" s="6">
        <v>9.5914</v>
      </c>
      <c r="I24" s="6">
        <v>26.5829</v>
      </c>
      <c r="J24" s="6">
        <v>38.6406</v>
      </c>
      <c r="K24" s="6">
        <v>27.8109</v>
      </c>
    </row>
    <row r="25" ht="15.75" customHeight="1" spans="1:11">
      <c r="A25" s="4" t="s">
        <v>15798</v>
      </c>
      <c r="B25" s="5" t="s">
        <v>18336</v>
      </c>
      <c r="C25" s="6">
        <v>137650.6341</v>
      </c>
      <c r="D25" s="6">
        <v>7.8658</v>
      </c>
      <c r="E25" s="6">
        <v>2.4266</v>
      </c>
      <c r="F25" s="6">
        <v>0</v>
      </c>
      <c r="G25" s="6">
        <v>7.8658</v>
      </c>
      <c r="H25" s="6">
        <v>0</v>
      </c>
      <c r="I25" s="6">
        <v>45.2393</v>
      </c>
      <c r="J25" s="6">
        <v>63.3975</v>
      </c>
      <c r="K25" s="6">
        <v>55.5317</v>
      </c>
    </row>
    <row r="26" ht="15.75" customHeight="1" spans="1:11">
      <c r="A26" s="4" t="s">
        <v>15799</v>
      </c>
      <c r="B26" s="5" t="s">
        <v>18337</v>
      </c>
      <c r="C26" s="6">
        <v>14880.0428</v>
      </c>
      <c r="D26" s="6">
        <v>0.8503</v>
      </c>
      <c r="E26" s="6">
        <v>0.2623</v>
      </c>
      <c r="F26" s="6">
        <v>0</v>
      </c>
      <c r="G26" s="6">
        <v>0.8503</v>
      </c>
      <c r="H26" s="6">
        <v>0</v>
      </c>
      <c r="I26" s="6">
        <v>0</v>
      </c>
      <c r="J26" s="6">
        <v>1.9629</v>
      </c>
      <c r="K26" s="6">
        <v>1.1126</v>
      </c>
    </row>
    <row r="27" ht="15.75" customHeight="1" spans="1:11">
      <c r="A27" s="4" t="s">
        <v>15800</v>
      </c>
      <c r="B27" s="5" t="s">
        <v>18338</v>
      </c>
      <c r="C27" s="6">
        <v>333926.6054</v>
      </c>
      <c r="D27" s="6">
        <v>26.7141</v>
      </c>
      <c r="E27" s="6">
        <v>6.181</v>
      </c>
      <c r="F27" s="6">
        <v>0</v>
      </c>
      <c r="G27" s="6">
        <v>23.3749</v>
      </c>
      <c r="H27" s="6">
        <v>0</v>
      </c>
      <c r="I27" s="6">
        <v>26.5829</v>
      </c>
      <c r="J27" s="6">
        <v>82.8529</v>
      </c>
      <c r="K27" s="6">
        <v>59.478</v>
      </c>
    </row>
    <row r="28" ht="15.75" customHeight="1" spans="1:11">
      <c r="A28" s="4" t="s">
        <v>15801</v>
      </c>
      <c r="B28" s="5" t="s">
        <v>18339</v>
      </c>
      <c r="C28" s="6">
        <v>78675.4939</v>
      </c>
      <c r="D28" s="6">
        <v>4.4957</v>
      </c>
      <c r="E28" s="6">
        <v>1.3869</v>
      </c>
      <c r="F28" s="6">
        <v>0</v>
      </c>
      <c r="G28" s="6">
        <v>4.4957</v>
      </c>
      <c r="H28" s="6">
        <v>0</v>
      </c>
      <c r="I28" s="6">
        <v>45.2393</v>
      </c>
      <c r="J28" s="6">
        <v>55.6176</v>
      </c>
      <c r="K28" s="6">
        <v>51.1219</v>
      </c>
    </row>
    <row r="29" ht="15.75" customHeight="1" spans="1:11">
      <c r="A29" s="4" t="s">
        <v>15802</v>
      </c>
      <c r="B29" s="5" t="s">
        <v>18340</v>
      </c>
      <c r="C29" s="6">
        <v>112387.3026</v>
      </c>
      <c r="D29" s="6">
        <v>6.4221</v>
      </c>
      <c r="E29" s="6">
        <v>1.9812</v>
      </c>
      <c r="F29" s="6">
        <v>0</v>
      </c>
      <c r="G29" s="6">
        <v>6.4221</v>
      </c>
      <c r="H29" s="6">
        <v>0</v>
      </c>
      <c r="I29" s="6">
        <v>45.2393</v>
      </c>
      <c r="J29" s="6">
        <v>60.0647</v>
      </c>
      <c r="K29" s="6">
        <v>53.6426</v>
      </c>
    </row>
    <row r="30" ht="15.75" customHeight="1" spans="1:11">
      <c r="A30" s="4" t="s">
        <v>15803</v>
      </c>
      <c r="B30" s="5" t="s">
        <v>18341</v>
      </c>
      <c r="C30" s="6">
        <v>168562.3324</v>
      </c>
      <c r="D30" s="6">
        <v>9.6321</v>
      </c>
      <c r="E30" s="6">
        <v>2.9715</v>
      </c>
      <c r="F30" s="6">
        <v>0</v>
      </c>
      <c r="G30" s="6">
        <v>9.6321</v>
      </c>
      <c r="H30" s="6">
        <v>0</v>
      </c>
      <c r="I30" s="6">
        <v>45.2393</v>
      </c>
      <c r="J30" s="6">
        <v>67.475</v>
      </c>
      <c r="K30" s="6">
        <v>57.8429</v>
      </c>
    </row>
    <row r="31" ht="15.75" customHeight="1" spans="1:11">
      <c r="A31" s="4" t="s">
        <v>15804</v>
      </c>
      <c r="B31" s="5" t="s">
        <v>18342</v>
      </c>
      <c r="C31" s="6">
        <v>224737.6852</v>
      </c>
      <c r="D31" s="6">
        <v>12.8422</v>
      </c>
      <c r="E31" s="6">
        <v>3.9618</v>
      </c>
      <c r="F31" s="6">
        <v>0</v>
      </c>
      <c r="G31" s="6">
        <v>12.8422</v>
      </c>
      <c r="H31" s="6">
        <v>0</v>
      </c>
      <c r="I31" s="6">
        <v>45.2393</v>
      </c>
      <c r="J31" s="6">
        <v>74.8855</v>
      </c>
      <c r="K31" s="6">
        <v>62.0433</v>
      </c>
    </row>
    <row r="32" ht="15.75" customHeight="1" spans="1:11">
      <c r="A32" s="4" t="s">
        <v>15805</v>
      </c>
      <c r="B32" s="5" t="s">
        <v>18343</v>
      </c>
      <c r="C32" s="6">
        <v>3785680.2078</v>
      </c>
      <c r="D32" s="6">
        <v>147.2209</v>
      </c>
      <c r="E32" s="6">
        <v>64.8824</v>
      </c>
      <c r="F32" s="6">
        <v>0</v>
      </c>
      <c r="G32" s="6">
        <v>168.2525</v>
      </c>
      <c r="H32" s="6">
        <v>0</v>
      </c>
      <c r="I32" s="6">
        <v>45.2393</v>
      </c>
      <c r="J32" s="6">
        <v>425.5951</v>
      </c>
      <c r="K32" s="6">
        <v>257.3426</v>
      </c>
    </row>
    <row r="33" ht="15.75" customHeight="1" spans="1:11">
      <c r="A33" s="4" t="s">
        <v>15807</v>
      </c>
      <c r="B33" s="5" t="s">
        <v>18344</v>
      </c>
      <c r="C33" s="6">
        <v>18683.7339</v>
      </c>
      <c r="D33" s="6">
        <v>1.0676</v>
      </c>
      <c r="E33" s="6">
        <v>0.3294</v>
      </c>
      <c r="F33" s="6">
        <v>0</v>
      </c>
      <c r="G33" s="6">
        <v>1.0676</v>
      </c>
      <c r="H33" s="6">
        <v>0</v>
      </c>
      <c r="I33" s="6">
        <v>45.2393</v>
      </c>
      <c r="J33" s="6">
        <v>47.7039</v>
      </c>
      <c r="K33" s="6">
        <v>46.6363</v>
      </c>
    </row>
    <row r="34" ht="15.75" customHeight="1" spans="1:11">
      <c r="A34" s="4" t="s">
        <v>15808</v>
      </c>
      <c r="B34" s="5" t="s">
        <v>18345</v>
      </c>
      <c r="C34" s="6">
        <v>115461.0033</v>
      </c>
      <c r="D34" s="6">
        <v>15.3948</v>
      </c>
      <c r="E34" s="6">
        <v>2.3746</v>
      </c>
      <c r="F34" s="6">
        <v>0</v>
      </c>
      <c r="G34" s="6">
        <v>15.3948</v>
      </c>
      <c r="H34" s="6">
        <v>4.2104</v>
      </c>
      <c r="I34" s="6">
        <v>45.2393</v>
      </c>
      <c r="J34" s="6">
        <v>82.6139</v>
      </c>
      <c r="K34" s="6">
        <v>63.0087</v>
      </c>
    </row>
    <row r="35" ht="15.75" customHeight="1" spans="1:11">
      <c r="A35" s="4" t="s">
        <v>15809</v>
      </c>
      <c r="B35" s="5" t="s">
        <v>18346</v>
      </c>
      <c r="C35" s="6">
        <v>462.87</v>
      </c>
      <c r="D35" s="6">
        <v>0.0417</v>
      </c>
      <c r="E35" s="6">
        <v>0.0086</v>
      </c>
      <c r="F35" s="6">
        <v>0</v>
      </c>
      <c r="G35" s="6">
        <v>0.0231</v>
      </c>
      <c r="H35" s="6">
        <v>0</v>
      </c>
      <c r="I35" s="6">
        <v>0</v>
      </c>
      <c r="J35" s="6">
        <v>0.0734</v>
      </c>
      <c r="K35" s="6">
        <v>0.0503</v>
      </c>
    </row>
    <row r="36" ht="15.75" customHeight="1" spans="1:11">
      <c r="A36" s="4" t="s">
        <v>15810</v>
      </c>
      <c r="B36" s="5" t="s">
        <v>18347</v>
      </c>
      <c r="C36" s="6">
        <v>1352016.8099</v>
      </c>
      <c r="D36" s="6">
        <v>118.3015</v>
      </c>
      <c r="E36" s="6">
        <v>26.0686</v>
      </c>
      <c r="F36" s="6">
        <v>0</v>
      </c>
      <c r="G36" s="6">
        <v>169.0021</v>
      </c>
      <c r="H36" s="6">
        <v>75.2332</v>
      </c>
      <c r="I36" s="6">
        <v>33.7544</v>
      </c>
      <c r="J36" s="6">
        <v>422.3598</v>
      </c>
      <c r="K36" s="6">
        <v>178.1245</v>
      </c>
    </row>
    <row r="37" ht="15.75" customHeight="1" spans="1:11">
      <c r="A37" s="4" t="s">
        <v>15811</v>
      </c>
      <c r="B37" s="5" t="s">
        <v>18348</v>
      </c>
      <c r="C37" s="6">
        <v>35888.0432</v>
      </c>
      <c r="D37" s="6">
        <v>0.4108</v>
      </c>
      <c r="E37" s="6">
        <v>0.2063</v>
      </c>
      <c r="F37" s="6">
        <v>0</v>
      </c>
      <c r="G37" s="6">
        <v>0.4565</v>
      </c>
      <c r="H37" s="6">
        <v>39.2088</v>
      </c>
      <c r="I37" s="6">
        <v>41.7512</v>
      </c>
      <c r="J37" s="6">
        <v>82.0336</v>
      </c>
      <c r="K37" s="6">
        <v>42.3683</v>
      </c>
    </row>
    <row r="38" ht="15.75" customHeight="1" spans="1:11">
      <c r="A38" s="4" t="s">
        <v>15812</v>
      </c>
      <c r="B38" s="5" t="s">
        <v>18349</v>
      </c>
      <c r="C38" s="6">
        <v>2067661.7683</v>
      </c>
      <c r="D38" s="6">
        <v>206.7662</v>
      </c>
      <c r="E38" s="6">
        <v>39.8671</v>
      </c>
      <c r="F38" s="6">
        <v>0</v>
      </c>
      <c r="G38" s="6">
        <v>180.9204</v>
      </c>
      <c r="H38" s="6">
        <v>0</v>
      </c>
      <c r="I38" s="6">
        <v>45.2393</v>
      </c>
      <c r="J38" s="6">
        <v>472.793</v>
      </c>
      <c r="K38" s="6">
        <v>291.8726</v>
      </c>
    </row>
    <row r="39" ht="15.75" customHeight="1" spans="1:11">
      <c r="A39" s="4" t="s">
        <v>15813</v>
      </c>
      <c r="B39" s="5" t="s">
        <v>18350</v>
      </c>
      <c r="C39" s="6">
        <v>63263.7031</v>
      </c>
      <c r="D39" s="6">
        <v>5.0611</v>
      </c>
      <c r="E39" s="6">
        <v>1.171</v>
      </c>
      <c r="F39" s="6">
        <v>0</v>
      </c>
      <c r="G39" s="6">
        <v>5.0611</v>
      </c>
      <c r="H39" s="6">
        <v>6.071</v>
      </c>
      <c r="I39" s="6">
        <v>45.2393</v>
      </c>
      <c r="J39" s="6">
        <v>62.6035</v>
      </c>
      <c r="K39" s="6">
        <v>51.4714</v>
      </c>
    </row>
    <row r="40" ht="15.75" customHeight="1" spans="1:11">
      <c r="A40" s="4" t="s">
        <v>15814</v>
      </c>
      <c r="B40" s="5" t="s">
        <v>18351</v>
      </c>
      <c r="C40" s="6">
        <v>79944.6084</v>
      </c>
      <c r="D40" s="6">
        <v>6.3956</v>
      </c>
      <c r="E40" s="6">
        <v>1.4798</v>
      </c>
      <c r="F40" s="6">
        <v>0</v>
      </c>
      <c r="G40" s="6">
        <v>6.3956</v>
      </c>
      <c r="H40" s="6">
        <v>6.071</v>
      </c>
      <c r="I40" s="6">
        <v>45.2393</v>
      </c>
      <c r="J40" s="6">
        <v>65.5813</v>
      </c>
      <c r="K40" s="6">
        <v>53.1147</v>
      </c>
    </row>
    <row r="41" ht="15.75" customHeight="1" spans="1:11">
      <c r="A41" s="4" t="s">
        <v>15815</v>
      </c>
      <c r="B41" s="5" t="s">
        <v>18352</v>
      </c>
      <c r="C41" s="6">
        <v>122379.5043</v>
      </c>
      <c r="D41" s="6">
        <v>9.7904</v>
      </c>
      <c r="E41" s="6">
        <v>2.2652</v>
      </c>
      <c r="F41" s="6">
        <v>0</v>
      </c>
      <c r="G41" s="6">
        <v>9.7904</v>
      </c>
      <c r="H41" s="6">
        <v>6.071</v>
      </c>
      <c r="I41" s="6">
        <v>45.2393</v>
      </c>
      <c r="J41" s="6">
        <v>73.1563</v>
      </c>
      <c r="K41" s="6">
        <v>57.2949</v>
      </c>
    </row>
    <row r="42" ht="15.75" customHeight="1" spans="1:11">
      <c r="A42" s="4" t="s">
        <v>15816</v>
      </c>
      <c r="B42" s="5" t="s">
        <v>18353</v>
      </c>
      <c r="C42" s="6">
        <v>141667.3117</v>
      </c>
      <c r="D42" s="6">
        <v>11.3334</v>
      </c>
      <c r="E42" s="6">
        <v>2.6223</v>
      </c>
      <c r="F42" s="6">
        <v>0</v>
      </c>
      <c r="G42" s="6">
        <v>11.3334</v>
      </c>
      <c r="H42" s="6">
        <v>6.071</v>
      </c>
      <c r="I42" s="6">
        <v>45.2393</v>
      </c>
      <c r="J42" s="6">
        <v>76.5994</v>
      </c>
      <c r="K42" s="6">
        <v>59.195</v>
      </c>
    </row>
    <row r="43" ht="15.75" customHeight="1" spans="1:11">
      <c r="A43" s="4" t="s">
        <v>15817</v>
      </c>
      <c r="B43" s="5" t="s">
        <v>18354</v>
      </c>
      <c r="C43" s="6">
        <v>736508.9796</v>
      </c>
      <c r="D43" s="6">
        <v>147.3018</v>
      </c>
      <c r="E43" s="6">
        <v>17.041</v>
      </c>
      <c r="F43" s="6">
        <v>0</v>
      </c>
      <c r="G43" s="6">
        <v>165.7145</v>
      </c>
      <c r="H43" s="6">
        <v>59.832</v>
      </c>
      <c r="I43" s="6">
        <v>26.5829</v>
      </c>
      <c r="J43" s="6">
        <v>416.4722</v>
      </c>
      <c r="K43" s="6">
        <v>190.9257</v>
      </c>
    </row>
    <row r="44" ht="15.75" customHeight="1" spans="1:11">
      <c r="A44" s="4" t="s">
        <v>15818</v>
      </c>
      <c r="B44" s="5" t="s">
        <v>18355</v>
      </c>
      <c r="C44" s="6">
        <v>2831670.1682</v>
      </c>
      <c r="D44" s="6">
        <v>141.5835</v>
      </c>
      <c r="E44" s="6">
        <v>49.9183</v>
      </c>
      <c r="F44" s="6">
        <v>0</v>
      </c>
      <c r="G44" s="6">
        <v>182.0359</v>
      </c>
      <c r="H44" s="6">
        <v>26.869</v>
      </c>
      <c r="I44" s="6">
        <v>38.1454</v>
      </c>
      <c r="J44" s="6">
        <v>438.5521</v>
      </c>
      <c r="K44" s="6">
        <v>229.6472</v>
      </c>
    </row>
    <row r="45" ht="15.75" customHeight="1" spans="1:11">
      <c r="A45" s="4" t="s">
        <v>15819</v>
      </c>
      <c r="B45" s="5" t="s">
        <v>18356</v>
      </c>
      <c r="C45" s="6">
        <v>1120220.489</v>
      </c>
      <c r="D45" s="6">
        <v>89.6176</v>
      </c>
      <c r="E45" s="6">
        <v>20.7353</v>
      </c>
      <c r="F45" s="6">
        <v>0</v>
      </c>
      <c r="G45" s="6">
        <v>78.4154</v>
      </c>
      <c r="H45" s="6">
        <v>10.9194</v>
      </c>
      <c r="I45" s="6">
        <v>26.5829</v>
      </c>
      <c r="J45" s="6">
        <v>226.2706</v>
      </c>
      <c r="K45" s="6">
        <v>136.9358</v>
      </c>
    </row>
    <row r="46" ht="15.75" customHeight="1" spans="1:11">
      <c r="A46" s="4" t="s">
        <v>15820</v>
      </c>
      <c r="B46" s="5" t="s">
        <v>18357</v>
      </c>
      <c r="C46" s="6">
        <v>776422.8682</v>
      </c>
      <c r="D46" s="6">
        <v>62.1138</v>
      </c>
      <c r="E46" s="6">
        <v>14.3716</v>
      </c>
      <c r="F46" s="6">
        <v>0</v>
      </c>
      <c r="G46" s="6">
        <v>54.3496</v>
      </c>
      <c r="H46" s="6">
        <v>68.142</v>
      </c>
      <c r="I46" s="6">
        <v>26.5829</v>
      </c>
      <c r="J46" s="6">
        <v>225.5599</v>
      </c>
      <c r="K46" s="6">
        <v>103.0683</v>
      </c>
    </row>
    <row r="47" ht="15.75" customHeight="1" spans="1:11">
      <c r="A47" s="4" t="s">
        <v>15821</v>
      </c>
      <c r="B47" s="5" t="s">
        <v>18358</v>
      </c>
      <c r="C47" s="6">
        <v>545661.8652</v>
      </c>
      <c r="D47" s="6">
        <v>14.6159</v>
      </c>
      <c r="E47" s="6">
        <v>4.7094</v>
      </c>
      <c r="F47" s="6">
        <v>0</v>
      </c>
      <c r="G47" s="6">
        <v>12.9919</v>
      </c>
      <c r="H47" s="6">
        <v>17.728</v>
      </c>
      <c r="I47" s="6">
        <v>32.2643</v>
      </c>
      <c r="J47" s="6">
        <v>82.3095</v>
      </c>
      <c r="K47" s="6">
        <v>51.5896</v>
      </c>
    </row>
    <row r="48" ht="15.75" customHeight="1" spans="1:11">
      <c r="A48" s="4" t="s">
        <v>15822</v>
      </c>
      <c r="B48" s="5" t="s">
        <v>18359</v>
      </c>
      <c r="C48" s="6">
        <v>1614044.776</v>
      </c>
      <c r="D48" s="6">
        <v>215.206</v>
      </c>
      <c r="E48" s="6">
        <v>33.1955</v>
      </c>
      <c r="F48" s="6">
        <v>0</v>
      </c>
      <c r="G48" s="6">
        <v>134.5037</v>
      </c>
      <c r="H48" s="6">
        <v>19.773</v>
      </c>
      <c r="I48" s="6">
        <v>26.5829</v>
      </c>
      <c r="J48" s="6">
        <v>429.2611</v>
      </c>
      <c r="K48" s="6">
        <v>274.9844</v>
      </c>
    </row>
    <row r="49" ht="15.75" customHeight="1" spans="1:11">
      <c r="A49" s="4" t="s">
        <v>15823</v>
      </c>
      <c r="B49" s="5" t="s">
        <v>18360</v>
      </c>
      <c r="C49" s="6">
        <v>474448.8183</v>
      </c>
      <c r="D49" s="6">
        <v>47.4449</v>
      </c>
      <c r="E49" s="6">
        <v>8.9447</v>
      </c>
      <c r="F49" s="6">
        <v>0</v>
      </c>
      <c r="G49" s="6">
        <v>26.3583</v>
      </c>
      <c r="H49" s="6">
        <v>0</v>
      </c>
      <c r="I49" s="6">
        <v>0</v>
      </c>
      <c r="J49" s="6">
        <v>82.7479</v>
      </c>
      <c r="K49" s="6">
        <v>56.3896</v>
      </c>
    </row>
    <row r="50" ht="15.75" customHeight="1" spans="1:11">
      <c r="A50" s="4" t="s">
        <v>15824</v>
      </c>
      <c r="B50" s="5" t="s">
        <v>18361</v>
      </c>
      <c r="C50" s="6">
        <v>863217.1373</v>
      </c>
      <c r="D50" s="6">
        <v>9.8811</v>
      </c>
      <c r="E50" s="6">
        <v>4.962</v>
      </c>
      <c r="F50" s="6">
        <v>0</v>
      </c>
      <c r="G50" s="6">
        <v>21.9581</v>
      </c>
      <c r="H50" s="6">
        <v>0</v>
      </c>
      <c r="I50" s="6">
        <v>118.8425</v>
      </c>
      <c r="J50" s="6">
        <v>155.6437</v>
      </c>
      <c r="K50" s="6">
        <v>133.6856</v>
      </c>
    </row>
    <row r="51" ht="15.75" customHeight="1" spans="1:11">
      <c r="A51" s="4" t="s">
        <v>15825</v>
      </c>
      <c r="B51" s="5" t="s">
        <v>18362</v>
      </c>
      <c r="C51" s="6">
        <v>230837.3357</v>
      </c>
      <c r="D51" s="6">
        <v>9.893</v>
      </c>
      <c r="E51" s="6">
        <v>3.8998</v>
      </c>
      <c r="F51" s="6">
        <v>0</v>
      </c>
      <c r="G51" s="6">
        <v>16.4884</v>
      </c>
      <c r="H51" s="6">
        <v>0</v>
      </c>
      <c r="I51" s="6">
        <v>30.0416</v>
      </c>
      <c r="J51" s="6">
        <v>60.3228</v>
      </c>
      <c r="K51" s="6">
        <v>43.8344</v>
      </c>
    </row>
    <row r="52" ht="15.75" customHeight="1" spans="1:11">
      <c r="A52" s="4" t="s">
        <v>15826</v>
      </c>
      <c r="B52" s="5" t="s">
        <v>18363</v>
      </c>
      <c r="C52" s="6">
        <v>690395.1986</v>
      </c>
      <c r="D52" s="6">
        <v>7.9029</v>
      </c>
      <c r="E52" s="6">
        <v>3.9686</v>
      </c>
      <c r="F52" s="6">
        <v>0</v>
      </c>
      <c r="G52" s="6">
        <v>13.1715</v>
      </c>
      <c r="H52" s="6">
        <v>0</v>
      </c>
      <c r="I52" s="6">
        <v>30.0416</v>
      </c>
      <c r="J52" s="6">
        <v>55.0846</v>
      </c>
      <c r="K52" s="6">
        <v>41.9131</v>
      </c>
    </row>
    <row r="53" ht="15.75" customHeight="1" spans="1:11">
      <c r="A53" s="4" t="s">
        <v>15827</v>
      </c>
      <c r="B53" s="5" t="s">
        <v>18364</v>
      </c>
      <c r="C53" s="6">
        <v>863217.1373</v>
      </c>
      <c r="D53" s="6">
        <v>9.8811</v>
      </c>
      <c r="E53" s="6">
        <v>4.962</v>
      </c>
      <c r="F53" s="6">
        <v>0</v>
      </c>
      <c r="G53" s="6">
        <v>21.9581</v>
      </c>
      <c r="H53" s="6">
        <v>0</v>
      </c>
      <c r="I53" s="6">
        <v>118.8425</v>
      </c>
      <c r="J53" s="6">
        <v>155.6437</v>
      </c>
      <c r="K53" s="6">
        <v>133.6856</v>
      </c>
    </row>
    <row r="54" ht="15.75" customHeight="1" spans="1:11">
      <c r="A54" s="4" t="s">
        <v>15828</v>
      </c>
      <c r="B54" s="5" t="s">
        <v>18365</v>
      </c>
      <c r="C54" s="6">
        <v>37622.3679</v>
      </c>
      <c r="D54" s="6">
        <v>1.0077</v>
      </c>
      <c r="E54" s="6">
        <v>0.3247</v>
      </c>
      <c r="F54" s="6">
        <v>0</v>
      </c>
      <c r="G54" s="6">
        <v>0.8958</v>
      </c>
      <c r="H54" s="6">
        <v>0</v>
      </c>
      <c r="I54" s="6">
        <v>64.5286</v>
      </c>
      <c r="J54" s="6">
        <v>66.7568</v>
      </c>
      <c r="K54" s="6">
        <v>65.861</v>
      </c>
    </row>
    <row r="55" ht="15.75" customHeight="1" spans="1:11">
      <c r="A55" s="4" t="s">
        <v>15829</v>
      </c>
      <c r="B55" s="5" t="s">
        <v>18366</v>
      </c>
      <c r="C55" s="6">
        <v>1484.438</v>
      </c>
      <c r="D55" s="6">
        <v>0.1979</v>
      </c>
      <c r="E55" s="6">
        <v>0.0305</v>
      </c>
      <c r="F55" s="6">
        <v>0</v>
      </c>
      <c r="G55" s="6">
        <v>0.1237</v>
      </c>
      <c r="H55" s="6">
        <v>0</v>
      </c>
      <c r="I55" s="6">
        <v>0</v>
      </c>
      <c r="J55" s="6">
        <v>0.3521</v>
      </c>
      <c r="K55" s="6">
        <v>0.2284</v>
      </c>
    </row>
    <row r="56" ht="15.75" customHeight="1" spans="1:11">
      <c r="A56" s="4" t="s">
        <v>15830</v>
      </c>
      <c r="B56" s="5" t="s">
        <v>18367</v>
      </c>
      <c r="C56" s="6">
        <v>6266.0801</v>
      </c>
      <c r="D56" s="6">
        <v>0.8355</v>
      </c>
      <c r="E56" s="6">
        <v>0.1289</v>
      </c>
      <c r="F56" s="6">
        <v>0</v>
      </c>
      <c r="G56" s="6">
        <v>0.5222</v>
      </c>
      <c r="H56" s="6">
        <v>0</v>
      </c>
      <c r="I56" s="6">
        <v>0</v>
      </c>
      <c r="J56" s="6">
        <v>1.4866</v>
      </c>
      <c r="K56" s="6">
        <v>0.9644</v>
      </c>
    </row>
    <row r="57" ht="15.75" customHeight="1" spans="1:11">
      <c r="A57" s="4" t="s">
        <v>15831</v>
      </c>
      <c r="B57" s="5" t="s">
        <v>18368</v>
      </c>
      <c r="C57" s="6">
        <v>30990338.9804</v>
      </c>
      <c r="D57" s="6">
        <v>1239.6136</v>
      </c>
      <c r="E57" s="6">
        <v>525.8286</v>
      </c>
      <c r="F57" s="6">
        <v>0</v>
      </c>
      <c r="G57" s="6">
        <v>1239.6136</v>
      </c>
      <c r="H57" s="6">
        <v>199.44</v>
      </c>
      <c r="I57" s="6">
        <v>45.2393</v>
      </c>
      <c r="J57" s="6">
        <v>3249.7351</v>
      </c>
      <c r="K57" s="6">
        <v>1810.6815</v>
      </c>
    </row>
    <row r="58" ht="15.75" customHeight="1" spans="1:11">
      <c r="A58" s="4" t="s">
        <v>1072</v>
      </c>
      <c r="B58" s="5" t="s">
        <v>1073</v>
      </c>
      <c r="C58" s="6">
        <v>1001.9022</v>
      </c>
      <c r="D58" s="6">
        <v>1.0019</v>
      </c>
      <c r="E58" s="6">
        <v>0.0464</v>
      </c>
      <c r="F58" s="6">
        <v>0</v>
      </c>
      <c r="G58" s="6">
        <v>0.501</v>
      </c>
      <c r="H58" s="6">
        <v>0</v>
      </c>
      <c r="I58" s="6">
        <v>0</v>
      </c>
      <c r="J58" s="6">
        <v>1.5493</v>
      </c>
      <c r="K58" s="6">
        <v>1.0483</v>
      </c>
    </row>
    <row r="59" ht="15.75" customHeight="1" spans="1:11">
      <c r="A59" s="4" t="s">
        <v>15832</v>
      </c>
      <c r="B59" s="5" t="s">
        <v>18369</v>
      </c>
      <c r="C59" s="6">
        <v>32840426.4231</v>
      </c>
      <c r="D59" s="6">
        <v>1313.6171</v>
      </c>
      <c r="E59" s="6">
        <v>557.2199</v>
      </c>
      <c r="F59" s="6">
        <v>0</v>
      </c>
      <c r="G59" s="6">
        <v>1149.4149</v>
      </c>
      <c r="H59" s="6">
        <v>123.6528</v>
      </c>
      <c r="I59" s="6">
        <v>45.2393</v>
      </c>
      <c r="J59" s="6">
        <v>3189.144</v>
      </c>
      <c r="K59" s="6">
        <v>1916.0763</v>
      </c>
    </row>
    <row r="60" ht="15.75" customHeight="1" spans="1:11">
      <c r="A60" s="4" t="s">
        <v>1074</v>
      </c>
      <c r="B60" s="5" t="s">
        <v>1075</v>
      </c>
      <c r="C60" s="6">
        <v>67550.6664</v>
      </c>
      <c r="D60" s="6">
        <v>4.7285</v>
      </c>
      <c r="E60" s="6">
        <v>1.2504</v>
      </c>
      <c r="F60" s="6">
        <v>0</v>
      </c>
      <c r="G60" s="6">
        <v>3.3775</v>
      </c>
      <c r="H60" s="6">
        <v>11.5786</v>
      </c>
      <c r="I60" s="6">
        <v>0</v>
      </c>
      <c r="J60" s="6">
        <v>20.935</v>
      </c>
      <c r="K60" s="6">
        <v>5.9789</v>
      </c>
    </row>
    <row r="61" ht="15.75" customHeight="1" spans="1:11">
      <c r="A61" s="4" t="s">
        <v>15833</v>
      </c>
      <c r="B61" s="5" t="s">
        <v>18370</v>
      </c>
      <c r="C61" s="6">
        <v>1673749.3527</v>
      </c>
      <c r="D61" s="6">
        <v>66.95</v>
      </c>
      <c r="E61" s="6">
        <v>28.3993</v>
      </c>
      <c r="F61" s="6">
        <v>0</v>
      </c>
      <c r="G61" s="6">
        <v>41.8437</v>
      </c>
      <c r="H61" s="6">
        <v>76.452</v>
      </c>
      <c r="I61" s="6">
        <v>26.5829</v>
      </c>
      <c r="J61" s="6">
        <v>240.2279</v>
      </c>
      <c r="K61" s="6">
        <v>121.9322</v>
      </c>
    </row>
    <row r="62" ht="15.75" customHeight="1" spans="1:11">
      <c r="A62" s="4" t="s">
        <v>15834</v>
      </c>
      <c r="B62" s="5" t="s">
        <v>18371</v>
      </c>
      <c r="C62" s="6">
        <v>5511897.4398</v>
      </c>
      <c r="D62" s="6">
        <v>440.9518</v>
      </c>
      <c r="E62" s="6">
        <v>102.0252</v>
      </c>
      <c r="F62" s="6">
        <v>0</v>
      </c>
      <c r="G62" s="6">
        <v>440.9518</v>
      </c>
      <c r="H62" s="6">
        <v>102.213</v>
      </c>
      <c r="I62" s="6">
        <v>33.7544</v>
      </c>
      <c r="J62" s="6">
        <v>1119.8962</v>
      </c>
      <c r="K62" s="6">
        <v>576.7314</v>
      </c>
    </row>
    <row r="63" ht="15.75" customHeight="1" spans="1:11">
      <c r="A63" s="4" t="s">
        <v>1080</v>
      </c>
      <c r="B63" s="5" t="s">
        <v>1081</v>
      </c>
      <c r="C63" s="6">
        <v>4130.1727</v>
      </c>
      <c r="D63" s="6">
        <v>0.826</v>
      </c>
      <c r="E63" s="6">
        <v>0.0956</v>
      </c>
      <c r="F63" s="6">
        <v>0</v>
      </c>
      <c r="G63" s="6">
        <v>0.5163</v>
      </c>
      <c r="H63" s="6">
        <v>7.5625</v>
      </c>
      <c r="I63" s="6">
        <v>0</v>
      </c>
      <c r="J63" s="6">
        <v>9.0004</v>
      </c>
      <c r="K63" s="6">
        <v>0.9216</v>
      </c>
    </row>
    <row r="64" ht="15.75" customHeight="1" spans="1:11">
      <c r="A64" s="4" t="s">
        <v>15835</v>
      </c>
      <c r="B64" s="5" t="s">
        <v>18372</v>
      </c>
      <c r="C64" s="6">
        <v>357460.0639</v>
      </c>
      <c r="D64" s="6">
        <v>15.8871</v>
      </c>
      <c r="E64" s="6">
        <v>6.1265</v>
      </c>
      <c r="F64" s="6">
        <v>0</v>
      </c>
      <c r="G64" s="6">
        <v>9.9294</v>
      </c>
      <c r="H64" s="6">
        <v>0</v>
      </c>
      <c r="I64" s="6">
        <v>26.5829</v>
      </c>
      <c r="J64" s="6">
        <v>58.5259</v>
      </c>
      <c r="K64" s="6">
        <v>48.5965</v>
      </c>
    </row>
    <row r="65" ht="15.75" customHeight="1" spans="1:11">
      <c r="A65" s="4" t="s">
        <v>1070</v>
      </c>
      <c r="B65" s="5" t="s">
        <v>1071</v>
      </c>
      <c r="C65" s="6">
        <v>458.0661</v>
      </c>
      <c r="D65" s="6">
        <v>0.4581</v>
      </c>
      <c r="E65" s="6">
        <v>0.0212</v>
      </c>
      <c r="F65" s="6">
        <v>0</v>
      </c>
      <c r="G65" s="6">
        <v>0.229</v>
      </c>
      <c r="H65" s="6">
        <v>0</v>
      </c>
      <c r="I65" s="6">
        <v>0</v>
      </c>
      <c r="J65" s="6">
        <v>0.7083</v>
      </c>
      <c r="K65" s="6">
        <v>0.4793</v>
      </c>
    </row>
    <row r="66" ht="15.75" customHeight="1" spans="1:11">
      <c r="A66" s="4" t="s">
        <v>15836</v>
      </c>
      <c r="B66" s="5" t="s">
        <v>18373</v>
      </c>
      <c r="C66" s="6">
        <v>3341512.4349</v>
      </c>
      <c r="D66" s="6">
        <v>445.535</v>
      </c>
      <c r="E66" s="6">
        <v>68.7238</v>
      </c>
      <c r="F66" s="6">
        <v>0</v>
      </c>
      <c r="G66" s="6">
        <v>389.8431</v>
      </c>
      <c r="H66" s="6">
        <v>403.866</v>
      </c>
      <c r="I66" s="6">
        <v>45.2393</v>
      </c>
      <c r="J66" s="6">
        <v>1353.2072</v>
      </c>
      <c r="K66" s="6">
        <v>559.4981</v>
      </c>
    </row>
    <row r="67" ht="15.75" customHeight="1" spans="1:11">
      <c r="A67" s="4" t="s">
        <v>15837</v>
      </c>
      <c r="B67" s="5" t="s">
        <v>18374</v>
      </c>
      <c r="C67" s="6">
        <v>516806.5608</v>
      </c>
      <c r="D67" s="6">
        <v>51.6807</v>
      </c>
      <c r="E67" s="6">
        <v>9.9647</v>
      </c>
      <c r="F67" s="6">
        <v>0</v>
      </c>
      <c r="G67" s="6">
        <v>51.6807</v>
      </c>
      <c r="H67" s="6">
        <v>77.8924</v>
      </c>
      <c r="I67" s="6">
        <v>26.5829</v>
      </c>
      <c r="J67" s="6">
        <v>217.8014</v>
      </c>
      <c r="K67" s="6">
        <v>88.2283</v>
      </c>
    </row>
    <row r="68" ht="15.75" customHeight="1" spans="1:11">
      <c r="A68" s="4" t="s">
        <v>15838</v>
      </c>
      <c r="B68" s="5" t="s">
        <v>18375</v>
      </c>
      <c r="C68" s="6">
        <v>791151.4334</v>
      </c>
      <c r="D68" s="6">
        <v>105.4869</v>
      </c>
      <c r="E68" s="6">
        <v>16.2713</v>
      </c>
      <c r="F68" s="6">
        <v>0</v>
      </c>
      <c r="G68" s="6">
        <v>65.9293</v>
      </c>
      <c r="H68" s="6">
        <v>0</v>
      </c>
      <c r="I68" s="6">
        <v>0</v>
      </c>
      <c r="J68" s="6">
        <v>187.6875</v>
      </c>
      <c r="K68" s="6">
        <v>121.7582</v>
      </c>
    </row>
    <row r="69" ht="15.75" customHeight="1" spans="1:11">
      <c r="A69" s="4" t="s">
        <v>15839</v>
      </c>
      <c r="B69" s="5" t="s">
        <v>18376</v>
      </c>
      <c r="C69" s="6">
        <v>157.3009</v>
      </c>
      <c r="D69" s="6">
        <v>0.0787</v>
      </c>
      <c r="E69" s="6">
        <v>0.0049</v>
      </c>
      <c r="F69" s="6">
        <v>0</v>
      </c>
      <c r="G69" s="6">
        <v>0.0393</v>
      </c>
      <c r="H69" s="6">
        <v>0</v>
      </c>
      <c r="I69" s="6">
        <v>0</v>
      </c>
      <c r="J69" s="6">
        <v>0.1229</v>
      </c>
      <c r="K69" s="6">
        <v>0.0836</v>
      </c>
    </row>
    <row r="70" ht="15.75" customHeight="1" spans="1:11">
      <c r="A70" s="4" t="s">
        <v>14293</v>
      </c>
      <c r="B70" s="5" t="s">
        <v>14294</v>
      </c>
      <c r="C70" s="6">
        <v>169860.2233</v>
      </c>
      <c r="D70" s="6">
        <v>10.9196</v>
      </c>
      <c r="E70" s="6">
        <v>2.9944</v>
      </c>
      <c r="F70" s="6">
        <v>0</v>
      </c>
      <c r="G70" s="6">
        <v>6.0664</v>
      </c>
      <c r="H70" s="6">
        <v>0</v>
      </c>
      <c r="I70" s="6">
        <v>26.5829</v>
      </c>
      <c r="J70" s="6">
        <v>46.5633</v>
      </c>
      <c r="K70" s="6">
        <v>40.4969</v>
      </c>
    </row>
    <row r="71" ht="15.75" customHeight="1" spans="1:11">
      <c r="A71" s="4" t="s">
        <v>15840</v>
      </c>
      <c r="B71" s="5" t="s">
        <v>18377</v>
      </c>
      <c r="C71" s="6">
        <v>4601751.1256</v>
      </c>
      <c r="D71" s="6">
        <v>368.1401</v>
      </c>
      <c r="E71" s="6">
        <v>85.1784</v>
      </c>
      <c r="F71" s="6">
        <v>0</v>
      </c>
      <c r="G71" s="6">
        <v>368.1401</v>
      </c>
      <c r="H71" s="6">
        <v>151.242</v>
      </c>
      <c r="I71" s="6">
        <v>33.7544</v>
      </c>
      <c r="J71" s="6">
        <v>1006.455</v>
      </c>
      <c r="K71" s="6">
        <v>487.0729</v>
      </c>
    </row>
    <row r="72" ht="15.75" customHeight="1" spans="1:11">
      <c r="A72" s="4" t="s">
        <v>15841</v>
      </c>
      <c r="B72" s="5" t="s">
        <v>18378</v>
      </c>
      <c r="C72" s="6">
        <v>3533977.7169</v>
      </c>
      <c r="D72" s="6">
        <v>157.0657</v>
      </c>
      <c r="E72" s="6">
        <v>60.5685</v>
      </c>
      <c r="F72" s="6">
        <v>0</v>
      </c>
      <c r="G72" s="6">
        <v>98.166</v>
      </c>
      <c r="H72" s="6">
        <v>0</v>
      </c>
      <c r="I72" s="6">
        <v>45.2393</v>
      </c>
      <c r="J72" s="6">
        <v>361.0395</v>
      </c>
      <c r="K72" s="6">
        <v>262.8735</v>
      </c>
    </row>
    <row r="73" ht="15.75" customHeight="1" spans="1:11">
      <c r="A73" s="4" t="s">
        <v>15842</v>
      </c>
      <c r="B73" s="5" t="s">
        <v>18379</v>
      </c>
      <c r="C73" s="6">
        <v>179243.0448</v>
      </c>
      <c r="D73" s="6">
        <v>17.9243</v>
      </c>
      <c r="E73" s="6">
        <v>3.456</v>
      </c>
      <c r="F73" s="6">
        <v>0</v>
      </c>
      <c r="G73" s="6">
        <v>15.6838</v>
      </c>
      <c r="H73" s="6">
        <v>0</v>
      </c>
      <c r="I73" s="6">
        <v>0</v>
      </c>
      <c r="J73" s="6">
        <v>37.0641</v>
      </c>
      <c r="K73" s="6">
        <v>21.3803</v>
      </c>
    </row>
    <row r="74" ht="15.75" customHeight="1" spans="1:11">
      <c r="A74" s="4" t="s">
        <v>15843</v>
      </c>
      <c r="B74" s="5" t="s">
        <v>18380</v>
      </c>
      <c r="C74" s="6">
        <v>1849083.4799</v>
      </c>
      <c r="D74" s="6">
        <v>83.2088</v>
      </c>
      <c r="E74" s="6">
        <v>31.3743</v>
      </c>
      <c r="F74" s="6">
        <v>0</v>
      </c>
      <c r="G74" s="6">
        <v>46.2271</v>
      </c>
      <c r="H74" s="6">
        <v>0</v>
      </c>
      <c r="I74" s="6">
        <v>26.5829</v>
      </c>
      <c r="J74" s="6">
        <v>187.3931</v>
      </c>
      <c r="K74" s="6">
        <v>141.166</v>
      </c>
    </row>
    <row r="75" ht="15.75" customHeight="1" spans="1:11">
      <c r="A75" s="4" t="s">
        <v>15844</v>
      </c>
      <c r="B75" s="5" t="s">
        <v>18381</v>
      </c>
      <c r="C75" s="6">
        <v>103110.9056</v>
      </c>
      <c r="D75" s="6">
        <v>4.64</v>
      </c>
      <c r="E75" s="6">
        <v>1.7495</v>
      </c>
      <c r="F75" s="6">
        <v>0</v>
      </c>
      <c r="G75" s="6">
        <v>2.5778</v>
      </c>
      <c r="H75" s="6">
        <v>0</v>
      </c>
      <c r="I75" s="6">
        <v>0</v>
      </c>
      <c r="J75" s="6">
        <v>8.9673</v>
      </c>
      <c r="K75" s="6">
        <v>6.3895</v>
      </c>
    </row>
    <row r="76" ht="15.75" customHeight="1" spans="1:11">
      <c r="A76" s="4" t="s">
        <v>15846</v>
      </c>
      <c r="B76" s="5" t="s">
        <v>18382</v>
      </c>
      <c r="C76" s="6">
        <v>869181.1526</v>
      </c>
      <c r="D76" s="6">
        <v>13.762</v>
      </c>
      <c r="E76" s="6">
        <v>13.854</v>
      </c>
      <c r="F76" s="6">
        <v>0</v>
      </c>
      <c r="G76" s="6">
        <v>7.2432</v>
      </c>
      <c r="H76" s="6">
        <v>0</v>
      </c>
      <c r="I76" s="6">
        <v>0</v>
      </c>
      <c r="J76" s="6">
        <v>34.8592</v>
      </c>
      <c r="K76" s="6">
        <v>27.616</v>
      </c>
    </row>
    <row r="77" ht="15.75" customHeight="1" spans="1:11">
      <c r="A77" s="4" t="s">
        <v>15847</v>
      </c>
      <c r="B77" s="5" t="s">
        <v>18383</v>
      </c>
      <c r="C77" s="6">
        <v>1263021.962</v>
      </c>
      <c r="D77" s="6">
        <v>19.9978</v>
      </c>
      <c r="E77" s="6">
        <v>20.1315</v>
      </c>
      <c r="F77" s="6">
        <v>0</v>
      </c>
      <c r="G77" s="6">
        <v>10.5252</v>
      </c>
      <c r="H77" s="6">
        <v>0</v>
      </c>
      <c r="I77" s="6">
        <v>0</v>
      </c>
      <c r="J77" s="6">
        <v>50.6545</v>
      </c>
      <c r="K77" s="6">
        <v>40.1293</v>
      </c>
    </row>
    <row r="78" ht="15.75" customHeight="1" spans="1:11">
      <c r="A78" s="4" t="s">
        <v>15848</v>
      </c>
      <c r="B78" s="5" t="s">
        <v>18384</v>
      </c>
      <c r="C78" s="6">
        <v>637742.384</v>
      </c>
      <c r="D78" s="6">
        <v>10.0976</v>
      </c>
      <c r="E78" s="6">
        <v>10.1651</v>
      </c>
      <c r="F78" s="6">
        <v>0</v>
      </c>
      <c r="G78" s="6">
        <v>5.3145</v>
      </c>
      <c r="H78" s="6">
        <v>0</v>
      </c>
      <c r="I78" s="6">
        <v>0</v>
      </c>
      <c r="J78" s="6">
        <v>25.5772</v>
      </c>
      <c r="K78" s="6">
        <v>20.2627</v>
      </c>
    </row>
    <row r="79" ht="15.75" customHeight="1" spans="1:11">
      <c r="A79" s="4" t="s">
        <v>15849</v>
      </c>
      <c r="B79" s="5" t="s">
        <v>18385</v>
      </c>
      <c r="C79" s="6">
        <v>537353.038</v>
      </c>
      <c r="D79" s="6">
        <v>53.7353</v>
      </c>
      <c r="E79" s="6">
        <v>10.3608</v>
      </c>
      <c r="F79" s="6">
        <v>0</v>
      </c>
      <c r="G79" s="6">
        <v>53.7353</v>
      </c>
      <c r="H79" s="6">
        <v>77.8924</v>
      </c>
      <c r="I79" s="6">
        <v>26.5829</v>
      </c>
      <c r="J79" s="6">
        <v>222.3067</v>
      </c>
      <c r="K79" s="6">
        <v>90.679</v>
      </c>
    </row>
    <row r="80" ht="15.75" customHeight="1" spans="1:11">
      <c r="A80" s="4" t="s">
        <v>15850</v>
      </c>
      <c r="B80" s="5" t="s">
        <v>18386</v>
      </c>
      <c r="C80" s="6">
        <v>2848.8081</v>
      </c>
      <c r="D80" s="6">
        <v>0.4273</v>
      </c>
      <c r="E80" s="6">
        <v>0.0586</v>
      </c>
      <c r="F80" s="6">
        <v>0</v>
      </c>
      <c r="G80" s="6">
        <v>0.3324</v>
      </c>
      <c r="H80" s="6">
        <v>8.1158</v>
      </c>
      <c r="I80" s="6">
        <v>0</v>
      </c>
      <c r="J80" s="6">
        <v>8.9341</v>
      </c>
      <c r="K80" s="6">
        <v>0.4859</v>
      </c>
    </row>
    <row r="81" ht="15.75" customHeight="1" spans="1:11">
      <c r="A81" s="4" t="s">
        <v>682</v>
      </c>
      <c r="B81" s="5" t="s">
        <v>147</v>
      </c>
      <c r="C81" s="6">
        <v>81221.8307</v>
      </c>
      <c r="D81" s="6">
        <v>4.8733</v>
      </c>
      <c r="E81" s="6">
        <v>1.5034</v>
      </c>
      <c r="F81" s="6">
        <v>0.6092</v>
      </c>
      <c r="G81" s="6">
        <v>4.8733</v>
      </c>
      <c r="H81" s="6">
        <v>25.1379</v>
      </c>
      <c r="I81" s="6">
        <v>0</v>
      </c>
      <c r="J81" s="6">
        <v>36.9971</v>
      </c>
      <c r="K81" s="6">
        <v>6.9859</v>
      </c>
    </row>
    <row r="82" ht="15.75" customHeight="1" spans="1:11">
      <c r="A82" s="4" t="s">
        <v>1084</v>
      </c>
      <c r="B82" s="5" t="s">
        <v>1085</v>
      </c>
      <c r="C82" s="6">
        <v>21591301.6313</v>
      </c>
      <c r="D82" s="6">
        <v>755.6956</v>
      </c>
      <c r="E82" s="6">
        <v>366.3504</v>
      </c>
      <c r="F82" s="6">
        <v>148.4402</v>
      </c>
      <c r="G82" s="6">
        <v>971.6086</v>
      </c>
      <c r="H82" s="6">
        <v>124.65</v>
      </c>
      <c r="I82" s="6">
        <v>38.1454</v>
      </c>
      <c r="J82" s="6">
        <v>2404.8902</v>
      </c>
      <c r="K82" s="6">
        <v>1308.6316</v>
      </c>
    </row>
    <row r="83" ht="15.75" customHeight="1" spans="1:11">
      <c r="A83" s="4" t="s">
        <v>15851</v>
      </c>
      <c r="B83" s="5" t="s">
        <v>18387</v>
      </c>
      <c r="C83" s="6">
        <v>31365896.7649</v>
      </c>
      <c r="D83" s="6">
        <v>1097.8064</v>
      </c>
      <c r="E83" s="6">
        <v>532.2009</v>
      </c>
      <c r="F83" s="6">
        <v>215.6405</v>
      </c>
      <c r="G83" s="6">
        <v>1411.4654</v>
      </c>
      <c r="H83" s="6">
        <v>138.5</v>
      </c>
      <c r="I83" s="6">
        <v>38.1454</v>
      </c>
      <c r="J83" s="6">
        <v>3433.7586</v>
      </c>
      <c r="K83" s="6">
        <v>1883.7932</v>
      </c>
    </row>
    <row r="84" ht="15.75" customHeight="1" spans="1:11">
      <c r="A84" s="4" t="s">
        <v>15852</v>
      </c>
      <c r="B84" s="5" t="s">
        <v>18388</v>
      </c>
      <c r="C84" s="6">
        <v>404472.7488</v>
      </c>
      <c r="D84" s="6">
        <v>35.3914</v>
      </c>
      <c r="E84" s="6">
        <v>7.7987</v>
      </c>
      <c r="F84" s="6">
        <v>0</v>
      </c>
      <c r="G84" s="6">
        <v>35.3914</v>
      </c>
      <c r="H84" s="6">
        <v>63.0175</v>
      </c>
      <c r="I84" s="6">
        <v>33.7544</v>
      </c>
      <c r="J84" s="6">
        <v>175.3534</v>
      </c>
      <c r="K84" s="6">
        <v>76.9445</v>
      </c>
    </row>
    <row r="85" ht="15.75" customHeight="1" spans="1:11">
      <c r="A85" s="4" t="s">
        <v>15857</v>
      </c>
      <c r="B85" s="5" t="s">
        <v>18389</v>
      </c>
      <c r="C85" s="6">
        <v>50067.1558</v>
      </c>
      <c r="D85" s="6">
        <v>4.0054</v>
      </c>
      <c r="E85" s="6">
        <v>0.9267</v>
      </c>
      <c r="F85" s="6">
        <v>0</v>
      </c>
      <c r="G85" s="6">
        <v>3.5047</v>
      </c>
      <c r="H85" s="6">
        <v>17.8732</v>
      </c>
      <c r="I85" s="6">
        <v>0</v>
      </c>
      <c r="J85" s="6">
        <v>26.31</v>
      </c>
      <c r="K85" s="6">
        <v>4.9321</v>
      </c>
    </row>
    <row r="86" ht="15.75" customHeight="1" spans="1:11">
      <c r="A86" s="4" t="s">
        <v>15858</v>
      </c>
      <c r="B86" s="5" t="s">
        <v>18390</v>
      </c>
      <c r="C86" s="6">
        <v>84334.6566</v>
      </c>
      <c r="D86" s="6">
        <v>6.7468</v>
      </c>
      <c r="E86" s="6">
        <v>1.561</v>
      </c>
      <c r="F86" s="6">
        <v>0</v>
      </c>
      <c r="G86" s="6">
        <v>5.9034</v>
      </c>
      <c r="H86" s="6">
        <v>8.6756</v>
      </c>
      <c r="I86" s="6">
        <v>26.5829</v>
      </c>
      <c r="J86" s="6">
        <v>49.4697</v>
      </c>
      <c r="K86" s="6">
        <v>34.8907</v>
      </c>
    </row>
    <row r="87" ht="15.75" customHeight="1" spans="1:11">
      <c r="A87" s="4" t="s">
        <v>15859</v>
      </c>
      <c r="B87" s="5" t="s">
        <v>18391</v>
      </c>
      <c r="C87" s="6">
        <v>66837.4833</v>
      </c>
      <c r="D87" s="6">
        <v>5.347</v>
      </c>
      <c r="E87" s="6">
        <v>1.2372</v>
      </c>
      <c r="F87" s="6">
        <v>0</v>
      </c>
      <c r="G87" s="6">
        <v>4.6786</v>
      </c>
      <c r="H87" s="6">
        <v>8.6756</v>
      </c>
      <c r="I87" s="6">
        <v>26.5829</v>
      </c>
      <c r="J87" s="6">
        <v>46.5213</v>
      </c>
      <c r="K87" s="6">
        <v>33.1671</v>
      </c>
    </row>
    <row r="88" ht="15.75" customHeight="1" spans="1:11">
      <c r="A88" s="4" t="s">
        <v>15860</v>
      </c>
      <c r="B88" s="5" t="s">
        <v>18392</v>
      </c>
      <c r="C88" s="6">
        <v>5252363.0984</v>
      </c>
      <c r="D88" s="6">
        <v>60.1232</v>
      </c>
      <c r="E88" s="6">
        <v>30.192</v>
      </c>
      <c r="F88" s="6">
        <v>0</v>
      </c>
      <c r="G88" s="6">
        <v>133.6071</v>
      </c>
      <c r="H88" s="6">
        <v>391.5672</v>
      </c>
      <c r="I88" s="6">
        <v>136.0494</v>
      </c>
      <c r="J88" s="6">
        <v>751.5389</v>
      </c>
      <c r="K88" s="6">
        <v>226.3646</v>
      </c>
    </row>
    <row r="89" ht="15.75" customHeight="1" spans="1:11">
      <c r="A89" s="4" t="s">
        <v>15861</v>
      </c>
      <c r="B89" s="5" t="s">
        <v>18393</v>
      </c>
      <c r="C89" s="6">
        <v>1976387.9253</v>
      </c>
      <c r="D89" s="6">
        <v>22.6235</v>
      </c>
      <c r="E89" s="6">
        <v>11.3608</v>
      </c>
      <c r="F89" s="6">
        <v>0</v>
      </c>
      <c r="G89" s="6">
        <v>37.7058</v>
      </c>
      <c r="H89" s="6">
        <v>0</v>
      </c>
      <c r="I89" s="6">
        <v>30.0416</v>
      </c>
      <c r="J89" s="6">
        <v>101.7317</v>
      </c>
      <c r="K89" s="6">
        <v>64.0259</v>
      </c>
    </row>
    <row r="90" ht="15.75" customHeight="1" spans="1:11">
      <c r="A90" s="4" t="s">
        <v>15862</v>
      </c>
      <c r="B90" s="5" t="s">
        <v>18394</v>
      </c>
      <c r="C90" s="6">
        <v>11852.7</v>
      </c>
      <c r="D90" s="6">
        <v>2.3705</v>
      </c>
      <c r="E90" s="6">
        <v>0.2742</v>
      </c>
      <c r="F90" s="6">
        <v>0</v>
      </c>
      <c r="G90" s="6">
        <v>2.3705</v>
      </c>
      <c r="H90" s="6">
        <v>4.1317</v>
      </c>
      <c r="I90" s="6">
        <v>0</v>
      </c>
      <c r="J90" s="6">
        <v>9.1469</v>
      </c>
      <c r="K90" s="6">
        <v>2.6447</v>
      </c>
    </row>
    <row r="91" ht="15.75" customHeight="1" spans="1:11">
      <c r="A91" s="4" t="s">
        <v>15863</v>
      </c>
      <c r="B91" s="5" t="s">
        <v>18395</v>
      </c>
      <c r="C91" s="6">
        <v>9735194.1648</v>
      </c>
      <c r="D91" s="6">
        <v>155.7631</v>
      </c>
      <c r="E91" s="6">
        <v>156.172</v>
      </c>
      <c r="F91" s="6">
        <v>0</v>
      </c>
      <c r="G91" s="6">
        <v>194.7039</v>
      </c>
      <c r="H91" s="6">
        <v>265.92</v>
      </c>
      <c r="I91" s="6">
        <v>90.4786</v>
      </c>
      <c r="J91" s="6">
        <v>863.0376</v>
      </c>
      <c r="K91" s="6">
        <v>402.4137</v>
      </c>
    </row>
    <row r="92" ht="15.75" customHeight="1" spans="1:11">
      <c r="A92" s="4" t="s">
        <v>15864</v>
      </c>
      <c r="B92" s="5" t="s">
        <v>18396</v>
      </c>
      <c r="C92" s="6">
        <v>1091831.5889</v>
      </c>
      <c r="D92" s="6">
        <v>109.1832</v>
      </c>
      <c r="E92" s="6">
        <v>21.6534</v>
      </c>
      <c r="F92" s="6">
        <v>0</v>
      </c>
      <c r="G92" s="6">
        <v>109.1832</v>
      </c>
      <c r="H92" s="6">
        <v>124.2068</v>
      </c>
      <c r="I92" s="6">
        <v>33.7544</v>
      </c>
      <c r="J92" s="6">
        <v>397.981</v>
      </c>
      <c r="K92" s="6">
        <v>164.591</v>
      </c>
    </row>
    <row r="93" ht="15.75" customHeight="1" spans="1:11">
      <c r="A93" s="4" t="s">
        <v>15865</v>
      </c>
      <c r="B93" s="5" t="s">
        <v>18397</v>
      </c>
      <c r="C93" s="6">
        <v>368743.8303</v>
      </c>
      <c r="D93" s="6">
        <v>66.3739</v>
      </c>
      <c r="E93" s="6">
        <v>7.963</v>
      </c>
      <c r="F93" s="6">
        <v>0</v>
      </c>
      <c r="G93" s="6">
        <v>66.3739</v>
      </c>
      <c r="H93" s="6">
        <v>0</v>
      </c>
      <c r="I93" s="6">
        <v>26.5829</v>
      </c>
      <c r="J93" s="6">
        <v>167.2937</v>
      </c>
      <c r="K93" s="6">
        <v>100.9198</v>
      </c>
    </row>
    <row r="94" ht="15.75" customHeight="1" spans="1:11">
      <c r="A94" s="4" t="s">
        <v>15866</v>
      </c>
      <c r="B94" s="5" t="s">
        <v>18398</v>
      </c>
      <c r="C94" s="6">
        <v>21759.0202</v>
      </c>
      <c r="D94" s="6">
        <v>2.4479</v>
      </c>
      <c r="E94" s="6">
        <v>0.4195</v>
      </c>
      <c r="F94" s="6">
        <v>0</v>
      </c>
      <c r="G94" s="6">
        <v>1.3599</v>
      </c>
      <c r="H94" s="6">
        <v>0</v>
      </c>
      <c r="I94" s="6">
        <v>0</v>
      </c>
      <c r="J94" s="6">
        <v>4.2273</v>
      </c>
      <c r="K94" s="6">
        <v>2.8674</v>
      </c>
    </row>
    <row r="95" ht="15.75" customHeight="1" spans="1:11">
      <c r="A95" s="4" t="s">
        <v>15867</v>
      </c>
      <c r="B95" s="5" t="s">
        <v>18399</v>
      </c>
      <c r="C95" s="6">
        <v>142474.0866</v>
      </c>
      <c r="D95" s="6">
        <v>16.0283</v>
      </c>
      <c r="E95" s="6">
        <v>2.7471</v>
      </c>
      <c r="F95" s="6">
        <v>0</v>
      </c>
      <c r="G95" s="6">
        <v>8.9046</v>
      </c>
      <c r="H95" s="6">
        <v>0</v>
      </c>
      <c r="I95" s="6">
        <v>0</v>
      </c>
      <c r="J95" s="6">
        <v>27.68</v>
      </c>
      <c r="K95" s="6">
        <v>18.7754</v>
      </c>
    </row>
    <row r="96" ht="15.75" customHeight="1" spans="1:11">
      <c r="A96" s="4" t="s">
        <v>15870</v>
      </c>
      <c r="B96" s="5" t="s">
        <v>18400</v>
      </c>
      <c r="C96" s="6">
        <v>8089.3323</v>
      </c>
      <c r="D96" s="6">
        <v>0.91</v>
      </c>
      <c r="E96" s="6">
        <v>0.156</v>
      </c>
      <c r="F96" s="6">
        <v>0</v>
      </c>
      <c r="G96" s="6">
        <v>0.5056</v>
      </c>
      <c r="H96" s="6">
        <v>0</v>
      </c>
      <c r="I96" s="6">
        <v>0</v>
      </c>
      <c r="J96" s="6">
        <v>1.5716</v>
      </c>
      <c r="K96" s="6">
        <v>1.066</v>
      </c>
    </row>
    <row r="97" ht="15.75" customHeight="1" spans="1:11">
      <c r="A97" s="4" t="s">
        <v>15871</v>
      </c>
      <c r="B97" s="5" t="s">
        <v>18401</v>
      </c>
      <c r="C97" s="6">
        <v>923485.0599</v>
      </c>
      <c r="D97" s="6">
        <v>73.7945</v>
      </c>
      <c r="E97" s="6">
        <v>17.497</v>
      </c>
      <c r="F97" s="6">
        <v>0</v>
      </c>
      <c r="G97" s="6">
        <v>73.7945</v>
      </c>
      <c r="H97" s="6">
        <v>110.523</v>
      </c>
      <c r="I97" s="6">
        <v>33.7544</v>
      </c>
      <c r="J97" s="6">
        <v>309.3634</v>
      </c>
      <c r="K97" s="6">
        <v>125.0459</v>
      </c>
    </row>
    <row r="98" ht="15.75" customHeight="1" spans="1:11">
      <c r="A98" s="4" t="s">
        <v>15872</v>
      </c>
      <c r="B98" s="5" t="s">
        <v>18402</v>
      </c>
      <c r="C98" s="6">
        <v>488584.6833</v>
      </c>
      <c r="D98" s="6">
        <v>65.1446</v>
      </c>
      <c r="E98" s="6">
        <v>10.0486</v>
      </c>
      <c r="F98" s="6">
        <v>0</v>
      </c>
      <c r="G98" s="6">
        <v>65.1446</v>
      </c>
      <c r="H98" s="6">
        <v>46.0374</v>
      </c>
      <c r="I98" s="6">
        <v>26.5829</v>
      </c>
      <c r="J98" s="6">
        <v>212.9581</v>
      </c>
      <c r="K98" s="6">
        <v>101.7761</v>
      </c>
    </row>
    <row r="99" ht="15.75" customHeight="1" spans="1:11">
      <c r="A99" s="4" t="s">
        <v>15873</v>
      </c>
      <c r="B99" s="5" t="s">
        <v>18403</v>
      </c>
      <c r="C99" s="6">
        <v>739753.9649</v>
      </c>
      <c r="D99" s="6">
        <v>64.7285</v>
      </c>
      <c r="E99" s="6">
        <v>14.2634</v>
      </c>
      <c r="F99" s="6">
        <v>0</v>
      </c>
      <c r="G99" s="6">
        <v>64.7285</v>
      </c>
      <c r="H99" s="6">
        <v>76.729</v>
      </c>
      <c r="I99" s="6">
        <v>33.7544</v>
      </c>
      <c r="J99" s="6">
        <v>254.2038</v>
      </c>
      <c r="K99" s="6">
        <v>112.7463</v>
      </c>
    </row>
    <row r="100" ht="15.75" customHeight="1" spans="1:11">
      <c r="A100" s="4" t="s">
        <v>15874</v>
      </c>
      <c r="B100" s="5" t="s">
        <v>18404</v>
      </c>
      <c r="C100" s="6">
        <v>2910738.6934</v>
      </c>
      <c r="D100" s="6">
        <v>169.7931</v>
      </c>
      <c r="E100" s="6">
        <v>52.3812</v>
      </c>
      <c r="F100" s="6">
        <v>0</v>
      </c>
      <c r="G100" s="6">
        <v>169.7931</v>
      </c>
      <c r="H100" s="6">
        <v>185.8116</v>
      </c>
      <c r="I100" s="6">
        <v>26.5829</v>
      </c>
      <c r="J100" s="6">
        <v>604.3619</v>
      </c>
      <c r="K100" s="6">
        <v>248.7572</v>
      </c>
    </row>
    <row r="101" ht="15.75" customHeight="1" spans="1:11">
      <c r="A101" s="4" t="s">
        <v>15875</v>
      </c>
      <c r="B101" s="5" t="s">
        <v>18405</v>
      </c>
      <c r="C101" s="6">
        <v>7091165.1141</v>
      </c>
      <c r="D101" s="6">
        <v>567.2932</v>
      </c>
      <c r="E101" s="6">
        <v>131.2575</v>
      </c>
      <c r="F101" s="6">
        <v>0</v>
      </c>
      <c r="G101" s="6">
        <v>567.2932</v>
      </c>
      <c r="H101" s="6">
        <v>107.476</v>
      </c>
      <c r="I101" s="6">
        <v>33.7544</v>
      </c>
      <c r="J101" s="6">
        <v>1407.0743</v>
      </c>
      <c r="K101" s="6">
        <v>732.3051</v>
      </c>
    </row>
    <row r="102" ht="15.75" customHeight="1" spans="1:11">
      <c r="A102" s="4" t="s">
        <v>696</v>
      </c>
      <c r="B102" s="5" t="s">
        <v>154</v>
      </c>
      <c r="C102" s="6">
        <v>269289.8619</v>
      </c>
      <c r="D102" s="6">
        <v>13.4645</v>
      </c>
      <c r="E102" s="6">
        <v>4.8461</v>
      </c>
      <c r="F102" s="6">
        <v>1.9636</v>
      </c>
      <c r="G102" s="6">
        <v>13.4645</v>
      </c>
      <c r="H102" s="6">
        <v>27.7</v>
      </c>
      <c r="I102" s="6">
        <v>32.3437</v>
      </c>
      <c r="J102" s="6">
        <v>93.7824</v>
      </c>
      <c r="K102" s="6">
        <v>52.6179</v>
      </c>
    </row>
    <row r="103" ht="15.75" customHeight="1" spans="1:11">
      <c r="A103" s="4" t="s">
        <v>15876</v>
      </c>
      <c r="B103" s="5" t="s">
        <v>18406</v>
      </c>
      <c r="C103" s="6">
        <v>169343888.2628</v>
      </c>
      <c r="D103" s="6">
        <v>4535.997</v>
      </c>
      <c r="E103" s="6">
        <v>1461.5486</v>
      </c>
      <c r="F103" s="6">
        <v>0</v>
      </c>
      <c r="G103" s="6">
        <v>10079.9933</v>
      </c>
      <c r="H103" s="6">
        <v>1052.6</v>
      </c>
      <c r="I103" s="6">
        <v>64.3615</v>
      </c>
      <c r="J103" s="6">
        <v>17194.5004</v>
      </c>
      <c r="K103" s="6">
        <v>6061.9071</v>
      </c>
    </row>
    <row r="104" ht="15.75" customHeight="1" spans="1:11">
      <c r="A104" s="4" t="s">
        <v>15877</v>
      </c>
      <c r="B104" s="5" t="s">
        <v>18407</v>
      </c>
      <c r="C104" s="6">
        <v>835498.381</v>
      </c>
      <c r="D104" s="6">
        <v>95.4855</v>
      </c>
      <c r="E104" s="6">
        <v>16.5697</v>
      </c>
      <c r="F104" s="6">
        <v>0</v>
      </c>
      <c r="G104" s="6">
        <v>119.3569</v>
      </c>
      <c r="H104" s="6">
        <v>54.015</v>
      </c>
      <c r="I104" s="6">
        <v>33.7544</v>
      </c>
      <c r="J104" s="6">
        <v>319.1815</v>
      </c>
      <c r="K104" s="6">
        <v>145.8096</v>
      </c>
    </row>
    <row r="105" ht="15.75" customHeight="1" spans="1:11">
      <c r="A105" s="4" t="s">
        <v>18408</v>
      </c>
      <c r="B105" s="5" t="s">
        <v>18409</v>
      </c>
      <c r="C105" s="6">
        <v>126624.8152</v>
      </c>
      <c r="D105" s="6">
        <v>7.5975</v>
      </c>
      <c r="E105" s="6">
        <v>2.3438</v>
      </c>
      <c r="F105" s="6">
        <v>0.9497</v>
      </c>
      <c r="G105" s="6">
        <v>7.5975</v>
      </c>
      <c r="H105" s="6">
        <v>18.972</v>
      </c>
      <c r="I105" s="6">
        <v>32.3437</v>
      </c>
      <c r="J105" s="6">
        <v>69.8042</v>
      </c>
      <c r="K105" s="6">
        <v>43.2347</v>
      </c>
    </row>
    <row r="106" ht="15.75" customHeight="1" spans="1:11">
      <c r="A106" s="4" t="s">
        <v>18410</v>
      </c>
      <c r="B106" s="5" t="s">
        <v>18411</v>
      </c>
      <c r="C106" s="6">
        <v>126624.8152</v>
      </c>
      <c r="D106" s="6">
        <v>7.5975</v>
      </c>
      <c r="E106" s="6">
        <v>2.3438</v>
      </c>
      <c r="F106" s="6">
        <v>0.9497</v>
      </c>
      <c r="G106" s="6">
        <v>7.5975</v>
      </c>
      <c r="H106" s="6">
        <v>18.972</v>
      </c>
      <c r="I106" s="6">
        <v>0</v>
      </c>
      <c r="J106" s="6">
        <v>37.4605</v>
      </c>
      <c r="K106" s="6">
        <v>10.891</v>
      </c>
    </row>
    <row r="107" ht="15.75" customHeight="1" spans="1:11">
      <c r="A107" s="4" t="s">
        <v>18412</v>
      </c>
      <c r="B107" s="5" t="s">
        <v>18413</v>
      </c>
      <c r="C107" s="6">
        <v>279154.8734</v>
      </c>
      <c r="D107" s="6">
        <v>16.7493</v>
      </c>
      <c r="E107" s="6">
        <v>5.1672</v>
      </c>
      <c r="F107" s="6">
        <v>2.0937</v>
      </c>
      <c r="G107" s="6">
        <v>16.7493</v>
      </c>
      <c r="H107" s="6">
        <v>42.1733</v>
      </c>
      <c r="I107" s="6">
        <v>0</v>
      </c>
      <c r="J107" s="6">
        <v>82.9328</v>
      </c>
      <c r="K107" s="6">
        <v>24.0102</v>
      </c>
    </row>
    <row r="108" ht="15.75" customHeight="1" spans="1:11">
      <c r="A108" s="4" t="s">
        <v>18414</v>
      </c>
      <c r="B108" s="5" t="s">
        <v>18415</v>
      </c>
      <c r="C108" s="6">
        <v>269289.8619</v>
      </c>
      <c r="D108" s="6">
        <v>13.4645</v>
      </c>
      <c r="E108" s="6">
        <v>4.8461</v>
      </c>
      <c r="F108" s="6">
        <v>1.9636</v>
      </c>
      <c r="G108" s="6">
        <v>13.4645</v>
      </c>
      <c r="H108" s="6">
        <v>27.7</v>
      </c>
      <c r="I108" s="6">
        <v>0</v>
      </c>
      <c r="J108" s="6">
        <v>61.4387</v>
      </c>
      <c r="K108" s="6">
        <v>20.2742</v>
      </c>
    </row>
    <row r="109" ht="15.75" customHeight="1" spans="1:11">
      <c r="A109" s="4" t="s">
        <v>15878</v>
      </c>
      <c r="B109" s="5" t="s">
        <v>18416</v>
      </c>
      <c r="C109" s="6">
        <v>670101.1574</v>
      </c>
      <c r="D109" s="6">
        <v>28.7186</v>
      </c>
      <c r="E109" s="6">
        <v>11.8129</v>
      </c>
      <c r="F109" s="6">
        <v>4.7864</v>
      </c>
      <c r="G109" s="6">
        <v>43.0779</v>
      </c>
      <c r="H109" s="6">
        <v>126.312</v>
      </c>
      <c r="I109" s="6">
        <v>39.3248</v>
      </c>
      <c r="J109" s="6">
        <v>254.0326</v>
      </c>
      <c r="K109" s="6">
        <v>84.6427</v>
      </c>
    </row>
    <row r="110" ht="15.75" customHeight="1" spans="1:11">
      <c r="A110" s="4" t="s">
        <v>15879</v>
      </c>
      <c r="B110" s="5" t="s">
        <v>18417</v>
      </c>
      <c r="C110" s="6">
        <v>112620.9027</v>
      </c>
      <c r="D110" s="6">
        <v>9.0097</v>
      </c>
      <c r="E110" s="6">
        <v>2.0846</v>
      </c>
      <c r="F110" s="6">
        <v>0</v>
      </c>
      <c r="G110" s="6">
        <v>5.631</v>
      </c>
      <c r="H110" s="6">
        <v>0</v>
      </c>
      <c r="I110" s="6">
        <v>0</v>
      </c>
      <c r="J110" s="6">
        <v>16.7253</v>
      </c>
      <c r="K110" s="6">
        <v>11.0943</v>
      </c>
    </row>
    <row r="111" ht="15.75" customHeight="1" spans="1:11">
      <c r="A111" s="4" t="s">
        <v>15880</v>
      </c>
      <c r="B111" s="5" t="s">
        <v>18418</v>
      </c>
      <c r="C111" s="6">
        <v>303604.3715</v>
      </c>
      <c r="D111" s="6">
        <v>13.4935</v>
      </c>
      <c r="E111" s="6">
        <v>5.2034</v>
      </c>
      <c r="F111" s="6">
        <v>0</v>
      </c>
      <c r="G111" s="6">
        <v>8.4335</v>
      </c>
      <c r="H111" s="6">
        <v>0</v>
      </c>
      <c r="I111" s="6">
        <v>26.5829</v>
      </c>
      <c r="J111" s="6">
        <v>53.7133</v>
      </c>
      <c r="K111" s="6">
        <v>45.2798</v>
      </c>
    </row>
    <row r="112" ht="15.75" customHeight="1" spans="1:11">
      <c r="A112" s="4" t="s">
        <v>15883</v>
      </c>
      <c r="B112" s="5" t="s">
        <v>18419</v>
      </c>
      <c r="C112" s="6">
        <v>110341.7233</v>
      </c>
      <c r="D112" s="6">
        <v>6.3052</v>
      </c>
      <c r="E112" s="6">
        <v>1.9452</v>
      </c>
      <c r="F112" s="6">
        <v>0</v>
      </c>
      <c r="G112" s="6">
        <v>6.3052</v>
      </c>
      <c r="H112" s="6">
        <v>0</v>
      </c>
      <c r="I112" s="6">
        <v>45.2393</v>
      </c>
      <c r="J112" s="6">
        <v>59.7949</v>
      </c>
      <c r="K112" s="6">
        <v>53.4897</v>
      </c>
    </row>
    <row r="113" ht="15.75" customHeight="1" spans="1:11">
      <c r="A113" s="4" t="s">
        <v>18420</v>
      </c>
      <c r="B113" s="5" t="s">
        <v>18421</v>
      </c>
      <c r="C113" s="6">
        <v>312876.6795</v>
      </c>
      <c r="D113" s="6">
        <v>25.0301</v>
      </c>
      <c r="E113" s="6">
        <v>5.7913</v>
      </c>
      <c r="F113" s="6">
        <v>0</v>
      </c>
      <c r="G113" s="6">
        <v>25.0301</v>
      </c>
      <c r="H113" s="6">
        <v>9.8865</v>
      </c>
      <c r="I113" s="6">
        <v>0</v>
      </c>
      <c r="J113" s="6">
        <v>65.738</v>
      </c>
      <c r="K113" s="6">
        <v>30.8214</v>
      </c>
    </row>
    <row r="114" ht="15.75" customHeight="1" spans="1:11">
      <c r="A114" s="4" t="s">
        <v>18422</v>
      </c>
      <c r="B114" s="5" t="s">
        <v>18423</v>
      </c>
      <c r="C114" s="6">
        <v>2952990.1056</v>
      </c>
      <c r="D114" s="6">
        <v>157.4928</v>
      </c>
      <c r="E114" s="6">
        <v>51.6232</v>
      </c>
      <c r="F114" s="6">
        <v>0</v>
      </c>
      <c r="G114" s="6">
        <v>157.4928</v>
      </c>
      <c r="H114" s="6">
        <v>169.524</v>
      </c>
      <c r="I114" s="6">
        <v>45.2393</v>
      </c>
      <c r="J114" s="6">
        <v>581.3721</v>
      </c>
      <c r="K114" s="6">
        <v>254.3553</v>
      </c>
    </row>
    <row r="115" ht="15.75" customHeight="1" spans="1:11">
      <c r="A115" s="4" t="s">
        <v>18424</v>
      </c>
      <c r="B115" s="5" t="s">
        <v>18425</v>
      </c>
      <c r="C115" s="6">
        <v>1316.4235</v>
      </c>
      <c r="D115" s="6">
        <v>0.1119</v>
      </c>
      <c r="E115" s="6">
        <v>0.0244</v>
      </c>
      <c r="F115" s="6">
        <v>0</v>
      </c>
      <c r="G115" s="6">
        <v>0.1053</v>
      </c>
      <c r="H115" s="6">
        <v>0</v>
      </c>
      <c r="I115" s="6">
        <v>0</v>
      </c>
      <c r="J115" s="6">
        <v>0.2416</v>
      </c>
      <c r="K115" s="6">
        <v>0.1363</v>
      </c>
    </row>
    <row r="116" ht="15.75" customHeight="1" spans="1:11">
      <c r="A116" s="4" t="s">
        <v>18426</v>
      </c>
      <c r="B116" s="5" t="s">
        <v>18427</v>
      </c>
      <c r="C116" s="6">
        <v>1096.19</v>
      </c>
      <c r="D116" s="6">
        <v>0.0932</v>
      </c>
      <c r="E116" s="6">
        <v>0.0203</v>
      </c>
      <c r="F116" s="6">
        <v>0</v>
      </c>
      <c r="G116" s="6">
        <v>0.0877</v>
      </c>
      <c r="H116" s="6">
        <v>0</v>
      </c>
      <c r="I116" s="6">
        <v>0</v>
      </c>
      <c r="J116" s="6">
        <v>0.2012</v>
      </c>
      <c r="K116" s="6">
        <v>0.1135</v>
      </c>
    </row>
    <row r="117" ht="15.75" customHeight="1" spans="1:11">
      <c r="A117" s="4" t="s">
        <v>18428</v>
      </c>
      <c r="B117" s="5" t="s">
        <v>18429</v>
      </c>
      <c r="C117" s="6">
        <v>474512.3275</v>
      </c>
      <c r="D117" s="6">
        <v>85.4122</v>
      </c>
      <c r="E117" s="6">
        <v>10.2471</v>
      </c>
      <c r="F117" s="6">
        <v>0</v>
      </c>
      <c r="G117" s="6">
        <v>28.4707</v>
      </c>
      <c r="H117" s="6">
        <v>29.085</v>
      </c>
      <c r="I117" s="6">
        <v>26.5829</v>
      </c>
      <c r="J117" s="6">
        <v>179.7979</v>
      </c>
      <c r="K117" s="6">
        <v>122.2422</v>
      </c>
    </row>
    <row r="118" ht="15.75" customHeight="1" spans="1:11">
      <c r="A118" s="4" t="s">
        <v>18430</v>
      </c>
      <c r="B118" s="5" t="s">
        <v>18431</v>
      </c>
      <c r="C118" s="6">
        <v>148957.2805</v>
      </c>
      <c r="D118" s="6">
        <v>22.3436</v>
      </c>
      <c r="E118" s="6">
        <v>3.0636</v>
      </c>
      <c r="F118" s="6">
        <v>0</v>
      </c>
      <c r="G118" s="6">
        <v>7.4479</v>
      </c>
      <c r="H118" s="6">
        <v>4.0331</v>
      </c>
      <c r="I118" s="6">
        <v>0</v>
      </c>
      <c r="J118" s="6">
        <v>36.8882</v>
      </c>
      <c r="K118" s="6">
        <v>25.4072</v>
      </c>
    </row>
    <row r="119" ht="15.75" customHeight="1" spans="1:11">
      <c r="A119" s="4" t="s">
        <v>18432</v>
      </c>
      <c r="B119" s="5" t="s">
        <v>18433</v>
      </c>
      <c r="C119" s="6">
        <v>2466.879</v>
      </c>
      <c r="D119" s="6">
        <v>0.3947</v>
      </c>
      <c r="E119" s="6">
        <v>0.0533</v>
      </c>
      <c r="F119" s="6">
        <v>0</v>
      </c>
      <c r="G119" s="6">
        <v>0.3454</v>
      </c>
      <c r="H119" s="6">
        <v>4.7957</v>
      </c>
      <c r="I119" s="6">
        <v>0</v>
      </c>
      <c r="J119" s="6">
        <v>5.5891</v>
      </c>
      <c r="K119" s="6">
        <v>0.448</v>
      </c>
    </row>
    <row r="120" ht="15.75" customHeight="1" spans="1:11">
      <c r="A120" s="4" t="s">
        <v>18434</v>
      </c>
      <c r="B120" s="5" t="s">
        <v>18435</v>
      </c>
      <c r="C120" s="6">
        <v>8872419.1628</v>
      </c>
      <c r="D120" s="6">
        <v>141.9587</v>
      </c>
      <c r="E120" s="6">
        <v>142.3313</v>
      </c>
      <c r="F120" s="6">
        <v>0</v>
      </c>
      <c r="G120" s="6">
        <v>177.4484</v>
      </c>
      <c r="H120" s="6">
        <v>1487.1576</v>
      </c>
      <c r="I120" s="6">
        <v>36.0252</v>
      </c>
      <c r="J120" s="6">
        <v>1984.9212</v>
      </c>
      <c r="K120" s="6">
        <v>320.3152</v>
      </c>
    </row>
    <row r="121" ht="15.75" customHeight="1" spans="1:11">
      <c r="A121" s="4" t="s">
        <v>18436</v>
      </c>
      <c r="B121" s="5" t="s">
        <v>18437</v>
      </c>
      <c r="C121" s="6">
        <v>9264684.3503</v>
      </c>
      <c r="D121" s="6">
        <v>148.2349</v>
      </c>
      <c r="E121" s="6">
        <v>148.6241</v>
      </c>
      <c r="F121" s="6">
        <v>0</v>
      </c>
      <c r="G121" s="6">
        <v>185.2937</v>
      </c>
      <c r="H121" s="6">
        <v>1487.1576</v>
      </c>
      <c r="I121" s="6">
        <v>36.0252</v>
      </c>
      <c r="J121" s="6">
        <v>2005.3355</v>
      </c>
      <c r="K121" s="6">
        <v>332.8842</v>
      </c>
    </row>
    <row r="122" ht="15.75" customHeight="1" spans="1:11">
      <c r="A122" s="4" t="s">
        <v>18438</v>
      </c>
      <c r="B122" s="5" t="s">
        <v>18439</v>
      </c>
      <c r="C122" s="6">
        <v>757061.9269</v>
      </c>
      <c r="D122" s="6">
        <v>11.9868</v>
      </c>
      <c r="E122" s="6">
        <v>12.0669</v>
      </c>
      <c r="F122" s="6">
        <v>0</v>
      </c>
      <c r="G122" s="6">
        <v>6.3088</v>
      </c>
      <c r="H122" s="6">
        <v>0</v>
      </c>
      <c r="I122" s="6">
        <v>0</v>
      </c>
      <c r="J122" s="6">
        <v>30.3625</v>
      </c>
      <c r="K122" s="6">
        <v>24.0537</v>
      </c>
    </row>
    <row r="123" ht="15.75" customHeight="1" spans="1:11">
      <c r="A123" s="4" t="s">
        <v>18440</v>
      </c>
      <c r="B123" s="5" t="s">
        <v>18441</v>
      </c>
      <c r="C123" s="6">
        <v>985773.2387</v>
      </c>
      <c r="D123" s="6">
        <v>15.6081</v>
      </c>
      <c r="E123" s="6">
        <v>15.7124</v>
      </c>
      <c r="F123" s="6">
        <v>0</v>
      </c>
      <c r="G123" s="6">
        <v>8.2148</v>
      </c>
      <c r="H123" s="6">
        <v>0</v>
      </c>
      <c r="I123" s="6">
        <v>0</v>
      </c>
      <c r="J123" s="6">
        <v>39.5353</v>
      </c>
      <c r="K123" s="6">
        <v>31.3205</v>
      </c>
    </row>
    <row r="124" ht="15.75" customHeight="1" spans="1:11">
      <c r="A124" s="4" t="s">
        <v>18442</v>
      </c>
      <c r="B124" s="5" t="s">
        <v>18443</v>
      </c>
      <c r="C124" s="6">
        <v>749598.4003</v>
      </c>
      <c r="D124" s="6">
        <v>11.8686</v>
      </c>
      <c r="E124" s="6">
        <v>11.948</v>
      </c>
      <c r="F124" s="6">
        <v>0</v>
      </c>
      <c r="G124" s="6">
        <v>6.2467</v>
      </c>
      <c r="H124" s="6">
        <v>0</v>
      </c>
      <c r="I124" s="6">
        <v>0</v>
      </c>
      <c r="J124" s="6">
        <v>30.0633</v>
      </c>
      <c r="K124" s="6">
        <v>23.8166</v>
      </c>
    </row>
    <row r="125" ht="15.75" customHeight="1" spans="1:11">
      <c r="A125" s="4" t="s">
        <v>18444</v>
      </c>
      <c r="B125" s="5" t="s">
        <v>18445</v>
      </c>
      <c r="C125" s="6">
        <v>869181.1526</v>
      </c>
      <c r="D125" s="6">
        <v>13.762</v>
      </c>
      <c r="E125" s="6">
        <v>13.854</v>
      </c>
      <c r="F125" s="6">
        <v>0</v>
      </c>
      <c r="G125" s="6">
        <v>7.2432</v>
      </c>
      <c r="H125" s="6">
        <v>0</v>
      </c>
      <c r="I125" s="6">
        <v>0</v>
      </c>
      <c r="J125" s="6">
        <v>34.8592</v>
      </c>
      <c r="K125" s="6">
        <v>27.616</v>
      </c>
    </row>
    <row r="126" ht="15.75" customHeight="1" spans="1:11">
      <c r="A126" s="4" t="s">
        <v>18446</v>
      </c>
      <c r="B126" s="5" t="s">
        <v>18447</v>
      </c>
      <c r="C126" s="6">
        <v>903625.4688</v>
      </c>
      <c r="D126" s="6">
        <v>14.3074</v>
      </c>
      <c r="E126" s="6">
        <v>14.403</v>
      </c>
      <c r="F126" s="6">
        <v>0</v>
      </c>
      <c r="G126" s="6">
        <v>7.5302</v>
      </c>
      <c r="H126" s="6">
        <v>0</v>
      </c>
      <c r="I126" s="6">
        <v>0</v>
      </c>
      <c r="J126" s="6">
        <v>36.2406</v>
      </c>
      <c r="K126" s="6">
        <v>28.7104</v>
      </c>
    </row>
    <row r="127" ht="15.75" customHeight="1" spans="1:11">
      <c r="A127" s="4" t="s">
        <v>18448</v>
      </c>
      <c r="B127" s="5" t="s">
        <v>18449</v>
      </c>
      <c r="C127" s="6">
        <v>1161171.6379</v>
      </c>
      <c r="D127" s="6">
        <v>18.3852</v>
      </c>
      <c r="E127" s="6">
        <v>18.5081</v>
      </c>
      <c r="F127" s="6">
        <v>0</v>
      </c>
      <c r="G127" s="6">
        <v>9.6764</v>
      </c>
      <c r="H127" s="6">
        <v>0</v>
      </c>
      <c r="I127" s="6">
        <v>0</v>
      </c>
      <c r="J127" s="6">
        <v>46.5697</v>
      </c>
      <c r="K127" s="6">
        <v>36.8933</v>
      </c>
    </row>
    <row r="128" ht="15.75" customHeight="1" spans="1:11">
      <c r="A128" s="4" t="s">
        <v>18450</v>
      </c>
      <c r="B128" s="5" t="s">
        <v>18451</v>
      </c>
      <c r="C128" s="6">
        <v>2821080.7215</v>
      </c>
      <c r="D128" s="6">
        <v>45.1373</v>
      </c>
      <c r="E128" s="6">
        <v>45.2558</v>
      </c>
      <c r="F128" s="6">
        <v>0</v>
      </c>
      <c r="G128" s="6">
        <v>56.4216</v>
      </c>
      <c r="H128" s="6">
        <v>59.832</v>
      </c>
      <c r="I128" s="6">
        <v>45.2393</v>
      </c>
      <c r="J128" s="6">
        <v>251.886</v>
      </c>
      <c r="K128" s="6">
        <v>135.6324</v>
      </c>
    </row>
    <row r="129" ht="15.75" customHeight="1" spans="1:11">
      <c r="A129" s="4" t="s">
        <v>18452</v>
      </c>
      <c r="B129" s="5" t="s">
        <v>18453</v>
      </c>
      <c r="C129" s="6">
        <v>1436427.2783</v>
      </c>
      <c r="D129" s="6">
        <v>125.6874</v>
      </c>
      <c r="E129" s="6">
        <v>27.6961</v>
      </c>
      <c r="F129" s="6">
        <v>0</v>
      </c>
      <c r="G129" s="6">
        <v>125.6874</v>
      </c>
      <c r="H129" s="6">
        <v>86.424</v>
      </c>
      <c r="I129" s="6">
        <v>33.7544</v>
      </c>
      <c r="J129" s="6">
        <v>399.2493</v>
      </c>
      <c r="K129" s="6">
        <v>187.1379</v>
      </c>
    </row>
    <row r="130" ht="15.75" customHeight="1" spans="1:11">
      <c r="A130" s="4" t="s">
        <v>18454</v>
      </c>
      <c r="B130" s="5" t="s">
        <v>18455</v>
      </c>
      <c r="C130" s="6">
        <v>521520.7894</v>
      </c>
      <c r="D130" s="6">
        <v>29.8012</v>
      </c>
      <c r="E130" s="6">
        <v>9.1937</v>
      </c>
      <c r="F130" s="6">
        <v>0</v>
      </c>
      <c r="G130" s="6">
        <v>29.8012</v>
      </c>
      <c r="H130" s="6">
        <v>0</v>
      </c>
      <c r="I130" s="6">
        <v>26.5829</v>
      </c>
      <c r="J130" s="6">
        <v>95.379</v>
      </c>
      <c r="K130" s="6">
        <v>65.5778</v>
      </c>
    </row>
    <row r="131" ht="15.75" customHeight="1" spans="1:11">
      <c r="A131" s="4" t="s">
        <v>18456</v>
      </c>
      <c r="B131" s="5" t="s">
        <v>18457</v>
      </c>
      <c r="C131" s="6">
        <v>274819.9709</v>
      </c>
      <c r="D131" s="6">
        <v>15.704</v>
      </c>
      <c r="E131" s="6">
        <v>4.8447</v>
      </c>
      <c r="F131" s="6">
        <v>0</v>
      </c>
      <c r="G131" s="6">
        <v>15.704</v>
      </c>
      <c r="H131" s="6">
        <v>0</v>
      </c>
      <c r="I131" s="6">
        <v>0</v>
      </c>
      <c r="J131" s="6">
        <v>36.2527</v>
      </c>
      <c r="K131" s="6">
        <v>20.5487</v>
      </c>
    </row>
    <row r="132" ht="15.75" customHeight="1" spans="1:11">
      <c r="A132" s="4" t="s">
        <v>18458</v>
      </c>
      <c r="B132" s="5" t="s">
        <v>18459</v>
      </c>
      <c r="C132" s="6">
        <v>15034.2835</v>
      </c>
      <c r="D132" s="6">
        <v>1.3531</v>
      </c>
      <c r="E132" s="6">
        <v>0.2783</v>
      </c>
      <c r="F132" s="6">
        <v>0</v>
      </c>
      <c r="G132" s="6">
        <v>0.7517</v>
      </c>
      <c r="H132" s="6">
        <v>0</v>
      </c>
      <c r="I132" s="6">
        <v>0</v>
      </c>
      <c r="J132" s="6">
        <v>2.3831</v>
      </c>
      <c r="K132" s="6">
        <v>1.6314</v>
      </c>
    </row>
    <row r="133" ht="15.75" customHeight="1" spans="1:11">
      <c r="A133" s="4" t="s">
        <v>18460</v>
      </c>
      <c r="B133" s="5" t="s">
        <v>18461</v>
      </c>
      <c r="C133" s="6">
        <v>451012.036</v>
      </c>
      <c r="D133" s="6">
        <v>36.081</v>
      </c>
      <c r="E133" s="6">
        <v>8.3482</v>
      </c>
      <c r="F133" s="6">
        <v>0</v>
      </c>
      <c r="G133" s="6">
        <v>36.081</v>
      </c>
      <c r="H133" s="6">
        <v>0</v>
      </c>
      <c r="I133" s="6">
        <v>26.5829</v>
      </c>
      <c r="J133" s="6">
        <v>107.0931</v>
      </c>
      <c r="K133" s="6">
        <v>71.0121</v>
      </c>
    </row>
    <row r="134" ht="15.75" customHeight="1" spans="1:11">
      <c r="A134" s="4" t="s">
        <v>18462</v>
      </c>
      <c r="B134" s="5" t="s">
        <v>18463</v>
      </c>
      <c r="C134" s="6">
        <v>261496.9568</v>
      </c>
      <c r="D134" s="6">
        <v>14.9427</v>
      </c>
      <c r="E134" s="6">
        <v>4.6098</v>
      </c>
      <c r="F134" s="6">
        <v>0</v>
      </c>
      <c r="G134" s="6">
        <v>14.9427</v>
      </c>
      <c r="H134" s="6">
        <v>0</v>
      </c>
      <c r="I134" s="6">
        <v>45.2393</v>
      </c>
      <c r="J134" s="6">
        <v>79.7345</v>
      </c>
      <c r="K134" s="6">
        <v>64.7918</v>
      </c>
    </row>
    <row r="135" ht="15.75" customHeight="1" spans="1:11">
      <c r="A135" s="4" t="s">
        <v>18464</v>
      </c>
      <c r="B135" s="5" t="s">
        <v>18465</v>
      </c>
      <c r="C135" s="6">
        <v>237345.4299</v>
      </c>
      <c r="D135" s="6">
        <v>10.5487</v>
      </c>
      <c r="E135" s="6">
        <v>4.0678</v>
      </c>
      <c r="F135" s="6">
        <v>0</v>
      </c>
      <c r="G135" s="6">
        <v>6.5929</v>
      </c>
      <c r="H135" s="6">
        <v>0</v>
      </c>
      <c r="I135" s="6">
        <v>26.5829</v>
      </c>
      <c r="J135" s="6">
        <v>47.7923</v>
      </c>
      <c r="K135" s="6">
        <v>41.1994</v>
      </c>
    </row>
    <row r="136" ht="15.75" customHeight="1" spans="1:11">
      <c r="A136" s="4" t="s">
        <v>18466</v>
      </c>
      <c r="B136" s="5" t="s">
        <v>18467</v>
      </c>
      <c r="C136" s="6">
        <v>709464.8681</v>
      </c>
      <c r="D136" s="6">
        <v>28.3786</v>
      </c>
      <c r="E136" s="6">
        <v>12.0378</v>
      </c>
      <c r="F136" s="6">
        <v>0</v>
      </c>
      <c r="G136" s="6">
        <v>35.4732</v>
      </c>
      <c r="H136" s="6">
        <v>0</v>
      </c>
      <c r="I136" s="6">
        <v>26.5829</v>
      </c>
      <c r="J136" s="6">
        <v>102.4725</v>
      </c>
      <c r="K136" s="6">
        <v>66.9993</v>
      </c>
    </row>
    <row r="137" ht="15.75" customHeight="1" spans="1:11">
      <c r="A137" s="4" t="s">
        <v>18468</v>
      </c>
      <c r="B137" s="5" t="s">
        <v>18469</v>
      </c>
      <c r="C137" s="6">
        <v>153159.0862</v>
      </c>
      <c r="D137" s="6">
        <v>6.8071</v>
      </c>
      <c r="E137" s="6">
        <v>2.625</v>
      </c>
      <c r="F137" s="6">
        <v>0</v>
      </c>
      <c r="G137" s="6">
        <v>4.2544</v>
      </c>
      <c r="H137" s="6">
        <v>0</v>
      </c>
      <c r="I137" s="6">
        <v>26.5829</v>
      </c>
      <c r="J137" s="6">
        <v>40.2694</v>
      </c>
      <c r="K137" s="6">
        <v>36.015</v>
      </c>
    </row>
    <row r="138" ht="15.75" customHeight="1" spans="1:11">
      <c r="A138" s="4" t="s">
        <v>18470</v>
      </c>
      <c r="B138" s="5" t="s">
        <v>18471</v>
      </c>
      <c r="C138" s="6">
        <v>36088.7405</v>
      </c>
      <c r="D138" s="6">
        <v>2.1428</v>
      </c>
      <c r="E138" s="6">
        <v>0.6263</v>
      </c>
      <c r="F138" s="6">
        <v>0</v>
      </c>
      <c r="G138" s="6">
        <v>1.5789</v>
      </c>
      <c r="H138" s="6">
        <v>0</v>
      </c>
      <c r="I138" s="6">
        <v>0</v>
      </c>
      <c r="J138" s="6">
        <v>4.348</v>
      </c>
      <c r="K138" s="6">
        <v>2.7691</v>
      </c>
    </row>
    <row r="139" ht="15.75" customHeight="1" spans="1:11">
      <c r="A139" s="4" t="s">
        <v>18472</v>
      </c>
      <c r="B139" s="5" t="s">
        <v>18473</v>
      </c>
      <c r="C139" s="6">
        <v>148188.4394</v>
      </c>
      <c r="D139" s="6">
        <v>8.4679</v>
      </c>
      <c r="E139" s="6">
        <v>2.6124</v>
      </c>
      <c r="F139" s="6">
        <v>0</v>
      </c>
      <c r="G139" s="6">
        <v>8.4679</v>
      </c>
      <c r="H139" s="6">
        <v>0</v>
      </c>
      <c r="I139" s="6">
        <v>0</v>
      </c>
      <c r="J139" s="6">
        <v>19.5482</v>
      </c>
      <c r="K139" s="6">
        <v>11.0803</v>
      </c>
    </row>
    <row r="140" ht="15.75" customHeight="1" spans="1:11">
      <c r="A140" s="4" t="s">
        <v>18474</v>
      </c>
      <c r="B140" s="5" t="s">
        <v>18475</v>
      </c>
      <c r="C140" s="6">
        <v>1587263.71</v>
      </c>
      <c r="D140" s="6">
        <v>158.7264</v>
      </c>
      <c r="E140" s="6">
        <v>30.6044</v>
      </c>
      <c r="F140" s="6">
        <v>0</v>
      </c>
      <c r="G140" s="6">
        <v>138.8856</v>
      </c>
      <c r="H140" s="6">
        <v>0</v>
      </c>
      <c r="I140" s="6">
        <v>45.2393</v>
      </c>
      <c r="J140" s="6">
        <v>373.4557</v>
      </c>
      <c r="K140" s="6">
        <v>234.5701</v>
      </c>
    </row>
    <row r="141" ht="15.75" customHeight="1" spans="1:11">
      <c r="A141" s="4" t="s">
        <v>18476</v>
      </c>
      <c r="B141" s="5" t="s">
        <v>18477</v>
      </c>
      <c r="C141" s="6">
        <v>41119.6485</v>
      </c>
      <c r="D141" s="6">
        <v>0.6511</v>
      </c>
      <c r="E141" s="6">
        <v>0.6554</v>
      </c>
      <c r="F141" s="6">
        <v>0</v>
      </c>
      <c r="G141" s="6">
        <v>0.3427</v>
      </c>
      <c r="H141" s="6">
        <v>0</v>
      </c>
      <c r="I141" s="6">
        <v>0</v>
      </c>
      <c r="J141" s="6">
        <v>1.6492</v>
      </c>
      <c r="K141" s="6">
        <v>1.3065</v>
      </c>
    </row>
    <row r="142" ht="15.75" customHeight="1" spans="1:11">
      <c r="A142" s="4" t="s">
        <v>18478</v>
      </c>
      <c r="B142" s="5" t="s">
        <v>18479</v>
      </c>
      <c r="C142" s="6">
        <v>675912.6528</v>
      </c>
      <c r="D142" s="6">
        <v>6.2585</v>
      </c>
      <c r="E142" s="6">
        <v>3.8615</v>
      </c>
      <c r="F142" s="6">
        <v>0</v>
      </c>
      <c r="G142" s="6">
        <v>6.2585</v>
      </c>
      <c r="H142" s="6">
        <v>0</v>
      </c>
      <c r="I142" s="6">
        <v>0</v>
      </c>
      <c r="J142" s="6">
        <v>16.3785</v>
      </c>
      <c r="K142" s="6">
        <v>10.12</v>
      </c>
    </row>
    <row r="143" ht="15.75" customHeight="1" spans="1:11">
      <c r="A143" s="4" t="s">
        <v>18480</v>
      </c>
      <c r="B143" s="5" t="s">
        <v>18481</v>
      </c>
      <c r="C143" s="6">
        <v>45614.171</v>
      </c>
      <c r="D143" s="6">
        <v>0.4224</v>
      </c>
      <c r="E143" s="6">
        <v>0.2606</v>
      </c>
      <c r="F143" s="6">
        <v>0</v>
      </c>
      <c r="G143" s="6">
        <v>0.4224</v>
      </c>
      <c r="H143" s="6">
        <v>0</v>
      </c>
      <c r="I143" s="6">
        <v>0</v>
      </c>
      <c r="J143" s="6">
        <v>1.1054</v>
      </c>
      <c r="K143" s="6">
        <v>0.683</v>
      </c>
    </row>
    <row r="144" ht="15.75" customHeight="1" spans="1:11">
      <c r="A144" s="4" t="s">
        <v>18482</v>
      </c>
      <c r="B144" s="5" t="s">
        <v>18483</v>
      </c>
      <c r="C144" s="6">
        <v>38034.1485</v>
      </c>
      <c r="D144" s="6">
        <v>0.3522</v>
      </c>
      <c r="E144" s="6">
        <v>0.2173</v>
      </c>
      <c r="F144" s="6">
        <v>0</v>
      </c>
      <c r="G144" s="6">
        <v>0.3522</v>
      </c>
      <c r="H144" s="6">
        <v>0</v>
      </c>
      <c r="I144" s="6">
        <v>0</v>
      </c>
      <c r="J144" s="6">
        <v>0.9217</v>
      </c>
      <c r="K144" s="6">
        <v>0.5695</v>
      </c>
    </row>
    <row r="145" ht="15.75" customHeight="1" spans="1:11">
      <c r="A145" s="4" t="s">
        <v>15885</v>
      </c>
      <c r="B145" s="5" t="s">
        <v>18484</v>
      </c>
      <c r="C145" s="6">
        <v>923485.0599</v>
      </c>
      <c r="D145" s="6">
        <v>73.7945</v>
      </c>
      <c r="E145" s="6">
        <v>17.497</v>
      </c>
      <c r="F145" s="6">
        <v>0</v>
      </c>
      <c r="G145" s="6">
        <v>73.7945</v>
      </c>
      <c r="H145" s="6">
        <v>110.523</v>
      </c>
      <c r="I145" s="6">
        <v>41.5913</v>
      </c>
      <c r="J145" s="6">
        <v>317.2003</v>
      </c>
      <c r="K145" s="6">
        <v>132.8828</v>
      </c>
    </row>
    <row r="146" ht="15.75" customHeight="1" spans="1:11">
      <c r="A146" s="4" t="s">
        <v>15888</v>
      </c>
      <c r="B146" s="5" t="s">
        <v>18485</v>
      </c>
      <c r="C146" s="6">
        <v>1926424.1712</v>
      </c>
      <c r="D146" s="6">
        <v>220.1628</v>
      </c>
      <c r="E146" s="6">
        <v>38.2051</v>
      </c>
      <c r="F146" s="6">
        <v>0</v>
      </c>
      <c r="G146" s="6">
        <v>275.2035</v>
      </c>
      <c r="H146" s="6">
        <v>74.1806</v>
      </c>
      <c r="I146" s="6">
        <v>41.5913</v>
      </c>
      <c r="J146" s="6">
        <v>649.3433</v>
      </c>
      <c r="K146" s="6">
        <v>299.9592</v>
      </c>
    </row>
    <row r="147" ht="15.75" customHeight="1" spans="1:11">
      <c r="A147" s="4" t="s">
        <v>15889</v>
      </c>
      <c r="B147" s="5" t="s">
        <v>18486</v>
      </c>
      <c r="C147" s="6">
        <v>1970313.5524</v>
      </c>
      <c r="D147" s="6">
        <v>157.6251</v>
      </c>
      <c r="E147" s="6">
        <v>36.4705</v>
      </c>
      <c r="F147" s="6">
        <v>0</v>
      </c>
      <c r="G147" s="6">
        <v>157.6251</v>
      </c>
      <c r="H147" s="6">
        <v>120.495</v>
      </c>
      <c r="I147" s="6">
        <v>41.5913</v>
      </c>
      <c r="J147" s="6">
        <v>513.807</v>
      </c>
      <c r="K147" s="6">
        <v>235.6869</v>
      </c>
    </row>
    <row r="148" ht="15.75" customHeight="1" spans="1:11">
      <c r="A148" s="4" t="s">
        <v>15890</v>
      </c>
      <c r="B148" s="5" t="s">
        <v>18487</v>
      </c>
      <c r="C148" s="6">
        <v>1042615.3211</v>
      </c>
      <c r="D148" s="6">
        <v>83.4092</v>
      </c>
      <c r="E148" s="6">
        <v>19.2988</v>
      </c>
      <c r="F148" s="6">
        <v>0</v>
      </c>
      <c r="G148" s="6">
        <v>62.5569</v>
      </c>
      <c r="H148" s="6">
        <v>0</v>
      </c>
      <c r="I148" s="6">
        <v>0</v>
      </c>
      <c r="J148" s="6">
        <v>165.2649</v>
      </c>
      <c r="K148" s="6">
        <v>102.708</v>
      </c>
    </row>
    <row r="149" ht="15.75" customHeight="1" spans="1:11">
      <c r="A149" s="4" t="s">
        <v>15892</v>
      </c>
      <c r="B149" s="5" t="s">
        <v>18488</v>
      </c>
      <c r="C149" s="6">
        <v>8859.4425</v>
      </c>
      <c r="D149" s="6">
        <v>1.1813</v>
      </c>
      <c r="E149" s="6">
        <v>0.1822</v>
      </c>
      <c r="F149" s="6">
        <v>0</v>
      </c>
      <c r="G149" s="6">
        <v>1.1813</v>
      </c>
      <c r="H149" s="6">
        <v>0</v>
      </c>
      <c r="I149" s="6">
        <v>0</v>
      </c>
      <c r="J149" s="6">
        <v>2.5448</v>
      </c>
      <c r="K149" s="6">
        <v>1.3635</v>
      </c>
    </row>
    <row r="150" ht="15.75" customHeight="1" spans="1:11">
      <c r="A150" s="4" t="s">
        <v>15893</v>
      </c>
      <c r="B150" s="5" t="s">
        <v>18489</v>
      </c>
      <c r="C150" s="6">
        <v>19333.3313</v>
      </c>
      <c r="D150" s="6">
        <v>2.5778</v>
      </c>
      <c r="E150" s="6">
        <v>0.3976</v>
      </c>
      <c r="F150" s="6">
        <v>0</v>
      </c>
      <c r="G150" s="6">
        <v>2.5778</v>
      </c>
      <c r="H150" s="6">
        <v>0</v>
      </c>
      <c r="I150" s="6">
        <v>34.7784</v>
      </c>
      <c r="J150" s="6">
        <v>40.3316</v>
      </c>
      <c r="K150" s="6">
        <v>37.7538</v>
      </c>
    </row>
    <row r="151" ht="15.75" customHeight="1" spans="1:11">
      <c r="A151" s="4" t="s">
        <v>15894</v>
      </c>
      <c r="B151" s="5" t="s">
        <v>18490</v>
      </c>
      <c r="C151" s="6">
        <v>14377852.8738</v>
      </c>
      <c r="D151" s="6">
        <v>821.5916</v>
      </c>
      <c r="E151" s="6">
        <v>253.461</v>
      </c>
      <c r="F151" s="6">
        <v>0</v>
      </c>
      <c r="G151" s="6">
        <v>1026.9895</v>
      </c>
      <c r="H151" s="6">
        <v>180.327</v>
      </c>
      <c r="I151" s="6">
        <v>56.5474</v>
      </c>
      <c r="J151" s="6">
        <v>2338.9165</v>
      </c>
      <c r="K151" s="6">
        <v>1131.6</v>
      </c>
    </row>
    <row r="152" ht="15.75" customHeight="1" spans="1:11">
      <c r="A152" s="4" t="s">
        <v>18491</v>
      </c>
      <c r="B152" s="5" t="s">
        <v>18492</v>
      </c>
      <c r="C152" s="6">
        <v>1543377</v>
      </c>
      <c r="D152" s="6">
        <v>66.1447</v>
      </c>
      <c r="E152" s="6">
        <v>27.2075</v>
      </c>
      <c r="F152" s="6">
        <v>11.0241</v>
      </c>
      <c r="G152" s="6">
        <v>99.2171</v>
      </c>
      <c r="H152" s="6">
        <v>294.728</v>
      </c>
      <c r="I152" s="6">
        <v>39.3248</v>
      </c>
      <c r="J152" s="6">
        <v>537.6462</v>
      </c>
      <c r="K152" s="6">
        <v>143.7011</v>
      </c>
    </row>
    <row r="153" ht="15.75" customHeight="1" spans="1:11">
      <c r="A153" s="4" t="s">
        <v>18493</v>
      </c>
      <c r="B153" s="5" t="s">
        <v>18494</v>
      </c>
      <c r="C153" s="6">
        <v>89.1084</v>
      </c>
      <c r="D153" s="6">
        <v>0.0119</v>
      </c>
      <c r="E153" s="6">
        <v>0.0018</v>
      </c>
      <c r="F153" s="6">
        <v>0</v>
      </c>
      <c r="G153" s="6">
        <v>0.0119</v>
      </c>
      <c r="H153" s="6">
        <v>0</v>
      </c>
      <c r="I153" s="6">
        <v>0</v>
      </c>
      <c r="J153" s="6">
        <v>0.0256</v>
      </c>
      <c r="K153" s="6">
        <v>0.0137</v>
      </c>
    </row>
    <row r="154" ht="15.75" customHeight="1" spans="1:11">
      <c r="A154" s="4" t="s">
        <v>18495</v>
      </c>
      <c r="B154" s="5" t="s">
        <v>18496</v>
      </c>
      <c r="C154" s="6">
        <v>670101.1574</v>
      </c>
      <c r="D154" s="6">
        <v>28.7186</v>
      </c>
      <c r="E154" s="6">
        <v>11.8129</v>
      </c>
      <c r="F154" s="6">
        <v>4.7864</v>
      </c>
      <c r="G154" s="6">
        <v>43.0779</v>
      </c>
      <c r="H154" s="6">
        <v>126.312</v>
      </c>
      <c r="I154" s="6">
        <v>0</v>
      </c>
      <c r="J154" s="6">
        <v>214.7078</v>
      </c>
      <c r="K154" s="6">
        <v>45.3179</v>
      </c>
    </row>
    <row r="155" ht="15.75" customHeight="1" spans="1:11">
      <c r="A155" s="4" t="s">
        <v>18497</v>
      </c>
      <c r="B155" s="5" t="s">
        <v>18498</v>
      </c>
      <c r="C155" s="6">
        <v>1029762.6106</v>
      </c>
      <c r="D155" s="6">
        <v>44.1327</v>
      </c>
      <c r="E155" s="6">
        <v>18.1532</v>
      </c>
      <c r="F155" s="6">
        <v>7.3554</v>
      </c>
      <c r="G155" s="6">
        <v>66.199</v>
      </c>
      <c r="H155" s="6">
        <v>161.0478</v>
      </c>
      <c r="I155" s="6">
        <v>0</v>
      </c>
      <c r="J155" s="6">
        <v>296.8881</v>
      </c>
      <c r="K155" s="6">
        <v>69.6413</v>
      </c>
    </row>
    <row r="156" ht="15.75" customHeight="1" spans="1:11">
      <c r="A156" s="4" t="s">
        <v>18499</v>
      </c>
      <c r="B156" s="5" t="s">
        <v>18500</v>
      </c>
      <c r="C156" s="6">
        <v>16699.6339</v>
      </c>
      <c r="D156" s="6">
        <v>1.0735</v>
      </c>
      <c r="E156" s="6">
        <v>0.2944</v>
      </c>
      <c r="F156" s="6">
        <v>0</v>
      </c>
      <c r="G156" s="6">
        <v>0.5964</v>
      </c>
      <c r="H156" s="6">
        <v>0</v>
      </c>
      <c r="I156" s="6">
        <v>0</v>
      </c>
      <c r="J156" s="6">
        <v>1.9643</v>
      </c>
      <c r="K156" s="6">
        <v>1.3679</v>
      </c>
    </row>
    <row r="157" ht="15.75" customHeight="1" spans="1:11">
      <c r="A157" s="4" t="s">
        <v>18501</v>
      </c>
      <c r="B157" s="5" t="s">
        <v>18502</v>
      </c>
      <c r="C157" s="6">
        <v>704169.4523</v>
      </c>
      <c r="D157" s="6">
        <v>12.323</v>
      </c>
      <c r="E157" s="6">
        <v>11.4049</v>
      </c>
      <c r="F157" s="6">
        <v>0</v>
      </c>
      <c r="G157" s="6">
        <v>17.6042</v>
      </c>
      <c r="H157" s="6">
        <v>0</v>
      </c>
      <c r="I157" s="6">
        <v>63.8766</v>
      </c>
      <c r="J157" s="6">
        <v>105.2087</v>
      </c>
      <c r="K157" s="6">
        <v>87.6045</v>
      </c>
    </row>
    <row r="158" ht="15.75" customHeight="1" spans="1:11">
      <c r="A158" s="4" t="s">
        <v>18503</v>
      </c>
      <c r="B158" s="5" t="s">
        <v>18504</v>
      </c>
      <c r="C158" s="6">
        <v>40723.31</v>
      </c>
      <c r="D158" s="6">
        <v>2.6179</v>
      </c>
      <c r="E158" s="6">
        <v>0.7179</v>
      </c>
      <c r="F158" s="6">
        <v>0</v>
      </c>
      <c r="G158" s="6">
        <v>1.4544</v>
      </c>
      <c r="H158" s="6">
        <v>0</v>
      </c>
      <c r="I158" s="6">
        <v>0</v>
      </c>
      <c r="J158" s="6">
        <v>4.7902</v>
      </c>
      <c r="K158" s="6">
        <v>3.3358</v>
      </c>
    </row>
    <row r="159" ht="15.75" customHeight="1" spans="1:11">
      <c r="A159" s="4" t="s">
        <v>18505</v>
      </c>
      <c r="B159" s="5" t="s">
        <v>18506</v>
      </c>
      <c r="C159" s="6">
        <v>6825.4206</v>
      </c>
      <c r="D159" s="6">
        <v>0.4388</v>
      </c>
      <c r="E159" s="6">
        <v>0.1203</v>
      </c>
      <c r="F159" s="6">
        <v>0</v>
      </c>
      <c r="G159" s="6">
        <v>0.2438</v>
      </c>
      <c r="H159" s="6">
        <v>0</v>
      </c>
      <c r="I159" s="6">
        <v>0</v>
      </c>
      <c r="J159" s="6">
        <v>0.8029</v>
      </c>
      <c r="K159" s="6">
        <v>0.5591</v>
      </c>
    </row>
    <row r="160" ht="15.75" customHeight="1" spans="1:11">
      <c r="A160" s="4" t="s">
        <v>18507</v>
      </c>
      <c r="B160" s="5" t="s">
        <v>18508</v>
      </c>
      <c r="C160" s="6">
        <v>13098.1086</v>
      </c>
      <c r="D160" s="6">
        <v>0.842</v>
      </c>
      <c r="E160" s="6">
        <v>0.2309</v>
      </c>
      <c r="F160" s="6">
        <v>0</v>
      </c>
      <c r="G160" s="6">
        <v>0.4678</v>
      </c>
      <c r="H160" s="6">
        <v>0</v>
      </c>
      <c r="I160" s="6">
        <v>0</v>
      </c>
      <c r="J160" s="6">
        <v>1.5407</v>
      </c>
      <c r="K160" s="6">
        <v>1.0729</v>
      </c>
    </row>
    <row r="161" ht="15.75" customHeight="1" spans="1:11">
      <c r="A161" s="4" t="s">
        <v>18509</v>
      </c>
      <c r="B161" s="5" t="s">
        <v>18510</v>
      </c>
      <c r="C161" s="6">
        <v>367099.4721</v>
      </c>
      <c r="D161" s="6">
        <v>32.6311</v>
      </c>
      <c r="E161" s="6">
        <v>6.9208</v>
      </c>
      <c r="F161" s="6">
        <v>0</v>
      </c>
      <c r="G161" s="6">
        <v>32.6311</v>
      </c>
      <c r="H161" s="6">
        <v>0</v>
      </c>
      <c r="I161" s="6">
        <v>63.8766</v>
      </c>
      <c r="J161" s="6">
        <v>136.0596</v>
      </c>
      <c r="K161" s="6">
        <v>103.4285</v>
      </c>
    </row>
    <row r="162" ht="15.75" customHeight="1" spans="1:11">
      <c r="A162" s="4" t="s">
        <v>18511</v>
      </c>
      <c r="B162" s="5" t="s">
        <v>18512</v>
      </c>
      <c r="C162" s="6">
        <v>53166.7771</v>
      </c>
      <c r="D162" s="6">
        <v>4.2533</v>
      </c>
      <c r="E162" s="6">
        <v>0.9841</v>
      </c>
      <c r="F162" s="6">
        <v>0</v>
      </c>
      <c r="G162" s="6">
        <v>4.2533</v>
      </c>
      <c r="H162" s="6">
        <v>7.0258</v>
      </c>
      <c r="I162" s="6">
        <v>0</v>
      </c>
      <c r="J162" s="6">
        <v>16.5165</v>
      </c>
      <c r="K162" s="6">
        <v>5.2374</v>
      </c>
    </row>
    <row r="163" ht="15.75" customHeight="1" spans="1:11">
      <c r="A163" s="4" t="s">
        <v>18513</v>
      </c>
      <c r="B163" s="5" t="s">
        <v>18514</v>
      </c>
      <c r="C163" s="6">
        <v>82321.3272</v>
      </c>
      <c r="D163" s="6">
        <v>6.5857</v>
      </c>
      <c r="E163" s="6">
        <v>1.5238</v>
      </c>
      <c r="F163" s="6">
        <v>0</v>
      </c>
      <c r="G163" s="6">
        <v>6.5857</v>
      </c>
      <c r="H163" s="6">
        <v>15.2383</v>
      </c>
      <c r="I163" s="6">
        <v>0</v>
      </c>
      <c r="J163" s="6">
        <v>29.9335</v>
      </c>
      <c r="K163" s="6">
        <v>8.1095</v>
      </c>
    </row>
    <row r="164" ht="15.75" customHeight="1" spans="1:11">
      <c r="A164" s="4" t="s">
        <v>15895</v>
      </c>
      <c r="B164" s="5" t="s">
        <v>18515</v>
      </c>
      <c r="C164" s="6">
        <v>32612.5595</v>
      </c>
      <c r="D164" s="6">
        <v>4.3483</v>
      </c>
      <c r="E164" s="6">
        <v>0.6707</v>
      </c>
      <c r="F164" s="6">
        <v>0</v>
      </c>
      <c r="G164" s="6">
        <v>4.3483</v>
      </c>
      <c r="H164" s="6">
        <v>0</v>
      </c>
      <c r="I164" s="6">
        <v>0</v>
      </c>
      <c r="J164" s="6">
        <v>9.3673</v>
      </c>
      <c r="K164" s="6">
        <v>5.019</v>
      </c>
    </row>
    <row r="165" ht="15.75" customHeight="1" spans="1:11">
      <c r="A165" s="4" t="s">
        <v>15896</v>
      </c>
      <c r="B165" s="5" t="s">
        <v>18516</v>
      </c>
      <c r="C165" s="6">
        <v>3318.3541</v>
      </c>
      <c r="D165" s="6">
        <v>0.2987</v>
      </c>
      <c r="E165" s="6">
        <v>0.0614</v>
      </c>
      <c r="F165" s="6">
        <v>0</v>
      </c>
      <c r="G165" s="6">
        <v>0.1659</v>
      </c>
      <c r="H165" s="6">
        <v>0</v>
      </c>
      <c r="I165" s="6">
        <v>0</v>
      </c>
      <c r="J165" s="6">
        <v>0.526</v>
      </c>
      <c r="K165" s="6">
        <v>0.3601</v>
      </c>
    </row>
    <row r="166" ht="15.75" customHeight="1" spans="1:11">
      <c r="A166" s="4" t="s">
        <v>15897</v>
      </c>
      <c r="B166" s="5" t="s">
        <v>18517</v>
      </c>
      <c r="C166" s="6">
        <v>75007.9672</v>
      </c>
      <c r="D166" s="6">
        <v>3.0003</v>
      </c>
      <c r="E166" s="6">
        <v>1.2727</v>
      </c>
      <c r="F166" s="6">
        <v>0</v>
      </c>
      <c r="G166" s="6">
        <v>2.6253</v>
      </c>
      <c r="H166" s="6">
        <v>0</v>
      </c>
      <c r="I166" s="6">
        <v>0</v>
      </c>
      <c r="J166" s="6">
        <v>6.8983</v>
      </c>
      <c r="K166" s="6">
        <v>4.273</v>
      </c>
    </row>
    <row r="167" ht="15.75" customHeight="1" spans="1:11">
      <c r="A167" s="4" t="s">
        <v>15898</v>
      </c>
      <c r="B167" s="5" t="s">
        <v>18518</v>
      </c>
      <c r="C167" s="6">
        <v>16629.0994</v>
      </c>
      <c r="D167" s="6">
        <v>0.6652</v>
      </c>
      <c r="E167" s="6">
        <v>0.2822</v>
      </c>
      <c r="F167" s="6">
        <v>0</v>
      </c>
      <c r="G167" s="6">
        <v>0.582</v>
      </c>
      <c r="H167" s="6">
        <v>0</v>
      </c>
      <c r="I167" s="6">
        <v>0</v>
      </c>
      <c r="J167" s="6">
        <v>1.5294</v>
      </c>
      <c r="K167" s="6">
        <v>0.9474</v>
      </c>
    </row>
    <row r="168" ht="15.75" customHeight="1" spans="1:11">
      <c r="A168" s="4" t="s">
        <v>15899</v>
      </c>
      <c r="B168" s="5" t="s">
        <v>18519</v>
      </c>
      <c r="C168" s="6">
        <v>21579.5595</v>
      </c>
      <c r="D168" s="6">
        <v>2.8773</v>
      </c>
      <c r="E168" s="6">
        <v>0.4438</v>
      </c>
      <c r="F168" s="6">
        <v>0</v>
      </c>
      <c r="G168" s="6">
        <v>2.8773</v>
      </c>
      <c r="H168" s="6">
        <v>0</v>
      </c>
      <c r="I168" s="6">
        <v>0</v>
      </c>
      <c r="J168" s="6">
        <v>6.1984</v>
      </c>
      <c r="K168" s="6">
        <v>3.3211</v>
      </c>
    </row>
    <row r="169" ht="15.75" customHeight="1" spans="1:11">
      <c r="A169" s="4" t="s">
        <v>18520</v>
      </c>
      <c r="B169" s="5" t="s">
        <v>18521</v>
      </c>
      <c r="C169" s="6">
        <v>66051.4581</v>
      </c>
      <c r="D169" s="6">
        <v>6.6051</v>
      </c>
      <c r="E169" s="6">
        <v>1.2736</v>
      </c>
      <c r="F169" s="6">
        <v>0</v>
      </c>
      <c r="G169" s="6">
        <v>6.6051</v>
      </c>
      <c r="H169" s="6">
        <v>0</v>
      </c>
      <c r="I169" s="6">
        <v>26.5829</v>
      </c>
      <c r="J169" s="6">
        <v>41.0667</v>
      </c>
      <c r="K169" s="6">
        <v>34.4616</v>
      </c>
    </row>
    <row r="170" ht="15.75" customHeight="1" spans="1:11">
      <c r="A170" s="4" t="s">
        <v>18522</v>
      </c>
      <c r="B170" s="5" t="s">
        <v>18523</v>
      </c>
      <c r="C170" s="6">
        <v>5854926.5729</v>
      </c>
      <c r="D170" s="6">
        <v>67.0207</v>
      </c>
      <c r="E170" s="6">
        <v>33.6557</v>
      </c>
      <c r="F170" s="6">
        <v>0</v>
      </c>
      <c r="G170" s="6">
        <v>111.7011</v>
      </c>
      <c r="H170" s="6">
        <v>0</v>
      </c>
      <c r="I170" s="6">
        <v>30.0416</v>
      </c>
      <c r="J170" s="6">
        <v>242.4191</v>
      </c>
      <c r="K170" s="6">
        <v>130.718</v>
      </c>
    </row>
    <row r="171" ht="15.75" customHeight="1" spans="1:11">
      <c r="A171" s="4" t="s">
        <v>18524</v>
      </c>
      <c r="B171" s="5" t="s">
        <v>18525</v>
      </c>
      <c r="C171" s="6">
        <v>17829.3755</v>
      </c>
      <c r="D171" s="6">
        <v>1.6046</v>
      </c>
      <c r="E171" s="6">
        <v>0.33</v>
      </c>
      <c r="F171" s="6">
        <v>0</v>
      </c>
      <c r="G171" s="6">
        <v>1.0698</v>
      </c>
      <c r="H171" s="6">
        <v>0</v>
      </c>
      <c r="I171" s="6">
        <v>0</v>
      </c>
      <c r="J171" s="6">
        <v>3.0044</v>
      </c>
      <c r="K171" s="6">
        <v>1.9346</v>
      </c>
    </row>
    <row r="172" ht="15.75" customHeight="1" spans="1:11">
      <c r="A172" s="4" t="s">
        <v>18526</v>
      </c>
      <c r="B172" s="5" t="s">
        <v>18527</v>
      </c>
      <c r="C172" s="6">
        <v>4673.1483</v>
      </c>
      <c r="D172" s="6">
        <v>0.3739</v>
      </c>
      <c r="E172" s="6">
        <v>0.0865</v>
      </c>
      <c r="F172" s="6">
        <v>0</v>
      </c>
      <c r="G172" s="6">
        <v>0.2337</v>
      </c>
      <c r="H172" s="6">
        <v>0</v>
      </c>
      <c r="I172" s="6">
        <v>0</v>
      </c>
      <c r="J172" s="6">
        <v>0.6941</v>
      </c>
      <c r="K172" s="6">
        <v>0.4604</v>
      </c>
    </row>
    <row r="173" ht="15.75" customHeight="1" spans="1:11">
      <c r="A173" s="4" t="s">
        <v>18528</v>
      </c>
      <c r="B173" s="5" t="s">
        <v>18529</v>
      </c>
      <c r="C173" s="6">
        <v>2341.5388</v>
      </c>
      <c r="D173" s="6">
        <v>0.4215</v>
      </c>
      <c r="E173" s="6">
        <v>0.0506</v>
      </c>
      <c r="F173" s="6">
        <v>0</v>
      </c>
      <c r="G173" s="6">
        <v>0.2342</v>
      </c>
      <c r="H173" s="6">
        <v>0</v>
      </c>
      <c r="I173" s="6">
        <v>0</v>
      </c>
      <c r="J173" s="6">
        <v>0.7063</v>
      </c>
      <c r="K173" s="6">
        <v>0.4721</v>
      </c>
    </row>
    <row r="174" ht="15.75" customHeight="1" spans="1:11">
      <c r="A174" s="4" t="s">
        <v>18530</v>
      </c>
      <c r="B174" s="5" t="s">
        <v>18531</v>
      </c>
      <c r="C174" s="6">
        <v>21291.5808</v>
      </c>
      <c r="D174" s="6">
        <v>2.8389</v>
      </c>
      <c r="E174" s="6">
        <v>0.4379</v>
      </c>
      <c r="F174" s="6">
        <v>0</v>
      </c>
      <c r="G174" s="6">
        <v>1.7743</v>
      </c>
      <c r="H174" s="6">
        <v>0</v>
      </c>
      <c r="I174" s="6">
        <v>26.5829</v>
      </c>
      <c r="J174" s="6">
        <v>31.634</v>
      </c>
      <c r="K174" s="6">
        <v>29.8597</v>
      </c>
    </row>
    <row r="175" ht="15.75" customHeight="1" spans="1:11">
      <c r="A175" s="4" t="s">
        <v>18532</v>
      </c>
      <c r="B175" s="5" t="s">
        <v>18533</v>
      </c>
      <c r="C175" s="6">
        <v>9094.3565</v>
      </c>
      <c r="D175" s="6">
        <v>0.8084</v>
      </c>
      <c r="E175" s="6">
        <v>0.1715</v>
      </c>
      <c r="F175" s="6">
        <v>0</v>
      </c>
      <c r="G175" s="6">
        <v>0.6063</v>
      </c>
      <c r="H175" s="6">
        <v>0</v>
      </c>
      <c r="I175" s="6">
        <v>0</v>
      </c>
      <c r="J175" s="6">
        <v>1.5862</v>
      </c>
      <c r="K175" s="6">
        <v>0.9799</v>
      </c>
    </row>
    <row r="176" ht="15.75" customHeight="1" spans="1:11">
      <c r="A176" s="4" t="s">
        <v>18534</v>
      </c>
      <c r="B176" s="5" t="s">
        <v>18535</v>
      </c>
      <c r="C176" s="6">
        <v>8650.0083</v>
      </c>
      <c r="D176" s="6">
        <v>0.692</v>
      </c>
      <c r="E176" s="6">
        <v>0.1601</v>
      </c>
      <c r="F176" s="6">
        <v>0</v>
      </c>
      <c r="G176" s="6">
        <v>0.4325</v>
      </c>
      <c r="H176" s="6">
        <v>0</v>
      </c>
      <c r="I176" s="6">
        <v>0</v>
      </c>
      <c r="J176" s="6">
        <v>1.2846</v>
      </c>
      <c r="K176" s="6">
        <v>0.8521</v>
      </c>
    </row>
    <row r="177" ht="15.75" customHeight="1" spans="1:11">
      <c r="A177" s="4" t="s">
        <v>18536</v>
      </c>
      <c r="B177" s="5" t="s">
        <v>18537</v>
      </c>
      <c r="C177" s="6">
        <v>17657.5619</v>
      </c>
      <c r="D177" s="6">
        <v>1.4126</v>
      </c>
      <c r="E177" s="6">
        <v>0.3268</v>
      </c>
      <c r="F177" s="6">
        <v>0</v>
      </c>
      <c r="G177" s="6">
        <v>0.8829</v>
      </c>
      <c r="H177" s="6">
        <v>0</v>
      </c>
      <c r="I177" s="6">
        <v>0</v>
      </c>
      <c r="J177" s="6">
        <v>2.6223</v>
      </c>
      <c r="K177" s="6">
        <v>1.7394</v>
      </c>
    </row>
    <row r="178" ht="15.75" customHeight="1" spans="1:11">
      <c r="A178" s="4" t="s">
        <v>18538</v>
      </c>
      <c r="B178" s="5" t="s">
        <v>18539</v>
      </c>
      <c r="C178" s="6">
        <v>7055.2732</v>
      </c>
      <c r="D178" s="6">
        <v>0.635</v>
      </c>
      <c r="E178" s="6">
        <v>0.1306</v>
      </c>
      <c r="F178" s="6">
        <v>0</v>
      </c>
      <c r="G178" s="6">
        <v>0.4233</v>
      </c>
      <c r="H178" s="6">
        <v>0</v>
      </c>
      <c r="I178" s="6">
        <v>0</v>
      </c>
      <c r="J178" s="6">
        <v>1.1889</v>
      </c>
      <c r="K178" s="6">
        <v>0.7656</v>
      </c>
    </row>
    <row r="179" ht="15.75" customHeight="1" spans="1:11">
      <c r="A179" s="4" t="s">
        <v>15900</v>
      </c>
      <c r="B179" s="5" t="s">
        <v>18540</v>
      </c>
      <c r="C179" s="6">
        <v>457731.7328</v>
      </c>
      <c r="D179" s="6">
        <v>41.1959</v>
      </c>
      <c r="E179" s="6">
        <v>8.4726</v>
      </c>
      <c r="F179" s="6">
        <v>0</v>
      </c>
      <c r="G179" s="6">
        <v>27.4639</v>
      </c>
      <c r="H179" s="6">
        <v>0</v>
      </c>
      <c r="I179" s="6">
        <v>0</v>
      </c>
      <c r="J179" s="6">
        <v>77.1324</v>
      </c>
      <c r="K179" s="6">
        <v>49.6685</v>
      </c>
    </row>
    <row r="180" ht="15.75" customHeight="1" spans="1:11">
      <c r="A180" s="4" t="s">
        <v>1060</v>
      </c>
      <c r="B180" s="5" t="s">
        <v>1061</v>
      </c>
      <c r="C180" s="6">
        <v>950164.6419</v>
      </c>
      <c r="D180" s="6">
        <v>126.6886</v>
      </c>
      <c r="E180" s="6">
        <v>19.5417</v>
      </c>
      <c r="F180" s="6">
        <v>0</v>
      </c>
      <c r="G180" s="6">
        <v>95.0165</v>
      </c>
      <c r="H180" s="6">
        <v>85.7038</v>
      </c>
      <c r="I180" s="6">
        <v>33.7544</v>
      </c>
      <c r="J180" s="6">
        <v>360.705</v>
      </c>
      <c r="K180" s="6">
        <v>179.9847</v>
      </c>
    </row>
    <row r="181" ht="15.75" customHeight="1" spans="1:11">
      <c r="A181" s="4" t="s">
        <v>15901</v>
      </c>
      <c r="B181" s="5" t="s">
        <v>18541</v>
      </c>
      <c r="C181" s="6">
        <v>1316505.4649</v>
      </c>
      <c r="D181" s="6">
        <v>52.6602</v>
      </c>
      <c r="E181" s="6">
        <v>22.3378</v>
      </c>
      <c r="F181" s="6">
        <v>0</v>
      </c>
      <c r="G181" s="6">
        <v>46.0777</v>
      </c>
      <c r="H181" s="6">
        <v>0</v>
      </c>
      <c r="I181" s="6">
        <v>26.5829</v>
      </c>
      <c r="J181" s="6">
        <v>147.6586</v>
      </c>
      <c r="K181" s="6">
        <v>101.5809</v>
      </c>
    </row>
    <row r="182" ht="15.75" customHeight="1" spans="1:11">
      <c r="A182" s="4" t="s">
        <v>15902</v>
      </c>
      <c r="B182" s="5" t="s">
        <v>18542</v>
      </c>
      <c r="C182" s="6">
        <v>921187.9724</v>
      </c>
      <c r="D182" s="6">
        <v>36.8475</v>
      </c>
      <c r="E182" s="6">
        <v>15.6303</v>
      </c>
      <c r="F182" s="6">
        <v>0</v>
      </c>
      <c r="G182" s="6">
        <v>32.2416</v>
      </c>
      <c r="H182" s="6">
        <v>0</v>
      </c>
      <c r="I182" s="6">
        <v>26.5829</v>
      </c>
      <c r="J182" s="6">
        <v>111.3023</v>
      </c>
      <c r="K182" s="6">
        <v>79.0607</v>
      </c>
    </row>
    <row r="183" ht="15.75" customHeight="1" spans="1:11">
      <c r="A183" s="4" t="s">
        <v>14305</v>
      </c>
      <c r="B183" s="5" t="s">
        <v>14306</v>
      </c>
      <c r="C183" s="6">
        <v>95416.152</v>
      </c>
      <c r="D183" s="6">
        <v>14.3124</v>
      </c>
      <c r="E183" s="6">
        <v>1.9624</v>
      </c>
      <c r="F183" s="6">
        <v>0</v>
      </c>
      <c r="G183" s="6">
        <v>9.5416</v>
      </c>
      <c r="H183" s="6">
        <v>0</v>
      </c>
      <c r="I183" s="6">
        <v>0</v>
      </c>
      <c r="J183" s="6">
        <v>25.8164</v>
      </c>
      <c r="K183" s="6">
        <v>16.2748</v>
      </c>
    </row>
    <row r="184" ht="15.75" customHeight="1" spans="1:11">
      <c r="A184" s="4" t="s">
        <v>15906</v>
      </c>
      <c r="B184" s="5" t="s">
        <v>18543</v>
      </c>
      <c r="C184" s="6">
        <v>14572.8937</v>
      </c>
      <c r="D184" s="6">
        <v>1.3116</v>
      </c>
      <c r="E184" s="6">
        <v>0.2697</v>
      </c>
      <c r="F184" s="6">
        <v>0</v>
      </c>
      <c r="G184" s="6">
        <v>0.8744</v>
      </c>
      <c r="H184" s="6">
        <v>0</v>
      </c>
      <c r="I184" s="6">
        <v>0</v>
      </c>
      <c r="J184" s="6">
        <v>2.4557</v>
      </c>
      <c r="K184" s="6">
        <v>1.5813</v>
      </c>
    </row>
    <row r="185" ht="15.75" customHeight="1" spans="1:11">
      <c r="A185" s="4" t="s">
        <v>15907</v>
      </c>
      <c r="B185" s="5" t="s">
        <v>18544</v>
      </c>
      <c r="C185" s="6">
        <v>2076734.0449</v>
      </c>
      <c r="D185" s="6">
        <v>181.7142</v>
      </c>
      <c r="E185" s="6">
        <v>40.042</v>
      </c>
      <c r="F185" s="6">
        <v>0</v>
      </c>
      <c r="G185" s="6">
        <v>181.7142</v>
      </c>
      <c r="H185" s="6">
        <v>86.424</v>
      </c>
      <c r="I185" s="6">
        <v>33.7544</v>
      </c>
      <c r="J185" s="6">
        <v>523.6488</v>
      </c>
      <c r="K185" s="6">
        <v>255.5106</v>
      </c>
    </row>
    <row r="186" ht="15.75" customHeight="1" spans="1:11">
      <c r="A186" s="4" t="s">
        <v>1099</v>
      </c>
      <c r="B186" s="5" t="s">
        <v>18545</v>
      </c>
      <c r="C186" s="6">
        <v>81221.8307</v>
      </c>
      <c r="D186" s="6">
        <v>4.8733</v>
      </c>
      <c r="E186" s="6">
        <v>1.5034</v>
      </c>
      <c r="F186" s="6">
        <v>0.6092</v>
      </c>
      <c r="G186" s="6">
        <v>4.8733</v>
      </c>
      <c r="H186" s="6">
        <v>25.1379</v>
      </c>
      <c r="I186" s="6">
        <v>32.3437</v>
      </c>
      <c r="J186" s="6">
        <v>69.3408</v>
      </c>
      <c r="K186" s="6">
        <v>39.3296</v>
      </c>
    </row>
    <row r="187" ht="15.75" customHeight="1" spans="1:11">
      <c r="A187" s="4" t="s">
        <v>15908</v>
      </c>
      <c r="B187" s="5" t="s">
        <v>18546</v>
      </c>
      <c r="C187" s="6">
        <v>301245.4985</v>
      </c>
      <c r="D187" s="6">
        <v>24.0996</v>
      </c>
      <c r="E187" s="6">
        <v>5.5761</v>
      </c>
      <c r="F187" s="6">
        <v>0</v>
      </c>
      <c r="G187" s="6">
        <v>24.0996</v>
      </c>
      <c r="H187" s="6">
        <v>76.2858</v>
      </c>
      <c r="I187" s="6">
        <v>0</v>
      </c>
      <c r="J187" s="6">
        <v>130.0611</v>
      </c>
      <c r="K187" s="6">
        <v>29.6757</v>
      </c>
    </row>
    <row r="188" ht="15.75" customHeight="1" spans="1:11">
      <c r="A188" s="4" t="s">
        <v>15909</v>
      </c>
      <c r="B188" s="5" t="s">
        <v>18547</v>
      </c>
      <c r="C188" s="6">
        <v>981194.8194</v>
      </c>
      <c r="D188" s="6">
        <v>98.1195</v>
      </c>
      <c r="E188" s="6">
        <v>18.9187</v>
      </c>
      <c r="F188" s="6">
        <v>0</v>
      </c>
      <c r="G188" s="6">
        <v>85.8545</v>
      </c>
      <c r="H188" s="6">
        <v>136.838</v>
      </c>
      <c r="I188" s="6">
        <v>33.7544</v>
      </c>
      <c r="J188" s="6">
        <v>373.4851</v>
      </c>
      <c r="K188" s="6">
        <v>150.7926</v>
      </c>
    </row>
    <row r="189" ht="15.75" customHeight="1" spans="1:11">
      <c r="A189" s="4" t="s">
        <v>1058</v>
      </c>
      <c r="B189" s="5" t="s">
        <v>1059</v>
      </c>
      <c r="C189" s="6">
        <v>1091831.5889</v>
      </c>
      <c r="D189" s="6">
        <v>95.5353</v>
      </c>
      <c r="E189" s="6">
        <v>21.0519</v>
      </c>
      <c r="F189" s="6">
        <v>0</v>
      </c>
      <c r="G189" s="6">
        <v>95.5353</v>
      </c>
      <c r="H189" s="6">
        <v>84.9836</v>
      </c>
      <c r="I189" s="6">
        <v>33.7544</v>
      </c>
      <c r="J189" s="6">
        <v>330.8605</v>
      </c>
      <c r="K189" s="6">
        <v>150.3416</v>
      </c>
    </row>
    <row r="190" ht="15.75" customHeight="1" spans="1:11">
      <c r="A190" s="4" t="s">
        <v>15910</v>
      </c>
      <c r="B190" s="5" t="s">
        <v>18548</v>
      </c>
      <c r="C190" s="6">
        <v>7828415.8359</v>
      </c>
      <c r="D190" s="6">
        <v>626.2733</v>
      </c>
      <c r="E190" s="6">
        <v>144.904</v>
      </c>
      <c r="F190" s="6">
        <v>0</v>
      </c>
      <c r="G190" s="6">
        <v>626.2733</v>
      </c>
      <c r="H190" s="6">
        <v>156.782</v>
      </c>
      <c r="I190" s="6">
        <v>33.7544</v>
      </c>
      <c r="J190" s="6">
        <v>1587.987</v>
      </c>
      <c r="K190" s="6">
        <v>804.9317</v>
      </c>
    </row>
    <row r="191" ht="15.75" customHeight="1" spans="1:11">
      <c r="A191" s="4" t="s">
        <v>15911</v>
      </c>
      <c r="B191" s="5" t="s">
        <v>18549</v>
      </c>
      <c r="C191" s="6">
        <v>42269.6334</v>
      </c>
      <c r="D191" s="6">
        <v>2.7173</v>
      </c>
      <c r="E191" s="6">
        <v>0.7452</v>
      </c>
      <c r="F191" s="6">
        <v>0</v>
      </c>
      <c r="G191" s="6">
        <v>1.5096</v>
      </c>
      <c r="H191" s="6">
        <v>0</v>
      </c>
      <c r="I191" s="6">
        <v>0</v>
      </c>
      <c r="J191" s="6">
        <v>4.9721</v>
      </c>
      <c r="K191" s="6">
        <v>3.4625</v>
      </c>
    </row>
    <row r="192" ht="15.75" customHeight="1" spans="1:11">
      <c r="A192" s="4" t="s">
        <v>1068</v>
      </c>
      <c r="B192" s="5" t="s">
        <v>1069</v>
      </c>
      <c r="C192" s="6">
        <v>39240.7962</v>
      </c>
      <c r="D192" s="6">
        <v>6.2785</v>
      </c>
      <c r="E192" s="6">
        <v>0.8474</v>
      </c>
      <c r="F192" s="6">
        <v>0</v>
      </c>
      <c r="G192" s="6">
        <v>4.7089</v>
      </c>
      <c r="H192" s="6">
        <v>18.445</v>
      </c>
      <c r="I192" s="6">
        <v>26.5829</v>
      </c>
      <c r="J192" s="6">
        <v>56.8627</v>
      </c>
      <c r="K192" s="6">
        <v>33.7088</v>
      </c>
    </row>
    <row r="193" ht="15.75" customHeight="1" spans="1:11">
      <c r="A193" s="4" t="s">
        <v>15913</v>
      </c>
      <c r="B193" s="5" t="s">
        <v>18550</v>
      </c>
      <c r="C193" s="6">
        <v>3465.1387</v>
      </c>
      <c r="D193" s="6">
        <v>0.3032</v>
      </c>
      <c r="E193" s="6">
        <v>0.0668</v>
      </c>
      <c r="F193" s="6">
        <v>0</v>
      </c>
      <c r="G193" s="6">
        <v>0.2166</v>
      </c>
      <c r="H193" s="6">
        <v>4.3846</v>
      </c>
      <c r="I193" s="6">
        <v>0</v>
      </c>
      <c r="J193" s="6">
        <v>4.9712</v>
      </c>
      <c r="K193" s="6">
        <v>0.37</v>
      </c>
    </row>
    <row r="194" ht="15.75" customHeight="1" spans="1:11">
      <c r="A194" s="4" t="s">
        <v>15914</v>
      </c>
      <c r="B194" s="5" t="s">
        <v>18551</v>
      </c>
      <c r="C194" s="6">
        <v>201502.3981</v>
      </c>
      <c r="D194" s="6">
        <v>30.2254</v>
      </c>
      <c r="E194" s="6">
        <v>4.1442</v>
      </c>
      <c r="F194" s="6">
        <v>0</v>
      </c>
      <c r="G194" s="6">
        <v>10.0751</v>
      </c>
      <c r="H194" s="6">
        <v>5.0414</v>
      </c>
      <c r="I194" s="6">
        <v>0</v>
      </c>
      <c r="J194" s="6">
        <v>49.4861</v>
      </c>
      <c r="K194" s="6">
        <v>34.3696</v>
      </c>
    </row>
    <row r="195" ht="15.75" customHeight="1" spans="1:11">
      <c r="A195" s="4" t="s">
        <v>15915</v>
      </c>
      <c r="B195" s="5" t="s">
        <v>18552</v>
      </c>
      <c r="C195" s="6">
        <v>5981175.969</v>
      </c>
      <c r="D195" s="6">
        <v>318.9961</v>
      </c>
      <c r="E195" s="6">
        <v>104.5609</v>
      </c>
      <c r="F195" s="6">
        <v>0</v>
      </c>
      <c r="G195" s="6">
        <v>358.8706</v>
      </c>
      <c r="H195" s="6">
        <v>269.4656</v>
      </c>
      <c r="I195" s="6">
        <v>33.7544</v>
      </c>
      <c r="J195" s="6">
        <v>1085.6476</v>
      </c>
      <c r="K195" s="6">
        <v>457.3114</v>
      </c>
    </row>
    <row r="196" ht="15.75" customHeight="1" spans="1:11">
      <c r="A196" s="4" t="s">
        <v>15916</v>
      </c>
      <c r="B196" s="5" t="s">
        <v>18553</v>
      </c>
      <c r="C196" s="6">
        <v>1284141.2071</v>
      </c>
      <c r="D196" s="6">
        <v>89.8899</v>
      </c>
      <c r="E196" s="6">
        <v>23.7695</v>
      </c>
      <c r="F196" s="6">
        <v>0</v>
      </c>
      <c r="G196" s="6">
        <v>115.5727</v>
      </c>
      <c r="H196" s="6">
        <v>77.283</v>
      </c>
      <c r="I196" s="6">
        <v>33.7544</v>
      </c>
      <c r="J196" s="6">
        <v>340.2695</v>
      </c>
      <c r="K196" s="6">
        <v>147.4138</v>
      </c>
    </row>
    <row r="197" ht="15.75" customHeight="1" spans="1:11">
      <c r="A197" s="4" t="s">
        <v>15917</v>
      </c>
      <c r="B197" s="5" t="s">
        <v>18554</v>
      </c>
      <c r="C197" s="6">
        <v>3677045.6189</v>
      </c>
      <c r="D197" s="6">
        <v>163.4242</v>
      </c>
      <c r="E197" s="6">
        <v>63.0205</v>
      </c>
      <c r="F197" s="6">
        <v>0</v>
      </c>
      <c r="G197" s="6">
        <v>102.1402</v>
      </c>
      <c r="H197" s="6">
        <v>0</v>
      </c>
      <c r="I197" s="6">
        <v>53.1658</v>
      </c>
      <c r="J197" s="6">
        <v>381.7507</v>
      </c>
      <c r="K197" s="6">
        <v>279.6105</v>
      </c>
    </row>
    <row r="198" ht="15.75" customHeight="1" spans="1:11">
      <c r="A198" s="4" t="s">
        <v>15918</v>
      </c>
      <c r="B198" s="5" t="s">
        <v>18555</v>
      </c>
      <c r="C198" s="6">
        <v>475879.5429</v>
      </c>
      <c r="D198" s="6">
        <v>35.0648</v>
      </c>
      <c r="E198" s="6">
        <v>8.8858</v>
      </c>
      <c r="F198" s="6">
        <v>0</v>
      </c>
      <c r="G198" s="6">
        <v>35.0648</v>
      </c>
      <c r="H198" s="6">
        <v>41.7716</v>
      </c>
      <c r="I198" s="6">
        <v>33.7544</v>
      </c>
      <c r="J198" s="6">
        <v>154.5414</v>
      </c>
      <c r="K198" s="6">
        <v>77.705</v>
      </c>
    </row>
    <row r="199" ht="15.75" customHeight="1" spans="1:11">
      <c r="A199" s="4" t="s">
        <v>15919</v>
      </c>
      <c r="B199" s="5" t="s">
        <v>18556</v>
      </c>
      <c r="C199" s="6">
        <v>19333.3313</v>
      </c>
      <c r="D199" s="6">
        <v>2.5778</v>
      </c>
      <c r="E199" s="6">
        <v>0.3976</v>
      </c>
      <c r="F199" s="6">
        <v>0</v>
      </c>
      <c r="G199" s="6">
        <v>2.5778</v>
      </c>
      <c r="H199" s="6">
        <v>0</v>
      </c>
      <c r="I199" s="6">
        <v>26.5829</v>
      </c>
      <c r="J199" s="6">
        <v>32.1361</v>
      </c>
      <c r="K199" s="6">
        <v>29.5583</v>
      </c>
    </row>
    <row r="200" ht="15.75" customHeight="1" spans="1:11">
      <c r="A200" s="4" t="s">
        <v>15920</v>
      </c>
      <c r="B200" s="5" t="s">
        <v>18557</v>
      </c>
      <c r="C200" s="6">
        <v>527429.4292</v>
      </c>
      <c r="D200" s="6">
        <v>42.1944</v>
      </c>
      <c r="E200" s="6">
        <v>9.7627</v>
      </c>
      <c r="F200" s="6">
        <v>0</v>
      </c>
      <c r="G200" s="6">
        <v>36.9201</v>
      </c>
      <c r="H200" s="6">
        <v>49.86</v>
      </c>
      <c r="I200" s="6">
        <v>26.5829</v>
      </c>
      <c r="J200" s="6">
        <v>165.3201</v>
      </c>
      <c r="K200" s="6">
        <v>78.54</v>
      </c>
    </row>
    <row r="201" ht="15.75" customHeight="1" spans="1:11">
      <c r="A201" s="4" t="s">
        <v>15921</v>
      </c>
      <c r="B201" s="5" t="s">
        <v>18558</v>
      </c>
      <c r="C201" s="6">
        <v>5399923.2069</v>
      </c>
      <c r="D201" s="6">
        <v>431.9939</v>
      </c>
      <c r="E201" s="6">
        <v>99.9526</v>
      </c>
      <c r="F201" s="6">
        <v>0</v>
      </c>
      <c r="G201" s="6">
        <v>323.9954</v>
      </c>
      <c r="H201" s="6">
        <v>0</v>
      </c>
      <c r="I201" s="6">
        <v>45.2393</v>
      </c>
      <c r="J201" s="6">
        <v>901.1812</v>
      </c>
      <c r="K201" s="6">
        <v>577.1858</v>
      </c>
    </row>
    <row r="202" ht="15.75" customHeight="1" spans="1:11">
      <c r="A202" s="4" t="s">
        <v>15922</v>
      </c>
      <c r="B202" s="5" t="s">
        <v>18559</v>
      </c>
      <c r="C202" s="6">
        <v>810009.3207</v>
      </c>
      <c r="D202" s="6">
        <v>64.8007</v>
      </c>
      <c r="E202" s="6">
        <v>14.9933</v>
      </c>
      <c r="F202" s="6">
        <v>0</v>
      </c>
      <c r="G202" s="6">
        <v>64.8007</v>
      </c>
      <c r="H202" s="6">
        <v>85.9808</v>
      </c>
      <c r="I202" s="6">
        <v>33.7544</v>
      </c>
      <c r="J202" s="6">
        <v>264.3299</v>
      </c>
      <c r="K202" s="6">
        <v>113.5484</v>
      </c>
    </row>
    <row r="203" ht="15.75" customHeight="1" spans="1:11">
      <c r="A203" s="4" t="s">
        <v>15923</v>
      </c>
      <c r="B203" s="5" t="s">
        <v>18560</v>
      </c>
      <c r="C203" s="6">
        <v>70710.2509</v>
      </c>
      <c r="D203" s="6">
        <v>9.428</v>
      </c>
      <c r="E203" s="6">
        <v>1.4543</v>
      </c>
      <c r="F203" s="6">
        <v>0</v>
      </c>
      <c r="G203" s="6">
        <v>9.428</v>
      </c>
      <c r="H203" s="6">
        <v>0</v>
      </c>
      <c r="I203" s="6">
        <v>0</v>
      </c>
      <c r="J203" s="6">
        <v>20.3103</v>
      </c>
      <c r="K203" s="6">
        <v>10.8823</v>
      </c>
    </row>
    <row r="204" ht="15.75" customHeight="1" spans="1:11">
      <c r="A204" s="4" t="s">
        <v>1076</v>
      </c>
      <c r="B204" s="5" t="s">
        <v>1077</v>
      </c>
      <c r="C204" s="6">
        <v>7611.2199</v>
      </c>
      <c r="D204" s="6">
        <v>0.685</v>
      </c>
      <c r="E204" s="6">
        <v>0.1409</v>
      </c>
      <c r="F204" s="6">
        <v>0</v>
      </c>
      <c r="G204" s="6">
        <v>0.3806</v>
      </c>
      <c r="H204" s="6">
        <v>0</v>
      </c>
      <c r="I204" s="6">
        <v>26.5829</v>
      </c>
      <c r="J204" s="6">
        <v>27.7894</v>
      </c>
      <c r="K204" s="6">
        <v>27.4088</v>
      </c>
    </row>
    <row r="205" ht="15.75" customHeight="1" spans="1:11">
      <c r="A205" s="4" t="s">
        <v>15924</v>
      </c>
      <c r="B205" s="5" t="s">
        <v>18561</v>
      </c>
      <c r="C205" s="6">
        <v>159127.2045</v>
      </c>
      <c r="D205" s="6">
        <v>1.8215</v>
      </c>
      <c r="E205" s="6">
        <v>0.9147</v>
      </c>
      <c r="F205" s="6">
        <v>0</v>
      </c>
      <c r="G205" s="6">
        <v>2.0239</v>
      </c>
      <c r="H205" s="6">
        <v>63.24</v>
      </c>
      <c r="I205" s="6">
        <v>41.7512</v>
      </c>
      <c r="J205" s="6">
        <v>109.7513</v>
      </c>
      <c r="K205" s="6">
        <v>44.4874</v>
      </c>
    </row>
    <row r="206" ht="15.75" customHeight="1" spans="1:11">
      <c r="A206" s="4" t="s">
        <v>15925</v>
      </c>
      <c r="B206" s="5" t="s">
        <v>18562</v>
      </c>
      <c r="C206" s="6">
        <v>16345.9564</v>
      </c>
      <c r="D206" s="6">
        <v>2.1795</v>
      </c>
      <c r="E206" s="6">
        <v>0.3362</v>
      </c>
      <c r="F206" s="6">
        <v>0</v>
      </c>
      <c r="G206" s="6">
        <v>1.6346</v>
      </c>
      <c r="H206" s="6">
        <v>0</v>
      </c>
      <c r="I206" s="6">
        <v>0</v>
      </c>
      <c r="J206" s="6">
        <v>4.1503</v>
      </c>
      <c r="K206" s="6">
        <v>2.5157</v>
      </c>
    </row>
    <row r="207" ht="15.75" customHeight="1" spans="1:11">
      <c r="A207" s="4" t="s">
        <v>15926</v>
      </c>
      <c r="B207" s="5" t="s">
        <v>18563</v>
      </c>
      <c r="C207" s="6">
        <v>107582.6691</v>
      </c>
      <c r="D207" s="6">
        <v>4.9249</v>
      </c>
      <c r="E207" s="6">
        <v>1.8283</v>
      </c>
      <c r="F207" s="6">
        <v>0</v>
      </c>
      <c r="G207" s="6">
        <v>2.7361</v>
      </c>
      <c r="H207" s="6">
        <v>0</v>
      </c>
      <c r="I207" s="6">
        <v>36.1761</v>
      </c>
      <c r="J207" s="6">
        <v>45.6654</v>
      </c>
      <c r="K207" s="6">
        <v>42.9293</v>
      </c>
    </row>
    <row r="208" ht="15.75" customHeight="1" spans="1:11">
      <c r="A208" s="4" t="s">
        <v>15927</v>
      </c>
      <c r="B208" s="5" t="s">
        <v>18564</v>
      </c>
      <c r="C208" s="6">
        <v>1710473.9649</v>
      </c>
      <c r="D208" s="6">
        <v>119.7332</v>
      </c>
      <c r="E208" s="6">
        <v>31.6609</v>
      </c>
      <c r="F208" s="6">
        <v>0</v>
      </c>
      <c r="G208" s="6">
        <v>171.0474</v>
      </c>
      <c r="H208" s="6">
        <v>98.5012</v>
      </c>
      <c r="I208" s="6">
        <v>33.7544</v>
      </c>
      <c r="J208" s="6">
        <v>454.6971</v>
      </c>
      <c r="K208" s="6">
        <v>185.1485</v>
      </c>
    </row>
    <row r="209" ht="15.75" customHeight="1" spans="1:11">
      <c r="A209" s="4" t="s">
        <v>15928</v>
      </c>
      <c r="B209" s="5" t="s">
        <v>18565</v>
      </c>
      <c r="C209" s="6">
        <v>4833853.0759</v>
      </c>
      <c r="D209" s="6">
        <v>294.2345</v>
      </c>
      <c r="E209" s="6">
        <v>87.5295</v>
      </c>
      <c r="F209" s="6">
        <v>0</v>
      </c>
      <c r="G209" s="6">
        <v>420.3351</v>
      </c>
      <c r="H209" s="6">
        <v>200.8804</v>
      </c>
      <c r="I209" s="6">
        <v>33.7544</v>
      </c>
      <c r="J209" s="6">
        <v>1036.7339</v>
      </c>
      <c r="K209" s="6">
        <v>415.5184</v>
      </c>
    </row>
    <row r="210" ht="15.75" customHeight="1" spans="1:11">
      <c r="A210" s="4" t="s">
        <v>18566</v>
      </c>
      <c r="B210" s="5" t="s">
        <v>18567</v>
      </c>
      <c r="C210" s="6">
        <v>81177.8574</v>
      </c>
      <c r="D210" s="6">
        <v>6.4942</v>
      </c>
      <c r="E210" s="6">
        <v>1.5026</v>
      </c>
      <c r="F210" s="6">
        <v>0</v>
      </c>
      <c r="G210" s="6">
        <v>6.4942</v>
      </c>
      <c r="H210" s="6">
        <v>0</v>
      </c>
      <c r="I210" s="6">
        <v>0</v>
      </c>
      <c r="J210" s="6">
        <v>14.491</v>
      </c>
      <c r="K210" s="6">
        <v>7.9968</v>
      </c>
    </row>
    <row r="211" ht="15.75" customHeight="1" spans="1:11">
      <c r="A211" s="4" t="s">
        <v>15929</v>
      </c>
      <c r="B211" s="5" t="s">
        <v>18568</v>
      </c>
      <c r="C211" s="6">
        <v>76315.9157</v>
      </c>
      <c r="D211" s="6">
        <v>8.5855</v>
      </c>
      <c r="E211" s="6">
        <v>1.4715</v>
      </c>
      <c r="F211" s="6">
        <v>0</v>
      </c>
      <c r="G211" s="6">
        <v>5.7237</v>
      </c>
      <c r="H211" s="6">
        <v>0</v>
      </c>
      <c r="I211" s="6">
        <v>0</v>
      </c>
      <c r="J211" s="6">
        <v>15.7807</v>
      </c>
      <c r="K211" s="6">
        <v>10.057</v>
      </c>
    </row>
    <row r="212" ht="15.75" customHeight="1" spans="1:11">
      <c r="A212" s="4" t="s">
        <v>15930</v>
      </c>
      <c r="B212" s="5" t="s">
        <v>18569</v>
      </c>
      <c r="C212" s="6">
        <v>1664976.1322</v>
      </c>
      <c r="D212" s="6">
        <v>145.6854</v>
      </c>
      <c r="E212" s="6">
        <v>32.1028</v>
      </c>
      <c r="F212" s="6">
        <v>0</v>
      </c>
      <c r="G212" s="6">
        <v>187.3098</v>
      </c>
      <c r="H212" s="6">
        <v>102.1022</v>
      </c>
      <c r="I212" s="6">
        <v>45.2393</v>
      </c>
      <c r="J212" s="6">
        <v>512.4395</v>
      </c>
      <c r="K212" s="6">
        <v>223.0275</v>
      </c>
    </row>
    <row r="213" ht="15.75" customHeight="1" spans="1:11">
      <c r="A213" s="4" t="s">
        <v>18570</v>
      </c>
      <c r="B213" s="5" t="s">
        <v>18571</v>
      </c>
      <c r="C213" s="6">
        <v>1979.91</v>
      </c>
      <c r="D213" s="6">
        <v>0.264</v>
      </c>
      <c r="E213" s="6">
        <v>0.0407</v>
      </c>
      <c r="F213" s="6">
        <v>0</v>
      </c>
      <c r="G213" s="6">
        <v>0.264</v>
      </c>
      <c r="H213" s="6">
        <v>0</v>
      </c>
      <c r="I213" s="6">
        <v>0</v>
      </c>
      <c r="J213" s="6">
        <v>0.5687</v>
      </c>
      <c r="K213" s="6">
        <v>0.3047</v>
      </c>
    </row>
    <row r="214" ht="15.75" customHeight="1" spans="1:11">
      <c r="A214" s="4" t="s">
        <v>15931</v>
      </c>
      <c r="B214" s="5" t="s">
        <v>18572</v>
      </c>
      <c r="C214" s="6">
        <v>1114.8077</v>
      </c>
      <c r="D214" s="6">
        <v>0.1486</v>
      </c>
      <c r="E214" s="6">
        <v>0.0229</v>
      </c>
      <c r="F214" s="6">
        <v>0</v>
      </c>
      <c r="G214" s="6">
        <v>0.1486</v>
      </c>
      <c r="H214" s="6">
        <v>0</v>
      </c>
      <c r="I214" s="6">
        <v>0</v>
      </c>
      <c r="J214" s="6">
        <v>0.3201</v>
      </c>
      <c r="K214" s="6">
        <v>0.1715</v>
      </c>
    </row>
    <row r="215" ht="15.75" customHeight="1" spans="1:11">
      <c r="A215" s="4" t="s">
        <v>15932</v>
      </c>
      <c r="B215" s="5" t="s">
        <v>18573</v>
      </c>
      <c r="C215" s="6">
        <v>2836.871</v>
      </c>
      <c r="D215" s="6">
        <v>0.2837</v>
      </c>
      <c r="E215" s="6">
        <v>0.0547</v>
      </c>
      <c r="F215" s="6">
        <v>0</v>
      </c>
      <c r="G215" s="6">
        <v>0.2482</v>
      </c>
      <c r="H215" s="6">
        <v>0</v>
      </c>
      <c r="I215" s="6">
        <v>0</v>
      </c>
      <c r="J215" s="6">
        <v>0.5866</v>
      </c>
      <c r="K215" s="6">
        <v>0.3384</v>
      </c>
    </row>
    <row r="216" ht="15.75" customHeight="1" spans="1:11">
      <c r="A216" s="4" t="s">
        <v>18574</v>
      </c>
      <c r="B216" s="5" t="s">
        <v>18575</v>
      </c>
      <c r="C216" s="6">
        <v>7774038.5285</v>
      </c>
      <c r="D216" s="6">
        <v>621.9231</v>
      </c>
      <c r="E216" s="6">
        <v>143.8975</v>
      </c>
      <c r="F216" s="6">
        <v>0</v>
      </c>
      <c r="G216" s="6">
        <v>466.4423</v>
      </c>
      <c r="H216" s="6">
        <v>0</v>
      </c>
      <c r="I216" s="6">
        <v>45.2393</v>
      </c>
      <c r="J216" s="6">
        <v>1277.5022</v>
      </c>
      <c r="K216" s="6">
        <v>811.0599</v>
      </c>
    </row>
    <row r="217" ht="15.75" customHeight="1" spans="1:11">
      <c r="A217" s="4" t="s">
        <v>18576</v>
      </c>
      <c r="B217" s="5" t="s">
        <v>18577</v>
      </c>
      <c r="C217" s="6">
        <v>4863.2699</v>
      </c>
      <c r="D217" s="6">
        <v>0.4377</v>
      </c>
      <c r="E217" s="6">
        <v>0.09</v>
      </c>
      <c r="F217" s="6">
        <v>0</v>
      </c>
      <c r="G217" s="6">
        <v>0.2432</v>
      </c>
      <c r="H217" s="6">
        <v>0</v>
      </c>
      <c r="I217" s="6">
        <v>0</v>
      </c>
      <c r="J217" s="6">
        <v>0.7709</v>
      </c>
      <c r="K217" s="6">
        <v>0.5277</v>
      </c>
    </row>
    <row r="218" ht="15.75" customHeight="1" spans="1:11">
      <c r="A218" s="4" t="s">
        <v>15933</v>
      </c>
      <c r="B218" s="5" t="s">
        <v>18578</v>
      </c>
      <c r="C218" s="6">
        <v>15448.6932</v>
      </c>
      <c r="D218" s="6">
        <v>1.2359</v>
      </c>
      <c r="E218" s="6">
        <v>0.286</v>
      </c>
      <c r="F218" s="6">
        <v>0</v>
      </c>
      <c r="G218" s="6">
        <v>0.7724</v>
      </c>
      <c r="H218" s="6">
        <v>0</v>
      </c>
      <c r="I218" s="6">
        <v>0</v>
      </c>
      <c r="J218" s="6">
        <v>2.2943</v>
      </c>
      <c r="K218" s="6">
        <v>1.5219</v>
      </c>
    </row>
    <row r="219" ht="15.75" customHeight="1" spans="1:11">
      <c r="A219" s="4" t="s">
        <v>15934</v>
      </c>
      <c r="B219" s="5" t="s">
        <v>18579</v>
      </c>
      <c r="C219" s="6">
        <v>54098.9178</v>
      </c>
      <c r="D219" s="6">
        <v>4.8689</v>
      </c>
      <c r="E219" s="6">
        <v>1.0014</v>
      </c>
      <c r="F219" s="6">
        <v>0</v>
      </c>
      <c r="G219" s="6">
        <v>2.7049</v>
      </c>
      <c r="H219" s="6">
        <v>0</v>
      </c>
      <c r="I219" s="6">
        <v>0</v>
      </c>
      <c r="J219" s="6">
        <v>8.5752</v>
      </c>
      <c r="K219" s="6">
        <v>5.8703</v>
      </c>
    </row>
    <row r="220" ht="15.75" customHeight="1" spans="1:11">
      <c r="A220" s="4" t="s">
        <v>15935</v>
      </c>
      <c r="B220" s="5" t="s">
        <v>18580</v>
      </c>
      <c r="C220" s="6">
        <v>11226.648</v>
      </c>
      <c r="D220" s="6">
        <v>2.2453</v>
      </c>
      <c r="E220" s="6">
        <v>0.2598</v>
      </c>
      <c r="F220" s="6">
        <v>0</v>
      </c>
      <c r="G220" s="6">
        <v>2.2453</v>
      </c>
      <c r="H220" s="6">
        <v>5.5335</v>
      </c>
      <c r="I220" s="6">
        <v>0</v>
      </c>
      <c r="J220" s="6">
        <v>10.2839</v>
      </c>
      <c r="K220" s="6">
        <v>2.5051</v>
      </c>
    </row>
    <row r="221" ht="15.75" customHeight="1" spans="1:11">
      <c r="A221" s="4" t="s">
        <v>15936</v>
      </c>
      <c r="B221" s="5" t="s">
        <v>18581</v>
      </c>
      <c r="C221" s="6">
        <v>443187.7224</v>
      </c>
      <c r="D221" s="6">
        <v>59.0917</v>
      </c>
      <c r="E221" s="6">
        <v>9.1149</v>
      </c>
      <c r="F221" s="6">
        <v>0</v>
      </c>
      <c r="G221" s="6">
        <v>36.9323</v>
      </c>
      <c r="H221" s="6">
        <v>0</v>
      </c>
      <c r="I221" s="6">
        <v>0</v>
      </c>
      <c r="J221" s="6">
        <v>105.1389</v>
      </c>
      <c r="K221" s="6">
        <v>68.2066</v>
      </c>
    </row>
    <row r="222" ht="15.75" customHeight="1" spans="1:11">
      <c r="A222" s="4" t="s">
        <v>15937</v>
      </c>
      <c r="B222" s="5" t="s">
        <v>18582</v>
      </c>
      <c r="C222" s="6">
        <v>664726.6745</v>
      </c>
      <c r="D222" s="6">
        <v>99.709</v>
      </c>
      <c r="E222" s="6">
        <v>13.6712</v>
      </c>
      <c r="F222" s="6">
        <v>0</v>
      </c>
      <c r="G222" s="6">
        <v>66.4727</v>
      </c>
      <c r="H222" s="6">
        <v>9.972</v>
      </c>
      <c r="I222" s="6">
        <v>0</v>
      </c>
      <c r="J222" s="6">
        <v>189.8249</v>
      </c>
      <c r="K222" s="6">
        <v>113.3802</v>
      </c>
    </row>
    <row r="223" ht="15.75" customHeight="1" spans="1:11">
      <c r="A223" s="4" t="s">
        <v>15938</v>
      </c>
      <c r="B223" s="5" t="s">
        <v>18583</v>
      </c>
      <c r="C223" s="6">
        <v>1029762.6106</v>
      </c>
      <c r="D223" s="6">
        <v>44.1327</v>
      </c>
      <c r="E223" s="6">
        <v>18.1532</v>
      </c>
      <c r="F223" s="6">
        <v>7.3554</v>
      </c>
      <c r="G223" s="6">
        <v>66.199</v>
      </c>
      <c r="H223" s="6">
        <v>161.0478</v>
      </c>
      <c r="I223" s="6">
        <v>39.3248</v>
      </c>
      <c r="J223" s="6">
        <v>336.2129</v>
      </c>
      <c r="K223" s="6">
        <v>108.9661</v>
      </c>
    </row>
    <row r="224" ht="15.75" customHeight="1" spans="1:11">
      <c r="A224" s="4" t="s">
        <v>15939</v>
      </c>
      <c r="B224" s="5" t="s">
        <v>18584</v>
      </c>
      <c r="C224" s="6">
        <v>50191.5913</v>
      </c>
      <c r="D224" s="6">
        <v>4.0153</v>
      </c>
      <c r="E224" s="6">
        <v>0.929</v>
      </c>
      <c r="F224" s="6">
        <v>0</v>
      </c>
      <c r="G224" s="6">
        <v>2.5096</v>
      </c>
      <c r="H224" s="6">
        <v>0</v>
      </c>
      <c r="I224" s="6">
        <v>0</v>
      </c>
      <c r="J224" s="6">
        <v>7.4539</v>
      </c>
      <c r="K224" s="6">
        <v>4.9443</v>
      </c>
    </row>
    <row r="225" ht="15.75" customHeight="1" spans="1:11">
      <c r="A225" s="4" t="s">
        <v>15940</v>
      </c>
      <c r="B225" s="5" t="s">
        <v>18585</v>
      </c>
      <c r="C225" s="6">
        <v>155105.3913</v>
      </c>
      <c r="D225" s="6">
        <v>12.4084</v>
      </c>
      <c r="E225" s="6">
        <v>2.871</v>
      </c>
      <c r="F225" s="6">
        <v>0</v>
      </c>
      <c r="G225" s="6">
        <v>7.7553</v>
      </c>
      <c r="H225" s="6">
        <v>0</v>
      </c>
      <c r="I225" s="6">
        <v>0</v>
      </c>
      <c r="J225" s="6">
        <v>23.0347</v>
      </c>
      <c r="K225" s="6">
        <v>15.2794</v>
      </c>
    </row>
    <row r="226" ht="15.75" customHeight="1" spans="1:11">
      <c r="A226" s="4" t="s">
        <v>15941</v>
      </c>
      <c r="B226" s="5" t="s">
        <v>18586</v>
      </c>
      <c r="C226" s="6">
        <v>4704488.5089</v>
      </c>
      <c r="D226" s="6">
        <v>376.3591</v>
      </c>
      <c r="E226" s="6">
        <v>87.0801</v>
      </c>
      <c r="F226" s="6">
        <v>0</v>
      </c>
      <c r="G226" s="6">
        <v>376.3591</v>
      </c>
      <c r="H226" s="6">
        <v>121.88</v>
      </c>
      <c r="I226" s="6">
        <v>33.7544</v>
      </c>
      <c r="J226" s="6">
        <v>995.4327</v>
      </c>
      <c r="K226" s="6">
        <v>497.1936</v>
      </c>
    </row>
    <row r="227" ht="15.75" customHeight="1" spans="1:11">
      <c r="A227" s="4" t="s">
        <v>15942</v>
      </c>
      <c r="B227" s="5" t="s">
        <v>18587</v>
      </c>
      <c r="C227" s="6">
        <v>4942830.0289</v>
      </c>
      <c r="D227" s="6">
        <v>300.8679</v>
      </c>
      <c r="E227" s="6">
        <v>89.5028</v>
      </c>
      <c r="F227" s="6">
        <v>0</v>
      </c>
      <c r="G227" s="6">
        <v>429.8113</v>
      </c>
      <c r="H227" s="6">
        <v>200.8804</v>
      </c>
      <c r="I227" s="6">
        <v>33.7544</v>
      </c>
      <c r="J227" s="6">
        <v>1054.8168</v>
      </c>
      <c r="K227" s="6">
        <v>424.1251</v>
      </c>
    </row>
    <row r="228" ht="15.75" customHeight="1" spans="1:11">
      <c r="A228" s="4" t="s">
        <v>15943</v>
      </c>
      <c r="B228" s="5" t="s">
        <v>18588</v>
      </c>
      <c r="C228" s="6">
        <v>4484999.3155</v>
      </c>
      <c r="D228" s="6">
        <v>196.2187</v>
      </c>
      <c r="E228" s="6">
        <v>77.8288</v>
      </c>
      <c r="F228" s="6">
        <v>0</v>
      </c>
      <c r="G228" s="6">
        <v>280.3125</v>
      </c>
      <c r="H228" s="6">
        <v>60.94</v>
      </c>
      <c r="I228" s="6">
        <v>45.2393</v>
      </c>
      <c r="J228" s="6">
        <v>660.5393</v>
      </c>
      <c r="K228" s="6">
        <v>319.2868</v>
      </c>
    </row>
    <row r="229" ht="15.75" customHeight="1" spans="1:11">
      <c r="A229" s="4" t="s">
        <v>15944</v>
      </c>
      <c r="B229" s="5" t="s">
        <v>18589</v>
      </c>
      <c r="C229" s="6">
        <v>17816.811</v>
      </c>
      <c r="D229" s="6">
        <v>2.3756</v>
      </c>
      <c r="E229" s="6">
        <v>0.3664</v>
      </c>
      <c r="F229" s="6">
        <v>0</v>
      </c>
      <c r="G229" s="6">
        <v>2.3756</v>
      </c>
      <c r="H229" s="6">
        <v>12.3582</v>
      </c>
      <c r="I229" s="6">
        <v>0</v>
      </c>
      <c r="J229" s="6">
        <v>17.4758</v>
      </c>
      <c r="K229" s="6">
        <v>2.742</v>
      </c>
    </row>
    <row r="230" ht="15.75" customHeight="1" spans="1:11">
      <c r="A230" s="4" t="s">
        <v>14299</v>
      </c>
      <c r="B230" s="5" t="s">
        <v>14300</v>
      </c>
      <c r="C230" s="6">
        <v>1552.7231</v>
      </c>
      <c r="D230" s="6">
        <v>0.207</v>
      </c>
      <c r="E230" s="6">
        <v>0.0319</v>
      </c>
      <c r="F230" s="6">
        <v>0</v>
      </c>
      <c r="G230" s="6">
        <v>0.1294</v>
      </c>
      <c r="H230" s="6">
        <v>0</v>
      </c>
      <c r="I230" s="6">
        <v>0</v>
      </c>
      <c r="J230" s="6">
        <v>0.3683</v>
      </c>
      <c r="K230" s="6">
        <v>0.2389</v>
      </c>
    </row>
    <row r="231" ht="15.75" customHeight="1" spans="1:11">
      <c r="A231" s="4" t="s">
        <v>15945</v>
      </c>
      <c r="B231" s="5" t="s">
        <v>18590</v>
      </c>
      <c r="C231" s="6">
        <v>7329840.1894</v>
      </c>
      <c r="D231" s="6">
        <v>256.5444</v>
      </c>
      <c r="E231" s="6">
        <v>67.8377</v>
      </c>
      <c r="F231" s="6">
        <v>0</v>
      </c>
      <c r="G231" s="6">
        <v>366.492</v>
      </c>
      <c r="H231" s="6">
        <v>111.631</v>
      </c>
      <c r="I231" s="6">
        <v>90.4786</v>
      </c>
      <c r="J231" s="6">
        <v>892.9837</v>
      </c>
      <c r="K231" s="6">
        <v>414.8607</v>
      </c>
    </row>
    <row r="232" ht="15.75" customHeight="1" spans="1:11">
      <c r="A232" s="4" t="s">
        <v>18591</v>
      </c>
      <c r="B232" s="5" t="s">
        <v>18592</v>
      </c>
      <c r="C232" s="6">
        <v>6750.6058</v>
      </c>
      <c r="D232" s="6">
        <v>0.9001</v>
      </c>
      <c r="E232" s="6">
        <v>0.1388</v>
      </c>
      <c r="F232" s="6">
        <v>0</v>
      </c>
      <c r="G232" s="6">
        <v>0.6751</v>
      </c>
      <c r="H232" s="6">
        <v>0</v>
      </c>
      <c r="I232" s="6">
        <v>0</v>
      </c>
      <c r="J232" s="6">
        <v>1.714</v>
      </c>
      <c r="K232" s="6">
        <v>1.0389</v>
      </c>
    </row>
    <row r="233" ht="15.75" customHeight="1" spans="1:11">
      <c r="A233" s="4" t="s">
        <v>15947</v>
      </c>
      <c r="B233" s="5" t="s">
        <v>18593</v>
      </c>
      <c r="C233" s="6">
        <v>1970313.5524</v>
      </c>
      <c r="D233" s="6">
        <v>157.6251</v>
      </c>
      <c r="E233" s="6">
        <v>36.4705</v>
      </c>
      <c r="F233" s="6">
        <v>0</v>
      </c>
      <c r="G233" s="6">
        <v>157.6251</v>
      </c>
      <c r="H233" s="6">
        <v>120.495</v>
      </c>
      <c r="I233" s="6">
        <v>33.7544</v>
      </c>
      <c r="J233" s="6">
        <v>505.9701</v>
      </c>
      <c r="K233" s="6">
        <v>227.85</v>
      </c>
    </row>
    <row r="234" ht="15.75" customHeight="1" spans="1:11">
      <c r="A234" s="4" t="s">
        <v>15949</v>
      </c>
      <c r="B234" s="5" t="s">
        <v>18594</v>
      </c>
      <c r="C234" s="6">
        <v>1081039.3089</v>
      </c>
      <c r="D234" s="6">
        <v>94.5909</v>
      </c>
      <c r="E234" s="6">
        <v>20.8438</v>
      </c>
      <c r="F234" s="6">
        <v>0</v>
      </c>
      <c r="G234" s="6">
        <v>94.5909</v>
      </c>
      <c r="H234" s="6">
        <v>74.1806</v>
      </c>
      <c r="I234" s="6">
        <v>33.7544</v>
      </c>
      <c r="J234" s="6">
        <v>317.9606</v>
      </c>
      <c r="K234" s="6">
        <v>149.1891</v>
      </c>
    </row>
    <row r="235" ht="15.75" customHeight="1" spans="1:11">
      <c r="A235" s="4" t="s">
        <v>15950</v>
      </c>
      <c r="B235" s="5" t="s">
        <v>18595</v>
      </c>
      <c r="C235" s="6">
        <v>354142.3665</v>
      </c>
      <c r="D235" s="6">
        <v>35.4142</v>
      </c>
      <c r="E235" s="6">
        <v>6.8283</v>
      </c>
      <c r="F235" s="6">
        <v>0</v>
      </c>
      <c r="G235" s="6">
        <v>30.9875</v>
      </c>
      <c r="H235" s="6">
        <v>76.7844</v>
      </c>
      <c r="I235" s="6">
        <v>26.5829</v>
      </c>
      <c r="J235" s="6">
        <v>176.5973</v>
      </c>
      <c r="K235" s="6">
        <v>68.8254</v>
      </c>
    </row>
    <row r="236" ht="15.75" customHeight="1" spans="1:11">
      <c r="A236" s="4" t="s">
        <v>15951</v>
      </c>
      <c r="B236" s="5" t="s">
        <v>18596</v>
      </c>
      <c r="C236" s="6">
        <v>17500.3519</v>
      </c>
      <c r="D236" s="6">
        <v>2.3334</v>
      </c>
      <c r="E236" s="6">
        <v>0.3599</v>
      </c>
      <c r="F236" s="6">
        <v>0</v>
      </c>
      <c r="G236" s="6">
        <v>1.75</v>
      </c>
      <c r="H236" s="6">
        <v>0</v>
      </c>
      <c r="I236" s="6">
        <v>0</v>
      </c>
      <c r="J236" s="6">
        <v>4.4433</v>
      </c>
      <c r="K236" s="6">
        <v>2.6933</v>
      </c>
    </row>
    <row r="237" ht="15.75" customHeight="1" spans="1:11">
      <c r="A237" s="4" t="s">
        <v>15952</v>
      </c>
      <c r="B237" s="5" t="s">
        <v>18597</v>
      </c>
      <c r="C237" s="6">
        <v>3623774.2952</v>
      </c>
      <c r="D237" s="6">
        <v>422.7737</v>
      </c>
      <c r="E237" s="6">
        <v>74.529</v>
      </c>
      <c r="F237" s="6">
        <v>0</v>
      </c>
      <c r="G237" s="6">
        <v>603.9624</v>
      </c>
      <c r="H237" s="6">
        <v>286.1964</v>
      </c>
      <c r="I237" s="6">
        <v>45.2393</v>
      </c>
      <c r="J237" s="6">
        <v>1432.7008</v>
      </c>
      <c r="K237" s="6">
        <v>542.542</v>
      </c>
    </row>
    <row r="238" ht="15.75" customHeight="1" spans="1:11">
      <c r="A238" s="4" t="s">
        <v>18598</v>
      </c>
      <c r="B238" s="5" t="s">
        <v>18599</v>
      </c>
      <c r="C238" s="6">
        <v>748732.0243</v>
      </c>
      <c r="D238" s="6">
        <v>59.8302</v>
      </c>
      <c r="E238" s="6">
        <v>14.186</v>
      </c>
      <c r="F238" s="6">
        <v>0</v>
      </c>
      <c r="G238" s="6">
        <v>59.8302</v>
      </c>
      <c r="H238" s="6">
        <v>118.9438</v>
      </c>
      <c r="I238" s="6">
        <v>33.7544</v>
      </c>
      <c r="J238" s="6">
        <v>286.5446</v>
      </c>
      <c r="K238" s="6">
        <v>107.7706</v>
      </c>
    </row>
    <row r="239" ht="15.75" customHeight="1" spans="1:11">
      <c r="A239" s="4" t="s">
        <v>15953</v>
      </c>
      <c r="B239" s="5" t="s">
        <v>18600</v>
      </c>
      <c r="C239" s="6">
        <v>93866.184</v>
      </c>
      <c r="D239" s="6">
        <v>14.0799</v>
      </c>
      <c r="E239" s="6">
        <v>1.9305</v>
      </c>
      <c r="F239" s="6">
        <v>0</v>
      </c>
      <c r="G239" s="6">
        <v>9.3866</v>
      </c>
      <c r="H239" s="6">
        <v>0</v>
      </c>
      <c r="I239" s="6">
        <v>0</v>
      </c>
      <c r="J239" s="6">
        <v>25.397</v>
      </c>
      <c r="K239" s="6">
        <v>16.0104</v>
      </c>
    </row>
    <row r="240" ht="15.75" customHeight="1" spans="1:11">
      <c r="A240" s="4" t="s">
        <v>15954</v>
      </c>
      <c r="B240" s="5" t="s">
        <v>18601</v>
      </c>
      <c r="C240" s="6">
        <v>748732.0243</v>
      </c>
      <c r="D240" s="6">
        <v>56.5996</v>
      </c>
      <c r="E240" s="6">
        <v>14.0436</v>
      </c>
      <c r="F240" s="6">
        <v>0</v>
      </c>
      <c r="G240" s="6">
        <v>56.5996</v>
      </c>
      <c r="H240" s="6">
        <v>50.0816</v>
      </c>
      <c r="I240" s="6">
        <v>33.7544</v>
      </c>
      <c r="J240" s="6">
        <v>211.0788</v>
      </c>
      <c r="K240" s="6">
        <v>104.3976</v>
      </c>
    </row>
    <row r="241" ht="15.75" customHeight="1" spans="1:11">
      <c r="A241" s="4" t="s">
        <v>15955</v>
      </c>
      <c r="B241" s="5" t="s">
        <v>18602</v>
      </c>
      <c r="C241" s="6">
        <v>2154.2476</v>
      </c>
      <c r="D241" s="6">
        <v>0.9694</v>
      </c>
      <c r="E241" s="6">
        <v>0.0665</v>
      </c>
      <c r="F241" s="6">
        <v>0</v>
      </c>
      <c r="G241" s="6">
        <v>0.9694</v>
      </c>
      <c r="H241" s="6">
        <v>4.2424</v>
      </c>
      <c r="I241" s="6">
        <v>26.5829</v>
      </c>
      <c r="J241" s="6">
        <v>32.8306</v>
      </c>
      <c r="K241" s="6">
        <v>27.6188</v>
      </c>
    </row>
    <row r="242" ht="15.75" customHeight="1" spans="1:11">
      <c r="A242" s="4" t="s">
        <v>15956</v>
      </c>
      <c r="B242" s="5" t="s">
        <v>18603</v>
      </c>
      <c r="C242" s="6">
        <v>6550.7943</v>
      </c>
      <c r="D242" s="6">
        <v>1.1791</v>
      </c>
      <c r="E242" s="6">
        <v>0.1415</v>
      </c>
      <c r="F242" s="6">
        <v>0</v>
      </c>
      <c r="G242" s="6">
        <v>0.9171</v>
      </c>
      <c r="H242" s="6">
        <v>7.5625</v>
      </c>
      <c r="I242" s="6">
        <v>0</v>
      </c>
      <c r="J242" s="6">
        <v>9.8002</v>
      </c>
      <c r="K242" s="6">
        <v>1.3206</v>
      </c>
    </row>
    <row r="243" ht="15.75" customHeight="1" spans="1:11">
      <c r="A243" s="4" t="s">
        <v>18604</v>
      </c>
      <c r="B243" s="5" t="s">
        <v>18605</v>
      </c>
      <c r="C243" s="6">
        <v>9780.0546</v>
      </c>
      <c r="D243" s="6">
        <v>1.304</v>
      </c>
      <c r="E243" s="6">
        <v>0.2011</v>
      </c>
      <c r="F243" s="6">
        <v>0</v>
      </c>
      <c r="G243" s="6">
        <v>1.141</v>
      </c>
      <c r="H243" s="6">
        <v>7.378</v>
      </c>
      <c r="I243" s="6">
        <v>0</v>
      </c>
      <c r="J243" s="6">
        <v>10.0241</v>
      </c>
      <c r="K243" s="6">
        <v>1.5051</v>
      </c>
    </row>
    <row r="244" ht="15.75" customHeight="1" spans="1:11">
      <c r="A244" s="4" t="s">
        <v>15957</v>
      </c>
      <c r="B244" s="5" t="s">
        <v>18606</v>
      </c>
      <c r="C244" s="6">
        <v>6966545.5164</v>
      </c>
      <c r="D244" s="6">
        <v>609.5727</v>
      </c>
      <c r="E244" s="6">
        <v>134.3237</v>
      </c>
      <c r="F244" s="6">
        <v>0</v>
      </c>
      <c r="G244" s="6">
        <v>783.7364</v>
      </c>
      <c r="H244" s="6">
        <v>215.783</v>
      </c>
      <c r="I244" s="6">
        <v>45.2393</v>
      </c>
      <c r="J244" s="6">
        <v>1788.6551</v>
      </c>
      <c r="K244" s="6">
        <v>789.1357</v>
      </c>
    </row>
    <row r="245" ht="15.75" customHeight="1" spans="1:11">
      <c r="A245" s="4" t="s">
        <v>15958</v>
      </c>
      <c r="B245" s="5" t="s">
        <v>18607</v>
      </c>
      <c r="C245" s="6">
        <v>1581917.4489</v>
      </c>
      <c r="D245" s="6">
        <v>184.557</v>
      </c>
      <c r="E245" s="6">
        <v>32.5348</v>
      </c>
      <c r="F245" s="6">
        <v>0</v>
      </c>
      <c r="G245" s="6">
        <v>184.557</v>
      </c>
      <c r="H245" s="6">
        <v>37.2288</v>
      </c>
      <c r="I245" s="6">
        <v>33.7544</v>
      </c>
      <c r="J245" s="6">
        <v>472.632</v>
      </c>
      <c r="K245" s="6">
        <v>250.8462</v>
      </c>
    </row>
    <row r="246" ht="15.75" customHeight="1" spans="1:11">
      <c r="A246" s="4" t="s">
        <v>15959</v>
      </c>
      <c r="B246" s="5" t="s">
        <v>18608</v>
      </c>
      <c r="C246" s="6">
        <v>447266.5792</v>
      </c>
      <c r="D246" s="6">
        <v>44.7267</v>
      </c>
      <c r="E246" s="6">
        <v>8.6239</v>
      </c>
      <c r="F246" s="6">
        <v>0</v>
      </c>
      <c r="G246" s="6">
        <v>39.1358</v>
      </c>
      <c r="H246" s="6">
        <v>0</v>
      </c>
      <c r="I246" s="6">
        <v>45.2393</v>
      </c>
      <c r="J246" s="6">
        <v>137.7257</v>
      </c>
      <c r="K246" s="6">
        <v>98.5899</v>
      </c>
    </row>
    <row r="247" ht="15.75" customHeight="1" spans="1:11">
      <c r="A247" s="4" t="s">
        <v>15960</v>
      </c>
      <c r="B247" s="5" t="s">
        <v>18609</v>
      </c>
      <c r="C247" s="6">
        <v>18045.6411</v>
      </c>
      <c r="D247" s="6">
        <v>2.4061</v>
      </c>
      <c r="E247" s="6">
        <v>0.3711</v>
      </c>
      <c r="F247" s="6">
        <v>0</v>
      </c>
      <c r="G247" s="6">
        <v>2.1053</v>
      </c>
      <c r="H247" s="6">
        <v>18.445</v>
      </c>
      <c r="I247" s="6">
        <v>0</v>
      </c>
      <c r="J247" s="6">
        <v>23.3275</v>
      </c>
      <c r="K247" s="6">
        <v>2.7772</v>
      </c>
    </row>
    <row r="248" ht="15.75" customHeight="1" spans="1:11">
      <c r="A248" s="4" t="s">
        <v>15961</v>
      </c>
      <c r="B248" s="5" t="s">
        <v>18610</v>
      </c>
      <c r="C248" s="6">
        <v>276765765.278</v>
      </c>
      <c r="D248" s="6">
        <v>2495.3636</v>
      </c>
      <c r="E248" s="6">
        <v>1567.866</v>
      </c>
      <c r="F248" s="6">
        <v>0</v>
      </c>
      <c r="G248" s="6">
        <v>5545.2524</v>
      </c>
      <c r="H248" s="6">
        <v>664.8</v>
      </c>
      <c r="I248" s="6">
        <v>170.9505</v>
      </c>
      <c r="J248" s="6">
        <v>10444.2325</v>
      </c>
      <c r="K248" s="6">
        <v>4234.1801</v>
      </c>
    </row>
    <row r="249" ht="15.75" customHeight="1" spans="1:11">
      <c r="A249" s="4" t="s">
        <v>15962</v>
      </c>
      <c r="B249" s="5" t="s">
        <v>18611</v>
      </c>
      <c r="C249" s="6">
        <v>298748847.5661</v>
      </c>
      <c r="D249" s="6">
        <v>2693.5665</v>
      </c>
      <c r="E249" s="6">
        <v>1692.3993</v>
      </c>
      <c r="F249" s="6">
        <v>0</v>
      </c>
      <c r="G249" s="6">
        <v>5985.7033</v>
      </c>
      <c r="H249" s="6">
        <v>797.76</v>
      </c>
      <c r="I249" s="6">
        <v>200.9921</v>
      </c>
      <c r="J249" s="6">
        <v>11370.4212</v>
      </c>
      <c r="K249" s="6">
        <v>4586.9579</v>
      </c>
    </row>
    <row r="250" ht="15.75" customHeight="1" spans="1:11">
      <c r="A250" s="4" t="s">
        <v>15963</v>
      </c>
      <c r="B250" s="5" t="s">
        <v>18612</v>
      </c>
      <c r="C250" s="6">
        <v>386681176.7186</v>
      </c>
      <c r="D250" s="6">
        <v>3486.3782</v>
      </c>
      <c r="E250" s="6">
        <v>2190.5321</v>
      </c>
      <c r="F250" s="6">
        <v>0</v>
      </c>
      <c r="G250" s="6">
        <v>7747.5071</v>
      </c>
      <c r="H250" s="6">
        <v>1396.08</v>
      </c>
      <c r="I250" s="6">
        <v>200.9921</v>
      </c>
      <c r="J250" s="6">
        <v>15021.4895</v>
      </c>
      <c r="K250" s="6">
        <v>5877.9024</v>
      </c>
    </row>
    <row r="251" ht="15.75" customHeight="1" spans="1:11">
      <c r="A251" s="4" t="s">
        <v>15964</v>
      </c>
      <c r="B251" s="5" t="s">
        <v>18613</v>
      </c>
      <c r="C251" s="6">
        <v>474613505.8711</v>
      </c>
      <c r="D251" s="6">
        <v>4279.1899</v>
      </c>
      <c r="E251" s="6">
        <v>2688.6649</v>
      </c>
      <c r="F251" s="6">
        <v>0</v>
      </c>
      <c r="G251" s="6">
        <v>9509.3108</v>
      </c>
      <c r="H251" s="6">
        <v>1994.4</v>
      </c>
      <c r="I251" s="6">
        <v>359.6943</v>
      </c>
      <c r="J251" s="6">
        <v>18831.2599</v>
      </c>
      <c r="K251" s="6">
        <v>7327.5491</v>
      </c>
    </row>
    <row r="252" ht="15.75" customHeight="1" spans="1:11">
      <c r="A252" s="4" t="s">
        <v>15965</v>
      </c>
      <c r="B252" s="5" t="s">
        <v>18614</v>
      </c>
      <c r="C252" s="6">
        <v>562545835.0236</v>
      </c>
      <c r="D252" s="6">
        <v>5072.0015</v>
      </c>
      <c r="E252" s="6">
        <v>3186.7977</v>
      </c>
      <c r="F252" s="6">
        <v>0</v>
      </c>
      <c r="G252" s="6">
        <v>11271.1145</v>
      </c>
      <c r="H252" s="6">
        <v>2592.72</v>
      </c>
      <c r="I252" s="6">
        <v>421.4019</v>
      </c>
      <c r="J252" s="6">
        <v>22544.0356</v>
      </c>
      <c r="K252" s="6">
        <v>8680.2011</v>
      </c>
    </row>
    <row r="253" ht="15.75" customHeight="1" spans="1:11">
      <c r="A253" s="4" t="s">
        <v>15966</v>
      </c>
      <c r="B253" s="5" t="s">
        <v>18615</v>
      </c>
      <c r="C253" s="6">
        <v>650478164.1761</v>
      </c>
      <c r="D253" s="6">
        <v>5864.8132</v>
      </c>
      <c r="E253" s="6">
        <v>3684.9306</v>
      </c>
      <c r="F253" s="6">
        <v>0</v>
      </c>
      <c r="G253" s="6">
        <v>13032.9183</v>
      </c>
      <c r="H253" s="6">
        <v>3191.04</v>
      </c>
      <c r="I253" s="6">
        <v>421.4019</v>
      </c>
      <c r="J253" s="6">
        <v>26195.104</v>
      </c>
      <c r="K253" s="6">
        <v>9971.1457</v>
      </c>
    </row>
    <row r="254" ht="15.75" customHeight="1" spans="1:11">
      <c r="A254" s="4" t="s">
        <v>15967</v>
      </c>
      <c r="B254" s="5" t="s">
        <v>18616</v>
      </c>
      <c r="C254" s="6">
        <v>273185.2039</v>
      </c>
      <c r="D254" s="6">
        <v>27.3185</v>
      </c>
      <c r="E254" s="6">
        <v>5.2674</v>
      </c>
      <c r="F254" s="6">
        <v>0</v>
      </c>
      <c r="G254" s="6">
        <v>23.9037</v>
      </c>
      <c r="H254" s="6">
        <v>0</v>
      </c>
      <c r="I254" s="6">
        <v>45.2393</v>
      </c>
      <c r="J254" s="6">
        <v>101.7289</v>
      </c>
      <c r="K254" s="6">
        <v>77.8252</v>
      </c>
    </row>
    <row r="255" ht="15.75" customHeight="1" spans="1:11">
      <c r="A255" s="4" t="s">
        <v>15969</v>
      </c>
      <c r="B255" s="5" t="s">
        <v>18617</v>
      </c>
      <c r="C255" s="6">
        <v>494913.3121</v>
      </c>
      <c r="D255" s="6">
        <v>5.6652</v>
      </c>
      <c r="E255" s="6">
        <v>2.8449</v>
      </c>
      <c r="F255" s="6">
        <v>0</v>
      </c>
      <c r="G255" s="6">
        <v>6.2947</v>
      </c>
      <c r="H255" s="6">
        <v>274.04</v>
      </c>
      <c r="I255" s="6">
        <v>41.7512</v>
      </c>
      <c r="J255" s="6">
        <v>330.596</v>
      </c>
      <c r="K255" s="6">
        <v>50.2613</v>
      </c>
    </row>
    <row r="256" ht="15.75" customHeight="1" spans="1:11">
      <c r="A256" s="4" t="s">
        <v>15970</v>
      </c>
      <c r="B256" s="5" t="s">
        <v>18618</v>
      </c>
      <c r="C256" s="6">
        <v>2305872.4083</v>
      </c>
      <c r="D256" s="6">
        <v>26.3951</v>
      </c>
      <c r="E256" s="6">
        <v>13.2548</v>
      </c>
      <c r="F256" s="6">
        <v>0</v>
      </c>
      <c r="G256" s="6">
        <v>58.6557</v>
      </c>
      <c r="H256" s="6">
        <v>173.679</v>
      </c>
      <c r="I256" s="6">
        <v>136.0494</v>
      </c>
      <c r="J256" s="6">
        <v>408.034</v>
      </c>
      <c r="K256" s="6">
        <v>175.6993</v>
      </c>
    </row>
    <row r="257" ht="15.75" customHeight="1" spans="1:11">
      <c r="A257" s="4" t="s">
        <v>15973</v>
      </c>
      <c r="B257" s="5" t="s">
        <v>18619</v>
      </c>
      <c r="C257" s="6">
        <v>1131671.664</v>
      </c>
      <c r="D257" s="6">
        <v>12.9541</v>
      </c>
      <c r="E257" s="6">
        <v>6.5052</v>
      </c>
      <c r="F257" s="6">
        <v>0</v>
      </c>
      <c r="G257" s="6">
        <v>28.7869</v>
      </c>
      <c r="H257" s="6">
        <v>565.2462</v>
      </c>
      <c r="I257" s="6">
        <v>136.0494</v>
      </c>
      <c r="J257" s="6">
        <v>749.5418</v>
      </c>
      <c r="K257" s="6">
        <v>155.5087</v>
      </c>
    </row>
    <row r="258" ht="15.75" customHeight="1" spans="1:11">
      <c r="A258" s="4" t="s">
        <v>15974</v>
      </c>
      <c r="B258" s="5" t="s">
        <v>18620</v>
      </c>
      <c r="C258" s="6">
        <v>2395364.0151</v>
      </c>
      <c r="D258" s="6">
        <v>127.7527</v>
      </c>
      <c r="E258" s="6">
        <v>41.875</v>
      </c>
      <c r="F258" s="6">
        <v>0</v>
      </c>
      <c r="G258" s="6">
        <v>95.8146</v>
      </c>
      <c r="H258" s="6">
        <v>0</v>
      </c>
      <c r="I258" s="6">
        <v>45.2393</v>
      </c>
      <c r="J258" s="6">
        <v>310.6816</v>
      </c>
      <c r="K258" s="6">
        <v>214.867</v>
      </c>
    </row>
    <row r="259" ht="15.75" customHeight="1" spans="1:11">
      <c r="A259" s="4" t="s">
        <v>15975</v>
      </c>
      <c r="B259" s="5" t="s">
        <v>18621</v>
      </c>
      <c r="C259" s="6">
        <v>630412.1005</v>
      </c>
      <c r="D259" s="6">
        <v>13.5088</v>
      </c>
      <c r="E259" s="6">
        <v>5.3251</v>
      </c>
      <c r="F259" s="6">
        <v>0</v>
      </c>
      <c r="G259" s="6">
        <v>30.0196</v>
      </c>
      <c r="H259" s="6">
        <v>83.1</v>
      </c>
      <c r="I259" s="6">
        <v>34.3199</v>
      </c>
      <c r="J259" s="6">
        <v>166.2734</v>
      </c>
      <c r="K259" s="6">
        <v>53.1538</v>
      </c>
    </row>
    <row r="260" ht="15.75" customHeight="1" spans="1:11">
      <c r="A260" s="4" t="s">
        <v>18622</v>
      </c>
      <c r="B260" s="5" t="s">
        <v>18623</v>
      </c>
      <c r="C260" s="6">
        <v>119793.1659</v>
      </c>
      <c r="D260" s="6">
        <v>9.5835</v>
      </c>
      <c r="E260" s="6">
        <v>2.2174</v>
      </c>
      <c r="F260" s="6">
        <v>0</v>
      </c>
      <c r="G260" s="6">
        <v>9.5835</v>
      </c>
      <c r="H260" s="6">
        <v>17.4233</v>
      </c>
      <c r="I260" s="6">
        <v>0</v>
      </c>
      <c r="J260" s="6">
        <v>38.8077</v>
      </c>
      <c r="K260" s="6">
        <v>11.8009</v>
      </c>
    </row>
    <row r="261" ht="15.75" customHeight="1" spans="1:11">
      <c r="A261" s="4" t="s">
        <v>15976</v>
      </c>
      <c r="B261" s="5" t="s">
        <v>18624</v>
      </c>
      <c r="C261" s="6">
        <v>8679892.5092</v>
      </c>
      <c r="D261" s="6">
        <v>462.9276</v>
      </c>
      <c r="E261" s="6">
        <v>151.739</v>
      </c>
      <c r="F261" s="6">
        <v>0</v>
      </c>
      <c r="G261" s="6">
        <v>347.1957</v>
      </c>
      <c r="H261" s="6">
        <v>0</v>
      </c>
      <c r="I261" s="6">
        <v>45.2393</v>
      </c>
      <c r="J261" s="6">
        <v>1007.1016</v>
      </c>
      <c r="K261" s="6">
        <v>659.9059</v>
      </c>
    </row>
    <row r="262" ht="15.75" customHeight="1" spans="1:11">
      <c r="A262" s="4" t="s">
        <v>15977</v>
      </c>
      <c r="B262" s="5" t="s">
        <v>18625</v>
      </c>
      <c r="C262" s="6">
        <v>690395.1986</v>
      </c>
      <c r="D262" s="6">
        <v>7.9029</v>
      </c>
      <c r="E262" s="6">
        <v>3.9686</v>
      </c>
      <c r="F262" s="6">
        <v>0</v>
      </c>
      <c r="G262" s="6">
        <v>13.1715</v>
      </c>
      <c r="H262" s="6">
        <v>0</v>
      </c>
      <c r="I262" s="6">
        <v>60.0832</v>
      </c>
      <c r="J262" s="6">
        <v>85.1262</v>
      </c>
      <c r="K262" s="6">
        <v>71.9547</v>
      </c>
    </row>
    <row r="263" ht="15.75" customHeight="1" spans="1:11">
      <c r="A263" s="4" t="s">
        <v>15978</v>
      </c>
      <c r="B263" s="5" t="s">
        <v>18626</v>
      </c>
      <c r="C263" s="6">
        <v>7777336.8714</v>
      </c>
      <c r="D263" s="6">
        <v>418.7797</v>
      </c>
      <c r="E263" s="6">
        <v>138.4216</v>
      </c>
      <c r="F263" s="6">
        <v>0</v>
      </c>
      <c r="G263" s="6">
        <v>598.2567</v>
      </c>
      <c r="H263" s="6">
        <v>51.522</v>
      </c>
      <c r="I263" s="6">
        <v>45.2393</v>
      </c>
      <c r="J263" s="6">
        <v>1252.2193</v>
      </c>
      <c r="K263" s="6">
        <v>602.4406</v>
      </c>
    </row>
    <row r="264" ht="15.75" customHeight="1" spans="1:11">
      <c r="A264" s="4" t="s">
        <v>15979</v>
      </c>
      <c r="B264" s="5" t="s">
        <v>18627</v>
      </c>
      <c r="C264" s="6">
        <v>11870.3226</v>
      </c>
      <c r="D264" s="6">
        <v>0.9496</v>
      </c>
      <c r="E264" s="6">
        <v>0.2197</v>
      </c>
      <c r="F264" s="6">
        <v>0</v>
      </c>
      <c r="G264" s="6">
        <v>0.8309</v>
      </c>
      <c r="H264" s="6">
        <v>0</v>
      </c>
      <c r="I264" s="6">
        <v>0</v>
      </c>
      <c r="J264" s="6">
        <v>2.0002</v>
      </c>
      <c r="K264" s="6">
        <v>1.1693</v>
      </c>
    </row>
    <row r="265" ht="15.75" customHeight="1" spans="1:11">
      <c r="A265" s="4" t="s">
        <v>15980</v>
      </c>
      <c r="B265" s="5" t="s">
        <v>18628</v>
      </c>
      <c r="C265" s="6">
        <v>1630244.2039</v>
      </c>
      <c r="D265" s="6">
        <v>163.0244</v>
      </c>
      <c r="E265" s="6">
        <v>31.4331</v>
      </c>
      <c r="F265" s="6">
        <v>0</v>
      </c>
      <c r="G265" s="6">
        <v>142.6464</v>
      </c>
      <c r="H265" s="6">
        <v>0</v>
      </c>
      <c r="I265" s="6">
        <v>33.7544</v>
      </c>
      <c r="J265" s="6">
        <v>370.8583</v>
      </c>
      <c r="K265" s="6">
        <v>228.2119</v>
      </c>
    </row>
    <row r="266" ht="15.75" customHeight="1" spans="1:11">
      <c r="A266" s="4" t="s">
        <v>15981</v>
      </c>
      <c r="B266" s="5" t="s">
        <v>18629</v>
      </c>
      <c r="C266" s="6">
        <v>232489.0576</v>
      </c>
      <c r="D266" s="6">
        <v>23.2489</v>
      </c>
      <c r="E266" s="6">
        <v>4.4827</v>
      </c>
      <c r="F266" s="6">
        <v>0</v>
      </c>
      <c r="G266" s="6">
        <v>20.3428</v>
      </c>
      <c r="H266" s="6">
        <v>0</v>
      </c>
      <c r="I266" s="6">
        <v>33.7544</v>
      </c>
      <c r="J266" s="6">
        <v>81.8288</v>
      </c>
      <c r="K266" s="6">
        <v>61.486</v>
      </c>
    </row>
    <row r="267" ht="15.75" customHeight="1" spans="1:11">
      <c r="A267" s="4" t="s">
        <v>15982</v>
      </c>
      <c r="B267" s="5" t="s">
        <v>18630</v>
      </c>
      <c r="C267" s="6">
        <v>23331156.6267</v>
      </c>
      <c r="D267" s="6">
        <v>301.7792</v>
      </c>
      <c r="E267" s="6">
        <v>135.3037</v>
      </c>
      <c r="F267" s="6">
        <v>0</v>
      </c>
      <c r="G267" s="6">
        <v>670.6205</v>
      </c>
      <c r="H267" s="6">
        <v>74.4576</v>
      </c>
      <c r="I267" s="6">
        <v>104.3834</v>
      </c>
      <c r="J267" s="6">
        <v>1286.5444</v>
      </c>
      <c r="K267" s="6">
        <v>541.4663</v>
      </c>
    </row>
    <row r="268" ht="15.75" customHeight="1" spans="1:11">
      <c r="A268" s="4" t="s">
        <v>15983</v>
      </c>
      <c r="B268" s="5" t="s">
        <v>18631</v>
      </c>
      <c r="C268" s="6">
        <v>28621866.0007</v>
      </c>
      <c r="D268" s="6">
        <v>370.2125</v>
      </c>
      <c r="E268" s="6">
        <v>165.986</v>
      </c>
      <c r="F268" s="6">
        <v>0</v>
      </c>
      <c r="G268" s="6">
        <v>822.6944</v>
      </c>
      <c r="H268" s="6">
        <v>123.9852</v>
      </c>
      <c r="I268" s="6">
        <v>104.3834</v>
      </c>
      <c r="J268" s="6">
        <v>1587.2615</v>
      </c>
      <c r="K268" s="6">
        <v>640.5819</v>
      </c>
    </row>
    <row r="269" ht="15.75" customHeight="1" spans="1:11">
      <c r="A269" s="4" t="s">
        <v>15984</v>
      </c>
      <c r="B269" s="5" t="s">
        <v>18632</v>
      </c>
      <c r="C269" s="6">
        <v>3407434.6389</v>
      </c>
      <c r="D269" s="6">
        <v>39.0045</v>
      </c>
      <c r="E269" s="6">
        <v>19.5869</v>
      </c>
      <c r="F269" s="6">
        <v>0</v>
      </c>
      <c r="G269" s="6">
        <v>65.0075</v>
      </c>
      <c r="H269" s="6">
        <v>0</v>
      </c>
      <c r="I269" s="6">
        <v>30.0416</v>
      </c>
      <c r="J269" s="6">
        <v>153.6405</v>
      </c>
      <c r="K269" s="6">
        <v>88.633</v>
      </c>
    </row>
    <row r="270" ht="15.75" customHeight="1" spans="1:11">
      <c r="A270" s="4" t="s">
        <v>15985</v>
      </c>
      <c r="B270" s="5" t="s">
        <v>18633</v>
      </c>
      <c r="C270" s="6">
        <v>55346.0636</v>
      </c>
      <c r="D270" s="6">
        <v>5.5346</v>
      </c>
      <c r="E270" s="6">
        <v>1.0671</v>
      </c>
      <c r="F270" s="6">
        <v>0</v>
      </c>
      <c r="G270" s="6">
        <v>5.5346</v>
      </c>
      <c r="H270" s="6">
        <v>0</v>
      </c>
      <c r="I270" s="6">
        <v>26.5829</v>
      </c>
      <c r="J270" s="6">
        <v>38.7192</v>
      </c>
      <c r="K270" s="6">
        <v>33.1846</v>
      </c>
    </row>
    <row r="271" ht="15.75" customHeight="1" spans="1:11">
      <c r="A271" s="4" t="s">
        <v>14303</v>
      </c>
      <c r="B271" s="5" t="s">
        <v>14304</v>
      </c>
      <c r="C271" s="6">
        <v>96053.346</v>
      </c>
      <c r="D271" s="6">
        <v>5.4888</v>
      </c>
      <c r="E271" s="6">
        <v>1.6933</v>
      </c>
      <c r="F271" s="6">
        <v>0</v>
      </c>
      <c r="G271" s="6">
        <v>4.1166</v>
      </c>
      <c r="H271" s="6">
        <v>0</v>
      </c>
      <c r="I271" s="6">
        <v>0</v>
      </c>
      <c r="J271" s="6">
        <v>11.2987</v>
      </c>
      <c r="K271" s="6">
        <v>7.1821</v>
      </c>
    </row>
    <row r="272" ht="15.75" customHeight="1" spans="1:11">
      <c r="A272" s="4" t="s">
        <v>14301</v>
      </c>
      <c r="B272" s="5" t="s">
        <v>14302</v>
      </c>
      <c r="C272" s="6">
        <v>125938.0454</v>
      </c>
      <c r="D272" s="6">
        <v>7.1965</v>
      </c>
      <c r="E272" s="6">
        <v>2.2201</v>
      </c>
      <c r="F272" s="6">
        <v>0</v>
      </c>
      <c r="G272" s="6">
        <v>5.3973</v>
      </c>
      <c r="H272" s="6">
        <v>0</v>
      </c>
      <c r="I272" s="6">
        <v>0</v>
      </c>
      <c r="J272" s="6">
        <v>14.8139</v>
      </c>
      <c r="K272" s="6">
        <v>9.4166</v>
      </c>
    </row>
    <row r="273" ht="15.75" customHeight="1" spans="1:11">
      <c r="A273" s="4" t="s">
        <v>15986</v>
      </c>
      <c r="B273" s="5" t="s">
        <v>18634</v>
      </c>
      <c r="C273" s="6">
        <v>1090139809.9388</v>
      </c>
      <c r="D273" s="6">
        <v>9828.8716</v>
      </c>
      <c r="E273" s="6">
        <v>6175.5947</v>
      </c>
      <c r="F273" s="6">
        <v>0</v>
      </c>
      <c r="G273" s="6">
        <v>21841.9369</v>
      </c>
      <c r="H273" s="6">
        <v>5451.36</v>
      </c>
      <c r="I273" s="6">
        <v>555.8269</v>
      </c>
      <c r="J273" s="6">
        <v>43853.5901</v>
      </c>
      <c r="K273" s="6">
        <v>16560.2932</v>
      </c>
    </row>
    <row r="274" ht="15.75" customHeight="1" spans="1:11">
      <c r="A274" s="4" t="s">
        <v>15987</v>
      </c>
      <c r="B274" s="5" t="s">
        <v>18635</v>
      </c>
      <c r="C274" s="6">
        <v>1529801455.7014</v>
      </c>
      <c r="D274" s="6">
        <v>13792.93</v>
      </c>
      <c r="E274" s="6">
        <v>8666.2589</v>
      </c>
      <c r="F274" s="6">
        <v>0</v>
      </c>
      <c r="G274" s="6">
        <v>30650.9556</v>
      </c>
      <c r="H274" s="6">
        <v>7844.64</v>
      </c>
      <c r="I274" s="6">
        <v>586.112</v>
      </c>
      <c r="J274" s="6">
        <v>61540.8965</v>
      </c>
      <c r="K274" s="6">
        <v>23045.3009</v>
      </c>
    </row>
    <row r="275" ht="15.75" customHeight="1" spans="1:11">
      <c r="A275" s="4" t="s">
        <v>15988</v>
      </c>
      <c r="B275" s="5" t="s">
        <v>18636</v>
      </c>
      <c r="C275" s="6">
        <v>1969463101.4639</v>
      </c>
      <c r="D275" s="6">
        <v>17756.9884</v>
      </c>
      <c r="E275" s="6">
        <v>11156.923</v>
      </c>
      <c r="F275" s="6">
        <v>0</v>
      </c>
      <c r="G275" s="6">
        <v>39459.9743</v>
      </c>
      <c r="H275" s="6">
        <v>10304.4</v>
      </c>
      <c r="I275" s="6">
        <v>616.1536</v>
      </c>
      <c r="J275" s="6">
        <v>79294.4393</v>
      </c>
      <c r="K275" s="6">
        <v>29530.065</v>
      </c>
    </row>
    <row r="276" ht="15.75" customHeight="1" spans="1:11">
      <c r="A276" s="4" t="s">
        <v>18637</v>
      </c>
      <c r="B276" s="5" t="s">
        <v>18638</v>
      </c>
      <c r="C276" s="6">
        <v>2513489.0627</v>
      </c>
      <c r="D276" s="6">
        <v>28.7716</v>
      </c>
      <c r="E276" s="6">
        <v>11.7558</v>
      </c>
      <c r="F276" s="6">
        <v>0</v>
      </c>
      <c r="G276" s="6">
        <v>63.9369</v>
      </c>
      <c r="H276" s="6">
        <v>209.4674</v>
      </c>
      <c r="I276" s="6">
        <v>61.7076</v>
      </c>
      <c r="J276" s="6">
        <v>375.6393</v>
      </c>
      <c r="K276" s="6">
        <v>102.235</v>
      </c>
    </row>
    <row r="277" ht="15.75" customHeight="1" spans="1:11">
      <c r="A277" s="4" t="s">
        <v>15989</v>
      </c>
      <c r="B277" s="5" t="s">
        <v>18639</v>
      </c>
      <c r="C277" s="6">
        <v>14581.9128</v>
      </c>
      <c r="D277" s="6">
        <v>1.9443</v>
      </c>
      <c r="E277" s="6">
        <v>0.2999</v>
      </c>
      <c r="F277" s="6">
        <v>0</v>
      </c>
      <c r="G277" s="6">
        <v>1.4582</v>
      </c>
      <c r="H277" s="6">
        <v>0</v>
      </c>
      <c r="I277" s="6">
        <v>0</v>
      </c>
      <c r="J277" s="6">
        <v>3.7024</v>
      </c>
      <c r="K277" s="6">
        <v>2.2442</v>
      </c>
    </row>
    <row r="278" ht="15.75" customHeight="1" spans="1:11">
      <c r="A278" s="4" t="s">
        <v>18640</v>
      </c>
      <c r="B278" s="5" t="s">
        <v>18641</v>
      </c>
      <c r="C278" s="6">
        <v>359208.1267</v>
      </c>
      <c r="D278" s="6">
        <v>28.7367</v>
      </c>
      <c r="E278" s="6">
        <v>6.6489</v>
      </c>
      <c r="F278" s="6">
        <v>0</v>
      </c>
      <c r="G278" s="6">
        <v>28.7367</v>
      </c>
      <c r="H278" s="6">
        <v>76.7567</v>
      </c>
      <c r="I278" s="6">
        <v>0</v>
      </c>
      <c r="J278" s="6">
        <v>140.879</v>
      </c>
      <c r="K278" s="6">
        <v>35.3856</v>
      </c>
    </row>
    <row r="279" ht="15.75" customHeight="1" spans="1:11">
      <c r="A279" s="4" t="s">
        <v>1062</v>
      </c>
      <c r="B279" s="5" t="s">
        <v>1063</v>
      </c>
      <c r="C279" s="6">
        <v>7147.329</v>
      </c>
      <c r="D279" s="6">
        <v>0.7147</v>
      </c>
      <c r="E279" s="6">
        <v>0.1378</v>
      </c>
      <c r="F279" s="6">
        <v>0</v>
      </c>
      <c r="G279" s="6">
        <v>0.6254</v>
      </c>
      <c r="H279" s="6">
        <v>0</v>
      </c>
      <c r="I279" s="6">
        <v>0</v>
      </c>
      <c r="J279" s="6">
        <v>1.4779</v>
      </c>
      <c r="K279" s="6">
        <v>0.8525</v>
      </c>
    </row>
    <row r="280" ht="15.75" customHeight="1" spans="1:11">
      <c r="A280" s="4" t="s">
        <v>15990</v>
      </c>
      <c r="B280" s="5" t="s">
        <v>18642</v>
      </c>
      <c r="C280" s="6">
        <v>321961.7563</v>
      </c>
      <c r="D280" s="6">
        <v>36.7956</v>
      </c>
      <c r="E280" s="6">
        <v>6.3852</v>
      </c>
      <c r="F280" s="6">
        <v>0</v>
      </c>
      <c r="G280" s="6">
        <v>32.1962</v>
      </c>
      <c r="H280" s="6">
        <v>0</v>
      </c>
      <c r="I280" s="6">
        <v>45.2393</v>
      </c>
      <c r="J280" s="6">
        <v>120.6163</v>
      </c>
      <c r="K280" s="6">
        <v>88.4201</v>
      </c>
    </row>
    <row r="281" ht="15.75" customHeight="1" spans="1:11">
      <c r="A281" s="4" t="s">
        <v>15991</v>
      </c>
      <c r="B281" s="5" t="s">
        <v>18643</v>
      </c>
      <c r="C281" s="6">
        <v>47791.9228</v>
      </c>
      <c r="D281" s="6">
        <v>6.3723</v>
      </c>
      <c r="E281" s="6">
        <v>0.9829</v>
      </c>
      <c r="F281" s="6">
        <v>0</v>
      </c>
      <c r="G281" s="6">
        <v>4.7792</v>
      </c>
      <c r="H281" s="6">
        <v>0</v>
      </c>
      <c r="I281" s="6">
        <v>0</v>
      </c>
      <c r="J281" s="6">
        <v>12.1344</v>
      </c>
      <c r="K281" s="6">
        <v>7.3552</v>
      </c>
    </row>
    <row r="282" ht="15.75" customHeight="1" spans="1:11">
      <c r="A282" s="4" t="s">
        <v>15992</v>
      </c>
      <c r="B282" s="5" t="s">
        <v>18644</v>
      </c>
      <c r="C282" s="6">
        <v>55195.9754</v>
      </c>
      <c r="D282" s="6">
        <v>7.3595</v>
      </c>
      <c r="E282" s="6">
        <v>1.1352</v>
      </c>
      <c r="F282" s="6">
        <v>0</v>
      </c>
      <c r="G282" s="6">
        <v>5.5196</v>
      </c>
      <c r="H282" s="6">
        <v>0</v>
      </c>
      <c r="I282" s="6">
        <v>0</v>
      </c>
      <c r="J282" s="6">
        <v>14.0143</v>
      </c>
      <c r="K282" s="6">
        <v>8.4947</v>
      </c>
    </row>
    <row r="283" ht="15.75" customHeight="1" spans="1:11">
      <c r="A283" s="4" t="s">
        <v>15993</v>
      </c>
      <c r="B283" s="5" t="s">
        <v>18645</v>
      </c>
      <c r="C283" s="6">
        <v>60967.9519</v>
      </c>
      <c r="D283" s="6">
        <v>8.1291</v>
      </c>
      <c r="E283" s="6">
        <v>1.2539</v>
      </c>
      <c r="F283" s="6">
        <v>0</v>
      </c>
      <c r="G283" s="6">
        <v>6.0968</v>
      </c>
      <c r="H283" s="6">
        <v>0</v>
      </c>
      <c r="I283" s="6">
        <v>0</v>
      </c>
      <c r="J283" s="6">
        <v>15.4798</v>
      </c>
      <c r="K283" s="6">
        <v>9.383</v>
      </c>
    </row>
    <row r="284" ht="15.75" customHeight="1" spans="1:11">
      <c r="A284" s="4" t="s">
        <v>15994</v>
      </c>
      <c r="B284" s="5" t="s">
        <v>18646</v>
      </c>
      <c r="C284" s="6">
        <v>7988393.2616</v>
      </c>
      <c r="D284" s="6">
        <v>91.4422</v>
      </c>
      <c r="E284" s="6">
        <v>45.9195</v>
      </c>
      <c r="F284" s="6">
        <v>0</v>
      </c>
      <c r="G284" s="6">
        <v>203.205</v>
      </c>
      <c r="H284" s="6">
        <v>244.314</v>
      </c>
      <c r="I284" s="6">
        <v>64.3615</v>
      </c>
      <c r="J284" s="6">
        <v>649.2422</v>
      </c>
      <c r="K284" s="6">
        <v>201.7232</v>
      </c>
    </row>
    <row r="285" ht="15.75" customHeight="1" spans="1:11">
      <c r="A285" s="4" t="s">
        <v>15995</v>
      </c>
      <c r="B285" s="5" t="s">
        <v>18647</v>
      </c>
      <c r="C285" s="6">
        <v>13380237.5675</v>
      </c>
      <c r="D285" s="6">
        <v>153.1621</v>
      </c>
      <c r="E285" s="6">
        <v>76.9133</v>
      </c>
      <c r="F285" s="6">
        <v>0</v>
      </c>
      <c r="G285" s="6">
        <v>340.3601</v>
      </c>
      <c r="H285" s="6">
        <v>401.373</v>
      </c>
      <c r="I285" s="6">
        <v>64.3615</v>
      </c>
      <c r="J285" s="6">
        <v>1036.17</v>
      </c>
      <c r="K285" s="6">
        <v>294.4369</v>
      </c>
    </row>
    <row r="286" ht="15.75" customHeight="1" spans="1:11">
      <c r="A286" s="4" t="s">
        <v>15996</v>
      </c>
      <c r="B286" s="5" t="s">
        <v>18648</v>
      </c>
      <c r="C286" s="6">
        <v>25018571.4967</v>
      </c>
      <c r="D286" s="6">
        <v>286.3847</v>
      </c>
      <c r="E286" s="6">
        <v>143.8137</v>
      </c>
      <c r="F286" s="6">
        <v>0</v>
      </c>
      <c r="G286" s="6">
        <v>636.4105</v>
      </c>
      <c r="H286" s="6">
        <v>619.926</v>
      </c>
      <c r="I286" s="6">
        <v>94.4031</v>
      </c>
      <c r="J286" s="6">
        <v>1780.938</v>
      </c>
      <c r="K286" s="6">
        <v>524.6015</v>
      </c>
    </row>
    <row r="287" ht="15.75" customHeight="1" spans="1:11">
      <c r="A287" s="4" t="s">
        <v>15997</v>
      </c>
      <c r="B287" s="5" t="s">
        <v>18649</v>
      </c>
      <c r="C287" s="6">
        <v>38195436.1879</v>
      </c>
      <c r="D287" s="6">
        <v>437.2188</v>
      </c>
      <c r="E287" s="6">
        <v>219.5579</v>
      </c>
      <c r="F287" s="6">
        <v>0</v>
      </c>
      <c r="G287" s="6">
        <v>971.5974</v>
      </c>
      <c r="H287" s="6">
        <v>1121.85</v>
      </c>
      <c r="I287" s="6">
        <v>94.4031</v>
      </c>
      <c r="J287" s="6">
        <v>2844.6272</v>
      </c>
      <c r="K287" s="6">
        <v>751.1798</v>
      </c>
    </row>
    <row r="288" ht="15.75" customHeight="1" spans="1:11">
      <c r="A288" s="4" t="s">
        <v>15998</v>
      </c>
      <c r="B288" s="5" t="s">
        <v>18650</v>
      </c>
      <c r="C288" s="6">
        <v>4011492.2456</v>
      </c>
      <c r="D288" s="6">
        <v>45.9191</v>
      </c>
      <c r="E288" s="6">
        <v>18.7621</v>
      </c>
      <c r="F288" s="6">
        <v>0</v>
      </c>
      <c r="G288" s="6">
        <v>102.0424</v>
      </c>
      <c r="H288" s="6">
        <v>235.7824</v>
      </c>
      <c r="I288" s="6">
        <v>136.0494</v>
      </c>
      <c r="J288" s="6">
        <v>538.5554</v>
      </c>
      <c r="K288" s="6">
        <v>200.7306</v>
      </c>
    </row>
    <row r="289" ht="15.75" customHeight="1" spans="1:11">
      <c r="A289" s="4" t="s">
        <v>15999</v>
      </c>
      <c r="B289" s="5" t="s">
        <v>18651</v>
      </c>
      <c r="C289" s="6">
        <v>105983.9083</v>
      </c>
      <c r="D289" s="6">
        <v>8.4787</v>
      </c>
      <c r="E289" s="6">
        <v>1.9618</v>
      </c>
      <c r="F289" s="6">
        <v>0</v>
      </c>
      <c r="G289" s="6">
        <v>8.4787</v>
      </c>
      <c r="H289" s="6">
        <v>13.1852</v>
      </c>
      <c r="I289" s="6">
        <v>0</v>
      </c>
      <c r="J289" s="6">
        <v>32.1044</v>
      </c>
      <c r="K289" s="6">
        <v>10.4405</v>
      </c>
    </row>
    <row r="290" ht="15.75" customHeight="1" spans="1:11">
      <c r="A290" s="4" t="s">
        <v>16000</v>
      </c>
      <c r="B290" s="5" t="s">
        <v>18652</v>
      </c>
      <c r="C290" s="6">
        <v>151079.5465</v>
      </c>
      <c r="D290" s="6">
        <v>12.0864</v>
      </c>
      <c r="E290" s="6">
        <v>2.7965</v>
      </c>
      <c r="F290" s="6">
        <v>0</v>
      </c>
      <c r="G290" s="6">
        <v>12.0864</v>
      </c>
      <c r="H290" s="6">
        <v>31.0794</v>
      </c>
      <c r="I290" s="6">
        <v>0</v>
      </c>
      <c r="J290" s="6">
        <v>58.0487</v>
      </c>
      <c r="K290" s="6">
        <v>14.8829</v>
      </c>
    </row>
    <row r="291" ht="15.75" customHeight="1" spans="1:11">
      <c r="A291" s="4" t="s">
        <v>16001</v>
      </c>
      <c r="B291" s="5" t="s">
        <v>18653</v>
      </c>
      <c r="C291" s="6">
        <v>1822041.6906</v>
      </c>
      <c r="D291" s="6">
        <v>145.7633</v>
      </c>
      <c r="E291" s="6">
        <v>33.726</v>
      </c>
      <c r="F291" s="6">
        <v>0</v>
      </c>
      <c r="G291" s="6">
        <v>145.7633</v>
      </c>
      <c r="H291" s="6">
        <v>31.024</v>
      </c>
      <c r="I291" s="6">
        <v>33.7544</v>
      </c>
      <c r="J291" s="6">
        <v>390.031</v>
      </c>
      <c r="K291" s="6">
        <v>213.2437</v>
      </c>
    </row>
    <row r="292" ht="15.75" customHeight="1" spans="1:11">
      <c r="A292" s="4" t="s">
        <v>16002</v>
      </c>
      <c r="B292" s="5" t="s">
        <v>18654</v>
      </c>
      <c r="C292" s="6">
        <v>3068.7284</v>
      </c>
      <c r="D292" s="6">
        <v>0.2762</v>
      </c>
      <c r="E292" s="6">
        <v>0.0568</v>
      </c>
      <c r="F292" s="6">
        <v>0</v>
      </c>
      <c r="G292" s="6">
        <v>0.1534</v>
      </c>
      <c r="H292" s="6">
        <v>0</v>
      </c>
      <c r="I292" s="6">
        <v>0</v>
      </c>
      <c r="J292" s="6">
        <v>0.4864</v>
      </c>
      <c r="K292" s="6">
        <v>0.333</v>
      </c>
    </row>
    <row r="293" ht="15.75" customHeight="1" spans="1:11">
      <c r="A293" s="4" t="s">
        <v>16004</v>
      </c>
      <c r="B293" s="5" t="s">
        <v>18655</v>
      </c>
      <c r="C293" s="6">
        <v>140167.0063</v>
      </c>
      <c r="D293" s="6">
        <v>11.2134</v>
      </c>
      <c r="E293" s="6">
        <v>2.5945</v>
      </c>
      <c r="F293" s="6">
        <v>0</v>
      </c>
      <c r="G293" s="6">
        <v>11.2134</v>
      </c>
      <c r="H293" s="6">
        <v>25.4286</v>
      </c>
      <c r="I293" s="6">
        <v>0</v>
      </c>
      <c r="J293" s="6">
        <v>50.4499</v>
      </c>
      <c r="K293" s="6">
        <v>13.8079</v>
      </c>
    </row>
    <row r="294" ht="15.75" customHeight="1" spans="1:11">
      <c r="A294" s="4" t="s">
        <v>1078</v>
      </c>
      <c r="B294" s="5" t="s">
        <v>1079</v>
      </c>
      <c r="C294" s="6">
        <v>12427.5144</v>
      </c>
      <c r="D294" s="6">
        <v>2.4855</v>
      </c>
      <c r="E294" s="6">
        <v>0.2875</v>
      </c>
      <c r="F294" s="6">
        <v>0</v>
      </c>
      <c r="G294" s="6">
        <v>2.4855</v>
      </c>
      <c r="H294" s="6">
        <v>7.5625</v>
      </c>
      <c r="I294" s="6">
        <v>0</v>
      </c>
      <c r="J294" s="6">
        <v>12.821</v>
      </c>
      <c r="K294" s="6">
        <v>2.773</v>
      </c>
    </row>
    <row r="295" ht="15.75" customHeight="1" spans="1:11">
      <c r="A295" s="4" t="s">
        <v>16005</v>
      </c>
      <c r="B295" s="5" t="s">
        <v>18656</v>
      </c>
      <c r="C295" s="6">
        <v>800993.8769</v>
      </c>
      <c r="D295" s="6">
        <v>64.0795</v>
      </c>
      <c r="E295" s="6">
        <v>14.8264</v>
      </c>
      <c r="F295" s="6">
        <v>0</v>
      </c>
      <c r="G295" s="6">
        <v>64.0795</v>
      </c>
      <c r="H295" s="6">
        <v>200.6034</v>
      </c>
      <c r="I295" s="6">
        <v>0</v>
      </c>
      <c r="J295" s="6">
        <v>343.5888</v>
      </c>
      <c r="K295" s="6">
        <v>78.9059</v>
      </c>
    </row>
    <row r="296" ht="15.75" customHeight="1" spans="1:11">
      <c r="A296" s="4" t="s">
        <v>16006</v>
      </c>
      <c r="B296" s="5" t="s">
        <v>18657</v>
      </c>
      <c r="C296" s="6">
        <v>169885.5779</v>
      </c>
      <c r="D296" s="6">
        <v>13.5908</v>
      </c>
      <c r="E296" s="6">
        <v>3.1446</v>
      </c>
      <c r="F296" s="6">
        <v>0</v>
      </c>
      <c r="G296" s="6">
        <v>13.5908</v>
      </c>
      <c r="H296" s="6">
        <v>33.9048</v>
      </c>
      <c r="I296" s="6">
        <v>0</v>
      </c>
      <c r="J296" s="6">
        <v>64.231</v>
      </c>
      <c r="K296" s="6">
        <v>16.7354</v>
      </c>
    </row>
    <row r="297" ht="15.75" customHeight="1" spans="1:11">
      <c r="A297" s="4" t="s">
        <v>16007</v>
      </c>
      <c r="B297" s="5" t="s">
        <v>18658</v>
      </c>
      <c r="C297" s="6">
        <v>3966969.366</v>
      </c>
      <c r="D297" s="6">
        <v>185.1252</v>
      </c>
      <c r="E297" s="6">
        <v>69.3492</v>
      </c>
      <c r="F297" s="6">
        <v>0</v>
      </c>
      <c r="G297" s="6">
        <v>264.4646</v>
      </c>
      <c r="H297" s="6">
        <v>51.522</v>
      </c>
      <c r="I297" s="6">
        <v>45.2393</v>
      </c>
      <c r="J297" s="6">
        <v>615.7003</v>
      </c>
      <c r="K297" s="6">
        <v>299.7137</v>
      </c>
    </row>
    <row r="298" ht="15.75" customHeight="1" spans="1:11">
      <c r="A298" s="4" t="s">
        <v>16008</v>
      </c>
      <c r="B298" s="5" t="s">
        <v>18659</v>
      </c>
      <c r="C298" s="6">
        <v>942478.3995</v>
      </c>
      <c r="D298" s="6">
        <v>75.3983</v>
      </c>
      <c r="E298" s="6">
        <v>17.4453</v>
      </c>
      <c r="F298" s="6">
        <v>0</v>
      </c>
      <c r="G298" s="6">
        <v>75.3983</v>
      </c>
      <c r="H298" s="6">
        <v>311.83</v>
      </c>
      <c r="I298" s="6">
        <v>0</v>
      </c>
      <c r="J298" s="6">
        <v>480.0719</v>
      </c>
      <c r="K298" s="6">
        <v>92.8436</v>
      </c>
    </row>
    <row r="299" ht="15.75" customHeight="1" spans="1:11">
      <c r="A299" s="4" t="s">
        <v>16009</v>
      </c>
      <c r="B299" s="5" t="s">
        <v>18660</v>
      </c>
      <c r="C299" s="6">
        <v>5998124.176</v>
      </c>
      <c r="D299" s="6">
        <v>322.9759</v>
      </c>
      <c r="E299" s="6">
        <v>106.7551</v>
      </c>
      <c r="F299" s="6">
        <v>0</v>
      </c>
      <c r="G299" s="6">
        <v>461.3942</v>
      </c>
      <c r="H299" s="6">
        <v>51.522</v>
      </c>
      <c r="I299" s="6">
        <v>45.2393</v>
      </c>
      <c r="J299" s="6">
        <v>987.8865</v>
      </c>
      <c r="K299" s="6">
        <v>474.9703</v>
      </c>
    </row>
    <row r="300" ht="15.75" customHeight="1" spans="1:11">
      <c r="A300" s="4" t="s">
        <v>16010</v>
      </c>
      <c r="B300" s="5" t="s">
        <v>18661</v>
      </c>
      <c r="C300" s="6">
        <v>5998124.176</v>
      </c>
      <c r="D300" s="6">
        <v>322.9759</v>
      </c>
      <c r="E300" s="6">
        <v>106.7551</v>
      </c>
      <c r="F300" s="6">
        <v>0</v>
      </c>
      <c r="G300" s="6">
        <v>461.3942</v>
      </c>
      <c r="H300" s="6">
        <v>51.522</v>
      </c>
      <c r="I300" s="6">
        <v>45.2393</v>
      </c>
      <c r="J300" s="6">
        <v>987.8865</v>
      </c>
      <c r="K300" s="6">
        <v>474.9703</v>
      </c>
    </row>
    <row r="301" ht="15.75" customHeight="1" spans="1:11">
      <c r="A301" s="4" t="s">
        <v>16011</v>
      </c>
      <c r="B301" s="5" t="s">
        <v>18662</v>
      </c>
      <c r="C301" s="6">
        <v>5980839.4637</v>
      </c>
      <c r="D301" s="6">
        <v>322.0452</v>
      </c>
      <c r="E301" s="6">
        <v>106.4474</v>
      </c>
      <c r="F301" s="6">
        <v>0</v>
      </c>
      <c r="G301" s="6">
        <v>460.0646</v>
      </c>
      <c r="H301" s="6">
        <v>51.522</v>
      </c>
      <c r="I301" s="6">
        <v>45.2393</v>
      </c>
      <c r="J301" s="6">
        <v>985.3185</v>
      </c>
      <c r="K301" s="6">
        <v>473.7319</v>
      </c>
    </row>
    <row r="302" ht="15.75" customHeight="1" spans="1:11">
      <c r="A302" s="4" t="s">
        <v>16012</v>
      </c>
      <c r="B302" s="5" t="s">
        <v>18663</v>
      </c>
      <c r="C302" s="6">
        <v>5980839.4637</v>
      </c>
      <c r="D302" s="6">
        <v>322.0452</v>
      </c>
      <c r="E302" s="6">
        <v>106.4474</v>
      </c>
      <c r="F302" s="6">
        <v>0</v>
      </c>
      <c r="G302" s="6">
        <v>460.0646</v>
      </c>
      <c r="H302" s="6">
        <v>51.522</v>
      </c>
      <c r="I302" s="6">
        <v>45.2393</v>
      </c>
      <c r="J302" s="6">
        <v>985.3185</v>
      </c>
      <c r="K302" s="6">
        <v>473.7319</v>
      </c>
    </row>
    <row r="303" ht="15.75" customHeight="1" spans="1:11">
      <c r="A303" s="4" t="s">
        <v>16013</v>
      </c>
      <c r="B303" s="5" t="s">
        <v>18664</v>
      </c>
      <c r="C303" s="6">
        <v>3646590.9523</v>
      </c>
      <c r="D303" s="6">
        <v>141.8119</v>
      </c>
      <c r="E303" s="6">
        <v>62.4985</v>
      </c>
      <c r="F303" s="6">
        <v>0</v>
      </c>
      <c r="G303" s="6">
        <v>202.5884</v>
      </c>
      <c r="H303" s="6">
        <v>51.522</v>
      </c>
      <c r="I303" s="6">
        <v>45.2393</v>
      </c>
      <c r="J303" s="6">
        <v>503.6601</v>
      </c>
      <c r="K303" s="6">
        <v>249.5497</v>
      </c>
    </row>
    <row r="304" ht="15.75" customHeight="1" spans="1:11">
      <c r="A304" s="4" t="s">
        <v>16014</v>
      </c>
      <c r="B304" s="5" t="s">
        <v>18665</v>
      </c>
      <c r="C304" s="6">
        <v>165701.3399</v>
      </c>
      <c r="D304" s="6">
        <v>13.2561</v>
      </c>
      <c r="E304" s="6">
        <v>3.0671</v>
      </c>
      <c r="F304" s="6">
        <v>0</v>
      </c>
      <c r="G304" s="6">
        <v>13.2561</v>
      </c>
      <c r="H304" s="6">
        <v>33.9048</v>
      </c>
      <c r="I304" s="6">
        <v>0</v>
      </c>
      <c r="J304" s="6">
        <v>63.4841</v>
      </c>
      <c r="K304" s="6">
        <v>16.3232</v>
      </c>
    </row>
    <row r="305" ht="15.75" customHeight="1" spans="1:11">
      <c r="A305" s="4" t="s">
        <v>16015</v>
      </c>
      <c r="B305" s="5" t="s">
        <v>18666</v>
      </c>
      <c r="C305" s="6">
        <v>2835.7757</v>
      </c>
      <c r="D305" s="6">
        <v>0.3781</v>
      </c>
      <c r="E305" s="6">
        <v>0.0583</v>
      </c>
      <c r="F305" s="6">
        <v>0</v>
      </c>
      <c r="G305" s="6">
        <v>0.3781</v>
      </c>
      <c r="H305" s="6">
        <v>0</v>
      </c>
      <c r="I305" s="6">
        <v>0</v>
      </c>
      <c r="J305" s="6">
        <v>0.8145</v>
      </c>
      <c r="K305" s="6">
        <v>0.4364</v>
      </c>
    </row>
    <row r="306" ht="15.75" customHeight="1" spans="1:11">
      <c r="A306" s="4" t="s">
        <v>16017</v>
      </c>
      <c r="B306" s="5" t="s">
        <v>18667</v>
      </c>
      <c r="C306" s="6">
        <v>6541825.5122</v>
      </c>
      <c r="D306" s="6">
        <v>228.9639</v>
      </c>
      <c r="E306" s="6">
        <v>110.9984</v>
      </c>
      <c r="F306" s="6">
        <v>0</v>
      </c>
      <c r="G306" s="6">
        <v>327.0913</v>
      </c>
      <c r="H306" s="6">
        <v>58.724</v>
      </c>
      <c r="I306" s="6">
        <v>45.2393</v>
      </c>
      <c r="J306" s="6">
        <v>771.0169</v>
      </c>
      <c r="K306" s="6">
        <v>385.2016</v>
      </c>
    </row>
    <row r="307" ht="15.75" customHeight="1" spans="1:11">
      <c r="A307" s="4" t="s">
        <v>16018</v>
      </c>
      <c r="B307" s="5" t="s">
        <v>18668</v>
      </c>
      <c r="C307" s="6">
        <v>13914.4535</v>
      </c>
      <c r="D307" s="6">
        <v>1.8553</v>
      </c>
      <c r="E307" s="6">
        <v>0.2862</v>
      </c>
      <c r="F307" s="6">
        <v>0</v>
      </c>
      <c r="G307" s="6">
        <v>1.3914</v>
      </c>
      <c r="H307" s="6">
        <v>0</v>
      </c>
      <c r="I307" s="6">
        <v>0</v>
      </c>
      <c r="J307" s="6">
        <v>3.5329</v>
      </c>
      <c r="K307" s="6">
        <v>2.1415</v>
      </c>
    </row>
    <row r="308" ht="15.75" customHeight="1" spans="1:11">
      <c r="A308" s="4" t="s">
        <v>16021</v>
      </c>
      <c r="B308" s="5" t="s">
        <v>18669</v>
      </c>
      <c r="C308" s="6">
        <v>555349.2346</v>
      </c>
      <c r="D308" s="6">
        <v>44.4279</v>
      </c>
      <c r="E308" s="6">
        <v>10.2795</v>
      </c>
      <c r="F308" s="6">
        <v>0</v>
      </c>
      <c r="G308" s="6">
        <v>44.4279</v>
      </c>
      <c r="H308" s="6">
        <v>148.9268</v>
      </c>
      <c r="I308" s="6">
        <v>0</v>
      </c>
      <c r="J308" s="6">
        <v>248.0621</v>
      </c>
      <c r="K308" s="6">
        <v>54.7074</v>
      </c>
    </row>
    <row r="309" ht="15.75" customHeight="1" spans="1:11">
      <c r="A309" s="4" t="s">
        <v>18670</v>
      </c>
      <c r="B309" s="5" t="s">
        <v>18671</v>
      </c>
      <c r="C309" s="6">
        <v>2096732.2691</v>
      </c>
      <c r="D309" s="6">
        <v>95.9847</v>
      </c>
      <c r="E309" s="6">
        <v>35.6322</v>
      </c>
      <c r="F309" s="6">
        <v>0</v>
      </c>
      <c r="G309" s="6">
        <v>106.6497</v>
      </c>
      <c r="H309" s="6">
        <v>0</v>
      </c>
      <c r="I309" s="6">
        <v>72.3522</v>
      </c>
      <c r="J309" s="6">
        <v>310.6188</v>
      </c>
      <c r="K309" s="6">
        <v>203.9691</v>
      </c>
    </row>
    <row r="310" ht="15.75" customHeight="1" spans="1:11">
      <c r="A310" s="4" t="s">
        <v>18672</v>
      </c>
      <c r="B310" s="5" t="s">
        <v>18673</v>
      </c>
      <c r="C310" s="6">
        <v>430749.2691</v>
      </c>
      <c r="D310" s="6">
        <v>19.7189</v>
      </c>
      <c r="E310" s="6">
        <v>7.3202</v>
      </c>
      <c r="F310" s="6">
        <v>0</v>
      </c>
      <c r="G310" s="6">
        <v>21.9099</v>
      </c>
      <c r="H310" s="6">
        <v>0</v>
      </c>
      <c r="I310" s="6">
        <v>72.3522</v>
      </c>
      <c r="J310" s="6">
        <v>121.3012</v>
      </c>
      <c r="K310" s="6">
        <v>99.3913</v>
      </c>
    </row>
    <row r="311" ht="15.75" customHeight="1" spans="1:11">
      <c r="A311" s="4" t="s">
        <v>14285</v>
      </c>
      <c r="B311" s="5" t="s">
        <v>14286</v>
      </c>
      <c r="C311" s="6">
        <v>7835.5126</v>
      </c>
      <c r="D311" s="6">
        <v>1.0447</v>
      </c>
      <c r="E311" s="6">
        <v>0.1612</v>
      </c>
      <c r="F311" s="6">
        <v>0</v>
      </c>
      <c r="G311" s="6">
        <v>1.0447</v>
      </c>
      <c r="H311" s="6">
        <v>0</v>
      </c>
      <c r="I311" s="6">
        <v>0</v>
      </c>
      <c r="J311" s="6">
        <v>2.2506</v>
      </c>
      <c r="K311" s="6">
        <v>1.2059</v>
      </c>
    </row>
    <row r="312" ht="15.75" customHeight="1" spans="1:11">
      <c r="A312" s="4" t="s">
        <v>18674</v>
      </c>
      <c r="B312" s="5" t="s">
        <v>18675</v>
      </c>
      <c r="C312" s="6">
        <v>652939.2468</v>
      </c>
      <c r="D312" s="6">
        <v>7.4741</v>
      </c>
      <c r="E312" s="6">
        <v>3.7533</v>
      </c>
      <c r="F312" s="6">
        <v>0</v>
      </c>
      <c r="G312" s="6">
        <v>8.3046</v>
      </c>
      <c r="H312" s="6">
        <v>189.72</v>
      </c>
      <c r="I312" s="6">
        <v>41.7512</v>
      </c>
      <c r="J312" s="6">
        <v>251.0032</v>
      </c>
      <c r="K312" s="6">
        <v>52.9786</v>
      </c>
    </row>
    <row r="313" ht="15.75" customHeight="1" spans="1:11">
      <c r="A313" s="4" t="s">
        <v>16023</v>
      </c>
      <c r="B313" s="5" t="s">
        <v>18676</v>
      </c>
      <c r="C313" s="6">
        <v>15266.7742</v>
      </c>
      <c r="D313" s="6">
        <v>2.0356</v>
      </c>
      <c r="E313" s="6">
        <v>0.314</v>
      </c>
      <c r="F313" s="6">
        <v>0</v>
      </c>
      <c r="G313" s="6">
        <v>2.0356</v>
      </c>
      <c r="H313" s="6">
        <v>0</v>
      </c>
      <c r="I313" s="6">
        <v>26.5829</v>
      </c>
      <c r="J313" s="6">
        <v>30.9681</v>
      </c>
      <c r="K313" s="6">
        <v>28.9325</v>
      </c>
    </row>
    <row r="314" ht="15.75" customHeight="1" spans="1:11">
      <c r="A314" s="4" t="s">
        <v>16024</v>
      </c>
      <c r="B314" s="5" t="s">
        <v>18677</v>
      </c>
      <c r="C314" s="6">
        <v>8600757.1072</v>
      </c>
      <c r="D314" s="6">
        <v>1003.4217</v>
      </c>
      <c r="E314" s="6">
        <v>176.8889</v>
      </c>
      <c r="F314" s="6">
        <v>0</v>
      </c>
      <c r="G314" s="6">
        <v>1433.4595</v>
      </c>
      <c r="H314" s="6">
        <v>453.726</v>
      </c>
      <c r="I314" s="6">
        <v>45.2393</v>
      </c>
      <c r="J314" s="6">
        <v>3112.7354</v>
      </c>
      <c r="K314" s="6">
        <v>1225.5499</v>
      </c>
    </row>
    <row r="315" ht="15.75" customHeight="1" spans="1:11">
      <c r="A315" s="4" t="s">
        <v>16027</v>
      </c>
      <c r="B315" s="5" t="s">
        <v>18678</v>
      </c>
      <c r="C315" s="6">
        <v>862252.9024</v>
      </c>
      <c r="D315" s="6">
        <v>86.2253</v>
      </c>
      <c r="E315" s="6">
        <v>16.6253</v>
      </c>
      <c r="F315" s="6">
        <v>0</v>
      </c>
      <c r="G315" s="6">
        <v>86.2253</v>
      </c>
      <c r="H315" s="6">
        <v>122.6556</v>
      </c>
      <c r="I315" s="6">
        <v>33.7544</v>
      </c>
      <c r="J315" s="6">
        <v>345.4859</v>
      </c>
      <c r="K315" s="6">
        <v>136.605</v>
      </c>
    </row>
    <row r="316" ht="15.75" customHeight="1" spans="1:11">
      <c r="A316" s="4" t="s">
        <v>16028</v>
      </c>
      <c r="B316" s="5" t="s">
        <v>18679</v>
      </c>
      <c r="C316" s="6">
        <v>295644.9948</v>
      </c>
      <c r="D316" s="6">
        <v>29.5645</v>
      </c>
      <c r="E316" s="6">
        <v>5.7004</v>
      </c>
      <c r="F316" s="6">
        <v>0</v>
      </c>
      <c r="G316" s="6">
        <v>29.5645</v>
      </c>
      <c r="H316" s="6">
        <v>26.9244</v>
      </c>
      <c r="I316" s="6">
        <v>33.7544</v>
      </c>
      <c r="J316" s="6">
        <v>125.5082</v>
      </c>
      <c r="K316" s="6">
        <v>69.0193</v>
      </c>
    </row>
    <row r="317" ht="15.75" customHeight="1" spans="1:11">
      <c r="A317" s="4" t="s">
        <v>18680</v>
      </c>
      <c r="B317" s="5" t="s">
        <v>18681</v>
      </c>
      <c r="C317" s="6">
        <v>5342.7755</v>
      </c>
      <c r="D317" s="6">
        <v>0.7124</v>
      </c>
      <c r="E317" s="6">
        <v>0.1099</v>
      </c>
      <c r="F317" s="6">
        <v>0</v>
      </c>
      <c r="G317" s="6">
        <v>0.7124</v>
      </c>
      <c r="H317" s="6">
        <v>0</v>
      </c>
      <c r="I317" s="6">
        <v>0</v>
      </c>
      <c r="J317" s="6">
        <v>1.5347</v>
      </c>
      <c r="K317" s="6">
        <v>0.8223</v>
      </c>
    </row>
    <row r="318" ht="15.75" customHeight="1" spans="1:11">
      <c r="A318" s="4" t="s">
        <v>16029</v>
      </c>
      <c r="B318" s="5" t="s">
        <v>18682</v>
      </c>
      <c r="C318" s="6">
        <v>279154.8734</v>
      </c>
      <c r="D318" s="6">
        <v>16.7493</v>
      </c>
      <c r="E318" s="6">
        <v>5.1672</v>
      </c>
      <c r="F318" s="6">
        <v>2.0937</v>
      </c>
      <c r="G318" s="6">
        <v>16.7493</v>
      </c>
      <c r="H318" s="6">
        <v>42.1733</v>
      </c>
      <c r="I318" s="6">
        <v>32.3437</v>
      </c>
      <c r="J318" s="6">
        <v>115.2765</v>
      </c>
      <c r="K318" s="6">
        <v>56.3539</v>
      </c>
    </row>
    <row r="319" ht="15.75" customHeight="1" spans="1:11">
      <c r="A319" s="4" t="s">
        <v>16030</v>
      </c>
      <c r="B319" s="5" t="s">
        <v>18683</v>
      </c>
      <c r="C319" s="6">
        <v>734278.0606</v>
      </c>
      <c r="D319" s="6">
        <v>58.7422</v>
      </c>
      <c r="E319" s="6">
        <v>13.5915</v>
      </c>
      <c r="F319" s="6">
        <v>0</v>
      </c>
      <c r="G319" s="6">
        <v>58.7422</v>
      </c>
      <c r="H319" s="6">
        <v>72.6848</v>
      </c>
      <c r="I319" s="6">
        <v>33.7544</v>
      </c>
      <c r="J319" s="6">
        <v>237.5151</v>
      </c>
      <c r="K319" s="6">
        <v>106.0881</v>
      </c>
    </row>
    <row r="320" ht="15.75" customHeight="1" spans="1:11">
      <c r="A320" s="4" t="s">
        <v>16031</v>
      </c>
      <c r="B320" s="5" t="s">
        <v>18684</v>
      </c>
      <c r="C320" s="6">
        <v>8216804.7839</v>
      </c>
      <c r="D320" s="6">
        <v>718.9704</v>
      </c>
      <c r="E320" s="6">
        <v>158.4303</v>
      </c>
      <c r="F320" s="6">
        <v>0</v>
      </c>
      <c r="G320" s="6">
        <v>924.3905</v>
      </c>
      <c r="H320" s="6">
        <v>0</v>
      </c>
      <c r="I320" s="6">
        <v>45.2393</v>
      </c>
      <c r="J320" s="6">
        <v>1847.0305</v>
      </c>
      <c r="K320" s="6">
        <v>922.64</v>
      </c>
    </row>
    <row r="321" ht="15.75" customHeight="1" spans="1:11">
      <c r="A321" s="4" t="s">
        <v>16033</v>
      </c>
      <c r="B321" s="5" t="s">
        <v>18685</v>
      </c>
      <c r="C321" s="6">
        <v>398179.2109</v>
      </c>
      <c r="D321" s="6">
        <v>35.3937</v>
      </c>
      <c r="E321" s="6">
        <v>7.5068</v>
      </c>
      <c r="F321" s="6">
        <v>0</v>
      </c>
      <c r="G321" s="6">
        <v>22.1211</v>
      </c>
      <c r="H321" s="6">
        <v>0</v>
      </c>
      <c r="I321" s="6">
        <v>26.5829</v>
      </c>
      <c r="J321" s="6">
        <v>91.6045</v>
      </c>
      <c r="K321" s="6">
        <v>69.4834</v>
      </c>
    </row>
    <row r="322" ht="15.75" customHeight="1" spans="1:11">
      <c r="A322" s="4" t="s">
        <v>16034</v>
      </c>
      <c r="B322" s="5" t="s">
        <v>18686</v>
      </c>
      <c r="C322" s="6">
        <v>121588.155</v>
      </c>
      <c r="D322" s="6">
        <v>18.2382</v>
      </c>
      <c r="E322" s="6">
        <v>2.5007</v>
      </c>
      <c r="F322" s="6">
        <v>0</v>
      </c>
      <c r="G322" s="6">
        <v>6.0794</v>
      </c>
      <c r="H322" s="6">
        <v>0</v>
      </c>
      <c r="I322" s="6">
        <v>26.5829</v>
      </c>
      <c r="J322" s="6">
        <v>53.4012</v>
      </c>
      <c r="K322" s="6">
        <v>47.3218</v>
      </c>
    </row>
    <row r="323" ht="15.75" customHeight="1" spans="1:11">
      <c r="A323" s="4" t="s">
        <v>16036</v>
      </c>
      <c r="B323" s="5" t="s">
        <v>18687</v>
      </c>
      <c r="C323" s="6">
        <v>35726.2603</v>
      </c>
      <c r="D323" s="6">
        <v>5.7162</v>
      </c>
      <c r="E323" s="6">
        <v>0.7715</v>
      </c>
      <c r="F323" s="6">
        <v>0</v>
      </c>
      <c r="G323" s="6">
        <v>5.0017</v>
      </c>
      <c r="H323" s="6">
        <v>0</v>
      </c>
      <c r="I323" s="6">
        <v>26.5829</v>
      </c>
      <c r="J323" s="6">
        <v>38.0723</v>
      </c>
      <c r="K323" s="6">
        <v>33.0706</v>
      </c>
    </row>
    <row r="324" ht="15.75" customHeight="1" spans="1:11">
      <c r="A324" s="4" t="s">
        <v>16037</v>
      </c>
      <c r="B324" s="5" t="s">
        <v>18688</v>
      </c>
      <c r="C324" s="6">
        <v>423708.9212</v>
      </c>
      <c r="D324" s="6">
        <v>37.0745</v>
      </c>
      <c r="E324" s="6">
        <v>8.1696</v>
      </c>
      <c r="F324" s="6">
        <v>0</v>
      </c>
      <c r="G324" s="6">
        <v>37.0745</v>
      </c>
      <c r="H324" s="6">
        <v>63.0175</v>
      </c>
      <c r="I324" s="6">
        <v>33.7544</v>
      </c>
      <c r="J324" s="6">
        <v>179.0905</v>
      </c>
      <c r="K324" s="6">
        <v>78.9985</v>
      </c>
    </row>
    <row r="325" ht="15.75" customHeight="1" spans="1:11">
      <c r="A325" s="4" t="s">
        <v>18689</v>
      </c>
      <c r="B325" s="5" t="s">
        <v>18690</v>
      </c>
      <c r="C325" s="6">
        <v>419224.3935</v>
      </c>
      <c r="D325" s="6">
        <v>47.1627</v>
      </c>
      <c r="E325" s="6">
        <v>8.0832</v>
      </c>
      <c r="F325" s="6">
        <v>0</v>
      </c>
      <c r="G325" s="6">
        <v>52.403</v>
      </c>
      <c r="H325" s="6">
        <v>80.5571</v>
      </c>
      <c r="I325" s="6">
        <v>26.5829</v>
      </c>
      <c r="J325" s="6">
        <v>214.7889</v>
      </c>
      <c r="K325" s="6">
        <v>81.8288</v>
      </c>
    </row>
    <row r="326" ht="15.75" customHeight="1" spans="1:11">
      <c r="A326" s="4" t="s">
        <v>16038</v>
      </c>
      <c r="B326" s="5" t="s">
        <v>18691</v>
      </c>
      <c r="C326" s="6">
        <v>4096729.6829</v>
      </c>
      <c r="D326" s="6">
        <v>477.9518</v>
      </c>
      <c r="E326" s="6">
        <v>84.2561</v>
      </c>
      <c r="F326" s="6">
        <v>0</v>
      </c>
      <c r="G326" s="6">
        <v>682.7883</v>
      </c>
      <c r="H326" s="6">
        <v>154.566</v>
      </c>
      <c r="I326" s="6">
        <v>45.2393</v>
      </c>
      <c r="J326" s="6">
        <v>1444.8015</v>
      </c>
      <c r="K326" s="6">
        <v>607.4472</v>
      </c>
    </row>
    <row r="327" ht="15.75" customHeight="1" spans="1:11">
      <c r="A327" s="4" t="s">
        <v>16039</v>
      </c>
      <c r="B327" s="5" t="s">
        <v>18692</v>
      </c>
      <c r="C327" s="6">
        <v>28770.5529</v>
      </c>
      <c r="D327" s="6">
        <v>2.5893</v>
      </c>
      <c r="E327" s="6">
        <v>0.5325</v>
      </c>
      <c r="F327" s="6">
        <v>0</v>
      </c>
      <c r="G327" s="6">
        <v>2.5893</v>
      </c>
      <c r="H327" s="6">
        <v>0</v>
      </c>
      <c r="I327" s="6">
        <v>26.5829</v>
      </c>
      <c r="J327" s="6">
        <v>32.294</v>
      </c>
      <c r="K327" s="6">
        <v>29.7047</v>
      </c>
    </row>
    <row r="328" ht="15.75" customHeight="1" spans="1:11">
      <c r="A328" s="4" t="s">
        <v>16040</v>
      </c>
      <c r="B328" s="5" t="s">
        <v>18693</v>
      </c>
      <c r="C328" s="6">
        <v>14581.9128</v>
      </c>
      <c r="D328" s="6">
        <v>1.9443</v>
      </c>
      <c r="E328" s="6">
        <v>0.2999</v>
      </c>
      <c r="F328" s="6">
        <v>0</v>
      </c>
      <c r="G328" s="6">
        <v>1.4582</v>
      </c>
      <c r="H328" s="6">
        <v>0</v>
      </c>
      <c r="I328" s="6">
        <v>0</v>
      </c>
      <c r="J328" s="6">
        <v>3.7024</v>
      </c>
      <c r="K328" s="6">
        <v>2.2442</v>
      </c>
    </row>
    <row r="329" ht="15.75" customHeight="1" spans="1:11">
      <c r="A329" s="4" t="s">
        <v>16041</v>
      </c>
      <c r="B329" s="5" t="s">
        <v>18694</v>
      </c>
      <c r="C329" s="6">
        <v>230837.3357</v>
      </c>
      <c r="D329" s="6">
        <v>9.893</v>
      </c>
      <c r="E329" s="6">
        <v>3.8998</v>
      </c>
      <c r="F329" s="6">
        <v>0</v>
      </c>
      <c r="G329" s="6">
        <v>16.4884</v>
      </c>
      <c r="H329" s="6">
        <v>0</v>
      </c>
      <c r="I329" s="6">
        <v>30.0416</v>
      </c>
      <c r="J329" s="6">
        <v>60.3228</v>
      </c>
      <c r="K329" s="6">
        <v>43.8344</v>
      </c>
    </row>
    <row r="330" ht="15.75" customHeight="1" spans="1:11">
      <c r="A330" s="4" t="s">
        <v>16042</v>
      </c>
      <c r="B330" s="5" t="s">
        <v>18695</v>
      </c>
      <c r="C330" s="6">
        <v>18469.6453</v>
      </c>
      <c r="D330" s="6">
        <v>2.9551</v>
      </c>
      <c r="E330" s="6">
        <v>0.3989</v>
      </c>
      <c r="F330" s="6">
        <v>0</v>
      </c>
      <c r="G330" s="6">
        <v>2.5858</v>
      </c>
      <c r="H330" s="6">
        <v>0</v>
      </c>
      <c r="I330" s="6">
        <v>26.5829</v>
      </c>
      <c r="J330" s="6">
        <v>32.5227</v>
      </c>
      <c r="K330" s="6">
        <v>29.9369</v>
      </c>
    </row>
    <row r="331" ht="15.75" customHeight="1" spans="1:11">
      <c r="A331" s="4" t="s">
        <v>16043</v>
      </c>
      <c r="B331" s="5" t="s">
        <v>18696</v>
      </c>
      <c r="C331" s="6">
        <v>16991.7132</v>
      </c>
      <c r="D331" s="6">
        <v>2.2656</v>
      </c>
      <c r="E331" s="6">
        <v>0.3495</v>
      </c>
      <c r="F331" s="6">
        <v>0</v>
      </c>
      <c r="G331" s="6">
        <v>2.2656</v>
      </c>
      <c r="H331" s="6">
        <v>0</v>
      </c>
      <c r="I331" s="6">
        <v>26.5829</v>
      </c>
      <c r="J331" s="6">
        <v>31.4636</v>
      </c>
      <c r="K331" s="6">
        <v>29.198</v>
      </c>
    </row>
    <row r="332" ht="15.75" customHeight="1" spans="1:11">
      <c r="A332" s="4" t="s">
        <v>16044</v>
      </c>
      <c r="B332" s="5" t="s">
        <v>18697</v>
      </c>
      <c r="C332" s="6">
        <v>14330.5955</v>
      </c>
      <c r="D332" s="6">
        <v>1.1464</v>
      </c>
      <c r="E332" s="6">
        <v>0.2653</v>
      </c>
      <c r="F332" s="6">
        <v>0</v>
      </c>
      <c r="G332" s="6">
        <v>1.1464</v>
      </c>
      <c r="H332" s="6">
        <v>0</v>
      </c>
      <c r="I332" s="6">
        <v>26.5829</v>
      </c>
      <c r="J332" s="6">
        <v>29.141</v>
      </c>
      <c r="K332" s="6">
        <v>27.9946</v>
      </c>
    </row>
    <row r="333" ht="15.75" customHeight="1" spans="1:11">
      <c r="A333" s="4" t="s">
        <v>16045</v>
      </c>
      <c r="B333" s="5" t="s">
        <v>18698</v>
      </c>
      <c r="C333" s="6">
        <v>54381.5157</v>
      </c>
      <c r="D333" s="6">
        <v>5.4382</v>
      </c>
      <c r="E333" s="6">
        <v>1.0485</v>
      </c>
      <c r="F333" s="6">
        <v>0</v>
      </c>
      <c r="G333" s="6">
        <v>4.7584</v>
      </c>
      <c r="H333" s="6">
        <v>8.31</v>
      </c>
      <c r="I333" s="6">
        <v>26.5829</v>
      </c>
      <c r="J333" s="6">
        <v>46.138</v>
      </c>
      <c r="K333" s="6">
        <v>33.0696</v>
      </c>
    </row>
    <row r="334" ht="15.75" customHeight="1" spans="1:11">
      <c r="A334" s="4" t="s">
        <v>16046</v>
      </c>
      <c r="B334" s="5" t="s">
        <v>18699</v>
      </c>
      <c r="C334" s="6">
        <v>38173889.0564</v>
      </c>
      <c r="D334" s="6">
        <v>1526.9556</v>
      </c>
      <c r="E334" s="6">
        <v>647.7155</v>
      </c>
      <c r="F334" s="6">
        <v>0</v>
      </c>
      <c r="G334" s="6">
        <v>1526.9556</v>
      </c>
      <c r="H334" s="6">
        <v>168.1944</v>
      </c>
      <c r="I334" s="6">
        <v>90.4786</v>
      </c>
      <c r="J334" s="6">
        <v>3960.2997</v>
      </c>
      <c r="K334" s="6">
        <v>2265.1497</v>
      </c>
    </row>
    <row r="335" ht="15.75" customHeight="1" spans="1:11">
      <c r="A335" s="4" t="s">
        <v>16047</v>
      </c>
      <c r="B335" s="5" t="s">
        <v>18700</v>
      </c>
      <c r="C335" s="6">
        <v>16732985.6216</v>
      </c>
      <c r="D335" s="6">
        <v>669.3194</v>
      </c>
      <c r="E335" s="6">
        <v>283.9169</v>
      </c>
      <c r="F335" s="6">
        <v>0</v>
      </c>
      <c r="G335" s="6">
        <v>669.3194</v>
      </c>
      <c r="H335" s="6">
        <v>199.44</v>
      </c>
      <c r="I335" s="6">
        <v>90.4786</v>
      </c>
      <c r="J335" s="6">
        <v>1912.4743</v>
      </c>
      <c r="K335" s="6">
        <v>1043.7149</v>
      </c>
    </row>
    <row r="336" ht="15.75" customHeight="1" spans="1:11">
      <c r="A336" s="4" t="s">
        <v>16048</v>
      </c>
      <c r="B336" s="5" t="s">
        <v>18701</v>
      </c>
      <c r="C336" s="6">
        <v>3373995.4584</v>
      </c>
      <c r="D336" s="6">
        <v>449.8661</v>
      </c>
      <c r="E336" s="6">
        <v>69.3918</v>
      </c>
      <c r="F336" s="6">
        <v>0</v>
      </c>
      <c r="G336" s="6">
        <v>337.3995</v>
      </c>
      <c r="H336" s="6">
        <v>324.09</v>
      </c>
      <c r="I336" s="6">
        <v>33.7544</v>
      </c>
      <c r="J336" s="6">
        <v>1214.5018</v>
      </c>
      <c r="K336" s="6">
        <v>553.0123</v>
      </c>
    </row>
    <row r="337" ht="15.75" customHeight="1" spans="1:11">
      <c r="A337" s="4" t="s">
        <v>16049</v>
      </c>
      <c r="B337" s="5" t="s">
        <v>18702</v>
      </c>
      <c r="C337" s="6">
        <v>16237.3253</v>
      </c>
      <c r="D337" s="6">
        <v>0.9278</v>
      </c>
      <c r="E337" s="6">
        <v>0.2862</v>
      </c>
      <c r="F337" s="6">
        <v>0</v>
      </c>
      <c r="G337" s="6">
        <v>0.9278</v>
      </c>
      <c r="H337" s="6">
        <v>0</v>
      </c>
      <c r="I337" s="6">
        <v>45.2393</v>
      </c>
      <c r="J337" s="6">
        <v>47.3811</v>
      </c>
      <c r="K337" s="6">
        <v>46.4533</v>
      </c>
    </row>
    <row r="338" ht="15.75" customHeight="1" spans="1:11">
      <c r="A338" s="4" t="s">
        <v>1082</v>
      </c>
      <c r="B338" s="5" t="s">
        <v>1083</v>
      </c>
      <c r="C338" s="6">
        <v>1231.7537</v>
      </c>
      <c r="D338" s="6">
        <v>0.1109</v>
      </c>
      <c r="E338" s="6">
        <v>0.0228</v>
      </c>
      <c r="F338" s="6">
        <v>0</v>
      </c>
      <c r="G338" s="6">
        <v>0.0616</v>
      </c>
      <c r="H338" s="6">
        <v>0</v>
      </c>
      <c r="I338" s="6">
        <v>0</v>
      </c>
      <c r="J338" s="6">
        <v>0.1953</v>
      </c>
      <c r="K338" s="6">
        <v>0.1337</v>
      </c>
    </row>
    <row r="339" ht="15.75" customHeight="1" spans="1:11">
      <c r="A339" s="4" t="s">
        <v>16050</v>
      </c>
      <c r="B339" s="5" t="s">
        <v>18703</v>
      </c>
      <c r="C339" s="6">
        <v>16585101.2366</v>
      </c>
      <c r="D339" s="6">
        <v>663.404</v>
      </c>
      <c r="E339" s="6">
        <v>281.4077</v>
      </c>
      <c r="F339" s="6">
        <v>0</v>
      </c>
      <c r="G339" s="6">
        <v>497.553</v>
      </c>
      <c r="H339" s="6">
        <v>59.1672</v>
      </c>
      <c r="I339" s="6">
        <v>90.4786</v>
      </c>
      <c r="J339" s="6">
        <v>1592.0105</v>
      </c>
      <c r="K339" s="6">
        <v>1035.2903</v>
      </c>
    </row>
    <row r="340" ht="15.75" customHeight="1" spans="1:11">
      <c r="A340" s="4" t="s">
        <v>16051</v>
      </c>
      <c r="B340" s="5" t="s">
        <v>18704</v>
      </c>
      <c r="C340" s="6">
        <v>8460.9977</v>
      </c>
      <c r="D340" s="6">
        <v>0.7521</v>
      </c>
      <c r="E340" s="6">
        <v>0.1595</v>
      </c>
      <c r="F340" s="6">
        <v>0</v>
      </c>
      <c r="G340" s="6">
        <v>0.4701</v>
      </c>
      <c r="H340" s="6">
        <v>0</v>
      </c>
      <c r="I340" s="6">
        <v>0</v>
      </c>
      <c r="J340" s="6">
        <v>1.3817</v>
      </c>
      <c r="K340" s="6">
        <v>0.9116</v>
      </c>
    </row>
    <row r="341" ht="15.75" customHeight="1" spans="1:11">
      <c r="A341" s="4" t="s">
        <v>16052</v>
      </c>
      <c r="B341" s="5" t="s">
        <v>18705</v>
      </c>
      <c r="C341" s="6">
        <v>12832.7313</v>
      </c>
      <c r="D341" s="6">
        <v>0.7333</v>
      </c>
      <c r="E341" s="6">
        <v>0.2262</v>
      </c>
      <c r="F341" s="6">
        <v>0</v>
      </c>
      <c r="G341" s="6">
        <v>0.7333</v>
      </c>
      <c r="H341" s="6">
        <v>0</v>
      </c>
      <c r="I341" s="6">
        <v>45.2393</v>
      </c>
      <c r="J341" s="6">
        <v>46.9321</v>
      </c>
      <c r="K341" s="6">
        <v>46.1988</v>
      </c>
    </row>
    <row r="342" ht="15.75" customHeight="1" spans="1:11">
      <c r="A342" s="4" t="s">
        <v>16053</v>
      </c>
      <c r="B342" s="5" t="s">
        <v>18706</v>
      </c>
      <c r="C342" s="6">
        <v>26712.965</v>
      </c>
      <c r="D342" s="6">
        <v>1.5265</v>
      </c>
      <c r="E342" s="6">
        <v>0.4709</v>
      </c>
      <c r="F342" s="6">
        <v>0</v>
      </c>
      <c r="G342" s="6">
        <v>1.5265</v>
      </c>
      <c r="H342" s="6">
        <v>0</v>
      </c>
      <c r="I342" s="6">
        <v>45.2393</v>
      </c>
      <c r="J342" s="6">
        <v>48.7632</v>
      </c>
      <c r="K342" s="6">
        <v>47.2367</v>
      </c>
    </row>
    <row r="343" ht="15.75" customHeight="1" spans="1:11">
      <c r="A343" s="4" t="s">
        <v>16054</v>
      </c>
      <c r="B343" s="5" t="s">
        <v>18707</v>
      </c>
      <c r="C343" s="6">
        <v>42601.1624</v>
      </c>
      <c r="D343" s="6">
        <v>2.4344</v>
      </c>
      <c r="E343" s="6">
        <v>0.751</v>
      </c>
      <c r="F343" s="6">
        <v>0</v>
      </c>
      <c r="G343" s="6">
        <v>2.4344</v>
      </c>
      <c r="H343" s="6">
        <v>0</v>
      </c>
      <c r="I343" s="6">
        <v>45.2393</v>
      </c>
      <c r="J343" s="6">
        <v>50.8591</v>
      </c>
      <c r="K343" s="6">
        <v>48.4247</v>
      </c>
    </row>
    <row r="344" ht="15.75" customHeight="1" spans="1:11">
      <c r="A344" s="4" t="s">
        <v>16055</v>
      </c>
      <c r="B344" s="5" t="s">
        <v>18708</v>
      </c>
      <c r="C344" s="6">
        <v>50283.3409</v>
      </c>
      <c r="D344" s="6">
        <v>2.8733</v>
      </c>
      <c r="E344" s="6">
        <v>0.8864</v>
      </c>
      <c r="F344" s="6">
        <v>0</v>
      </c>
      <c r="G344" s="6">
        <v>2.8733</v>
      </c>
      <c r="H344" s="6">
        <v>0</v>
      </c>
      <c r="I344" s="6">
        <v>45.2393</v>
      </c>
      <c r="J344" s="6">
        <v>51.8723</v>
      </c>
      <c r="K344" s="6">
        <v>48.999</v>
      </c>
    </row>
    <row r="345" ht="15.75" customHeight="1" spans="1:11">
      <c r="A345" s="4" t="s">
        <v>16056</v>
      </c>
      <c r="B345" s="5" t="s">
        <v>18709</v>
      </c>
      <c r="C345" s="6">
        <v>53775.2278</v>
      </c>
      <c r="D345" s="6">
        <v>3.0729</v>
      </c>
      <c r="E345" s="6">
        <v>0.948</v>
      </c>
      <c r="F345" s="6">
        <v>0</v>
      </c>
      <c r="G345" s="6">
        <v>3.0729</v>
      </c>
      <c r="H345" s="6">
        <v>0</v>
      </c>
      <c r="I345" s="6">
        <v>45.2393</v>
      </c>
      <c r="J345" s="6">
        <v>52.3331</v>
      </c>
      <c r="K345" s="6">
        <v>49.2602</v>
      </c>
    </row>
    <row r="346" ht="15.75" customHeight="1" spans="1:11">
      <c r="A346" s="4" t="s">
        <v>16057</v>
      </c>
      <c r="B346" s="5" t="s">
        <v>18710</v>
      </c>
      <c r="C346" s="6">
        <v>57441.732</v>
      </c>
      <c r="D346" s="6">
        <v>3.2824</v>
      </c>
      <c r="E346" s="6">
        <v>1.0126</v>
      </c>
      <c r="F346" s="6">
        <v>0</v>
      </c>
      <c r="G346" s="6">
        <v>3.2824</v>
      </c>
      <c r="H346" s="6">
        <v>0</v>
      </c>
      <c r="I346" s="6">
        <v>45.2393</v>
      </c>
      <c r="J346" s="6">
        <v>52.8167</v>
      </c>
      <c r="K346" s="6">
        <v>49.5343</v>
      </c>
    </row>
    <row r="347" ht="15.75" customHeight="1" spans="1:11">
      <c r="A347" s="4" t="s">
        <v>16058</v>
      </c>
      <c r="B347" s="5" t="s">
        <v>18711</v>
      </c>
      <c r="C347" s="6">
        <v>125474.1249</v>
      </c>
      <c r="D347" s="6">
        <v>16.7299</v>
      </c>
      <c r="E347" s="6">
        <v>2.5806</v>
      </c>
      <c r="F347" s="6">
        <v>0</v>
      </c>
      <c r="G347" s="6">
        <v>12.5474</v>
      </c>
      <c r="H347" s="6">
        <v>10.803</v>
      </c>
      <c r="I347" s="6">
        <v>33.7544</v>
      </c>
      <c r="J347" s="6">
        <v>76.4153</v>
      </c>
      <c r="K347" s="6">
        <v>53.0649</v>
      </c>
    </row>
    <row r="348" ht="15.75" customHeight="1" spans="1:11">
      <c r="A348" s="4" t="s">
        <v>16059</v>
      </c>
      <c r="B348" s="5" t="s">
        <v>18712</v>
      </c>
      <c r="C348" s="6">
        <v>847203.0778</v>
      </c>
      <c r="D348" s="6">
        <v>48.4116</v>
      </c>
      <c r="E348" s="6">
        <v>14.935</v>
      </c>
      <c r="F348" s="6">
        <v>0</v>
      </c>
      <c r="G348" s="6">
        <v>42.3602</v>
      </c>
      <c r="H348" s="6">
        <v>4.9195</v>
      </c>
      <c r="I348" s="6">
        <v>0</v>
      </c>
      <c r="J348" s="6">
        <v>110.6263</v>
      </c>
      <c r="K348" s="6">
        <v>63.3466</v>
      </c>
    </row>
    <row r="349" ht="15.75" customHeight="1" spans="1:11">
      <c r="A349" s="4" t="s">
        <v>18713</v>
      </c>
      <c r="B349" s="5" t="s">
        <v>18714</v>
      </c>
      <c r="C349" s="6">
        <v>48171.1993</v>
      </c>
      <c r="D349" s="6">
        <v>3.8537</v>
      </c>
      <c r="E349" s="6">
        <v>0.8916</v>
      </c>
      <c r="F349" s="6">
        <v>0</v>
      </c>
      <c r="G349" s="6">
        <v>3.8537</v>
      </c>
      <c r="H349" s="6">
        <v>4.5744</v>
      </c>
      <c r="I349" s="6">
        <v>0</v>
      </c>
      <c r="J349" s="6">
        <v>13.1734</v>
      </c>
      <c r="K349" s="6">
        <v>4.7453</v>
      </c>
    </row>
    <row r="350" ht="15.75" customHeight="1" spans="1:11">
      <c r="A350" s="4" t="s">
        <v>16060</v>
      </c>
      <c r="B350" s="5" t="s">
        <v>18715</v>
      </c>
      <c r="C350" s="6">
        <v>124274.907</v>
      </c>
      <c r="D350" s="6">
        <v>9.4686</v>
      </c>
      <c r="E350" s="6">
        <v>2.2821</v>
      </c>
      <c r="F350" s="6">
        <v>0</v>
      </c>
      <c r="G350" s="6">
        <v>9.4686</v>
      </c>
      <c r="H350" s="6">
        <v>0</v>
      </c>
      <c r="I350" s="6">
        <v>0</v>
      </c>
      <c r="J350" s="6">
        <v>21.2193</v>
      </c>
      <c r="K350" s="6">
        <v>11.7507</v>
      </c>
    </row>
    <row r="351" ht="15.75" customHeight="1" spans="1:11">
      <c r="A351" s="4" t="s">
        <v>16061</v>
      </c>
      <c r="B351" s="5" t="s">
        <v>18716</v>
      </c>
      <c r="C351" s="6">
        <v>88750.2797</v>
      </c>
      <c r="D351" s="6">
        <v>12.425</v>
      </c>
      <c r="E351" s="6">
        <v>1.9166</v>
      </c>
      <c r="F351" s="6">
        <v>0</v>
      </c>
      <c r="G351" s="6">
        <v>8.875</v>
      </c>
      <c r="H351" s="6">
        <v>4.1317</v>
      </c>
      <c r="I351" s="6">
        <v>0</v>
      </c>
      <c r="J351" s="6">
        <v>27.3483</v>
      </c>
      <c r="K351" s="6">
        <v>14.3416</v>
      </c>
    </row>
    <row r="352" ht="15.75" customHeight="1" spans="1:11">
      <c r="A352" s="4" t="s">
        <v>18717</v>
      </c>
      <c r="B352" s="5" t="s">
        <v>18718</v>
      </c>
      <c r="C352" s="6">
        <v>91952.6467</v>
      </c>
      <c r="D352" s="6">
        <v>7.3562</v>
      </c>
      <c r="E352" s="6">
        <v>1.702</v>
      </c>
      <c r="F352" s="6">
        <v>0</v>
      </c>
      <c r="G352" s="6">
        <v>7.3562</v>
      </c>
      <c r="H352" s="6">
        <v>2.2134</v>
      </c>
      <c r="I352" s="6">
        <v>0</v>
      </c>
      <c r="J352" s="6">
        <v>18.6278</v>
      </c>
      <c r="K352" s="6">
        <v>9.0582</v>
      </c>
    </row>
    <row r="353" ht="15.75" customHeight="1" spans="1:11">
      <c r="A353" s="4" t="s">
        <v>16062</v>
      </c>
      <c r="B353" s="5" t="s">
        <v>18719</v>
      </c>
      <c r="C353" s="6">
        <v>75089.6756</v>
      </c>
      <c r="D353" s="6">
        <v>6.0072</v>
      </c>
      <c r="E353" s="6">
        <v>1.3899</v>
      </c>
      <c r="F353" s="6">
        <v>0</v>
      </c>
      <c r="G353" s="6">
        <v>6.0072</v>
      </c>
      <c r="H353" s="6">
        <v>9.8865</v>
      </c>
      <c r="I353" s="6">
        <v>0</v>
      </c>
      <c r="J353" s="6">
        <v>23.2908</v>
      </c>
      <c r="K353" s="6">
        <v>7.3971</v>
      </c>
    </row>
    <row r="354" ht="15.75" customHeight="1" spans="1:11">
      <c r="A354" s="4" t="s">
        <v>16063</v>
      </c>
      <c r="B354" s="5" t="s">
        <v>18720</v>
      </c>
      <c r="C354" s="6">
        <v>88090.7196</v>
      </c>
      <c r="D354" s="6">
        <v>7.0473</v>
      </c>
      <c r="E354" s="6">
        <v>1.6306</v>
      </c>
      <c r="F354" s="6">
        <v>0</v>
      </c>
      <c r="G354" s="6">
        <v>7.0473</v>
      </c>
      <c r="H354" s="6">
        <v>9.8865</v>
      </c>
      <c r="I354" s="6">
        <v>0</v>
      </c>
      <c r="J354" s="6">
        <v>25.6117</v>
      </c>
      <c r="K354" s="6">
        <v>8.6779</v>
      </c>
    </row>
    <row r="355" ht="15.75" customHeight="1" spans="1:11">
      <c r="A355" s="4" t="s">
        <v>16064</v>
      </c>
      <c r="B355" s="5" t="s">
        <v>18721</v>
      </c>
      <c r="C355" s="6">
        <v>116793.4665</v>
      </c>
      <c r="D355" s="6">
        <v>13.3478</v>
      </c>
      <c r="E355" s="6">
        <v>2.3163</v>
      </c>
      <c r="F355" s="6">
        <v>0</v>
      </c>
      <c r="G355" s="6">
        <v>11.6793</v>
      </c>
      <c r="H355" s="6">
        <v>0</v>
      </c>
      <c r="I355" s="6">
        <v>26.5829</v>
      </c>
      <c r="J355" s="6">
        <v>53.9263</v>
      </c>
      <c r="K355" s="6">
        <v>42.247</v>
      </c>
    </row>
    <row r="356" ht="15.75" customHeight="1" spans="1:11">
      <c r="A356" s="4" t="s">
        <v>16065</v>
      </c>
      <c r="B356" s="5" t="s">
        <v>18722</v>
      </c>
      <c r="C356" s="6">
        <v>36197.167</v>
      </c>
      <c r="D356" s="6">
        <v>2.8958</v>
      </c>
      <c r="E356" s="6">
        <v>0.67</v>
      </c>
      <c r="F356" s="6">
        <v>0</v>
      </c>
      <c r="G356" s="6">
        <v>2.8958</v>
      </c>
      <c r="H356" s="6">
        <v>7.378</v>
      </c>
      <c r="I356" s="6">
        <v>0</v>
      </c>
      <c r="J356" s="6">
        <v>13.8396</v>
      </c>
      <c r="K356" s="6">
        <v>3.5658</v>
      </c>
    </row>
    <row r="357" ht="15.75" customHeight="1" spans="1:11">
      <c r="A357" s="4" t="s">
        <v>16066</v>
      </c>
      <c r="B357" s="5" t="s">
        <v>18723</v>
      </c>
      <c r="C357" s="6">
        <v>44986.1366</v>
      </c>
      <c r="D357" s="6">
        <v>3.5989</v>
      </c>
      <c r="E357" s="6">
        <v>0.8327</v>
      </c>
      <c r="F357" s="6">
        <v>0</v>
      </c>
      <c r="G357" s="6">
        <v>3.5989</v>
      </c>
      <c r="H357" s="6">
        <v>1.7707</v>
      </c>
      <c r="I357" s="6">
        <v>0</v>
      </c>
      <c r="J357" s="6">
        <v>9.8012</v>
      </c>
      <c r="K357" s="6">
        <v>4.4316</v>
      </c>
    </row>
    <row r="358" ht="15.75" customHeight="1" spans="1:11">
      <c r="A358" s="4" t="s">
        <v>18724</v>
      </c>
      <c r="B358" s="5" t="s">
        <v>18725</v>
      </c>
      <c r="C358" s="6">
        <v>4193.7367</v>
      </c>
      <c r="D358" s="6">
        <v>0.5592</v>
      </c>
      <c r="E358" s="6">
        <v>0.0863</v>
      </c>
      <c r="F358" s="6">
        <v>0</v>
      </c>
      <c r="G358" s="6">
        <v>0.5592</v>
      </c>
      <c r="H358" s="6">
        <v>0</v>
      </c>
      <c r="I358" s="6">
        <v>0</v>
      </c>
      <c r="J358" s="6">
        <v>1.2047</v>
      </c>
      <c r="K358" s="6">
        <v>0.6455</v>
      </c>
    </row>
    <row r="359" ht="15.75" customHeight="1" spans="1:11">
      <c r="A359" s="4" t="s">
        <v>16067</v>
      </c>
      <c r="B359" s="5" t="s">
        <v>18726</v>
      </c>
      <c r="C359" s="6">
        <v>79097.0065</v>
      </c>
      <c r="D359" s="6">
        <v>6.3278</v>
      </c>
      <c r="E359" s="6">
        <v>1.4641</v>
      </c>
      <c r="F359" s="6">
        <v>0</v>
      </c>
      <c r="G359" s="6">
        <v>6.3278</v>
      </c>
      <c r="H359" s="6">
        <v>7.6731</v>
      </c>
      <c r="I359" s="6">
        <v>0</v>
      </c>
      <c r="J359" s="6">
        <v>21.7928</v>
      </c>
      <c r="K359" s="6">
        <v>7.7919</v>
      </c>
    </row>
    <row r="360" ht="15.75" customHeight="1" spans="1:11">
      <c r="A360" s="4" t="s">
        <v>18727</v>
      </c>
      <c r="B360" s="5" t="s">
        <v>18728</v>
      </c>
      <c r="C360" s="6">
        <v>709108.5783</v>
      </c>
      <c r="D360" s="6">
        <v>70.9109</v>
      </c>
      <c r="E360" s="6">
        <v>13.6725</v>
      </c>
      <c r="F360" s="6">
        <v>0</v>
      </c>
      <c r="G360" s="6">
        <v>62.047</v>
      </c>
      <c r="H360" s="6">
        <v>76.7844</v>
      </c>
      <c r="I360" s="6">
        <v>26.5829</v>
      </c>
      <c r="J360" s="6">
        <v>249.9977</v>
      </c>
      <c r="K360" s="6">
        <v>111.1663</v>
      </c>
    </row>
    <row r="361" ht="15.75" customHeight="1" spans="1:11">
      <c r="A361" s="4" t="s">
        <v>16068</v>
      </c>
      <c r="B361" s="5" t="s">
        <v>18729</v>
      </c>
      <c r="C361" s="6">
        <v>378897.6044</v>
      </c>
      <c r="D361" s="6">
        <v>37.8898</v>
      </c>
      <c r="E361" s="6">
        <v>7.3056</v>
      </c>
      <c r="F361" s="6">
        <v>0</v>
      </c>
      <c r="G361" s="6">
        <v>33.1535</v>
      </c>
      <c r="H361" s="6">
        <v>76.7844</v>
      </c>
      <c r="I361" s="6">
        <v>26.5829</v>
      </c>
      <c r="J361" s="6">
        <v>181.7162</v>
      </c>
      <c r="K361" s="6">
        <v>71.7783</v>
      </c>
    </row>
    <row r="362" ht="15.75" customHeight="1" spans="1:11">
      <c r="A362" s="4" t="s">
        <v>16069</v>
      </c>
      <c r="B362" s="5" t="s">
        <v>18730</v>
      </c>
      <c r="C362" s="6">
        <v>26096.0891</v>
      </c>
      <c r="D362" s="6">
        <v>2.0877</v>
      </c>
      <c r="E362" s="6">
        <v>0.483</v>
      </c>
      <c r="F362" s="6">
        <v>0</v>
      </c>
      <c r="G362" s="6">
        <v>1.3048</v>
      </c>
      <c r="H362" s="6">
        <v>0</v>
      </c>
      <c r="I362" s="6">
        <v>26.5829</v>
      </c>
      <c r="J362" s="6">
        <v>30.4584</v>
      </c>
      <c r="K362" s="6">
        <v>29.1536</v>
      </c>
    </row>
    <row r="363" ht="15.75" customHeight="1" spans="1:11">
      <c r="A363" s="4" t="s">
        <v>16070</v>
      </c>
      <c r="B363" s="5" t="s">
        <v>18731</v>
      </c>
      <c r="C363" s="6">
        <v>27400.8842</v>
      </c>
      <c r="D363" s="6">
        <v>2.1921</v>
      </c>
      <c r="E363" s="6">
        <v>0.5072</v>
      </c>
      <c r="F363" s="6">
        <v>0</v>
      </c>
      <c r="G363" s="6">
        <v>1.37</v>
      </c>
      <c r="H363" s="6">
        <v>0</v>
      </c>
      <c r="I363" s="6">
        <v>26.5829</v>
      </c>
      <c r="J363" s="6">
        <v>30.6522</v>
      </c>
      <c r="K363" s="6">
        <v>29.2822</v>
      </c>
    </row>
    <row r="364" ht="15.75" customHeight="1" spans="1:11">
      <c r="A364" s="4" t="s">
        <v>16071</v>
      </c>
      <c r="B364" s="5" t="s">
        <v>18732</v>
      </c>
      <c r="C364" s="6">
        <v>6034.0889</v>
      </c>
      <c r="D364" s="6">
        <v>0.3448</v>
      </c>
      <c r="E364" s="6">
        <v>0.1064</v>
      </c>
      <c r="F364" s="6">
        <v>0</v>
      </c>
      <c r="G364" s="6">
        <v>0.3448</v>
      </c>
      <c r="H364" s="6">
        <v>0</v>
      </c>
      <c r="I364" s="6">
        <v>26.5829</v>
      </c>
      <c r="J364" s="6">
        <v>27.3789</v>
      </c>
      <c r="K364" s="6">
        <v>27.0341</v>
      </c>
    </row>
    <row r="365" ht="15.75" customHeight="1" spans="1:11">
      <c r="A365" s="4" t="s">
        <v>16072</v>
      </c>
      <c r="B365" s="5" t="s">
        <v>18733</v>
      </c>
      <c r="C365" s="6">
        <v>9318.5017</v>
      </c>
      <c r="D365" s="6">
        <v>0.8387</v>
      </c>
      <c r="E365" s="6">
        <v>0.1725</v>
      </c>
      <c r="F365" s="6">
        <v>0</v>
      </c>
      <c r="G365" s="6">
        <v>0.8387</v>
      </c>
      <c r="H365" s="6">
        <v>0</v>
      </c>
      <c r="I365" s="6">
        <v>26.5829</v>
      </c>
      <c r="J365" s="6">
        <v>28.4328</v>
      </c>
      <c r="K365" s="6">
        <v>27.5941</v>
      </c>
    </row>
    <row r="366" ht="15.75" customHeight="1" spans="1:11">
      <c r="A366" s="4" t="s">
        <v>18734</v>
      </c>
      <c r="B366" s="5" t="s">
        <v>18735</v>
      </c>
      <c r="C366" s="6">
        <v>48838.5311</v>
      </c>
      <c r="D366" s="6">
        <v>4.8839</v>
      </c>
      <c r="E366" s="6">
        <v>0.9417</v>
      </c>
      <c r="F366" s="6">
        <v>0</v>
      </c>
      <c r="G366" s="6">
        <v>4.2734</v>
      </c>
      <c r="H366" s="6">
        <v>0</v>
      </c>
      <c r="I366" s="6">
        <v>0</v>
      </c>
      <c r="J366" s="6">
        <v>10.099</v>
      </c>
      <c r="K366" s="6">
        <v>5.8256</v>
      </c>
    </row>
    <row r="367" ht="15.75" customHeight="1" spans="1:11">
      <c r="A367" s="4" t="s">
        <v>14295</v>
      </c>
      <c r="B367" s="5" t="s">
        <v>14296</v>
      </c>
      <c r="C367" s="6">
        <v>88078.2694</v>
      </c>
      <c r="D367" s="6">
        <v>6.1655</v>
      </c>
      <c r="E367" s="6">
        <v>1.6303</v>
      </c>
      <c r="F367" s="6">
        <v>0</v>
      </c>
      <c r="G367" s="6">
        <v>4.4039</v>
      </c>
      <c r="H367" s="6">
        <v>18.9468</v>
      </c>
      <c r="I367" s="6">
        <v>0</v>
      </c>
      <c r="J367" s="6">
        <v>31.1465</v>
      </c>
      <c r="K367" s="6">
        <v>7.7958</v>
      </c>
    </row>
    <row r="368" ht="15.75" customHeight="1" spans="1:11">
      <c r="A368" s="4" t="s">
        <v>18736</v>
      </c>
      <c r="B368" s="5" t="s">
        <v>18737</v>
      </c>
      <c r="C368" s="6">
        <v>108294.0684</v>
      </c>
      <c r="D368" s="6">
        <v>7.5806</v>
      </c>
      <c r="E368" s="6">
        <v>2.0045</v>
      </c>
      <c r="F368" s="6">
        <v>0</v>
      </c>
      <c r="G368" s="6">
        <v>5.4147</v>
      </c>
      <c r="H368" s="6">
        <v>56.8404</v>
      </c>
      <c r="I368" s="6">
        <v>0</v>
      </c>
      <c r="J368" s="6">
        <v>71.8402</v>
      </c>
      <c r="K368" s="6">
        <v>9.5851</v>
      </c>
    </row>
    <row r="369" ht="15.75" customHeight="1" spans="1:11">
      <c r="A369" s="4" t="s">
        <v>16073</v>
      </c>
      <c r="B369" s="5" t="s">
        <v>18738</v>
      </c>
      <c r="C369" s="6">
        <v>1858880.3557</v>
      </c>
      <c r="D369" s="6">
        <v>148.7104</v>
      </c>
      <c r="E369" s="6">
        <v>34.4079</v>
      </c>
      <c r="F369" s="6">
        <v>0</v>
      </c>
      <c r="G369" s="6">
        <v>148.7104</v>
      </c>
      <c r="H369" s="6">
        <v>157.89</v>
      </c>
      <c r="I369" s="6">
        <v>26.5829</v>
      </c>
      <c r="J369" s="6">
        <v>516.3016</v>
      </c>
      <c r="K369" s="6">
        <v>209.7012</v>
      </c>
    </row>
    <row r="370" ht="15.75" customHeight="1" spans="1:11">
      <c r="A370" s="4" t="s">
        <v>16074</v>
      </c>
      <c r="B370" s="5" t="s">
        <v>18739</v>
      </c>
      <c r="C370" s="6">
        <v>1121091.0186</v>
      </c>
      <c r="D370" s="6">
        <v>44.8436</v>
      </c>
      <c r="E370" s="6">
        <v>19.0221</v>
      </c>
      <c r="F370" s="6">
        <v>0</v>
      </c>
      <c r="G370" s="6">
        <v>39.2382</v>
      </c>
      <c r="H370" s="6">
        <v>0</v>
      </c>
      <c r="I370" s="6">
        <v>26.5829</v>
      </c>
      <c r="J370" s="6">
        <v>129.6868</v>
      </c>
      <c r="K370" s="6">
        <v>90.4486</v>
      </c>
    </row>
    <row r="371" ht="15.75" customHeight="1" spans="1:11">
      <c r="A371" s="4" t="s">
        <v>16075</v>
      </c>
      <c r="B371" s="5" t="s">
        <v>18740</v>
      </c>
      <c r="C371" s="6">
        <v>1186134.412</v>
      </c>
      <c r="D371" s="6">
        <v>118.6134</v>
      </c>
      <c r="E371" s="6">
        <v>22.8702</v>
      </c>
      <c r="F371" s="6">
        <v>0</v>
      </c>
      <c r="G371" s="6">
        <v>133.4401</v>
      </c>
      <c r="H371" s="6">
        <v>102.1022</v>
      </c>
      <c r="I371" s="6">
        <v>45.2393</v>
      </c>
      <c r="J371" s="6">
        <v>422.2652</v>
      </c>
      <c r="K371" s="6">
        <v>186.7229</v>
      </c>
    </row>
    <row r="372" ht="15.75" customHeight="1" spans="1:11">
      <c r="A372" s="4" t="s">
        <v>18741</v>
      </c>
      <c r="B372" s="5" t="s">
        <v>18742</v>
      </c>
      <c r="C372" s="6">
        <v>6935.3006</v>
      </c>
      <c r="D372" s="6">
        <v>0.6935</v>
      </c>
      <c r="E372" s="6">
        <v>0.1307</v>
      </c>
      <c r="F372" s="6">
        <v>0</v>
      </c>
      <c r="G372" s="6">
        <v>0.3853</v>
      </c>
      <c r="H372" s="6">
        <v>0</v>
      </c>
      <c r="I372" s="6">
        <v>0</v>
      </c>
      <c r="J372" s="6">
        <v>1.2095</v>
      </c>
      <c r="K372" s="6">
        <v>0.8242</v>
      </c>
    </row>
    <row r="373" ht="15.75" customHeight="1" spans="1:11">
      <c r="A373" s="4" t="s">
        <v>16076</v>
      </c>
      <c r="B373" s="5" t="s">
        <v>18743</v>
      </c>
      <c r="C373" s="6">
        <v>21324.5776</v>
      </c>
      <c r="D373" s="6">
        <v>2.8433</v>
      </c>
      <c r="E373" s="6">
        <v>0.4386</v>
      </c>
      <c r="F373" s="6">
        <v>0</v>
      </c>
      <c r="G373" s="6">
        <v>2.8433</v>
      </c>
      <c r="H373" s="6">
        <v>0</v>
      </c>
      <c r="I373" s="6">
        <v>0</v>
      </c>
      <c r="J373" s="6">
        <v>6.1252</v>
      </c>
      <c r="K373" s="6">
        <v>3.2819</v>
      </c>
    </row>
    <row r="374" ht="15.75" customHeight="1" spans="1:11">
      <c r="A374" s="4" t="s">
        <v>16077</v>
      </c>
      <c r="B374" s="5" t="s">
        <v>18744</v>
      </c>
      <c r="C374" s="6">
        <v>5652.084</v>
      </c>
      <c r="D374" s="6">
        <v>0.5024</v>
      </c>
      <c r="E374" s="6">
        <v>0.1066</v>
      </c>
      <c r="F374" s="6">
        <v>0</v>
      </c>
      <c r="G374" s="6">
        <v>0.3768</v>
      </c>
      <c r="H374" s="6">
        <v>0</v>
      </c>
      <c r="I374" s="6">
        <v>0</v>
      </c>
      <c r="J374" s="6">
        <v>0.9858</v>
      </c>
      <c r="K374" s="6">
        <v>0.609</v>
      </c>
    </row>
    <row r="375" ht="15.75" customHeight="1" spans="1:11">
      <c r="A375" s="4" t="s">
        <v>16078</v>
      </c>
      <c r="B375" s="5" t="s">
        <v>18745</v>
      </c>
      <c r="C375" s="6">
        <v>952703.2096</v>
      </c>
      <c r="D375" s="6">
        <v>95.2703</v>
      </c>
      <c r="E375" s="6">
        <v>18.3693</v>
      </c>
      <c r="F375" s="6">
        <v>0</v>
      </c>
      <c r="G375" s="6">
        <v>95.2703</v>
      </c>
      <c r="H375" s="6">
        <v>61.217</v>
      </c>
      <c r="I375" s="6">
        <v>33.7544</v>
      </c>
      <c r="J375" s="6">
        <v>303.8813</v>
      </c>
      <c r="K375" s="6">
        <v>147.394</v>
      </c>
    </row>
    <row r="376" ht="15.75" customHeight="1" spans="1:11">
      <c r="A376" s="4" t="s">
        <v>16079</v>
      </c>
      <c r="B376" s="5" t="s">
        <v>18746</v>
      </c>
      <c r="C376" s="6">
        <v>89813.7364</v>
      </c>
      <c r="D376" s="6">
        <v>6.287</v>
      </c>
      <c r="E376" s="6">
        <v>1.6625</v>
      </c>
      <c r="F376" s="6">
        <v>0</v>
      </c>
      <c r="G376" s="6">
        <v>4.4907</v>
      </c>
      <c r="H376" s="6">
        <v>33.6832</v>
      </c>
      <c r="I376" s="6">
        <v>0</v>
      </c>
      <c r="J376" s="6">
        <v>46.1234</v>
      </c>
      <c r="K376" s="6">
        <v>7.9495</v>
      </c>
    </row>
    <row r="377" ht="15.75" customHeight="1" spans="1:11">
      <c r="A377" s="4" t="s">
        <v>1064</v>
      </c>
      <c r="B377" s="5" t="s">
        <v>1065</v>
      </c>
      <c r="C377" s="6">
        <v>6665.9387</v>
      </c>
      <c r="D377" s="6">
        <v>0.5833</v>
      </c>
      <c r="E377" s="6">
        <v>0.1285</v>
      </c>
      <c r="F377" s="6">
        <v>0</v>
      </c>
      <c r="G377" s="6">
        <v>0.4166</v>
      </c>
      <c r="H377" s="6">
        <v>9.8654</v>
      </c>
      <c r="I377" s="6">
        <v>0</v>
      </c>
      <c r="J377" s="6">
        <v>10.9938</v>
      </c>
      <c r="K377" s="6">
        <v>0.7118</v>
      </c>
    </row>
    <row r="378" ht="15.75" customHeight="1" spans="1:11">
      <c r="A378" s="4" t="s">
        <v>18747</v>
      </c>
      <c r="B378" s="5" t="s">
        <v>18748</v>
      </c>
      <c r="C378" s="6">
        <v>429279.0253</v>
      </c>
      <c r="D378" s="6">
        <v>30.0495</v>
      </c>
      <c r="E378" s="6">
        <v>7.946</v>
      </c>
      <c r="F378" s="6">
        <v>0</v>
      </c>
      <c r="G378" s="6">
        <v>21.464</v>
      </c>
      <c r="H378" s="6">
        <v>478.933</v>
      </c>
      <c r="I378" s="6">
        <v>0</v>
      </c>
      <c r="J378" s="6">
        <v>538.3925</v>
      </c>
      <c r="K378" s="6">
        <v>37.9955</v>
      </c>
    </row>
    <row r="379" ht="15.75" customHeight="1" spans="1:11">
      <c r="A379" s="4" t="s">
        <v>16080</v>
      </c>
      <c r="B379" s="5" t="s">
        <v>18749</v>
      </c>
      <c r="C379" s="6">
        <v>691294.8583</v>
      </c>
      <c r="D379" s="6">
        <v>46.9093</v>
      </c>
      <c r="E379" s="6">
        <v>12.1865</v>
      </c>
      <c r="F379" s="6">
        <v>0</v>
      </c>
      <c r="G379" s="6">
        <v>39.5026</v>
      </c>
      <c r="H379" s="6">
        <v>0</v>
      </c>
      <c r="I379" s="6">
        <v>26.5829</v>
      </c>
      <c r="J379" s="6">
        <v>125.1813</v>
      </c>
      <c r="K379" s="6">
        <v>85.6787</v>
      </c>
    </row>
    <row r="380" ht="15.75" customHeight="1" spans="1:11">
      <c r="A380" s="4" t="s">
        <v>18750</v>
      </c>
      <c r="B380" s="5" t="s">
        <v>18751</v>
      </c>
      <c r="C380" s="6">
        <v>13173.6139</v>
      </c>
      <c r="D380" s="6">
        <v>1.0539</v>
      </c>
      <c r="E380" s="6">
        <v>0.2438</v>
      </c>
      <c r="F380" s="6">
        <v>0</v>
      </c>
      <c r="G380" s="6">
        <v>1.0539</v>
      </c>
      <c r="H380" s="6">
        <v>9.6283</v>
      </c>
      <c r="I380" s="6">
        <v>0</v>
      </c>
      <c r="J380" s="6">
        <v>11.9799</v>
      </c>
      <c r="K380" s="6">
        <v>1.2977</v>
      </c>
    </row>
    <row r="381" ht="15.75" customHeight="1" spans="1:11">
      <c r="A381" s="4" t="s">
        <v>16081</v>
      </c>
      <c r="B381" s="5" t="s">
        <v>18752</v>
      </c>
      <c r="C381" s="6">
        <v>604750.781</v>
      </c>
      <c r="D381" s="6">
        <v>48.3801</v>
      </c>
      <c r="E381" s="6">
        <v>11.1939</v>
      </c>
      <c r="F381" s="6">
        <v>0</v>
      </c>
      <c r="G381" s="6">
        <v>48.3801</v>
      </c>
      <c r="H381" s="6">
        <v>200.8859</v>
      </c>
      <c r="I381" s="6">
        <v>0</v>
      </c>
      <c r="J381" s="6">
        <v>308.84</v>
      </c>
      <c r="K381" s="6">
        <v>59.574</v>
      </c>
    </row>
    <row r="382" ht="15.75" customHeight="1" spans="1:11">
      <c r="A382" s="4" t="s">
        <v>16082</v>
      </c>
      <c r="B382" s="5" t="s">
        <v>18753</v>
      </c>
      <c r="C382" s="6">
        <v>283818.2597</v>
      </c>
      <c r="D382" s="6">
        <v>37.8424</v>
      </c>
      <c r="E382" s="6">
        <v>5.8372</v>
      </c>
      <c r="F382" s="6">
        <v>0</v>
      </c>
      <c r="G382" s="6">
        <v>37.8424</v>
      </c>
      <c r="H382" s="6">
        <v>5.8946</v>
      </c>
      <c r="I382" s="6">
        <v>26.5829</v>
      </c>
      <c r="J382" s="6">
        <v>113.9995</v>
      </c>
      <c r="K382" s="6">
        <v>70.2625</v>
      </c>
    </row>
    <row r="383" ht="15.75" customHeight="1" spans="1:11">
      <c r="A383" s="4" t="s">
        <v>18754</v>
      </c>
      <c r="B383" s="5" t="s">
        <v>18755</v>
      </c>
      <c r="C383" s="6">
        <v>475879.5429</v>
      </c>
      <c r="D383" s="6">
        <v>35.0648</v>
      </c>
      <c r="E383" s="6">
        <v>8.8858</v>
      </c>
      <c r="F383" s="6">
        <v>0</v>
      </c>
      <c r="G383" s="6">
        <v>35.0648</v>
      </c>
      <c r="H383" s="6">
        <v>41.7716</v>
      </c>
      <c r="I383" s="6">
        <v>33.7544</v>
      </c>
      <c r="J383" s="6">
        <v>154.5414</v>
      </c>
      <c r="K383" s="6">
        <v>77.705</v>
      </c>
    </row>
    <row r="384" ht="15.75" customHeight="1" spans="1:11">
      <c r="A384" s="4" t="s">
        <v>18756</v>
      </c>
      <c r="B384" s="5" t="s">
        <v>18757</v>
      </c>
      <c r="C384" s="6">
        <v>475879.5429</v>
      </c>
      <c r="D384" s="6">
        <v>35.0648</v>
      </c>
      <c r="E384" s="6">
        <v>8.8858</v>
      </c>
      <c r="F384" s="6">
        <v>0</v>
      </c>
      <c r="G384" s="6">
        <v>35.0648</v>
      </c>
      <c r="H384" s="6">
        <v>41.7716</v>
      </c>
      <c r="I384" s="6">
        <v>33.7544</v>
      </c>
      <c r="J384" s="6">
        <v>154.5414</v>
      </c>
      <c r="K384" s="6">
        <v>77.705</v>
      </c>
    </row>
    <row r="385" ht="15.75" customHeight="1" spans="1:11">
      <c r="A385" s="4" t="s">
        <v>18758</v>
      </c>
      <c r="B385" s="5" t="s">
        <v>18759</v>
      </c>
      <c r="C385" s="6">
        <v>475879.5429</v>
      </c>
      <c r="D385" s="6">
        <v>35.0648</v>
      </c>
      <c r="E385" s="6">
        <v>8.8858</v>
      </c>
      <c r="F385" s="6">
        <v>0</v>
      </c>
      <c r="G385" s="6">
        <v>35.0648</v>
      </c>
      <c r="H385" s="6">
        <v>41.7716</v>
      </c>
      <c r="I385" s="6">
        <v>33.7544</v>
      </c>
      <c r="J385" s="6">
        <v>154.5414</v>
      </c>
      <c r="K385" s="6">
        <v>77.705</v>
      </c>
    </row>
    <row r="386" ht="15.75" customHeight="1" spans="1:11">
      <c r="A386" s="4" t="s">
        <v>18760</v>
      </c>
      <c r="B386" s="5" t="s">
        <v>18761</v>
      </c>
      <c r="C386" s="6">
        <v>475879.5429</v>
      </c>
      <c r="D386" s="6">
        <v>35.0648</v>
      </c>
      <c r="E386" s="6">
        <v>8.8858</v>
      </c>
      <c r="F386" s="6">
        <v>0</v>
      </c>
      <c r="G386" s="6">
        <v>35.0648</v>
      </c>
      <c r="H386" s="6">
        <v>41.7716</v>
      </c>
      <c r="I386" s="6">
        <v>33.7544</v>
      </c>
      <c r="J386" s="6">
        <v>154.5414</v>
      </c>
      <c r="K386" s="6">
        <v>77.705</v>
      </c>
    </row>
    <row r="387" ht="15.75" customHeight="1" spans="1:11">
      <c r="A387" s="4" t="s">
        <v>18762</v>
      </c>
      <c r="B387" s="5" t="s">
        <v>18763</v>
      </c>
      <c r="C387" s="6">
        <v>475879.5429</v>
      </c>
      <c r="D387" s="6">
        <v>35.0648</v>
      </c>
      <c r="E387" s="6">
        <v>8.8858</v>
      </c>
      <c r="F387" s="6">
        <v>0</v>
      </c>
      <c r="G387" s="6">
        <v>35.0648</v>
      </c>
      <c r="H387" s="6">
        <v>41.7716</v>
      </c>
      <c r="I387" s="6">
        <v>33.7544</v>
      </c>
      <c r="J387" s="6">
        <v>154.5414</v>
      </c>
      <c r="K387" s="6">
        <v>77.705</v>
      </c>
    </row>
    <row r="388" ht="15.75" customHeight="1" spans="1:11">
      <c r="A388" s="4" t="s">
        <v>16083</v>
      </c>
      <c r="B388" s="5" t="s">
        <v>18764</v>
      </c>
      <c r="C388" s="6">
        <v>1926424.1712</v>
      </c>
      <c r="D388" s="6">
        <v>220.1628</v>
      </c>
      <c r="E388" s="6">
        <v>38.2051</v>
      </c>
      <c r="F388" s="6">
        <v>0</v>
      </c>
      <c r="G388" s="6">
        <v>275.2035</v>
      </c>
      <c r="H388" s="6">
        <v>74.1806</v>
      </c>
      <c r="I388" s="6">
        <v>33.7544</v>
      </c>
      <c r="J388" s="6">
        <v>641.5064</v>
      </c>
      <c r="K388" s="6">
        <v>292.1223</v>
      </c>
    </row>
    <row r="389" ht="15.75" customHeight="1" spans="1:11">
      <c r="A389" s="4" t="s">
        <v>16084</v>
      </c>
      <c r="B389" s="5" t="s">
        <v>18765</v>
      </c>
      <c r="C389" s="6">
        <v>192136.0454</v>
      </c>
      <c r="D389" s="6">
        <v>13.4495</v>
      </c>
      <c r="E389" s="6">
        <v>3.5564</v>
      </c>
      <c r="F389" s="6">
        <v>0</v>
      </c>
      <c r="G389" s="6">
        <v>9.6068</v>
      </c>
      <c r="H389" s="6">
        <v>146.3114</v>
      </c>
      <c r="I389" s="6">
        <v>0</v>
      </c>
      <c r="J389" s="6">
        <v>172.9241</v>
      </c>
      <c r="K389" s="6">
        <v>17.0059</v>
      </c>
    </row>
    <row r="390" ht="15.75" customHeight="1" spans="1:11">
      <c r="A390" s="4" t="s">
        <v>16085</v>
      </c>
      <c r="B390" s="5" t="s">
        <v>18766</v>
      </c>
      <c r="C390" s="6">
        <v>5777680.459</v>
      </c>
      <c r="D390" s="6">
        <v>404.4376</v>
      </c>
      <c r="E390" s="6">
        <v>106.9449</v>
      </c>
      <c r="F390" s="6">
        <v>0</v>
      </c>
      <c r="G390" s="6">
        <v>519.9912</v>
      </c>
      <c r="H390" s="6">
        <v>61.494</v>
      </c>
      <c r="I390" s="6">
        <v>33.7544</v>
      </c>
      <c r="J390" s="6">
        <v>1126.6221</v>
      </c>
      <c r="K390" s="6">
        <v>545.1369</v>
      </c>
    </row>
    <row r="391" ht="15.75" customHeight="1" spans="1:11">
      <c r="A391" s="4" t="s">
        <v>16086</v>
      </c>
      <c r="B391" s="5" t="s">
        <v>18767</v>
      </c>
      <c r="C391" s="6">
        <v>256088.6909</v>
      </c>
      <c r="D391" s="6">
        <v>17.9262</v>
      </c>
      <c r="E391" s="6">
        <v>4.7402</v>
      </c>
      <c r="F391" s="6">
        <v>0</v>
      </c>
      <c r="G391" s="6">
        <v>12.8044</v>
      </c>
      <c r="H391" s="6">
        <v>284.202</v>
      </c>
      <c r="I391" s="6">
        <v>0</v>
      </c>
      <c r="J391" s="6">
        <v>319.6728</v>
      </c>
      <c r="K391" s="6">
        <v>22.6664</v>
      </c>
    </row>
    <row r="392" ht="15.75" customHeight="1" spans="1:11">
      <c r="A392" s="4" t="s">
        <v>16087</v>
      </c>
      <c r="B392" s="5" t="s">
        <v>18768</v>
      </c>
      <c r="C392" s="6">
        <v>121887.2909</v>
      </c>
      <c r="D392" s="6">
        <v>8.5321</v>
      </c>
      <c r="E392" s="6">
        <v>2.2561</v>
      </c>
      <c r="F392" s="6">
        <v>0</v>
      </c>
      <c r="G392" s="6">
        <v>6.0944</v>
      </c>
      <c r="H392" s="6">
        <v>94.734</v>
      </c>
      <c r="I392" s="6">
        <v>0</v>
      </c>
      <c r="J392" s="6">
        <v>111.6166</v>
      </c>
      <c r="K392" s="6">
        <v>10.7882</v>
      </c>
    </row>
    <row r="393" ht="15.75" customHeight="1" spans="1:11">
      <c r="A393" s="4" t="s">
        <v>16088</v>
      </c>
      <c r="B393" s="5" t="s">
        <v>18769</v>
      </c>
      <c r="C393" s="6">
        <v>271302.9199</v>
      </c>
      <c r="D393" s="6">
        <v>43.4085</v>
      </c>
      <c r="E393" s="6">
        <v>5.8588</v>
      </c>
      <c r="F393" s="6">
        <v>0</v>
      </c>
      <c r="G393" s="6">
        <v>43.4085</v>
      </c>
      <c r="H393" s="6">
        <v>7.3682</v>
      </c>
      <c r="I393" s="6">
        <v>26.5829</v>
      </c>
      <c r="J393" s="6">
        <v>126.6269</v>
      </c>
      <c r="K393" s="6">
        <v>75.8502</v>
      </c>
    </row>
    <row r="394" ht="15.75" customHeight="1" spans="1:11">
      <c r="A394" s="4" t="s">
        <v>16089</v>
      </c>
      <c r="B394" s="5" t="s">
        <v>18770</v>
      </c>
      <c r="C394" s="6">
        <v>679246.3861</v>
      </c>
      <c r="D394" s="6">
        <v>108.6794</v>
      </c>
      <c r="E394" s="6">
        <v>14.6683</v>
      </c>
      <c r="F394" s="6">
        <v>0</v>
      </c>
      <c r="G394" s="6">
        <v>108.6794</v>
      </c>
      <c r="H394" s="6">
        <v>0</v>
      </c>
      <c r="I394" s="6">
        <v>26.5829</v>
      </c>
      <c r="J394" s="6">
        <v>258.61</v>
      </c>
      <c r="K394" s="6">
        <v>149.9306</v>
      </c>
    </row>
    <row r="395" ht="15.75" customHeight="1" spans="1:11">
      <c r="A395" s="4" t="s">
        <v>16090</v>
      </c>
      <c r="B395" s="5" t="s">
        <v>18771</v>
      </c>
      <c r="C395" s="6">
        <v>54065.2087</v>
      </c>
      <c r="D395" s="6">
        <v>7.2087</v>
      </c>
      <c r="E395" s="6">
        <v>1.1119</v>
      </c>
      <c r="F395" s="6">
        <v>0</v>
      </c>
      <c r="G395" s="6">
        <v>7.2087</v>
      </c>
      <c r="H395" s="6">
        <v>0</v>
      </c>
      <c r="I395" s="6">
        <v>26.5829</v>
      </c>
      <c r="J395" s="6">
        <v>42.1122</v>
      </c>
      <c r="K395" s="6">
        <v>34.9035</v>
      </c>
    </row>
    <row r="396" ht="15.75" customHeight="1" spans="1:11">
      <c r="A396" s="4" t="s">
        <v>16092</v>
      </c>
      <c r="B396" s="5" t="s">
        <v>18772</v>
      </c>
      <c r="C396" s="6">
        <v>661148.8018</v>
      </c>
      <c r="D396" s="6">
        <v>66.1149</v>
      </c>
      <c r="E396" s="6">
        <v>12.7478</v>
      </c>
      <c r="F396" s="6">
        <v>0</v>
      </c>
      <c r="G396" s="6">
        <v>66.1149</v>
      </c>
      <c r="H396" s="6">
        <v>19.944</v>
      </c>
      <c r="I396" s="6">
        <v>26.5829</v>
      </c>
      <c r="J396" s="6">
        <v>191.5045</v>
      </c>
      <c r="K396" s="6">
        <v>105.4456</v>
      </c>
    </row>
    <row r="397" ht="15.75" customHeight="1" spans="1:11">
      <c r="A397" s="4" t="s">
        <v>16093</v>
      </c>
      <c r="B397" s="5" t="s">
        <v>18773</v>
      </c>
      <c r="C397" s="6">
        <v>2988955.9389</v>
      </c>
      <c r="D397" s="6">
        <v>149.4478</v>
      </c>
      <c r="E397" s="6">
        <v>52.691</v>
      </c>
      <c r="F397" s="6">
        <v>21.3497</v>
      </c>
      <c r="G397" s="6">
        <v>192.1472</v>
      </c>
      <c r="H397" s="6">
        <v>51.522</v>
      </c>
      <c r="I397" s="6">
        <v>38.1454</v>
      </c>
      <c r="J397" s="6">
        <v>505.3031</v>
      </c>
      <c r="K397" s="6">
        <v>261.6339</v>
      </c>
    </row>
    <row r="398" ht="15.75" customHeight="1" spans="1:11">
      <c r="A398" s="4" t="s">
        <v>18774</v>
      </c>
      <c r="B398" s="5" t="s">
        <v>18775</v>
      </c>
      <c r="C398" s="6">
        <v>55916.9063</v>
      </c>
      <c r="D398" s="6">
        <v>5.5917</v>
      </c>
      <c r="E398" s="6">
        <v>1.0542</v>
      </c>
      <c r="F398" s="6">
        <v>0</v>
      </c>
      <c r="G398" s="6">
        <v>3.1065</v>
      </c>
      <c r="H398" s="6">
        <v>0</v>
      </c>
      <c r="I398" s="6">
        <v>33.7544</v>
      </c>
      <c r="J398" s="6">
        <v>43.5068</v>
      </c>
      <c r="K398" s="6">
        <v>40.4003</v>
      </c>
    </row>
    <row r="399" ht="15.75" customHeight="1" spans="1:11">
      <c r="A399" s="4" t="s">
        <v>16095</v>
      </c>
      <c r="B399" s="5" t="s">
        <v>18776</v>
      </c>
      <c r="C399" s="6">
        <v>25105.7727</v>
      </c>
      <c r="D399" s="6">
        <v>4.0169</v>
      </c>
      <c r="E399" s="6">
        <v>0.5422</v>
      </c>
      <c r="F399" s="6">
        <v>0</v>
      </c>
      <c r="G399" s="6">
        <v>4.0169</v>
      </c>
      <c r="H399" s="6">
        <v>3.8946</v>
      </c>
      <c r="I399" s="6">
        <v>26.5829</v>
      </c>
      <c r="J399" s="6">
        <v>39.0535</v>
      </c>
      <c r="K399" s="6">
        <v>31.142</v>
      </c>
    </row>
    <row r="400" ht="15.75" customHeight="1" spans="1:11">
      <c r="A400" s="4" t="s">
        <v>16096</v>
      </c>
      <c r="B400" s="5" t="s">
        <v>18777</v>
      </c>
      <c r="C400" s="6">
        <v>1461.3485</v>
      </c>
      <c r="D400" s="6">
        <v>0.263</v>
      </c>
      <c r="E400" s="6">
        <v>0.0316</v>
      </c>
      <c r="F400" s="6">
        <v>0</v>
      </c>
      <c r="G400" s="6">
        <v>0.1461</v>
      </c>
      <c r="H400" s="6">
        <v>0</v>
      </c>
      <c r="I400" s="6">
        <v>0</v>
      </c>
      <c r="J400" s="6">
        <v>0.4407</v>
      </c>
      <c r="K400" s="6">
        <v>0.2946</v>
      </c>
    </row>
    <row r="401" ht="15.75" customHeight="1" spans="1:11">
      <c r="A401" s="4" t="s">
        <v>16097</v>
      </c>
      <c r="B401" s="5" t="s">
        <v>18778</v>
      </c>
      <c r="C401" s="6">
        <v>407215.6903</v>
      </c>
      <c r="D401" s="6">
        <v>46.5389</v>
      </c>
      <c r="E401" s="6">
        <v>8.076</v>
      </c>
      <c r="F401" s="6">
        <v>0</v>
      </c>
      <c r="G401" s="6">
        <v>46.5389</v>
      </c>
      <c r="H401" s="6">
        <v>15.4732</v>
      </c>
      <c r="I401" s="6">
        <v>45.2393</v>
      </c>
      <c r="J401" s="6">
        <v>161.8663</v>
      </c>
      <c r="K401" s="6">
        <v>99.8542</v>
      </c>
    </row>
    <row r="402" ht="15.75" customHeight="1" spans="1:11">
      <c r="A402" s="4" t="s">
        <v>18779</v>
      </c>
      <c r="B402" s="5" t="s">
        <v>18780</v>
      </c>
      <c r="C402" s="6">
        <v>52589.285</v>
      </c>
      <c r="D402" s="6">
        <v>5.2589</v>
      </c>
      <c r="E402" s="6">
        <v>1.014</v>
      </c>
      <c r="F402" s="6">
        <v>0</v>
      </c>
      <c r="G402" s="6">
        <v>4.6016</v>
      </c>
      <c r="H402" s="6">
        <v>0</v>
      </c>
      <c r="I402" s="6">
        <v>0</v>
      </c>
      <c r="J402" s="6">
        <v>10.8745</v>
      </c>
      <c r="K402" s="6">
        <v>6.2729</v>
      </c>
    </row>
    <row r="403" ht="15.75" customHeight="1" spans="1:11">
      <c r="A403" s="4" t="s">
        <v>16099</v>
      </c>
      <c r="B403" s="5" t="s">
        <v>18781</v>
      </c>
      <c r="C403" s="6">
        <v>5529028.3639</v>
      </c>
      <c r="D403" s="6">
        <v>631.889</v>
      </c>
      <c r="E403" s="6">
        <v>109.6525</v>
      </c>
      <c r="F403" s="6">
        <v>0</v>
      </c>
      <c r="G403" s="6">
        <v>631.889</v>
      </c>
      <c r="H403" s="6">
        <v>73.682</v>
      </c>
      <c r="I403" s="6">
        <v>45.2393</v>
      </c>
      <c r="J403" s="6">
        <v>1492.3518</v>
      </c>
      <c r="K403" s="6">
        <v>786.7808</v>
      </c>
    </row>
    <row r="404" ht="15.75" customHeight="1" spans="1:11">
      <c r="A404" s="4" t="s">
        <v>16100</v>
      </c>
      <c r="B404" s="5" t="s">
        <v>18782</v>
      </c>
      <c r="C404" s="6">
        <v>2258063.8439</v>
      </c>
      <c r="D404" s="6">
        <v>180.6451</v>
      </c>
      <c r="E404" s="6">
        <v>41.7968</v>
      </c>
      <c r="F404" s="6">
        <v>0</v>
      </c>
      <c r="G404" s="6">
        <v>180.6451</v>
      </c>
      <c r="H404" s="6">
        <v>49.86</v>
      </c>
      <c r="I404" s="6">
        <v>33.7544</v>
      </c>
      <c r="J404" s="6">
        <v>486.7014</v>
      </c>
      <c r="K404" s="6">
        <v>256.1963</v>
      </c>
    </row>
    <row r="405" ht="15.75" customHeight="1" spans="1:11">
      <c r="A405" s="4" t="s">
        <v>16101</v>
      </c>
      <c r="B405" s="5" t="s">
        <v>18783</v>
      </c>
      <c r="C405" s="6">
        <v>14377852.8738</v>
      </c>
      <c r="D405" s="6">
        <v>821.5916</v>
      </c>
      <c r="E405" s="6">
        <v>253.461</v>
      </c>
      <c r="F405" s="6">
        <v>0</v>
      </c>
      <c r="G405" s="6">
        <v>1026.9895</v>
      </c>
      <c r="H405" s="6">
        <v>180.327</v>
      </c>
      <c r="I405" s="6">
        <v>45.2393</v>
      </c>
      <c r="J405" s="6">
        <v>2327.6084</v>
      </c>
      <c r="K405" s="6">
        <v>1120.2919</v>
      </c>
    </row>
    <row r="406" ht="15.75" customHeight="1" spans="1:11">
      <c r="A406" s="4" t="s">
        <v>16102</v>
      </c>
      <c r="B406" s="5" t="s">
        <v>18784</v>
      </c>
      <c r="C406" s="6">
        <v>2430376.9498</v>
      </c>
      <c r="D406" s="6">
        <v>194.4302</v>
      </c>
      <c r="E406" s="6">
        <v>44.9863</v>
      </c>
      <c r="F406" s="6">
        <v>0</v>
      </c>
      <c r="G406" s="6">
        <v>194.4302</v>
      </c>
      <c r="H406" s="6">
        <v>102.213</v>
      </c>
      <c r="I406" s="6">
        <v>33.7544</v>
      </c>
      <c r="J406" s="6">
        <v>569.8141</v>
      </c>
      <c r="K406" s="6">
        <v>273.1709</v>
      </c>
    </row>
    <row r="407" ht="15.75" customHeight="1" spans="1:11">
      <c r="A407" s="7" t="s">
        <v>15783</v>
      </c>
      <c r="B407" s="8" t="s">
        <v>18785</v>
      </c>
      <c r="C407" s="9"/>
      <c r="D407" s="9"/>
      <c r="E407" s="9"/>
      <c r="F407" s="9"/>
      <c r="G407" s="9"/>
      <c r="H407" s="9"/>
      <c r="I407" s="9"/>
      <c r="J407" s="9">
        <v>699.6522</v>
      </c>
      <c r="K407" s="9">
        <v>175.9827</v>
      </c>
    </row>
    <row r="408" ht="15.75" customHeight="1" spans="1:11">
      <c r="A408" s="10" t="s">
        <v>18786</v>
      </c>
      <c r="B408" s="11" t="s">
        <v>18787</v>
      </c>
      <c r="C408" s="12">
        <v>1091155.8045</v>
      </c>
      <c r="D408" s="12">
        <v>65.4693</v>
      </c>
      <c r="E408" s="12">
        <v>20.1973</v>
      </c>
      <c r="F408" s="12">
        <v>8.1837</v>
      </c>
      <c r="G408" s="12">
        <v>98.204</v>
      </c>
      <c r="H408" s="12">
        <v>387.3568</v>
      </c>
      <c r="I408" s="12">
        <v>38.1454</v>
      </c>
      <c r="J408" s="12">
        <v>617.5565</v>
      </c>
      <c r="K408" s="12">
        <v>131.9957</v>
      </c>
    </row>
    <row r="409" ht="15.75" customHeight="1" spans="1:11">
      <c r="A409" s="10" t="s">
        <v>18788</v>
      </c>
      <c r="B409" s="11" t="s">
        <v>18789</v>
      </c>
      <c r="C409" s="12">
        <v>285814.88</v>
      </c>
      <c r="D409" s="12">
        <v>38.1087</v>
      </c>
      <c r="E409" s="12">
        <v>5.8783</v>
      </c>
      <c r="F409" s="12">
        <v>0</v>
      </c>
      <c r="G409" s="12">
        <v>38.1087</v>
      </c>
      <c r="H409" s="12">
        <v>0</v>
      </c>
      <c r="I409" s="12">
        <v>0</v>
      </c>
      <c r="J409" s="12">
        <v>82.0957</v>
      </c>
      <c r="K409" s="12">
        <v>43.987</v>
      </c>
    </row>
    <row r="410" ht="15.75" customHeight="1" spans="1:11">
      <c r="A410" s="7" t="s">
        <v>15788</v>
      </c>
      <c r="B410" s="8" t="s">
        <v>18790</v>
      </c>
      <c r="C410" s="9"/>
      <c r="D410" s="9"/>
      <c r="E410" s="9"/>
      <c r="F410" s="9"/>
      <c r="G410" s="9"/>
      <c r="H410" s="9"/>
      <c r="I410" s="9"/>
      <c r="J410" s="9">
        <v>567.3674</v>
      </c>
      <c r="K410" s="9">
        <v>164.1302</v>
      </c>
    </row>
    <row r="411" ht="15.75" customHeight="1" spans="1:11">
      <c r="A411" s="10" t="s">
        <v>18791</v>
      </c>
      <c r="B411" s="11" t="s">
        <v>18792</v>
      </c>
      <c r="C411" s="12">
        <v>935828.1109</v>
      </c>
      <c r="D411" s="12">
        <v>46.7914</v>
      </c>
      <c r="E411" s="12">
        <v>16.841</v>
      </c>
      <c r="F411" s="12">
        <v>6.8237</v>
      </c>
      <c r="G411" s="12">
        <v>70.1871</v>
      </c>
      <c r="H411" s="12">
        <v>282.3184</v>
      </c>
      <c r="I411" s="12">
        <v>38.1454</v>
      </c>
      <c r="J411" s="12">
        <v>461.107</v>
      </c>
      <c r="K411" s="12">
        <v>108.6015</v>
      </c>
    </row>
    <row r="412" ht="15.75" customHeight="1" spans="1:11">
      <c r="A412" s="10" t="s">
        <v>18793</v>
      </c>
      <c r="B412" s="11" t="s">
        <v>18794</v>
      </c>
      <c r="C412" s="12">
        <v>473416</v>
      </c>
      <c r="D412" s="12">
        <v>37.8733</v>
      </c>
      <c r="E412" s="12">
        <v>8.7629</v>
      </c>
      <c r="F412" s="12">
        <v>0</v>
      </c>
      <c r="G412" s="12">
        <v>42.6074</v>
      </c>
      <c r="H412" s="12">
        <v>0</v>
      </c>
      <c r="I412" s="12">
        <v>0</v>
      </c>
      <c r="J412" s="12">
        <v>89.2436</v>
      </c>
      <c r="K412" s="12">
        <v>46.6362</v>
      </c>
    </row>
    <row r="413" ht="15.75" customHeight="1" spans="1:11">
      <c r="A413" s="10" t="s">
        <v>18795</v>
      </c>
      <c r="B413" s="11" t="s">
        <v>18796</v>
      </c>
      <c r="C413" s="12">
        <v>90270</v>
      </c>
      <c r="D413" s="12">
        <v>7.2216</v>
      </c>
      <c r="E413" s="12">
        <v>1.6709</v>
      </c>
      <c r="F413" s="12">
        <v>0</v>
      </c>
      <c r="G413" s="12">
        <v>8.1243</v>
      </c>
      <c r="H413" s="12">
        <v>0</v>
      </c>
      <c r="I413" s="12">
        <v>0</v>
      </c>
      <c r="J413" s="12">
        <v>17.0168</v>
      </c>
      <c r="K413" s="12">
        <v>8.8925</v>
      </c>
    </row>
    <row r="414" ht="15.75" customHeight="1" spans="1:11">
      <c r="A414" s="7" t="s">
        <v>15796</v>
      </c>
      <c r="B414" s="8" t="s">
        <v>18797</v>
      </c>
      <c r="C414" s="9"/>
      <c r="D414" s="9"/>
      <c r="E414" s="9"/>
      <c r="F414" s="9"/>
      <c r="G414" s="9"/>
      <c r="H414" s="9"/>
      <c r="I414" s="9"/>
      <c r="J414" s="9">
        <v>438.1749</v>
      </c>
      <c r="K414" s="9">
        <v>158.667</v>
      </c>
    </row>
    <row r="415" ht="15.75" customHeight="1" spans="1:11">
      <c r="A415" s="10" t="s">
        <v>18798</v>
      </c>
      <c r="B415" s="11" t="s">
        <v>18799</v>
      </c>
      <c r="C415" s="12">
        <v>741896.1728</v>
      </c>
      <c r="D415" s="12">
        <v>37.0948</v>
      </c>
      <c r="E415" s="12">
        <v>13.351</v>
      </c>
      <c r="F415" s="12">
        <v>5.4097</v>
      </c>
      <c r="G415" s="12">
        <v>55.6422</v>
      </c>
      <c r="H415" s="12">
        <v>162.876</v>
      </c>
      <c r="I415" s="12">
        <v>38.1454</v>
      </c>
      <c r="J415" s="12">
        <v>312.5191</v>
      </c>
      <c r="K415" s="12">
        <v>94.0009</v>
      </c>
    </row>
    <row r="416" ht="15.75" customHeight="1" spans="1:11">
      <c r="A416" s="10" t="s">
        <v>18800</v>
      </c>
      <c r="B416" s="11" t="s">
        <v>18801</v>
      </c>
      <c r="C416" s="12">
        <v>542130.527</v>
      </c>
      <c r="D416" s="12">
        <v>54.2131</v>
      </c>
      <c r="E416" s="12">
        <v>10.453</v>
      </c>
      <c r="F416" s="12">
        <v>0</v>
      </c>
      <c r="G416" s="12">
        <v>60.9897</v>
      </c>
      <c r="H416" s="12">
        <v>0</v>
      </c>
      <c r="I416" s="12">
        <v>0</v>
      </c>
      <c r="J416" s="12">
        <v>125.6558</v>
      </c>
      <c r="K416" s="12">
        <v>64.6661</v>
      </c>
    </row>
    <row r="417" ht="15.75" customHeight="1" spans="1:11">
      <c r="A417" s="7" t="s">
        <v>15806</v>
      </c>
      <c r="B417" s="8" t="s">
        <v>18802</v>
      </c>
      <c r="C417" s="9"/>
      <c r="D417" s="9"/>
      <c r="E417" s="9"/>
      <c r="F417" s="9"/>
      <c r="G417" s="9"/>
      <c r="H417" s="9"/>
      <c r="I417" s="9"/>
      <c r="J417" s="9">
        <v>1220.8289</v>
      </c>
      <c r="K417" s="9">
        <v>515.4952</v>
      </c>
    </row>
    <row r="418" ht="30" customHeight="1" spans="1:11">
      <c r="A418" s="10" t="s">
        <v>18803</v>
      </c>
      <c r="B418" s="11" t="s">
        <v>18804</v>
      </c>
      <c r="C418" s="12">
        <v>755427.7524</v>
      </c>
      <c r="D418" s="12">
        <v>45.3257</v>
      </c>
      <c r="E418" s="12">
        <v>13.983</v>
      </c>
      <c r="F418" s="12">
        <v>5.6657</v>
      </c>
      <c r="G418" s="12">
        <v>67.9885</v>
      </c>
      <c r="H418" s="12">
        <v>248.4136</v>
      </c>
      <c r="I418" s="12">
        <v>38.1454</v>
      </c>
      <c r="J418" s="12">
        <v>419.5219</v>
      </c>
      <c r="K418" s="12">
        <v>103.1198</v>
      </c>
    </row>
    <row r="419" ht="15.75" customHeight="1" spans="1:11">
      <c r="A419" s="10" t="s">
        <v>18805</v>
      </c>
      <c r="B419" s="11" t="s">
        <v>18806</v>
      </c>
      <c r="C419" s="12">
        <v>3457169.3523</v>
      </c>
      <c r="D419" s="12">
        <v>345.7169</v>
      </c>
      <c r="E419" s="12">
        <v>66.6585</v>
      </c>
      <c r="F419" s="12">
        <v>0</v>
      </c>
      <c r="G419" s="12">
        <v>388.9316</v>
      </c>
      <c r="H419" s="12">
        <v>0</v>
      </c>
      <c r="I419" s="12">
        <v>0</v>
      </c>
      <c r="J419" s="12">
        <v>801.307</v>
      </c>
      <c r="K419" s="12">
        <v>412.3754</v>
      </c>
    </row>
    <row r="420" ht="15.75" customHeight="1" spans="1:11">
      <c r="A420" s="7" t="s">
        <v>1108</v>
      </c>
      <c r="B420" s="8" t="s">
        <v>14321</v>
      </c>
      <c r="C420" s="9"/>
      <c r="D420" s="9"/>
      <c r="E420" s="9"/>
      <c r="F420" s="9"/>
      <c r="G420" s="9"/>
      <c r="H420" s="9"/>
      <c r="I420" s="9"/>
      <c r="J420" s="9">
        <v>403.8049</v>
      </c>
      <c r="K420" s="9">
        <v>125.203</v>
      </c>
    </row>
    <row r="421" ht="15.75" customHeight="1" spans="1:11">
      <c r="A421" s="10" t="s">
        <v>18807</v>
      </c>
      <c r="B421" s="11" t="s">
        <v>18808</v>
      </c>
      <c r="C421" s="12">
        <v>650368.4376</v>
      </c>
      <c r="D421" s="12">
        <v>32.5184</v>
      </c>
      <c r="E421" s="12">
        <v>11.7039</v>
      </c>
      <c r="F421" s="12">
        <v>4.7423</v>
      </c>
      <c r="G421" s="12">
        <v>48.7776</v>
      </c>
      <c r="H421" s="12">
        <v>197.8888</v>
      </c>
      <c r="I421" s="12">
        <v>38.1454</v>
      </c>
      <c r="J421" s="12">
        <v>333.7764</v>
      </c>
      <c r="K421" s="12">
        <v>87.11</v>
      </c>
    </row>
    <row r="422" ht="15.75" customHeight="1" spans="1:11">
      <c r="A422" s="10" t="s">
        <v>18809</v>
      </c>
      <c r="B422" s="11" t="s">
        <v>18810</v>
      </c>
      <c r="C422" s="12">
        <v>34102</v>
      </c>
      <c r="D422" s="12">
        <v>3.4102</v>
      </c>
      <c r="E422" s="12">
        <v>0.6575</v>
      </c>
      <c r="F422" s="12">
        <v>0</v>
      </c>
      <c r="G422" s="12">
        <v>3.4102</v>
      </c>
      <c r="H422" s="12">
        <v>0</v>
      </c>
      <c r="I422" s="12">
        <v>0</v>
      </c>
      <c r="J422" s="12">
        <v>7.4779</v>
      </c>
      <c r="K422" s="12">
        <v>4.0677</v>
      </c>
    </row>
    <row r="423" ht="15.75" customHeight="1" spans="1:11">
      <c r="A423" s="10" t="s">
        <v>18811</v>
      </c>
      <c r="B423" s="11" t="s">
        <v>18812</v>
      </c>
      <c r="C423" s="12">
        <v>285253.2</v>
      </c>
      <c r="D423" s="12">
        <v>28.5253</v>
      </c>
      <c r="E423" s="12">
        <v>5.5</v>
      </c>
      <c r="F423" s="12">
        <v>0</v>
      </c>
      <c r="G423" s="12">
        <v>28.5253</v>
      </c>
      <c r="H423" s="12">
        <v>0</v>
      </c>
      <c r="I423" s="12">
        <v>0</v>
      </c>
      <c r="J423" s="12">
        <v>62.5506</v>
      </c>
      <c r="K423" s="12">
        <v>34.0253</v>
      </c>
    </row>
    <row r="424" ht="15.75" customHeight="1" spans="1:11">
      <c r="A424" s="7" t="s">
        <v>15845</v>
      </c>
      <c r="B424" s="8" t="s">
        <v>18813</v>
      </c>
      <c r="C424" s="9"/>
      <c r="D424" s="9"/>
      <c r="E424" s="9"/>
      <c r="F424" s="9"/>
      <c r="G424" s="9"/>
      <c r="H424" s="9"/>
      <c r="I424" s="9"/>
      <c r="J424" s="9">
        <v>400.5844</v>
      </c>
      <c r="K424" s="9">
        <v>158.1772</v>
      </c>
    </row>
    <row r="425" ht="15.75" customHeight="1" spans="1:11">
      <c r="A425" s="10" t="s">
        <v>18814</v>
      </c>
      <c r="B425" s="11" t="s">
        <v>18815</v>
      </c>
      <c r="C425" s="12">
        <v>433075.1496</v>
      </c>
      <c r="D425" s="12">
        <v>21.6538</v>
      </c>
      <c r="E425" s="12">
        <v>7.7935</v>
      </c>
      <c r="F425" s="12">
        <v>3.1578</v>
      </c>
      <c r="G425" s="12">
        <v>32.4806</v>
      </c>
      <c r="H425" s="12">
        <v>159.9952</v>
      </c>
      <c r="I425" s="12">
        <v>38.1454</v>
      </c>
      <c r="J425" s="12">
        <v>263.2263</v>
      </c>
      <c r="K425" s="12">
        <v>70.7505</v>
      </c>
    </row>
    <row r="426" ht="15.75" customHeight="1" spans="1:11">
      <c r="A426" s="10" t="s">
        <v>18816</v>
      </c>
      <c r="B426" s="11" t="s">
        <v>18817</v>
      </c>
      <c r="C426" s="12">
        <v>25897.5043</v>
      </c>
      <c r="D426" s="12">
        <v>2.5898</v>
      </c>
      <c r="E426" s="12">
        <v>0.4993</v>
      </c>
      <c r="F426" s="12">
        <v>0</v>
      </c>
      <c r="G426" s="12">
        <v>2.5898</v>
      </c>
      <c r="H426" s="12">
        <v>0</v>
      </c>
      <c r="I426" s="12">
        <v>0</v>
      </c>
      <c r="J426" s="12">
        <v>5.6789</v>
      </c>
      <c r="K426" s="12">
        <v>3.0891</v>
      </c>
    </row>
    <row r="427" ht="15.75" customHeight="1" spans="1:11">
      <c r="A427" s="10" t="s">
        <v>18818</v>
      </c>
      <c r="B427" s="11" t="s">
        <v>18819</v>
      </c>
      <c r="C427" s="12">
        <v>267801</v>
      </c>
      <c r="D427" s="12">
        <v>26.7801</v>
      </c>
      <c r="E427" s="12">
        <v>5.1635</v>
      </c>
      <c r="F427" s="12">
        <v>0</v>
      </c>
      <c r="G427" s="12">
        <v>26.7801</v>
      </c>
      <c r="H427" s="12">
        <v>0</v>
      </c>
      <c r="I427" s="12">
        <v>0</v>
      </c>
      <c r="J427" s="12">
        <v>58.7237</v>
      </c>
      <c r="K427" s="12">
        <v>31.9436</v>
      </c>
    </row>
    <row r="428" ht="15.75" customHeight="1" spans="1:11">
      <c r="A428" s="10" t="s">
        <v>18820</v>
      </c>
      <c r="B428" s="11" t="s">
        <v>18821</v>
      </c>
      <c r="C428" s="12">
        <v>205615</v>
      </c>
      <c r="D428" s="12">
        <v>21.8466</v>
      </c>
      <c r="E428" s="12">
        <v>3.9645</v>
      </c>
      <c r="F428" s="12">
        <v>0</v>
      </c>
      <c r="G428" s="12">
        <v>20.5615</v>
      </c>
      <c r="H428" s="12">
        <v>0</v>
      </c>
      <c r="I428" s="12">
        <v>26.5829</v>
      </c>
      <c r="J428" s="12">
        <v>72.9555</v>
      </c>
      <c r="K428" s="12">
        <v>52.394</v>
      </c>
    </row>
    <row r="429" ht="15.75" customHeight="1" spans="1:11">
      <c r="A429" s="7" t="s">
        <v>15853</v>
      </c>
      <c r="B429" s="8" t="s">
        <v>18822</v>
      </c>
      <c r="C429" s="9"/>
      <c r="D429" s="9"/>
      <c r="E429" s="9"/>
      <c r="F429" s="9"/>
      <c r="G429" s="9"/>
      <c r="H429" s="9"/>
      <c r="I429" s="9"/>
      <c r="J429" s="9">
        <v>274.4424</v>
      </c>
      <c r="K429" s="9">
        <v>87.7806</v>
      </c>
    </row>
    <row r="430" ht="15.75" customHeight="1" spans="1:11">
      <c r="A430" s="10" t="s">
        <v>18823</v>
      </c>
      <c r="B430" s="11" t="s">
        <v>18824</v>
      </c>
      <c r="C430" s="12">
        <v>484151.5458</v>
      </c>
      <c r="D430" s="12">
        <v>29.0491</v>
      </c>
      <c r="E430" s="12">
        <v>8.9616</v>
      </c>
      <c r="F430" s="12">
        <v>3.6311</v>
      </c>
      <c r="G430" s="12">
        <v>43.5736</v>
      </c>
      <c r="H430" s="12">
        <v>135.7854</v>
      </c>
      <c r="I430" s="12">
        <v>38.1454</v>
      </c>
      <c r="J430" s="12">
        <v>259.1462</v>
      </c>
      <c r="K430" s="12">
        <v>79.7872</v>
      </c>
    </row>
    <row r="431" ht="15.75" customHeight="1" spans="1:11">
      <c r="A431" s="10" t="s">
        <v>18825</v>
      </c>
      <c r="B431" s="11" t="s">
        <v>18826</v>
      </c>
      <c r="C431" s="12">
        <v>81142.7</v>
      </c>
      <c r="D431" s="12">
        <v>6.4914</v>
      </c>
      <c r="E431" s="12">
        <v>1.502</v>
      </c>
      <c r="F431" s="12">
        <v>0</v>
      </c>
      <c r="G431" s="12">
        <v>7.3028</v>
      </c>
      <c r="H431" s="12">
        <v>0</v>
      </c>
      <c r="I431" s="12">
        <v>0</v>
      </c>
      <c r="J431" s="12">
        <v>15.2962</v>
      </c>
      <c r="K431" s="12">
        <v>7.9934</v>
      </c>
    </row>
    <row r="432" ht="15.75" customHeight="1" spans="1:11">
      <c r="A432" s="7" t="s">
        <v>15854</v>
      </c>
      <c r="B432" s="8" t="s">
        <v>18827</v>
      </c>
      <c r="C432" s="9"/>
      <c r="D432" s="9"/>
      <c r="E432" s="9"/>
      <c r="F432" s="9"/>
      <c r="G432" s="9"/>
      <c r="H432" s="9"/>
      <c r="I432" s="9"/>
      <c r="J432" s="9">
        <v>427.8472</v>
      </c>
      <c r="K432" s="9">
        <v>110.7661</v>
      </c>
    </row>
    <row r="433" ht="15.75" customHeight="1" spans="1:11">
      <c r="A433" s="10" t="s">
        <v>18828</v>
      </c>
      <c r="B433" s="11" t="s">
        <v>18829</v>
      </c>
      <c r="C433" s="12">
        <v>661381.9965</v>
      </c>
      <c r="D433" s="12">
        <v>33.0691</v>
      </c>
      <c r="E433" s="12">
        <v>11.9021</v>
      </c>
      <c r="F433" s="12">
        <v>4.8226</v>
      </c>
      <c r="G433" s="12">
        <v>49.6036</v>
      </c>
      <c r="H433" s="12">
        <v>248.4136</v>
      </c>
      <c r="I433" s="12">
        <v>38.1454</v>
      </c>
      <c r="J433" s="12">
        <v>385.9564</v>
      </c>
      <c r="K433" s="12">
        <v>87.9392</v>
      </c>
    </row>
    <row r="434" ht="15.75" customHeight="1" spans="1:11">
      <c r="A434" s="10" t="s">
        <v>18830</v>
      </c>
      <c r="B434" s="11" t="s">
        <v>18831</v>
      </c>
      <c r="C434" s="12">
        <v>338913.5033</v>
      </c>
      <c r="D434" s="12">
        <v>16.9457</v>
      </c>
      <c r="E434" s="12">
        <v>5.8812</v>
      </c>
      <c r="F434" s="12">
        <v>0</v>
      </c>
      <c r="G434" s="12">
        <v>19.0639</v>
      </c>
      <c r="H434" s="12">
        <v>0</v>
      </c>
      <c r="I434" s="12">
        <v>0</v>
      </c>
      <c r="J434" s="12">
        <v>41.8908</v>
      </c>
      <c r="K434" s="12">
        <v>22.8269</v>
      </c>
    </row>
    <row r="435" ht="15.75" customHeight="1" spans="1:11">
      <c r="A435" s="7" t="s">
        <v>15855</v>
      </c>
      <c r="B435" s="8" t="s">
        <v>18832</v>
      </c>
      <c r="C435" s="9"/>
      <c r="D435" s="9"/>
      <c r="E435" s="9"/>
      <c r="F435" s="9"/>
      <c r="G435" s="9"/>
      <c r="H435" s="9"/>
      <c r="I435" s="9"/>
      <c r="J435" s="9">
        <v>575.9944</v>
      </c>
      <c r="K435" s="9">
        <v>169.7785</v>
      </c>
    </row>
    <row r="436" ht="15.75" customHeight="1" spans="1:11">
      <c r="A436" s="10" t="s">
        <v>18833</v>
      </c>
      <c r="B436" s="11" t="s">
        <v>18834</v>
      </c>
      <c r="C436" s="12">
        <v>783273.2503</v>
      </c>
      <c r="D436" s="12">
        <v>39.1637</v>
      </c>
      <c r="E436" s="12">
        <v>14.0957</v>
      </c>
      <c r="F436" s="12">
        <v>5.7114</v>
      </c>
      <c r="G436" s="12">
        <v>58.7455</v>
      </c>
      <c r="H436" s="12">
        <v>278.939</v>
      </c>
      <c r="I436" s="12">
        <v>38.1454</v>
      </c>
      <c r="J436" s="12">
        <v>434.8007</v>
      </c>
      <c r="K436" s="12">
        <v>97.1162</v>
      </c>
    </row>
    <row r="437" ht="15.75" customHeight="1" spans="1:11">
      <c r="A437" s="10" t="s">
        <v>18835</v>
      </c>
      <c r="B437" s="11" t="s">
        <v>18836</v>
      </c>
      <c r="C437" s="12">
        <v>609168.2223</v>
      </c>
      <c r="D437" s="12">
        <v>60.9168</v>
      </c>
      <c r="E437" s="12">
        <v>11.7455</v>
      </c>
      <c r="F437" s="12">
        <v>0</v>
      </c>
      <c r="G437" s="12">
        <v>68.5314</v>
      </c>
      <c r="H437" s="12">
        <v>0</v>
      </c>
      <c r="I437" s="12">
        <v>0</v>
      </c>
      <c r="J437" s="12">
        <v>141.1937</v>
      </c>
      <c r="K437" s="12">
        <v>72.6623</v>
      </c>
    </row>
    <row r="438" ht="15.75" customHeight="1" spans="1:11">
      <c r="A438" s="7" t="s">
        <v>15856</v>
      </c>
      <c r="B438" s="8" t="s">
        <v>18837</v>
      </c>
      <c r="C438" s="9"/>
      <c r="D438" s="9"/>
      <c r="E438" s="9"/>
      <c r="F438" s="9"/>
      <c r="G438" s="9"/>
      <c r="H438" s="9"/>
      <c r="I438" s="9"/>
      <c r="J438" s="9">
        <v>340.8252</v>
      </c>
      <c r="K438" s="9">
        <v>84.0914</v>
      </c>
    </row>
    <row r="439" ht="15.75" customHeight="1" spans="1:11">
      <c r="A439" s="10" t="s">
        <v>18838</v>
      </c>
      <c r="B439" s="11" t="s">
        <v>18839</v>
      </c>
      <c r="C439" s="12">
        <v>610274.0402</v>
      </c>
      <c r="D439" s="12">
        <v>30.5137</v>
      </c>
      <c r="E439" s="12">
        <v>10.9824</v>
      </c>
      <c r="F439" s="12">
        <v>4.4499</v>
      </c>
      <c r="G439" s="12">
        <v>45.7706</v>
      </c>
      <c r="H439" s="12">
        <v>210.9632</v>
      </c>
      <c r="I439" s="12">
        <v>38.1454</v>
      </c>
      <c r="J439" s="12">
        <v>340.8252</v>
      </c>
      <c r="K439" s="12">
        <v>84.0914</v>
      </c>
    </row>
    <row r="440" ht="15.75" customHeight="1" spans="1:11">
      <c r="A440" s="7" t="s">
        <v>15868</v>
      </c>
      <c r="B440" s="8" t="s">
        <v>18840</v>
      </c>
      <c r="C440" s="9"/>
      <c r="D440" s="9"/>
      <c r="E440" s="9"/>
      <c r="F440" s="9"/>
      <c r="G440" s="9"/>
      <c r="H440" s="9"/>
      <c r="I440" s="9"/>
      <c r="J440" s="9">
        <v>6.6204</v>
      </c>
      <c r="K440" s="9">
        <v>4.4906</v>
      </c>
    </row>
    <row r="441" ht="15.75" customHeight="1" spans="1:11">
      <c r="A441" s="10" t="s">
        <v>18841</v>
      </c>
      <c r="B441" s="11" t="s">
        <v>18842</v>
      </c>
      <c r="C441" s="12">
        <v>34076.4681</v>
      </c>
      <c r="D441" s="12">
        <v>3.8336</v>
      </c>
      <c r="E441" s="12">
        <v>0.657</v>
      </c>
      <c r="F441" s="12">
        <v>0</v>
      </c>
      <c r="G441" s="12">
        <v>2.1298</v>
      </c>
      <c r="H441" s="12">
        <v>0</v>
      </c>
      <c r="I441" s="12">
        <v>0</v>
      </c>
      <c r="J441" s="12">
        <v>6.6204</v>
      </c>
      <c r="K441" s="12">
        <v>4.4906</v>
      </c>
    </row>
    <row r="442" ht="15.75" customHeight="1" spans="1:11">
      <c r="A442" s="7" t="s">
        <v>15869</v>
      </c>
      <c r="B442" s="8" t="s">
        <v>18843</v>
      </c>
      <c r="C442" s="9"/>
      <c r="D442" s="9"/>
      <c r="E442" s="9"/>
      <c r="F442" s="9"/>
      <c r="G442" s="9"/>
      <c r="H442" s="9"/>
      <c r="I442" s="9"/>
      <c r="J442" s="9">
        <v>104.2006</v>
      </c>
      <c r="K442" s="9">
        <v>56.2126</v>
      </c>
    </row>
    <row r="443" ht="15.75" customHeight="1" spans="1:11">
      <c r="A443" s="10" t="s">
        <v>18844</v>
      </c>
      <c r="B443" s="11" t="s">
        <v>18845</v>
      </c>
      <c r="C443" s="12">
        <v>426559.7324</v>
      </c>
      <c r="D443" s="12">
        <v>47.988</v>
      </c>
      <c r="E443" s="12">
        <v>8.2246</v>
      </c>
      <c r="F443" s="12">
        <v>0</v>
      </c>
      <c r="G443" s="12">
        <v>47.988</v>
      </c>
      <c r="H443" s="12">
        <v>0</v>
      </c>
      <c r="I443" s="12">
        <v>0</v>
      </c>
      <c r="J443" s="12">
        <v>104.2006</v>
      </c>
      <c r="K443" s="12">
        <v>56.2126</v>
      </c>
    </row>
    <row r="444" ht="15.75" customHeight="1" spans="1:11">
      <c r="A444" s="7" t="s">
        <v>15881</v>
      </c>
      <c r="B444" s="8" t="s">
        <v>18846</v>
      </c>
      <c r="C444" s="9"/>
      <c r="D444" s="9"/>
      <c r="E444" s="9"/>
      <c r="F444" s="9"/>
      <c r="G444" s="9"/>
      <c r="H444" s="9"/>
      <c r="I444" s="9"/>
      <c r="J444" s="9">
        <v>325.7579</v>
      </c>
      <c r="K444" s="9">
        <v>97.5921</v>
      </c>
    </row>
    <row r="445" ht="15.75" customHeight="1" spans="1:11">
      <c r="A445" s="10" t="s">
        <v>18847</v>
      </c>
      <c r="B445" s="11" t="s">
        <v>18848</v>
      </c>
      <c r="C445" s="12">
        <v>741896.1728</v>
      </c>
      <c r="D445" s="12">
        <v>37.0948</v>
      </c>
      <c r="E445" s="12">
        <v>13.351</v>
      </c>
      <c r="F445" s="12">
        <v>5.4097</v>
      </c>
      <c r="G445" s="12">
        <v>55.6422</v>
      </c>
      <c r="H445" s="12">
        <v>162.876</v>
      </c>
      <c r="I445" s="12">
        <v>31.5074</v>
      </c>
      <c r="J445" s="12">
        <v>305.8811</v>
      </c>
      <c r="K445" s="12">
        <v>87.3629</v>
      </c>
    </row>
    <row r="446" ht="15.75" customHeight="1" spans="1:11">
      <c r="A446" s="10" t="s">
        <v>18849</v>
      </c>
      <c r="B446" s="11" t="s">
        <v>18850</v>
      </c>
      <c r="C446" s="12">
        <v>85756.5</v>
      </c>
      <c r="D446" s="12">
        <v>8.5757</v>
      </c>
      <c r="E446" s="12">
        <v>1.6535</v>
      </c>
      <c r="F446" s="12">
        <v>0</v>
      </c>
      <c r="G446" s="12">
        <v>9.6476</v>
      </c>
      <c r="H446" s="12">
        <v>0</v>
      </c>
      <c r="I446" s="12">
        <v>0</v>
      </c>
      <c r="J446" s="12">
        <v>19.8768</v>
      </c>
      <c r="K446" s="12">
        <v>10.2292</v>
      </c>
    </row>
    <row r="447" ht="15.75" customHeight="1" spans="1:11">
      <c r="A447" s="7" t="s">
        <v>15882</v>
      </c>
      <c r="B447" s="8" t="s">
        <v>18851</v>
      </c>
      <c r="C447" s="9"/>
      <c r="D447" s="9"/>
      <c r="E447" s="9"/>
      <c r="F447" s="9"/>
      <c r="G447" s="9"/>
      <c r="H447" s="9"/>
      <c r="I447" s="9"/>
      <c r="J447" s="9">
        <v>678.8096</v>
      </c>
      <c r="K447" s="9">
        <v>165.3152</v>
      </c>
    </row>
    <row r="448" ht="15.75" customHeight="1" spans="1:11">
      <c r="A448" s="10" t="s">
        <v>18786</v>
      </c>
      <c r="B448" s="11" t="s">
        <v>18787</v>
      </c>
      <c r="C448" s="12">
        <v>1091155.8045</v>
      </c>
      <c r="D448" s="12">
        <v>65.4693</v>
      </c>
      <c r="E448" s="12">
        <v>20.1973</v>
      </c>
      <c r="F448" s="12">
        <v>8.1837</v>
      </c>
      <c r="G448" s="12">
        <v>98.204</v>
      </c>
      <c r="H448" s="12">
        <v>387.3568</v>
      </c>
      <c r="I448" s="12">
        <v>38.1454</v>
      </c>
      <c r="J448" s="12">
        <v>617.5565</v>
      </c>
      <c r="K448" s="12">
        <v>131.9957</v>
      </c>
    </row>
    <row r="449" ht="15.75" customHeight="1" spans="1:11">
      <c r="A449" s="10" t="s">
        <v>18852</v>
      </c>
      <c r="B449" s="11" t="s">
        <v>18853</v>
      </c>
      <c r="C449" s="12">
        <v>279335.5</v>
      </c>
      <c r="D449" s="12">
        <v>27.9336</v>
      </c>
      <c r="E449" s="12">
        <v>5.3859</v>
      </c>
      <c r="F449" s="12">
        <v>0</v>
      </c>
      <c r="G449" s="12">
        <v>27.9336</v>
      </c>
      <c r="H449" s="12">
        <v>0</v>
      </c>
      <c r="I449" s="12">
        <v>0</v>
      </c>
      <c r="J449" s="12">
        <v>61.2531</v>
      </c>
      <c r="K449" s="12">
        <v>33.3195</v>
      </c>
    </row>
    <row r="450" ht="15.75" customHeight="1" spans="1:11">
      <c r="A450" s="7" t="s">
        <v>15884</v>
      </c>
      <c r="B450" s="8" t="s">
        <v>18854</v>
      </c>
      <c r="C450" s="9"/>
      <c r="D450" s="9"/>
      <c r="E450" s="9"/>
      <c r="F450" s="9"/>
      <c r="G450" s="9"/>
      <c r="H450" s="9"/>
      <c r="I450" s="9"/>
      <c r="J450" s="9">
        <v>696.884</v>
      </c>
      <c r="K450" s="9">
        <v>231.8119</v>
      </c>
    </row>
    <row r="451" ht="15.75" customHeight="1" spans="1:11">
      <c r="A451" s="10" t="s">
        <v>18791</v>
      </c>
      <c r="B451" s="11" t="s">
        <v>18792</v>
      </c>
      <c r="C451" s="12">
        <v>935828.1109</v>
      </c>
      <c r="D451" s="12">
        <v>46.7914</v>
      </c>
      <c r="E451" s="12">
        <v>16.841</v>
      </c>
      <c r="F451" s="12">
        <v>6.8237</v>
      </c>
      <c r="G451" s="12">
        <v>70.1871</v>
      </c>
      <c r="H451" s="12">
        <v>282.3184</v>
      </c>
      <c r="I451" s="12">
        <v>38.1454</v>
      </c>
      <c r="J451" s="12">
        <v>461.107</v>
      </c>
      <c r="K451" s="12">
        <v>108.6015</v>
      </c>
    </row>
    <row r="452" ht="15.75" customHeight="1" spans="1:11">
      <c r="A452" s="10" t="s">
        <v>18855</v>
      </c>
      <c r="B452" s="11" t="s">
        <v>18856</v>
      </c>
      <c r="C452" s="12">
        <v>749824.5454</v>
      </c>
      <c r="D452" s="12">
        <v>59.986</v>
      </c>
      <c r="E452" s="12">
        <v>13.8793</v>
      </c>
      <c r="F452" s="12">
        <v>0</v>
      </c>
      <c r="G452" s="12">
        <v>67.4842</v>
      </c>
      <c r="H452" s="12">
        <v>0</v>
      </c>
      <c r="I452" s="12">
        <v>0</v>
      </c>
      <c r="J452" s="12">
        <v>141.3495</v>
      </c>
      <c r="K452" s="12">
        <v>73.8653</v>
      </c>
    </row>
    <row r="453" ht="15.75" customHeight="1" spans="1:11">
      <c r="A453" s="10" t="s">
        <v>18857</v>
      </c>
      <c r="B453" s="11" t="s">
        <v>18858</v>
      </c>
      <c r="C453" s="12">
        <v>500915.527</v>
      </c>
      <c r="D453" s="12">
        <v>40.0732</v>
      </c>
      <c r="E453" s="12">
        <v>9.2719</v>
      </c>
      <c r="F453" s="12">
        <v>0</v>
      </c>
      <c r="G453" s="12">
        <v>45.0824</v>
      </c>
      <c r="H453" s="12">
        <v>0</v>
      </c>
      <c r="I453" s="12">
        <v>0</v>
      </c>
      <c r="J453" s="12">
        <v>94.4275</v>
      </c>
      <c r="K453" s="12">
        <v>49.3451</v>
      </c>
    </row>
    <row r="454" ht="15.75" customHeight="1" spans="1:11">
      <c r="A454" s="7" t="s">
        <v>18859</v>
      </c>
      <c r="B454" s="8" t="s">
        <v>18860</v>
      </c>
      <c r="C454" s="9"/>
      <c r="D454" s="9"/>
      <c r="E454" s="9"/>
      <c r="F454" s="9"/>
      <c r="G454" s="9"/>
      <c r="H454" s="9"/>
      <c r="I454" s="9"/>
      <c r="J454" s="9">
        <v>780.903</v>
      </c>
      <c r="K454" s="9">
        <v>275.4687</v>
      </c>
    </row>
    <row r="455" ht="15.75" customHeight="1" spans="1:11">
      <c r="A455" s="10" t="s">
        <v>18855</v>
      </c>
      <c r="B455" s="11" t="s">
        <v>18856</v>
      </c>
      <c r="C455" s="12">
        <v>749824.5454</v>
      </c>
      <c r="D455" s="12">
        <v>59.986</v>
      </c>
      <c r="E455" s="12">
        <v>13.8793</v>
      </c>
      <c r="F455" s="12">
        <v>0</v>
      </c>
      <c r="G455" s="12">
        <v>67.4842</v>
      </c>
      <c r="H455" s="12">
        <v>0</v>
      </c>
      <c r="I455" s="12">
        <v>0</v>
      </c>
      <c r="J455" s="12">
        <v>141.3495</v>
      </c>
      <c r="K455" s="12">
        <v>73.8653</v>
      </c>
    </row>
    <row r="456" ht="15.75" customHeight="1" spans="1:11">
      <c r="A456" s="10" t="s">
        <v>18861</v>
      </c>
      <c r="B456" s="11" t="s">
        <v>18862</v>
      </c>
      <c r="C456" s="12">
        <v>1012541.0941</v>
      </c>
      <c r="D456" s="12">
        <v>50.6271</v>
      </c>
      <c r="E456" s="12">
        <v>18.2215</v>
      </c>
      <c r="F456" s="12">
        <v>7.3831</v>
      </c>
      <c r="G456" s="12">
        <v>75.9406</v>
      </c>
      <c r="H456" s="12">
        <v>282.3184</v>
      </c>
      <c r="I456" s="12">
        <v>38.1454</v>
      </c>
      <c r="J456" s="12">
        <v>472.6361</v>
      </c>
      <c r="K456" s="12">
        <v>114.3771</v>
      </c>
    </row>
    <row r="457" ht="15.75" customHeight="1" spans="1:11">
      <c r="A457" s="10" t="s">
        <v>18863</v>
      </c>
      <c r="B457" s="11" t="s">
        <v>18864</v>
      </c>
      <c r="C457" s="12">
        <v>384540.9971</v>
      </c>
      <c r="D457" s="12">
        <v>30.7633</v>
      </c>
      <c r="E457" s="12">
        <v>7.1179</v>
      </c>
      <c r="F457" s="12">
        <v>0</v>
      </c>
      <c r="G457" s="12">
        <v>34.6087</v>
      </c>
      <c r="H457" s="12">
        <v>0</v>
      </c>
      <c r="I457" s="12">
        <v>0</v>
      </c>
      <c r="J457" s="12">
        <v>72.4899</v>
      </c>
      <c r="K457" s="12">
        <v>37.8812</v>
      </c>
    </row>
    <row r="458" ht="15.75" customHeight="1" spans="1:11">
      <c r="A458" s="10" t="s">
        <v>18857</v>
      </c>
      <c r="B458" s="11" t="s">
        <v>18858</v>
      </c>
      <c r="C458" s="12">
        <v>500915.527</v>
      </c>
      <c r="D458" s="12">
        <v>40.0732</v>
      </c>
      <c r="E458" s="12">
        <v>9.2719</v>
      </c>
      <c r="F458" s="12">
        <v>0</v>
      </c>
      <c r="G458" s="12">
        <v>45.0824</v>
      </c>
      <c r="H458" s="12">
        <v>0</v>
      </c>
      <c r="I458" s="12">
        <v>0</v>
      </c>
      <c r="J458" s="12">
        <v>94.4275</v>
      </c>
      <c r="K458" s="12">
        <v>49.3451</v>
      </c>
    </row>
    <row r="459" ht="15.75" customHeight="1" spans="1:11">
      <c r="A459" s="7" t="s">
        <v>18865</v>
      </c>
      <c r="B459" s="8" t="s">
        <v>18866</v>
      </c>
      <c r="C459" s="9"/>
      <c r="D459" s="9"/>
      <c r="E459" s="9"/>
      <c r="F459" s="9"/>
      <c r="G459" s="9"/>
      <c r="H459" s="9"/>
      <c r="I459" s="9"/>
      <c r="J459" s="9">
        <v>1503.1029</v>
      </c>
      <c r="K459" s="9">
        <v>608.6786</v>
      </c>
    </row>
    <row r="460" ht="15.75" customHeight="1" spans="1:11">
      <c r="A460" s="10" t="s">
        <v>18867</v>
      </c>
      <c r="B460" s="11" t="s">
        <v>18868</v>
      </c>
      <c r="C460" s="12">
        <v>5133835.275</v>
      </c>
      <c r="D460" s="12">
        <v>256.6918</v>
      </c>
      <c r="E460" s="12">
        <v>92.3876</v>
      </c>
      <c r="F460" s="12">
        <v>37.4342</v>
      </c>
      <c r="G460" s="12">
        <v>385.0376</v>
      </c>
      <c r="H460" s="12">
        <v>341.264</v>
      </c>
      <c r="I460" s="12">
        <v>38.1454</v>
      </c>
      <c r="J460" s="12">
        <v>1150.9606</v>
      </c>
      <c r="K460" s="12">
        <v>424.659</v>
      </c>
    </row>
    <row r="461" ht="15.75" customHeight="1" spans="1:11">
      <c r="A461" s="10" t="s">
        <v>18855</v>
      </c>
      <c r="B461" s="11" t="s">
        <v>18856</v>
      </c>
      <c r="C461" s="12">
        <v>749824.5454</v>
      </c>
      <c r="D461" s="12">
        <v>59.986</v>
      </c>
      <c r="E461" s="12">
        <v>13.8793</v>
      </c>
      <c r="F461" s="12">
        <v>0</v>
      </c>
      <c r="G461" s="12">
        <v>67.4842</v>
      </c>
      <c r="H461" s="12">
        <v>0</v>
      </c>
      <c r="I461" s="12">
        <v>0</v>
      </c>
      <c r="J461" s="12">
        <v>141.3495</v>
      </c>
      <c r="K461" s="12">
        <v>73.8653</v>
      </c>
    </row>
    <row r="462" ht="15.75" customHeight="1" spans="1:11">
      <c r="A462" s="10" t="s">
        <v>18869</v>
      </c>
      <c r="B462" s="11" t="s">
        <v>18870</v>
      </c>
      <c r="C462" s="12">
        <v>617290.0568</v>
      </c>
      <c r="D462" s="12">
        <v>49.3832</v>
      </c>
      <c r="E462" s="12">
        <v>11.426</v>
      </c>
      <c r="F462" s="12">
        <v>0</v>
      </c>
      <c r="G462" s="12">
        <v>55.5561</v>
      </c>
      <c r="H462" s="12">
        <v>0</v>
      </c>
      <c r="I462" s="12">
        <v>0</v>
      </c>
      <c r="J462" s="12">
        <v>116.3653</v>
      </c>
      <c r="K462" s="12">
        <v>60.8092</v>
      </c>
    </row>
    <row r="463" ht="15.75" customHeight="1" spans="1:11">
      <c r="A463" s="10" t="s">
        <v>18857</v>
      </c>
      <c r="B463" s="11" t="s">
        <v>18858</v>
      </c>
      <c r="C463" s="12">
        <v>500915.527</v>
      </c>
      <c r="D463" s="12">
        <v>40.0732</v>
      </c>
      <c r="E463" s="12">
        <v>9.2719</v>
      </c>
      <c r="F463" s="12">
        <v>0</v>
      </c>
      <c r="G463" s="12">
        <v>45.0824</v>
      </c>
      <c r="H463" s="12">
        <v>0</v>
      </c>
      <c r="I463" s="12">
        <v>0</v>
      </c>
      <c r="J463" s="12">
        <v>94.4275</v>
      </c>
      <c r="K463" s="12">
        <v>49.3451</v>
      </c>
    </row>
    <row r="464" ht="30" customHeight="1" spans="1:11">
      <c r="A464" s="7" t="s">
        <v>18871</v>
      </c>
      <c r="B464" s="8" t="s">
        <v>18872</v>
      </c>
      <c r="C464" s="9"/>
      <c r="D464" s="9"/>
      <c r="E464" s="9"/>
      <c r="F464" s="9"/>
      <c r="G464" s="9"/>
      <c r="H464" s="9"/>
      <c r="I464" s="9"/>
      <c r="J464" s="9">
        <v>420.6817</v>
      </c>
      <c r="K464" s="9">
        <v>134.3834</v>
      </c>
    </row>
    <row r="465" ht="30" customHeight="1" spans="1:11">
      <c r="A465" s="10" t="s">
        <v>18873</v>
      </c>
      <c r="B465" s="11" t="s">
        <v>18874</v>
      </c>
      <c r="C465" s="12">
        <v>396318.634</v>
      </c>
      <c r="D465" s="12">
        <v>39.6319</v>
      </c>
      <c r="E465" s="12">
        <v>7.6415</v>
      </c>
      <c r="F465" s="12">
        <v>0</v>
      </c>
      <c r="G465" s="12">
        <v>39.6319</v>
      </c>
      <c r="H465" s="12">
        <v>0</v>
      </c>
      <c r="I465" s="12">
        <v>0</v>
      </c>
      <c r="J465" s="12">
        <v>86.9053</v>
      </c>
      <c r="K465" s="12">
        <v>47.2734</v>
      </c>
    </row>
    <row r="466" ht="15.75" customHeight="1" spans="1:11">
      <c r="A466" s="10" t="s">
        <v>18807</v>
      </c>
      <c r="B466" s="11" t="s">
        <v>18808</v>
      </c>
      <c r="C466" s="12">
        <v>650368.4376</v>
      </c>
      <c r="D466" s="12">
        <v>32.5184</v>
      </c>
      <c r="E466" s="12">
        <v>11.7039</v>
      </c>
      <c r="F466" s="12">
        <v>4.7423</v>
      </c>
      <c r="G466" s="12">
        <v>48.7776</v>
      </c>
      <c r="H466" s="12">
        <v>197.8888</v>
      </c>
      <c r="I466" s="12">
        <v>38.1454</v>
      </c>
      <c r="J466" s="12">
        <v>333.7764</v>
      </c>
      <c r="K466" s="12">
        <v>87.11</v>
      </c>
    </row>
    <row r="467" ht="15.75" customHeight="1" spans="1:11">
      <c r="A467" s="7" t="s">
        <v>15886</v>
      </c>
      <c r="B467" s="8" t="s">
        <v>18875</v>
      </c>
      <c r="C467" s="9"/>
      <c r="D467" s="9"/>
      <c r="E467" s="9"/>
      <c r="F467" s="9"/>
      <c r="G467" s="9"/>
      <c r="H467" s="9"/>
      <c r="I467" s="9"/>
      <c r="J467" s="9">
        <v>356.8697</v>
      </c>
      <c r="K467" s="9">
        <v>116.8238</v>
      </c>
    </row>
    <row r="468" ht="15.75" customHeight="1" spans="1:11">
      <c r="A468" s="10" t="s">
        <v>18876</v>
      </c>
      <c r="B468" s="11" t="s">
        <v>18877</v>
      </c>
      <c r="C468" s="12">
        <v>741896.1728</v>
      </c>
      <c r="D468" s="12">
        <v>37.0948</v>
      </c>
      <c r="E468" s="12">
        <v>13.351</v>
      </c>
      <c r="F468" s="12">
        <v>5.4097</v>
      </c>
      <c r="G468" s="12">
        <v>55.6422</v>
      </c>
      <c r="H468" s="12">
        <v>162.876</v>
      </c>
      <c r="I468" s="12">
        <v>38.6964</v>
      </c>
      <c r="J468" s="12">
        <v>313.0701</v>
      </c>
      <c r="K468" s="12">
        <v>94.5519</v>
      </c>
    </row>
    <row r="469" ht="15.75" customHeight="1" spans="1:11">
      <c r="A469" s="10" t="s">
        <v>18878</v>
      </c>
      <c r="B469" s="11" t="s">
        <v>18879</v>
      </c>
      <c r="C469" s="12">
        <v>155477.7308</v>
      </c>
      <c r="D469" s="12">
        <v>19.1357</v>
      </c>
      <c r="E469" s="12">
        <v>3.1362</v>
      </c>
      <c r="F469" s="12">
        <v>0</v>
      </c>
      <c r="G469" s="12">
        <v>21.5277</v>
      </c>
      <c r="H469" s="12">
        <v>0</v>
      </c>
      <c r="I469" s="12">
        <v>0</v>
      </c>
      <c r="J469" s="12">
        <v>43.7996</v>
      </c>
      <c r="K469" s="12">
        <v>22.2719</v>
      </c>
    </row>
    <row r="470" ht="15.75" customHeight="1" spans="1:11">
      <c r="A470" s="7" t="s">
        <v>15887</v>
      </c>
      <c r="B470" s="8" t="s">
        <v>18880</v>
      </c>
      <c r="C470" s="9"/>
      <c r="D470" s="9"/>
      <c r="E470" s="9"/>
      <c r="F470" s="9"/>
      <c r="G470" s="9"/>
      <c r="H470" s="9"/>
      <c r="I470" s="9"/>
      <c r="J470" s="9">
        <v>347.7634</v>
      </c>
      <c r="K470" s="9">
        <v>138.2529</v>
      </c>
    </row>
    <row r="471" ht="30" customHeight="1" spans="1:11">
      <c r="A471" s="10" t="s">
        <v>18881</v>
      </c>
      <c r="B471" s="11" t="s">
        <v>18882</v>
      </c>
      <c r="C471" s="12">
        <v>389494.4178</v>
      </c>
      <c r="D471" s="12">
        <v>23.3697</v>
      </c>
      <c r="E471" s="12">
        <v>7.2095</v>
      </c>
      <c r="F471" s="12">
        <v>2.9212</v>
      </c>
      <c r="G471" s="12">
        <v>35.0545</v>
      </c>
      <c r="H471" s="12">
        <v>126.312</v>
      </c>
      <c r="I471" s="12">
        <v>47.3257</v>
      </c>
      <c r="J471" s="12">
        <v>242.1926</v>
      </c>
      <c r="K471" s="12">
        <v>80.8261</v>
      </c>
    </row>
    <row r="472" ht="15.75" customHeight="1" spans="1:11">
      <c r="A472" s="10" t="s">
        <v>18883</v>
      </c>
      <c r="B472" s="11" t="s">
        <v>18884</v>
      </c>
      <c r="C472" s="12">
        <v>481440</v>
      </c>
      <c r="D472" s="12">
        <v>48.144</v>
      </c>
      <c r="E472" s="12">
        <v>9.2828</v>
      </c>
      <c r="F472" s="12">
        <v>0</v>
      </c>
      <c r="G472" s="12">
        <v>48.144</v>
      </c>
      <c r="H472" s="12">
        <v>0</v>
      </c>
      <c r="I472" s="12">
        <v>0</v>
      </c>
      <c r="J472" s="12">
        <v>105.5708</v>
      </c>
      <c r="K472" s="12">
        <v>57.4268</v>
      </c>
    </row>
    <row r="473" ht="15.75" customHeight="1" spans="1:11">
      <c r="A473" s="7" t="s">
        <v>15903</v>
      </c>
      <c r="B473" s="8" t="s">
        <v>18885</v>
      </c>
      <c r="C473" s="9"/>
      <c r="D473" s="9"/>
      <c r="E473" s="9"/>
      <c r="F473" s="9"/>
      <c r="G473" s="9"/>
      <c r="H473" s="9"/>
      <c r="I473" s="9"/>
      <c r="J473" s="9">
        <v>200.0991</v>
      </c>
      <c r="K473" s="9">
        <v>78.4111</v>
      </c>
    </row>
    <row r="474" ht="15.75" customHeight="1" spans="1:11">
      <c r="A474" s="10" t="s">
        <v>18886</v>
      </c>
      <c r="B474" s="11" t="s">
        <v>18887</v>
      </c>
      <c r="C474" s="12">
        <v>527649.7167</v>
      </c>
      <c r="D474" s="12">
        <v>26.3825</v>
      </c>
      <c r="E474" s="12">
        <v>9.4955</v>
      </c>
      <c r="F474" s="12">
        <v>3.8474</v>
      </c>
      <c r="G474" s="12">
        <v>39.5737</v>
      </c>
      <c r="H474" s="12">
        <v>75.344</v>
      </c>
      <c r="I474" s="12">
        <v>31.5074</v>
      </c>
      <c r="J474" s="12">
        <v>186.1505</v>
      </c>
      <c r="K474" s="12">
        <v>71.2328</v>
      </c>
    </row>
    <row r="475" ht="15.75" customHeight="1" spans="1:11">
      <c r="A475" s="10" t="s">
        <v>18888</v>
      </c>
      <c r="B475" s="11" t="s">
        <v>18889</v>
      </c>
      <c r="C475" s="12">
        <v>60180</v>
      </c>
      <c r="D475" s="12">
        <v>6.018</v>
      </c>
      <c r="E475" s="12">
        <v>1.1603</v>
      </c>
      <c r="F475" s="12">
        <v>0</v>
      </c>
      <c r="G475" s="12">
        <v>6.7703</v>
      </c>
      <c r="H475" s="12">
        <v>0</v>
      </c>
      <c r="I475" s="12">
        <v>0</v>
      </c>
      <c r="J475" s="12">
        <v>13.9486</v>
      </c>
      <c r="K475" s="12">
        <v>7.1783</v>
      </c>
    </row>
    <row r="476" ht="15.75" customHeight="1" spans="1:11">
      <c r="A476" s="7" t="s">
        <v>15904</v>
      </c>
      <c r="B476" s="8" t="s">
        <v>18890</v>
      </c>
      <c r="C476" s="9"/>
      <c r="D476" s="9"/>
      <c r="E476" s="9"/>
      <c r="F476" s="9"/>
      <c r="G476" s="9"/>
      <c r="H476" s="9"/>
      <c r="I476" s="9"/>
      <c r="J476" s="9">
        <v>197.067</v>
      </c>
      <c r="K476" s="9">
        <v>77.0071</v>
      </c>
    </row>
    <row r="477" ht="15.75" customHeight="1" spans="1:11">
      <c r="A477" s="10" t="s">
        <v>18891</v>
      </c>
      <c r="B477" s="11" t="s">
        <v>18892</v>
      </c>
      <c r="C477" s="12">
        <v>553008.8362</v>
      </c>
      <c r="D477" s="12">
        <v>27.6504</v>
      </c>
      <c r="E477" s="12">
        <v>9.9519</v>
      </c>
      <c r="F477" s="12">
        <v>4.0324</v>
      </c>
      <c r="G477" s="12">
        <v>41.4757</v>
      </c>
      <c r="H477" s="12">
        <v>75.344</v>
      </c>
      <c r="I477" s="12">
        <v>31.5074</v>
      </c>
      <c r="J477" s="12">
        <v>189.9618</v>
      </c>
      <c r="K477" s="12">
        <v>73.1421</v>
      </c>
    </row>
    <row r="478" ht="15.75" customHeight="1" spans="1:11">
      <c r="A478" s="10" t="s">
        <v>18893</v>
      </c>
      <c r="B478" s="11" t="s">
        <v>18894</v>
      </c>
      <c r="C478" s="12">
        <v>32402.1172</v>
      </c>
      <c r="D478" s="12">
        <v>3.2402</v>
      </c>
      <c r="E478" s="12">
        <v>0.6248</v>
      </c>
      <c r="F478" s="12">
        <v>0</v>
      </c>
      <c r="G478" s="12">
        <v>3.2402</v>
      </c>
      <c r="H478" s="12">
        <v>0</v>
      </c>
      <c r="I478" s="12">
        <v>0</v>
      </c>
      <c r="J478" s="12">
        <v>7.1052</v>
      </c>
      <c r="K478" s="12">
        <v>3.865</v>
      </c>
    </row>
    <row r="479" ht="15.75" customHeight="1" spans="1:11">
      <c r="A479" s="7" t="s">
        <v>15905</v>
      </c>
      <c r="B479" s="8" t="s">
        <v>18895</v>
      </c>
      <c r="C479" s="9"/>
      <c r="D479" s="9"/>
      <c r="E479" s="9"/>
      <c r="F479" s="9"/>
      <c r="G479" s="9"/>
      <c r="H479" s="9"/>
      <c r="I479" s="9"/>
      <c r="J479" s="9">
        <v>336.2448</v>
      </c>
      <c r="K479" s="9">
        <v>109.5798</v>
      </c>
    </row>
    <row r="480" ht="30" customHeight="1" spans="1:11">
      <c r="A480" s="10" t="s">
        <v>18896</v>
      </c>
      <c r="B480" s="11" t="s">
        <v>18897</v>
      </c>
      <c r="C480" s="12">
        <v>524165.528</v>
      </c>
      <c r="D480" s="12">
        <v>31.4499</v>
      </c>
      <c r="E480" s="12">
        <v>9.7023</v>
      </c>
      <c r="F480" s="12">
        <v>3.9312</v>
      </c>
      <c r="G480" s="12">
        <v>47.1749</v>
      </c>
      <c r="H480" s="12">
        <v>143.1536</v>
      </c>
      <c r="I480" s="12">
        <v>31.5074</v>
      </c>
      <c r="J480" s="12">
        <v>266.9193</v>
      </c>
      <c r="K480" s="12">
        <v>76.5908</v>
      </c>
    </row>
    <row r="481" ht="15.75" customHeight="1" spans="1:11">
      <c r="A481" s="10" t="s">
        <v>18898</v>
      </c>
      <c r="B481" s="11" t="s">
        <v>18899</v>
      </c>
      <c r="C481" s="12">
        <v>214353.4148</v>
      </c>
      <c r="D481" s="12">
        <v>28.5805</v>
      </c>
      <c r="E481" s="12">
        <v>4.4085</v>
      </c>
      <c r="F481" s="12">
        <v>0</v>
      </c>
      <c r="G481" s="12">
        <v>28.5805</v>
      </c>
      <c r="H481" s="12">
        <v>7.756</v>
      </c>
      <c r="I481" s="12">
        <v>0</v>
      </c>
      <c r="J481" s="12">
        <v>69.3255</v>
      </c>
      <c r="K481" s="12">
        <v>32.989</v>
      </c>
    </row>
    <row r="482" ht="15.75" customHeight="1" spans="1:11">
      <c r="A482" s="7" t="s">
        <v>15912</v>
      </c>
      <c r="B482" s="8" t="s">
        <v>18900</v>
      </c>
      <c r="C482" s="9"/>
      <c r="D482" s="9"/>
      <c r="E482" s="9"/>
      <c r="F482" s="9"/>
      <c r="G482" s="9"/>
      <c r="H482" s="9"/>
      <c r="I482" s="9"/>
      <c r="J482" s="9">
        <v>203.5862</v>
      </c>
      <c r="K482" s="9">
        <v>80.2057</v>
      </c>
    </row>
    <row r="483" ht="15.75" customHeight="1" spans="1:11">
      <c r="A483" s="10" t="s">
        <v>18886</v>
      </c>
      <c r="B483" s="11" t="s">
        <v>18887</v>
      </c>
      <c r="C483" s="12">
        <v>527649.7167</v>
      </c>
      <c r="D483" s="12">
        <v>26.3825</v>
      </c>
      <c r="E483" s="12">
        <v>9.4955</v>
      </c>
      <c r="F483" s="12">
        <v>3.8474</v>
      </c>
      <c r="G483" s="12">
        <v>39.5737</v>
      </c>
      <c r="H483" s="12">
        <v>75.344</v>
      </c>
      <c r="I483" s="12">
        <v>31.5074</v>
      </c>
      <c r="J483" s="12">
        <v>186.1505</v>
      </c>
      <c r="K483" s="12">
        <v>71.2328</v>
      </c>
    </row>
    <row r="484" ht="15.75" customHeight="1" spans="1:11">
      <c r="A484" s="10" t="s">
        <v>18901</v>
      </c>
      <c r="B484" s="11" t="s">
        <v>18902</v>
      </c>
      <c r="C484" s="12">
        <v>75225</v>
      </c>
      <c r="D484" s="12">
        <v>7.5225</v>
      </c>
      <c r="E484" s="12">
        <v>1.4504</v>
      </c>
      <c r="F484" s="12">
        <v>0</v>
      </c>
      <c r="G484" s="12">
        <v>8.4628</v>
      </c>
      <c r="H484" s="12">
        <v>0</v>
      </c>
      <c r="I484" s="12">
        <v>0</v>
      </c>
      <c r="J484" s="12">
        <v>17.4357</v>
      </c>
      <c r="K484" s="12">
        <v>8.9729</v>
      </c>
    </row>
    <row r="485" ht="15.75" customHeight="1" spans="1:11">
      <c r="A485" s="7" t="s">
        <v>18903</v>
      </c>
      <c r="B485" s="8" t="s">
        <v>18904</v>
      </c>
      <c r="C485" s="9"/>
      <c r="D485" s="9"/>
      <c r="E485" s="9"/>
      <c r="F485" s="9"/>
      <c r="G485" s="9"/>
      <c r="H485" s="9"/>
      <c r="I485" s="9"/>
      <c r="J485" s="9">
        <v>274.6571</v>
      </c>
      <c r="K485" s="9">
        <v>66.42</v>
      </c>
    </row>
    <row r="486" ht="30" customHeight="1" spans="1:11">
      <c r="A486" s="10" t="s">
        <v>18905</v>
      </c>
      <c r="B486" s="11" t="s">
        <v>18906</v>
      </c>
      <c r="C486" s="12">
        <v>553008.8362</v>
      </c>
      <c r="D486" s="12">
        <v>33.1805</v>
      </c>
      <c r="E486" s="12">
        <v>10.2362</v>
      </c>
      <c r="F486" s="12">
        <v>4.1476</v>
      </c>
      <c r="G486" s="12">
        <v>49.7708</v>
      </c>
      <c r="H486" s="12">
        <v>143.1536</v>
      </c>
      <c r="I486" s="12">
        <v>0</v>
      </c>
      <c r="J486" s="12">
        <v>240.4887</v>
      </c>
      <c r="K486" s="12">
        <v>47.5643</v>
      </c>
    </row>
    <row r="487" ht="15.75" customHeight="1" spans="1:11">
      <c r="A487" s="10" t="s">
        <v>18907</v>
      </c>
      <c r="B487" s="11" t="s">
        <v>18908</v>
      </c>
      <c r="C487" s="12">
        <v>191408.508</v>
      </c>
      <c r="D487" s="12">
        <v>15.3127</v>
      </c>
      <c r="E487" s="12">
        <v>3.543</v>
      </c>
      <c r="F487" s="12">
        <v>0</v>
      </c>
      <c r="G487" s="12">
        <v>15.3127</v>
      </c>
      <c r="H487" s="12">
        <v>0</v>
      </c>
      <c r="I487" s="12">
        <v>0</v>
      </c>
      <c r="J487" s="12">
        <v>34.1684</v>
      </c>
      <c r="K487" s="12">
        <v>18.8557</v>
      </c>
    </row>
    <row r="488" ht="15.75" customHeight="1" spans="1:11">
      <c r="A488" s="7" t="s">
        <v>15946</v>
      </c>
      <c r="B488" s="8" t="s">
        <v>18909</v>
      </c>
      <c r="C488" s="9"/>
      <c r="D488" s="9"/>
      <c r="E488" s="9"/>
      <c r="F488" s="9"/>
      <c r="G488" s="9"/>
      <c r="H488" s="9"/>
      <c r="I488" s="9"/>
      <c r="J488" s="9">
        <v>363.3192</v>
      </c>
      <c r="K488" s="9">
        <v>98.1613</v>
      </c>
    </row>
    <row r="489" ht="30" customHeight="1" spans="1:11">
      <c r="A489" s="10" t="s">
        <v>18910</v>
      </c>
      <c r="B489" s="11" t="s">
        <v>18911</v>
      </c>
      <c r="C489" s="12">
        <v>652037.4871</v>
      </c>
      <c r="D489" s="12">
        <v>39.1222</v>
      </c>
      <c r="E489" s="12">
        <v>12.0692</v>
      </c>
      <c r="F489" s="12">
        <v>4.8903</v>
      </c>
      <c r="G489" s="12">
        <v>58.6834</v>
      </c>
      <c r="H489" s="12">
        <v>197.8888</v>
      </c>
      <c r="I489" s="12">
        <v>31.5074</v>
      </c>
      <c r="J489" s="12">
        <v>344.1613</v>
      </c>
      <c r="K489" s="12">
        <v>87.5891</v>
      </c>
    </row>
    <row r="490" ht="15.75" customHeight="1" spans="1:11">
      <c r="A490" s="10" t="s">
        <v>18912</v>
      </c>
      <c r="B490" s="11" t="s">
        <v>18913</v>
      </c>
      <c r="C490" s="12">
        <v>107321</v>
      </c>
      <c r="D490" s="12">
        <v>8.5857</v>
      </c>
      <c r="E490" s="12">
        <v>1.9865</v>
      </c>
      <c r="F490" s="12">
        <v>0</v>
      </c>
      <c r="G490" s="12">
        <v>8.5857</v>
      </c>
      <c r="H490" s="12">
        <v>0</v>
      </c>
      <c r="I490" s="12">
        <v>0</v>
      </c>
      <c r="J490" s="12">
        <v>19.1579</v>
      </c>
      <c r="K490" s="12">
        <v>10.5722</v>
      </c>
    </row>
    <row r="491" ht="15.75" customHeight="1" spans="1:11">
      <c r="A491" s="7" t="s">
        <v>15948</v>
      </c>
      <c r="B491" s="8" t="s">
        <v>18914</v>
      </c>
      <c r="C491" s="9"/>
      <c r="D491" s="9"/>
      <c r="E491" s="9"/>
      <c r="F491" s="9"/>
      <c r="G491" s="9"/>
      <c r="H491" s="9"/>
      <c r="I491" s="9"/>
      <c r="J491" s="9">
        <v>327.6246</v>
      </c>
      <c r="K491" s="9">
        <v>98.5527</v>
      </c>
    </row>
    <row r="492" ht="15.75" customHeight="1" spans="1:11">
      <c r="A492" s="10" t="s">
        <v>18847</v>
      </c>
      <c r="B492" s="11" t="s">
        <v>18848</v>
      </c>
      <c r="C492" s="12">
        <v>741896.1728</v>
      </c>
      <c r="D492" s="12">
        <v>37.0948</v>
      </c>
      <c r="E492" s="12">
        <v>13.351</v>
      </c>
      <c r="F492" s="12">
        <v>5.4097</v>
      </c>
      <c r="G492" s="12">
        <v>55.6422</v>
      </c>
      <c r="H492" s="12">
        <v>162.876</v>
      </c>
      <c r="I492" s="12">
        <v>31.5074</v>
      </c>
      <c r="J492" s="12">
        <v>305.8811</v>
      </c>
      <c r="K492" s="12">
        <v>87.3629</v>
      </c>
    </row>
    <row r="493" ht="15.75" customHeight="1" spans="1:11">
      <c r="A493" s="10" t="s">
        <v>18915</v>
      </c>
      <c r="B493" s="11" t="s">
        <v>18916</v>
      </c>
      <c r="C493" s="12">
        <v>93810.3719</v>
      </c>
      <c r="D493" s="12">
        <v>9.381</v>
      </c>
      <c r="E493" s="12">
        <v>1.8088</v>
      </c>
      <c r="F493" s="12">
        <v>0</v>
      </c>
      <c r="G493" s="12">
        <v>10.5537</v>
      </c>
      <c r="H493" s="12">
        <v>0</v>
      </c>
      <c r="I493" s="12">
        <v>0</v>
      </c>
      <c r="J493" s="12">
        <v>21.7435</v>
      </c>
      <c r="K493" s="12">
        <v>11.1898</v>
      </c>
    </row>
    <row r="494" ht="15.75" customHeight="1" spans="1:11">
      <c r="A494" s="7" t="s">
        <v>14319</v>
      </c>
      <c r="B494" s="8" t="s">
        <v>14320</v>
      </c>
      <c r="C494" s="9"/>
      <c r="D494" s="9"/>
      <c r="E494" s="9"/>
      <c r="F494" s="9"/>
      <c r="G494" s="9"/>
      <c r="H494" s="9"/>
      <c r="I494" s="9"/>
      <c r="J494" s="9">
        <v>313.6417</v>
      </c>
      <c r="K494" s="9">
        <v>91.5224</v>
      </c>
    </row>
    <row r="495" ht="15.75" customHeight="1" spans="1:11">
      <c r="A495" s="10" t="s">
        <v>18917</v>
      </c>
      <c r="B495" s="11" t="s">
        <v>18918</v>
      </c>
      <c r="C495" s="12">
        <v>661276.0686</v>
      </c>
      <c r="D495" s="12">
        <v>33.0638</v>
      </c>
      <c r="E495" s="12">
        <v>11.9002</v>
      </c>
      <c r="F495" s="12">
        <v>4.8218</v>
      </c>
      <c r="G495" s="12">
        <v>49.5957</v>
      </c>
      <c r="H495" s="12">
        <v>162.876</v>
      </c>
      <c r="I495" s="12">
        <v>31.5074</v>
      </c>
      <c r="J495" s="12">
        <v>293.7649</v>
      </c>
      <c r="K495" s="12">
        <v>81.2932</v>
      </c>
    </row>
    <row r="496" ht="15.75" customHeight="1" spans="1:11">
      <c r="A496" s="10" t="s">
        <v>18919</v>
      </c>
      <c r="B496" s="11" t="s">
        <v>18920</v>
      </c>
      <c r="C496" s="12">
        <v>85756.5</v>
      </c>
      <c r="D496" s="12">
        <v>8.5757</v>
      </c>
      <c r="E496" s="12">
        <v>1.6535</v>
      </c>
      <c r="F496" s="12">
        <v>0</v>
      </c>
      <c r="G496" s="12">
        <v>9.6476</v>
      </c>
      <c r="H496" s="12">
        <v>0</v>
      </c>
      <c r="I496" s="12">
        <v>0</v>
      </c>
      <c r="J496" s="12">
        <v>19.8768</v>
      </c>
      <c r="K496" s="12">
        <v>10.2292</v>
      </c>
    </row>
    <row r="497" ht="15.75" customHeight="1" spans="1:11">
      <c r="A497" s="7" t="s">
        <v>14315</v>
      </c>
      <c r="B497" s="8" t="s">
        <v>14316</v>
      </c>
      <c r="C497" s="9"/>
      <c r="D497" s="9"/>
      <c r="E497" s="9"/>
      <c r="F497" s="9"/>
      <c r="G497" s="9"/>
      <c r="H497" s="9"/>
      <c r="I497" s="9"/>
      <c r="J497" s="9">
        <v>284.8759</v>
      </c>
      <c r="K497" s="9">
        <v>85.8102</v>
      </c>
    </row>
    <row r="498" ht="15.75" customHeight="1" spans="1:11">
      <c r="A498" s="10" t="s">
        <v>18921</v>
      </c>
      <c r="B498" s="11" t="s">
        <v>18922</v>
      </c>
      <c r="C498" s="12">
        <v>650368.4376</v>
      </c>
      <c r="D498" s="12">
        <v>32.5184</v>
      </c>
      <c r="E498" s="12">
        <v>11.7039</v>
      </c>
      <c r="F498" s="12">
        <v>4.7423</v>
      </c>
      <c r="G498" s="12">
        <v>48.7776</v>
      </c>
      <c r="H498" s="12">
        <v>145.8128</v>
      </c>
      <c r="I498" s="12">
        <v>31.5074</v>
      </c>
      <c r="J498" s="12">
        <v>275.0624</v>
      </c>
      <c r="K498" s="12">
        <v>80.472</v>
      </c>
    </row>
    <row r="499" ht="15.75" customHeight="1" spans="1:11">
      <c r="A499" s="10" t="s">
        <v>18923</v>
      </c>
      <c r="B499" s="11" t="s">
        <v>18924</v>
      </c>
      <c r="C499" s="12">
        <v>44753.4337</v>
      </c>
      <c r="D499" s="12">
        <v>4.4753</v>
      </c>
      <c r="E499" s="12">
        <v>0.8629</v>
      </c>
      <c r="F499" s="12">
        <v>0</v>
      </c>
      <c r="G499" s="12">
        <v>4.4753</v>
      </c>
      <c r="H499" s="12">
        <v>0</v>
      </c>
      <c r="I499" s="12">
        <v>0</v>
      </c>
      <c r="J499" s="12">
        <v>9.8135</v>
      </c>
      <c r="K499" s="12">
        <v>5.3382</v>
      </c>
    </row>
    <row r="500" ht="15.75" customHeight="1" spans="1:11">
      <c r="A500" s="7" t="s">
        <v>15968</v>
      </c>
      <c r="B500" s="8" t="s">
        <v>18925</v>
      </c>
      <c r="C500" s="9"/>
      <c r="D500" s="9"/>
      <c r="E500" s="9"/>
      <c r="F500" s="9"/>
      <c r="G500" s="9"/>
      <c r="H500" s="9"/>
      <c r="I500" s="9"/>
      <c r="J500" s="9">
        <v>393.4713</v>
      </c>
      <c r="K500" s="9">
        <v>124.5257</v>
      </c>
    </row>
    <row r="501" ht="15.75" customHeight="1" spans="1:11">
      <c r="A501" s="10" t="s">
        <v>18926</v>
      </c>
      <c r="B501" s="11" t="s">
        <v>18927</v>
      </c>
      <c r="C501" s="12">
        <v>755427.7524</v>
      </c>
      <c r="D501" s="12">
        <v>37.7714</v>
      </c>
      <c r="E501" s="12">
        <v>13.5946</v>
      </c>
      <c r="F501" s="12">
        <v>5.5083</v>
      </c>
      <c r="G501" s="12">
        <v>56.6571</v>
      </c>
      <c r="H501" s="12">
        <v>183.0416</v>
      </c>
      <c r="I501" s="12">
        <v>38.1454</v>
      </c>
      <c r="J501" s="12">
        <v>334.7184</v>
      </c>
      <c r="K501" s="12">
        <v>95.0197</v>
      </c>
    </row>
    <row r="502" ht="15.75" customHeight="1" spans="1:11">
      <c r="A502" s="10" t="s">
        <v>18928</v>
      </c>
      <c r="B502" s="11" t="s">
        <v>18929</v>
      </c>
      <c r="C502" s="12">
        <v>162482.6618</v>
      </c>
      <c r="D502" s="12">
        <v>25.9972</v>
      </c>
      <c r="E502" s="12">
        <v>3.5088</v>
      </c>
      <c r="F502" s="12">
        <v>0</v>
      </c>
      <c r="G502" s="12">
        <v>29.2469</v>
      </c>
      <c r="H502" s="12">
        <v>0</v>
      </c>
      <c r="I502" s="12">
        <v>0</v>
      </c>
      <c r="J502" s="12">
        <v>58.7529</v>
      </c>
      <c r="K502" s="12">
        <v>29.506</v>
      </c>
    </row>
    <row r="503" ht="15.75" customHeight="1" spans="1:11">
      <c r="A503" s="7" t="s">
        <v>15971</v>
      </c>
      <c r="B503" s="8" t="s">
        <v>18930</v>
      </c>
      <c r="C503" s="9"/>
      <c r="D503" s="9"/>
      <c r="E503" s="9"/>
      <c r="F503" s="9"/>
      <c r="G503" s="9"/>
      <c r="H503" s="9"/>
      <c r="I503" s="9"/>
      <c r="J503" s="9">
        <v>332.0177</v>
      </c>
      <c r="K503" s="9">
        <v>100.6011</v>
      </c>
    </row>
    <row r="504" ht="15.75" customHeight="1" spans="1:11">
      <c r="A504" s="10" t="s">
        <v>18931</v>
      </c>
      <c r="B504" s="11" t="s">
        <v>18932</v>
      </c>
      <c r="C504" s="12">
        <v>787910.3026</v>
      </c>
      <c r="D504" s="12">
        <v>39.3955</v>
      </c>
      <c r="E504" s="12">
        <v>14.1791</v>
      </c>
      <c r="F504" s="12">
        <v>5.7452</v>
      </c>
      <c r="G504" s="12">
        <v>59.0933</v>
      </c>
      <c r="H504" s="12">
        <v>162.876</v>
      </c>
      <c r="I504" s="12">
        <v>31.5074</v>
      </c>
      <c r="J504" s="12">
        <v>312.7965</v>
      </c>
      <c r="K504" s="12">
        <v>90.8272</v>
      </c>
    </row>
    <row r="505" ht="15.75" customHeight="1" spans="1:11">
      <c r="A505" s="10" t="s">
        <v>18933</v>
      </c>
      <c r="B505" s="11" t="s">
        <v>18934</v>
      </c>
      <c r="C505" s="12">
        <v>68230.1539</v>
      </c>
      <c r="D505" s="12">
        <v>8.3976</v>
      </c>
      <c r="E505" s="12">
        <v>1.3763</v>
      </c>
      <c r="F505" s="12">
        <v>0</v>
      </c>
      <c r="G505" s="12">
        <v>9.4473</v>
      </c>
      <c r="H505" s="12">
        <v>0</v>
      </c>
      <c r="I505" s="12">
        <v>0</v>
      </c>
      <c r="J505" s="12">
        <v>19.2212</v>
      </c>
      <c r="K505" s="12">
        <v>9.7739</v>
      </c>
    </row>
    <row r="506" ht="15.75" customHeight="1" spans="1:11">
      <c r="A506" s="7" t="s">
        <v>15972</v>
      </c>
      <c r="B506" s="8" t="s">
        <v>18935</v>
      </c>
      <c r="C506" s="9"/>
      <c r="D506" s="9"/>
      <c r="E506" s="9"/>
      <c r="F506" s="9"/>
      <c r="G506" s="9"/>
      <c r="H506" s="9"/>
      <c r="I506" s="9"/>
      <c r="J506" s="9">
        <v>283.0334</v>
      </c>
      <c r="K506" s="9">
        <v>85.4833</v>
      </c>
    </row>
    <row r="507" ht="30" customHeight="1" spans="1:11">
      <c r="A507" s="10" t="s">
        <v>18896</v>
      </c>
      <c r="B507" s="11" t="s">
        <v>18897</v>
      </c>
      <c r="C507" s="12">
        <v>524165.528</v>
      </c>
      <c r="D507" s="12">
        <v>31.4499</v>
      </c>
      <c r="E507" s="12">
        <v>9.7023</v>
      </c>
      <c r="F507" s="12">
        <v>3.9312</v>
      </c>
      <c r="G507" s="12">
        <v>47.1749</v>
      </c>
      <c r="H507" s="12">
        <v>143.1536</v>
      </c>
      <c r="I507" s="12">
        <v>31.5074</v>
      </c>
      <c r="J507" s="12">
        <v>266.9193</v>
      </c>
      <c r="K507" s="12">
        <v>76.5908</v>
      </c>
    </row>
    <row r="508" ht="15.75" customHeight="1" spans="1:11">
      <c r="A508" s="10" t="s">
        <v>18936</v>
      </c>
      <c r="B508" s="11" t="s">
        <v>18937</v>
      </c>
      <c r="C508" s="12">
        <v>90270</v>
      </c>
      <c r="D508" s="12">
        <v>7.2216</v>
      </c>
      <c r="E508" s="12">
        <v>1.6709</v>
      </c>
      <c r="F508" s="12">
        <v>0</v>
      </c>
      <c r="G508" s="12">
        <v>7.2216</v>
      </c>
      <c r="H508" s="12">
        <v>0</v>
      </c>
      <c r="I508" s="12">
        <v>0</v>
      </c>
      <c r="J508" s="12">
        <v>16.1141</v>
      </c>
      <c r="K508" s="12">
        <v>8.8925</v>
      </c>
    </row>
    <row r="509" ht="15.75" customHeight="1" spans="1:11">
      <c r="A509" s="7" t="s">
        <v>1088</v>
      </c>
      <c r="B509" s="8" t="s">
        <v>1089</v>
      </c>
      <c r="C509" s="9"/>
      <c r="D509" s="9"/>
      <c r="E509" s="9"/>
      <c r="F509" s="9"/>
      <c r="G509" s="9"/>
      <c r="H509" s="9"/>
      <c r="I509" s="9"/>
      <c r="J509" s="9">
        <v>460.2465</v>
      </c>
      <c r="K509" s="9">
        <v>186.5849</v>
      </c>
    </row>
    <row r="510" ht="15.75" customHeight="1" spans="1:11">
      <c r="A510" s="10" t="s">
        <v>18938</v>
      </c>
      <c r="B510" s="11" t="s">
        <v>18939</v>
      </c>
      <c r="C510" s="12">
        <v>425687.4317</v>
      </c>
      <c r="D510" s="12">
        <v>25.5412</v>
      </c>
      <c r="E510" s="12">
        <v>7.8795</v>
      </c>
      <c r="F510" s="12">
        <v>3.1927</v>
      </c>
      <c r="G510" s="12">
        <v>38.3119</v>
      </c>
      <c r="H510" s="12">
        <v>135.7854</v>
      </c>
      <c r="I510" s="12">
        <v>31.5074</v>
      </c>
      <c r="J510" s="12">
        <v>242.2181</v>
      </c>
      <c r="K510" s="12">
        <v>68.1208</v>
      </c>
    </row>
    <row r="511" ht="15.75" customHeight="1" spans="1:11">
      <c r="A511" s="10" t="s">
        <v>18940</v>
      </c>
      <c r="B511" s="11" t="s">
        <v>18941</v>
      </c>
      <c r="C511" s="12">
        <v>731939.25</v>
      </c>
      <c r="D511" s="12">
        <v>77.7685</v>
      </c>
      <c r="E511" s="12">
        <v>14.1127</v>
      </c>
      <c r="F511" s="12">
        <v>0</v>
      </c>
      <c r="G511" s="12">
        <v>73.1939</v>
      </c>
      <c r="H511" s="12">
        <v>26.3704</v>
      </c>
      <c r="I511" s="12">
        <v>26.5829</v>
      </c>
      <c r="J511" s="12">
        <v>218.0284</v>
      </c>
      <c r="K511" s="12">
        <v>118.4641</v>
      </c>
    </row>
    <row r="512" ht="15.75" customHeight="1" spans="1:11">
      <c r="A512" s="7" t="s">
        <v>16003</v>
      </c>
      <c r="B512" s="8" t="s">
        <v>18942</v>
      </c>
      <c r="C512" s="9"/>
      <c r="D512" s="9"/>
      <c r="E512" s="9"/>
      <c r="F512" s="9"/>
      <c r="G512" s="9"/>
      <c r="H512" s="9"/>
      <c r="I512" s="9"/>
      <c r="J512" s="9">
        <v>701.9375</v>
      </c>
      <c r="K512" s="9">
        <v>311.331</v>
      </c>
    </row>
    <row r="513" ht="15.75" customHeight="1" spans="1:11">
      <c r="A513" s="10" t="s">
        <v>18943</v>
      </c>
      <c r="B513" s="11" t="s">
        <v>18944</v>
      </c>
      <c r="C513" s="12">
        <v>148209.2489</v>
      </c>
      <c r="D513" s="12">
        <v>11.8567</v>
      </c>
      <c r="E513" s="12">
        <v>2.7434</v>
      </c>
      <c r="F513" s="12">
        <v>0</v>
      </c>
      <c r="G513" s="12">
        <v>11.8567</v>
      </c>
      <c r="H513" s="12">
        <v>28.3482</v>
      </c>
      <c r="I513" s="12">
        <v>0</v>
      </c>
      <c r="J513" s="12">
        <v>54.805</v>
      </c>
      <c r="K513" s="12">
        <v>14.6001</v>
      </c>
    </row>
    <row r="514" ht="30" customHeight="1" spans="1:11">
      <c r="A514" s="10" t="s">
        <v>18945</v>
      </c>
      <c r="B514" s="11" t="s">
        <v>18946</v>
      </c>
      <c r="C514" s="12">
        <v>553008.8362</v>
      </c>
      <c r="D514" s="12">
        <v>33.1805</v>
      </c>
      <c r="E514" s="12">
        <v>10.2362</v>
      </c>
      <c r="F514" s="12">
        <v>4.1476</v>
      </c>
      <c r="G514" s="12">
        <v>49.7708</v>
      </c>
      <c r="H514" s="12">
        <v>143.1536</v>
      </c>
      <c r="I514" s="12">
        <v>31.5074</v>
      </c>
      <c r="J514" s="12">
        <v>271.9961</v>
      </c>
      <c r="K514" s="12">
        <v>79.0717</v>
      </c>
    </row>
    <row r="515" ht="15.75" customHeight="1" spans="1:11">
      <c r="A515" s="10" t="s">
        <v>18947</v>
      </c>
      <c r="B515" s="11" t="s">
        <v>18948</v>
      </c>
      <c r="C515" s="12">
        <v>1522141.5062</v>
      </c>
      <c r="D515" s="12">
        <v>161.7275</v>
      </c>
      <c r="E515" s="12">
        <v>29.3488</v>
      </c>
      <c r="F515" s="12">
        <v>0</v>
      </c>
      <c r="G515" s="12">
        <v>152.2142</v>
      </c>
      <c r="H515" s="12">
        <v>5.263</v>
      </c>
      <c r="I515" s="12">
        <v>26.5829</v>
      </c>
      <c r="J515" s="12">
        <v>375.1364</v>
      </c>
      <c r="K515" s="12">
        <v>217.6592</v>
      </c>
    </row>
    <row r="516" ht="15.75" customHeight="1" spans="1:11">
      <c r="A516" s="7" t="s">
        <v>1103</v>
      </c>
      <c r="B516" s="8" t="s">
        <v>18949</v>
      </c>
      <c r="C516" s="9"/>
      <c r="D516" s="9"/>
      <c r="E516" s="9"/>
      <c r="F516" s="9"/>
      <c r="G516" s="9"/>
      <c r="H516" s="9"/>
      <c r="I516" s="9"/>
      <c r="J516" s="9">
        <v>430.6894</v>
      </c>
      <c r="K516" s="9">
        <v>128.9857</v>
      </c>
    </row>
    <row r="517" ht="15.75" customHeight="1" spans="1:11">
      <c r="A517" s="10" t="s">
        <v>18950</v>
      </c>
      <c r="B517" s="11" t="s">
        <v>18951</v>
      </c>
      <c r="C517" s="12">
        <v>747247.8005</v>
      </c>
      <c r="D517" s="12">
        <v>37.3624</v>
      </c>
      <c r="E517" s="12">
        <v>13.4473</v>
      </c>
      <c r="F517" s="12">
        <v>5.4487</v>
      </c>
      <c r="G517" s="12">
        <v>56.0436</v>
      </c>
      <c r="H517" s="12">
        <v>214.0656</v>
      </c>
      <c r="I517" s="12">
        <v>38.1454</v>
      </c>
      <c r="J517" s="12">
        <v>364.513</v>
      </c>
      <c r="K517" s="12">
        <v>94.4038</v>
      </c>
    </row>
    <row r="518" ht="15.75" customHeight="1" spans="1:11">
      <c r="A518" s="10" t="s">
        <v>18952</v>
      </c>
      <c r="B518" s="11" t="s">
        <v>18953</v>
      </c>
      <c r="C518" s="12">
        <v>351050</v>
      </c>
      <c r="D518" s="12">
        <v>28.084</v>
      </c>
      <c r="E518" s="12">
        <v>6.4979</v>
      </c>
      <c r="F518" s="12">
        <v>0</v>
      </c>
      <c r="G518" s="12">
        <v>31.5945</v>
      </c>
      <c r="H518" s="12">
        <v>0</v>
      </c>
      <c r="I518" s="12">
        <v>0</v>
      </c>
      <c r="J518" s="12">
        <v>66.1764</v>
      </c>
      <c r="K518" s="12">
        <v>34.5819</v>
      </c>
    </row>
    <row r="519" ht="15.75" customHeight="1" spans="1:11">
      <c r="A519" s="7" t="s">
        <v>1104</v>
      </c>
      <c r="B519" s="8" t="s">
        <v>18954</v>
      </c>
      <c r="C519" s="9"/>
      <c r="D519" s="9"/>
      <c r="E519" s="9"/>
      <c r="F519" s="9"/>
      <c r="G519" s="9"/>
      <c r="H519" s="9"/>
      <c r="I519" s="9"/>
      <c r="J519" s="9">
        <v>478.0725</v>
      </c>
      <c r="K519" s="9">
        <v>142.8167</v>
      </c>
    </row>
    <row r="520" ht="15.75" customHeight="1" spans="1:11">
      <c r="A520" s="10" t="s">
        <v>18955</v>
      </c>
      <c r="B520" s="11" t="s">
        <v>18956</v>
      </c>
      <c r="C520" s="12">
        <v>867961.1865</v>
      </c>
      <c r="D520" s="12">
        <v>43.3981</v>
      </c>
      <c r="E520" s="12">
        <v>15.6197</v>
      </c>
      <c r="F520" s="12">
        <v>6.3289</v>
      </c>
      <c r="G520" s="12">
        <v>65.0971</v>
      </c>
      <c r="H520" s="12">
        <v>234.2312</v>
      </c>
      <c r="I520" s="12">
        <v>38.1454</v>
      </c>
      <c r="J520" s="12">
        <v>402.8204</v>
      </c>
      <c r="K520" s="12">
        <v>103.4921</v>
      </c>
    </row>
    <row r="521" ht="15.75" customHeight="1" spans="1:11">
      <c r="A521" s="10" t="s">
        <v>18957</v>
      </c>
      <c r="B521" s="11" t="s">
        <v>18958</v>
      </c>
      <c r="C521" s="12">
        <v>399194</v>
      </c>
      <c r="D521" s="12">
        <v>31.9355</v>
      </c>
      <c r="E521" s="12">
        <v>7.3891</v>
      </c>
      <c r="F521" s="12">
        <v>0</v>
      </c>
      <c r="G521" s="12">
        <v>35.9275</v>
      </c>
      <c r="H521" s="12">
        <v>0</v>
      </c>
      <c r="I521" s="12">
        <v>0</v>
      </c>
      <c r="J521" s="12">
        <v>75.2521</v>
      </c>
      <c r="K521" s="12">
        <v>39.3246</v>
      </c>
    </row>
    <row r="522" ht="15.75" customHeight="1" spans="1:11">
      <c r="A522" s="7" t="s">
        <v>1056</v>
      </c>
      <c r="B522" s="8" t="s">
        <v>1057</v>
      </c>
      <c r="C522" s="9"/>
      <c r="D522" s="9"/>
      <c r="E522" s="9"/>
      <c r="F522" s="9"/>
      <c r="G522" s="9"/>
      <c r="H522" s="9"/>
      <c r="I522" s="9"/>
      <c r="J522" s="9">
        <v>326.8179</v>
      </c>
      <c r="K522" s="9">
        <v>98.1376</v>
      </c>
    </row>
    <row r="523" ht="15.75" customHeight="1" spans="1:11">
      <c r="A523" s="10" t="s">
        <v>18847</v>
      </c>
      <c r="B523" s="11" t="s">
        <v>18848</v>
      </c>
      <c r="C523" s="12">
        <v>741896.1728</v>
      </c>
      <c r="D523" s="12">
        <v>37.0948</v>
      </c>
      <c r="E523" s="12">
        <v>13.351</v>
      </c>
      <c r="F523" s="12">
        <v>5.4097</v>
      </c>
      <c r="G523" s="12">
        <v>55.6422</v>
      </c>
      <c r="H523" s="12">
        <v>162.876</v>
      </c>
      <c r="I523" s="12">
        <v>31.5074</v>
      </c>
      <c r="J523" s="12">
        <v>305.8811</v>
      </c>
      <c r="K523" s="12">
        <v>87.3629</v>
      </c>
    </row>
    <row r="524" ht="15.75" customHeight="1" spans="1:11">
      <c r="A524" s="10" t="s">
        <v>18959</v>
      </c>
      <c r="B524" s="11" t="s">
        <v>18960</v>
      </c>
      <c r="C524" s="12">
        <v>90330.18</v>
      </c>
      <c r="D524" s="12">
        <v>9.033</v>
      </c>
      <c r="E524" s="12">
        <v>1.7417</v>
      </c>
      <c r="F524" s="12">
        <v>0</v>
      </c>
      <c r="G524" s="12">
        <v>10.1621</v>
      </c>
      <c r="H524" s="12">
        <v>0</v>
      </c>
      <c r="I524" s="12">
        <v>0</v>
      </c>
      <c r="J524" s="12">
        <v>20.9368</v>
      </c>
      <c r="K524" s="12">
        <v>10.7747</v>
      </c>
    </row>
    <row r="525" ht="15.75" customHeight="1" spans="1:11">
      <c r="A525" s="7" t="s">
        <v>16019</v>
      </c>
      <c r="B525" s="8" t="s">
        <v>18961</v>
      </c>
      <c r="C525" s="9"/>
      <c r="D525" s="9"/>
      <c r="E525" s="9"/>
      <c r="F525" s="9"/>
      <c r="G525" s="9"/>
      <c r="H525" s="9"/>
      <c r="I525" s="9"/>
      <c r="J525" s="9">
        <v>288.8265</v>
      </c>
      <c r="K525" s="9">
        <v>88.3595</v>
      </c>
    </row>
    <row r="526" ht="30" customHeight="1" spans="1:11">
      <c r="A526" s="10" t="s">
        <v>18945</v>
      </c>
      <c r="B526" s="11" t="s">
        <v>18946</v>
      </c>
      <c r="C526" s="12">
        <v>553008.8362</v>
      </c>
      <c r="D526" s="12">
        <v>33.1805</v>
      </c>
      <c r="E526" s="12">
        <v>10.2362</v>
      </c>
      <c r="F526" s="12">
        <v>4.1476</v>
      </c>
      <c r="G526" s="12">
        <v>49.7708</v>
      </c>
      <c r="H526" s="12">
        <v>143.1536</v>
      </c>
      <c r="I526" s="12">
        <v>31.5074</v>
      </c>
      <c r="J526" s="12">
        <v>271.9961</v>
      </c>
      <c r="K526" s="12">
        <v>79.0717</v>
      </c>
    </row>
    <row r="527" ht="15.75" customHeight="1" spans="1:11">
      <c r="A527" s="10" t="s">
        <v>18962</v>
      </c>
      <c r="B527" s="11" t="s">
        <v>18963</v>
      </c>
      <c r="C527" s="12">
        <v>94282</v>
      </c>
      <c r="D527" s="12">
        <v>7.5426</v>
      </c>
      <c r="E527" s="12">
        <v>1.7452</v>
      </c>
      <c r="F527" s="12">
        <v>0</v>
      </c>
      <c r="G527" s="12">
        <v>7.5426</v>
      </c>
      <c r="H527" s="12">
        <v>0</v>
      </c>
      <c r="I527" s="12">
        <v>0</v>
      </c>
      <c r="J527" s="12">
        <v>16.8304</v>
      </c>
      <c r="K527" s="12">
        <v>9.2878</v>
      </c>
    </row>
    <row r="528" ht="15.75" customHeight="1" spans="1:11">
      <c r="A528" s="7" t="s">
        <v>16020</v>
      </c>
      <c r="B528" s="8" t="s">
        <v>18964</v>
      </c>
      <c r="C528" s="9"/>
      <c r="D528" s="9"/>
      <c r="E528" s="9"/>
      <c r="F528" s="9"/>
      <c r="G528" s="9"/>
      <c r="H528" s="9"/>
      <c r="I528" s="9"/>
      <c r="J528" s="9">
        <v>903.8523</v>
      </c>
      <c r="K528" s="9">
        <v>307.7813</v>
      </c>
    </row>
    <row r="529" ht="15.75" customHeight="1" spans="1:11">
      <c r="A529" s="10" t="s">
        <v>18965</v>
      </c>
      <c r="B529" s="11" t="s">
        <v>18966</v>
      </c>
      <c r="C529" s="12">
        <v>819814.428</v>
      </c>
      <c r="D529" s="12">
        <v>49.1889</v>
      </c>
      <c r="E529" s="12">
        <v>15.1748</v>
      </c>
      <c r="F529" s="12">
        <v>6.1486</v>
      </c>
      <c r="G529" s="12">
        <v>73.7833</v>
      </c>
      <c r="H529" s="12">
        <v>290.5176</v>
      </c>
      <c r="I529" s="12">
        <v>38.1454</v>
      </c>
      <c r="J529" s="12">
        <v>472.9586</v>
      </c>
      <c r="K529" s="12">
        <v>108.6577</v>
      </c>
    </row>
    <row r="530" ht="15.75" customHeight="1" spans="1:11">
      <c r="A530" s="10" t="s">
        <v>18967</v>
      </c>
      <c r="B530" s="11" t="s">
        <v>18968</v>
      </c>
      <c r="C530" s="12">
        <v>1538109.527</v>
      </c>
      <c r="D530" s="12">
        <v>125.8453</v>
      </c>
      <c r="E530" s="12">
        <v>28.039</v>
      </c>
      <c r="F530" s="12">
        <v>0</v>
      </c>
      <c r="G530" s="12">
        <v>125.8453</v>
      </c>
      <c r="H530" s="12">
        <v>105.9248</v>
      </c>
      <c r="I530" s="12">
        <v>45.2393</v>
      </c>
      <c r="J530" s="12">
        <v>430.8937</v>
      </c>
      <c r="K530" s="12">
        <v>199.1236</v>
      </c>
    </row>
    <row r="531" ht="15.75" customHeight="1" spans="1:11">
      <c r="A531" s="7" t="s">
        <v>16022</v>
      </c>
      <c r="B531" s="8" t="s">
        <v>18969</v>
      </c>
      <c r="C531" s="9"/>
      <c r="D531" s="9"/>
      <c r="E531" s="9"/>
      <c r="F531" s="9"/>
      <c r="G531" s="9"/>
      <c r="H531" s="9"/>
      <c r="I531" s="9"/>
      <c r="J531" s="9">
        <v>349.6807</v>
      </c>
      <c r="K531" s="9">
        <v>109.6348</v>
      </c>
    </row>
    <row r="532" ht="15.75" customHeight="1" spans="1:11">
      <c r="A532" s="10" t="s">
        <v>18847</v>
      </c>
      <c r="B532" s="11" t="s">
        <v>18848</v>
      </c>
      <c r="C532" s="12">
        <v>741896.1728</v>
      </c>
      <c r="D532" s="12">
        <v>37.0948</v>
      </c>
      <c r="E532" s="12">
        <v>13.351</v>
      </c>
      <c r="F532" s="12">
        <v>5.4097</v>
      </c>
      <c r="G532" s="12">
        <v>55.6422</v>
      </c>
      <c r="H532" s="12">
        <v>162.876</v>
      </c>
      <c r="I532" s="12">
        <v>31.5074</v>
      </c>
      <c r="J532" s="12">
        <v>305.8811</v>
      </c>
      <c r="K532" s="12">
        <v>87.3629</v>
      </c>
    </row>
    <row r="533" ht="15.75" customHeight="1" spans="1:11">
      <c r="A533" s="10" t="s">
        <v>18878</v>
      </c>
      <c r="B533" s="11" t="s">
        <v>18879</v>
      </c>
      <c r="C533" s="12">
        <v>155477.7308</v>
      </c>
      <c r="D533" s="12">
        <v>19.1357</v>
      </c>
      <c r="E533" s="12">
        <v>3.1362</v>
      </c>
      <c r="F533" s="12">
        <v>0</v>
      </c>
      <c r="G533" s="12">
        <v>21.5277</v>
      </c>
      <c r="H533" s="12">
        <v>0</v>
      </c>
      <c r="I533" s="12">
        <v>0</v>
      </c>
      <c r="J533" s="12">
        <v>43.7996</v>
      </c>
      <c r="K533" s="12">
        <v>22.2719</v>
      </c>
    </row>
    <row r="534" ht="15.75" customHeight="1" spans="1:11">
      <c r="A534" s="7" t="s">
        <v>16025</v>
      </c>
      <c r="B534" s="8" t="s">
        <v>18970</v>
      </c>
      <c r="C534" s="9"/>
      <c r="D534" s="9"/>
      <c r="E534" s="9"/>
      <c r="F534" s="9"/>
      <c r="G534" s="9"/>
      <c r="H534" s="9"/>
      <c r="I534" s="9"/>
      <c r="J534" s="9">
        <v>1989.5547</v>
      </c>
      <c r="K534" s="9">
        <v>862.8846</v>
      </c>
    </row>
    <row r="535" ht="15.75" customHeight="1" spans="1:11">
      <c r="A535" s="10" t="s">
        <v>18867</v>
      </c>
      <c r="B535" s="11" t="s">
        <v>18868</v>
      </c>
      <c r="C535" s="12">
        <v>5133835.275</v>
      </c>
      <c r="D535" s="12">
        <v>256.6918</v>
      </c>
      <c r="E535" s="12">
        <v>92.3876</v>
      </c>
      <c r="F535" s="12">
        <v>37.4342</v>
      </c>
      <c r="G535" s="12">
        <v>385.0376</v>
      </c>
      <c r="H535" s="12">
        <v>341.264</v>
      </c>
      <c r="I535" s="12">
        <v>38.1454</v>
      </c>
      <c r="J535" s="12">
        <v>1150.9606</v>
      </c>
      <c r="K535" s="12">
        <v>424.659</v>
      </c>
    </row>
    <row r="536" ht="15.75" customHeight="1" spans="1:11">
      <c r="A536" s="10" t="s">
        <v>18971</v>
      </c>
      <c r="B536" s="11" t="s">
        <v>18972</v>
      </c>
      <c r="C536" s="12">
        <v>1808400.3742</v>
      </c>
      <c r="D536" s="12">
        <v>144.672</v>
      </c>
      <c r="E536" s="12">
        <v>33.4735</v>
      </c>
      <c r="F536" s="12">
        <v>0</v>
      </c>
      <c r="G536" s="12">
        <v>162.756</v>
      </c>
      <c r="H536" s="12">
        <v>0</v>
      </c>
      <c r="I536" s="12">
        <v>0</v>
      </c>
      <c r="J536" s="12">
        <v>340.9015</v>
      </c>
      <c r="K536" s="12">
        <v>178.1455</v>
      </c>
    </row>
    <row r="537" ht="15.75" customHeight="1" spans="1:11">
      <c r="A537" s="10" t="s">
        <v>18855</v>
      </c>
      <c r="B537" s="11" t="s">
        <v>18856</v>
      </c>
      <c r="C537" s="12">
        <v>749824.5454</v>
      </c>
      <c r="D537" s="12">
        <v>59.986</v>
      </c>
      <c r="E537" s="12">
        <v>13.8793</v>
      </c>
      <c r="F537" s="12">
        <v>0</v>
      </c>
      <c r="G537" s="12">
        <v>67.4842</v>
      </c>
      <c r="H537" s="12">
        <v>0</v>
      </c>
      <c r="I537" s="12">
        <v>0</v>
      </c>
      <c r="J537" s="12">
        <v>141.3495</v>
      </c>
      <c r="K537" s="12">
        <v>73.8653</v>
      </c>
    </row>
    <row r="538" ht="15.75" customHeight="1" spans="1:11">
      <c r="A538" s="10" t="s">
        <v>18973</v>
      </c>
      <c r="B538" s="11" t="s">
        <v>18974</v>
      </c>
      <c r="C538" s="12">
        <v>1890313.98</v>
      </c>
      <c r="D538" s="12">
        <v>151.2251</v>
      </c>
      <c r="E538" s="12">
        <v>34.9897</v>
      </c>
      <c r="F538" s="12">
        <v>0</v>
      </c>
      <c r="G538" s="12">
        <v>170.1283</v>
      </c>
      <c r="H538" s="12">
        <v>0</v>
      </c>
      <c r="I538" s="12">
        <v>0</v>
      </c>
      <c r="J538" s="12">
        <v>356.3431</v>
      </c>
      <c r="K538" s="12">
        <v>186.2148</v>
      </c>
    </row>
    <row r="539" ht="15.75" customHeight="1" spans="1:11">
      <c r="A539" s="7" t="s">
        <v>16026</v>
      </c>
      <c r="B539" s="8" t="s">
        <v>18975</v>
      </c>
      <c r="C539" s="9"/>
      <c r="D539" s="9"/>
      <c r="E539" s="9"/>
      <c r="F539" s="9"/>
      <c r="G539" s="9"/>
      <c r="H539" s="9"/>
      <c r="I539" s="9"/>
      <c r="J539" s="9">
        <v>364.7515</v>
      </c>
      <c r="K539" s="9">
        <v>98.9517</v>
      </c>
    </row>
    <row r="540" ht="30" customHeight="1" spans="1:11">
      <c r="A540" s="10" t="s">
        <v>18910</v>
      </c>
      <c r="B540" s="11" t="s">
        <v>18911</v>
      </c>
      <c r="C540" s="12">
        <v>652037.4871</v>
      </c>
      <c r="D540" s="12">
        <v>39.1222</v>
      </c>
      <c r="E540" s="12">
        <v>12.0692</v>
      </c>
      <c r="F540" s="12">
        <v>4.8903</v>
      </c>
      <c r="G540" s="12">
        <v>58.6834</v>
      </c>
      <c r="H540" s="12">
        <v>197.8888</v>
      </c>
      <c r="I540" s="12">
        <v>31.5074</v>
      </c>
      <c r="J540" s="12">
        <v>344.1613</v>
      </c>
      <c r="K540" s="12">
        <v>87.5891</v>
      </c>
    </row>
    <row r="541" ht="15.75" customHeight="1" spans="1:11">
      <c r="A541" s="10" t="s">
        <v>18976</v>
      </c>
      <c r="B541" s="11" t="s">
        <v>18977</v>
      </c>
      <c r="C541" s="12">
        <v>115345</v>
      </c>
      <c r="D541" s="12">
        <v>9.2276</v>
      </c>
      <c r="E541" s="12">
        <v>2.135</v>
      </c>
      <c r="F541" s="12">
        <v>0</v>
      </c>
      <c r="G541" s="12">
        <v>9.2276</v>
      </c>
      <c r="H541" s="12">
        <v>0</v>
      </c>
      <c r="I541" s="12">
        <v>0</v>
      </c>
      <c r="J541" s="12">
        <v>20.5902</v>
      </c>
      <c r="K541" s="12">
        <v>11.3626</v>
      </c>
    </row>
    <row r="542" ht="15.75" customHeight="1" spans="1:11">
      <c r="A542" s="7" t="s">
        <v>14317</v>
      </c>
      <c r="B542" s="8" t="s">
        <v>14318</v>
      </c>
      <c r="C542" s="9"/>
      <c r="D542" s="9"/>
      <c r="E542" s="9"/>
      <c r="F542" s="9"/>
      <c r="G542" s="9"/>
      <c r="H542" s="9"/>
      <c r="I542" s="9"/>
      <c r="J542" s="9">
        <v>329.5576</v>
      </c>
      <c r="K542" s="9">
        <v>115.2184</v>
      </c>
    </row>
    <row r="543" ht="15.75" customHeight="1" spans="1:11">
      <c r="A543" s="10" t="s">
        <v>18978</v>
      </c>
      <c r="B543" s="11" t="s">
        <v>18979</v>
      </c>
      <c r="C543" s="12">
        <v>553008.8362</v>
      </c>
      <c r="D543" s="12">
        <v>27.6504</v>
      </c>
      <c r="E543" s="12">
        <v>9.9519</v>
      </c>
      <c r="F543" s="12">
        <v>4.0324</v>
      </c>
      <c r="G543" s="12">
        <v>41.4757</v>
      </c>
      <c r="H543" s="12">
        <v>143.1536</v>
      </c>
      <c r="I543" s="12">
        <v>38.1454</v>
      </c>
      <c r="J543" s="12">
        <v>264.4094</v>
      </c>
      <c r="K543" s="12">
        <v>79.7801</v>
      </c>
    </row>
    <row r="544" ht="15.75" customHeight="1" spans="1:11">
      <c r="A544" s="10" t="s">
        <v>18980</v>
      </c>
      <c r="B544" s="11" t="s">
        <v>18981</v>
      </c>
      <c r="C544" s="12">
        <v>29298.2986</v>
      </c>
      <c r="D544" s="12">
        <v>2.9298</v>
      </c>
      <c r="E544" s="12">
        <v>0.5649</v>
      </c>
      <c r="F544" s="12">
        <v>0</v>
      </c>
      <c r="G544" s="12">
        <v>2.9298</v>
      </c>
      <c r="H544" s="12">
        <v>0</v>
      </c>
      <c r="I544" s="12">
        <v>0</v>
      </c>
      <c r="J544" s="12">
        <v>6.4245</v>
      </c>
      <c r="K544" s="12">
        <v>3.4947</v>
      </c>
    </row>
    <row r="545" ht="15.75" customHeight="1" spans="1:11">
      <c r="A545" s="10" t="s">
        <v>18818</v>
      </c>
      <c r="B545" s="11" t="s">
        <v>18819</v>
      </c>
      <c r="C545" s="12">
        <v>267801</v>
      </c>
      <c r="D545" s="12">
        <v>26.7801</v>
      </c>
      <c r="E545" s="12">
        <v>5.1635</v>
      </c>
      <c r="F545" s="12">
        <v>0</v>
      </c>
      <c r="G545" s="12">
        <v>26.7801</v>
      </c>
      <c r="H545" s="12">
        <v>0</v>
      </c>
      <c r="I545" s="12">
        <v>0</v>
      </c>
      <c r="J545" s="12">
        <v>58.7237</v>
      </c>
      <c r="K545" s="12">
        <v>31.9436</v>
      </c>
    </row>
    <row r="546" ht="15.75" customHeight="1" spans="1:11">
      <c r="A546" s="7" t="s">
        <v>1086</v>
      </c>
      <c r="B546" s="8" t="s">
        <v>1087</v>
      </c>
      <c r="C546" s="9"/>
      <c r="D546" s="9"/>
      <c r="E546" s="9"/>
      <c r="F546" s="9"/>
      <c r="G546" s="9"/>
      <c r="H546" s="9"/>
      <c r="I546" s="9"/>
      <c r="J546" s="9">
        <v>174.0453</v>
      </c>
      <c r="K546" s="9">
        <v>68.9883</v>
      </c>
    </row>
    <row r="547" ht="15.75" customHeight="1" spans="1:11">
      <c r="A547" s="10" t="s">
        <v>18982</v>
      </c>
      <c r="B547" s="11" t="s">
        <v>18983</v>
      </c>
      <c r="C547" s="12">
        <v>399857.6647</v>
      </c>
      <c r="D547" s="12">
        <v>23.9915</v>
      </c>
      <c r="E547" s="12">
        <v>7.4014</v>
      </c>
      <c r="F547" s="12">
        <v>2.9989</v>
      </c>
      <c r="G547" s="12">
        <v>35.9872</v>
      </c>
      <c r="H547" s="12">
        <v>66.48</v>
      </c>
      <c r="I547" s="12">
        <v>31.5074</v>
      </c>
      <c r="J547" s="12">
        <v>168.3664</v>
      </c>
      <c r="K547" s="12">
        <v>65.8992</v>
      </c>
    </row>
    <row r="548" ht="15.75" customHeight="1" spans="1:11">
      <c r="A548" s="10" t="s">
        <v>18816</v>
      </c>
      <c r="B548" s="11" t="s">
        <v>18817</v>
      </c>
      <c r="C548" s="12">
        <v>25897.5043</v>
      </c>
      <c r="D548" s="12">
        <v>2.5898</v>
      </c>
      <c r="E548" s="12">
        <v>0.4993</v>
      </c>
      <c r="F548" s="12">
        <v>0</v>
      </c>
      <c r="G548" s="12">
        <v>2.5898</v>
      </c>
      <c r="H548" s="12">
        <v>0</v>
      </c>
      <c r="I548" s="12">
        <v>0</v>
      </c>
      <c r="J548" s="12">
        <v>5.6789</v>
      </c>
      <c r="K548" s="12">
        <v>3.0891</v>
      </c>
    </row>
    <row r="549" ht="15.75" customHeight="1" spans="1:11">
      <c r="A549" s="7" t="s">
        <v>16032</v>
      </c>
      <c r="B549" s="8" t="s">
        <v>18984</v>
      </c>
      <c r="C549" s="9"/>
      <c r="D549" s="9"/>
      <c r="E549" s="9"/>
      <c r="F549" s="9"/>
      <c r="G549" s="9"/>
      <c r="H549" s="9"/>
      <c r="I549" s="9"/>
      <c r="J549" s="9">
        <v>307.134</v>
      </c>
      <c r="K549" s="9">
        <v>103.0208</v>
      </c>
    </row>
    <row r="550" ht="15.75" customHeight="1" spans="1:11">
      <c r="A550" s="10" t="s">
        <v>18985</v>
      </c>
      <c r="B550" s="11" t="s">
        <v>18986</v>
      </c>
      <c r="C550" s="12">
        <v>31594.5</v>
      </c>
      <c r="D550" s="12">
        <v>3.1595</v>
      </c>
      <c r="E550" s="12">
        <v>0.6092</v>
      </c>
      <c r="F550" s="12">
        <v>0</v>
      </c>
      <c r="G550" s="12">
        <v>3.1595</v>
      </c>
      <c r="H550" s="12">
        <v>0</v>
      </c>
      <c r="I550" s="12">
        <v>0</v>
      </c>
      <c r="J550" s="12">
        <v>6.9282</v>
      </c>
      <c r="K550" s="12">
        <v>3.7687</v>
      </c>
    </row>
    <row r="551" ht="15.75" customHeight="1" spans="1:11">
      <c r="A551" s="10" t="s">
        <v>18978</v>
      </c>
      <c r="B551" s="11" t="s">
        <v>18979</v>
      </c>
      <c r="C551" s="12">
        <v>553008.8362</v>
      </c>
      <c r="D551" s="12">
        <v>27.6504</v>
      </c>
      <c r="E551" s="12">
        <v>9.9519</v>
      </c>
      <c r="F551" s="12">
        <v>4.0324</v>
      </c>
      <c r="G551" s="12">
        <v>41.4757</v>
      </c>
      <c r="H551" s="12">
        <v>143.1536</v>
      </c>
      <c r="I551" s="12">
        <v>38.1454</v>
      </c>
      <c r="J551" s="12">
        <v>264.4094</v>
      </c>
      <c r="K551" s="12">
        <v>79.7801</v>
      </c>
    </row>
    <row r="552" ht="15.75" customHeight="1" spans="1:11">
      <c r="A552" s="10" t="s">
        <v>18987</v>
      </c>
      <c r="B552" s="11" t="s">
        <v>18988</v>
      </c>
      <c r="C552" s="12">
        <v>24327.765</v>
      </c>
      <c r="D552" s="12">
        <v>2.4328</v>
      </c>
      <c r="E552" s="12">
        <v>0.4691</v>
      </c>
      <c r="F552" s="12">
        <v>0</v>
      </c>
      <c r="G552" s="12">
        <v>2.4328</v>
      </c>
      <c r="H552" s="12">
        <v>0</v>
      </c>
      <c r="I552" s="12">
        <v>0</v>
      </c>
      <c r="J552" s="12">
        <v>5.3347</v>
      </c>
      <c r="K552" s="12">
        <v>2.9019</v>
      </c>
    </row>
    <row r="553" ht="15.75" customHeight="1" spans="1:11">
      <c r="A553" s="10" t="s">
        <v>18989</v>
      </c>
      <c r="B553" s="11" t="s">
        <v>18990</v>
      </c>
      <c r="C553" s="12">
        <v>138915.5</v>
      </c>
      <c r="D553" s="12">
        <v>13.8916</v>
      </c>
      <c r="E553" s="12">
        <v>2.6785</v>
      </c>
      <c r="F553" s="12">
        <v>0</v>
      </c>
      <c r="G553" s="12">
        <v>13.8916</v>
      </c>
      <c r="H553" s="12">
        <v>0</v>
      </c>
      <c r="I553" s="12">
        <v>0</v>
      </c>
      <c r="J553" s="12">
        <v>30.4617</v>
      </c>
      <c r="K553" s="12">
        <v>16.5701</v>
      </c>
    </row>
    <row r="554" ht="15.75" customHeight="1" spans="1:11">
      <c r="A554" s="7" t="s">
        <v>16035</v>
      </c>
      <c r="B554" s="8" t="s">
        <v>18991</v>
      </c>
      <c r="C554" s="9"/>
      <c r="D554" s="9"/>
      <c r="E554" s="9"/>
      <c r="F554" s="9"/>
      <c r="G554" s="9"/>
      <c r="H554" s="9"/>
      <c r="I554" s="9"/>
      <c r="J554" s="9">
        <v>1050.9633</v>
      </c>
      <c r="K554" s="9">
        <v>527.3964</v>
      </c>
    </row>
    <row r="555" ht="30" customHeight="1" spans="1:11">
      <c r="A555" s="10" t="s">
        <v>18992</v>
      </c>
      <c r="B555" s="11" t="s">
        <v>18993</v>
      </c>
      <c r="C555" s="12">
        <v>446750.3678</v>
      </c>
      <c r="D555" s="12">
        <v>33.5063</v>
      </c>
      <c r="E555" s="12">
        <v>8.6139</v>
      </c>
      <c r="F555" s="12">
        <v>3.4902</v>
      </c>
      <c r="G555" s="12">
        <v>50.2594</v>
      </c>
      <c r="H555" s="12">
        <v>135.7854</v>
      </c>
      <c r="I555" s="12">
        <v>31.5074</v>
      </c>
      <c r="J555" s="12">
        <v>263.1626</v>
      </c>
      <c r="K555" s="12">
        <v>77.1178</v>
      </c>
    </row>
    <row r="556" ht="15.75" customHeight="1" spans="1:11">
      <c r="A556" s="10" t="s">
        <v>18994</v>
      </c>
      <c r="B556" s="11" t="s">
        <v>18995</v>
      </c>
      <c r="C556" s="12">
        <v>3375220.8057</v>
      </c>
      <c r="D556" s="12">
        <v>358.6172</v>
      </c>
      <c r="E556" s="12">
        <v>65.0785</v>
      </c>
      <c r="F556" s="12">
        <v>0</v>
      </c>
      <c r="G556" s="12">
        <v>337.5221</v>
      </c>
      <c r="H556" s="12">
        <v>0</v>
      </c>
      <c r="I556" s="12">
        <v>26.5829</v>
      </c>
      <c r="J556" s="12">
        <v>787.8007</v>
      </c>
      <c r="K556" s="12">
        <v>450.2786</v>
      </c>
    </row>
    <row r="557" ht="15.75" customHeight="1" spans="1:11">
      <c r="A557" s="7" t="s">
        <v>16091</v>
      </c>
      <c r="B557" s="8" t="s">
        <v>18996</v>
      </c>
      <c r="C557" s="9"/>
      <c r="D557" s="9"/>
      <c r="E557" s="9"/>
      <c r="F557" s="9"/>
      <c r="G557" s="9"/>
      <c r="H557" s="9"/>
      <c r="I557" s="9"/>
      <c r="J557" s="9">
        <v>338.5831</v>
      </c>
      <c r="K557" s="9">
        <v>129.0726</v>
      </c>
    </row>
    <row r="558" ht="15.75" customHeight="1" spans="1:11">
      <c r="A558" s="10" t="s">
        <v>18997</v>
      </c>
      <c r="B558" s="11" t="s">
        <v>18998</v>
      </c>
      <c r="C558" s="12">
        <v>389494.4178</v>
      </c>
      <c r="D558" s="12">
        <v>23.3697</v>
      </c>
      <c r="E558" s="12">
        <v>7.2095</v>
      </c>
      <c r="F558" s="12">
        <v>2.9212</v>
      </c>
      <c r="G558" s="12">
        <v>35.0545</v>
      </c>
      <c r="H558" s="12">
        <v>126.312</v>
      </c>
      <c r="I558" s="12">
        <v>38.1454</v>
      </c>
      <c r="J558" s="12">
        <v>233.0123</v>
      </c>
      <c r="K558" s="12">
        <v>71.6458</v>
      </c>
    </row>
    <row r="559" ht="15.75" customHeight="1" spans="1:11">
      <c r="A559" s="10" t="s">
        <v>18999</v>
      </c>
      <c r="B559" s="11" t="s">
        <v>19000</v>
      </c>
      <c r="C559" s="12">
        <v>481440</v>
      </c>
      <c r="D559" s="12">
        <v>48.144</v>
      </c>
      <c r="E559" s="12">
        <v>9.2828</v>
      </c>
      <c r="F559" s="12">
        <v>0</v>
      </c>
      <c r="G559" s="12">
        <v>48.144</v>
      </c>
      <c r="H559" s="12">
        <v>0</v>
      </c>
      <c r="I559" s="12">
        <v>0</v>
      </c>
      <c r="J559" s="12">
        <v>105.5708</v>
      </c>
      <c r="K559" s="12">
        <v>57.4268</v>
      </c>
    </row>
    <row r="560" ht="15.75" customHeight="1" spans="1:11">
      <c r="A560" s="7" t="s">
        <v>16094</v>
      </c>
      <c r="B560" s="8" t="s">
        <v>19001</v>
      </c>
      <c r="C560" s="9"/>
      <c r="D560" s="9"/>
      <c r="E560" s="9"/>
      <c r="F560" s="9"/>
      <c r="G560" s="9"/>
      <c r="H560" s="9"/>
      <c r="I560" s="9"/>
      <c r="J560" s="9">
        <v>568.6292</v>
      </c>
      <c r="K560" s="9">
        <v>245.2649</v>
      </c>
    </row>
    <row r="561" ht="15.75" customHeight="1" spans="1:11">
      <c r="A561" s="10" t="s">
        <v>18978</v>
      </c>
      <c r="B561" s="11" t="s">
        <v>18979</v>
      </c>
      <c r="C561" s="12">
        <v>553008.8362</v>
      </c>
      <c r="D561" s="12">
        <v>27.6504</v>
      </c>
      <c r="E561" s="12">
        <v>9.9519</v>
      </c>
      <c r="F561" s="12">
        <v>4.0324</v>
      </c>
      <c r="G561" s="12">
        <v>41.4757</v>
      </c>
      <c r="H561" s="12">
        <v>143.1536</v>
      </c>
      <c r="I561" s="12">
        <v>38.1454</v>
      </c>
      <c r="J561" s="12">
        <v>264.4094</v>
      </c>
      <c r="K561" s="12">
        <v>79.7801</v>
      </c>
    </row>
    <row r="562" ht="15.75" customHeight="1" spans="1:11">
      <c r="A562" s="10" t="s">
        <v>19002</v>
      </c>
      <c r="B562" s="11" t="s">
        <v>19003</v>
      </c>
      <c r="C562" s="12">
        <v>1387349.6</v>
      </c>
      <c r="D562" s="12">
        <v>138.735</v>
      </c>
      <c r="E562" s="12">
        <v>26.7498</v>
      </c>
      <c r="F562" s="12">
        <v>0</v>
      </c>
      <c r="G562" s="12">
        <v>138.735</v>
      </c>
      <c r="H562" s="12">
        <v>0</v>
      </c>
      <c r="I562" s="12">
        <v>0</v>
      </c>
      <c r="J562" s="12">
        <v>304.2198</v>
      </c>
      <c r="K562" s="12">
        <v>165.4848</v>
      </c>
    </row>
    <row r="563" ht="15.75" customHeight="1" spans="1:11">
      <c r="A563" s="7" t="s">
        <v>16098</v>
      </c>
      <c r="B563" s="8" t="s">
        <v>19004</v>
      </c>
      <c r="C563" s="9"/>
      <c r="D563" s="9"/>
      <c r="E563" s="9"/>
      <c r="F563" s="9"/>
      <c r="G563" s="9"/>
      <c r="H563" s="9"/>
      <c r="I563" s="9"/>
      <c r="J563" s="9">
        <v>611.9446</v>
      </c>
      <c r="K563" s="9">
        <v>165.1909</v>
      </c>
    </row>
    <row r="564" ht="30" customHeight="1" spans="1:11">
      <c r="A564" s="10" t="s">
        <v>19005</v>
      </c>
      <c r="B564" s="11" t="s">
        <v>19006</v>
      </c>
      <c r="C564" s="12">
        <v>652606.8884</v>
      </c>
      <c r="D564" s="12">
        <v>39.1564</v>
      </c>
      <c r="E564" s="12">
        <v>12.0798</v>
      </c>
      <c r="F564" s="12">
        <v>4.8946</v>
      </c>
      <c r="G564" s="12">
        <v>58.7346</v>
      </c>
      <c r="H564" s="12">
        <v>247.361</v>
      </c>
      <c r="I564" s="12">
        <v>31.5074</v>
      </c>
      <c r="J564" s="12">
        <v>393.7338</v>
      </c>
      <c r="K564" s="12">
        <v>87.6382</v>
      </c>
    </row>
    <row r="565" ht="15.75" customHeight="1" spans="1:11">
      <c r="A565" s="13" t="s">
        <v>19007</v>
      </c>
      <c r="B565" s="14" t="s">
        <v>19008</v>
      </c>
      <c r="C565" s="15">
        <v>517407.4997</v>
      </c>
      <c r="D565" s="15">
        <v>41.3926</v>
      </c>
      <c r="E565" s="15">
        <v>9.5772</v>
      </c>
      <c r="F565" s="15">
        <v>0</v>
      </c>
      <c r="G565" s="15">
        <v>46.5667</v>
      </c>
      <c r="H565" s="15">
        <v>94.0914</v>
      </c>
      <c r="I565" s="15">
        <v>26.5829</v>
      </c>
      <c r="J565" s="15">
        <v>218.2108</v>
      </c>
      <c r="K565" s="15">
        <v>77.5527</v>
      </c>
    </row>
  </sheetData>
  <mergeCells count="49">
    <mergeCell ref="C407:I407"/>
    <mergeCell ref="C410:I410"/>
    <mergeCell ref="C414:I414"/>
    <mergeCell ref="C417:I417"/>
    <mergeCell ref="C420:I420"/>
    <mergeCell ref="C424:I424"/>
    <mergeCell ref="C429:I429"/>
    <mergeCell ref="C432:I432"/>
    <mergeCell ref="C435:I435"/>
    <mergeCell ref="C438:I438"/>
    <mergeCell ref="C440:I440"/>
    <mergeCell ref="C442:I442"/>
    <mergeCell ref="C444:I444"/>
    <mergeCell ref="C447:I447"/>
    <mergeCell ref="C450:I450"/>
    <mergeCell ref="C454:I454"/>
    <mergeCell ref="C459:I459"/>
    <mergeCell ref="C464:I464"/>
    <mergeCell ref="C467:I467"/>
    <mergeCell ref="C470:I470"/>
    <mergeCell ref="C473:I473"/>
    <mergeCell ref="C476:I476"/>
    <mergeCell ref="C479:I479"/>
    <mergeCell ref="C482:I482"/>
    <mergeCell ref="C485:I485"/>
    <mergeCell ref="C488:I488"/>
    <mergeCell ref="C491:I491"/>
    <mergeCell ref="C494:I494"/>
    <mergeCell ref="C497:I497"/>
    <mergeCell ref="C500:I500"/>
    <mergeCell ref="C503:I503"/>
    <mergeCell ref="C506:I506"/>
    <mergeCell ref="C509:I509"/>
    <mergeCell ref="C512:I512"/>
    <mergeCell ref="C516:I516"/>
    <mergeCell ref="C519:I519"/>
    <mergeCell ref="C522:I522"/>
    <mergeCell ref="C525:I525"/>
    <mergeCell ref="C528:I528"/>
    <mergeCell ref="C531:I531"/>
    <mergeCell ref="C534:I534"/>
    <mergeCell ref="C539:I539"/>
    <mergeCell ref="C542:I542"/>
    <mergeCell ref="C546:I546"/>
    <mergeCell ref="C549:I549"/>
    <mergeCell ref="C554:I554"/>
    <mergeCell ref="C557:I557"/>
    <mergeCell ref="C560:I560"/>
    <mergeCell ref="C563:I563"/>
  </mergeCells>
  <pageMargins left="0.511811024" right="0.511811024" top="0.787401575" bottom="0.787401575" header="0.31496062" footer="0.31496062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Capa</vt:lpstr>
      <vt:lpstr>Dados</vt:lpstr>
      <vt:lpstr>Resumo_Orçamento</vt:lpstr>
      <vt:lpstr>Orçamento</vt:lpstr>
      <vt:lpstr>Memória_Orçamento</vt:lpstr>
      <vt:lpstr>Cronograma</vt:lpstr>
      <vt:lpstr>Curva ABC Serviços</vt:lpstr>
      <vt:lpstr>Canteiro Id</vt:lpstr>
      <vt:lpstr>Canteiro Qtd</vt:lpstr>
      <vt:lpstr>MC Transporte</vt:lpstr>
      <vt:lpstr>Adm Local</vt:lpstr>
      <vt:lpstr>Histograma MO</vt:lpstr>
      <vt:lpstr>Mobilização MO</vt:lpstr>
      <vt:lpstr>Histograma EQP</vt:lpstr>
      <vt:lpstr>Mobilização EQP</vt:lpstr>
      <vt:lpstr>Planilha1</vt:lpstr>
      <vt:lpstr>Composições Principais</vt:lpstr>
      <vt:lpstr>Composições Auxiliares</vt:lpstr>
      <vt:lpstr>Materiais</vt:lpstr>
      <vt:lpstr>Mão de Obra</vt:lpstr>
      <vt:lpstr>Equipamentos</vt:lpstr>
      <vt:lpstr>BDI</vt:lpstr>
      <vt:lpstr>Cotações</vt:lpstr>
      <vt:lpstr>Materiais_Base</vt:lpstr>
      <vt:lpstr>Mão de Obra_Base</vt:lpstr>
      <vt:lpstr>Equipamentos_base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 Soares</dc:creator>
  <cp:lastModifiedBy>PLANEJAMENTO-I</cp:lastModifiedBy>
  <dcterms:created xsi:type="dcterms:W3CDTF">2019-11-27T14:34:00Z</dcterms:created>
  <cp:lastPrinted>2026-05-12T21:15:00Z</cp:lastPrinted>
  <dcterms:modified xsi:type="dcterms:W3CDTF">2026-06-25T17:55:13Z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A0399970E91E4A5288A1733EED4D7342_13</vt:lpwstr>
  </property>
  <property fmtid="{D5CDD505-2E9C-101B-9397-08002B2CF9AE}" pid="3" name="KSOProductBuildVer">
    <vt:lpwstr>1046-12.1.0.26880</vt:lpwstr>
  </property>
  <property fmtid="{D5CDD505-2E9C-101B-9397-08002B2CF9AE}" pid="4" name="CalculationRule">
    <vt:i4>0</vt:i4>
  </property>
</Properties>
</file>